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activeX/activeX10.xml" ContentType="application/vnd.ms-office.activeX+xml"/>
  <Override PartName="/xl/activeX/activeX10.bin" ContentType="application/vnd.ms-office.activeX"/>
  <Override PartName="/xl/activeX/activeX11.xml" ContentType="application/vnd.ms-office.activeX+xml"/>
  <Override PartName="/xl/activeX/activeX11.bin" ContentType="application/vnd.ms-office.activeX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activeX/activeX12.xml" ContentType="application/vnd.ms-office.activeX+xml"/>
  <Override PartName="/xl/activeX/activeX12.bin" ContentType="application/vnd.ms-office.activeX"/>
  <Override PartName="/xl/activeX/activeX13.xml" ContentType="application/vnd.ms-office.activeX+xml"/>
  <Override PartName="/xl/activeX/activeX13.bin" ContentType="application/vnd.ms-office.activeX"/>
  <Override PartName="/xl/tables/table16.xml" ContentType="application/vnd.openxmlformats-officedocument.spreadsheetml.table+xml"/>
  <Override PartName="/xl/drawings/drawing3.xml" ContentType="application/vnd.openxmlformats-officedocument.drawing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pivotTables/pivotTable1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comments2.xml" ContentType="application/vnd.openxmlformats-officedocument.spreadsheetml.comments+xml"/>
  <Override PartName="/xl/tables/table32.xml" ContentType="application/vnd.openxmlformats-officedocument.spreadsheetml.table+xml"/>
  <Override PartName="/xl/comments3.xml" ContentType="application/vnd.openxmlformats-officedocument.spreadsheetml.comments+xml"/>
  <Override PartName="/xl/threadedComments/threadedComment1.xml" ContentType="application/vnd.ms-excel.threadedcomments+xml"/>
  <Override PartName="/xl/tables/table33.xml" ContentType="application/vnd.openxmlformats-officedocument.spreadsheetml.table+xml"/>
  <Override PartName="/xl/comments4.xml" ContentType="application/vnd.openxmlformats-officedocument.spreadsheetml.comments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pivotTables/pivotTable2.xml" ContentType="application/vnd.openxmlformats-officedocument.spreadsheetml.pivotTable+xml"/>
  <Override PartName="/xl/tables/table36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showInkAnnotation="0" codeName="EstaPasta_de_trabalho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U:\SGT\REAJUSTE\PERMISSIONÁRIAS DE DISTRIBUIÇÃO\2022\07- JULHO\15-Ceris\"/>
    </mc:Choice>
  </mc:AlternateContent>
  <xr:revisionPtr revIDLastSave="0" documentId="8_{183C5C3B-E7C5-48F6-85D1-C071C12919B4}" xr6:coauthVersionLast="47" xr6:coauthVersionMax="47" xr10:uidLastSave="{00000000-0000-0000-0000-000000000000}"/>
  <bookViews>
    <workbookView xWindow="-120" yWindow="-120" windowWidth="29040" windowHeight="15840" tabRatio="725" activeTab="7" xr2:uid="{00000000-000D-0000-FFFF-FFFF00000000}"/>
  </bookViews>
  <sheets>
    <sheet name="Subsidio" sheetId="136" r:id="rId1"/>
    <sheet name="BD" sheetId="71" r:id="rId2"/>
    <sheet name="RBBD" sheetId="90" r:id="rId3"/>
    <sheet name="BDCOVID" sheetId="132" r:id="rId4"/>
    <sheet name="Faturas" sheetId="130" r:id="rId5"/>
    <sheet name="Informações Gerais" sheetId="122" r:id="rId6"/>
    <sheet name="CAPA" sheetId="39" r:id="rId7"/>
    <sheet name="Resultado" sheetId="64" r:id="rId8"/>
    <sheet name="Tabelas e Gráficos" sheetId="89" r:id="rId9"/>
    <sheet name="Calc_Mercado" sheetId="78" r:id="rId10"/>
    <sheet name="BD MERCADO" sheetId="79" r:id="rId11"/>
    <sheet name="Energia" sheetId="58" r:id="rId12"/>
    <sheet name="Rede Básica + Ajuste" sheetId="82" r:id="rId13"/>
    <sheet name="Conexão " sheetId="87" r:id="rId14"/>
    <sheet name="CUSD" sheetId="61" r:id="rId15"/>
    <sheet name="Encargos" sheetId="51" r:id="rId16"/>
    <sheet name="Financeiros" sheetId="50" r:id="rId17"/>
    <sheet name="ICMS" sheetId="137" r:id="rId18"/>
    <sheet name="Financeiros Mitigação" sheetId="139" r:id="rId19"/>
    <sheet name="CVE" sheetId="135" r:id="rId20"/>
    <sheet name="Conta covid" sheetId="131" r:id="rId21"/>
    <sheet name="Aj.Subsídio" sheetId="123" r:id="rId22"/>
    <sheet name="Indexador" sheetId="25" r:id="rId23"/>
    <sheet name="BD SUPRIMENTO" sheetId="84" state="hidden" r:id="rId24"/>
    <sheet name="RA0BD" sheetId="57" state="hidden" r:id="rId25"/>
    <sheet name="SimuBD" sheetId="62" state="hidden" r:id="rId26"/>
    <sheet name="Índices" sheetId="7" r:id="rId27"/>
    <sheet name="BD-NET" sheetId="49" r:id="rId28"/>
    <sheet name="Sharepoint" sheetId="121" state="hidden" r:id="rId29"/>
    <sheet name="COEFICIENTES" sheetId="102" state="hidden" r:id="rId30"/>
    <sheet name="REN 473" sheetId="95" state="hidden" r:id="rId31"/>
    <sheet name="ERD" sheetId="94" state="hidden" r:id="rId32"/>
    <sheet name="Glossário Vínculos" sheetId="85" state="hidden" r:id="rId33"/>
  </sheets>
  <externalReferences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</externalReferences>
  <definedNames>
    <definedName name="\zx\zx\zx\" hidden="1">{#N/A,#N/A,FALSE,"CONTROLE";#N/A,#N/A,FALSE,"CONTROLE"}</definedName>
    <definedName name="__________ep1" hidden="1">{#N/A,#N/A,FALSE,"CONTROLE"}</definedName>
    <definedName name="__________r" hidden="1">{#N/A,#N/A,FALSE,"CONTROLE"}</definedName>
    <definedName name="__________yh7" hidden="1">{#N/A,#N/A,FALSE,"CONTROLE";#N/A,#N/A,FALSE,"CONTROLE"}</definedName>
    <definedName name="________ep1" hidden="1">{#N/A,#N/A,FALSE,"CONTROLE"}</definedName>
    <definedName name="________r" hidden="1">{#N/A,#N/A,FALSE,"CONTROLE"}</definedName>
    <definedName name="________yh7" hidden="1">{#N/A,#N/A,FALSE,"CONTROLE";#N/A,#N/A,FALSE,"CONTROLE"}</definedName>
    <definedName name="______ep1" hidden="1">{#N/A,#N/A,FALSE,"CONTROLE"}</definedName>
    <definedName name="______r" hidden="1">{#N/A,#N/A,FALSE,"CONTROLE"}</definedName>
    <definedName name="______yh7" hidden="1">{#N/A,#N/A,FALSE,"CONTROLE";#N/A,#N/A,FALSE,"CONTROLE"}</definedName>
    <definedName name="__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__bb1" hidden="1">{#N/A,#N/A,FALSE,"ENERGIA";#N/A,#N/A,FALSE,"PERDIDAS";#N/A,#N/A,FALSE,"CLIENTES";#N/A,#N/A,FALSE,"ESTADO";#N/A,#N/A,FALSE,"TECNICA"}</definedName>
    <definedName name="__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__e1" hidden="1">{#N/A,#N/A,FALSE,"ENERGIA";#N/A,#N/A,FALSE,"PERDIDAS";#N/A,#N/A,FALSE,"CLIENTES";#N/A,#N/A,FALSE,"ESTADO";#N/A,#N/A,FALSE,"TECNICA"}</definedName>
    <definedName name="_____FT08" hidden="1">"3OYHDJRF05V1IN1D1R6C32J5E"</definedName>
    <definedName name="_____r" hidden="1">{#N/A,#N/A,FALSE,"CONTROLE"}</definedName>
    <definedName name="_____yh7" hidden="1">{#N/A,#N/A,FALSE,"CONTROLE";#N/A,#N/A,FALSE,"CONTROLE"}</definedName>
    <definedName name="_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_bb1" hidden="1">{#N/A,#N/A,FALSE,"ENERGIA";#N/A,#N/A,FALSE,"PERDIDAS";#N/A,#N/A,FALSE,"CLIENTES";#N/A,#N/A,FALSE,"ESTADO";#N/A,#N/A,FALSE,"TECNICA"}</definedName>
    <definedName name="_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_e1" hidden="1">{#N/A,#N/A,FALSE,"ENERGIA";#N/A,#N/A,FALSE,"PERDIDAS";#N/A,#N/A,FALSE,"CLIENTES";#N/A,#N/A,FALSE,"ESTADO";#N/A,#N/A,FALSE,"TECNICA"}</definedName>
    <definedName name="____ep1" hidden="1">{#N/A,#N/A,FALSE,"CONTROLE"}</definedName>
    <definedName name="____FT08" hidden="1">"3OYHDJRF05V1IN1D1R6C32J5E"</definedName>
    <definedName name="____r" hidden="1">{#N/A,#N/A,FALSE,"CONTROLE"}</definedName>
    <definedName name="____yh7" hidden="1">{#N/A,#N/A,FALSE,"CONTROLE";#N/A,#N/A,FALSE,"CONTROLE"}</definedName>
    <definedName name="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bb1" hidden="1">{#N/A,#N/A,FALSE,"ENERGIA";#N/A,#N/A,FALSE,"PERDIDAS";#N/A,#N/A,FALSE,"CLIENTES";#N/A,#N/A,FALSE,"ESTADO";#N/A,#N/A,FALSE,"TECNICA"}</definedName>
    <definedName name="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e1" hidden="1">{#N/A,#N/A,FALSE,"ENERGIA";#N/A,#N/A,FALSE,"PERDIDAS";#N/A,#N/A,FALSE,"CLIENTES";#N/A,#N/A,FALSE,"ESTADO";#N/A,#N/A,FALSE,"TECNICA"}</definedName>
    <definedName name="___FT08" hidden="1">"3OYHDJRF05V1IN1D1R6C32J5E"</definedName>
    <definedName name="___yh7" hidden="1">{#N/A,#N/A,FALSE,"CONTROLE";#N/A,#N/A,FALSE,"CONTROLE"}</definedName>
    <definedName name="__10__123Graph_ACHART_17" hidden="1">[1]GoEight!$B$115:$B$160</definedName>
    <definedName name="__11__123Graph_ACHART_18" hidden="1">[1]GrFour!$B$115:$B$185</definedName>
    <definedName name="__12__123Graph_ACHART_2" hidden="1">[1]Calc!$F$23:$F$58</definedName>
    <definedName name="__123Graph_A" localSheetId="8" hidden="1">[2]Mercado!#REF!</definedName>
    <definedName name="__123Graph_A" hidden="1">[2]Mercado!#REF!</definedName>
    <definedName name="__123Graph_ACOMPARA" localSheetId="8" hidden="1">[2]Mercado!#REF!</definedName>
    <definedName name="__123Graph_ACOMPARA" hidden="1">[2]Mercado!#REF!</definedName>
    <definedName name="__123Graph_ACONSMED" localSheetId="8" hidden="1">[2]Mercado!#REF!</definedName>
    <definedName name="__123Graph_ACONSMED" hidden="1">[2]Mercado!#REF!</definedName>
    <definedName name="__123Graph_ADIESEL" hidden="1">[3]Q3_4!#REF!</definedName>
    <definedName name="__123Graph_AESTRUT" hidden="1">[4]Q2_4!#REF!</definedName>
    <definedName name="__123Graph_AGERAL" localSheetId="8" hidden="1">[5]MENSAL!#REF!</definedName>
    <definedName name="__123Graph_AGERAL" hidden="1">[5]MENSAL!#REF!</definedName>
    <definedName name="__123Graph_AIGPM" localSheetId="8" hidden="1">[5]MENSAL!#REF!</definedName>
    <definedName name="__123Graph_AIGPM" hidden="1">[5]MENSAL!#REF!</definedName>
    <definedName name="__123Graph_AIND" localSheetId="8" hidden="1">[5]MENSAL!#REF!</definedName>
    <definedName name="__123Graph_AIND" hidden="1">[5]MENSAL!#REF!</definedName>
    <definedName name="__123Graph_AINDICES" localSheetId="8" hidden="1">[5]MENSAL!#REF!</definedName>
    <definedName name="__123Graph_AINDICES" hidden="1">[5]MENSAL!#REF!</definedName>
    <definedName name="__123Graph_AINFLACAO" localSheetId="8" hidden="1">[5]MENSAL!#REF!</definedName>
    <definedName name="__123Graph_AINFLACAO" hidden="1">[5]MENSAL!#REF!</definedName>
    <definedName name="__123Graph_APREVRCOM" localSheetId="19" hidden="1">#REF!</definedName>
    <definedName name="__123Graph_APREVRCOM" localSheetId="8" hidden="1">#REF!</definedName>
    <definedName name="__123Graph_APREVRCOM" hidden="1">#REF!</definedName>
    <definedName name="__123Graph_APREVREALI" localSheetId="19" hidden="1">#REF!</definedName>
    <definedName name="__123Graph_APREVREALI" localSheetId="8" hidden="1">#REF!</definedName>
    <definedName name="__123Graph_APREVREALI" hidden="1">#REF!</definedName>
    <definedName name="__123Graph_APREVRIND" localSheetId="19" hidden="1">#REF!</definedName>
    <definedName name="__123Graph_APREVRIND" localSheetId="8" hidden="1">#REF!</definedName>
    <definedName name="__123Graph_APREVRIND" hidden="1">#REF!</definedName>
    <definedName name="__123Graph_APREVROUT" localSheetId="19" hidden="1">[2]Mercado!#REF!</definedName>
    <definedName name="__123Graph_APREVROUT" localSheetId="8" hidden="1">[2]Mercado!#REF!</definedName>
    <definedName name="__123Graph_APREVROUT" hidden="1">[2]Mercado!#REF!</definedName>
    <definedName name="__123Graph_APREVRRES" localSheetId="19" hidden="1">#REF!</definedName>
    <definedName name="__123Graph_APREVRRES" localSheetId="8" hidden="1">#REF!</definedName>
    <definedName name="__123Graph_APREVRRES" hidden="1">#REF!</definedName>
    <definedName name="__123Graph_APREVRTOT" localSheetId="19" hidden="1">#REF!</definedName>
    <definedName name="__123Graph_APREVRTOT" localSheetId="8" hidden="1">#REF!</definedName>
    <definedName name="__123Graph_APREVRTOT" hidden="1">#REF!</definedName>
    <definedName name="__123Graph_B" localSheetId="19" hidden="1">#REF!</definedName>
    <definedName name="__123Graph_B" localSheetId="8" hidden="1">#REF!</definedName>
    <definedName name="__123Graph_B" hidden="1">#REF!</definedName>
    <definedName name="__123Graph_BCOMPARA" localSheetId="19" hidden="1">#REF!</definedName>
    <definedName name="__123Graph_BCOMPARA" localSheetId="8" hidden="1">#REF!</definedName>
    <definedName name="__123Graph_BCOMPARA" hidden="1">#REF!</definedName>
    <definedName name="__123Graph_BGAS" hidden="1">[6]Detail!#REF!</definedName>
    <definedName name="__123Graph_BGERAL" localSheetId="19" hidden="1">[5]MENSAL!#REF!</definedName>
    <definedName name="__123Graph_BGERAL" localSheetId="8" hidden="1">[5]MENSAL!#REF!</definedName>
    <definedName name="__123Graph_BGERAL" hidden="1">[5]MENSAL!#REF!</definedName>
    <definedName name="__123Graph_BIGPDI" localSheetId="19" hidden="1">[5]MENSAL!#REF!</definedName>
    <definedName name="__123Graph_BIGPDI" localSheetId="8" hidden="1">[5]MENSAL!#REF!</definedName>
    <definedName name="__123Graph_BIGPDI" hidden="1">[5]MENSAL!#REF!</definedName>
    <definedName name="__123Graph_BIND" localSheetId="8" hidden="1">[5]MENSAL!#REF!</definedName>
    <definedName name="__123Graph_BIND" hidden="1">[5]MENSAL!#REF!</definedName>
    <definedName name="__123Graph_BINDICES" localSheetId="8" hidden="1">[5]MENSAL!#REF!</definedName>
    <definedName name="__123Graph_BINDICES" hidden="1">[5]MENSAL!#REF!</definedName>
    <definedName name="__123Graph_BINFLACAO" localSheetId="8" hidden="1">[5]MENSAL!#REF!</definedName>
    <definedName name="__123Graph_BINFLACAO" hidden="1">[5]MENSAL!#REF!</definedName>
    <definedName name="__123Graph_BPREVREALI" localSheetId="19" hidden="1">#REF!</definedName>
    <definedName name="__123Graph_BPREVREALI" localSheetId="8" hidden="1">#REF!</definedName>
    <definedName name="__123Graph_BPREVREALI" hidden="1">#REF!</definedName>
    <definedName name="__123Graph_C" localSheetId="19" hidden="1">[5]MENSAL!#REF!</definedName>
    <definedName name="__123Graph_C" localSheetId="8" hidden="1">[5]MENSAL!#REF!</definedName>
    <definedName name="__123Graph_C" hidden="1">[5]MENSAL!#REF!</definedName>
    <definedName name="__123Graph_CGERAL" localSheetId="8" hidden="1">[5]MENSAL!#REF!</definedName>
    <definedName name="__123Graph_CGERAL" hidden="1">[5]MENSAL!#REF!</definedName>
    <definedName name="__123Graph_CIND" localSheetId="8" hidden="1">[5]MENSAL!#REF!</definedName>
    <definedName name="__123Graph_CIND" hidden="1">[5]MENSAL!#REF!</definedName>
    <definedName name="__123Graph_CINDICES" localSheetId="8" hidden="1">[5]MENSAL!#REF!</definedName>
    <definedName name="__123Graph_CINDICES" hidden="1">[5]MENSAL!#REF!</definedName>
    <definedName name="__123Graph_CINFLACAO" localSheetId="8" hidden="1">[5]MENSAL!#REF!</definedName>
    <definedName name="__123Graph_CINFLACAO" hidden="1">[5]MENSAL!#REF!</definedName>
    <definedName name="__123Graph_CINPC" localSheetId="8" hidden="1">[5]MENSAL!#REF!</definedName>
    <definedName name="__123Graph_CINPC" hidden="1">[5]MENSAL!#REF!</definedName>
    <definedName name="__123Graph_CPREVREALI" localSheetId="19" hidden="1">#REF!</definedName>
    <definedName name="__123Graph_CPREVREALI" localSheetId="8" hidden="1">#REF!</definedName>
    <definedName name="__123Graph_CPREVREALI" hidden="1">#REF!</definedName>
    <definedName name="__123Graph_D" localSheetId="19" hidden="1">#REF!</definedName>
    <definedName name="__123Graph_D" localSheetId="8" hidden="1">#REF!</definedName>
    <definedName name="__123Graph_D" hidden="1">#REF!</definedName>
    <definedName name="__123Graph_DCDI" localSheetId="19" hidden="1">[5]MENSAL!#REF!</definedName>
    <definedName name="__123Graph_DCDI" localSheetId="8" hidden="1">[5]MENSAL!#REF!</definedName>
    <definedName name="__123Graph_DCDI" hidden="1">[5]MENSAL!#REF!</definedName>
    <definedName name="__123Graph_DCOMPARA" localSheetId="19" hidden="1">#REF!</definedName>
    <definedName name="__123Graph_DCOMPARA" localSheetId="8" hidden="1">#REF!</definedName>
    <definedName name="__123Graph_DCOMPARA" hidden="1">#REF!</definedName>
    <definedName name="__123Graph_DGERAL" localSheetId="19" hidden="1">[5]MENSAL!#REF!</definedName>
    <definedName name="__123Graph_DGERAL" localSheetId="8" hidden="1">[5]MENSAL!#REF!</definedName>
    <definedName name="__123Graph_DGERAL" hidden="1">[5]MENSAL!#REF!</definedName>
    <definedName name="__123Graph_DIND" localSheetId="19" hidden="1">[5]MENSAL!#REF!</definedName>
    <definedName name="__123Graph_DIND" localSheetId="8" hidden="1">[5]MENSAL!#REF!</definedName>
    <definedName name="__123Graph_DIND" hidden="1">[5]MENSAL!#REF!</definedName>
    <definedName name="__123Graph_DINDICES" localSheetId="8" hidden="1">[5]MENSAL!#REF!</definedName>
    <definedName name="__123Graph_DINDICES" hidden="1">[5]MENSAL!#REF!</definedName>
    <definedName name="__123Graph_DINFLACAO" localSheetId="8" hidden="1">[5]MENSAL!#REF!</definedName>
    <definedName name="__123Graph_DINFLACAO" hidden="1">[5]MENSAL!#REF!</definedName>
    <definedName name="__123Graph_DIPA" localSheetId="8" hidden="1">[5]MENSAL!#REF!</definedName>
    <definedName name="__123Graph_DIPA" hidden="1">[5]MENSAL!#REF!</definedName>
    <definedName name="__123Graph_DPREVREALI" localSheetId="8" hidden="1">[2]Mercado!#REF!</definedName>
    <definedName name="__123Graph_DPREVREALI" hidden="1">[2]Mercado!#REF!</definedName>
    <definedName name="__123Graph_E" localSheetId="8" hidden="1">[5]MENSAL!#REF!</definedName>
    <definedName name="__123Graph_E" hidden="1">[5]MENSAL!#REF!</definedName>
    <definedName name="__123Graph_EGERAL" localSheetId="8" hidden="1">[5]MENSAL!#REF!</definedName>
    <definedName name="__123Graph_EGERAL" hidden="1">[5]MENSAL!#REF!</definedName>
    <definedName name="__123Graph_EIND" localSheetId="8" hidden="1">[5]MENSAL!#REF!</definedName>
    <definedName name="__123Graph_EIND" hidden="1">[5]MENSAL!#REF!</definedName>
    <definedName name="__123Graph_EINDICES" localSheetId="8" hidden="1">[5]MENSAL!#REF!</definedName>
    <definedName name="__123Graph_EINDICES" hidden="1">[5]MENSAL!#REF!</definedName>
    <definedName name="__123Graph_EINFLACAO" localSheetId="8" hidden="1">[5]MENSAL!#REF!</definedName>
    <definedName name="__123Graph_EINFLACAO" hidden="1">[5]MENSAL!#REF!</definedName>
    <definedName name="__123Graph_ELFT" localSheetId="8" hidden="1">[5]MENSAL!#REF!</definedName>
    <definedName name="__123Graph_ELFT" hidden="1">[5]MENSAL!#REF!</definedName>
    <definedName name="__123Graph_EPREVREALI" localSheetId="19" hidden="1">#REF!</definedName>
    <definedName name="__123Graph_EPREVREALI" localSheetId="8" hidden="1">#REF!</definedName>
    <definedName name="__123Graph_EPREVREALI" hidden="1">#REF!</definedName>
    <definedName name="__123Graph_F" localSheetId="19" hidden="1">#REF!</definedName>
    <definedName name="__123Graph_F" localSheetId="8" hidden="1">#REF!</definedName>
    <definedName name="__123Graph_F" hidden="1">#REF!</definedName>
    <definedName name="__123Graph_FCDI" localSheetId="19" hidden="1">[5]MENSAL!#REF!</definedName>
    <definedName name="__123Graph_FCDI" localSheetId="8" hidden="1">[5]MENSAL!#REF!</definedName>
    <definedName name="__123Graph_FCDI" hidden="1">[5]MENSAL!#REF!</definedName>
    <definedName name="__123Graph_FCOMPARA" localSheetId="19" hidden="1">#REF!</definedName>
    <definedName name="__123Graph_FCOMPARA" localSheetId="8" hidden="1">#REF!</definedName>
    <definedName name="__123Graph_FCOMPARA" hidden="1">#REF!</definedName>
    <definedName name="__123Graph_FGERAL" localSheetId="19" hidden="1">[5]MENSAL!#REF!</definedName>
    <definedName name="__123Graph_FGERAL" localSheetId="8" hidden="1">[5]MENSAL!#REF!</definedName>
    <definedName name="__123Graph_FGERAL" hidden="1">[5]MENSAL!#REF!</definedName>
    <definedName name="__123Graph_FIGPDI" localSheetId="19" hidden="1">[5]MENSAL!#REF!</definedName>
    <definedName name="__123Graph_FIGPDI" localSheetId="8" hidden="1">[5]MENSAL!#REF!</definedName>
    <definedName name="__123Graph_FIGPDI" hidden="1">[5]MENSAL!#REF!</definedName>
    <definedName name="__123Graph_FIGPM" localSheetId="8" hidden="1">[5]MENSAL!#REF!</definedName>
    <definedName name="__123Graph_FIGPM" hidden="1">[5]MENSAL!#REF!</definedName>
    <definedName name="__123Graph_FIND" localSheetId="8" hidden="1">[5]MENSAL!#REF!</definedName>
    <definedName name="__123Graph_FIND" hidden="1">[5]MENSAL!#REF!</definedName>
    <definedName name="__123Graph_FINFLACAO" localSheetId="8" hidden="1">[5]MENSAL!#REF!</definedName>
    <definedName name="__123Graph_FINFLACAO" hidden="1">[5]MENSAL!#REF!</definedName>
    <definedName name="__123Graph_FINPC" localSheetId="8" hidden="1">[5]MENSAL!#REF!</definedName>
    <definedName name="__123Graph_FINPC" hidden="1">[5]MENSAL!#REF!</definedName>
    <definedName name="__123Graph_FIPA" localSheetId="8" hidden="1">[5]MENSAL!#REF!</definedName>
    <definedName name="__123Graph_FIPA" hidden="1">[5]MENSAL!#REF!</definedName>
    <definedName name="__123Graph_FLFT" localSheetId="8" hidden="1">[5]MENSAL!#REF!</definedName>
    <definedName name="__123Graph_FLFT" hidden="1">[5]MENSAL!#REF!</definedName>
    <definedName name="__123Graph_LBL_A" hidden="1">[4]Q2_15!#REF!</definedName>
    <definedName name="__123Graph_LBL_ADIESEL" hidden="1">[3]Q3_4!#REF!</definedName>
    <definedName name="__123Graph_LBL_B" hidden="1">[4]Q2_15!#REF!</definedName>
    <definedName name="__123Graph_X" localSheetId="8" hidden="1">[5]MENSAL!#REF!</definedName>
    <definedName name="__123Graph_X" hidden="1">[5]MENSAL!#REF!</definedName>
    <definedName name="__123Graph_XCDI" localSheetId="8" hidden="1">[5]MENSAL!#REF!</definedName>
    <definedName name="__123Graph_XCDI" hidden="1">[5]MENSAL!#REF!</definedName>
    <definedName name="__123Graph_XCONSMED" localSheetId="8" hidden="1">[2]Mercado!#REF!</definedName>
    <definedName name="__123Graph_XCONSMED" hidden="1">[2]Mercado!#REF!</definedName>
    <definedName name="__123Graph_XELASTIC" localSheetId="8" hidden="1">[2]Mercado!#REF!</definedName>
    <definedName name="__123Graph_XELASTIC" hidden="1">[2]Mercado!#REF!</definedName>
    <definedName name="__123Graph_XESTRUT" hidden="1">[4]Q2_4!#REF!</definedName>
    <definedName name="__123Graph_XGERAL" localSheetId="8" hidden="1">[5]MENSAL!#REF!</definedName>
    <definedName name="__123Graph_XGERAL" hidden="1">[5]MENSAL!#REF!</definedName>
    <definedName name="__123Graph_XIGPDI" localSheetId="8" hidden="1">[5]MENSAL!#REF!</definedName>
    <definedName name="__123Graph_XIGPDI" hidden="1">[5]MENSAL!#REF!</definedName>
    <definedName name="__123Graph_XIGPM" localSheetId="8" hidden="1">[5]MENSAL!#REF!</definedName>
    <definedName name="__123Graph_XIGPM" hidden="1">[5]MENSAL!#REF!</definedName>
    <definedName name="__123Graph_XIND" localSheetId="8" hidden="1">[5]MENSAL!#REF!</definedName>
    <definedName name="__123Graph_XIND" hidden="1">[5]MENSAL!#REF!</definedName>
    <definedName name="__123Graph_XINDICES" localSheetId="8" hidden="1">[5]MENSAL!#REF!</definedName>
    <definedName name="__123Graph_XINDICES" hidden="1">[5]MENSAL!#REF!</definedName>
    <definedName name="__123Graph_XINFLACAO" localSheetId="8" hidden="1">[5]MENSAL!#REF!</definedName>
    <definedName name="__123Graph_XINFLACAO" hidden="1">[5]MENSAL!#REF!</definedName>
    <definedName name="__123Graph_XINPC" localSheetId="8" hidden="1">[5]MENSAL!#REF!</definedName>
    <definedName name="__123Graph_XINPC" hidden="1">[5]MENSAL!#REF!</definedName>
    <definedName name="__123Graph_XIPA" localSheetId="8" hidden="1">[5]MENSAL!#REF!</definedName>
    <definedName name="__123Graph_XIPA" hidden="1">[5]MENSAL!#REF!</definedName>
    <definedName name="__123Graph_XLFT" localSheetId="8" hidden="1">[5]MENSAL!#REF!</definedName>
    <definedName name="__123Graph_XLFT" hidden="1">[5]MENSAL!#REF!</definedName>
    <definedName name="__123Graph_XPREVRCOM" localSheetId="8" hidden="1">[2]Mercado!#REF!</definedName>
    <definedName name="__123Graph_XPREVRCOM" hidden="1">[2]Mercado!#REF!</definedName>
    <definedName name="__123Graph_XPREVREALI" localSheetId="8" hidden="1">[2]Mercado!#REF!</definedName>
    <definedName name="__123Graph_XPREVREALI" hidden="1">[2]Mercado!#REF!</definedName>
    <definedName name="__123Graph_XPREVRIND" localSheetId="8" hidden="1">[2]Mercado!#REF!</definedName>
    <definedName name="__123Graph_XPREVRIND" hidden="1">[2]Mercado!#REF!</definedName>
    <definedName name="__123Graph_XPREVROUT" localSheetId="8" hidden="1">[2]Mercado!#REF!</definedName>
    <definedName name="__123Graph_XPREVROUT" hidden="1">[2]Mercado!#REF!</definedName>
    <definedName name="__123Graph_XPREVRRES" localSheetId="8" hidden="1">[2]Mercado!#REF!</definedName>
    <definedName name="__123Graph_XPREVRRES" hidden="1">[2]Mercado!#REF!</definedName>
    <definedName name="__123Graph_XPREVRTOT" localSheetId="8" hidden="1">[2]Mercado!#REF!</definedName>
    <definedName name="__123Graph_XPREVRTOT" hidden="1">[2]Mercado!#REF!</definedName>
    <definedName name="__13__123Graph_ACHART_22" hidden="1">[1]MOne!$B$145:$B$231</definedName>
    <definedName name="__14__123Graph_ACHART_23" hidden="1">[1]MTwo!$B$145:$B$232</definedName>
    <definedName name="__15__123Graph_ACHART_24" hidden="1">[1]KOne!$B$230:$B$755</definedName>
    <definedName name="__16__123Graph_ACHART_25" hidden="1">[1]GoSeven!$B$90:$B$125</definedName>
    <definedName name="__17__123Graph_ACHART_26" hidden="1">[1]GrThree!$B$90:$B$140</definedName>
    <definedName name="__18__123Graph_ACHART_27" hidden="1">[1]HTwo!$B$88:$B$130</definedName>
    <definedName name="__19__123Graph_ACHART_28" hidden="1">[1]JOne!$B$86:$B$112</definedName>
    <definedName name="__2__123Graph_ACHART_1" hidden="1">[1]Calc!$D$38:$D$83</definedName>
    <definedName name="__20__123Graph_ACHART_29" hidden="1">[1]JTwo!$B$86:$B$116</definedName>
    <definedName name="__21__123Graph_ACHART_3" hidden="1">[1]Calc!$H$38:$H$107</definedName>
    <definedName name="__22__123Graph_ACHART_30" hidden="1">[1]HOne!$B$88:$B$130</definedName>
    <definedName name="__23__123Graph_ACHART_4" hidden="1">[1]Calc!$L$13:$L$53</definedName>
    <definedName name="__24__123Graph_ACHART_5" hidden="1">[1]Calc!$N$9:$N$36</definedName>
    <definedName name="__25__123Graph_ACHART_6" hidden="1">[1]Calc!$P$9:$P$41</definedName>
    <definedName name="__26__123Graph_ACHART_7" hidden="1">[1]Calc!$R$153:$R$688</definedName>
    <definedName name="__27__123Graph_ACHART_8" hidden="1">[1]Calc!$T$83:$T$153</definedName>
    <definedName name="__28__123Graph_ACHART_9" hidden="1">[1]Calc!$V$83:$V$153</definedName>
    <definedName name="__29__123Graph_BCHART_1" hidden="1">[1]Calc!$E$38:$E$83</definedName>
    <definedName name="__3__123Graph_ACHART_10" hidden="1">[1]Calc!$AB$153:$AB$325</definedName>
    <definedName name="__30__123Graph_BCHART_10" hidden="1">[1]Calc!$AC$153:$AC$325</definedName>
    <definedName name="__31__123Graph_BCHART_11" hidden="1">[1]Calc!$AA$153:$AA$315</definedName>
    <definedName name="__32__123Graph_BCHART_12" hidden="1">[1]Calc!$Y$153:$Y$313</definedName>
    <definedName name="__33__123Graph_BCHART_13" hidden="1">[1]Calc!$AE$10:$AE$33</definedName>
    <definedName name="__34__123Graph_BCHART_14" hidden="1">[1]Calc!$AI$10:$AI$28</definedName>
    <definedName name="__35__123Graph_BCHART_15" hidden="1">[1]Calc!$AK$8:$AK$19</definedName>
    <definedName name="__36__123Graph_BCHART_16" hidden="1">[1]Calc!$AM$8:$AM$21</definedName>
    <definedName name="__37__123Graph_BCHART_17" hidden="1">[1]GoEight!$C$115:$C$160</definedName>
    <definedName name="__38__123Graph_BCHART_18" hidden="1">[1]GrFour!$C$115:$C$190</definedName>
    <definedName name="__39__123Graph_BCHART_2" hidden="1">[1]Calc!$G$23:$G$58</definedName>
    <definedName name="__4__123Graph_ACHART_11" hidden="1">[1]Calc!$Z$153:$Z$315</definedName>
    <definedName name="__40__123Graph_BCHART_22" hidden="1">[1]MOne!$C$145:$C$231</definedName>
    <definedName name="__41__123Graph_BCHART_23" hidden="1">[1]MTwo!$C$145:$C$231</definedName>
    <definedName name="__42__123Graph_BCHART_24" hidden="1">[1]KOne!$C$230:$C$755</definedName>
    <definedName name="__43__123Graph_BCHART_25" hidden="1">[1]GoSeven!$C$90:$C$125</definedName>
    <definedName name="__44__123Graph_BCHART_26" hidden="1">[1]GrThree!$C$90:$C$140</definedName>
    <definedName name="__45__123Graph_BCHART_27" hidden="1">[1]HTwo!$C$88:$C$130</definedName>
    <definedName name="__46__123Graph_BCHART_28" hidden="1">[1]JOne!$C$86:$C$112</definedName>
    <definedName name="__47__123Graph_BCHART_29" hidden="1">[1]JTwo!$C$86:$C$116</definedName>
    <definedName name="__48__123Graph_BCHART_3" hidden="1">[1]Calc!$I$38:$I$107</definedName>
    <definedName name="__49__123Graph_BCHART_30" hidden="1">[1]HOne!$C$88:$C$130</definedName>
    <definedName name="__5__123Graph_ACHART_12" hidden="1">[1]Calc!$X$153:$X$313</definedName>
    <definedName name="__50__123Graph_BCHART_4" hidden="1">[1]Calc!$M$13:$M$53</definedName>
    <definedName name="__51__123Graph_BCHART_5" hidden="1">[1]Calc!$O$9:$O$36</definedName>
    <definedName name="__52__123Graph_BCHART_6" hidden="1">[1]Calc!$Q$9:$Q$41</definedName>
    <definedName name="__53__123Graph_BCHART_7" hidden="1">[1]Calc!$S$153:$S$688</definedName>
    <definedName name="__54__123Graph_BCHART_8" hidden="1">[1]Calc!$U$83:$U$153</definedName>
    <definedName name="__55__123Graph_BCHART_9" hidden="1">[1]Calc!$W$83:$W$153</definedName>
    <definedName name="__56__123Graph_CCHART_25" hidden="1">[1]GoSeven!$D$90:$D$105</definedName>
    <definedName name="__57__123Graph_CCHART_26" hidden="1">[1]GrThree!$D$90:$D$110</definedName>
    <definedName name="__58__123Graph_CCHART_27" hidden="1">[1]HTwo!$D$88:$D$110</definedName>
    <definedName name="__59__123Graph_CCHART_28" hidden="1">[1]JOne!$D$86:$D$98</definedName>
    <definedName name="__6__123Graph_ACHART_13" hidden="1">[1]Calc!$AD$10:$AD$33</definedName>
    <definedName name="__60__123Graph_CCHART_29" hidden="1">[1]JTwo!$D$86:$D$98</definedName>
    <definedName name="__61__123Graph_CCHART_30" hidden="1">[1]HOne!$D$88:$D$110</definedName>
    <definedName name="__62__123Graph_DCHART_25" hidden="1">[1]GoSeven!$E$90:$E$105</definedName>
    <definedName name="__63__123Graph_DCHART_26" hidden="1">[1]GrThree!$E$90:$E$110</definedName>
    <definedName name="__64__123Graph_DCHART_27" hidden="1">[1]HTwo!$E$88:$E$110</definedName>
    <definedName name="__65__123Graph_DCHART_28" hidden="1">[1]JOne!$E$86:$E$98</definedName>
    <definedName name="__66__123Graph_DCHART_29" hidden="1">[1]JTwo!$E$86:$E$98</definedName>
    <definedName name="__67__123Graph_DCHART_30" hidden="1">[1]HOne!$E$86:$E$110</definedName>
    <definedName name="__68__123Graph_XCHART_10" hidden="1">[1]Calc!$A$153:$A$325</definedName>
    <definedName name="__69__123Graph_XCHART_11" hidden="1">[1]Calc!$A$153:$A$315</definedName>
    <definedName name="__7__123Graph_ACHART_14" hidden="1">[1]Calc!$AH$10:$AH$28</definedName>
    <definedName name="__70__123Graph_XCHART_12" hidden="1">[1]Calc!$A$153:$A$313</definedName>
    <definedName name="__71__123Graph_XCHART_13" hidden="1">[1]Calc!$A$13:$A$33</definedName>
    <definedName name="__72__123Graph_XCHART_14" hidden="1">[1]Calc!$A$11:$A$28</definedName>
    <definedName name="__73__123Graph_XCHART_15" hidden="1">[1]Calc!$A$8:$A$19</definedName>
    <definedName name="__74__123Graph_XCHART_16" hidden="1">[1]Calc!$A$8:$A$21</definedName>
    <definedName name="__75__123Graph_XCHART_2" hidden="1">[1]Calc!$A$23:$A$58</definedName>
    <definedName name="__76__123Graph_XCHART_3" hidden="1">[1]Calc!$A$38:$A$107</definedName>
    <definedName name="__77__123Graph_XCHART_4" hidden="1">[1]Calc!$A$13:$A$53</definedName>
    <definedName name="__78__123Graph_XCHART_5" hidden="1">[1]Calc!$A$9:$A$36</definedName>
    <definedName name="__79__123Graph_XCHART_6" hidden="1">[1]Calc!$A$9:$A$41</definedName>
    <definedName name="__8__123Graph_ACHART_15" hidden="1">[1]Calc!$AJ$8:$AJ$19</definedName>
    <definedName name="__80__123Graph_XCHART_7" hidden="1">[1]Calc!$A$153:$A$688</definedName>
    <definedName name="__81__123Graph_XCHART_8" hidden="1">[1]Calc!$A$83:$A$154</definedName>
    <definedName name="__82__123Graph_XCHART_9" hidden="1">[1]Calc!$A$83:$A$153</definedName>
    <definedName name="__9__123Graph_ACHART_16" hidden="1">[1]Calc!$AL$8:$AL$21</definedName>
    <definedName name="__B1" hidden="1">{#N/A,#N/A,FALSE,"LLAVE";#N/A,#N/A,FALSE,"EERR";#N/A,#N/A,FALSE,"ESP";#N/A,#N/A,FALSE,"EOAF";#N/A,#N/A,FALSE,"CASH";#N/A,#N/A,FALSE,"FINANZAS";#N/A,#N/A,FALSE,"DEUDA";#N/A,#N/A,FALSE,"INVERSION";#N/A,#N/A,FALSE,"PERSONAL"}</definedName>
    <definedName name="__bb1" hidden="1">{#N/A,#N/A,FALSE,"ENERGIA";#N/A,#N/A,FALSE,"PERDIDAS";#N/A,#N/A,FALSE,"CLIENTES";#N/A,#N/A,FALSE,"ESTADO";#N/A,#N/A,FALSE,"TECNICA"}</definedName>
    <definedName name="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e1" hidden="1">{#N/A,#N/A,FALSE,"ENERGIA";#N/A,#N/A,FALSE,"PERDIDAS";#N/A,#N/A,FALSE,"CLIENTES";#N/A,#N/A,FALSE,"ESTADO";#N/A,#N/A,FALSE,"TECNICA"}</definedName>
    <definedName name="__ep1" hidden="1">{#N/A,#N/A,FALSE,"CONTROLE"}</definedName>
    <definedName name="__FT08" hidden="1">"3OYHDJRF05V1IN1D1R6C32J5E"</definedName>
    <definedName name="__r" hidden="1">{#N/A,#N/A,FALSE,"CONTROLE"}</definedName>
    <definedName name="__yh7" hidden="1">{#N/A,#N/A,FALSE,"CONTROLE";#N/A,#N/A,FALSE,"CONTROLE"}</definedName>
    <definedName name="_1___123Graph_ACHART_1" hidden="1">[1]Calc!$D$38:$D$83</definedName>
    <definedName name="_1__123Graph_ACHART_1" hidden="1">[1]Calc!$D$38:$D$83</definedName>
    <definedName name="_10___123Graph_ACHART_17" hidden="1">[1]GoEight!$B$115:$B$160</definedName>
    <definedName name="_10___123Graph_ACHART_18" hidden="1">[1]GrFour!$B$115:$B$185</definedName>
    <definedName name="_10__123Graph_ACHART_16" hidden="1">[1]Calc!$AL$8:$AL$21</definedName>
    <definedName name="_10__123Graph_ACHART_17" hidden="1">[1]GoEight!$B$115:$B$160</definedName>
    <definedName name="_10__123Graph_ACHART_18" hidden="1">[1]GrFour!$B$115:$B$185</definedName>
    <definedName name="_100__123Graph_ACHART_28" hidden="1">[1]JOne!$B$86:$B$112</definedName>
    <definedName name="_100__123Graph_ACHART_29" hidden="1">[1]JTwo!$B$86:$B$116</definedName>
    <definedName name="_101__123Graph_ACHART_29" hidden="1">[1]JTwo!$B$86:$B$116</definedName>
    <definedName name="_101__123Graph_ACHART_3" hidden="1">[1]Calc!$H$38:$H$107</definedName>
    <definedName name="_102__123Graph_ACHART_3" hidden="1">[1]Calc!$H$38:$H$107</definedName>
    <definedName name="_102__123Graph_ACHART_30" hidden="1">[1]HOne!$B$88:$B$130</definedName>
    <definedName name="_103__123Graph_ACHART_30" hidden="1">[1]HOne!$B$88:$B$130</definedName>
    <definedName name="_103__123Graph_ACHART_4" hidden="1">[1]Calc!$L$13:$L$53</definedName>
    <definedName name="_104__123Graph_ACHART_4" hidden="1">[1]Calc!$L$13:$L$53</definedName>
    <definedName name="_104__123Graph_ACHART_5" hidden="1">[1]Calc!$N$9:$N$36</definedName>
    <definedName name="_105__123Graph_ACHART_5" hidden="1">[1]Calc!$N$9:$N$36</definedName>
    <definedName name="_105__123Graph_ACHART_6" hidden="1">[1]Calc!$P$9:$P$41</definedName>
    <definedName name="_106__123Graph_ACHART_6" hidden="1">[1]Calc!$P$9:$P$41</definedName>
    <definedName name="_106__123Graph_ACHART_7" hidden="1">[1]Calc!$R$153:$R$688</definedName>
    <definedName name="_107__123Graph_ACHART_7" hidden="1">[1]Calc!$R$153:$R$688</definedName>
    <definedName name="_107__123Graph_ACHART_8" hidden="1">[1]Calc!$T$83:$T$153</definedName>
    <definedName name="_108__123Graph_ACHART_8" hidden="1">[1]Calc!$T$83:$T$153</definedName>
    <definedName name="_108__123Graph_ACHART_9" hidden="1">[1]Calc!$V$83:$V$153</definedName>
    <definedName name="_109__123Graph_ACHART_9" hidden="1">[1]Calc!$V$83:$V$153</definedName>
    <definedName name="_109__123Graph_AOPER_2" hidden="1">[4]Q2_2!#REF!</definedName>
    <definedName name="_11___123Graph_ACHART_18" hidden="1">[1]GrFour!$B$115:$B$185</definedName>
    <definedName name="_11___123Graph_ACHART_2" hidden="1">[1]Calc!$F$23:$F$58</definedName>
    <definedName name="_11__123Graph_ACHART_17" hidden="1">[1]GoEight!$B$115:$B$160</definedName>
    <definedName name="_11__123Graph_ACHART_18" hidden="1">[1]GrFour!$B$115:$B$185</definedName>
    <definedName name="_11__123Graph_ACHART_2" hidden="1">[1]Calc!$F$23:$F$58</definedName>
    <definedName name="_110__123Graph_BCHART_1" hidden="1">[1]Calc!$E$38:$E$83</definedName>
    <definedName name="_111__123Graph_BCHART_10" hidden="1">[1]Calc!$AC$153:$AC$325</definedName>
    <definedName name="_112__123Graph_AOPER_2" hidden="1">[4]Q2_2!#REF!</definedName>
    <definedName name="_112__123Graph_BCHART_11" hidden="1">[1]Calc!$AA$153:$AA$315</definedName>
    <definedName name="_113__123Graph_BCHART_1" hidden="1">[1]Calc!$E$38:$E$83</definedName>
    <definedName name="_113__123Graph_BCHART_12" hidden="1">[1]Calc!$Y$153:$Y$313</definedName>
    <definedName name="_114__123Graph_BCHART_1" hidden="1">[1]Calc!$E$38:$E$83</definedName>
    <definedName name="_114__123Graph_BCHART_10" hidden="1">[1]Calc!$AC$153:$AC$325</definedName>
    <definedName name="_114__123Graph_BCHART_13" hidden="1">[1]Calc!$AE$10:$AE$33</definedName>
    <definedName name="_115__123Graph_BCHART_10" hidden="1">[1]Calc!$AC$153:$AC$325</definedName>
    <definedName name="_115__123Graph_BCHART_11" hidden="1">[1]Calc!$AA$153:$AA$315</definedName>
    <definedName name="_115__123Graph_BCHART_14" hidden="1">[1]Calc!$AI$10:$AI$28</definedName>
    <definedName name="_116__123Graph_BCHART_11" hidden="1">[1]Calc!$AA$153:$AA$315</definedName>
    <definedName name="_116__123Graph_BCHART_12" hidden="1">[1]Calc!$Y$153:$Y$313</definedName>
    <definedName name="_116__123Graph_BCHART_15" hidden="1">[1]Calc!$AK$8:$AK$19</definedName>
    <definedName name="_117__123Graph_BCHART_12" hidden="1">[1]Calc!$Y$153:$Y$313</definedName>
    <definedName name="_117__123Graph_BCHART_13" hidden="1">[1]Calc!$AE$10:$AE$33</definedName>
    <definedName name="_117__123Graph_BCHART_16" hidden="1">[1]Calc!$AM$8:$AM$21</definedName>
    <definedName name="_118__123Graph_BCHART_13" hidden="1">[1]Calc!$AE$10:$AE$33</definedName>
    <definedName name="_118__123Graph_BCHART_14" hidden="1">[1]Calc!$AI$10:$AI$28</definedName>
    <definedName name="_118__123Graph_BCHART_17" hidden="1">[1]GoEight!$C$115:$C$160</definedName>
    <definedName name="_119__123Graph_BCHART_14" hidden="1">[1]Calc!$AI$10:$AI$28</definedName>
    <definedName name="_119__123Graph_BCHART_15" hidden="1">[1]Calc!$AK$8:$AK$19</definedName>
    <definedName name="_119__123Graph_BCHART_18" hidden="1">[1]GrFour!$C$115:$C$190</definedName>
    <definedName name="_12___123Graph_ACHART_2" hidden="1">[1]Calc!$F$23:$F$58</definedName>
    <definedName name="_12___123Graph_ACHART_22" hidden="1">[1]MOne!$B$145:$B$231</definedName>
    <definedName name="_12__123Graph_ACHART_18" hidden="1">[1]GrFour!$B$115:$B$185</definedName>
    <definedName name="_12__123Graph_ACHART_2" hidden="1">[1]Calc!$F$23:$F$58</definedName>
    <definedName name="_12__123Graph_ACHART_22" hidden="1">[1]MOne!$B$145:$B$231</definedName>
    <definedName name="_120__123Graph_BCHART_12" hidden="1">[1]Calc!$Y$153:$Y$313</definedName>
    <definedName name="_120__123Graph_BCHART_15" hidden="1">[1]Calc!$AK$8:$AK$19</definedName>
    <definedName name="_120__123Graph_BCHART_16" hidden="1">[1]Calc!$AM$8:$AM$21</definedName>
    <definedName name="_120__123Graph_BCHART_2" hidden="1">[1]Calc!$G$23:$G$58</definedName>
    <definedName name="_121__123Graph_BCHART_13" hidden="1">[1]Calc!$AE$10:$AE$33</definedName>
    <definedName name="_121__123Graph_BCHART_16" hidden="1">[1]Calc!$AM$8:$AM$21</definedName>
    <definedName name="_121__123Graph_BCHART_17" hidden="1">[1]GoEight!$C$115:$C$160</definedName>
    <definedName name="_121__123Graph_BCHART_22" hidden="1">[1]MOne!$C$145:$C$231</definedName>
    <definedName name="_122__123Graph_BCHART_14" hidden="1">[1]Calc!$AI$10:$AI$28</definedName>
    <definedName name="_122__123Graph_BCHART_17" hidden="1">[1]GoEight!$C$115:$C$160</definedName>
    <definedName name="_122__123Graph_BCHART_18" hidden="1">[1]GrFour!$C$115:$C$190</definedName>
    <definedName name="_122__123Graph_BCHART_23" hidden="1">[1]MTwo!$C$145:$C$231</definedName>
    <definedName name="_123__123Graph_BCHART_15" hidden="1">[1]Calc!$AK$8:$AK$19</definedName>
    <definedName name="_123__123Graph_BCHART_18" hidden="1">[1]GrFour!$C$115:$C$190</definedName>
    <definedName name="_123__123Graph_BCHART_2" hidden="1">[1]Calc!$G$23:$G$58</definedName>
    <definedName name="_123__123Graph_BCHART_24" hidden="1">[1]KOne!$C$230:$C$755</definedName>
    <definedName name="_124__123Graph_BCHART_16" hidden="1">[1]Calc!$AM$8:$AM$21</definedName>
    <definedName name="_124__123Graph_BCHART_2" hidden="1">[1]Calc!$G$23:$G$58</definedName>
    <definedName name="_124__123Graph_BCHART_22" hidden="1">[1]MOne!$C$145:$C$231</definedName>
    <definedName name="_124__123Graph_BCHART_25" hidden="1">[1]GoSeven!$C$90:$C$125</definedName>
    <definedName name="_125__123Graph_BCHART_17" hidden="1">[1]GoEight!$C$115:$C$160</definedName>
    <definedName name="_125__123Graph_BCHART_22" hidden="1">[1]MOne!$C$145:$C$231</definedName>
    <definedName name="_125__123Graph_BCHART_23" hidden="1">[1]MTwo!$C$145:$C$231</definedName>
    <definedName name="_125__123Graph_BCHART_26" hidden="1">[1]GrThree!$C$90:$C$140</definedName>
    <definedName name="_126__123Graph_BCHART_18" hidden="1">[1]GrFour!$C$115:$C$190</definedName>
    <definedName name="_126__123Graph_BCHART_23" hidden="1">[1]MTwo!$C$145:$C$231</definedName>
    <definedName name="_126__123Graph_BCHART_24" hidden="1">[1]KOne!$C$230:$C$755</definedName>
    <definedName name="_126__123Graph_BCHART_27" hidden="1">[1]HTwo!$C$88:$C$130</definedName>
    <definedName name="_127__123Graph_BCHART_2" hidden="1">[1]Calc!$G$23:$G$58</definedName>
    <definedName name="_127__123Graph_BCHART_24" hidden="1">[1]KOne!$C$230:$C$755</definedName>
    <definedName name="_127__123Graph_BCHART_25" hidden="1">[1]GoSeven!$C$90:$C$125</definedName>
    <definedName name="_127__123Graph_BCHART_28" hidden="1">[1]JOne!$C$86:$C$112</definedName>
    <definedName name="_128__123Graph_BCHART_22" hidden="1">[1]MOne!$C$145:$C$231</definedName>
    <definedName name="_128__123Graph_BCHART_25" hidden="1">[1]GoSeven!$C$90:$C$125</definedName>
    <definedName name="_128__123Graph_BCHART_26" hidden="1">[1]GrThree!$C$90:$C$140</definedName>
    <definedName name="_128__123Graph_BCHART_29" hidden="1">[1]JTwo!$C$86:$C$116</definedName>
    <definedName name="_129__123Graph_BCHART_23" hidden="1">[1]MTwo!$C$145:$C$231</definedName>
    <definedName name="_129__123Graph_BCHART_26" hidden="1">[1]GrThree!$C$90:$C$140</definedName>
    <definedName name="_129__123Graph_BCHART_27" hidden="1">[1]HTwo!$C$88:$C$130</definedName>
    <definedName name="_129__123Graph_BCHART_3" hidden="1">[1]Calc!$I$38:$I$107</definedName>
    <definedName name="_13___123Graph_ACHART_22" hidden="1">[1]MOne!$B$145:$B$231</definedName>
    <definedName name="_13___123Graph_ACHART_23" hidden="1">[1]MTwo!$B$145:$B$232</definedName>
    <definedName name="_13__123Graph_ACHART_2" hidden="1">[1]Calc!$F$23:$F$58</definedName>
    <definedName name="_13__123Graph_ACHART_22" hidden="1">[1]MOne!$B$145:$B$231</definedName>
    <definedName name="_13__123Graph_ACHART_23" hidden="1">[1]MTwo!$B$145:$B$232</definedName>
    <definedName name="_130__123Graph_BCHART_24" hidden="1">[1]KOne!$C$230:$C$755</definedName>
    <definedName name="_130__123Graph_BCHART_27" hidden="1">[1]HTwo!$C$88:$C$130</definedName>
    <definedName name="_130__123Graph_BCHART_28" hidden="1">[1]JOne!$C$86:$C$112</definedName>
    <definedName name="_130__123Graph_BCHART_30" hidden="1">[1]HOne!$C$88:$C$130</definedName>
    <definedName name="_131__123Graph_BCHART_25" hidden="1">[1]GoSeven!$C$90:$C$125</definedName>
    <definedName name="_131__123Graph_BCHART_28" hidden="1">[1]JOne!$C$86:$C$112</definedName>
    <definedName name="_131__123Graph_BCHART_29" hidden="1">[1]JTwo!$C$86:$C$116</definedName>
    <definedName name="_131__123Graph_BCHART_4" hidden="1">[1]Calc!$M$13:$M$53</definedName>
    <definedName name="_132__123Graph_BCHART_26" hidden="1">[1]GrThree!$C$90:$C$140</definedName>
    <definedName name="_132__123Graph_BCHART_29" hidden="1">[1]JTwo!$C$86:$C$116</definedName>
    <definedName name="_132__123Graph_BCHART_3" hidden="1">[1]Calc!$I$38:$I$107</definedName>
    <definedName name="_132__123Graph_BCHART_5" hidden="1">[1]Calc!$O$9:$O$36</definedName>
    <definedName name="_133__123Graph_BCHART_27" hidden="1">[1]HTwo!$C$88:$C$130</definedName>
    <definedName name="_133__123Graph_BCHART_3" hidden="1">[1]Calc!$I$38:$I$107</definedName>
    <definedName name="_133__123Graph_BCHART_30" hidden="1">[1]HOne!$C$88:$C$130</definedName>
    <definedName name="_133__123Graph_BCHART_6" hidden="1">[1]Calc!$Q$9:$Q$41</definedName>
    <definedName name="_134__123Graph_BCHART_28" hidden="1">[1]JOne!$C$86:$C$112</definedName>
    <definedName name="_134__123Graph_BCHART_30" hidden="1">[1]HOne!$C$88:$C$130</definedName>
    <definedName name="_134__123Graph_BCHART_4" hidden="1">[1]Calc!$M$13:$M$53</definedName>
    <definedName name="_134__123Graph_BCHART_7" hidden="1">[1]Calc!$S$153:$S$688</definedName>
    <definedName name="_135__123Graph_BCHART_29" hidden="1">[1]JTwo!$C$86:$C$116</definedName>
    <definedName name="_135__123Graph_BCHART_4" hidden="1">[1]Calc!$M$13:$M$53</definedName>
    <definedName name="_135__123Graph_BCHART_5" hidden="1">[1]Calc!$O$9:$O$36</definedName>
    <definedName name="_135__123Graph_BCHART_8" hidden="1">[1]Calc!$U$83:$U$153</definedName>
    <definedName name="_136__123Graph_BCHART_3" hidden="1">[1]Calc!$I$38:$I$107</definedName>
    <definedName name="_136__123Graph_BCHART_5" hidden="1">[1]Calc!$O$9:$O$36</definedName>
    <definedName name="_136__123Graph_BCHART_6" hidden="1">[1]Calc!$Q$9:$Q$41</definedName>
    <definedName name="_136__123Graph_BCHART_9" hidden="1">[1]Calc!$W$83:$W$153</definedName>
    <definedName name="_137__123Graph_BCHART_30" hidden="1">[1]HOne!$C$88:$C$130</definedName>
    <definedName name="_137__123Graph_BCHART_6" hidden="1">[1]Calc!$Q$9:$Q$41</definedName>
    <definedName name="_137__123Graph_BCHART_7" hidden="1">[1]Calc!$S$153:$S$688</definedName>
    <definedName name="_137__123Graph_CCHART_25" hidden="1">[1]GoSeven!$D$90:$D$105</definedName>
    <definedName name="_138__123Graph_BCHART_4" hidden="1">[1]Calc!$M$13:$M$53</definedName>
    <definedName name="_138__123Graph_BCHART_7" hidden="1">[1]Calc!$S$153:$S$688</definedName>
    <definedName name="_138__123Graph_BCHART_8" hidden="1">[1]Calc!$U$83:$U$153</definedName>
    <definedName name="_138__123Graph_CCHART_26" hidden="1">[1]GrThree!$D$90:$D$110</definedName>
    <definedName name="_139__123Graph_BCHART_5" hidden="1">[1]Calc!$O$9:$O$36</definedName>
    <definedName name="_139__123Graph_BCHART_8" hidden="1">[1]Calc!$U$83:$U$153</definedName>
    <definedName name="_139__123Graph_BCHART_9" hidden="1">[1]Calc!$W$83:$W$153</definedName>
    <definedName name="_139__123Graph_CCHART_27" hidden="1">[1]HTwo!$D$88:$D$110</definedName>
    <definedName name="_14___123Graph_ACHART_23" hidden="1">[1]MTwo!$B$145:$B$232</definedName>
    <definedName name="_14___123Graph_ACHART_24" hidden="1">[1]KOne!$B$230:$B$755</definedName>
    <definedName name="_14__123Graph_ACHART_22" hidden="1">[1]MOne!$B$145:$B$231</definedName>
    <definedName name="_14__123Graph_ACHART_23" hidden="1">[1]MTwo!$B$145:$B$232</definedName>
    <definedName name="_14__123Graph_ACHART_24" hidden="1">[1]KOne!$B$230:$B$755</definedName>
    <definedName name="_140__123Graph_BCHART_6" hidden="1">[1]Calc!$Q$9:$Q$41</definedName>
    <definedName name="_140__123Graph_BCHART_9" hidden="1">[1]Calc!$W$83:$W$153</definedName>
    <definedName name="_140__123Graph_CCHART_25" hidden="1">[1]GoSeven!$D$90:$D$105</definedName>
    <definedName name="_140__123Graph_CCHART_28" hidden="1">[1]JOne!$D$86:$D$98</definedName>
    <definedName name="_141__123Graph_BCHART_7" hidden="1">[1]Calc!$S$153:$S$688</definedName>
    <definedName name="_141__123Graph_CCHART_25" hidden="1">[1]GoSeven!$D$90:$D$105</definedName>
    <definedName name="_141__123Graph_CCHART_26" hidden="1">[1]GrThree!$D$90:$D$110</definedName>
    <definedName name="_141__123Graph_CCHART_29" hidden="1">[1]JTwo!$D$86:$D$98</definedName>
    <definedName name="_142__123Graph_BCHART_8" hidden="1">[1]Calc!$U$83:$U$153</definedName>
    <definedName name="_142__123Graph_CCHART_26" hidden="1">[1]GrThree!$D$90:$D$110</definedName>
    <definedName name="_142__123Graph_CCHART_27" hidden="1">[1]HTwo!$D$88:$D$110</definedName>
    <definedName name="_142__123Graph_CCHART_30" hidden="1">[1]HOne!$D$88:$D$110</definedName>
    <definedName name="_143__123Graph_BCHART_9" hidden="1">[1]Calc!$W$83:$W$153</definedName>
    <definedName name="_143__123Graph_CCHART_27" hidden="1">[1]HTwo!$D$88:$D$110</definedName>
    <definedName name="_143__123Graph_CCHART_28" hidden="1">[1]JOne!$D$86:$D$98</definedName>
    <definedName name="_143__123Graph_DCHART_25" hidden="1">[1]GoSeven!$E$90:$E$105</definedName>
    <definedName name="_144__123Graph_CCHART_25" hidden="1">[1]GoSeven!$D$90:$D$105</definedName>
    <definedName name="_144__123Graph_CCHART_28" hidden="1">[1]JOne!$D$86:$D$98</definedName>
    <definedName name="_144__123Graph_CCHART_29" hidden="1">[1]JTwo!$D$86:$D$98</definedName>
    <definedName name="_144__123Graph_DCHART_26" hidden="1">[1]GrThree!$E$90:$E$110</definedName>
    <definedName name="_145__123Graph_CCHART_26" hidden="1">[1]GrThree!$D$90:$D$110</definedName>
    <definedName name="_145__123Graph_CCHART_29" hidden="1">[1]JTwo!$D$86:$D$98</definedName>
    <definedName name="_145__123Graph_CCHART_30" hidden="1">[1]HOne!$D$88:$D$110</definedName>
    <definedName name="_145__123Graph_DCHART_27" hidden="1">[1]HTwo!$E$88:$E$110</definedName>
    <definedName name="_146__123Graph_CCHART_27" hidden="1">[1]HTwo!$D$88:$D$110</definedName>
    <definedName name="_146__123Graph_CCHART_30" hidden="1">[1]HOne!$D$88:$D$110</definedName>
    <definedName name="_146__123Graph_DCHART_25" hidden="1">[1]GoSeven!$E$90:$E$105</definedName>
    <definedName name="_146__123Graph_DCHART_28" hidden="1">[1]JOne!$E$86:$E$98</definedName>
    <definedName name="_147__123Graph_CCHART_28" hidden="1">[1]JOne!$D$86:$D$98</definedName>
    <definedName name="_147__123Graph_DCHART_25" hidden="1">[1]GoSeven!$E$90:$E$105</definedName>
    <definedName name="_147__123Graph_DCHART_26" hidden="1">[1]GrThree!$E$90:$E$110</definedName>
    <definedName name="_147__123Graph_DCHART_29" hidden="1">[1]JTwo!$E$86:$E$98</definedName>
    <definedName name="_148__123Graph_CCHART_29" hidden="1">[1]JTwo!$D$86:$D$98</definedName>
    <definedName name="_148__123Graph_DCHART_26" hidden="1">[1]GrThree!$E$90:$E$110</definedName>
    <definedName name="_148__123Graph_DCHART_27" hidden="1">[1]HTwo!$E$88:$E$110</definedName>
    <definedName name="_148__123Graph_DCHART_30" hidden="1">[1]HOne!$E$86:$E$110</definedName>
    <definedName name="_149__123Graph_CCHART_30" hidden="1">[1]HOne!$D$88:$D$110</definedName>
    <definedName name="_149__123Graph_DCHART_27" hidden="1">[1]HTwo!$E$88:$E$110</definedName>
    <definedName name="_149__123Graph_DCHART_28" hidden="1">[1]JOne!$E$86:$E$98</definedName>
    <definedName name="_149__123Graph_XCHART_10" hidden="1">[1]Calc!$A$153:$A$325</definedName>
    <definedName name="_15___123Graph_ACHART_24" hidden="1">[1]KOne!$B$230:$B$755</definedName>
    <definedName name="_15___123Graph_ACHART_25" hidden="1">[1]GoSeven!$B$90:$B$125</definedName>
    <definedName name="_15__123Graph_ACHART_23" hidden="1">[1]MTwo!$B$145:$B$232</definedName>
    <definedName name="_15__123Graph_ACHART_24" hidden="1">[1]KOne!$B$230:$B$755</definedName>
    <definedName name="_15__123Graph_ACHART_25" hidden="1">[1]GoSeven!$B$90:$B$125</definedName>
    <definedName name="_150__123Graph_DCHART_25" hidden="1">[1]GoSeven!$E$90:$E$105</definedName>
    <definedName name="_150__123Graph_DCHART_28" hidden="1">[1]JOne!$E$86:$E$98</definedName>
    <definedName name="_150__123Graph_DCHART_29" hidden="1">[1]JTwo!$E$86:$E$98</definedName>
    <definedName name="_150__123Graph_XCHART_11" hidden="1">[1]Calc!$A$153:$A$315</definedName>
    <definedName name="_151__123Graph_DCHART_26" hidden="1">[1]GrThree!$E$90:$E$110</definedName>
    <definedName name="_151__123Graph_DCHART_29" hidden="1">[1]JTwo!$E$86:$E$98</definedName>
    <definedName name="_151__123Graph_DCHART_30" hidden="1">[1]HOne!$E$86:$E$110</definedName>
    <definedName name="_151__123Graph_XCHART_12" hidden="1">[1]Calc!$A$153:$A$313</definedName>
    <definedName name="_152__123Graph_DCHART_27" hidden="1">[1]HTwo!$E$88:$E$110</definedName>
    <definedName name="_152__123Graph_DCHART_30" hidden="1">[1]HOne!$E$86:$E$110</definedName>
    <definedName name="_152__123Graph_XCHART_10" hidden="1">[1]Calc!$A$153:$A$325</definedName>
    <definedName name="_152__123Graph_XCHART_13" hidden="1">[1]Calc!$A$13:$A$33</definedName>
    <definedName name="_153__123Graph_DCHART_28" hidden="1">[1]JOne!$E$86:$E$98</definedName>
    <definedName name="_153__123Graph_XCHART_10" hidden="1">[1]Calc!$A$153:$A$325</definedName>
    <definedName name="_153__123Graph_XCHART_11" hidden="1">[1]Calc!$A$153:$A$315</definedName>
    <definedName name="_153__123Graph_XCHART_14" hidden="1">[1]Calc!$A$11:$A$28</definedName>
    <definedName name="_154__123Graph_DCHART_29" hidden="1">[1]JTwo!$E$86:$E$98</definedName>
    <definedName name="_154__123Graph_XCHART_11" hidden="1">[1]Calc!$A$153:$A$315</definedName>
    <definedName name="_154__123Graph_XCHART_12" hidden="1">[1]Calc!$A$153:$A$313</definedName>
    <definedName name="_154__123Graph_XCHART_15" hidden="1">[1]Calc!$A$8:$A$19</definedName>
    <definedName name="_155__123Graph_DCHART_30" hidden="1">[1]HOne!$E$86:$E$110</definedName>
    <definedName name="_155__123Graph_XCHART_12" hidden="1">[1]Calc!$A$153:$A$313</definedName>
    <definedName name="_155__123Graph_XCHART_13" hidden="1">[1]Calc!$A$13:$A$33</definedName>
    <definedName name="_155__123Graph_XCHART_16" hidden="1">[1]Calc!$A$8:$A$21</definedName>
    <definedName name="_156__123Graph_XCHART_10" hidden="1">[1]Calc!$A$153:$A$325</definedName>
    <definedName name="_156__123Graph_XCHART_13" hidden="1">[1]Calc!$A$13:$A$33</definedName>
    <definedName name="_156__123Graph_XCHART_14" hidden="1">[1]Calc!$A$11:$A$28</definedName>
    <definedName name="_156__123Graph_XCHART_2" hidden="1">[1]Calc!$A$23:$A$58</definedName>
    <definedName name="_157__123Graph_XCHART_11" hidden="1">[1]Calc!$A$153:$A$315</definedName>
    <definedName name="_157__123Graph_XCHART_14" hidden="1">[1]Calc!$A$11:$A$28</definedName>
    <definedName name="_157__123Graph_XCHART_15" hidden="1">[1]Calc!$A$8:$A$19</definedName>
    <definedName name="_157__123Graph_XCHART_3" hidden="1">[1]Calc!$A$38:$A$107</definedName>
    <definedName name="_158__123Graph_XCHART_12" hidden="1">[1]Calc!$A$153:$A$313</definedName>
    <definedName name="_158__123Graph_XCHART_15" hidden="1">[1]Calc!$A$8:$A$19</definedName>
    <definedName name="_158__123Graph_XCHART_16" hidden="1">[1]Calc!$A$8:$A$21</definedName>
    <definedName name="_158__123Graph_XCHART_4" hidden="1">[1]Calc!$A$13:$A$53</definedName>
    <definedName name="_159__123Graph_XCHART_13" hidden="1">[1]Calc!$A$13:$A$33</definedName>
    <definedName name="_159__123Graph_XCHART_16" hidden="1">[1]Calc!$A$8:$A$21</definedName>
    <definedName name="_159__123Graph_XCHART_2" hidden="1">[1]Calc!$A$23:$A$58</definedName>
    <definedName name="_159__123Graph_XCHART_5" hidden="1">[1]Calc!$A$9:$A$36</definedName>
    <definedName name="_16___123Graph_ACHART_25" hidden="1">[1]GoSeven!$B$90:$B$125</definedName>
    <definedName name="_16___123Graph_ACHART_26" hidden="1">[1]GrThree!$B$90:$B$140</definedName>
    <definedName name="_16__123Graph_ACHART_24" hidden="1">[1]KOne!$B$230:$B$755</definedName>
    <definedName name="_16__123Graph_ACHART_25" hidden="1">[1]GoSeven!$B$90:$B$125</definedName>
    <definedName name="_16__123Graph_ACHART_26" hidden="1">[1]GrThree!$B$90:$B$140</definedName>
    <definedName name="_160__123Graph_XCHART_14" hidden="1">[1]Calc!$A$11:$A$28</definedName>
    <definedName name="_160__123Graph_XCHART_2" hidden="1">[1]Calc!$A$23:$A$58</definedName>
    <definedName name="_160__123Graph_XCHART_3" hidden="1">[1]Calc!$A$38:$A$107</definedName>
    <definedName name="_160__123Graph_XCHART_6" hidden="1">[1]Calc!$A$9:$A$41</definedName>
    <definedName name="_161__123Graph_XCHART_15" hidden="1">[1]Calc!$A$8:$A$19</definedName>
    <definedName name="_161__123Graph_XCHART_3" hidden="1">[1]Calc!$A$38:$A$107</definedName>
    <definedName name="_161__123Graph_XCHART_4" hidden="1">[1]Calc!$A$13:$A$53</definedName>
    <definedName name="_161__123Graph_XCHART_7" hidden="1">[1]Calc!$A$153:$A$688</definedName>
    <definedName name="_162__123Graph_XCHART_16" hidden="1">[1]Calc!$A$8:$A$21</definedName>
    <definedName name="_162__123Graph_XCHART_4" hidden="1">[1]Calc!$A$13:$A$53</definedName>
    <definedName name="_162__123Graph_XCHART_5" hidden="1">[1]Calc!$A$9:$A$36</definedName>
    <definedName name="_162__123Graph_XCHART_8" hidden="1">[1]Calc!$A$83:$A$154</definedName>
    <definedName name="_163__123Graph_XCHART_2" hidden="1">[1]Calc!$A$23:$A$58</definedName>
    <definedName name="_163__123Graph_XCHART_5" hidden="1">[1]Calc!$A$9:$A$36</definedName>
    <definedName name="_163__123Graph_XCHART_6" hidden="1">[1]Calc!$A$9:$A$41</definedName>
    <definedName name="_163__123Graph_XCHART_9" hidden="1">[1]Calc!$A$83:$A$153</definedName>
    <definedName name="_164__123Graph_XCHART_3" hidden="1">[1]Calc!$A$38:$A$107</definedName>
    <definedName name="_164__123Graph_XCHART_6" hidden="1">[1]Calc!$A$9:$A$41</definedName>
    <definedName name="_164__123Graph_XCHART_7" hidden="1">[1]Calc!$A$153:$A$688</definedName>
    <definedName name="_164__123Graph_XOPER_2" hidden="1">[4]Q2_2!#REF!</definedName>
    <definedName name="_165__123Graph_XCHART_4" hidden="1">[1]Calc!$A$13:$A$53</definedName>
    <definedName name="_165__123Graph_XCHART_7" hidden="1">[1]Calc!$A$153:$A$688</definedName>
    <definedName name="_165__123Graph_XCHART_8" hidden="1">[1]Calc!$A$83:$A$154</definedName>
    <definedName name="_166__123Graph_XCHART_5" hidden="1">[1]Calc!$A$9:$A$36</definedName>
    <definedName name="_166__123Graph_XCHART_8" hidden="1">[1]Calc!$A$83:$A$154</definedName>
    <definedName name="_166__123Graph_XCHART_9" hidden="1">[1]Calc!$A$83:$A$153</definedName>
    <definedName name="_167__123Graph_XCHART_6" hidden="1">[1]Calc!$A$9:$A$41</definedName>
    <definedName name="_167__123Graph_XCHART_9" hidden="1">[1]Calc!$A$83:$A$153</definedName>
    <definedName name="_168__123Graph_XCHART_7" hidden="1">[1]Calc!$A$153:$A$688</definedName>
    <definedName name="_169__123Graph_XCHART_8" hidden="1">[1]Calc!$A$83:$A$154</definedName>
    <definedName name="_169__123Graph_XOPER_2" hidden="1">[4]Q2_2!#REF!</definedName>
    <definedName name="_17___123Graph_ACHART_26" hidden="1">[1]GrThree!$B$90:$B$140</definedName>
    <definedName name="_17___123Graph_ACHART_27" hidden="1">[1]HTwo!$B$88:$B$130</definedName>
    <definedName name="_17__123Graph_ACHART_25" hidden="1">[1]GoSeven!$B$90:$B$125</definedName>
    <definedName name="_17__123Graph_ACHART_26" hidden="1">[1]GrThree!$B$90:$B$140</definedName>
    <definedName name="_17__123Graph_ACHART_27" hidden="1">[1]HTwo!$B$88:$B$130</definedName>
    <definedName name="_170__123Graph_XCHART_9" hidden="1">[1]Calc!$A$83:$A$153</definedName>
    <definedName name="_18___123Graph_ACHART_27" hidden="1">[1]HTwo!$B$88:$B$130</definedName>
    <definedName name="_18___123Graph_ACHART_28" hidden="1">[1]JOne!$B$86:$B$112</definedName>
    <definedName name="_18__123Graph_ACHART_26" hidden="1">[1]GrThree!$B$90:$B$140</definedName>
    <definedName name="_18__123Graph_ACHART_27" hidden="1">[1]HTwo!$B$88:$B$130</definedName>
    <definedName name="_18__123Graph_ACHART_28" hidden="1">[1]JOne!$B$86:$B$112</definedName>
    <definedName name="_19___123Graph_ACHART_28" hidden="1">[1]JOne!$B$86:$B$112</definedName>
    <definedName name="_19___123Graph_ACHART_29" hidden="1">[1]JTwo!$B$86:$B$116</definedName>
    <definedName name="_19__123Graph_ACHART_27" hidden="1">[1]HTwo!$B$88:$B$130</definedName>
    <definedName name="_19__123Graph_ACHART_28" hidden="1">[1]JOne!$B$86:$B$112</definedName>
    <definedName name="_19__123Graph_ACHART_29" hidden="1">[1]JTwo!$B$86:$B$116</definedName>
    <definedName name="_2___123Graph_ACHART_1" hidden="1">[1]Calc!$D$38:$D$83</definedName>
    <definedName name="_2___123Graph_ACHART_10" hidden="1">[1]Calc!$AB$153:$AB$325</definedName>
    <definedName name="_2__123Graph_ACHART_1" hidden="1">[1]Calc!$D$38:$D$83</definedName>
    <definedName name="_2__123Graph_ACHART_10" hidden="1">[1]Calc!$AB$153:$AB$325</definedName>
    <definedName name="_20___123Graph_ACHART_29" hidden="1">[1]JTwo!$B$86:$B$116</definedName>
    <definedName name="_20___123Graph_ACHART_3" hidden="1">[1]Calc!$H$38:$H$107</definedName>
    <definedName name="_20__123Graph_ACHART_28" hidden="1">[1]JOne!$B$86:$B$112</definedName>
    <definedName name="_20__123Graph_ACHART_29" hidden="1">[1]JTwo!$B$86:$B$116</definedName>
    <definedName name="_20__123Graph_ACHART_3" hidden="1">[1]Calc!$H$38:$H$107</definedName>
    <definedName name="_21___123Graph_ACHART_3" hidden="1">[1]Calc!$H$38:$H$107</definedName>
    <definedName name="_21___123Graph_ACHART_30" hidden="1">[1]HOne!$B$88:$B$130</definedName>
    <definedName name="_21__123Graph_ACHART_29" hidden="1">[1]JTwo!$B$86:$B$116</definedName>
    <definedName name="_21__123Graph_ACHART_3" hidden="1">[1]Calc!$H$38:$H$107</definedName>
    <definedName name="_21__123Graph_ACHART_30" hidden="1">[1]HOne!$B$88:$B$130</definedName>
    <definedName name="_22___123Graph_ACHART_30" hidden="1">[1]HOne!$B$88:$B$130</definedName>
    <definedName name="_22___123Graph_ACHART_4" hidden="1">[1]Calc!$L$13:$L$53</definedName>
    <definedName name="_22__123Graph_ACHART_3" hidden="1">[1]Calc!$H$38:$H$107</definedName>
    <definedName name="_22__123Graph_ACHART_30" hidden="1">[1]HOne!$B$88:$B$130</definedName>
    <definedName name="_22__123Graph_ACHART_4" hidden="1">[1]Calc!$L$13:$L$53</definedName>
    <definedName name="_23___123Graph_ACHART_4" hidden="1">[1]Calc!$L$13:$L$53</definedName>
    <definedName name="_23___123Graph_ACHART_5" hidden="1">[1]Calc!$N$9:$N$36</definedName>
    <definedName name="_23__123Graph_ACHART_30" hidden="1">[1]HOne!$B$88:$B$130</definedName>
    <definedName name="_23__123Graph_ACHART_4" hidden="1">[1]Calc!$L$13:$L$53</definedName>
    <definedName name="_23__123Graph_ACHART_5" hidden="1">[1]Calc!$N$9:$N$36</definedName>
    <definedName name="_24___123Graph_ACHART_5" hidden="1">[1]Calc!$N$9:$N$36</definedName>
    <definedName name="_24___123Graph_ACHART_6" hidden="1">[1]Calc!$P$9:$P$41</definedName>
    <definedName name="_24__123Graph_ACHART_4" hidden="1">[1]Calc!$L$13:$L$53</definedName>
    <definedName name="_24__123Graph_ACHART_5" hidden="1">[1]Calc!$N$9:$N$36</definedName>
    <definedName name="_24__123Graph_ACHART_6" hidden="1">[1]Calc!$P$9:$P$41</definedName>
    <definedName name="_25___123Graph_ACHART_6" hidden="1">[1]Calc!$P$9:$P$41</definedName>
    <definedName name="_25___123Graph_ACHART_7" hidden="1">[1]Calc!$R$153:$R$688</definedName>
    <definedName name="_25__123Graph_ACHART_5" hidden="1">[1]Calc!$N$9:$N$36</definedName>
    <definedName name="_25__123Graph_ACHART_6" hidden="1">[1]Calc!$P$9:$P$41</definedName>
    <definedName name="_25__123Graph_ACHART_7" hidden="1">[1]Calc!$R$153:$R$688</definedName>
    <definedName name="_26___123Graph_ACHART_7" hidden="1">[1]Calc!$R$153:$R$688</definedName>
    <definedName name="_26___123Graph_ACHART_8" hidden="1">[1]Calc!$T$83:$T$153</definedName>
    <definedName name="_26__123Graph_ACHART_6" hidden="1">[1]Calc!$P$9:$P$41</definedName>
    <definedName name="_26__123Graph_ACHART_7" hidden="1">[1]Calc!$R$153:$R$688</definedName>
    <definedName name="_26__123Graph_ACHART_8" hidden="1">[1]Calc!$T$83:$T$153</definedName>
    <definedName name="_27___123Graph_ACHART_8" hidden="1">[1]Calc!$T$83:$T$153</definedName>
    <definedName name="_27___123Graph_ACHART_9" hidden="1">[1]Calc!$V$83:$V$153</definedName>
    <definedName name="_27__123Graph_ACHART_7" hidden="1">[1]Calc!$R$153:$R$688</definedName>
    <definedName name="_27__123Graph_ACHART_8" hidden="1">[1]Calc!$T$83:$T$153</definedName>
    <definedName name="_27__123Graph_ACHART_9" hidden="1">[1]Calc!$V$83:$V$153</definedName>
    <definedName name="_28___123Graph_ACHART_9" hidden="1">[1]Calc!$V$83:$V$153</definedName>
    <definedName name="_28___123Graph_BCHART_1" hidden="1">[1]Calc!$E$38:$E$83</definedName>
    <definedName name="_28__123Graph_ACHART_8" hidden="1">[1]Calc!$T$83:$T$153</definedName>
    <definedName name="_28__123Graph_ACHART_9" hidden="1">[1]Calc!$V$83:$V$153</definedName>
    <definedName name="_28__123Graph_BCHART_1" hidden="1">[1]Calc!$E$38:$E$83</definedName>
    <definedName name="_29___123Graph_BCHART_1" hidden="1">[1]Calc!$E$38:$E$83</definedName>
    <definedName name="_29___123Graph_BCHART_10" hidden="1">[1]Calc!$AC$153:$AC$325</definedName>
    <definedName name="_29__123Graph_ACHART_9" hidden="1">[1]Calc!$V$83:$V$153</definedName>
    <definedName name="_29__123Graph_BCHART_1" hidden="1">[1]Calc!$E$38:$E$83</definedName>
    <definedName name="_29__123Graph_BCHART_10" hidden="1">[1]Calc!$AC$153:$AC$325</definedName>
    <definedName name="_3___123Graph_ACHART_10" hidden="1">[1]Calc!$AB$153:$AB$325</definedName>
    <definedName name="_3___123Graph_ACHART_11" hidden="1">[1]Calc!$Z$153:$Z$315</definedName>
    <definedName name="_3__123Graph_ACHART_1" hidden="1">[1]Calc!$D$38:$D$83</definedName>
    <definedName name="_3__123Graph_ACHART_10" hidden="1">[1]Calc!$AB$153:$AB$325</definedName>
    <definedName name="_3__123Graph_ACHART_11" hidden="1">[1]Calc!$Z$153:$Z$315</definedName>
    <definedName name="_30___123Graph_BCHART_10" hidden="1">[1]Calc!$AC$153:$AC$325</definedName>
    <definedName name="_30___123Graph_BCHART_11" hidden="1">[1]Calc!$AA$153:$AA$315</definedName>
    <definedName name="_30__123Graph_BCHART_1" hidden="1">[1]Calc!$E$38:$E$83</definedName>
    <definedName name="_30__123Graph_BCHART_10" hidden="1">[1]Calc!$AC$153:$AC$325</definedName>
    <definedName name="_30__123Graph_BCHART_11" hidden="1">[1]Calc!$AA$153:$AA$315</definedName>
    <definedName name="_31___123Graph_BCHART_11" hidden="1">[1]Calc!$AA$153:$AA$315</definedName>
    <definedName name="_31___123Graph_BCHART_12" hidden="1">[1]Calc!$Y$153:$Y$313</definedName>
    <definedName name="_31__123Graph_BCHART_10" hidden="1">[1]Calc!$AC$153:$AC$325</definedName>
    <definedName name="_31__123Graph_BCHART_11" hidden="1">[1]Calc!$AA$153:$AA$315</definedName>
    <definedName name="_31__123Graph_BCHART_12" hidden="1">[1]Calc!$Y$153:$Y$313</definedName>
    <definedName name="_32___123Graph_BCHART_12" hidden="1">[1]Calc!$Y$153:$Y$313</definedName>
    <definedName name="_32___123Graph_BCHART_13" hidden="1">[1]Calc!$AE$10:$AE$33</definedName>
    <definedName name="_32__123Graph_BCHART_11" hidden="1">[1]Calc!$AA$153:$AA$315</definedName>
    <definedName name="_32__123Graph_BCHART_12" hidden="1">[1]Calc!$Y$153:$Y$313</definedName>
    <definedName name="_32__123Graph_BCHART_13" hidden="1">[1]Calc!$AE$10:$AE$33</definedName>
    <definedName name="_33___123Graph_BCHART_13" hidden="1">[1]Calc!$AE$10:$AE$33</definedName>
    <definedName name="_33___123Graph_BCHART_14" hidden="1">[1]Calc!$AI$10:$AI$28</definedName>
    <definedName name="_33__123Graph_BCHART_12" hidden="1">[1]Calc!$Y$153:$Y$313</definedName>
    <definedName name="_33__123Graph_BCHART_13" hidden="1">[1]Calc!$AE$10:$AE$33</definedName>
    <definedName name="_33__123Graph_BCHART_14" hidden="1">[1]Calc!$AI$10:$AI$28</definedName>
    <definedName name="_34___123Graph_BCHART_14" hidden="1">[1]Calc!$AI$10:$AI$28</definedName>
    <definedName name="_34___123Graph_BCHART_15" hidden="1">[1]Calc!$AK$8:$AK$19</definedName>
    <definedName name="_34__123Graph_BCHART_13" hidden="1">[1]Calc!$AE$10:$AE$33</definedName>
    <definedName name="_34__123Graph_BCHART_14" hidden="1">[1]Calc!$AI$10:$AI$28</definedName>
    <definedName name="_34__123Graph_BCHART_15" hidden="1">[1]Calc!$AK$8:$AK$19</definedName>
    <definedName name="_35___123Graph_BCHART_15" hidden="1">[1]Calc!$AK$8:$AK$19</definedName>
    <definedName name="_35___123Graph_BCHART_16" hidden="1">[1]Calc!$AM$8:$AM$21</definedName>
    <definedName name="_35__123Graph_BCHART_14" hidden="1">[1]Calc!$AI$10:$AI$28</definedName>
    <definedName name="_35__123Graph_BCHART_15" hidden="1">[1]Calc!$AK$8:$AK$19</definedName>
    <definedName name="_35__123Graph_BCHART_16" hidden="1">[1]Calc!$AM$8:$AM$21</definedName>
    <definedName name="_36___123Graph_BCHART_16" hidden="1">[1]Calc!$AM$8:$AM$21</definedName>
    <definedName name="_36___123Graph_BCHART_17" hidden="1">[1]GoEight!$C$115:$C$160</definedName>
    <definedName name="_36__123Graph_BCHART_15" hidden="1">[1]Calc!$AK$8:$AK$19</definedName>
    <definedName name="_36__123Graph_BCHART_16" hidden="1">[1]Calc!$AM$8:$AM$21</definedName>
    <definedName name="_36__123Graph_BCHART_17" hidden="1">[1]GoEight!$C$115:$C$160</definedName>
    <definedName name="_37___123Graph_BCHART_17" hidden="1">[1]GoEight!$C$115:$C$160</definedName>
    <definedName name="_37___123Graph_BCHART_18" hidden="1">[1]GrFour!$C$115:$C$190</definedName>
    <definedName name="_37__123Graph_BCHART_16" hidden="1">[1]Calc!$AM$8:$AM$21</definedName>
    <definedName name="_37__123Graph_BCHART_17" hidden="1">[1]GoEight!$C$115:$C$160</definedName>
    <definedName name="_37__123Graph_BCHART_18" hidden="1">[1]GrFour!$C$115:$C$190</definedName>
    <definedName name="_38___123Graph_BCHART_18" hidden="1">[1]GrFour!$C$115:$C$190</definedName>
    <definedName name="_38___123Graph_BCHART_2" hidden="1">[1]Calc!$G$23:$G$58</definedName>
    <definedName name="_38__123Graph_BCHART_17" hidden="1">[1]GoEight!$C$115:$C$160</definedName>
    <definedName name="_38__123Graph_BCHART_18" hidden="1">[1]GrFour!$C$115:$C$190</definedName>
    <definedName name="_38__123Graph_BCHART_2" hidden="1">[1]Calc!$G$23:$G$58</definedName>
    <definedName name="_39___123Graph_BCHART_2" hidden="1">[1]Calc!$G$23:$G$58</definedName>
    <definedName name="_39___123Graph_BCHART_22" hidden="1">[1]MOne!$C$145:$C$231</definedName>
    <definedName name="_39__123Graph_BCHART_18" hidden="1">[1]GrFour!$C$115:$C$190</definedName>
    <definedName name="_39__123Graph_BCHART_2" hidden="1">[1]Calc!$G$23:$G$58</definedName>
    <definedName name="_39__123Graph_BCHART_22" hidden="1">[1]MOne!$C$145:$C$231</definedName>
    <definedName name="_4___123Graph_ACHART_11" hidden="1">[1]Calc!$Z$153:$Z$315</definedName>
    <definedName name="_4___123Graph_ACHART_12" hidden="1">[1]Calc!$X$153:$X$313</definedName>
    <definedName name="_4__123Graph_ACHART_10" hidden="1">[1]Calc!$AB$153:$AB$325</definedName>
    <definedName name="_4__123Graph_ACHART_11" hidden="1">[1]Calc!$Z$153:$Z$315</definedName>
    <definedName name="_4__123Graph_ACHART_12" hidden="1">[1]Calc!$X$153:$X$313</definedName>
    <definedName name="_40___123Graph_BCHART_22" hidden="1">[1]MOne!$C$145:$C$231</definedName>
    <definedName name="_40___123Graph_BCHART_23" hidden="1">[1]MTwo!$C$145:$C$231</definedName>
    <definedName name="_40__123Graph_BCHART_2" hidden="1">[1]Calc!$G$23:$G$58</definedName>
    <definedName name="_40__123Graph_BCHART_22" hidden="1">[1]MOne!$C$145:$C$231</definedName>
    <definedName name="_40__123Graph_BCHART_23" hidden="1">[1]MTwo!$C$145:$C$231</definedName>
    <definedName name="_41___123Graph_BCHART_23" hidden="1">[1]MTwo!$C$145:$C$231</definedName>
    <definedName name="_41___123Graph_BCHART_24" hidden="1">[1]KOne!$C$230:$C$755</definedName>
    <definedName name="_41__123Graph_BCHART_22" hidden="1">[1]MOne!$C$145:$C$231</definedName>
    <definedName name="_41__123Graph_BCHART_23" hidden="1">[1]MTwo!$C$145:$C$231</definedName>
    <definedName name="_41__123Graph_BCHART_24" hidden="1">[1]KOne!$C$230:$C$755</definedName>
    <definedName name="_42___123Graph_BCHART_24" hidden="1">[1]KOne!$C$230:$C$755</definedName>
    <definedName name="_42___123Graph_BCHART_25" hidden="1">[1]GoSeven!$C$90:$C$125</definedName>
    <definedName name="_42__123Graph_BCHART_23" hidden="1">[1]MTwo!$C$145:$C$231</definedName>
    <definedName name="_42__123Graph_BCHART_24" hidden="1">[1]KOne!$C$230:$C$755</definedName>
    <definedName name="_42__123Graph_BCHART_25" hidden="1">[1]GoSeven!$C$90:$C$125</definedName>
    <definedName name="_43___123Graph_BCHART_25" hidden="1">[1]GoSeven!$C$90:$C$125</definedName>
    <definedName name="_43___123Graph_BCHART_26" hidden="1">[1]GrThree!$C$90:$C$140</definedName>
    <definedName name="_43__123Graph_BCHART_24" hidden="1">[1]KOne!$C$230:$C$755</definedName>
    <definedName name="_43__123Graph_BCHART_25" hidden="1">[1]GoSeven!$C$90:$C$125</definedName>
    <definedName name="_43__123Graph_BCHART_26" hidden="1">[1]GrThree!$C$90:$C$140</definedName>
    <definedName name="_44___123Graph_BCHART_26" hidden="1">[1]GrThree!$C$90:$C$140</definedName>
    <definedName name="_44___123Graph_BCHART_27" hidden="1">[1]HTwo!$C$88:$C$130</definedName>
    <definedName name="_44__123Graph_BCHART_25" hidden="1">[1]GoSeven!$C$90:$C$125</definedName>
    <definedName name="_44__123Graph_BCHART_26" hidden="1">[1]GrThree!$C$90:$C$140</definedName>
    <definedName name="_44__123Graph_BCHART_27" hidden="1">[1]HTwo!$C$88:$C$130</definedName>
    <definedName name="_45___123Graph_BCHART_27" hidden="1">[1]HTwo!$C$88:$C$130</definedName>
    <definedName name="_45___123Graph_BCHART_28" hidden="1">[1]JOne!$C$86:$C$112</definedName>
    <definedName name="_45__123Graph_BCHART_26" hidden="1">[1]GrThree!$C$90:$C$140</definedName>
    <definedName name="_45__123Graph_BCHART_27" hidden="1">[1]HTwo!$C$88:$C$130</definedName>
    <definedName name="_45__123Graph_BCHART_28" hidden="1">[1]JOne!$C$86:$C$112</definedName>
    <definedName name="_46___123Graph_BCHART_28" hidden="1">[1]JOne!$C$86:$C$112</definedName>
    <definedName name="_46___123Graph_BCHART_29" hidden="1">[1]JTwo!$C$86:$C$116</definedName>
    <definedName name="_46__123Graph_BCHART_27" hidden="1">[1]HTwo!$C$88:$C$130</definedName>
    <definedName name="_46__123Graph_BCHART_28" hidden="1">[1]JOne!$C$86:$C$112</definedName>
    <definedName name="_46__123Graph_BCHART_29" hidden="1">[1]JTwo!$C$86:$C$116</definedName>
    <definedName name="_47___123Graph_BCHART_29" hidden="1">[1]JTwo!$C$86:$C$116</definedName>
    <definedName name="_47___123Graph_BCHART_3" hidden="1">[1]Calc!$I$38:$I$107</definedName>
    <definedName name="_47__123Graph_BCHART_28" hidden="1">[1]JOne!$C$86:$C$112</definedName>
    <definedName name="_47__123Graph_BCHART_29" hidden="1">[1]JTwo!$C$86:$C$116</definedName>
    <definedName name="_47__123Graph_BCHART_3" hidden="1">[1]Calc!$I$38:$I$107</definedName>
    <definedName name="_48___123Graph_BCHART_3" hidden="1">[1]Calc!$I$38:$I$107</definedName>
    <definedName name="_48___123Graph_BCHART_30" hidden="1">[1]HOne!$C$88:$C$130</definedName>
    <definedName name="_48__123Graph_BCHART_29" hidden="1">[1]JTwo!$C$86:$C$116</definedName>
    <definedName name="_48__123Graph_BCHART_3" hidden="1">[1]Calc!$I$38:$I$107</definedName>
    <definedName name="_48__123Graph_BCHART_30" hidden="1">[1]HOne!$C$88:$C$130</definedName>
    <definedName name="_49___123Graph_BCHART_30" hidden="1">[1]HOne!$C$88:$C$130</definedName>
    <definedName name="_49___123Graph_BCHART_4" hidden="1">[1]Calc!$M$13:$M$53</definedName>
    <definedName name="_49__123Graph_BCHART_3" hidden="1">[1]Calc!$I$38:$I$107</definedName>
    <definedName name="_49__123Graph_BCHART_30" hidden="1">[1]HOne!$C$88:$C$130</definedName>
    <definedName name="_49__123Graph_BCHART_4" hidden="1">[1]Calc!$M$13:$M$53</definedName>
    <definedName name="_5___123Graph_ACHART_12" hidden="1">[1]Calc!$X$153:$X$313</definedName>
    <definedName name="_5___123Graph_ACHART_13" hidden="1">[1]Calc!$AD$10:$AD$33</definedName>
    <definedName name="_5__123Graph_ACHART_11" hidden="1">[1]Calc!$Z$153:$Z$315</definedName>
    <definedName name="_5__123Graph_ACHART_12" hidden="1">[1]Calc!$X$153:$X$313</definedName>
    <definedName name="_5__123Graph_ACHART_13" hidden="1">[1]Calc!$AD$10:$AD$33</definedName>
    <definedName name="_50___123Graph_BCHART_4" hidden="1">[1]Calc!$M$13:$M$53</definedName>
    <definedName name="_50___123Graph_BCHART_5" hidden="1">[1]Calc!$O$9:$O$36</definedName>
    <definedName name="_50__123Graph_BCHART_30" hidden="1">[1]HOne!$C$88:$C$130</definedName>
    <definedName name="_50__123Graph_BCHART_4" hidden="1">[1]Calc!$M$13:$M$53</definedName>
    <definedName name="_50__123Graph_BCHART_5" hidden="1">[1]Calc!$O$9:$O$36</definedName>
    <definedName name="_51___123Graph_BCHART_5" hidden="1">[1]Calc!$O$9:$O$36</definedName>
    <definedName name="_51___123Graph_BCHART_6" hidden="1">[1]Calc!$Q$9:$Q$41</definedName>
    <definedName name="_51__123Graph_BCHART_4" hidden="1">[1]Calc!$M$13:$M$53</definedName>
    <definedName name="_51__123Graph_BCHART_5" hidden="1">[1]Calc!$O$9:$O$36</definedName>
    <definedName name="_51__123Graph_BCHART_6" hidden="1">[1]Calc!$Q$9:$Q$41</definedName>
    <definedName name="_52___123Graph_BCHART_6" hidden="1">[1]Calc!$Q$9:$Q$41</definedName>
    <definedName name="_52___123Graph_BCHART_7" hidden="1">[1]Calc!$S$153:$S$688</definedName>
    <definedName name="_52__123Graph_BCHART_5" hidden="1">[1]Calc!$O$9:$O$36</definedName>
    <definedName name="_52__123Graph_BCHART_6" hidden="1">[1]Calc!$Q$9:$Q$41</definedName>
    <definedName name="_52__123Graph_BCHART_7" hidden="1">[1]Calc!$S$153:$S$688</definedName>
    <definedName name="_53___123Graph_BCHART_7" hidden="1">[1]Calc!$S$153:$S$688</definedName>
    <definedName name="_53___123Graph_BCHART_8" hidden="1">[1]Calc!$U$83:$U$153</definedName>
    <definedName name="_53__123Graph_BCHART_6" hidden="1">[1]Calc!$Q$9:$Q$41</definedName>
    <definedName name="_53__123Graph_BCHART_7" hidden="1">[1]Calc!$S$153:$S$688</definedName>
    <definedName name="_53__123Graph_BCHART_8" hidden="1">[1]Calc!$U$83:$U$153</definedName>
    <definedName name="_54___123Graph_BCHART_8" hidden="1">[1]Calc!$U$83:$U$153</definedName>
    <definedName name="_54___123Graph_BCHART_9" hidden="1">[1]Calc!$W$83:$W$153</definedName>
    <definedName name="_54__123Graph_BCHART_7" hidden="1">[1]Calc!$S$153:$S$688</definedName>
    <definedName name="_54__123Graph_BCHART_8" hidden="1">[1]Calc!$U$83:$U$153</definedName>
    <definedName name="_54__123Graph_BCHART_9" hidden="1">[1]Calc!$W$83:$W$153</definedName>
    <definedName name="_55___123Graph_BCHART_9" hidden="1">[1]Calc!$W$83:$W$153</definedName>
    <definedName name="_55___123Graph_CCHART_25" hidden="1">[1]GoSeven!$D$90:$D$105</definedName>
    <definedName name="_55__123Graph_BCHART_8" hidden="1">[1]Calc!$U$83:$U$153</definedName>
    <definedName name="_55__123Graph_BCHART_9" hidden="1">[1]Calc!$W$83:$W$153</definedName>
    <definedName name="_55__123Graph_CCHART_25" hidden="1">[1]GoSeven!$D$90:$D$105</definedName>
    <definedName name="_56___123Graph_CCHART_25" hidden="1">[1]GoSeven!$D$90:$D$105</definedName>
    <definedName name="_56___123Graph_CCHART_26" hidden="1">[1]GrThree!$D$90:$D$110</definedName>
    <definedName name="_56__123Graph_BCHART_9" hidden="1">[1]Calc!$W$83:$W$153</definedName>
    <definedName name="_56__123Graph_CCHART_25" hidden="1">[1]GoSeven!$D$90:$D$105</definedName>
    <definedName name="_56__123Graph_CCHART_26" hidden="1">[1]GrThree!$D$90:$D$110</definedName>
    <definedName name="_57___123Graph_CCHART_26" hidden="1">[1]GrThree!$D$90:$D$110</definedName>
    <definedName name="_57___123Graph_CCHART_27" hidden="1">[1]HTwo!$D$88:$D$110</definedName>
    <definedName name="_57__123Graph_CCHART_25" hidden="1">[1]GoSeven!$D$90:$D$105</definedName>
    <definedName name="_57__123Graph_CCHART_26" hidden="1">[1]GrThree!$D$90:$D$110</definedName>
    <definedName name="_57__123Graph_CCHART_27" hidden="1">[1]HTwo!$D$88:$D$110</definedName>
    <definedName name="_58___123Graph_CCHART_27" hidden="1">[1]HTwo!$D$88:$D$110</definedName>
    <definedName name="_58___123Graph_CCHART_28" hidden="1">[1]JOne!$D$86:$D$98</definedName>
    <definedName name="_58__123Graph_CCHART_26" hidden="1">[1]GrThree!$D$90:$D$110</definedName>
    <definedName name="_58__123Graph_CCHART_27" hidden="1">[1]HTwo!$D$88:$D$110</definedName>
    <definedName name="_58__123Graph_CCHART_28" hidden="1">[1]JOne!$D$86:$D$98</definedName>
    <definedName name="_59___123Graph_CCHART_28" hidden="1">[1]JOne!$D$86:$D$98</definedName>
    <definedName name="_59___123Graph_CCHART_29" hidden="1">[1]JTwo!$D$86:$D$98</definedName>
    <definedName name="_59__123Graph_CCHART_27" hidden="1">[1]HTwo!$D$88:$D$110</definedName>
    <definedName name="_59__123Graph_CCHART_28" hidden="1">[1]JOne!$D$86:$D$98</definedName>
    <definedName name="_59__123Graph_CCHART_29" hidden="1">[1]JTwo!$D$86:$D$98</definedName>
    <definedName name="_6___123Graph_ACHART_13" hidden="1">[1]Calc!$AD$10:$AD$33</definedName>
    <definedName name="_6___123Graph_ACHART_14" hidden="1">[1]Calc!$AH$10:$AH$28</definedName>
    <definedName name="_6__123Graph_ACHART_12" hidden="1">[1]Calc!$X$153:$X$313</definedName>
    <definedName name="_6__123Graph_ACHART_13" hidden="1">[1]Calc!$AD$10:$AD$33</definedName>
    <definedName name="_6__123Graph_ACHART_14" hidden="1">[1]Calc!$AH$10:$AH$28</definedName>
    <definedName name="_60___123Graph_CCHART_29" hidden="1">[1]JTwo!$D$86:$D$98</definedName>
    <definedName name="_60___123Graph_CCHART_30" hidden="1">[1]HOne!$D$88:$D$110</definedName>
    <definedName name="_60__123Graph_CCHART_28" hidden="1">[1]JOne!$D$86:$D$98</definedName>
    <definedName name="_60__123Graph_CCHART_29" hidden="1">[1]JTwo!$D$86:$D$98</definedName>
    <definedName name="_60__123Graph_CCHART_30" hidden="1">[1]HOne!$D$88:$D$110</definedName>
    <definedName name="_61___123Graph_CCHART_30" hidden="1">[1]HOne!$D$88:$D$110</definedName>
    <definedName name="_61___123Graph_DCHART_25" hidden="1">[1]GoSeven!$E$90:$E$105</definedName>
    <definedName name="_61__123Graph_CCHART_29" hidden="1">[1]JTwo!$D$86:$D$98</definedName>
    <definedName name="_61__123Graph_CCHART_30" hidden="1">[1]HOne!$D$88:$D$110</definedName>
    <definedName name="_61__123Graph_DCHART_25" hidden="1">[1]GoSeven!$E$90:$E$105</definedName>
    <definedName name="_62___123Graph_DCHART_25" hidden="1">[1]GoSeven!$E$90:$E$105</definedName>
    <definedName name="_62___123Graph_DCHART_26" hidden="1">[1]GrThree!$E$90:$E$110</definedName>
    <definedName name="_62__123Graph_CCHART_30" hidden="1">[1]HOne!$D$88:$D$110</definedName>
    <definedName name="_62__123Graph_DCHART_25" hidden="1">[1]GoSeven!$E$90:$E$105</definedName>
    <definedName name="_62__123Graph_DCHART_26" hidden="1">[1]GrThree!$E$90:$E$110</definedName>
    <definedName name="_63___123Graph_DCHART_26" hidden="1">[1]GrThree!$E$90:$E$110</definedName>
    <definedName name="_63___123Graph_DCHART_27" hidden="1">[1]HTwo!$E$88:$E$110</definedName>
    <definedName name="_63__123Graph_DCHART_25" hidden="1">[1]GoSeven!$E$90:$E$105</definedName>
    <definedName name="_63__123Graph_DCHART_26" hidden="1">[1]GrThree!$E$90:$E$110</definedName>
    <definedName name="_63__123Graph_DCHART_27" hidden="1">[1]HTwo!$E$88:$E$110</definedName>
    <definedName name="_64___123Graph_DCHART_27" hidden="1">[1]HTwo!$E$88:$E$110</definedName>
    <definedName name="_64___123Graph_DCHART_28" hidden="1">[1]JOne!$E$86:$E$98</definedName>
    <definedName name="_64__123Graph_DCHART_26" hidden="1">[1]GrThree!$E$90:$E$110</definedName>
    <definedName name="_64__123Graph_DCHART_27" hidden="1">[1]HTwo!$E$88:$E$110</definedName>
    <definedName name="_64__123Graph_DCHART_28" hidden="1">[1]JOne!$E$86:$E$98</definedName>
    <definedName name="_65___123Graph_DCHART_28" hidden="1">[1]JOne!$E$86:$E$98</definedName>
    <definedName name="_65___123Graph_DCHART_29" hidden="1">[1]JTwo!$E$86:$E$98</definedName>
    <definedName name="_65__123Graph_DCHART_27" hidden="1">[1]HTwo!$E$88:$E$110</definedName>
    <definedName name="_65__123Graph_DCHART_28" hidden="1">[1]JOne!$E$86:$E$98</definedName>
    <definedName name="_65__123Graph_DCHART_29" hidden="1">[1]JTwo!$E$86:$E$98</definedName>
    <definedName name="_66___123Graph_DCHART_29" hidden="1">[1]JTwo!$E$86:$E$98</definedName>
    <definedName name="_66___123Graph_DCHART_30" hidden="1">[1]HOne!$E$86:$E$110</definedName>
    <definedName name="_66__123Graph_DCHART_28" hidden="1">[1]JOne!$E$86:$E$98</definedName>
    <definedName name="_66__123Graph_DCHART_29" hidden="1">[1]JTwo!$E$86:$E$98</definedName>
    <definedName name="_66__123Graph_DCHART_30" hidden="1">[1]HOne!$E$86:$E$110</definedName>
    <definedName name="_67___123Graph_DCHART_30" hidden="1">[1]HOne!$E$86:$E$110</definedName>
    <definedName name="_67___123Graph_XCHART_10" hidden="1">[1]Calc!$A$153:$A$325</definedName>
    <definedName name="_67__123Graph_DCHART_29" hidden="1">[1]JTwo!$E$86:$E$98</definedName>
    <definedName name="_67__123Graph_DCHART_30" hidden="1">[1]HOne!$E$86:$E$110</definedName>
    <definedName name="_67__123Graph_XCHART_10" hidden="1">[1]Calc!$A$153:$A$325</definedName>
    <definedName name="_68___123Graph_XCHART_10" hidden="1">[1]Calc!$A$153:$A$325</definedName>
    <definedName name="_68___123Graph_XCHART_11" hidden="1">[1]Calc!$A$153:$A$315</definedName>
    <definedName name="_68__123Graph_DCHART_30" hidden="1">[1]HOne!$E$86:$E$110</definedName>
    <definedName name="_68__123Graph_XCHART_10" hidden="1">[1]Calc!$A$153:$A$325</definedName>
    <definedName name="_68__123Graph_XCHART_11" hidden="1">[1]Calc!$A$153:$A$315</definedName>
    <definedName name="_69___123Graph_XCHART_11" hidden="1">[1]Calc!$A$153:$A$315</definedName>
    <definedName name="_69___123Graph_XCHART_12" hidden="1">[1]Calc!$A$153:$A$313</definedName>
    <definedName name="_69__123Graph_XCHART_10" hidden="1">[1]Calc!$A$153:$A$325</definedName>
    <definedName name="_69__123Graph_XCHART_11" hidden="1">[1]Calc!$A$153:$A$315</definedName>
    <definedName name="_69__123Graph_XCHART_12" hidden="1">[1]Calc!$A$153:$A$313</definedName>
    <definedName name="_7___123Graph_ACHART_14" hidden="1">[1]Calc!$AH$10:$AH$28</definedName>
    <definedName name="_7___123Graph_ACHART_15" hidden="1">[1]Calc!$AJ$8:$AJ$19</definedName>
    <definedName name="_7__123Graph_ACHART_13" hidden="1">[1]Calc!$AD$10:$AD$33</definedName>
    <definedName name="_7__123Graph_ACHART_14" hidden="1">[1]Calc!$AH$10:$AH$28</definedName>
    <definedName name="_7__123Graph_ACHART_15" hidden="1">[1]Calc!$AJ$8:$AJ$19</definedName>
    <definedName name="_70___123Graph_XCHART_12" hidden="1">[1]Calc!$A$153:$A$313</definedName>
    <definedName name="_70___123Graph_XCHART_13" hidden="1">[1]Calc!$A$13:$A$33</definedName>
    <definedName name="_70__123Graph_XCHART_11" hidden="1">[1]Calc!$A$153:$A$315</definedName>
    <definedName name="_70__123Graph_XCHART_12" hidden="1">[1]Calc!$A$153:$A$313</definedName>
    <definedName name="_70__123Graph_XCHART_13" hidden="1">[1]Calc!$A$13:$A$33</definedName>
    <definedName name="_71___123Graph_XCHART_13" hidden="1">[1]Calc!$A$13:$A$33</definedName>
    <definedName name="_71___123Graph_XCHART_14" hidden="1">[1]Calc!$A$11:$A$28</definedName>
    <definedName name="_71__123Graph_XCHART_12" hidden="1">[1]Calc!$A$153:$A$313</definedName>
    <definedName name="_71__123Graph_XCHART_13" hidden="1">[1]Calc!$A$13:$A$33</definedName>
    <definedName name="_71__123Graph_XCHART_14" hidden="1">[1]Calc!$A$11:$A$28</definedName>
    <definedName name="_72___123Graph_XCHART_14" hidden="1">[1]Calc!$A$11:$A$28</definedName>
    <definedName name="_72___123Graph_XCHART_15" hidden="1">[1]Calc!$A$8:$A$19</definedName>
    <definedName name="_72__123Graph_XCHART_13" hidden="1">[1]Calc!$A$13:$A$33</definedName>
    <definedName name="_72__123Graph_XCHART_14" hidden="1">[1]Calc!$A$11:$A$28</definedName>
    <definedName name="_72__123Graph_XCHART_15" hidden="1">[1]Calc!$A$8:$A$19</definedName>
    <definedName name="_73___123Graph_XCHART_15" hidden="1">[1]Calc!$A$8:$A$19</definedName>
    <definedName name="_73___123Graph_XCHART_16" hidden="1">[1]Calc!$A$8:$A$21</definedName>
    <definedName name="_73__123Graph_XCHART_14" hidden="1">[1]Calc!$A$11:$A$28</definedName>
    <definedName name="_73__123Graph_XCHART_15" hidden="1">[1]Calc!$A$8:$A$19</definedName>
    <definedName name="_73__123Graph_XCHART_16" hidden="1">[1]Calc!$A$8:$A$21</definedName>
    <definedName name="_74___123Graph_XCHART_16" hidden="1">[1]Calc!$A$8:$A$21</definedName>
    <definedName name="_74___123Graph_XCHART_2" hidden="1">[1]Calc!$A$23:$A$58</definedName>
    <definedName name="_74__123Graph_XCHART_15" hidden="1">[1]Calc!$A$8:$A$19</definedName>
    <definedName name="_74__123Graph_XCHART_16" hidden="1">[1]Calc!$A$8:$A$21</definedName>
    <definedName name="_74__123Graph_XCHART_2" hidden="1">[1]Calc!$A$23:$A$58</definedName>
    <definedName name="_75___123Graph_XCHART_2" hidden="1">[1]Calc!$A$23:$A$58</definedName>
    <definedName name="_75___123Graph_XCHART_3" hidden="1">[1]Calc!$A$38:$A$107</definedName>
    <definedName name="_75__123Graph_XCHART_16" hidden="1">[1]Calc!$A$8:$A$21</definedName>
    <definedName name="_75__123Graph_XCHART_2" hidden="1">[1]Calc!$A$23:$A$58</definedName>
    <definedName name="_75__123Graph_XCHART_3" hidden="1">[1]Calc!$A$38:$A$107</definedName>
    <definedName name="_76___123Graph_XCHART_3" hidden="1">[1]Calc!$A$38:$A$107</definedName>
    <definedName name="_76___123Graph_XCHART_4" hidden="1">[1]Calc!$A$13:$A$53</definedName>
    <definedName name="_76__123Graph_XCHART_2" hidden="1">[1]Calc!$A$23:$A$58</definedName>
    <definedName name="_76__123Graph_XCHART_3" hidden="1">[1]Calc!$A$38:$A$107</definedName>
    <definedName name="_76__123Graph_XCHART_4" hidden="1">[1]Calc!$A$13:$A$53</definedName>
    <definedName name="_77___123Graph_XCHART_4" hidden="1">[1]Calc!$A$13:$A$53</definedName>
    <definedName name="_77___123Graph_XCHART_5" hidden="1">[1]Calc!$A$9:$A$36</definedName>
    <definedName name="_77__123Graph_XCHART_3" hidden="1">[1]Calc!$A$38:$A$107</definedName>
    <definedName name="_77__123Graph_XCHART_4" hidden="1">[1]Calc!$A$13:$A$53</definedName>
    <definedName name="_77__123Graph_XCHART_5" hidden="1">[1]Calc!$A$9:$A$36</definedName>
    <definedName name="_78___123Graph_XCHART_5" hidden="1">[1]Calc!$A$9:$A$36</definedName>
    <definedName name="_78___123Graph_XCHART_6" hidden="1">[1]Calc!$A$9:$A$41</definedName>
    <definedName name="_78__123Graph_XCHART_4" hidden="1">[1]Calc!$A$13:$A$53</definedName>
    <definedName name="_78__123Graph_XCHART_5" hidden="1">[1]Calc!$A$9:$A$36</definedName>
    <definedName name="_78__123Graph_XCHART_6" hidden="1">[1]Calc!$A$9:$A$41</definedName>
    <definedName name="_79___123Graph_XCHART_6" hidden="1">[1]Calc!$A$9:$A$41</definedName>
    <definedName name="_79___123Graph_XCHART_7" hidden="1">[1]Calc!$A$153:$A$688</definedName>
    <definedName name="_79__123Graph_XCHART_5" hidden="1">[1]Calc!$A$9:$A$36</definedName>
    <definedName name="_79__123Graph_XCHART_6" hidden="1">[1]Calc!$A$9:$A$41</definedName>
    <definedName name="_79__123Graph_XCHART_7" hidden="1">[1]Calc!$A$153:$A$688</definedName>
    <definedName name="_8___123Graph_ACHART_15" hidden="1">[1]Calc!$AJ$8:$AJ$19</definedName>
    <definedName name="_8___123Graph_ACHART_16" hidden="1">[1]Calc!$AL$8:$AL$21</definedName>
    <definedName name="_8__123Graph_ACHART_14" hidden="1">[1]Calc!$AH$10:$AH$28</definedName>
    <definedName name="_8__123Graph_ACHART_15" hidden="1">[1]Calc!$AJ$8:$AJ$19</definedName>
    <definedName name="_8__123Graph_ACHART_16" hidden="1">[1]Calc!$AL$8:$AL$21</definedName>
    <definedName name="_80___123Graph_XCHART_7" hidden="1">[1]Calc!$A$153:$A$688</definedName>
    <definedName name="_80___123Graph_XCHART_8" hidden="1">[1]Calc!$A$83:$A$154</definedName>
    <definedName name="_80__123Graph_XCHART_6" hidden="1">[1]Calc!$A$9:$A$41</definedName>
    <definedName name="_80__123Graph_XCHART_7" hidden="1">[1]Calc!$A$153:$A$688</definedName>
    <definedName name="_80__123Graph_XCHART_8" hidden="1">[1]Calc!$A$83:$A$154</definedName>
    <definedName name="_81___123Graph_XCHART_8" hidden="1">[1]Calc!$A$83:$A$154</definedName>
    <definedName name="_81___123Graph_XCHART_9" hidden="1">[1]Calc!$A$83:$A$153</definedName>
    <definedName name="_81__123Graph_XCHART_7" hidden="1">[1]Calc!$A$153:$A$688</definedName>
    <definedName name="_81__123Graph_XCHART_8" hidden="1">[1]Calc!$A$83:$A$154</definedName>
    <definedName name="_81__123Graph_XCHART_9" hidden="1">[1]Calc!$A$83:$A$153</definedName>
    <definedName name="_82___123Graph_XCHART_9" hidden="1">[1]Calc!$A$83:$A$153</definedName>
    <definedName name="_82__123Graph_ACHART_1" hidden="1">[1]Calc!$D$38:$D$83</definedName>
    <definedName name="_82__123Graph_XCHART_8" hidden="1">[1]Calc!$A$83:$A$154</definedName>
    <definedName name="_82__123Graph_XCHART_9" hidden="1">[1]Calc!$A$83:$A$153</definedName>
    <definedName name="_83__123Graph_ACHART_1" hidden="1">[1]Calc!$D$38:$D$83</definedName>
    <definedName name="_83__123Graph_ACHART_10" hidden="1">[1]Calc!$AB$153:$AB$325</definedName>
    <definedName name="_83__123Graph_XCHART_9" hidden="1">[1]Calc!$A$83:$A$153</definedName>
    <definedName name="_84__123Graph_ACHART_10" hidden="1">[1]Calc!$AB$153:$AB$325</definedName>
    <definedName name="_84__123Graph_ACHART_11" hidden="1">[1]Calc!$Z$153:$Z$315</definedName>
    <definedName name="_85__123Graph_ACHART_11" hidden="1">[1]Calc!$Z$153:$Z$315</definedName>
    <definedName name="_85__123Graph_ACHART_12" hidden="1">[1]Calc!$X$153:$X$313</definedName>
    <definedName name="_86__123Graph_ACHART_12" hidden="1">[1]Calc!$X$153:$X$313</definedName>
    <definedName name="_86__123Graph_ACHART_13" hidden="1">[1]Calc!$AD$10:$AD$33</definedName>
    <definedName name="_87__123Graph_ACHART_13" hidden="1">[1]Calc!$AD$10:$AD$33</definedName>
    <definedName name="_87__123Graph_ACHART_14" hidden="1">[1]Calc!$AH$10:$AH$28</definedName>
    <definedName name="_88__123Graph_ACHART_14" hidden="1">[1]Calc!$AH$10:$AH$28</definedName>
    <definedName name="_88__123Graph_ACHART_15" hidden="1">[1]Calc!$AJ$8:$AJ$19</definedName>
    <definedName name="_89__123Graph_ACHART_15" hidden="1">[1]Calc!$AJ$8:$AJ$19</definedName>
    <definedName name="_89__123Graph_ACHART_16" hidden="1">[1]Calc!$AL$8:$AL$21</definedName>
    <definedName name="_9___123Graph_ACHART_16" hidden="1">[1]Calc!$AL$8:$AL$21</definedName>
    <definedName name="_9___123Graph_ACHART_17" hidden="1">[1]GoEight!$B$115:$B$160</definedName>
    <definedName name="_9__123Graph_ACHART_15" hidden="1">[1]Calc!$AJ$8:$AJ$19</definedName>
    <definedName name="_9__123Graph_ACHART_16" hidden="1">[1]Calc!$AL$8:$AL$21</definedName>
    <definedName name="_9__123Graph_ACHART_17" hidden="1">[1]GoEight!$B$115:$B$160</definedName>
    <definedName name="_90__123Graph_ACHART_16" hidden="1">[1]Calc!$AL$8:$AL$21</definedName>
    <definedName name="_90__123Graph_ACHART_17" hidden="1">[1]GoEight!$B$115:$B$160</definedName>
    <definedName name="_91__123Graph_ACHART_17" hidden="1">[1]GoEight!$B$115:$B$160</definedName>
    <definedName name="_91__123Graph_ACHART_18" hidden="1">[1]GrFour!$B$115:$B$185</definedName>
    <definedName name="_92__123Graph_ACHART_18" hidden="1">[1]GrFour!$B$115:$B$185</definedName>
    <definedName name="_92__123Graph_ACHART_2" hidden="1">[1]Calc!$F$23:$F$58</definedName>
    <definedName name="_93__123Graph_ACHART_2" hidden="1">[1]Calc!$F$23:$F$58</definedName>
    <definedName name="_93__123Graph_ACHART_22" hidden="1">[1]MOne!$B$145:$B$231</definedName>
    <definedName name="_94__123Graph_ACHART_22" hidden="1">[1]MOne!$B$145:$B$231</definedName>
    <definedName name="_94__123Graph_ACHART_23" hidden="1">[1]MTwo!$B$145:$B$232</definedName>
    <definedName name="_95__123Graph_ACHART_23" hidden="1">[1]MTwo!$B$145:$B$232</definedName>
    <definedName name="_95__123Graph_ACHART_24" hidden="1">[1]KOne!$B$230:$B$755</definedName>
    <definedName name="_96__123Graph_ACHART_24" hidden="1">[1]KOne!$B$230:$B$755</definedName>
    <definedName name="_96__123Graph_ACHART_25" hidden="1">[1]GoSeven!$B$90:$B$125</definedName>
    <definedName name="_97__123Graph_ACHART_25" hidden="1">[1]GoSeven!$B$90:$B$125</definedName>
    <definedName name="_97__123Graph_ACHART_26" hidden="1">[1]GrThree!$B$90:$B$140</definedName>
    <definedName name="_98__123Graph_ACHART_26" hidden="1">[1]GrThree!$B$90:$B$140</definedName>
    <definedName name="_98__123Graph_ACHART_27" hidden="1">[1]HTwo!$B$88:$B$130</definedName>
    <definedName name="_99__123Graph_ACHART_27" hidden="1">[1]HTwo!$B$88:$B$130</definedName>
    <definedName name="_99__123Graph_ACHART_28" hidden="1">[1]JOne!$B$86:$B$112</definedName>
    <definedName name="_AMO_ContentDefinition_133494585" hidden="1">"'Partitions:14'"</definedName>
    <definedName name="_AMO_ContentDefinition_133494585.0" hidden="1">"'&lt;ContentDefinition name=""Analise Resultado"" rsid=""133494585"" type=""StoredProcess"" format=""ReportXml"" imgfmt=""ActiveX"" created=""03/12/2015 18:46:15"" modifed=""03/12/2015 18:51:30"" user=""kenji"" apply=""False"" css=""C:\Program Files (x86)'"</definedName>
    <definedName name="_AMO_ContentDefinition_133494585.1" hidden="1">"'\SASHome\x86\SASAddinforMicrosoftOffice\6.1\Styles\AMODefault.css"" range=""Analise_Resultado_3"" auto=""False"" xTime=""00:00:09.7699769"" rTime=""00:00:12.9472946"" bgnew=""False"" nFmt=""False"" grphSet=""True"" imgY=""0"" imgX=""0"" redirect=""Fa'"</definedName>
    <definedName name="_AMO_ContentDefinition_133494585.10" hidden="1">"'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 /&gt;_x000D_
  &lt;'"</definedName>
    <definedName name="_AMO_ContentDefinition_133494585.11" hidden="1">"'param n=""ServerName"" v=""SASApp"" /&gt;_x000D_
  &lt;param n=""ClassName"" v=""SAS.OfficeAddin.StoredProcess"" /&gt;_x000D_
  &lt;param n=""XlNative"" v=""False"" /&gt;_x000D_
  &lt;param n=""UnselectedIds"" v="""" /&gt;_x000D_
  &lt;param n=""_ROM_Version_"" v=""1.3"" /&gt;_x000D_
  &lt;param n=""_ROM_Ap'"</definedName>
    <definedName name="_AMO_ContentDefinition_133494585.12" hidden="1">"'plication_"" v=""ODS"" /&gt;_x000D_
  &lt;param n=""_ROM_AppVersion_"" v=""9.4"" /&gt;_x000D_
  &lt;param n=""maxReportCols"" v=""7"" /&gt;_x000D_
  &lt;fids n=""main.srx"" v=""0"" /&gt;_x000D_
  &lt;ExcelXMLOptions AdjColWidths=""True"" RowOpt=""InsertEntire"" ColOpt=""InsertCells"" /&gt;_x000D_'"</definedName>
    <definedName name="_AMO_ContentDefinition_133494585.13" hidden="1">"'
&lt;/ContentDefinition&gt;'"</definedName>
    <definedName name="_AMO_ContentDefinition_133494585.2" hidden="1">"'lse""&gt;_x000D_
  &lt;files&gt;C:\Users\kenji\Documents\My SAS Files\Add-In for Microsoft Office\_SOA_A57QXCXO.BH000HXI_796691745\main.srx&lt;/files&gt;_x000D_
  &lt;parents /&gt;_x000D_
  &lt;children /&gt;_x000D_
  &lt;param n=""DisplayName"" v=""Analise Resultado"" /&gt;_x000D_
  &lt;param n=""DisplayType"" v=""'"</definedName>
    <definedName name="_AMO_ContentDefinition_133494585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133494585.4" hidden="1">"'ference obj=&amp;quot;p2&amp;quot; promptId=&amp;quot;PromptDef_1425916438128_200439&amp;quot; name=&amp;quot;Idsreag&amp;quot; definitionType=&amp;quot;TextDefinition&amp;quot; selectionType=&amp;quot;Single&amp;quot;&amp;gt;&amp;lt;Value&amp;gt;&amp;lt;String obj=&amp;quot;p3&amp;quot; value=&amp;quot;130&amp;quot; /&amp;gt'"</definedName>
    <definedName name="_AMO_ContentDefinition_133494585.5" hidden="1">"';&amp;lt;/Value&amp;gt;&amp;lt;/PromptDefinitionReference&amp;gt;&amp;lt;PromptDefinitionReference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selectionType=&amp;quot;Single&amp;quot;&amp;g'"</definedName>
    <definedName name="_AMO_ContentDefinition_133494585.6" hidden="1">"'t;&amp;lt;Value&amp;gt;&amp;lt;String obj=&amp;quot;p5&amp;quot; value=&amp;quot;2015&amp;quot; /&amp;gt;&amp;lt;/Value&amp;gt;&amp;lt;/PromptDefinitionReference&amp;gt;&amp;lt;PromptDefinitionReference obj=&amp;quot;p6&amp;quot; promptId=&amp;quot;PromptDef_1425916525967_745390&amp;quot; name=&amp;quot;AnoInicioCalc&amp;quot'"</definedName>
    <definedName name="_AMO_ContentDefinition_133494585.7" hidden="1">"'; definitionType=&amp;quot;TextDefinition&amp;quot; selectionType=&amp;quot;Single&amp;quot;&amp;gt;&amp;lt;Value&amp;gt;&amp;lt;String obj=&amp;quot;p7&amp;quot; value=&amp;quot;2014&amp;quot; /&amp;gt;&amp;lt;/Value&amp;gt;&amp;lt;/PromptDefinitionReference&amp;gt;&amp;lt;/DefinitionReferencesAndValues&amp;gt;&amp;lt;/PromptVal'"</definedName>
    <definedName name="_AMO_ContentDefinition_133494585.8" hidden="1">"'ues&amp;gt;""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&amp;lt;Version&amp;gt;1&amp;lt;/Version&amp;gt;&amp;#xD;&amp;#xA;  &amp;l'"</definedName>
    <definedName name="_AMO_ContentDefinition_133494585.9" hidden="1">"'t;Assembly&amp;gt;SAS.EG.SDS.Model&amp;lt;/Assembly&amp;gt;&amp;#xD;&amp;#xA;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Resultado&amp;lt;/DisplayName&amp;gt;&amp;#xD;&amp;#xA; '"</definedName>
    <definedName name="_AMO_ContentDefinition_265309772" hidden="1">"'Partitions:15'"</definedName>
    <definedName name="_AMO_ContentDefinition_265309772.0" hidden="1">"'&lt;ContentDefinition name=""Analise Resultado"" rsid=""265309772"" type=""StoredProcess"" format=""ReportXml"" imgfmt=""ActiveX"" created=""04/07/2015 15:02:39"" modifed=""04/13/2015 10:45:44"" user=""Deveth"" apply=""False"" css=""C:\Program Files (x86'"</definedName>
    <definedName name="_AMO_ContentDefinition_265309772.1" hidden="1">"')\SASHome\x86\SASAddinforMicrosoftOffice\6.1\Styles\AMODefault.css"" range=""Analise_Resultado"" auto=""False"" xTime=""00:00:47.1210000"" rTime=""00:00:01.7450000"" bgnew=""False"" nFmt=""False"" grphSet=""True"" imgY=""0"" imgX=""0"" redirect=""Fal'"</definedName>
    <definedName name="_AMO_ContentDefinition_265309772.10" hidden="1">"'sultado&amp;lt;/Name&amp;gt;&amp;#xD;&amp;#xA;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&amp;lt;ParentName&amp;gt;Consultas&amp;lt;/ParentName&amp;gt;&amp;'"</definedName>
    <definedName name="_AMO_ContentDefinition_265309772.11" hidden="1">"'#xD;&amp;#xA;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&amp;lt;Path&amp;gt'"</definedName>
    <definedName name="_AMO_ContentDefinition_265309772.12" hidden="1">"';/SRE/Consultas/Analise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n=""UnselectedId'"</definedName>
    <definedName name="_AMO_ContentDefinition_265309772.13" hidden="1">"'s""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Ad'"</definedName>
    <definedName name="_AMO_ContentDefinition_265309772.14" hidden="1">"'jColWidths=""True"" RowOpt=""InsertEntire"" ColOpt=""InsertCells"" /&gt;_x000D_
&lt;/ContentDefinition&gt;'"</definedName>
    <definedName name="_AMO_ContentDefinition_265309772.2" hidden="1">"'se""&gt;_x000D_
  &lt;files&gt;C:\Users\deveth\Documents\My SAS Files\Add-In for Microsoft Office\_SOA_A57QXCXO.BH000HXI_283613294\main.srx&lt;/files&gt;_x000D_
  &lt;parents /&gt;_x000D_
  &lt;children /&gt;_x000D_
  &lt;param n=""DisplayName"" v=""Analise Resultado"" /&gt;_x000D_
  &lt;param n=""DisplayType"" v=""'"</definedName>
    <definedName name="_AMO_ContentDefinition_265309772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265309772.4" hidden="1">"'ference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value=&amp;quot;2014&amp;quo'"</definedName>
    <definedName name="_AMO_ContentDefinition_265309772.5" hidden="1">"'t; /&amp;gt;&amp;lt;/Value&amp;gt;&amp;lt;/PromptDefinitionReference&amp;gt;&amp;lt;PromptDefinitionReference obj=&amp;quot;p4&amp;quot; promptId=&amp;quot;PromptDef_1425916438129_508769&amp;quot; name=&amp;quot;AnaliseMercado&amp;quot; definitionType=&amp;quot;TextDefinition&amp;quot; selectionType=&amp;quot;'"</definedName>
    <definedName name="_AMO_ContentDefinition_265309772.6" hidden="1">"'Single&amp;quot;&amp;gt;&amp;lt;Value&amp;gt;&amp;lt;String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promptId=&amp;quot;PromptDef_1425916438128_200439&amp;quot; name=&amp;quot;Idsre'"</definedName>
    <definedName name="_AMO_ContentDefinition_265309772.7" hidden="1">"'ag&amp;quot; definitionType=&amp;quot;TextDefinition&amp;quot; selectionType=&amp;quot;Single&amp;quot;&amp;gt;&amp;lt;Value&amp;gt;&amp;lt;String obj=&amp;quot;p7&amp;quot; value=&amp;quot;129&amp;quot; /&amp;gt;&amp;lt;/Value&amp;gt;&amp;lt;/PromptDefinitionReference&amp;gt;&amp;lt;PromptDefinitionReference obj=&amp;quot;p8&amp;quo'"</definedName>
    <definedName name="_AMO_ContentDefinition_265309772.8" hidden="1">"'t; promptId=&amp;quot;PromptDef_1425916438113_758944&amp;quot; name=&amp;quot;Anocalc&amp;quot; definitionType=&amp;quot;TextDefinition&amp;quot; selectionType=&amp;quot;Single&amp;quot;&amp;gt;&amp;lt;Value&amp;gt;&amp;lt;String obj=&amp;quot;p9&amp;quot; value=&amp;quot;2015&amp;quot; /&amp;gt;&amp;lt;/Value&amp;gt;&amp;lt;/Pro'"</definedName>
    <definedName name="_AMO_ContentDefinition_265309772.9" hidden="1">"'mptDefinitionReference&amp;gt;&amp;lt;/DefinitionReferencesAndValues&amp;gt;&amp;lt;/PromptValues&amp;gt;""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Re'"</definedName>
    <definedName name="_AMO_ContentDefinition_310728015" hidden="1">"'Partitions:15'"</definedName>
    <definedName name="_AMO_ContentDefinition_310728015.0" hidden="1">"'&lt;ContentDefinition name=""Analise Resultado"" rsid=""310728015"" type=""StoredProcess"" format=""ReportXml"" imgfmt=""ActiveX"" created=""03/13/2015 19:36:06"" modifed=""03/26/2015 15:34:40"" user=""Thiago Roberto Magalhães Veloso (SRE)"" apply=""Fa'"</definedName>
    <definedName name="_AMO_ContentDefinition_310728015.1" hidden="1">"'lse"" css=""C:\Program Files\SASHome\SASAddinforMicrosoftOffice\6.1\Styles\AMODefault.css"" range=""Analise_Resultado"" auto=""False"" xTime=""00:00:14.5608736"" rTime=""00:00:19.2916206"" bgnew=""False"" nFmt=""False"" grphSet=""True"" imgY=""0"" '"</definedName>
    <definedName name="_AMO_ContentDefinition_310728015.10" hidden="1">"'&amp;#xD;&amp;#xA;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&amp;lt;ParentNam'"</definedName>
    <definedName name="_AMO_ContentDefinition_310728015.11" hidden="1">"'e&amp;gt;Consultas&amp;lt;/ParentName&amp;gt;&amp;#xD;&amp;#xA;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Resultado(StoredProcess)&amp;lt;/S'"</definedName>
    <definedName name="_AMO_ContentDefinition_310728015.12" hidden="1">"'BIPFull&amp;gt;&amp;#xD;&amp;#xA;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v=""False'"</definedName>
    <definedName name="_AMO_ContentDefinition_310728015.13" hidden="1">"'""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v'"</definedName>
    <definedName name="_AMO_ContentDefinition_310728015.14" hidden="1">"'=""0"" /&gt;_x000D_
  &lt;ExcelXMLOptions AdjColWidths=""True"" RowOpt=""InsertEntire"" ColOpt=""InsertCells"" /&gt;_x000D_
&lt;/ContentDefinition&gt;'"</definedName>
    <definedName name="_AMO_ContentDefinition_310728015.2" hidden="1">"'imgX=""0"" redirect=""False""&gt;_x000D_
  &lt;files&gt;C:\Users\thiagomagalhaes\Documents\My SAS Files\Add-In for Microsoft Office\_SOA_A57QXCXO.BH000HXI_222980439\main.srx&lt;/files&gt;_x000D_
  &lt;parents /&gt;_x000D_
  &lt;children /&gt;_x000D_
  &lt;param n=""DisplayName"" v=""Analise Resultado"" /'"</definedName>
    <definedName name="_AMO_ContentDefinition_310728015.3" hidden="1">"'&gt;_x000D_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version=&amp;quot;1.0&amp;quot;&amp;gt;&amp;lt;DefinitionReferencesA'"</definedName>
    <definedName name="_AMO_ContentDefinition_310728015.4" hidden="1">"'ndValues&amp;gt;&amp;lt;PromptDefinitionReference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selectionType=&amp;quot;Single&amp;quot;&amp;gt;&amp;lt;Value&amp;gt;&amp;lt;String obj='"</definedName>
    <definedName name="_AMO_ContentDefinition_310728015.5" hidden="1">"'&amp;quot;p3&amp;quot; value=&amp;quot;Sim&amp;quot; /&amp;gt;&amp;lt;/Value&amp;gt;&amp;lt;/PromptDefinitionReference&amp;gt;&amp;lt;PromptDefinitionReference obj=&amp;quot;p4&amp;quot; promptId=&amp;quot;PromptDef_1425916438113_758944&amp;quot; name=&amp;quot;Anocalc&amp;quot; definitionType=&amp;quot;TextDefinition'"</definedName>
    <definedName name="_AMO_ContentDefinition_310728015.6" hidden="1">"'&amp;quot;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promptId=&amp;quot;PromptDef_1425916525967_7'"</definedName>
    <definedName name="_AMO_ContentDefinition_310728015.7" hidden="1">"'45390&amp;quot; name=&amp;quot;AnoInicioCalc&amp;quot; definitionType=&amp;quot;TextDefinition&amp;quot; selectionType=&amp;quot;Single&amp;quot;&amp;gt;&amp;lt;Value&amp;gt;&amp;lt;String obj=&amp;quot;p7&amp;quot; value=&amp;quot;2014&amp;quot; /&amp;gt;&amp;lt;/Value&amp;gt;&amp;lt;/PromptDefinitionReference&amp;gt;&amp;lt;PromptD'"</definedName>
    <definedName name="_AMO_ContentDefinition_310728015.8" hidden="1">"'efinitionReference obj=&amp;quot;p8&amp;quot; promptId=&amp;quot;PromptDef_1425916438128_200439&amp;quot; name=&amp;quot;Idsreag&amp;quot; definitionType=&amp;quot;TextDefinition&amp;quot; selectionType=&amp;quot;Single&amp;quot;&amp;gt;&amp;lt;Value&amp;gt;&amp;lt;String obj=&amp;quot;p9&amp;quot; value=&amp;quot;130'"</definedName>
    <definedName name="_AMO_ContentDefinition_310728015.9" hidden="1">"'&amp;quot;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&amp;lt;Type&amp;gt;StoredProcess&amp;lt;/Type&amp;gt;'"</definedName>
    <definedName name="_AMO_ContentDefinition_332776469" hidden="1">"'Partitions:15'"</definedName>
    <definedName name="_AMO_ContentDefinition_332776469.0" hidden="1">"'&lt;ContentDefinition name=""Analise Resultado"" rsid=""332776469"" type=""StoredProcess"" format=""ReportXml"" imgfmt=""ActiveXImage"" created=""04/09/2015 12:18:00"" modifed=""06/25/2015 18:28:20"" user=""Thiago Roberto Magalhães Veloso (SRE)"" appl'"</definedName>
    <definedName name="_AMO_ContentDefinition_332776469.1" hidden="1">"'y=""False"" css=""C:\Program Files\SASHome\SASAddinforMicrosoftOffice\6.1\Styles\AMODefault.css"" range=""Analise_Resultado"" auto=""False"" xTime=""00:00:28.7017220"" rTime=""00:00:04.8702922"" bgnew=""False"" nFmt=""False"" grphSet=""True"" imgY'"</definedName>
    <definedName name="_AMO_ContentDefinition_332776469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332776469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332776469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332776469.13" hidden="1">"'v=""False"" /&gt;_x000D_
  &lt;param n=""UnselectedIds"" v=""F0.SEC2.Tabulate_2.SEC1.BDY.Cross_tabular_summary_report_Table_1"" /&gt;_x000D_
  &lt;param n=""_ROM_Version_"" v=""1.3"" /&gt;_x000D_
  &lt;param n=""_ROM_Application_"" v=""ODS"" /&gt;_x000D_
  &lt;param n=""_ROM_AppVersion_"" v=""9.4'"</definedName>
    <definedName name="_AMO_ContentDefinition_332776469.14" hidden="1">"'"" /&gt;_x000D_
  &lt;param n=""maxReportCols"" v=""10"" /&gt;_x000D_
  &lt;fids n=""main.srx"" v=""0"" /&gt;_x000D_
  &lt;ExcelXMLOptions AdjColWidths=""True"" RowOpt=""InsertEntire"" ColOpt=""InsertCells"" /&gt;_x000D_
&lt;/ContentDefinition&gt;'"</definedName>
    <definedName name="_AMO_ContentDefinition_332776469.2" hidden="1">"'=""0"" imgX=""0"" redirect=""False""&gt;_x000D_
  &lt;files&gt;C:\Users\thiagomagalhaes\Documents\My SAS Files\Add-In for Microsoft Office\_SOA_A57QXCXO.BH000HXI_604171638\main.srx&lt;/files&gt;_x000D_
  &lt;parents /&gt;_x000D_
  &lt;children /&gt;_x000D_
  &lt;param n=""DisplayName"" v=""Analise Resul'"</definedName>
    <definedName name="_AMO_ContentDefinition_332776469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332776469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332776469.5" hidden="1">"'ing obj=&amp;quot;p3&amp;quot; value=&amp;quot;Sim&amp;quot; /&amp;gt;&amp;lt;/Value&amp;gt;&amp;lt;/PromptDefinitionReference&amp;gt;&amp;lt;PromptDefinitionReference obj=&amp;quot;p4&amp;quot; promptId=&amp;quot;PromptDef_1425916525967_745390&amp;quot; name=&amp;quot;AnoInicioCalc&amp;quot; definitionType=&amp;quot;'"</definedName>
    <definedName name="_AMO_ContentDefinition_332776469.6" hidden="1">"'TextDefinition&amp;quot;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promptId=&amp;quot;PromptDef_1'"</definedName>
    <definedName name="_AMO_ContentDefinition_332776469.7" hidden="1">"'425916438128_200439&amp;quot;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/&amp;gt;&amp;lt;/Value&amp;gt;&amp;lt;/PromptDefinitionReference&amp;gt;&amp;lt;'"</definedName>
    <definedName name="_AMO_ContentDefinition_332776469.8" hidden="1">"'PromptDefinitionReference obj=&amp;quot;p8&amp;quot;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value=&amp;q'"</definedName>
    <definedName name="_AMO_ContentDefinition_332776469.9" hidden="1">"'uot;2015&amp;quot;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337210739" hidden="1">"'Partitions:15'"</definedName>
    <definedName name="_AMO_ContentDefinition_337210739.0" hidden="1">"'&lt;ContentDefinition name=""Analise Resultado"" rsid=""337210739"" type=""StoredProcess"" format=""ReportXml"" imgfmt=""ActiveX"" created=""03/27/2015 14:58:17"" modifed=""04/07/2015 14:58:01"" user=""ANEEL"" apply=""False"" css=""C:\Program Files (x86)'"</definedName>
    <definedName name="_AMO_ContentDefinition_337210739.1" hidden="1">"'\SASHome\x86\SASAddinforMicrosoftOffice\6.1\Styles\AMODefault.css"" range=""Analise_Resultado"" auto=""False"" xTime=""00:00:11.5997680"" rTime=""00:01:36.6201512"" bgnew=""False"" nFmt=""False"" grphSet=""True"" imgY=""0"" imgX=""0"" redirect=""Fals'"</definedName>
    <definedName name="_AMO_ContentDefinition_337210739.10" hidden="1">"'e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&amp;lt;ParentName&amp;gt;Consultas&amp;lt;/ParentName&amp;'"</definedName>
    <definedName name="_AMO_ContentDefinition_337210739.11" hidden="1">"'gt;&amp;#xD;&amp;#xA;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&amp;lt;Pat'"</definedName>
    <definedName name="_AMO_ContentDefinition_337210739.12" hidden="1">"'h&amp;gt;/SRE/Consultas/Analise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n=""Unselect'"</definedName>
    <definedName name="_AMO_ContentDefinition_337210739.13" hidden="1">"'edIds""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&lt;ExcelXMLOption'"</definedName>
    <definedName name="_AMO_ContentDefinition_337210739.14" hidden="1">"'s AdjColWidths=""True"" RowOpt=""InsertEntire"" ColOpt=""InsertCells"" /&gt;_x000D_
&lt;/ContentDefinition&gt;'"</definedName>
    <definedName name="_AMO_ContentDefinition_337210739.2" hidden="1">"'e""&gt;_x000D_
  &lt;files&gt;C:\Users\andreneves\Documents\My SAS Files\Add-In for Microsoft Office\_SOA_A57QXCXO.BH000HXI_983662017\main.srx&lt;/files&gt;_x000D_
  &lt;parents /&gt;_x000D_
  &lt;children /&gt;_x000D_
  &lt;param n=""DisplayName"" v=""Analise Resultado"" /&gt;_x000D_
  &lt;param n=""DisplayType"" '"</definedName>
    <definedName name="_AMO_ContentDefinition_337210739.3" hidden="1">"'v=""Stored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version=&amp;quot;1.0&amp;quot;&amp;gt;&amp;lt;DefinitionReferencesAndValues&amp;gt;&amp;lt;PromptDefiniti'"</definedName>
    <definedName name="_AMO_ContentDefinition_337210739.4" hidden="1">"'onReference obj=&amp;quot;p2&amp;quot; promptId=&amp;quot;PromptDef_1425916438129_508769&amp;quot; name=&amp;quot;AnaliseMercado&amp;quot; definitionType=&amp;quot;TextDefinition&amp;quot; selectionType=&amp;quot;Single&amp;quot;&amp;gt;&amp;lt;Value&amp;gt;&amp;lt;String obj=&amp;quot;p3&amp;quot; value=&amp;quot;Sim'"</definedName>
    <definedName name="_AMO_ContentDefinition_337210739.5" hidden="1">"'&amp;quot;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selectionType=&amp;quot;Sin'"</definedName>
    <definedName name="_AMO_ContentDefinition_337210739.6" hidden="1">"'gle&amp;quot;&amp;gt;&amp;lt;Value&amp;gt;&amp;lt;String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promptId=&amp;quot;PromptDef_1425916438128_200439&amp;quot; name=&amp;quot;Idsreag'"</definedName>
    <definedName name="_AMO_ContentDefinition_337210739.7" hidden="1">"'&amp;quot; definitionType=&amp;quot;TextDefinition&amp;quot; selectionType=&amp;quot;Single&amp;quot;&amp;gt;&amp;lt;Value&amp;gt;&amp;lt;String obj=&amp;quot;p7&amp;quot; value=&amp;quot;129&amp;quot; /&amp;gt;&amp;lt;/Value&amp;gt;&amp;lt;/PromptDefinitionReference&amp;gt;&amp;lt;PromptDefinitionReference obj=&amp;quot;p8&amp;quot;'"</definedName>
    <definedName name="_AMO_ContentDefinition_337210739.8" hidden="1">"' promptId=&amp;quot;PromptDef_1425916525967_745390&amp;quot; name=&amp;quot;AnoInicioCalc&amp;quot; definitionType=&amp;quot;TextDefinition&amp;quot; selectionType=&amp;quot;Single&amp;quot;&amp;gt;&amp;lt;Value&amp;gt;&amp;lt;String obj=&amp;quot;p9&amp;quot; value=&amp;quot;2014&amp;quot; /&amp;gt;&amp;lt;/Value&amp;gt;&amp;lt;'"</definedName>
    <definedName name="_AMO_ContentDefinition_337210739.9" hidden="1">"'/PromptDefinitionReference&amp;gt;&amp;lt;/DefinitionReferencesAndValues&amp;gt;&amp;lt;/PromptValues&amp;gt;""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&amp;lt;Name&amp;gt;Analis'"</definedName>
    <definedName name="_AMO_ContentDefinition_345017782" hidden="1">"'Partitions:14'"</definedName>
    <definedName name="_AMO_ContentDefinition_345017782.0" hidden="1">"'&lt;ContentDefinition name=""Analise Resultado"" rsid=""345017782"" type=""StoredProcess"" format=""ReportXml"" imgfmt=""ActiveXImage"" created=""03/17/2015 16:02:45"" modifed=""03/27/2015 14:55:08"" user=""Felipe Pereira (SRE)"" apply=""False"" css=""C:'"</definedName>
    <definedName name="_AMO_ContentDefinition_345017782.1" hidden="1">"'\Program Files (x86)\SASHome\x86\SASAddinforMicrosoftOffice\6.1\Styles\AMODefault.css"" range=""Analise_Resultado"" auto=""False"" xTime=""00:00:28.6725736"" rTime=""00:00:08.0701614"" bgnew=""False"" nFmt=""False"" grphSet=""True"" imgY=""0"" imgX'"</definedName>
    <definedName name="_AMO_ContentDefinition_345017782.10" hidden="1">"';/DisplayName&amp;gt;&amp;#xD;&amp;#xA;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Resultado&amp;lt;/Path&amp;gt;&amp;#xD'"</definedName>
    <definedName name="_AMO_ContentDefinition_345017782.11" hidden="1">"';&amp;#xA;&amp;lt;/DNA&amp;gt;"" /&gt;_x000D_
  &lt;param n=""ServerName"" v=""SASApp"" /&gt;_x000D_
  &lt;param n=""ClassName"" v=""SAS.OfficeAddin.StoredProcess"" /&gt;_x000D_
  &lt;param n=""XlNative"" v=""False"" /&gt;_x000D_
  &lt;param n=""UnselectedIds"" v="""" /&gt;_x000D_
  &lt;param n=""_ROM_Version_"" v=""1.3'"</definedName>
    <definedName name="_AMO_ContentDefinition_345017782.12" hidden="1">"'"" /&gt;_x000D_
  &lt;param n=""_ROM_Application_"" v=""ODS"" /&gt;_x000D_
  &lt;param n=""_ROM_AppVersion_"" v=""9.4"" /&gt;_x000D_
  &lt;param n=""maxReportCols"" v=""10"" /&gt;_x000D_
  &lt;fids n=""main.srx"" v=""0"" /&gt;_x000D_
  &lt;ExcelXMLOptions AdjColWidths=""True"" RowOpt=""InsertEntire"" ColOpt='"</definedName>
    <definedName name="_AMO_ContentDefinition_345017782.13" hidden="1">"'""InsertCells"" /&gt;_x000D_
&lt;/ContentDefinition&gt;'"</definedName>
    <definedName name="_AMO_ContentDefinition_345017782.14" hidden="1">"'&gt;_x000D_
  &lt;ExcelXMLOptions AdjColWidths=""True"" RowOpt=""InsertEntire"" ColOpt=""InsertCells"" /&gt;_x000D_
&lt;/ContentDefinition&gt;'"</definedName>
    <definedName name="_AMO_ContentDefinition_345017782.2" hidden="1">"'=""0"" redirect=""False""&gt;_x000D_
  &lt;files&gt;C:\Users\felipepereira\Documents\My SAS Files\Add-In for Microsoft Office\_SOA_A57QXCXO.BH000HXI_951773013\main.srx&lt;/files&gt;_x000D_
  &lt;parents /&gt;_x000D_
  &lt;children /&gt;_x000D_
  &lt;param n=""DisplayName"" v=""Analise Resultado"" /&gt;_x000D_
  &lt;'"</definedName>
    <definedName name="_AMO_ContentDefinition_345017782.3" hidden="1">"'param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version=&amp;quot;1.0&amp;quot;&amp;gt;&amp;lt;DefinitionReferencesAndValu'"</definedName>
    <definedName name="_AMO_ContentDefinition_345017782.4" hidden="1">"'es&amp;gt;&amp;lt;PromptDefinitionReference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obj=&amp;quot;p3&amp;quot'"</definedName>
    <definedName name="_AMO_ContentDefinition_345017782.5" hidden="1">"'; value=&amp;quot;151&amp;quot;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select'"</definedName>
    <definedName name="_AMO_ContentDefinition_345017782.6" hidden="1">"'ionType=&amp;quot;Single&amp;quot;&amp;gt;&amp;lt;Value&amp;gt;&amp;lt;String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promptId=&amp;quot;PromptDef_1425916525967_745390&amp;quot; n'"</definedName>
    <definedName name="_AMO_ContentDefinition_345017782.7" hidden="1">"'ame=&amp;quot;AnoInicioCalc&amp;quot; definitionType=&amp;quot;TextDefinition&amp;quot; selectionType=&amp;quot;Single&amp;quot;&amp;gt;&amp;lt;Value&amp;gt;&amp;lt;String obj=&amp;quot;p7&amp;quot; value=&amp;quot;2014&amp;quot; /&amp;gt;&amp;lt;/Value&amp;gt;&amp;lt;/PromptDefinitionReference&amp;gt;&amp;lt;/DefinitionReference'"</definedName>
    <definedName name="_AMO_ContentDefinition_345017782.8" hidden="1">"'sAndValues&amp;gt;&amp;lt;/PromptValues&amp;gt;""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&amp;lt;Version&amp;gt;1&amp;l'"</definedName>
    <definedName name="_AMO_ContentDefinition_345017782.9" hidden="1">"'t;/Version&amp;gt;&amp;#xD;&amp;#xA;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Resultado&amp;lt'"</definedName>
    <definedName name="_AMO_ContentDefinition_365752322" hidden="1">"'Partitions:15'"</definedName>
    <definedName name="_AMO_ContentDefinition_365752322.0" hidden="1">"'&lt;ContentDefinition name=""Analise Resultado"" rsid=""365752322"" type=""StoredProcess"" format=""ReportXml"" imgfmt=""ActiveX"" created=""06/19/2015 20:35:45"" modifed=""06/19/2015 20:35:45"" user=""kenji"" apply=""False"" css=""C:\Program Files (x86)'"</definedName>
    <definedName name="_AMO_ContentDefinition_365752322.1" hidden="1">"'\SASHome\x86\SASAddinforMicrosoftOffice\6.1\Styles\AMODefault.css"" range=""Analise_Resultado"" auto=""False"" xTime=""00:00:57.6197614"" rTime=""00:00:20.6420640"" bgnew=""False"" nFmt=""False"" grphSet=""True"" imgY=""0"" imgX=""0"" redirect=""Fals'"</definedName>
    <definedName name="_AMO_ContentDefinition_365752322.10" hidden="1">"'ltado&amp;lt;/Name&amp;gt;&amp;#xD;&amp;#xA;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&amp;lt;ParentName&amp;gt;Consultas&amp;lt;/ParentName&amp;gt;&amp;#x'"</definedName>
    <definedName name="_AMO_ContentDefinition_365752322.11" hidden="1">"'D;&amp;#xA;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&amp;lt;Path&amp;gt;/'"</definedName>
    <definedName name="_AMO_ContentDefinition_365752322.12" hidden="1">"'SRE/Consultas/Analise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n=""UnselectedIds""'"</definedName>
    <definedName name="_AMO_ContentDefinition_365752322.13" hidden="1">"'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AdjC'"</definedName>
    <definedName name="_AMO_ContentDefinition_365752322.14" hidden="1">"'olWidths=""True"" RowOpt=""InsertEntire"" ColOpt=""InsertCells"" /&gt;_x000D_
&lt;/ContentDefinition&gt;'"</definedName>
    <definedName name="_AMO_ContentDefinition_365752322.2" hidden="1">"'e""&gt;_x000D_
  &lt;files&gt;C:\Users\kenji\Documents\My SAS Files\Add-In for Microsoft Office\_SOA_A57QXCXO.BH000HXI_212996236\main.srx&lt;/files&gt;_x000D_
  &lt;parents /&gt;_x000D_
  &lt;children /&gt;_x000D_
  &lt;param n=""DisplayName"" v=""Analise Resultado"" /&gt;_x000D_
  &lt;param n=""DisplayType"" v=""St'"</definedName>
    <definedName name="_AMO_ContentDefinition_365752322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365752322.4" hidden="1">"'rence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value=&amp;quot;2014&amp;quot;'"</definedName>
    <definedName name="_AMO_ContentDefinition_365752322.5" hidden="1">"'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selectionType=&amp;quot;Single&amp;qu'"</definedName>
    <definedName name="_AMO_ContentDefinition_365752322.6" hidden="1">"'ot;&amp;gt;&amp;lt;Value&amp;gt;&amp;lt;String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promptId=&amp;quot;PromptDef_1425916438129_508769&amp;quot; name=&amp;quot;AnaliseMercad'"</definedName>
    <definedName name="_AMO_ContentDefinition_365752322.7" hidden="1">"'o&amp;quot;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/&amp;gt;&amp;lt;/Value&amp;gt;&amp;lt;/PromptDefinitionReference&amp;gt;&amp;lt;PromptDefinitionReference obj=&amp;quot;p8&amp;quot'"</definedName>
    <definedName name="_AMO_ContentDefinition_365752322.8" hidden="1">"'; promptId=&amp;quot;PromptDef_1425916438128_200439&amp;quot; name=&amp;quot;Idsreag&amp;quot; definitionType=&amp;quot;TextDefinition&amp;quot; selectionType=&amp;quot;Single&amp;quot;&amp;gt;&amp;lt;Value&amp;gt;&amp;lt;String obj=&amp;quot;p9&amp;quot; value=&amp;quot;148&amp;quot; /&amp;gt;&amp;lt;/Value&amp;gt;&amp;lt;/Promp'"</definedName>
    <definedName name="_AMO_ContentDefinition_365752322.9" hidden="1">"'tDefinitionReference&amp;gt;&amp;lt;/DefinitionReferencesAndValues&amp;gt;&amp;lt;/PromptValues&amp;gt;""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Resu'"</definedName>
    <definedName name="_AMO_ContentDefinition_466356944" hidden="1">"'Partitions:15'"</definedName>
    <definedName name="_AMO_ContentDefinition_466356944.0" hidden="1">"'&lt;ContentDefinition name=""Analise Resultado"" rsid=""466356944"" type=""StoredProcess"" format=""ReportXml"" imgfmt=""ActiveXImage"" created=""06/11/2015 12:49:36"" modifed=""06/11/2015 12:53:59"" user=""Thiago Roberto Magalhães Veloso (SRE)"" appl'"</definedName>
    <definedName name="_AMO_ContentDefinition_466356944.1" hidden="1">"'y=""False"" css=""C:\Program Files\SASHome\SASAddinforMicrosoftOffice\6.1\Styles\AMODefault.css"" range=""Analise_Resultado"" auto=""False"" xTime=""00:00:14.3708622"" rTime=""00:00:04.1402484"" bgnew=""False"" nFmt=""False"" grphSet=""True"" imgY'"</definedName>
    <definedName name="_AMO_ContentDefinition_466356944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466356944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466356944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466356944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466356944.14" hidden="1">"'in.srx"" v=""0"" /&gt;_x000D_
  &lt;ExcelXMLOptions AdjColWidths=""True"" RowOpt=""InsertEntire"" ColOpt=""InsertCells"" /&gt;_x000D_
&lt;/ContentDefinition&gt;'"</definedName>
    <definedName name="_AMO_ContentDefinition_466356944.2" hidden="1">"'=""0"" imgX=""0"" redirect=""False""&gt;_x000D_
  &lt;files&gt;C:\Users\thiagomagalhaes\Documents\My SAS Files\Add-In for Microsoft Office\_SOA_A57QXCXO.BH000HXI_590937196\main.srx&lt;/files&gt;_x000D_
  &lt;parents /&gt;_x000D_
  &lt;children /&gt;_x000D_
  &lt;param n=""DisplayName"" v=""Analise Resul'"</definedName>
    <definedName name="_AMO_ContentDefinition_466356944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466356944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466356944.5" hidden="1">"'=&amp;quot;p3&amp;quot; value=&amp;quot;148&amp;quot; /&amp;gt;&amp;lt;/Value&amp;gt;&amp;lt;/PromptDefinitionReference&amp;gt;&amp;lt;PromptDefinitionReference obj=&amp;quot;p4&amp;quot; promptId=&amp;quot;PromptDef_1425916525967_745390&amp;quot; name=&amp;quot;AnoInicioCalc&amp;quot; definitionType=&amp;quot;TextDef'"</definedName>
    <definedName name="_AMO_ContentDefinition_466356944.6" hidden="1">"'inition&amp;quot;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promptId=&amp;quot;PromptDef_14259164'"</definedName>
    <definedName name="_AMO_ContentDefinition_466356944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/&amp;gt;&amp;lt;/Value&amp;gt;&amp;lt;/PromptDefinitionReference&amp;gt;&amp;lt;Prompt'"</definedName>
    <definedName name="_AMO_ContentDefinition_466356944.8" hidden="1">"'DefinitionReference obj=&amp;quot;p8&amp;quot; promptId=&amp;quot;PromptDef_1425916438129_508769&amp;quot; name=&amp;quot;AnaliseMercado&amp;quot; definitionType=&amp;quot;TextDefinition&amp;quot; selectionType=&amp;quot;Single&amp;quot;&amp;gt;&amp;lt;Value&amp;gt;&amp;lt;String obj=&amp;quot;p9&amp;quot; value=&amp;'"</definedName>
    <definedName name="_AMO_ContentDefinition_466356944.9" hidden="1">"'quot;Sim&amp;quot;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630089467" hidden="1">"'Partitions:15'"</definedName>
    <definedName name="_AMO_ContentDefinition_630089467.0" hidden="1">"'&lt;ContentDefinition name=""Analise Resultado"" rsid=""630089467"" type=""StoredProcess"" format=""ReportXml"" imgfmt=""ActiveX"" created=""03/09/2015 17:41:52"" modifed=""03/09/2015 17:41:52"" user=""kenji"" apply=""False"" css=""C:\Program Files (x86)'"</definedName>
    <definedName name="_AMO_ContentDefinition_630089467.1" hidden="1">"'\SASHome\x86\SASAddinforMicrosoftOffice\6.1\Styles\AMODefault.css"" range=""Analise_Resultado_2"" auto=""False"" xTime=""00:00:09.4749474"" rTime=""00:00:06.1746174"" bgnew=""False"" nFmt=""False"" grphSet=""True"" imgY=""0"" imgX=""0"" redirect=""Fa'"</definedName>
    <definedName name="_AMO_ContentDefinition_630089467.10" hidden="1">"'sultado&amp;lt;/Name&amp;gt;&amp;#xD;&amp;#xA;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&amp;lt;ParentName&amp;gt;Consultas&amp;lt;/ParentName&amp;gt;&amp;'"</definedName>
    <definedName name="_AMO_ContentDefinition_630089467.11" hidden="1">"'#xD;&amp;#xA;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&amp;lt;Path&amp;gt'"</definedName>
    <definedName name="_AMO_ContentDefinition_630089467.12" hidden="1">"';/SRE/Consultas/Analise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n=""UnselectedId'"</definedName>
    <definedName name="_AMO_ContentDefinition_630089467.13" hidden="1">"'s"" v="""" /&gt;_x000D_
  &lt;param n=""_ROM_Version_"" v=""1.3"" /&gt;_x000D_
  &lt;param n=""_ROM_Application_"" v=""ODS"" /&gt;_x000D_
  &lt;param n=""_ROM_AppVersion_"" v=""9.4"" /&gt;_x000D_
  &lt;param n=""maxReportCols"" v=""6"" /&gt;_x000D_
  &lt;fids n=""main.srx"" v=""0"" /&gt;_x000D_
  &lt;ExcelXMLOptions Ad'"</definedName>
    <definedName name="_AMO_ContentDefinition_630089467.14" hidden="1">"'jColWidths=""True"" RowOpt=""InsertEntire"" ColOpt=""InsertCells"" /&gt;_x000D_
&lt;/ContentDefinition&gt;'"</definedName>
    <definedName name="_AMO_ContentDefinition_630089467.2" hidden="1">"'lse""&gt;_x000D_
  &lt;files&gt;C:\Users\kenji\Documents\My SAS Files\Add-In for Microsoft Office\_SOA_A57QXCXO.BH000HXI_194703904\main.srx&lt;/files&gt;_x000D_
  &lt;parents /&gt;_x000D_
  &lt;children /&gt;_x000D_
  &lt;param n=""DisplayName"" v=""Analise Resultado"" /&gt;_x000D_
  &lt;param n=""DisplayType"" v=""'"</definedName>
    <definedName name="_AMO_ContentDefinition_630089467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630089467.4" hidden="1">"'ference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value=&amp;quot;2014&amp;quo'"</definedName>
    <definedName name="_AMO_ContentDefinition_630089467.5" hidden="1">"'t; /&amp;gt;&amp;lt;/Value&amp;gt;&amp;lt;/PromptDefinitionReference&amp;gt;&amp;lt;PromptDefinitionReference obj=&amp;quot;p4&amp;quot; promptId=&amp;quot;PromptDef_1425916438129_508769&amp;quot; name=&amp;quot;AnaliseMercado&amp;quot; definitionType=&amp;quot;TextDefinition&amp;quot; selectionType=&amp;quot;'"</definedName>
    <definedName name="_AMO_ContentDefinition_630089467.6" hidden="1">"'Single&amp;quot;&amp;gt;&amp;lt;Value&amp;gt;&amp;lt;String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promptId=&amp;quot;PromptDef_1425916438113_758944&amp;quot; name=&amp;quot;Anoca'"</definedName>
    <definedName name="_AMO_ContentDefinition_630089467.7" hidden="1">"'lc&amp;quot;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/&amp;gt;&amp;lt;/Value&amp;gt;&amp;lt;/PromptDefinitionReference&amp;gt;&amp;lt;PromptDefinitionReference obj=&amp;quot;p8&amp;qu'"</definedName>
    <definedName name="_AMO_ContentDefinition_630089467.8" hidden="1">"'ot; promptId=&amp;quot;PromptDef_1425916438128_200439&amp;quot; name=&amp;quot;Idsreag&amp;quot; definitionType=&amp;quot;TextDefinition&amp;quot; selectionType=&amp;quot;Single&amp;quot;&amp;gt;&amp;lt;Value&amp;gt;&amp;lt;String obj=&amp;quot;p9&amp;quot; value=&amp;quot;130&amp;quot; /&amp;gt;&amp;lt;/Value&amp;gt;&amp;lt;/Pro'"</definedName>
    <definedName name="_AMO_ContentDefinition_630089467.9" hidden="1">"'mptDefinitionReference&amp;gt;&amp;lt;/DefinitionReferencesAndValues&amp;gt;&amp;lt;/PromptValues&amp;gt;""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Re'"</definedName>
    <definedName name="_AMO_ContentDefinition_643045985" hidden="1">"'Partitions:14'"</definedName>
    <definedName name="_AMO_ContentDefinition_643045985.0" hidden="1">"'&lt;ContentDefinition name=""Analise Resultado"" rsid=""643045985"" type=""StoredProcess"" format=""ReportXml"" imgfmt=""ActiveXImage"" created=""03/26/2015 15:36:04"" modifed=""03/26/2015 15:41:55"" user=""Thiago Roberto Magalhães Veloso (SRE)"" appl'"</definedName>
    <definedName name="_AMO_ContentDefinition_643045985.1" hidden="1">"'y=""False"" css=""C:\Program Files\SASHome\SASAddinforMicrosoftOffice\6.1\Styles\AMODefault.css"" range=""Analise_Resultado"" auto=""False"" xTime=""00:00:10.4706282"" rTime=""00:00:01.2000720"" bgnew=""False"" nFmt=""False"" grphSet=""True"" imgY'"</definedName>
    <definedName name="_AMO_ContentDefinition_643045985.10" hidden="1">"'e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Resultado&amp;lt'"</definedName>
    <definedName name="_AMO_ContentDefinition_643045985.11" hidden="1">"';/Path&amp;gt;&amp;#xD;&amp;#xA;&amp;lt;/DNA&amp;gt;""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 v="""" /&gt;_x000D_
  &lt;param n=""_ROM_Ver'"</definedName>
    <definedName name="_AMO_ContentDefinition_643045985.12" hidden="1">"'sion_"" v=""1.3"" /&gt;_x000D_
  &lt;param n=""_ROM_Application_"" v=""ODS"" /&gt;_x000D_
  &lt;param n=""_ROM_AppVersion_"" v=""9.4"" /&gt;_x000D_
  &lt;param n=""maxReportCols"" v=""10"" /&gt;_x000D_
  &lt;fids n=""main.srx"" v=""0"" /&gt;_x000D_
  &lt;ExcelXMLOptions AdjColWidths=""True"" RowOpt=""InsertE'"</definedName>
    <definedName name="_AMO_ContentDefinition_643045985.13" hidden="1">"'ntire"" ColOpt=""InsertCells"" /&gt;_x000D_
&lt;/ContentDefinition&gt;'"</definedName>
    <definedName name="_AMO_ContentDefinition_643045985.14" hidden="1">"'in.srx"" v=""0"" /&gt;_x000D_
  &lt;ExcelXMLOptions AdjColWidths=""True"" RowOpt=""InsertEntire"" ColOpt=""InsertCells"" /&gt;_x000D_
&lt;/ContentDefinition&gt;'"</definedName>
    <definedName name="_AMO_ContentDefinition_643045985.2" hidden="1">"'=""0"" imgX=""0"" redirect=""False""&gt;_x000D_
  &lt;files&gt;C:\Users\thiagomagalhaes\Documents\My SAS Files\Add-In for Microsoft Office\_SOA_A57QXCXO.BH000HXI_429848662\main.srx&lt;/files&gt;_x000D_
  &lt;parents /&gt;_x000D_
  &lt;children /&gt;_x000D_
  &lt;param n=""DisplayName"" v=""Analise Resul'"</definedName>
    <definedName name="_AMO_ContentDefinition_643045985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43045985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643045985.5" hidden="1">"'=&amp;quot;p3&amp;quot; value=&amp;quot;130&amp;quot; /&amp;gt;&amp;lt;/Value&amp;gt;&amp;lt;/PromptDefinitionReference&amp;gt;&amp;lt;PromptDefinitionReference obj=&amp;quot;p4&amp;quot; promptId=&amp;quot;PromptDef_1425916525967_745390&amp;quot; name=&amp;quot;AnoInicioCalc&amp;quot; definitionType=&amp;quot;TextDef'"</definedName>
    <definedName name="_AMO_ContentDefinition_643045985.6" hidden="1">"'inition&amp;quot;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promptId=&amp;quot;PromptDef_14259164'"</definedName>
    <definedName name="_AMO_ContentDefinition_643045985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/&amp;gt;&amp;lt;/Value&amp;gt;&amp;lt;/PromptDefinitionReference&amp;gt;&amp;lt;/Defin'"</definedName>
    <definedName name="_AMO_ContentDefinition_643045985.8" hidden="1">"'itionReferencesAndValues&amp;gt;&amp;lt;/PromptValues&amp;gt;""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&amp;lt;'"</definedName>
    <definedName name="_AMO_ContentDefinition_643045985.9" hidden="1">"'Version&amp;gt;1&amp;lt;/Version&amp;gt;&amp;#xD;&amp;#xA;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&amp;lt;DisplayName&amp;gt;Analis'"</definedName>
    <definedName name="_AMO_ContentDefinition_659937799" hidden="1">"'Partitions:15'"</definedName>
    <definedName name="_AMO_ContentDefinition_659937799.0" hidden="1">"'&lt;ContentDefinition name=""Analise Resultado"" rsid=""659937799"" type=""StoredProcess"" format=""ReportXml"" imgfmt=""ActiveXImage"" created=""03/23/2015 14:53:09"" modifed=""03/23/2015 14:53:09"" user=""Thiago Roberto Magalhães Veloso (SRE)"" appl'"</definedName>
    <definedName name="_AMO_ContentDefinition_659937799.1" hidden="1">"'y=""False"" css=""C:\Program Files\SASHome\SASAddinforMicrosoftOffice\6.1\Styles\AMODefault.css"" range=""Analise_Resultado"" auto=""False"" xTime=""00:00:37.7774080"" rTime=""00:00:14.6113149"" bgnew=""False"" nFmt=""False"" grphSet=""True"" imgY'"</definedName>
    <definedName name="_AMO_ContentDefinition_659937799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659937799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659937799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659937799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659937799.14" hidden="1">"'in.srx"" v=""0"" /&gt;_x000D_
  &lt;ExcelXMLOptions AdjColWidths=""True"" RowOpt=""InsertEntire"" ColOpt=""InsertCells"" /&gt;_x000D_
&lt;/ContentDefinition&gt;'"</definedName>
    <definedName name="_AMO_ContentDefinition_659937799.2" hidden="1">"'=""0"" imgX=""0"" redirect=""False""&gt;_x000D_
  &lt;files&gt;C:\Users\thiagomagalhaes\Documents\My SAS Files\Add-In for Microsoft Office\_SOA_A57QXCXO.BH000HXI_146258616\main.srx&lt;/files&gt;_x000D_
  &lt;parents /&gt;_x000D_
  &lt;children /&gt;_x000D_
  &lt;param n=""DisplayName"" v=""Analise Resul'"</definedName>
    <definedName name="_AMO_ContentDefinition_659937799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59937799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659937799.5" hidden="1">"'ing obj=&amp;quot;p3&amp;quot; value=&amp;quot;Sim&amp;quot; /&amp;gt;&amp;lt;/Value&amp;gt;&amp;lt;/PromptDefinitionReference&amp;gt;&amp;lt;PromptDefinitionReference obj=&amp;quot;p4&amp;quot; promptId=&amp;quot;PromptDef_1425916438128_200439&amp;quot; name=&amp;quot;Idsreag&amp;quot; definitionType=&amp;quot;TextDe'"</definedName>
    <definedName name="_AMO_ContentDefinition_659937799.6" hidden="1">"'finition&amp;quot; selectionType=&amp;quot;Single&amp;quot;&amp;gt;&amp;lt;Value&amp;gt;&amp;lt;String obj=&amp;quot;p5&amp;quot; value=&amp;quot;130&amp;quot; /&amp;gt;&amp;lt;/Value&amp;gt;&amp;lt;/PromptDefinitionReference&amp;gt;&amp;lt;PromptDefinitionReference obj=&amp;quot;p6&amp;quot; promptId=&amp;quot;PromptDef_14259164'"</definedName>
    <definedName name="_AMO_ContentDefinition_659937799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/&amp;gt;&amp;lt;/Value&amp;gt;&amp;lt;/PromptDefinitionReference&amp;gt;&amp;lt;Prompt'"</definedName>
    <definedName name="_AMO_ContentDefinition_659937799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659937799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663608823" hidden="1">"'Partitions:15'"</definedName>
    <definedName name="_AMO_ContentDefinition_663608823.0" hidden="1">"'&lt;ContentDefinition name=""Analise Resultado"" rsid=""663608823"" type=""StoredProcess"" format=""ReportXml"" imgfmt=""ActiveXImage"" created=""03/26/2015 15:53:43"" modifed=""03/26/2015 15:53:43"" user=""Thiago Roberto Magalhães Veloso (SRE)"" appl'"</definedName>
    <definedName name="_AMO_ContentDefinition_663608823.1" hidden="1">"'y=""False"" css=""C:\Program Files\SASHome\SASAddinforMicrosoftOffice\6.1\Styles\AMODefault.css"" range=""Analise_Resultado"" auto=""False"" xTime=""00:00:10.4288460"" rTime=""00:00:14.8208892"" bgnew=""False"" nFmt=""False"" grphSet=""True"" imgY'"</definedName>
    <definedName name="_AMO_ContentDefinition_663608823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663608823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663608823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663608823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663608823.14" hidden="1">"'in.srx"" v=""0"" /&gt;_x000D_
  &lt;ExcelXMLOptions AdjColWidths=""True"" RowOpt=""InsertEntire"" ColOpt=""InsertCells"" /&gt;_x000D_
&lt;/ContentDefinition&gt;'"</definedName>
    <definedName name="_AMO_ContentDefinition_663608823.2" hidden="1">"'=""0"" imgX=""0"" redirect=""False""&gt;_x000D_
  &lt;files&gt;C:\Users\thiagomagalhaes\Documents\My SAS Files\Add-In for Microsoft Office\_SOA_A57QXCXO.BH000HXI_312207703\main.srx&lt;/files&gt;_x000D_
  &lt;parents /&gt;_x000D_
  &lt;children /&gt;_x000D_
  &lt;param n=""DisplayName"" v=""Analise Resul'"</definedName>
    <definedName name="_AMO_ContentDefinition_663608823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63608823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663608823.5" hidden="1">"'=&amp;quot;p3&amp;quot; value=&amp;quot;130&amp;quot; /&amp;gt;&amp;lt;/Value&amp;gt;&amp;lt;/PromptDefinitionReference&amp;gt;&amp;lt;PromptDefinitionReference obj=&amp;quot;p4&amp;quot; promptId=&amp;quot;PromptDef_1425916438113_758944&amp;quot; name=&amp;quot;Anocalc&amp;quot; definitionType=&amp;quot;TextDefinitio'"</definedName>
    <definedName name="_AMO_ContentDefinition_663608823.6" hidden="1">"'n&amp;quot;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promptId=&amp;quot;PromptDef_1425916438129_'"</definedName>
    <definedName name="_AMO_ContentDefinition_663608823.7" hidden="1">"'508769&amp;quot; name=&amp;quot;AnaliseMercado&amp;quot;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/&amp;gt;&amp;lt;/Value&amp;gt;&amp;lt;/PromptDefinitionReference&amp;gt;&amp;lt;Prompt'"</definedName>
    <definedName name="_AMO_ContentDefinition_663608823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663608823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703996623" hidden="1">"'Partitions:14'"</definedName>
    <definedName name="_AMO_ContentDefinition_703996623.0" hidden="1">"'&lt;ContentDefinition name=""Analise Resultado"" rsid=""703996623"" type=""StoredProcess"" format=""ReportXml"" imgfmt=""ActiveX"" created=""05/27/2015 16:04:41"" modifed=""05/27/2015 16:09:32"" user=""nadiamaki"" apply=""False"" css=""C:\Program Files ('"</definedName>
    <definedName name="_AMO_ContentDefinition_703996623.1" hidden="1">"'x86)\SASHome\x86\SASAddinforMicrosoftOffice\6.1\Styles\AMODefault.css"" range=""Analise_Resultado"" auto=""False"" xTime=""00:00:17.4103482"" rTime=""00:00:01.5700314"" bgnew=""False"" nFmt=""False"" grphSet=""True"" imgY=""0"" imgX=""0"" redirect=""'"</definedName>
    <definedName name="_AMO_ContentDefinition_703996623.10" hidden="1">"'D;&amp;#xA;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Resultado&amp;lt;/Path&amp;gt;&amp;#xD;&amp;#xA;&amp;lt;/DNA&amp;gt;""'"</definedName>
    <definedName name="_AMO_ContentDefinition_703996623.11" hidden="1">"' /&gt;_x000D_
  &lt;param n=""ServerName"" v=""SASApp"" /&gt;_x000D_
  &lt;param n=""ClassName"" v=""SAS.OfficeAddin.StoredProcess"" /&gt;_x000D_
  &lt;param n=""XlNative"" v=""False"" /&gt;_x000D_
  &lt;param n=""UnselectedIds"" v="""" /&gt;_x000D_
  &lt;param n=""_ROM_Version_"" v=""1.3"" /&gt;_x000D_
  &lt;param n=""'"</definedName>
    <definedName name="_AMO_ContentDefinition_703996623.12" hidden="1">"'_ROM_Application_"" v=""ODS"" /&gt;_x000D_
  &lt;param n=""_ROM_AppVersion_"" v=""9.4"" /&gt;_x000D_
  &lt;param n=""maxReportCols"" v=""10"" /&gt;_x000D_
  &lt;fids n=""main.srx"" v=""0"" /&gt;_x000D_
  &lt;ExcelXMLOptions AdjColWidths=""True"" RowOpt=""InsertEntire"" ColOpt=""InsertCells"" /&gt;_x000D_'"</definedName>
    <definedName name="_AMO_ContentDefinition_703996623.13" hidden="1">"'
&lt;/ContentDefinition&gt;'"</definedName>
    <definedName name="_AMO_ContentDefinition_703996623.14" hidden="1">"'tions AdjColWidths=""True"" RowOpt=""InsertEntire"" ColOpt=""InsertCells"" /&gt;_x000D_
&lt;/ContentDefinition&gt;'"</definedName>
    <definedName name="_AMO_ContentDefinition_703996623.2" hidden="1">"'False""&gt;_x000D_
  &lt;files&gt;C:\Users\nadiamaki\Documents\My SAS Files\Add-In for Microsoft Office\_SOA_A57QXCXO.BH000HXI_305936847\main.srx&lt;/files&gt;_x000D_
  &lt;parents /&gt;_x000D_
  &lt;children /&gt;_x000D_
  &lt;param n=""DisplayName"" v=""Analise Resultado"" /&gt;_x000D_
  &lt;param n=""DisplayTyp'"</definedName>
    <definedName name="_AMO_ContentDefinition_703996623.3" hidden="1">"'e""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version=&amp;quot;1.0&amp;quot;&amp;gt;&amp;lt;DefinitionReferencesAndValues&amp;gt;&amp;lt;PromptDefi'"</definedName>
    <definedName name="_AMO_ContentDefinition_703996623.4" hidden="1">"'nitionReference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value=&amp;quot;'"</definedName>
    <definedName name="_AMO_ContentDefinition_703996623.5" hidden="1">"'2014&amp;quot;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selectionType=&amp;quot'"</definedName>
    <definedName name="_AMO_ContentDefinition_703996623.6" hidden="1">"';Single&amp;quot;&amp;gt;&amp;lt;Value&amp;gt;&amp;lt;String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promptId=&amp;quot;PromptDef_1425916438128_200439&amp;quot; name=&amp;quot;Ids'"</definedName>
    <definedName name="_AMO_ContentDefinition_703996623.7" hidden="1">"'reag&amp;quot; definitionType=&amp;quot;TextDefinition&amp;quot; selectionType=&amp;quot;Single&amp;quot;&amp;gt;&amp;lt;Value&amp;gt;&amp;lt;String obj=&amp;quot;p7&amp;quot; value=&amp;quot;145&amp;quot; /&amp;gt;&amp;lt;/Value&amp;gt;&amp;lt;/PromptDefinitionReference&amp;gt;&amp;lt;/DefinitionReferencesAndValues&amp;gt;&amp;lt;/P'"</definedName>
    <definedName name="_AMO_ContentDefinition_703996623.8" hidden="1">"'romptValues&amp;gt;""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&amp;lt;Version&amp;gt;1&amp;lt;/Version&amp;gt;&amp;#xD;&amp;'"</definedName>
    <definedName name="_AMO_ContentDefinition_703996623.9" hidden="1">"'#xA;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Resultado&amp;lt;/DisplayName&amp;gt;&amp;#x'"</definedName>
    <definedName name="_AMO_ContentDefinition_718052594" hidden="1">"'Partitions:15'"</definedName>
    <definedName name="_AMO_ContentDefinition_718052594.0" hidden="1">"'&lt;ContentDefinition name=""Analise Resultado"" rsid=""718052594"" type=""StoredProcess"" format=""ReportXml"" imgfmt=""ActiveX"" created=""05/22/2015 18:04:24"" modifed=""05/22/2015 18:04:24"" user=""danieldanna"" apply=""False"" css=""C:\Program Files'"</definedName>
    <definedName name="_AMO_ContentDefinition_718052594.1" hidden="1">"' (x86)\SASHome\x86\SASAddinforMicrosoftOffice\6.1\Styles\AMODefault.css"" range=""Analise_Resultado"" auto=""False"" xTime=""00:00:15.3506248"" rTime=""00:00:17.5802984"" bgnew=""False"" nFmt=""False"" grphSet=""True"" imgY=""0"" imgX=""0"" redirect'"</definedName>
    <definedName name="_AMO_ContentDefinition_718052594.10" hidden="1">"'t;Analise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&amp;lt;ParentName&amp;gt;Consultas&amp;lt;/Par'"</definedName>
    <definedName name="_AMO_ContentDefinition_718052594.11" hidden="1">"'entName&amp;gt;&amp;#xD;&amp;#xA;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'"</definedName>
    <definedName name="_AMO_ContentDefinition_718052594.12" hidden="1">"'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n=""Un'"</definedName>
    <definedName name="_AMO_ContentDefinition_718052594.13" hidden="1">"'selectedIds""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&lt;ExcelXMLO'"</definedName>
    <definedName name="_AMO_ContentDefinition_718052594.14" hidden="1">"'ptions AdjColWidths=""True"" RowOpt=""InsertEntire"" ColOpt=""InsertCells"" /&gt;_x000D_
&lt;/ContentDefinition&gt;'"</definedName>
    <definedName name="_AMO_ContentDefinition_718052594.2" hidden="1">"'=""False""&gt;_x000D_
  &lt;files&gt;C:\Users\danieldanna\Documents\My SAS Files\Add-In for Microsoft Office\_SOA_A57QXCXO.BH000HXI_605629069\main.srx&lt;/files&gt;_x000D_
  &lt;parents /&gt;_x000D_
  &lt;children /&gt;_x000D_
  &lt;param n=""DisplayName"" v=""Analise Resultado"" /&gt;_x000D_
  &lt;param n=""Displa'"</definedName>
    <definedName name="_AMO_ContentDefinition_718052594.3" hidden="1">"'yType""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version=&amp;quot;1.0&amp;quot;&amp;gt;&amp;lt;DefinitionReferencesAndValues&amp;gt;&amp;lt;Prompt'"</definedName>
    <definedName name="_AMO_ContentDefinition_718052594.4" hidden="1">"'DefinitionReference obj=&amp;quot;p2&amp;quot; promptId=&amp;quot;PromptDef_1425916438129_508769&amp;quot; name=&amp;quot;AnaliseMercado&amp;quot; definitionType=&amp;quot;TextDefinition&amp;quot; selectionType=&amp;quot;Single&amp;quot;&amp;gt;&amp;lt;Value&amp;gt;&amp;lt;String obj=&amp;quot;p3&amp;quot; value=&amp;'"</definedName>
    <definedName name="_AMO_ContentDefinition_718052594.5" hidden="1">"'quot;Sim&amp;quot; /&amp;gt;&amp;lt;/Value&amp;gt;&amp;lt;/PromptDefinitionReference&amp;gt;&amp;lt;PromptDefinitionReference obj=&amp;quot;p4&amp;quot; promptId=&amp;quot;PromptDef_1425916525967_745390&amp;quot; name=&amp;quot;AnoInicioCalc&amp;quot; definitionType=&amp;quot;TextDefinition&amp;quot; selection'"</definedName>
    <definedName name="_AMO_ContentDefinition_718052594.6" hidden="1">"'Type=&amp;quot;Single&amp;quot;&amp;gt;&amp;lt;Value&amp;gt;&amp;lt;String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promptId=&amp;quot;PromptDef_1425916438128_200439&amp;quot; name'"</definedName>
    <definedName name="_AMO_ContentDefinition_718052594.7" hidden="1">"'=&amp;quot;Idsreag&amp;quot; definitionType=&amp;quot;TextDefinition&amp;quot; selectionType=&amp;quot;Single&amp;quot;&amp;gt;&amp;lt;Value&amp;gt;&amp;lt;String obj=&amp;quot;p7&amp;quot; value=&amp;quot;145&amp;quot; /&amp;gt;&amp;lt;/Value&amp;gt;&amp;lt;/PromptDefinitionReference&amp;gt;&amp;lt;PromptDefinitionReference obj='"</definedName>
    <definedName name="_AMO_ContentDefinition_718052594.8" hidden="1">"'&amp;quot;p8&amp;quot;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value=&amp;quot;2015&amp;quot; /&amp;gt;&amp;lt;/Value'"</definedName>
    <definedName name="_AMO_ContentDefinition_718052594.9" hidden="1">"'&amp;gt;&amp;lt;/PromptDefinitionReference&amp;gt;&amp;lt;/DefinitionReferencesAndValues&amp;gt;&amp;lt;/PromptValues&amp;gt;""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&amp;lt;Name&amp;g'"</definedName>
    <definedName name="_AMO_ContentDefinition_751190492" hidden="1">"'Partitions:15'"</definedName>
    <definedName name="_AMO_ContentDefinition_751190492.0" hidden="1">"'&lt;ContentDefinition name=""Analise Resultado"" rsid=""751190492"" type=""StoredProcess"" format=""ReportXml"" imgfmt=""ActiveXImage"" created=""06/19/2015 19:32:00"" modifed=""06/19/2015 19:54:41"" user=""Thiago Roberto Magalhães Veloso (SRE)"" appl'"</definedName>
    <definedName name="_AMO_ContentDefinition_751190492.1" hidden="1">"'y=""False"" css=""C:\Program Files\SASHome\SASAddinforMicrosoftOffice\6.1\Styles\AMODefault.css"" range=""Analise_Resultado"" auto=""False"" xTime=""00:00:15.3600714"" rTime=""00:00:01.6993398"" bgnew=""False"" nFmt=""False"" grphSet=""True"" imgY'"</definedName>
    <definedName name="_AMO_ContentDefinition_751190492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751190492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751190492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751190492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751190492.14" hidden="1">"'in.srx"" v=""0"" /&gt;_x000D_
  &lt;ExcelXMLOptions AdjColWidths=""True"" RowOpt=""InsertEntire"" ColOpt=""InsertCells"" /&gt;_x000D_
&lt;/ContentDefinition&gt;'"</definedName>
    <definedName name="_AMO_ContentDefinition_751190492.2" hidden="1">"'=""0"" imgX=""0"" redirect=""False""&gt;_x000D_
  &lt;files&gt;C:\Users\thiagomagalhaes\Documents\My SAS Files\Add-In for Microsoft Office\_SOA_A57QXCXO.BH000HXI_976796089\main.srx&lt;/files&gt;_x000D_
  &lt;parents /&gt;_x000D_
  &lt;children /&gt;_x000D_
  &lt;param n=""DisplayName"" v=""Analise Resul'"</definedName>
    <definedName name="_AMO_ContentDefinition_751190492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751190492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751190492.5" hidden="1">"'=&amp;quot;p3&amp;quot; value=&amp;quot;148&amp;quot; /&amp;gt;&amp;lt;/Value&amp;gt;&amp;lt;/PromptDefinitionReference&amp;gt;&amp;lt;PromptDefinitionReference obj=&amp;quot;p4&amp;quot; promptId=&amp;quot;PromptDef_1425916438113_758944&amp;quot; name=&amp;quot;Anocalc&amp;quot; definitionType=&amp;quot;TextDefinitio'"</definedName>
    <definedName name="_AMO_ContentDefinition_751190492.6" hidden="1">"'n&amp;quot;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promptId=&amp;quot;PromptDef_1425916438129_'"</definedName>
    <definedName name="_AMO_ContentDefinition_751190492.7" hidden="1">"'508769&amp;quot; name=&amp;quot;AnaliseMercado&amp;quot;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/&amp;gt;&amp;lt;/Value&amp;gt;&amp;lt;/PromptDefinitionReference&amp;gt;&amp;lt;Prompt'"</definedName>
    <definedName name="_AMO_ContentDefinition_751190492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751190492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755891465" hidden="1">"'Partitions:15'"</definedName>
    <definedName name="_AMO_ContentDefinition_755891465.0" hidden="1">"'&lt;ContentDefinition name=""Analise Resultado"" rsid=""755891465"" type=""StoredProcess"" format=""ReportXml"" imgfmt=""ActiveX"" created=""03/13/2015 19:35:09"" modifed=""03/13/2015 19:35:09"" user=""kenji"" apply=""False"" css=""C:\Program Files (x86)'"</definedName>
    <definedName name="_AMO_ContentDefinition_755891465.1" hidden="1">"'\SASHome\x86\SASAddinforMicrosoftOffice\6.1\Styles\AMODefault.css"" range=""Analise_Resultado"" auto=""False"" xTime=""00:00:11.5961595"" rTime=""00:00:13.2643263"" bgnew=""False"" nFmt=""False"" grphSet=""True"" imgY=""0"" imgX=""0"" redirect=""Fals'"</definedName>
    <definedName name="_AMO_ContentDefinition_755891465.10" hidden="1">"'ltado&amp;lt;/Name&amp;gt;&amp;#xD;&amp;#xA;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&amp;lt;ParentName&amp;gt;Consultas&amp;lt;/ParentName&amp;gt;&amp;#x'"</definedName>
    <definedName name="_AMO_ContentDefinition_755891465.11" hidden="1">"'D;&amp;#xA;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&amp;lt;Path&amp;gt;/'"</definedName>
    <definedName name="_AMO_ContentDefinition_755891465.12" hidden="1">"'SRE/Consultas/Analise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n=""UnselectedIds""'"</definedName>
    <definedName name="_AMO_ContentDefinition_755891465.13" hidden="1">"'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AdjC'"</definedName>
    <definedName name="_AMO_ContentDefinition_755891465.14" hidden="1">"'olWidths=""True"" RowOpt=""InsertEntire"" ColOpt=""InsertCells"" /&gt;_x000D_
&lt;/ContentDefinition&gt;'"</definedName>
    <definedName name="_AMO_ContentDefinition_755891465.2" hidden="1">"'e""&gt;_x000D_
  &lt;files&gt;C:\Users\kenji\Documents\My SAS Files\Add-In for Microsoft Office\_SOA_A57QXCXO.BH000HXI_698145469\main.srx&lt;/files&gt;_x000D_
  &lt;parents /&gt;_x000D_
  &lt;children /&gt;_x000D_
  &lt;param n=""DisplayName"" v=""Analise Resultado"" /&gt;_x000D_
  &lt;param n=""DisplayType"" v=""St'"</definedName>
    <definedName name="_AMO_ContentDefinition_755891465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755891465.4" hidden="1">"'rence obj=&amp;quot;p2&amp;quot; promptId=&amp;quot;PromptDef_1425916438113_758944&amp;quot; name=&amp;quot;Anocalc&amp;quot; definitionType=&amp;quot;TextDefinition&amp;quot; selectionType=&amp;quot;Single&amp;quot;&amp;gt;&amp;lt;Value&amp;gt;&amp;lt;String obj=&amp;quot;p3&amp;quot; value=&amp;quot;2015&amp;quot; /&amp;gt;'"</definedName>
    <definedName name="_AMO_ContentDefinition_755891465.5" hidden="1">"'&amp;lt;/Value&amp;gt;&amp;lt;/PromptDefinitionReference&amp;gt;&amp;lt;PromptDefinitionReference obj=&amp;quot;p4&amp;quot; promptId=&amp;quot;PromptDef_1425916525967_745390&amp;quot; name=&amp;quot;AnoInicioCalc&amp;quot; definitionType=&amp;quot;TextDefinition&amp;quot; selectionType=&amp;quot;Single&amp;qu'"</definedName>
    <definedName name="_AMO_ContentDefinition_755891465.6" hidden="1">"'ot;&amp;gt;&amp;lt;Value&amp;gt;&amp;lt;String obj=&amp;quot;p5&amp;quot; value=&amp;quot;2014&amp;quot; /&amp;gt;&amp;lt;/Value&amp;gt;&amp;lt;/PromptDefinitionReference&amp;gt;&amp;lt;PromptDefinitionReference obj=&amp;quot;p6&amp;quot; promptId=&amp;quot;PromptDef_1425916438128_200439&amp;quot; name=&amp;quot;Idsreag&amp;quot;'"</definedName>
    <definedName name="_AMO_ContentDefinition_755891465.7" hidden="1">"' definitionType=&amp;quot;TextDefinition&amp;quot; selectionType=&amp;quot;Single&amp;quot;&amp;gt;&amp;lt;Value&amp;gt;&amp;lt;String obj=&amp;quot;p7&amp;quot; value=&amp;quot;130&amp;quot; /&amp;gt;&amp;lt;/Value&amp;gt;&amp;lt;/PromptDefinitionReference&amp;gt;&amp;lt;PromptDefinitionReference obj=&amp;quot;p8&amp;quot; promp'"</definedName>
    <definedName name="_AMO_ContentDefinition_755891465.8" hidden="1">"'tId=&amp;quot;PromptDef_1425916438129_508769&amp;quot; name=&amp;quot;AnaliseMercado&amp;quot; definitionType=&amp;quot;TextDefinition&amp;quot; selectionType=&amp;quot;Single&amp;quot;&amp;gt;&amp;lt;Value&amp;gt;&amp;lt;String obj=&amp;quot;p9&amp;quot; value=&amp;quot;Sim&amp;quot; /&amp;gt;&amp;lt;/Value&amp;gt;&amp;lt;/Promp'"</definedName>
    <definedName name="_AMO_ContentDefinition_755891465.9" hidden="1">"'tDefinitionReference&amp;gt;&amp;lt;/DefinitionReferencesAndValues&amp;gt;&amp;lt;/PromptValues&amp;gt;""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Resu'"</definedName>
    <definedName name="_AMO_ContentDefinition_907815323" hidden="1">"'Partitions:14'"</definedName>
    <definedName name="_AMO_ContentDefinition_907815323.0" hidden="1">"'&lt;ContentDefinition name=""Analise Resultado"" rsid=""907815323"" type=""StoredProcess"" format=""ReportXml"" imgfmt=""ActiveX"" created=""03/09/2015 15:56:42"" modifed=""03/09/2015 19:56:46"" user=""kenji"" apply=""False"" css=""C:\Program Files (x86)'"</definedName>
    <definedName name="_AMO_ContentDefinition_907815323.1" hidden="1">"'\SASHome\x86\SASAddinforMicrosoftOffice\6.1\Styles\AMODefault.css"" range=""Analise_Resultado"" auto=""False"" xTime=""00:00:09.2569256"" rTime=""00:00:03.9653965"" bgnew=""False"" nFmt=""False"" grphSet=""True"" imgY=""0"" imgX=""0"" redirect=""Fals'"</definedName>
    <definedName name="_AMO_ContentDefinition_907815323.10" hidden="1">"'lt;SBIP&amp;gt;/SRE/Consultas/Analise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 /&gt;_x000D_
  &lt;pa'"</definedName>
    <definedName name="_AMO_ContentDefinition_907815323.11" hidden="1">"'ram n=""ServerName"" v=""SASApp"" /&gt;_x000D_
  &lt;param n=""ClassName"" v=""SAS.OfficeAddin.StoredProcess"" /&gt;_x000D_
  &lt;param n=""XlNative"" v=""False"" /&gt;_x000D_
  &lt;param n=""UnselectedIds"" v=""F0.SEC2.Tabulate_1.SEC1.HDR.TXT1|F0.SEC2.Tabulate_1.SEC1.BDY.Cross_tabular_'"</definedName>
    <definedName name="_AMO_ContentDefinition_907815323.12" hidden="1">"'summary_report_Table_1"" /&gt;_x000D_
  &lt;param n=""_ROM_Version_"" v=""1.3"" /&gt;_x000D_
  &lt;param n=""_ROM_Application_"" v=""ODS"" /&gt;_x000D_
  &lt;param n=""_ROM_AppVersion_"" v=""9.4"" /&gt;_x000D_
  &lt;param n=""maxReportCols"" v=""7"" /&gt;_x000D_
  &lt;fids n=""main.srx"" v=""0"" /&gt;_x000D_
  &lt;ExcelXM'"</definedName>
    <definedName name="_AMO_ContentDefinition_907815323.13" hidden="1">"'LOptions AdjColWidths=""True"" RowOpt=""InsertEntire"" ColOpt=""InsertCells"" /&gt;_x000D_
&lt;/ContentDefinition&gt;'"</definedName>
    <definedName name="_AMO_ContentDefinition_907815323.14" hidden="1">"' n=""maxReportCols"" v=""7"" /&gt;_x000D_
  &lt;fids n=""main.srx"" v=""0"" /&gt;_x000D_
  &lt;ExcelXMLOptions AdjColWidths=""True"" RowOpt=""InsertEntire"" ColOpt=""InsertCells"" /&gt;_x000D_
&lt;/ContentDefinition&gt;'"</definedName>
    <definedName name="_AMO_ContentDefinition_907815323.2" hidden="1">"'e""&gt;_x000D_
  &lt;files&gt;C:\Users\kenji\Documents\My SAS Files\Add-In for Microsoft Office\_SOA_A57QXCXO.BH000HXI_521013942\main.srx&lt;/files&gt;_x000D_
  &lt;parents /&gt;_x000D_
  &lt;children /&gt;_x000D_
  &lt;param n=""DisplayName"" v=""Analise Resultado"" /&gt;_x000D_
  &lt;param n=""DisplayType"" v=""St'"</definedName>
    <definedName name="_AMO_ContentDefinition_907815323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907815323.4" hidden="1">"'rence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value=&amp;quot;2014&amp;quot;'"</definedName>
    <definedName name="_AMO_ContentDefinition_907815323.5" hidden="1">"' /&amp;gt;&amp;lt;/Value&amp;gt;&amp;lt;/PromptDefinitionReference&amp;gt;&amp;lt;PromptDefinitionReference obj=&amp;quot;p4&amp;quot; promptId=&amp;quot;PromptDef_1425916438128_200439&amp;quot; name=&amp;quot;Idsreag&amp;quot; definitionType=&amp;quot;TextDefinition&amp;quot; selectionType=&amp;quot;Single&amp;qu'"</definedName>
    <definedName name="_AMO_ContentDefinition_907815323.6" hidden="1">"'ot;&amp;gt;&amp;lt;Value&amp;gt;&amp;lt;String obj=&amp;quot;p5&amp;quot; value=&amp;quot;130&amp;quot; /&amp;gt;&amp;lt;/Value&amp;gt;&amp;lt;/PromptDefinitionReference&amp;gt;&amp;lt;PromptDefinitionReference obj=&amp;quot;p6&amp;quot; promptId=&amp;quot;PromptDef_1425916438113_758944&amp;quot; name=&amp;quot;Anocalc&amp;quot; '"</definedName>
    <definedName name="_AMO_ContentDefinition_907815323.7" hidden="1">"'definitionType=&amp;quot;TextDefinition&amp;quot; selectionType=&amp;quot;Single&amp;quot;&amp;gt;&amp;lt;Value&amp;gt;&amp;lt;String obj=&amp;quot;p7&amp;quot; value=&amp;quot;2015&amp;quot; /&amp;gt;&amp;lt;/Value&amp;gt;&amp;lt;/PromptDefinitionReference&amp;gt;&amp;lt;/DefinitionReferencesAndValues&amp;gt;&amp;lt;/PromptValue'"</definedName>
    <definedName name="_AMO_ContentDefinition_907815323.8" hidden="1">"'s&amp;gt;""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&amp;lt;Version&amp;gt;1&amp;lt;/Version&amp;gt;&amp;#xD;&amp;#xA;  &amp;lt;'"</definedName>
    <definedName name="_AMO_ContentDefinition_907815323.9" hidden="1">"'Assembly&amp;gt;SAS.EG.SDS.Model&amp;lt;/Assembly&amp;gt;&amp;#xD;&amp;#xA;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Resultado&amp;lt;/DisplayName&amp;gt;&amp;#xD;&amp;#xA;  &amp;'"</definedName>
    <definedName name="_AMO_ContentDefinition_917437536" hidden="1">"'Partitions:15'"</definedName>
    <definedName name="_AMO_ContentDefinition_917437536.0" hidden="1">"'&lt;ContentDefinition name=""Analise Resultado"" rsid=""917437536"" type=""StoredProcess"" format=""ReportXml"" imgfmt=""ActiveXImage"" created=""06/15/2015 18:05:30"" modifed=""06/15/2015 18:59:06"" user=""Thiago Roberto Magalhães Veloso (SRE)"" appl'"</definedName>
    <definedName name="_AMO_ContentDefinition_917437536.1" hidden="1">"'y=""False"" css=""C:\Program Files\SASHome\SASAddinforMicrosoftOffice\6.1\Styles\AMODefault.css"" range=""Analise_Resultado"" auto=""False"" xTime=""00:00:17.8527851"" rTime=""00:00:03.9073907"" bgnew=""False"" nFmt=""False"" grphSet=""True"" imgY'"</definedName>
    <definedName name="_AMO_ContentDefinition_917437536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917437536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917437536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917437536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917437536.14" hidden="1">"'in.srx"" v=""0"" /&gt;_x000D_
  &lt;ExcelXMLOptions AdjColWidths=""True"" RowOpt=""InsertEntire"" ColOpt=""InsertCells"" /&gt;_x000D_
&lt;/ContentDefinition&gt;'"</definedName>
    <definedName name="_AMO_ContentDefinition_917437536.2" hidden="1">"'=""0"" imgX=""0"" redirect=""False""&gt;_x000D_
  &lt;files&gt;C:\Users\thiagomagalhaes\Documents\My SAS Files\Add-In for Microsoft Office\_SOA_A57QXCXO.BH000HXI_711483256\main.srx&lt;/files&gt;_x000D_
  &lt;parents /&gt;_x000D_
  &lt;children /&gt;_x000D_
  &lt;param n=""DisplayName"" v=""Analise Resul'"</definedName>
    <definedName name="_AMO_ContentDefinition_917437536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917437536.4" hidden="1">"'erencesAndValues&amp;gt;&amp;lt;PromptDefinitionReference obj=&amp;quot;p2&amp;quot; promptId=&amp;quot;PromptDef_1425916525967_745390&amp;quot; name=&amp;quot;AnoInicioCalc&amp;quot; definitionType=&amp;quot;TextDefinition&amp;quot; selectionType=&amp;quot;Single&amp;quot;&amp;gt;&amp;lt;Value&amp;gt;&amp;lt;Stri'"</definedName>
    <definedName name="_AMO_ContentDefinition_917437536.5" hidden="1">"'ng obj=&amp;quot;p3&amp;quot; value=&amp;quot;2014&amp;quot; /&amp;gt;&amp;lt;/Value&amp;gt;&amp;lt;/PromptDefinitionReference&amp;gt;&amp;lt;PromptDefinitionReference obj=&amp;quot;p4&amp;quot; promptId=&amp;quot;PromptDef_1425916438113_758944&amp;quot; name=&amp;quot;Anocalc&amp;quot; definitionType=&amp;quot;TextDe'"</definedName>
    <definedName name="_AMO_ContentDefinition_917437536.6" hidden="1">"'finition&amp;quot;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promptId=&amp;quot;PromptDef_1425916'"</definedName>
    <definedName name="_AMO_ContentDefinition_917437536.7" hidden="1">"'438128_200439&amp;quot;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/&amp;gt;&amp;lt;/Value&amp;gt;&amp;lt;/PromptDefinitionReference&amp;gt;&amp;lt;Prompt'"</definedName>
    <definedName name="_AMO_ContentDefinition_917437536.8" hidden="1">"'DefinitionReference obj=&amp;quot;p8&amp;quot; promptId=&amp;quot;PromptDef_1425916438129_508769&amp;quot; name=&amp;quot;AnaliseMercado&amp;quot; definitionType=&amp;quot;TextDefinition&amp;quot; selectionType=&amp;quot;Single&amp;quot;&amp;gt;&amp;lt;Value&amp;gt;&amp;lt;String obj=&amp;quot;p9&amp;quot; value=&amp;'"</definedName>
    <definedName name="_AMO_ContentDefinition_917437536.9" hidden="1">"'quot;Sim&amp;quot;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974704765" hidden="1">"'Partitions:15'"</definedName>
    <definedName name="_AMO_ContentDefinition_974704765.0" hidden="1">"'&lt;ContentDefinition name=""Analise Resultado"" rsid=""974704765"" type=""StoredProcess"" format=""ReportXml"" imgfmt=""ActiveXImage"" created=""06/19/2015 19:58:28"" modifed=""06/19/2015 19:58:28"" user=""Thiago Roberto Magalhães Veloso (SRE)"" appl'"</definedName>
    <definedName name="_AMO_ContentDefinition_974704765.1" hidden="1">"'y=""False"" css=""C:\Program Files\SASHome\SASAddinforMicrosoftOffice\6.1\Styles\AMODefault.css"" range=""Analise_Resultado"" auto=""False"" xTime=""00:00:15.2061575"" rTime=""00:00:16.8876886"" bgnew=""False"" nFmt=""False"" grphSet=""True"" imgY'"</definedName>
    <definedName name="_AMO_ContentDefinition_974704765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974704765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974704765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974704765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974704765.14" hidden="1">"'in.srx"" v=""0"" /&gt;_x000D_
  &lt;ExcelXMLOptions AdjColWidths=""True"" RowOpt=""InsertEntire"" ColOpt=""InsertCells"" /&gt;_x000D_
&lt;/ContentDefinition&gt;'"</definedName>
    <definedName name="_AMO_ContentDefinition_974704765.2" hidden="1">"'=""0"" imgX=""0"" redirect=""False""&gt;_x000D_
  &lt;files&gt;C:\Users\thiagomagalhaes\Documents\My SAS Files\Add-In for Microsoft Office\_SOA_A57QXCXO.BH000HXI_190356460\main.srx&lt;/files&gt;_x000D_
  &lt;parents /&gt;_x000D_
  &lt;children /&gt;_x000D_
  &lt;param n=""DisplayName"" v=""Analise Resul'"</definedName>
    <definedName name="_AMO_ContentDefinition_974704765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974704765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974704765.5" hidden="1">"'ing obj=&amp;quot;p3&amp;quot; value=&amp;quot;Sim&amp;quot; /&amp;gt;&amp;lt;/Value&amp;gt;&amp;lt;/PromptDefinitionReference&amp;gt;&amp;lt;PromptDefinitionReference obj=&amp;quot;p4&amp;quot; promptId=&amp;quot;PromptDef_1425916525967_745390&amp;quot; name=&amp;quot;AnoInicioCalc&amp;quot; definitionType=&amp;quot;'"</definedName>
    <definedName name="_AMO_ContentDefinition_974704765.6" hidden="1">"'TextDefinition&amp;quot;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promptId=&amp;quot;PromptDef_1'"</definedName>
    <definedName name="_AMO_ContentDefinition_974704765.7" hidden="1">"'425916438128_200439&amp;quot;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/&amp;gt;&amp;lt;/Value&amp;gt;&amp;lt;/PromptDefinitionReference&amp;gt;&amp;lt;'"</definedName>
    <definedName name="_AMO_ContentDefinition_974704765.8" hidden="1">"'PromptDefinitionReference obj=&amp;quot;p8&amp;quot;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value=&amp;q'"</definedName>
    <definedName name="_AMO_ContentDefinition_974704765.9" hidden="1">"'uot;2015&amp;quot;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98860476" hidden="1">"'Partitions:15'"</definedName>
    <definedName name="_AMO_ContentDefinition_98860476.0" hidden="1">"'&lt;ContentDefinition name=""Analise Resultado"" rsid=""98860476"" type=""StoredProcess"" format=""ReportXml"" imgfmt=""ActiveXImage"" created=""04/09/2015 11:51:37"" modifed=""04/09/2015 11:51:37"" user=""Thiago Roberto Magalhães Veloso (SRE)"" apply'"</definedName>
    <definedName name="_AMO_ContentDefinition_98860476.1" hidden="1">"'=""False"" css=""C:\Program Files\SASHome\SASAddinforMicrosoftOffice\6.1\Styles\AMODefault.css"" range=""Analise_Resultado"" auto=""False"" xTime=""00:00:23.0024821"" rTime=""00:00:16.1308065"" bgnew=""False"" nFmt=""False"" grphSet=""True"" imgY='"</definedName>
    <definedName name="_AMO_ContentDefinition_98860476.10" hidden="1">"'ype&amp;gt;&amp;#xD;&amp;#xA;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&amp;lt;Pa'"</definedName>
    <definedName name="_AMO_ContentDefinition_98860476.11" hidden="1">"'rentName&amp;gt;Consultas&amp;lt;/ParentName&amp;gt;&amp;#xD;&amp;#xA;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Resultado(StoredProcess'"</definedName>
    <definedName name="_AMO_ContentDefinition_98860476.12" hidden="1">"')&amp;lt;/SBIPFull&amp;gt;&amp;#xD;&amp;#xA;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v'"</definedName>
    <definedName name="_AMO_ContentDefinition_98860476.13" hidden="1">"'=""False""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n=""mai'"</definedName>
    <definedName name="_AMO_ContentDefinition_98860476.14" hidden="1">"'n.srx"" v=""0"" /&gt;_x000D_
  &lt;ExcelXMLOptions AdjColWidths=""True"" RowOpt=""InsertEntire"" ColOpt=""InsertCells"" /&gt;_x000D_
&lt;/ContentDefinition&gt;'"</definedName>
    <definedName name="_AMO_ContentDefinition_98860476.2" hidden="1">"'""0"" imgX=""0"" redirect=""False""&gt;_x000D_
  &lt;files&gt;C:\Users\thiagomagalhaes\Documents\My SAS Files\Add-In for Microsoft Office\_SOA_A57QXCXO.BH000HXI_129898925\main.srx&lt;/files&gt;_x000D_
  &lt;parents /&gt;_x000D_
  &lt;children /&gt;_x000D_
  &lt;param n=""DisplayName"" v=""Analise Result'"</definedName>
    <definedName name="_AMO_ContentDefinition_98860476.3" hidden="1">"'ado""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version=&amp;quot;1.0&amp;quot;&amp;gt;&amp;lt;DefinitionRefe'"</definedName>
    <definedName name="_AMO_ContentDefinition_98860476.4" hidden="1">"'rencesAndValues&amp;gt;&amp;lt;PromptDefinitionReference obj=&amp;quot;p2&amp;quot; promptId=&amp;quot;PromptDef_1425916525967_745390&amp;quot; name=&amp;quot;AnoInicioCalc&amp;quot; definitionType=&amp;quot;TextDefinition&amp;quot; selectionType=&amp;quot;Single&amp;quot;&amp;gt;&amp;lt;Value&amp;gt;&amp;lt;Strin'"</definedName>
    <definedName name="_AMO_ContentDefinition_98860476.5" hidden="1">"'g obj=&amp;quot;p3&amp;quot; value=&amp;quot;2014&amp;quot; /&amp;gt;&amp;lt;/Value&amp;gt;&amp;lt;/PromptDefinitionReference&amp;gt;&amp;lt;PromptDefinitionReference obj=&amp;quot;p4&amp;quot; promptId=&amp;quot;PromptDef_1425916438129_508769&amp;quot; name=&amp;quot;AnaliseMercado&amp;quot; definitionType=&amp;quot;'"</definedName>
    <definedName name="_AMO_ContentDefinition_98860476.6" hidden="1">"'TextDefinition&amp;quot; selectionType=&amp;quot;Single&amp;quot;&amp;gt;&amp;lt;Value&amp;gt;&amp;lt;String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promptId=&amp;quot;PromptDef_14'"</definedName>
    <definedName name="_AMO_ContentDefinition_98860476.7" hidden="1">"'25916438113_758944&amp;quot;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/&amp;gt;&amp;lt;/Value&amp;gt;&amp;lt;/PromptDefinitionReference&amp;gt;&amp;lt;'"</definedName>
    <definedName name="_AMO_ContentDefinition_98860476.8" hidden="1">"'PromptDefinitionReference obj=&amp;quot;p8&amp;quot; promptId=&amp;quot;PromptDef_1425916438128_200439&amp;quot; name=&amp;quot;Idsreag&amp;quot; definitionType=&amp;quot;TextDefinition&amp;quot; selectionType=&amp;quot;Single&amp;quot;&amp;gt;&amp;lt;Value&amp;gt;&amp;lt;String obj=&amp;quot;p9&amp;quot; value=&amp;q'"</definedName>
    <definedName name="_AMO_ContentDefinition_98860476.9" hidden="1">"'uot;148&amp;quot;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&amp;lt;Type&amp;gt;StoredProcess&amp;lt;/T'"</definedName>
    <definedName name="_AMO_ContentLocation_133494585__AMO_NO_VISUAL_RESULTS__" hidden="1">"'&lt;ContentLocation path="""" rsid=""133494585"" tag=""_AMO_NO_VISUAL_RESULTS_"" fid=""0""&gt;_x000D_
  &lt;param n=""_NumRows"" v=""1"" /&gt;_x000D_
  &lt;param n=""_NumCols"" v=""1"" /&gt;_x000D_
&lt;/ContentLocation&gt;'"</definedName>
    <definedName name="_AMO_ContentLocation_133494585_ROM_F0.SEC2.Print_1.SEC1.BDY.Data_Set_WORK_SUMMTUDO" hidden="1">"'Partitions:2'"</definedName>
    <definedName name="_AMO_ContentLocation_133494585_ROM_F0.SEC2.Print_1.SEC1.BDY.Data_Set_WORK_SUMMTUDO.0" hidden="1">"'&lt;ContentLocation path=""F0.SEC2.Print_1.SEC1.BDY.Data_Set_WORK_SUMMTUDO"" rsid=""133494585"" tag=""ROM"" fid=""0""&gt;_x000D_
  &lt;param n=""_NumRows"" v=""44"" /&gt;_x000D_
  &lt;param n=""_NumCols"" v=""7"" /&gt;_x000D_
  &lt;param n=""tableSig"" v=""R:R=44:C=7:FCR=2:FCC=1"" /&gt;_x000D_
  '"</definedName>
    <definedName name="_AMO_ContentLocation_133494585_ROM_F0.SEC2.Print_1.SEC1.BDY.Data_Set_WORK_SUMMTUDO.1" hidden="1">"'&lt;param n=""leftMargin"" v=""0"" /&gt;_x000D_
&lt;/ContentLocation&gt;'"</definedName>
    <definedName name="_AMO_ContentLocation_133494585_ROM_F0.SEC2.Print_1.SEC1.HDR.TXT1" hidden="1">"'&lt;ContentLocation path=""F0.SEC2.Print_1.SEC1.HDR.TXT1"" rsid=""133494585"" tag=""ROM"" fid=""0""&gt;_x000D_
  &lt;param n=""_NumRows"" v=""1"" /&gt;_x000D_
  &lt;param n=""_NumCols"" v=""7"" /&gt;_x000D_
&lt;/ContentLocation&gt;'"</definedName>
    <definedName name="_AMO_ContentLocation_133494585_ROM_F0.SEC2.Print_2.SEC1.BDY.Data_Set_WORK_REVISAOPARAM" hidden="1">"'Partitions:2'"</definedName>
    <definedName name="_AMO_ContentLocation_133494585_ROM_F0.SEC2.Print_2.SEC1.BDY.Data_Set_WORK_REVISAOPARAM.0" hidden="1">"'&lt;ContentLocation path=""F0.SEC2.Print_2.SEC1.BDY.Data_Set_WORK_REVISAOPARAM"" rsid=""133494585"" tag=""ROM"" fid=""0""&gt;_x000D_
  &lt;param n=""_NumRows"" v=""142"" /&gt;_x000D_
  &lt;param n=""_NumCols"" v=""5"" /&gt;_x000D_
  &lt;param n=""tableSig"" v=""R:R=142:C=5:FCR=2:FCC=1"" /'"</definedName>
    <definedName name="_AMO_ContentLocation_133494585_ROM_F0.SEC2.Print_2.SEC1.BDY.Data_Set_WORK_REVISAOPARAM.1" hidden="1">"'&gt;_x000D_
  &lt;param n=""leftMargin"" v=""1"" /&gt;_x000D_
&lt;/ContentLocation&gt;'"</definedName>
    <definedName name="_AMO_ContentLocation_133494585_ROM_F0.SEC2.Print_2.SEC1.HDR.TXT1" hidden="1">"'&lt;ContentLocation path=""F0.SEC2.Print_2.SEC1.HDR.TXT1"" rsid=""133494585"" tag=""ROM"" fid=""0""&gt;_x000D_
  &lt;param n=""_NumRows"" v=""1"" /&gt;_x000D_
  &lt;param n=""_NumCols"" v=""7"" /&gt;_x000D_
&lt;/ContentLocation&gt;'"</definedName>
    <definedName name="_AMO_ContentLocation_133494585_ROM_F0.SEC2.Tabulate_1.SEC1.BDY.Cross_tabular_summary_report_Table_1" hidden="1">"'Partitions:2'"</definedName>
    <definedName name="_AMO_ContentLocation_133494585_ROM_F0.SEC2.Tabulate_1.SEC1.BDY.Cross_tabular_summary_report_Table_1.0" hidden="1">"'&lt;ContentLocation path=""F0.SEC2.Tabulate_1.SEC1.BDY.Cross_tabular_summary_report_Table_1"" rsid=""133494585"" tag=""ROM"" fid=""0""&gt;_x000D_
  &lt;param n=""_NumRows"" v=""45"" /&gt;_x000D_
  &lt;param n=""_NumCols"" v=""7"" /&gt;_x000D_
  &lt;param n=""tableSig"" v=""R:R=45:C=7:FCR='"</definedName>
    <definedName name="_AMO_ContentLocation_133494585_ROM_F0.SEC2.Tabulate_1.SEC1.BDY.Cross_tabular_summary_report_Table_1.1" hidden="1">"'2:FCC=5:RSP.1=1,H,4"" /&gt;_x000D_
  &lt;param n=""leftMargin"" v=""0"" /&gt;_x000D_
&lt;/ContentLocation&gt;'"</definedName>
    <definedName name="_AMO_ContentLocation_133494585_ROM_F0.SEC2.Tabulate_1.SEC1.HDR.TXT1" hidden="1">"'&lt;ContentLocation path=""F0.SEC2.Tabulate_1.SEC1.HDR.TXT1"" rsid=""133494585"" tag=""ROM"" fid=""0""&gt;_x000D_
  &lt;param n=""_NumRows"" v=""1"" /&gt;_x000D_
  &lt;param n=""_NumCols"" v=""7"" /&gt;_x000D_
&lt;/ContentLocation&gt;'"</definedName>
    <definedName name="_AMO_ContentLocation_265309772_ROM_F0.SEC2.Print_1.SEC1.BDY.Data_Set_WORK_SUMMTUDO" hidden="1">"'Partitions:2'"</definedName>
    <definedName name="_AMO_ContentLocation_265309772_ROM_F0.SEC2.Print_1.SEC1.BDY.Data_Set_WORK_SUMMTUDO.0" hidden="1">"'&lt;ContentLocation path=""F0.SEC2.Print_1.SEC1.BDY.Data_Set_WORK_SUMMTUDO"" rsid=""265309772"" tag=""ROM"" fid=""0""&gt;_x000D_
  &lt;param n=""_NumRows"" v=""50"" /&gt;_x000D_
  &lt;param n=""_NumCols"" v=""7"" /&gt;_x000D_
  &lt;param n=""tableSig"" v=""R:R=50:C=7:FCR=2:FCC=1"" /&gt;_x000D_
  '"</definedName>
    <definedName name="_AMO_ContentLocation_265309772_ROM_F0.SEC2.Print_1.SEC1.BDY.Data_Set_WORK_SUMMTUDO.1" hidden="1">"'&lt;param n=""leftMargin"" v=""1"" /&gt;_x000D_
&lt;/ContentLocation&gt;'"</definedName>
    <definedName name="_AMO_ContentLocation_265309772_ROM_F0.SEC2.Print_1.SEC1.HDR.TXT1" hidden="1">"'&lt;ContentLocation path=""F0.SEC2.Print_1.SEC1.HDR.TXT1"" rsid=""265309772"" tag=""ROM"" fid=""0""&gt;_x000D_
  &lt;param n=""_NumRows"" v=""1"" /&gt;_x000D_
  &lt;param n=""_NumCols"" v=""10"" /&gt;_x000D_
&lt;/ContentLocation&gt;'"</definedName>
    <definedName name="_AMO_ContentLocation_265309772_ROM_F0.SEC2.Print_2.SEC1.BDY.Data_Set_WORK_REVISAOPARAM" hidden="1">"'Partitions:2'"</definedName>
    <definedName name="_AMO_ContentLocation_265309772_ROM_F0.SEC2.Print_2.SEC1.BDY.Data_Set_WORK_REVISAOPARAM.0" hidden="1">"'&lt;ContentLocation path=""F0.SEC2.Print_2.SEC1.BDY.Data_Set_WORK_REVISAOPARAM"" rsid=""265309772"" tag=""ROM"" fid=""0""&gt;_x000D_
  &lt;param n=""_NumRows"" v=""42"" /&gt;_x000D_
  &lt;param n=""_NumCols"" v=""5"" /&gt;_x000D_
  &lt;param n=""tableSig"" v=""R:R=42:C=5:FCR=2:FCC=1"" /&gt;_x000D_'"</definedName>
    <definedName name="_AMO_ContentLocation_265309772_ROM_F0.SEC2.Print_2.SEC1.BDY.Data_Set_WORK_REVISAOPARAM.1" hidden="1">"'
  &lt;param n=""leftMargin"" v=""2"" /&gt;_x000D_
&lt;/ContentLocation&gt;'"</definedName>
    <definedName name="_AMO_ContentLocation_265309772_ROM_F0.SEC2.Print_2.SEC1.HDR.TXT1" hidden="1">"'&lt;ContentLocation path=""F0.SEC2.Print_2.SEC1.HDR.TXT1"" rsid=""265309772"" tag=""ROM"" fid=""0""&gt;_x000D_
  &lt;param n=""_NumRows"" v=""1"" /&gt;_x000D_
  &lt;param n=""_NumCols"" v=""10"" /&gt;_x000D_
&lt;/ContentLocation&gt;'"</definedName>
    <definedName name="_AMO_ContentLocation_265309772_ROM_F0.SEC2.Print_3.SEC1.BDY.Data_Set_WORK_REAISMWHT" hidden="1">"'Partitions:2'"</definedName>
    <definedName name="_AMO_ContentLocation_265309772_ROM_F0.SEC2.Print_3.SEC1.BDY.Data_Set_WORK_REAISMWHT.0" hidden="1">"'&lt;ContentLocation path=""F0.SEC2.Print_3.SEC1.BDY.Data_Set_WORK_REAISMWHT"" rsid=""265309772"" tag=""ROM"" fid=""0""&gt;_x000D_
  &lt;param n=""_NumRows"" v=""79"" /&gt;_x000D_
  &lt;param n=""_NumCols"" v=""10"" /&gt;_x000D_
  &lt;param n=""tableSig"" v=""R:R=79:C=10:FCR=2:FCC=1"" /&gt;_x000D_
'"</definedName>
    <definedName name="_AMO_ContentLocation_265309772_ROM_F0.SEC2.Print_3.SEC1.BDY.Data_Set_WORK_REAISMWHT.1" hidden="1">"'  &lt;param n=""leftMargin"" v=""0"" /&gt;_x000D_
&lt;/ContentLocation&gt;'"</definedName>
    <definedName name="_AMO_ContentLocation_265309772_ROM_F0.SEC2.Print_3.SEC1.HDR.TXT1" hidden="1">"'&lt;ContentLocation path=""F0.SEC2.Print_3.SEC1.HDR.TXT1"" rsid=""265309772"" tag=""ROM"" fid=""0""&gt;_x000D_
  &lt;param n=""_NumRows"" v=""1"" /&gt;_x000D_
  &lt;param n=""_NumCols"" v=""10"" /&gt;_x000D_
&lt;/ContentLocation&gt;'"</definedName>
    <definedName name="_AMO_ContentLocation_265309772_ROM_F0.SEC2.Print_4.SEC1.BDY.Data_Set_WORK_IRTGERALT" hidden="1">"'Partitions:2'"</definedName>
    <definedName name="_AMO_ContentLocation_265309772_ROM_F0.SEC2.Print_4.SEC1.BDY.Data_Set_WORK_IRTGERALT.0" hidden="1">"'&lt;ContentLocation path=""F0.SEC2.Print_4.SEC1.BDY.Data_Set_WORK_IRTGERALT"" rsid=""265309772"" tag=""ROM"" fid=""0""&gt;_x000D_
  &lt;param n=""_NumRows"" v=""11"" /&gt;_x000D_
  &lt;param n=""_NumCols"" v=""7"" /&gt;_x000D_
  &lt;param n=""tableSig"" v=""R:R=11:C=7:FCR=2:FCC=1"" /&gt;_x000D_
 '"</definedName>
    <definedName name="_AMO_ContentLocation_265309772_ROM_F0.SEC2.Print_4.SEC1.BDY.Data_Set_WORK_IRTGERALT.1" hidden="1">"' &lt;param n=""leftMargin"" v=""1"" /&gt;_x000D_
&lt;/ContentLocation&gt;'"</definedName>
    <definedName name="_AMO_ContentLocation_265309772_ROM_F0.SEC2.Print_4.SEC1.HDR.TXT1" hidden="1">"'&lt;ContentLocation path=""F0.SEC2.Print_4.SEC1.HDR.TXT1"" rsid=""265309772"" tag=""ROM"" fid=""0""&gt;_x000D_
  &lt;param n=""_NumRows"" v=""1"" /&gt;_x000D_
  &lt;param n=""_NumCols"" v=""10"" /&gt;_x000D_
&lt;/ContentLocation&gt;'"</definedName>
    <definedName name="_AMO_ContentLocation_265309772_ROM_F0.SEC2.Tabulate_1.SEC1.BDY.Cross_tabular_summary_report_Table_1" hidden="1">"'Partitions:2'"</definedName>
    <definedName name="_AMO_ContentLocation_265309772_ROM_F0.SEC2.Tabulate_1.SEC1.BDY.Cross_tabular_summary_report_Table_1.0" hidden="1">"'&lt;ContentLocation path=""F0.SEC2.Tabulate_1.SEC1.BDY.Cross_tabular_summary_report_Table_1"" rsid=""265309772"" tag=""ROM"" fid=""0""&gt;_x000D_
  &lt;param n=""_NumRows"" v=""51"" /&gt;_x000D_
  &lt;param n=""_NumCols"" v=""7"" /&gt;_x000D_
  &lt;param n=""tableSig"" v=""R:R=51:C=7:FCR='"</definedName>
    <definedName name="_AMO_ContentLocation_265309772_ROM_F0.SEC2.Tabulate_1.SEC1.BDY.Cross_tabular_summary_report_Table_1.1" hidden="1">"'2:FCC=5:RSP.1=1,H,4"" /&gt;_x000D_
  &lt;param n=""leftMargin"" v=""1"" /&gt;_x000D_
&lt;/ContentLocation&gt;'"</definedName>
    <definedName name="_AMO_ContentLocation_265309772_ROM_F0.SEC2.Tabulate_1.SEC1.HDR.TXT1" hidden="1">"'&lt;ContentLocation path=""F0.SEC2.Tabulate_1.SEC1.HDR.TXT1"" rsid=""265309772"" tag=""ROM"" fid=""0""&gt;_x000D_
  &lt;param n=""_NumRows"" v=""1"" /&gt;_x000D_
  &lt;param n=""_NumCols"" v=""10"" /&gt;_x000D_
&lt;/ContentLocation&gt;'"</definedName>
    <definedName name="_AMO_ContentLocation_310728015_ROM_F0.SEC2.Print_1.SEC1.BDY.Data_Set_WORK_SUMMTUDO" hidden="1">"'Partitions:2'"</definedName>
    <definedName name="_AMO_ContentLocation_310728015_ROM_F0.SEC2.Print_1.SEC1.BDY.Data_Set_WORK_SUMMTUDO.0" hidden="1">"'&lt;ContentLocation path=""F0.SEC2.Print_1.SEC1.BDY.Data_Set_WORK_SUMMTUDO"" rsid=""310728015"" tag=""ROM"" fid=""0""&gt;_x000D_
  &lt;param n=""_NumRows"" v=""49"" /&gt;_x000D_
  &lt;param n=""_NumCols"" v=""7"" /&gt;_x000D_
  &lt;param n=""tableSig"" v=""R:R=49:C=7:FCR=2:FCC=1"" /&gt;_x000D_
  '"</definedName>
    <definedName name="_AMO_ContentLocation_310728015_ROM_F0.SEC2.Print_1.SEC1.BDY.Data_Set_WORK_SUMMTUDO.1" hidden="1">"'&lt;param n=""leftMargin"" v=""1"" /&gt;_x000D_
&lt;/ContentLocation&gt;'"</definedName>
    <definedName name="_AMO_ContentLocation_310728015_ROM_F0.SEC2.Print_1.SEC1.HDR.TXT1" hidden="1">"'&lt;ContentLocation path=""F0.SEC2.Print_1.SEC1.HDR.TXT1"" rsid=""310728015"" tag=""ROM"" fid=""0""&gt;_x000D_
  &lt;param n=""_NumRows"" v=""1"" /&gt;_x000D_
  &lt;param n=""_NumCols"" v=""10"" /&gt;_x000D_
&lt;/ContentLocation&gt;'"</definedName>
    <definedName name="_AMO_ContentLocation_310728015_ROM_F0.SEC2.Print_2.SEC1.BDY.Data_Set_WORK_REVISAOPARAM" hidden="1">"'Partitions:2'"</definedName>
    <definedName name="_AMO_ContentLocation_310728015_ROM_F0.SEC2.Print_2.SEC1.BDY.Data_Set_WORK_REVISAOPARAM.0" hidden="1">"'&lt;ContentLocation path=""F0.SEC2.Print_2.SEC1.BDY.Data_Set_WORK_REVISAOPARAM"" rsid=""310728015"" tag=""ROM"" fid=""0""&gt;_x000D_
  &lt;param n=""_NumRows"" v=""156"" /&gt;_x000D_
  &lt;param n=""_NumCols"" v=""5"" /&gt;_x000D_
  &lt;param n=""tableSig"" v=""R:R=156:C=5:FCR=2:FCC=1"" /'"</definedName>
    <definedName name="_AMO_ContentLocation_310728015_ROM_F0.SEC2.Print_2.SEC1.BDY.Data_Set_WORK_REVISAOPARAM.1" hidden="1">"'&gt;_x000D_
  &lt;param n=""leftMargin"" v=""2"" /&gt;_x000D_
&lt;/ContentLocation&gt;'"</definedName>
    <definedName name="_AMO_ContentLocation_310728015_ROM_F0.SEC2.Print_2.SEC1.HDR.TXT1" hidden="1">"'&lt;ContentLocation path=""F0.SEC2.Print_2.SEC1.HDR.TXT1"" rsid=""310728015"" tag=""ROM"" fid=""0""&gt;_x000D_
  &lt;param n=""_NumRows"" v=""1"" /&gt;_x000D_
  &lt;param n=""_NumCols"" v=""10"" /&gt;_x000D_
&lt;/ContentLocation&gt;'"</definedName>
    <definedName name="_AMO_ContentLocation_310728015_ROM_F0.SEC2.Print_3.SEC1.BDY.Data_Set_WORK_REAISMWHT" hidden="1">"'Partitions:2'"</definedName>
    <definedName name="_AMO_ContentLocation_310728015_ROM_F0.SEC2.Print_3.SEC1.BDY.Data_Set_WORK_REAISMWHT.0" hidden="1">"'&lt;ContentLocation path=""F0.SEC2.Print_3.SEC1.BDY.Data_Set_WORK_REAISMWHT"" rsid=""310728015"" tag=""ROM"" fid=""0""&gt;_x000D_
  &lt;param n=""_NumRows"" v=""97"" /&gt;_x000D_
  &lt;param n=""_NumCols"" v=""10"" /&gt;_x000D_
  &lt;param n=""tableSig"" v=""R:R=97:C=10:FCR=2:FCC=1"" /&gt;_x000D_
'"</definedName>
    <definedName name="_AMO_ContentLocation_310728015_ROM_F0.SEC2.Print_3.SEC1.BDY.Data_Set_WORK_REAISMWHT.1" hidden="1">"'  &lt;param n=""leftMargin"" v=""0"" /&gt;_x000D_
&lt;/ContentLocation&gt;'"</definedName>
    <definedName name="_AMO_ContentLocation_310728015_ROM_F0.SEC2.Print_3.SEC1.HDR.TXT1" hidden="1">"'&lt;ContentLocation path=""F0.SEC2.Print_3.SEC1.HDR.TXT1"" rsid=""310728015"" tag=""ROM"" fid=""0""&gt;_x000D_
  &lt;param n=""_NumRows"" v=""1"" /&gt;_x000D_
  &lt;param n=""_NumCols"" v=""10"" /&gt;_x000D_
&lt;/ContentLocation&gt;'"</definedName>
    <definedName name="_AMO_ContentLocation_310728015_ROM_F0.SEC2.Print_4.SEC1.BDY.Data_Set_WORK_IRTGERALT" hidden="1">"'Partitions:2'"</definedName>
    <definedName name="_AMO_ContentLocation_310728015_ROM_F0.SEC2.Print_4.SEC1.BDY.Data_Set_WORK_IRTGERALT.0" hidden="1">"'&lt;ContentLocation path=""F0.SEC2.Print_4.SEC1.BDY.Data_Set_WORK_IRTGERALT"" rsid=""310728015"" tag=""ROM"" fid=""0""&gt;_x000D_
  &lt;param n=""_NumRows"" v=""11"" /&gt;_x000D_
  &lt;param n=""_NumCols"" v=""7"" /&gt;_x000D_
  &lt;param n=""tableSig"" v=""R:R=11:C=7:FCR=2:FCC=1"" /&gt;_x000D_
 '"</definedName>
    <definedName name="_AMO_ContentLocation_310728015_ROM_F0.SEC2.Print_4.SEC1.BDY.Data_Set_WORK_IRTGERALT.1" hidden="1">"' &lt;param n=""leftMargin"" v=""1"" /&gt;_x000D_
&lt;/ContentLocation&gt;'"</definedName>
    <definedName name="_AMO_ContentLocation_310728015_ROM_F0.SEC2.Print_4.SEC1.HDR.TXT1" hidden="1">"'&lt;ContentLocation path=""F0.SEC2.Print_4.SEC1.HDR.TXT1"" rsid=""310728015"" tag=""ROM"" fid=""0""&gt;_x000D_
  &lt;param n=""_NumRows"" v=""1"" /&gt;_x000D_
  &lt;param n=""_NumCols"" v=""10"" /&gt;_x000D_
&lt;/ContentLocation&gt;'"</definedName>
    <definedName name="_AMO_ContentLocation_310728015_ROM_F0.SEC2.Tabulate_1.SEC1.BDY.Cross_tabular_summary_report_Table_1" hidden="1">"'Partitions:2'"</definedName>
    <definedName name="_AMO_ContentLocation_310728015_ROM_F0.SEC2.Tabulate_1.SEC1.BDY.Cross_tabular_summary_report_Table_1.0" hidden="1">"'&lt;ContentLocation path=""F0.SEC2.Tabulate_1.SEC1.BDY.Cross_tabular_summary_report_Table_1"" rsid=""310728015"" tag=""ROM"" fid=""0""&gt;_x000D_
  &lt;param n=""_NumRows"" v=""49"" /&gt;_x000D_
  &lt;param n=""_NumCols"" v=""7"" /&gt;_x000D_
  &lt;param n=""tableSig"" v=""R:R=49:C=7:FCR='"</definedName>
    <definedName name="_AMO_ContentLocation_310728015_ROM_F0.SEC2.Tabulate_1.SEC1.BDY.Cross_tabular_summary_report_Table_1.1" hidden="1">"'2:FCC=5:RSP.1=1,H,4"" /&gt;_x000D_
  &lt;param n=""leftMargin"" v=""1"" /&gt;_x000D_
&lt;/ContentLocation&gt;'"</definedName>
    <definedName name="_AMO_ContentLocation_310728015_ROM_F0.SEC2.Tabulate_1.SEC1.HDR.TXT1" hidden="1">"'&lt;ContentLocation path=""F0.SEC2.Tabulate_1.SEC1.HDR.TXT1"" rsid=""310728015"" tag=""ROM"" fid=""0""&gt;_x000D_
  &lt;param n=""_NumRows"" v=""1"" /&gt;_x000D_
  &lt;param n=""_NumCols"" v=""10"" /&gt;_x000D_
&lt;/ContentLocation&gt;'"</definedName>
    <definedName name="_AMO_ContentLocation_332776469_ROM_F0.SEC2.Print_1.SEC1.BDY.Data_Set_WORK_SUMMTUDO" hidden="1">"'Partitions:2'"</definedName>
    <definedName name="_AMO_ContentLocation_332776469_ROM_F0.SEC2.Print_1.SEC1.BDY.Data_Set_WORK_SUMMTUDO.0" hidden="1">"'&lt;ContentLocation path=""F0.SEC2.Print_1.SEC1.BDY.Data_Set_WORK_SUMMTUDO"" rsid=""332776469"" tag=""ROM"" fid=""0""&gt;_x000D_
  &lt;param n=""_NumRows"" v=""56"" /&gt;_x000D_
  &lt;param n=""_NumCols"" v=""7"" /&gt;_x000D_
  &lt;param n=""tableSig"" v=""R:R=56:C=7:FCR=2:FCC=1"" /&gt;_x000D_
  '"</definedName>
    <definedName name="_AMO_ContentLocation_332776469_ROM_F0.SEC2.Print_1.SEC1.BDY.Data_Set_WORK_SUMMTUDO.1" hidden="1">"'&lt;param n=""leftMargin"" v=""1"" /&gt;_x000D_
&lt;/ContentLocation&gt;'"</definedName>
    <definedName name="_AMO_ContentLocation_332776469_ROM_F0.SEC2.Print_1.SEC1.HDR.TXT1" hidden="1">"'&lt;ContentLocation path=""F0.SEC2.Print_1.SEC1.HDR.TXT1"" rsid=""332776469"" tag=""ROM"" fid=""0""&gt;_x000D_
  &lt;param n=""_NumRows"" v=""1"" /&gt;_x000D_
  &lt;param n=""_NumCols"" v=""10"" /&gt;_x000D_
&lt;/ContentLocation&gt;'"</definedName>
    <definedName name="_AMO_ContentLocation_332776469_ROM_F0.SEC2.Print_2.SEC1.BDY.Data_Set_WORK_REVISAOPARAM" hidden="1">"'Partitions:2'"</definedName>
    <definedName name="_AMO_ContentLocation_332776469_ROM_F0.SEC2.Print_2.SEC1.BDY.Data_Set_WORK_REVISAOPARAM.0" hidden="1">"'&lt;ContentLocation path=""F0.SEC2.Print_2.SEC1.BDY.Data_Set_WORK_REVISAOPARAM"" rsid=""332776469"" tag=""ROM"" fid=""0""&gt;_x000D_
  &lt;param n=""_NumRows"" v=""110"" /&gt;_x000D_
  &lt;param n=""_NumCols"" v=""5"" /&gt;_x000D_
  &lt;param n=""tableSig"" v=""R:R=110:C=5:FCR=2:FCC=1"" /'"</definedName>
    <definedName name="_AMO_ContentLocation_332776469_ROM_F0.SEC2.Print_2.SEC1.BDY.Data_Set_WORK_REVISAOPARAM.1" hidden="1">"'&gt;_x000D_
  &lt;param n=""leftMargin"" v=""2"" /&gt;_x000D_
&lt;/ContentLocation&gt;'"</definedName>
    <definedName name="_AMO_ContentLocation_332776469_ROM_F0.SEC2.Print_2.SEC1.HDR.TXT1" hidden="1">"'&lt;ContentLocation path=""F0.SEC2.Print_2.SEC1.HDR.TXT1"" rsid=""332776469"" tag=""ROM"" fid=""0""&gt;_x000D_
  &lt;param n=""_NumRows"" v=""1"" /&gt;_x000D_
  &lt;param n=""_NumCols"" v=""10"" /&gt;_x000D_
&lt;/ContentLocation&gt;'"</definedName>
    <definedName name="_AMO_ContentLocation_332776469_ROM_F0.SEC2.Print_3.SEC1.BDY.Data_Set_WORK_REAISMWHT" hidden="1">"'Partitions:2'"</definedName>
    <definedName name="_AMO_ContentLocation_332776469_ROM_F0.SEC2.Print_3.SEC1.BDY.Data_Set_WORK_REAISMWHT.0" hidden="1">"'&lt;ContentLocation path=""F0.SEC2.Print_3.SEC1.BDY.Data_Set_WORK_REAISMWHT"" rsid=""332776469"" tag=""ROM"" fid=""0""&gt;_x000D_
  &lt;param n=""_NumRows"" v=""105"" /&gt;_x000D_
  &lt;param n=""_NumCols"" v=""10"" /&gt;_x000D_
  &lt;param n=""tableSig"" v=""R:R=105:C=10:FCR=2:FCC=1"" /&gt;'"</definedName>
    <definedName name="_AMO_ContentLocation_332776469_ROM_F0.SEC2.Print_3.SEC1.BDY.Data_Set_WORK_REAISMWHT.1" hidden="1">"'_x000D_
  &lt;param n=""leftMargin"" v=""0"" /&gt;_x000D_
&lt;/ContentLocation&gt;'"</definedName>
    <definedName name="_AMO_ContentLocation_332776469_ROM_F0.SEC2.Print_3.SEC1.HDR.TXT1" hidden="1">"'&lt;ContentLocation path=""F0.SEC2.Print_3.SEC1.HDR.TXT1"" rsid=""332776469"" tag=""ROM"" fid=""0""&gt;_x000D_
  &lt;param n=""_NumRows"" v=""1"" /&gt;_x000D_
  &lt;param n=""_NumCols"" v=""10"" /&gt;_x000D_
&lt;/ContentLocation&gt;'"</definedName>
    <definedName name="_AMO_ContentLocation_332776469_ROM_F0.SEC2.Print_4.SEC1.BDY.Data_Set_WORK_IRTGERALT" hidden="1">"'Partitions:2'"</definedName>
    <definedName name="_AMO_ContentLocation_332776469_ROM_F0.SEC2.Print_4.SEC1.BDY.Data_Set_WORK_IRTGERALT.0" hidden="1">"'&lt;ContentLocation path=""F0.SEC2.Print_4.SEC1.BDY.Data_Set_WORK_IRTGERALT"" rsid=""332776469"" tag=""ROM"" fid=""0""&gt;_x000D_
  &lt;param n=""_NumRows"" v=""11"" /&gt;_x000D_
  &lt;param n=""_NumCols"" v=""7"" /&gt;_x000D_
  &lt;param n=""tableSig"" v=""R:R=11:C=7:FCR=2:FCC=1"" /&gt;_x000D_
 '"</definedName>
    <definedName name="_AMO_ContentLocation_332776469_ROM_F0.SEC2.Print_4.SEC1.BDY.Data_Set_WORK_IRTGERALT.1" hidden="1">"' &lt;param n=""leftMargin"" v=""1"" /&gt;_x000D_
&lt;/ContentLocation&gt;'"</definedName>
    <definedName name="_AMO_ContentLocation_332776469_ROM_F0.SEC2.Print_4.SEC1.HDR.TXT1" hidden="1">"'&lt;ContentLocation path=""F0.SEC2.Print_4.SEC1.HDR.TXT1"" rsid=""332776469"" tag=""ROM"" fid=""0""&gt;_x000D_
  &lt;param n=""_NumRows"" v=""1"" /&gt;_x000D_
  &lt;param n=""_NumCols"" v=""10"" /&gt;_x000D_
&lt;/ContentLocation&gt;'"</definedName>
    <definedName name="_AMO_ContentLocation_332776469_ROM_F0.SEC2.Tabulate_1.SEC1.BDY.Cross_tabular_summary_report_Table_1" hidden="1">"'Partitions:2'"</definedName>
    <definedName name="_AMO_ContentLocation_332776469_ROM_F0.SEC2.Tabulate_1.SEC1.BDY.Cross_tabular_summary_report_Table_1.0" hidden="1">"'&lt;ContentLocation path=""F0.SEC2.Tabulate_1.SEC1.BDY.Cross_tabular_summary_report_Table_1"" rsid=""332776469"" tag=""ROM"" fid=""0""&gt;_x000D_
  &lt;param n=""_NumRows"" v=""49"" /&gt;_x000D_
  &lt;param n=""_NumCols"" v=""6"" /&gt;_x000D_
  &lt;param n=""tableSig"" v=""R:R=49:C=6:FCR='"</definedName>
    <definedName name="_AMO_ContentLocation_332776469_ROM_F0.SEC2.Tabulate_1.SEC1.BDY.Cross_tabular_summary_report_Table_1.1" hidden="1">"'2:FCC=5:RSP.1=1,H,4"" /&gt;_x000D_
  &lt;param n=""leftMargin"" v=""1"" /&gt;_x000D_
&lt;/ContentLocation&gt;'"</definedName>
    <definedName name="_AMO_ContentLocation_332776469_ROM_F0.SEC2.Tabulate_1.SEC1.HDR.TXT1" hidden="1">"'&lt;ContentLocation path=""F0.SEC2.Tabulate_1.SEC1.HDR.TXT1"" rsid=""332776469"" tag=""ROM"" fid=""0""&gt;_x000D_
  &lt;param n=""_NumRows"" v=""1"" /&gt;_x000D_
  &lt;param n=""_NumCols"" v=""10"" /&gt;_x000D_
&lt;/ContentLocation&gt;'"</definedName>
    <definedName name="_AMO_ContentLocation_332776469_ROM_F0.SEC2.Tabulate_2.SEC1.BDY.Cross_tabular_summary_report_Table_1" hidden="1">"'Partitions:2'"</definedName>
    <definedName name="_AMO_ContentLocation_332776469_ROM_F0.SEC2.Tabulate_2.SEC1.BDY.Cross_tabular_summary_report_Table_1.0" hidden="1">"'&lt;ContentLocation path=""F0.SEC2.Tabulate_2.SEC1.BDY.Cross_tabular_summary_report_Table_1"" rsid=""332776469"" tag=""ROM"" fid=""0""&gt;_x000D_
  &lt;param n=""_NumRows"" v=""54"" /&gt;_x000D_
  &lt;param n=""_NumCols"" v=""7"" /&gt;_x000D_
  &lt;param n=""tableSig"" v=""R:R=54:C=7:FCR='"</definedName>
    <definedName name="_AMO_ContentLocation_332776469_ROM_F0.SEC2.Tabulate_2.SEC1.BDY.Cross_tabular_summary_report_Table_1.1" hidden="1">"'2:FCC=5:RSP.1=1,H,4"" /&gt;_x000D_
  &lt;param n=""leftMargin"" v=""1"" /&gt;_x000D_
&lt;/ContentLocation&gt;'"</definedName>
    <definedName name="_AMO_ContentLocation_332776469_ROM_F0.SEC2.Tabulate_2.SEC1.HDR.TXT1" hidden="1">"'&lt;ContentLocation path=""F0.SEC2.Tabulate_2.SEC1.HDR.TXT1"" rsid=""332776469"" tag=""ROM"" fid=""0""&gt;_x000D_
  &lt;param n=""_NumRows"" v=""1"" /&gt;_x000D_
  &lt;param n=""_NumCols"" v=""10"" /&gt;_x000D_
&lt;/ContentLocation&gt;'"</definedName>
    <definedName name="_AMO_ContentLocation_337210739_ROM_F0.SEC2.Print_1.SEC1.BDY.Data_Set_WORK_SUMMTUDO" hidden="1">"'Partitions:2'"</definedName>
    <definedName name="_AMO_ContentLocation_337210739_ROM_F0.SEC2.Print_1.SEC1.BDY.Data_Set_WORK_SUMMTUDO.0" hidden="1">"'&lt;ContentLocation path=""F0.SEC2.Print_1.SEC1.BDY.Data_Set_WORK_SUMMTUDO"" rsid=""337210739"" tag=""ROM"" fid=""0""&gt;_x000D_
  &lt;param n=""_NumRows"" v=""50"" /&gt;_x000D_
  &lt;param n=""_NumCols"" v=""7"" /&gt;_x000D_
  &lt;param n=""tableSig"" v=""R:R=50:C=7:FCR=2:FCC=1"" /&gt;_x000D_
  '"</definedName>
    <definedName name="_AMO_ContentLocation_337210739_ROM_F0.SEC2.Print_1.SEC1.BDY.Data_Set_WORK_SUMMTUDO.1" hidden="1">"'&lt;param n=""leftMargin"" v=""1"" /&gt;_x000D_
&lt;/ContentLocation&gt;'"</definedName>
    <definedName name="_AMO_ContentLocation_337210739_ROM_F0.SEC2.Print_1.SEC1.HDR.TXT1" hidden="1">"'&lt;ContentLocation path=""F0.SEC2.Print_1.SEC1.HDR.TXT1"" rsid=""337210739"" tag=""ROM"" fid=""0""&gt;_x000D_
  &lt;param n=""_NumRows"" v=""1"" /&gt;_x000D_
  &lt;param n=""_NumCols"" v=""10"" /&gt;_x000D_
&lt;/ContentLocation&gt;'"</definedName>
    <definedName name="_AMO_ContentLocation_337210739_ROM_F0.SEC2.Print_2.SEC1.BDY.Data_Set_WORK_REVISAOPARAM" hidden="1">"'Partitions:2'"</definedName>
    <definedName name="_AMO_ContentLocation_337210739_ROM_F0.SEC2.Print_2.SEC1.BDY.Data_Set_WORK_REVISAOPARAM.0" hidden="1">"'&lt;ContentLocation path=""F0.SEC2.Print_2.SEC1.BDY.Data_Set_WORK_REVISAOPARAM"" rsid=""337210739"" tag=""ROM"" fid=""0""&gt;_x000D_
  &lt;param n=""_NumRows"" v=""42"" /&gt;_x000D_
  &lt;param n=""_NumCols"" v=""5"" /&gt;_x000D_
  &lt;param n=""tableSig"" v=""R:R=42:C=5:FCR=2:FCC=1"" /&gt;_x000D_'"</definedName>
    <definedName name="_AMO_ContentLocation_337210739_ROM_F0.SEC2.Print_2.SEC1.BDY.Data_Set_WORK_REVISAOPARAM.1" hidden="1">"'
  &lt;param n=""leftMargin"" v=""2"" /&gt;_x000D_
&lt;/ContentLocation&gt;'"</definedName>
    <definedName name="_AMO_ContentLocation_337210739_ROM_F0.SEC2.Print_2.SEC1.HDR.TXT1" hidden="1">"'&lt;ContentLocation path=""F0.SEC2.Print_2.SEC1.HDR.TXT1"" rsid=""337210739"" tag=""ROM"" fid=""0""&gt;_x000D_
  &lt;param n=""_NumRows"" v=""1"" /&gt;_x000D_
  &lt;param n=""_NumCols"" v=""10"" /&gt;_x000D_
&lt;/ContentLocation&gt;'"</definedName>
    <definedName name="_AMO_ContentLocation_337210739_ROM_F0.SEC2.Print_3.SEC1.BDY.Data_Set_WORK_REAISMWHT" hidden="1">"'Partitions:2'"</definedName>
    <definedName name="_AMO_ContentLocation_337210739_ROM_F0.SEC2.Print_3.SEC1.BDY.Data_Set_WORK_REAISMWHT.0" hidden="1">"'&lt;ContentLocation path=""F0.SEC2.Print_3.SEC1.BDY.Data_Set_WORK_REAISMWHT"" rsid=""337210739"" tag=""ROM"" fid=""0""&gt;_x000D_
  &lt;param n=""_NumRows"" v=""81"" /&gt;_x000D_
  &lt;param n=""_NumCols"" v=""10"" /&gt;_x000D_
  &lt;param n=""tableSig"" v=""R:R=81:C=10:FCR=2:FCC=1"" /&gt;_x000D_
'"</definedName>
    <definedName name="_AMO_ContentLocation_337210739_ROM_F0.SEC2.Print_3.SEC1.BDY.Data_Set_WORK_REAISMWHT.1" hidden="1">"'  &lt;param n=""leftMargin"" v=""0"" /&gt;_x000D_
&lt;/ContentLocation&gt;'"</definedName>
    <definedName name="_AMO_ContentLocation_337210739_ROM_F0.SEC2.Print_3.SEC1.HDR.TXT1" hidden="1">"'&lt;ContentLocation path=""F0.SEC2.Print_3.SEC1.HDR.TXT1"" rsid=""337210739"" tag=""ROM"" fid=""0""&gt;_x000D_
  &lt;param n=""_NumRows"" v=""1"" /&gt;_x000D_
  &lt;param n=""_NumCols"" v=""10"" /&gt;_x000D_
&lt;/ContentLocation&gt;'"</definedName>
    <definedName name="_AMO_ContentLocation_337210739_ROM_F0.SEC2.Print_4.SEC1.BDY.Data_Set_WORK_IRTGERALT" hidden="1">"'Partitions:2'"</definedName>
    <definedName name="_AMO_ContentLocation_337210739_ROM_F0.SEC2.Print_4.SEC1.BDY.Data_Set_WORK_IRTGERALT.0" hidden="1">"'&lt;ContentLocation path=""F0.SEC2.Print_4.SEC1.BDY.Data_Set_WORK_IRTGERALT"" rsid=""337210739"" tag=""ROM"" fid=""0""&gt;_x000D_
  &lt;param n=""_NumRows"" v=""11"" /&gt;_x000D_
  &lt;param n=""_NumCols"" v=""7"" /&gt;_x000D_
  &lt;param n=""tableSig"" v=""R:R=11:C=7:FCR=2:FCC=1"" /&gt;_x000D_
 '"</definedName>
    <definedName name="_AMO_ContentLocation_337210739_ROM_F0.SEC2.Print_4.SEC1.BDY.Data_Set_WORK_IRTGERALT.1" hidden="1">"' &lt;param n=""leftMargin"" v=""1"" /&gt;_x000D_
&lt;/ContentLocation&gt;'"</definedName>
    <definedName name="_AMO_ContentLocation_337210739_ROM_F0.SEC2.Print_4.SEC1.HDR.TXT1" hidden="1">"'&lt;ContentLocation path=""F0.SEC2.Print_4.SEC1.HDR.TXT1"" rsid=""337210739"" tag=""ROM"" fid=""0""&gt;_x000D_
  &lt;param n=""_NumRows"" v=""1"" /&gt;_x000D_
  &lt;param n=""_NumCols"" v=""10"" /&gt;_x000D_
&lt;/ContentLocation&gt;'"</definedName>
    <definedName name="_AMO_ContentLocation_337210739_ROM_F0.SEC2.Tabulate_1.SEC1.BDY.Cross_tabular_summary_report_Table_1" hidden="1">"'Partitions:2'"</definedName>
    <definedName name="_AMO_ContentLocation_337210739_ROM_F0.SEC2.Tabulate_1.SEC1.BDY.Cross_tabular_summary_report_Table_1.0" hidden="1">"'&lt;ContentLocation path=""F0.SEC2.Tabulate_1.SEC1.BDY.Cross_tabular_summary_report_Table_1"" rsid=""337210739"" tag=""ROM"" fid=""0""&gt;_x000D_
  &lt;param n=""_NumRows"" v=""50"" /&gt;_x000D_
  &lt;param n=""_NumCols"" v=""7"" /&gt;_x000D_
  &lt;param n=""tableSig"" v=""R:R=50:C=7:FCR='"</definedName>
    <definedName name="_AMO_ContentLocation_337210739_ROM_F0.SEC2.Tabulate_1.SEC1.BDY.Cross_tabular_summary_report_Table_1.1" hidden="1">"'2:FCC=5:RSP.1=1,H,4"" /&gt;_x000D_
  &lt;param n=""leftMargin"" v=""1"" /&gt;_x000D_
&lt;/ContentLocation&gt;'"</definedName>
    <definedName name="_AMO_ContentLocation_337210739_ROM_F0.SEC2.Tabulate_1.SEC1.HDR.TXT1" hidden="1">"'&lt;ContentLocation path=""F0.SEC2.Tabulate_1.SEC1.HDR.TXT1"" rsid=""337210739"" tag=""ROM"" fid=""0""&gt;_x000D_
  &lt;param n=""_NumRows"" v=""1"" /&gt;_x000D_
  &lt;param n=""_NumCols"" v=""10"" /&gt;_x000D_
&lt;/ContentLocation&gt;'"</definedName>
    <definedName name="_AMO_ContentLocation_345017782_ROM_F0.SEC2.Print_1.SEC1.BDY.Data_Set_WORK_SUMMTUDO" hidden="1">"'Partitions:2'"</definedName>
    <definedName name="_AMO_ContentLocation_345017782_ROM_F0.SEC2.Print_1.SEC1.BDY.Data_Set_WORK_SUMMTUDO.0" hidden="1">"'&lt;ContentLocation path=""F0.SEC2.Print_1.SEC1.BDY.Data_Set_WORK_SUMMTUDO"" rsid=""345017782"" tag=""ROM"" fid=""0""&gt;_x000D_
  &lt;param n=""_NumRows"" v=""49"" /&gt;_x000D_
  &lt;param n=""_NumCols"" v=""7"" /&gt;_x000D_
  &lt;param n=""tableSig"" v=""R:R=49:C=7:FCR=2:FCC=1"" /&gt;_x000D_
  '"</definedName>
    <definedName name="_AMO_ContentLocation_345017782_ROM_F0.SEC2.Print_1.SEC1.BDY.Data_Set_WORK_SUMMTUDO.1" hidden="1">"'&lt;param n=""leftMargin"" v=""1"" /&gt;_x000D_
&lt;/ContentLocation&gt;'"</definedName>
    <definedName name="_AMO_ContentLocation_345017782_ROM_F0.SEC2.Print_1.SEC1.HDR.TXT1" hidden="1">"'&lt;ContentLocation path=""F0.SEC2.Print_1.SEC1.HDR.TXT1"" rsid=""345017782"" tag=""ROM"" fid=""0""&gt;_x000D_
  &lt;param n=""_NumRows"" v=""1"" /&gt;_x000D_
  &lt;param n=""_NumCols"" v=""10"" /&gt;_x000D_
&lt;/ContentLocation&gt;'"</definedName>
    <definedName name="_AMO_ContentLocation_345017782_ROM_F0.SEC2.Print_2.SEC1.BDY.Data_Set_WORK_REVISAOPARAM" hidden="1">"'Partitions:2'"</definedName>
    <definedName name="_AMO_ContentLocation_345017782_ROM_F0.SEC2.Print_2.SEC1.BDY.Data_Set_WORK_REVISAOPARAM.0" hidden="1">"'&lt;ContentLocation path=""F0.SEC2.Print_2.SEC1.BDY.Data_Set_WORK_REVISAOPARAM"" rsid=""345017782"" tag=""ROM"" fid=""0""&gt;_x000D_
  &lt;param n=""_NumRows"" v=""39"" /&gt;_x000D_
  &lt;param n=""_NumCols"" v=""5"" /&gt;_x000D_
  &lt;param n=""tableSig"" v=""R:R=39:C=5:FCR=2:FCC=1"" /&gt;_x000D_'"</definedName>
    <definedName name="_AMO_ContentLocation_345017782_ROM_F0.SEC2.Print_2.SEC1.BDY.Data_Set_WORK_REVISAOPARAM.1" hidden="1">"'
  &lt;param n=""leftMargin"" v=""1"" /&gt;_x000D_
&lt;/ContentLocation&gt;'"</definedName>
    <definedName name="_AMO_ContentLocation_345017782_ROM_F0.SEC2.Print_2.SEC1.HDR.TXT1" hidden="1">"'&lt;ContentLocation path=""F0.SEC2.Print_2.SEC1.HDR.TXT1"" rsid=""345017782"" tag=""ROM"" fid=""0""&gt;_x000D_
  &lt;param n=""_NumRows"" v=""1"" /&gt;_x000D_
  &lt;param n=""_NumCols"" v=""10"" /&gt;_x000D_
&lt;/ContentLocation&gt;'"</definedName>
    <definedName name="_AMO_ContentLocation_345017782_ROM_F0.SEC2.Print_3.SEC1.BDY.Data_Set_WORK_REAISMWHT" hidden="1">"'Partitions:2'"</definedName>
    <definedName name="_AMO_ContentLocation_345017782_ROM_F0.SEC2.Print_3.SEC1.BDY.Data_Set_WORK_REAISMWHT.0" hidden="1">"'&lt;ContentLocation path=""F0.SEC2.Print_3.SEC1.BDY.Data_Set_WORK_REAISMWHT"" rsid=""345017782"" tag=""ROM"" fid=""0""&gt;_x000D_
  &lt;param n=""_NumRows"" v=""91"" /&gt;_x000D_
  &lt;param n=""_NumCols"" v=""10"" /&gt;_x000D_
  &lt;param n=""tableSig"" v=""R:R=91:C=10:FCR=2:FCC=1"" /&gt;_x000D_
'"</definedName>
    <definedName name="_AMO_ContentLocation_345017782_ROM_F0.SEC2.Print_3.SEC1.BDY.Data_Set_WORK_REAISMWHT.1" hidden="1">"'  &lt;param n=""leftMargin"" v=""0"" /&gt;_x000D_
&lt;/ContentLocation&gt;'"</definedName>
    <definedName name="_AMO_ContentLocation_345017782_ROM_F0.SEC2.Print_3.SEC1.HDR.TXT1" hidden="1">"'&lt;ContentLocation path=""F0.SEC2.Print_3.SEC1.HDR.TXT1"" rsid=""345017782"" tag=""ROM"" fid=""0""&gt;_x000D_
  &lt;param n=""_NumRows"" v=""1"" /&gt;_x000D_
  &lt;param n=""_NumCols"" v=""10"" /&gt;_x000D_
&lt;/ContentLocation&gt;'"</definedName>
    <definedName name="_AMO_ContentLocation_345017782_ROM_F0.SEC2.Print_4.SEC1.BDY.Data_Set_WORK_IRTGERALT" hidden="1">"'Partitions:2'"</definedName>
    <definedName name="_AMO_ContentLocation_345017782_ROM_F0.SEC2.Print_4.SEC1.BDY.Data_Set_WORK_IRTGERALT.0" hidden="1">"'&lt;ContentLocation path=""F0.SEC2.Print_4.SEC1.BDY.Data_Set_WORK_IRTGERALT"" rsid=""345017782"" tag=""ROM"" fid=""0""&gt;_x000D_
  &lt;param n=""_NumRows"" v=""11"" /&gt;_x000D_
  &lt;param n=""_NumCols"" v=""7"" /&gt;_x000D_
  &lt;param n=""tableSig"" v=""R:R=11:C=7:FCR=2:FCC=1"" /&gt;_x000D_
 '"</definedName>
    <definedName name="_AMO_ContentLocation_345017782_ROM_F0.SEC2.Print_4.SEC1.BDY.Data_Set_WORK_IRTGERALT.1" hidden="1">"' &lt;param n=""leftMargin"" v=""1"" /&gt;_x000D_
&lt;/ContentLocation&gt;'"</definedName>
    <definedName name="_AMO_ContentLocation_345017782_ROM_F0.SEC2.Print_4.SEC1.HDR.TXT1" hidden="1">"'&lt;ContentLocation path=""F0.SEC2.Print_4.SEC1.HDR.TXT1"" rsid=""345017782"" tag=""ROM"" fid=""0""&gt;_x000D_
  &lt;param n=""_NumRows"" v=""1"" /&gt;_x000D_
  &lt;param n=""_NumCols"" v=""10"" /&gt;_x000D_
&lt;/ContentLocation&gt;'"</definedName>
    <definedName name="_AMO_ContentLocation_345017782_ROM_F0.SEC2.Tabulate_1.SEC1.BDY.Cross_tabular_summary_report_Table_1" hidden="1">"'Partitions:2'"</definedName>
    <definedName name="_AMO_ContentLocation_345017782_ROM_F0.SEC2.Tabulate_1.SEC1.BDY.Cross_tabular_summary_report_Table_1.0" hidden="1">"'&lt;ContentLocation path=""F0.SEC2.Tabulate_1.SEC1.BDY.Cross_tabular_summary_report_Table_1"" rsid=""345017782"" tag=""ROM"" fid=""0""&gt;_x000D_
  &lt;param n=""_NumRows"" v=""50"" /&gt;_x000D_
  &lt;param n=""_NumCols"" v=""7"" /&gt;_x000D_
  &lt;param n=""tableSig"" v=""R:R=50:C=7:FCR='"</definedName>
    <definedName name="_AMO_ContentLocation_345017782_ROM_F0.SEC2.Tabulate_1.SEC1.BDY.Cross_tabular_summary_report_Table_1.1" hidden="1">"'2:FCC=5:RSP.1=1,H,4"" /&gt;_x000D_
  &lt;param n=""leftMargin"" v=""1"" /&gt;_x000D_
&lt;/ContentLocation&gt;'"</definedName>
    <definedName name="_AMO_ContentLocation_345017782_ROM_F0.SEC2.Tabulate_1.SEC1.HDR.TXT1" hidden="1">"'&lt;ContentLocation path=""F0.SEC2.Tabulate_1.SEC1.HDR.TXT1"" rsid=""345017782"" tag=""ROM"" fid=""0""&gt;_x000D_
  &lt;param n=""_NumRows"" v=""1"" /&gt;_x000D_
  &lt;param n=""_NumCols"" v=""10"" /&gt;_x000D_
&lt;/ContentLocation&gt;'"</definedName>
    <definedName name="_AMO_ContentLocation_365752322_ROM_F0.SEC2.Print_1.SEC1.BDY.Data_Set_WORK_SUMMTUDO" hidden="1">"'Partitions:2'"</definedName>
    <definedName name="_AMO_ContentLocation_365752322_ROM_F0.SEC2.Print_1.SEC1.BDY.Data_Set_WORK_SUMMTUDO.0" hidden="1">"'&lt;ContentLocation path=""F0.SEC2.Print_1.SEC1.BDY.Data_Set_WORK_SUMMTUDO"" rsid=""365752322"" tag=""ROM"" fid=""0""&gt;_x000D_
  &lt;param n=""_NumRows"" v=""56"" /&gt;_x000D_
  &lt;param n=""_NumCols"" v=""7"" /&gt;_x000D_
  &lt;param n=""tableSig"" v=""R:R=56:C=7:FCR=2:FCC=1"" /&gt;_x000D_
  '"</definedName>
    <definedName name="_AMO_ContentLocation_365752322_ROM_F0.SEC2.Print_1.SEC1.BDY.Data_Set_WORK_SUMMTUDO.1" hidden="1">"'&lt;param n=""leftMargin"" v=""1"" /&gt;_x000D_
&lt;/ContentLocation&gt;'"</definedName>
    <definedName name="_AMO_ContentLocation_365752322_ROM_F0.SEC2.Print_1.SEC1.HDR.TXT1" hidden="1">"'&lt;ContentLocation path=""F0.SEC2.Print_1.SEC1.HDR.TXT1"" rsid=""365752322"" tag=""ROM"" fid=""0""&gt;_x000D_
  &lt;param n=""_NumRows"" v=""1"" /&gt;_x000D_
  &lt;param n=""_NumCols"" v=""10"" /&gt;_x000D_
&lt;/ContentLocation&gt;'"</definedName>
    <definedName name="_AMO_ContentLocation_365752322_ROM_F0.SEC2.Print_2.SEC1.BDY.Data_Set_WORK_REVISAOPARAM" hidden="1">"'Partitions:2'"</definedName>
    <definedName name="_AMO_ContentLocation_365752322_ROM_F0.SEC2.Print_2.SEC1.BDY.Data_Set_WORK_REVISAOPARAM.0" hidden="1">"'&lt;ContentLocation path=""F0.SEC2.Print_2.SEC1.BDY.Data_Set_WORK_REVISAOPARAM"" rsid=""365752322"" tag=""ROM"" fid=""0""&gt;_x000D_
  &lt;param n=""_NumRows"" v=""110"" /&gt;_x000D_
  &lt;param n=""_NumCols"" v=""5"" /&gt;_x000D_
  &lt;param n=""tableSig"" v=""R:R=110:C=5:FCR=2:FCC=1"" /'"</definedName>
    <definedName name="_AMO_ContentLocation_365752322_ROM_F0.SEC2.Print_2.SEC1.BDY.Data_Set_WORK_REVISAOPARAM.1" hidden="1">"'&gt;_x000D_
  &lt;param n=""leftMargin"" v=""2"" /&gt;_x000D_
&lt;/ContentLocation&gt;'"</definedName>
    <definedName name="_AMO_ContentLocation_365752322_ROM_F0.SEC2.Print_2.SEC1.HDR.TXT1" hidden="1">"'&lt;ContentLocation path=""F0.SEC2.Print_2.SEC1.HDR.TXT1"" rsid=""365752322"" tag=""ROM"" fid=""0""&gt;_x000D_
  &lt;param n=""_NumRows"" v=""1"" /&gt;_x000D_
  &lt;param n=""_NumCols"" v=""10"" /&gt;_x000D_
&lt;/ContentLocation&gt;'"</definedName>
    <definedName name="_AMO_ContentLocation_365752322_ROM_F0.SEC2.Print_3.SEC1.BDY.Data_Set_WORK_REAISMWHT" hidden="1">"'Partitions:2'"</definedName>
    <definedName name="_AMO_ContentLocation_365752322_ROM_F0.SEC2.Print_3.SEC1.BDY.Data_Set_WORK_REAISMWHT.0" hidden="1">"'&lt;ContentLocation path=""F0.SEC2.Print_3.SEC1.BDY.Data_Set_WORK_REAISMWHT"" rsid=""365752322"" tag=""ROM"" fid=""0""&gt;_x000D_
  &lt;param n=""_NumRows"" v=""105"" /&gt;_x000D_
  &lt;param n=""_NumCols"" v=""10"" /&gt;_x000D_
  &lt;param n=""tableSig"" v=""R:R=105:C=10:FCR=2:FCC=1"" /&gt;'"</definedName>
    <definedName name="_AMO_ContentLocation_365752322_ROM_F0.SEC2.Print_3.SEC1.BDY.Data_Set_WORK_REAISMWHT.1" hidden="1">"'_x000D_
  &lt;param n=""leftMargin"" v=""0"" /&gt;_x000D_
&lt;/ContentLocation&gt;'"</definedName>
    <definedName name="_AMO_ContentLocation_365752322_ROM_F0.SEC2.Print_3.SEC1.HDR.TXT1" hidden="1">"'&lt;ContentLocation path=""F0.SEC2.Print_3.SEC1.HDR.TXT1"" rsid=""365752322"" tag=""ROM"" fid=""0""&gt;_x000D_
  &lt;param n=""_NumRows"" v=""1"" /&gt;_x000D_
  &lt;param n=""_NumCols"" v=""10"" /&gt;_x000D_
&lt;/ContentLocation&gt;'"</definedName>
    <definedName name="_AMO_ContentLocation_365752322_ROM_F0.SEC2.Print_4.SEC1.BDY.Data_Set_WORK_IRTGERALT" hidden="1">"'Partitions:2'"</definedName>
    <definedName name="_AMO_ContentLocation_365752322_ROM_F0.SEC2.Print_4.SEC1.BDY.Data_Set_WORK_IRTGERALT.0" hidden="1">"'&lt;ContentLocation path=""F0.SEC2.Print_4.SEC1.BDY.Data_Set_WORK_IRTGERALT"" rsid=""365752322"" tag=""ROM"" fid=""0""&gt;_x000D_
  &lt;param n=""_NumRows"" v=""11"" /&gt;_x000D_
  &lt;param n=""_NumCols"" v=""7"" /&gt;_x000D_
  &lt;param n=""tableSig"" v=""R:R=11:C=7:FCR=2:FCC=1"" /&gt;_x000D_
 '"</definedName>
    <definedName name="_AMO_ContentLocation_365752322_ROM_F0.SEC2.Print_4.SEC1.BDY.Data_Set_WORK_IRTGERALT.1" hidden="1">"' &lt;param n=""leftMargin"" v=""1"" /&gt;_x000D_
&lt;/ContentLocation&gt;'"</definedName>
    <definedName name="_AMO_ContentLocation_365752322_ROM_F0.SEC2.Print_4.SEC1.HDR.TXT1" hidden="1">"'&lt;ContentLocation path=""F0.SEC2.Print_4.SEC1.HDR.TXT1"" rsid=""365752322"" tag=""ROM"" fid=""0""&gt;_x000D_
  &lt;param n=""_NumRows"" v=""1"" /&gt;_x000D_
  &lt;param n=""_NumCols"" v=""10"" /&gt;_x000D_
&lt;/ContentLocation&gt;'"</definedName>
    <definedName name="_AMO_ContentLocation_365752322_ROM_F0.SEC2.Tabulate_1.SEC1.BDY.Cross_tabular_summary_report_Table_1" hidden="1">"'Partitions:2'"</definedName>
    <definedName name="_AMO_ContentLocation_365752322_ROM_F0.SEC2.Tabulate_1.SEC1.BDY.Cross_tabular_summary_report_Table_1.0" hidden="1">"'&lt;ContentLocation path=""F0.SEC2.Tabulate_1.SEC1.BDY.Cross_tabular_summary_report_Table_1"" rsid=""365752322"" tag=""ROM"" fid=""0""&gt;_x000D_
  &lt;param n=""_NumRows"" v=""49"" /&gt;_x000D_
  &lt;param n=""_NumCols"" v=""6"" /&gt;_x000D_
  &lt;param n=""tableSig"" v=""R:R=49:C=6:FCR='"</definedName>
    <definedName name="_AMO_ContentLocation_365752322_ROM_F0.SEC2.Tabulate_1.SEC1.BDY.Cross_tabular_summary_report_Table_1.1" hidden="1">"'2:FCC=5:RSP.1=1,H,4"" /&gt;_x000D_
  &lt;param n=""leftMargin"" v=""2"" /&gt;_x000D_
&lt;/ContentLocation&gt;'"</definedName>
    <definedName name="_AMO_ContentLocation_365752322_ROM_F0.SEC2.Tabulate_1.SEC1.HDR.TXT1" hidden="1">"'&lt;ContentLocation path=""F0.SEC2.Tabulate_1.SEC1.HDR.TXT1"" rsid=""365752322"" tag=""ROM"" fid=""0""&gt;_x000D_
  &lt;param n=""_NumRows"" v=""1"" /&gt;_x000D_
  &lt;param n=""_NumCols"" v=""10"" /&gt;_x000D_
&lt;/ContentLocation&gt;'"</definedName>
    <definedName name="_AMO_ContentLocation_365752322_ROM_F0.SEC2.Tabulate_2.SEC1.BDY.Cross_tabular_summary_report_Table_1" hidden="1">"'Partitions:2'"</definedName>
    <definedName name="_AMO_ContentLocation_365752322_ROM_F0.SEC2.Tabulate_2.SEC1.BDY.Cross_tabular_summary_report_Table_1.0" hidden="1">"'&lt;ContentLocation path=""F0.SEC2.Tabulate_2.SEC1.BDY.Cross_tabular_summary_report_Table_1"" rsid=""365752322"" tag=""ROM"" fid=""0""&gt;_x000D_
  &lt;param n=""_NumRows"" v=""57"" /&gt;_x000D_
  &lt;param n=""_NumCols"" v=""7"" /&gt;_x000D_
  &lt;param n=""tableSig"" v=""R:R=57:C=7:FCR='"</definedName>
    <definedName name="_AMO_ContentLocation_365752322_ROM_F0.SEC2.Tabulate_2.SEC1.BDY.Cross_tabular_summary_report_Table_1.1" hidden="1">"'2:FCC=5:RSP.1=1,H,4"" /&gt;_x000D_
  &lt;param n=""leftMargin"" v=""1"" /&gt;_x000D_
&lt;/ContentLocation&gt;'"</definedName>
    <definedName name="_AMO_ContentLocation_365752322_ROM_F0.SEC2.Tabulate_2.SEC1.HDR.TXT1" hidden="1">"'&lt;ContentLocation path=""F0.SEC2.Tabulate_2.SEC1.HDR.TXT1"" rsid=""365752322"" tag=""ROM"" fid=""0""&gt;_x000D_
  &lt;param n=""_NumRows"" v=""1"" /&gt;_x000D_
  &lt;param n=""_NumCols"" v=""10"" /&gt;_x000D_
&lt;/ContentLocation&gt;'"</definedName>
    <definedName name="_AMO_ContentLocation_466356944_ROM_F0.SEC2.Print_1.SEC1.BDY.Data_Set_WORK_SUMMTUDO" hidden="1">"'Partitions:2'"</definedName>
    <definedName name="_AMO_ContentLocation_466356944_ROM_F0.SEC2.Print_1.SEC1.BDY.Data_Set_WORK_SUMMTUDO.0" hidden="1">"'&lt;ContentLocation path=""F0.SEC2.Print_1.SEC1.BDY.Data_Set_WORK_SUMMTUDO"" rsid=""466356944"" tag=""ROM"" fid=""0""&gt;_x000D_
  &lt;param n=""_NumRows"" v=""57"" /&gt;_x000D_
  &lt;param n=""_NumCols"" v=""7"" /&gt;_x000D_
  &lt;param n=""tableSig"" v=""R:R=57:C=7:FCR=2:FCC=1"" /&gt;_x000D_
  '"</definedName>
    <definedName name="_AMO_ContentLocation_466356944_ROM_F0.SEC2.Print_1.SEC1.BDY.Data_Set_WORK_SUMMTUDO.1" hidden="1">"'&lt;param n=""leftMargin"" v=""1"" /&gt;_x000D_
&lt;/ContentLocation&gt;'"</definedName>
    <definedName name="_AMO_ContentLocation_466356944_ROM_F0.SEC2.Print_1.SEC1.HDR.TXT1" hidden="1">"'&lt;ContentLocation path=""F0.SEC2.Print_1.SEC1.HDR.TXT1"" rsid=""466356944"" tag=""ROM"" fid=""0""&gt;_x000D_
  &lt;param n=""_NumRows"" v=""1"" /&gt;_x000D_
  &lt;param n=""_NumCols"" v=""10"" /&gt;_x000D_
&lt;/ContentLocation&gt;'"</definedName>
    <definedName name="_AMO_ContentLocation_466356944_ROM_F0.SEC2.Print_2.SEC1.BDY.Data_Set_WORK_REVISAOPARAM" hidden="1">"'Partitions:2'"</definedName>
    <definedName name="_AMO_ContentLocation_466356944_ROM_F0.SEC2.Print_2.SEC1.BDY.Data_Set_WORK_REVISAOPARAM.0" hidden="1">"'&lt;ContentLocation path=""F0.SEC2.Print_2.SEC1.BDY.Data_Set_WORK_REVISAOPARAM"" rsid=""466356944"" tag=""ROM"" fid=""0""&gt;_x000D_
  &lt;param n=""_NumRows"" v=""27"" /&gt;_x000D_
  &lt;param n=""_NumCols"" v=""5"" /&gt;_x000D_
  &lt;param n=""tableSig"" v=""R:R=27:C=5:FCR=2:FCC=1"" /&gt;_x000D_'"</definedName>
    <definedName name="_AMO_ContentLocation_466356944_ROM_F0.SEC2.Print_2.SEC1.BDY.Data_Set_WORK_REVISAOPARAM.1" hidden="1">"'
  &lt;param n=""leftMargin"" v=""2"" /&gt;_x000D_
&lt;/ContentLocation&gt;'"</definedName>
    <definedName name="_AMO_ContentLocation_466356944_ROM_F0.SEC2.Print_2.SEC1.HDR.TXT1" hidden="1">"'&lt;ContentLocation path=""F0.SEC2.Print_2.SEC1.HDR.TXT1"" rsid=""466356944"" tag=""ROM"" fid=""0""&gt;_x000D_
  &lt;param n=""_NumRows"" v=""1"" /&gt;_x000D_
  &lt;param n=""_NumCols"" v=""10"" /&gt;_x000D_
&lt;/ContentLocation&gt;'"</definedName>
    <definedName name="_AMO_ContentLocation_466356944_ROM_F0.SEC2.Print_3.SEC1.BDY.Data_Set_WORK_REAISMWHT" hidden="1">"'Partitions:2'"</definedName>
    <definedName name="_AMO_ContentLocation_466356944_ROM_F0.SEC2.Print_3.SEC1.BDY.Data_Set_WORK_REAISMWHT.0" hidden="1">"'&lt;ContentLocation path=""F0.SEC2.Print_3.SEC1.BDY.Data_Set_WORK_REAISMWHT"" rsid=""466356944"" tag=""ROM"" fid=""0""&gt;_x000D_
  &lt;param n=""_NumRows"" v=""105"" /&gt;_x000D_
  &lt;param n=""_NumCols"" v=""10"" /&gt;_x000D_
  &lt;param n=""tableSig"" v=""R:R=105:C=10:FCR=2:FCC=1"" /&gt;'"</definedName>
    <definedName name="_AMO_ContentLocation_466356944_ROM_F0.SEC2.Print_3.SEC1.BDY.Data_Set_WORK_REAISMWHT.1" hidden="1">"'_x000D_
  &lt;param n=""leftMargin"" v=""0"" /&gt;_x000D_
&lt;/ContentLocation&gt;'"</definedName>
    <definedName name="_AMO_ContentLocation_466356944_ROM_F0.SEC2.Print_3.SEC1.HDR.TXT1" hidden="1">"'&lt;ContentLocation path=""F0.SEC2.Print_3.SEC1.HDR.TXT1"" rsid=""466356944"" tag=""ROM"" fid=""0""&gt;_x000D_
  &lt;param n=""_NumRows"" v=""1"" /&gt;_x000D_
  &lt;param n=""_NumCols"" v=""10"" /&gt;_x000D_
&lt;/ContentLocation&gt;'"</definedName>
    <definedName name="_AMO_ContentLocation_466356944_ROM_F0.SEC2.Print_4.SEC1.BDY.Data_Set_WORK_IRTGERALT" hidden="1">"'Partitions:2'"</definedName>
    <definedName name="_AMO_ContentLocation_466356944_ROM_F0.SEC2.Print_4.SEC1.BDY.Data_Set_WORK_IRTGERALT.0" hidden="1">"'&lt;ContentLocation path=""F0.SEC2.Print_4.SEC1.BDY.Data_Set_WORK_IRTGERALT"" rsid=""466356944"" tag=""ROM"" fid=""0""&gt;_x000D_
  &lt;param n=""_NumRows"" v=""11"" /&gt;_x000D_
  &lt;param n=""_NumCols"" v=""7"" /&gt;_x000D_
  &lt;param n=""tableSig"" v=""R:R=11:C=7:FCR=2:FCC=1"" /&gt;_x000D_
 '"</definedName>
    <definedName name="_AMO_ContentLocation_466356944_ROM_F0.SEC2.Print_4.SEC1.BDY.Data_Set_WORK_IRTGERALT.1" hidden="1">"' &lt;param n=""leftMargin"" v=""1"" /&gt;_x000D_
&lt;/ContentLocation&gt;'"</definedName>
    <definedName name="_AMO_ContentLocation_466356944_ROM_F0.SEC2.Print_4.SEC1.HDR.TXT1" hidden="1">"'&lt;ContentLocation path=""F0.SEC2.Print_4.SEC1.HDR.TXT1"" rsid=""466356944"" tag=""ROM"" fid=""0""&gt;_x000D_
  &lt;param n=""_NumRows"" v=""1"" /&gt;_x000D_
  &lt;param n=""_NumCols"" v=""10"" /&gt;_x000D_
&lt;/ContentLocation&gt;'"</definedName>
    <definedName name="_AMO_ContentLocation_466356944_ROM_F0.SEC2.Tabulate_1.SEC1.BDY.Cross_tabular_summary_report_Table_1" hidden="1">"'Partitions:2'"</definedName>
    <definedName name="_AMO_ContentLocation_466356944_ROM_F0.SEC2.Tabulate_1.SEC1.BDY.Cross_tabular_summary_report_Table_1.0" hidden="1">"'&lt;ContentLocation path=""F0.SEC2.Tabulate_1.SEC1.BDY.Cross_tabular_summary_report_Table_1"" rsid=""466356944"" tag=""ROM"" fid=""0""&gt;_x000D_
  &lt;param n=""_NumRows"" v=""49"" /&gt;_x000D_
  &lt;param n=""_NumCols"" v=""6"" /&gt;_x000D_
  &lt;param n=""tableSig"" v=""R:R=49:C=6:FCR='"</definedName>
    <definedName name="_AMO_ContentLocation_466356944_ROM_F0.SEC2.Tabulate_1.SEC1.BDY.Cross_tabular_summary_report_Table_1.1" hidden="1">"'2:FCC=5:RSP.1=1,H,4"" /&gt;_x000D_
  &lt;param n=""leftMargin"" v=""2"" /&gt;_x000D_
&lt;/ContentLocation&gt;'"</definedName>
    <definedName name="_AMO_ContentLocation_466356944_ROM_F0.SEC2.Tabulate_1.SEC1.HDR.TXT1" hidden="1">"'&lt;ContentLocation path=""F0.SEC2.Tabulate_1.SEC1.HDR.TXT1"" rsid=""466356944"" tag=""ROM"" fid=""0""&gt;_x000D_
  &lt;param n=""_NumRows"" v=""1"" /&gt;_x000D_
  &lt;param n=""_NumCols"" v=""10"" /&gt;_x000D_
&lt;/ContentLocation&gt;'"</definedName>
    <definedName name="_AMO_ContentLocation_466356944_ROM_F0.SEC2.Tabulate_2.SEC1.BDY.Cross_tabular_summary_report_Table_1" hidden="1">"'Partitions:2'"</definedName>
    <definedName name="_AMO_ContentLocation_466356944_ROM_F0.SEC2.Tabulate_2.SEC1.BDY.Cross_tabular_summary_report_Table_1.0" hidden="1">"'&lt;ContentLocation path=""F0.SEC2.Tabulate_2.SEC1.BDY.Cross_tabular_summary_report_Table_1"" rsid=""466356944"" tag=""ROM"" fid=""0""&gt;_x000D_
  &lt;param n=""_NumRows"" v=""58"" /&gt;_x000D_
  &lt;param n=""_NumCols"" v=""7"" /&gt;_x000D_
  &lt;param n=""tableSig"" v=""R:R=58:C=7:FCR='"</definedName>
    <definedName name="_AMO_ContentLocation_466356944_ROM_F0.SEC2.Tabulate_2.SEC1.BDY.Cross_tabular_summary_report_Table_1.1" hidden="1">"'2:FCC=5:RSP.1=1,H,4"" /&gt;_x000D_
  &lt;param n=""leftMargin"" v=""1"" /&gt;_x000D_
&lt;/ContentLocation&gt;'"</definedName>
    <definedName name="_AMO_ContentLocation_466356944_ROM_F0.SEC2.Tabulate_2.SEC1.HDR.TXT1" hidden="1">"'&lt;ContentLocation path=""F0.SEC2.Tabulate_2.SEC1.HDR.TXT1"" rsid=""466356944"" tag=""ROM"" fid=""0""&gt;_x000D_
  &lt;param n=""_NumRows"" v=""1"" /&gt;_x000D_
  &lt;param n=""_NumCols"" v=""10"" /&gt;_x000D_
&lt;/ContentLocation&gt;'"</definedName>
    <definedName name="_AMO_ContentLocation_630089467_ROM_F0.SEC2.Print_1.SEC1.BDY.Data_Set_WORK_PARCELABBADNET" hidden="1">"'Partitions:2'"</definedName>
    <definedName name="_AMO_ContentLocation_630089467_ROM_F0.SEC2.Print_1.SEC1.BDY.Data_Set_WORK_PARCELABBADNET.0" hidden="1">"'&lt;ContentLocation path=""F0.SEC2.Print_1.SEC1.BDY.Data_Set_WORK_PARCELABBADNET"" rsid=""630089467"" tag=""ROM"" fid=""0""&gt;_x000D_
  &lt;param n=""_NumRows"" v=""133"" /&gt;_x000D_
  &lt;param n=""_NumCols"" v=""5"" /&gt;_x000D_
  &lt;param n=""tableSig"" v=""R:R=133:C=5:FCR=2:FCC=1""'"</definedName>
    <definedName name="_AMO_ContentLocation_630089467_ROM_F0.SEC2.Print_1.SEC1.BDY.Data_Set_WORK_PARCELABBADNET.1" hidden="1">"' /&gt;_x000D_
  &lt;param n=""leftMargin"" v=""0"" /&gt;_x000D_
&lt;/ContentLocation&gt;'"</definedName>
    <definedName name="_AMO_ContentLocation_630089467_ROM_F0.SEC2.Print_1.SEC1.HDR.TXT1" hidden="1">"'&lt;ContentLocation path=""F0.SEC2.Print_1.SEC1.HDR.TXT1"" rsid=""630089467"" tag=""ROM"" fid=""0""&gt;_x000D_
  &lt;param n=""_NumRows"" v=""1"" /&gt;_x000D_
  &lt;param n=""_NumCols"" v=""6"" /&gt;_x000D_
&lt;/ContentLocation&gt;'"</definedName>
    <definedName name="_AMO_ContentLocation_630089467_ROM_F0.SEC2.Tabulate_1.SEC1.BDY.Cross_tabular_summary_report_Table_1" hidden="1">"'Partitions:2'"</definedName>
    <definedName name="_AMO_ContentLocation_630089467_ROM_F0.SEC2.Tabulate_1.SEC1.BDY.Cross_tabular_summary_report_Table_1.0" hidden="1">"'&lt;ContentLocation path=""F0.SEC2.Tabulate_1.SEC1.BDY.Cross_tabular_summary_report_Table_1"" rsid=""630089467"" tag=""ROM"" fid=""0""&gt;_x000D_
  &lt;param n=""_NumRows"" v=""40"" /&gt;_x000D_
  &lt;param n=""_NumCols"" v=""6"" /&gt;_x000D_
  &lt;param n=""tableSig"" v=""R:R=40:C=6:FCR='"</definedName>
    <definedName name="_AMO_ContentLocation_630089467_ROM_F0.SEC2.Tabulate_1.SEC1.BDY.Cross_tabular_summary_report_Table_1.1" hidden="1">"'2:FCC=4:RSP.1=1,H,3"" /&gt;_x000D_
  &lt;param n=""leftMargin"" v=""0"" /&gt;_x000D_
&lt;/ContentLocation&gt;'"</definedName>
    <definedName name="_AMO_ContentLocation_630089467_ROM_F0.SEC2.Tabulate_1.SEC1.HDR.TXT1" hidden="1">"'&lt;ContentLocation path=""F0.SEC2.Tabulate_1.SEC1.HDR.TXT1"" rsid=""630089467"" tag=""ROM"" fid=""0""&gt;_x000D_
  &lt;param n=""_NumRows"" v=""1"" /&gt;_x000D_
  &lt;param n=""_NumCols"" v=""6"" /&gt;_x000D_
&lt;/ContentLocation&gt;'"</definedName>
    <definedName name="_AMO_ContentLocation_643045985_ROM_F0.SEC2.Print_1.SEC1.BDY.Data_Set_WORK_SUMMTUDO" hidden="1">"'Partitions:2'"</definedName>
    <definedName name="_AMO_ContentLocation_643045985_ROM_F0.SEC2.Print_1.SEC1.BDY.Data_Set_WORK_SUMMTUDO.0" hidden="1">"'&lt;ContentLocation path=""F0.SEC2.Print_1.SEC1.BDY.Data_Set_WORK_SUMMTUDO"" rsid=""643045985"" tag=""ROM"" fid=""0""&gt;_x000D_
  &lt;param n=""_NumRows"" v=""49"" /&gt;_x000D_
  &lt;param n=""_NumCols"" v=""7"" /&gt;_x000D_
  &lt;param n=""tableSig"" v=""R:R=49:C=7:FCR=2:FCC=1"" /&gt;_x000D_
  '"</definedName>
    <definedName name="_AMO_ContentLocation_643045985_ROM_F0.SEC2.Print_1.SEC1.BDY.Data_Set_WORK_SUMMTUDO.1" hidden="1">"'&lt;param n=""leftMargin"" v=""1"" /&gt;_x000D_
&lt;/ContentLocation&gt;'"</definedName>
    <definedName name="_AMO_ContentLocation_643045985_ROM_F0.SEC2.Print_1.SEC1.HDR.TXT1" hidden="1">"'&lt;ContentLocation path=""F0.SEC2.Print_1.SEC1.HDR.TXT1"" rsid=""643045985"" tag=""ROM"" fid=""0""&gt;_x000D_
  &lt;param n=""_NumRows"" v=""1"" /&gt;_x000D_
  &lt;param n=""_NumCols"" v=""10"" /&gt;_x000D_
&lt;/ContentLocation&gt;'"</definedName>
    <definedName name="_AMO_ContentLocation_643045985_ROM_F0.SEC2.Print_2.SEC1.BDY.Data_Set_WORK_REVISAOPARAM" hidden="1">"'Partitions:2'"</definedName>
    <definedName name="_AMO_ContentLocation_643045985_ROM_F0.SEC2.Print_2.SEC1.BDY.Data_Set_WORK_REVISAOPARAM.0" hidden="1">"'&lt;ContentLocation path=""F0.SEC2.Print_2.SEC1.BDY.Data_Set_WORK_REVISAOPARAM"" rsid=""643045985"" tag=""ROM"" fid=""0""&gt;_x000D_
  &lt;param n=""_NumRows"" v=""156"" /&gt;_x000D_
  &lt;param n=""_NumCols"" v=""5"" /&gt;_x000D_
  &lt;param n=""tableSig"" v=""R:R=156:C=5:FCR=2:FCC=1"" /'"</definedName>
    <definedName name="_AMO_ContentLocation_643045985_ROM_F0.SEC2.Print_2.SEC1.BDY.Data_Set_WORK_REVISAOPARAM.1" hidden="1">"'&gt;_x000D_
  &lt;param n=""leftMargin"" v=""2"" /&gt;_x000D_
&lt;/ContentLocation&gt;'"</definedName>
    <definedName name="_AMO_ContentLocation_643045985_ROM_F0.SEC2.Print_2.SEC1.HDR.TXT1" hidden="1">"'&lt;ContentLocation path=""F0.SEC2.Print_2.SEC1.HDR.TXT1"" rsid=""643045985"" tag=""ROM"" fid=""0""&gt;_x000D_
  &lt;param n=""_NumRows"" v=""1"" /&gt;_x000D_
  &lt;param n=""_NumCols"" v=""10"" /&gt;_x000D_
&lt;/ContentLocation&gt;'"</definedName>
    <definedName name="_AMO_ContentLocation_643045985_ROM_F0.SEC2.Print_3.SEC1.BDY.Data_Set_WORK_REAISMWHT" hidden="1">"'Partitions:2'"</definedName>
    <definedName name="_AMO_ContentLocation_643045985_ROM_F0.SEC2.Print_3.SEC1.BDY.Data_Set_WORK_REAISMWHT.0" hidden="1">"'&lt;ContentLocation path=""F0.SEC2.Print_3.SEC1.BDY.Data_Set_WORK_REAISMWHT"" rsid=""643045985"" tag=""ROM"" fid=""0""&gt;_x000D_
  &lt;param n=""_NumRows"" v=""97"" /&gt;_x000D_
  &lt;param n=""_NumCols"" v=""10"" /&gt;_x000D_
  &lt;param n=""tableSig"" v=""R:R=97:C=10:FCR=2:FCC=1"" /&gt;_x000D_
'"</definedName>
    <definedName name="_AMO_ContentLocation_643045985_ROM_F0.SEC2.Print_3.SEC1.BDY.Data_Set_WORK_REAISMWHT.1" hidden="1">"'  &lt;param n=""leftMargin"" v=""0"" /&gt;_x000D_
&lt;/ContentLocation&gt;'"</definedName>
    <definedName name="_AMO_ContentLocation_643045985_ROM_F0.SEC2.Print_3.SEC1.HDR.TXT1" hidden="1">"'&lt;ContentLocation path=""F0.SEC2.Print_3.SEC1.HDR.TXT1"" rsid=""643045985"" tag=""ROM"" fid=""0""&gt;_x000D_
  &lt;param n=""_NumRows"" v=""1"" /&gt;_x000D_
  &lt;param n=""_NumCols"" v=""10"" /&gt;_x000D_
&lt;/ContentLocation&gt;'"</definedName>
    <definedName name="_AMO_ContentLocation_643045985_ROM_F0.SEC2.Print_4.SEC1.BDY.Data_Set_WORK_IRTGERALT" hidden="1">"'Partitions:2'"</definedName>
    <definedName name="_AMO_ContentLocation_643045985_ROM_F0.SEC2.Print_4.SEC1.BDY.Data_Set_WORK_IRTGERALT.0" hidden="1">"'&lt;ContentLocation path=""F0.SEC2.Print_4.SEC1.BDY.Data_Set_WORK_IRTGERALT"" rsid=""643045985"" tag=""ROM"" fid=""0""&gt;_x000D_
  &lt;param n=""_NumRows"" v=""11"" /&gt;_x000D_
  &lt;param n=""_NumCols"" v=""7"" /&gt;_x000D_
  &lt;param n=""tableSig"" v=""R:R=11:C=7:FCR=2:FCC=1"" /&gt;_x000D_
 '"</definedName>
    <definedName name="_AMO_ContentLocation_643045985_ROM_F0.SEC2.Print_4.SEC1.BDY.Data_Set_WORK_IRTGERALT.1" hidden="1">"' &lt;param n=""leftMargin"" v=""1"" /&gt;_x000D_
&lt;/ContentLocation&gt;'"</definedName>
    <definedName name="_AMO_ContentLocation_643045985_ROM_F0.SEC2.Print_4.SEC1.HDR.TXT1" hidden="1">"'&lt;ContentLocation path=""F0.SEC2.Print_4.SEC1.HDR.TXT1"" rsid=""643045985"" tag=""ROM"" fid=""0""&gt;_x000D_
  &lt;param n=""_NumRows"" v=""1"" /&gt;_x000D_
  &lt;param n=""_NumCols"" v=""10"" /&gt;_x000D_
&lt;/ContentLocation&gt;'"</definedName>
    <definedName name="_AMO_ContentLocation_643045985_ROM_F0.SEC2.Tabulate_1.SEC1.BDY.Cross_tabular_summary_report_Table_1" hidden="1">"'Partitions:2'"</definedName>
    <definedName name="_AMO_ContentLocation_643045985_ROM_F0.SEC2.Tabulate_1.SEC1.BDY.Cross_tabular_summary_report_Table_1.0" hidden="1">"'&lt;ContentLocation path=""F0.SEC2.Tabulate_1.SEC1.BDY.Cross_tabular_summary_report_Table_1"" rsid=""643045985"" tag=""ROM"" fid=""0""&gt;_x000D_
  &lt;param n=""_NumRows"" v=""50"" /&gt;_x000D_
  &lt;param n=""_NumCols"" v=""7"" /&gt;_x000D_
  &lt;param n=""tableSig"" v=""R:R=50:C=7:FCR='"</definedName>
    <definedName name="_AMO_ContentLocation_643045985_ROM_F0.SEC2.Tabulate_1.SEC1.BDY.Cross_tabular_summary_report_Table_1.1" hidden="1">"'2:FCC=5:RSP.1=1,H,4"" /&gt;_x000D_
  &lt;param n=""leftMargin"" v=""1"" /&gt;_x000D_
&lt;/ContentLocation&gt;'"</definedName>
    <definedName name="_AMO_ContentLocation_643045985_ROM_F0.SEC2.Tabulate_1.SEC1.HDR.TXT1" hidden="1">"'&lt;ContentLocation path=""F0.SEC2.Tabulate_1.SEC1.HDR.TXT1"" rsid=""643045985"" tag=""ROM"" fid=""0""&gt;_x000D_
  &lt;param n=""_NumRows"" v=""1"" /&gt;_x000D_
  &lt;param n=""_NumCols"" v=""10"" /&gt;_x000D_
&lt;/ContentLocation&gt;'"</definedName>
    <definedName name="_AMO_ContentLocation_659937799_ROM_F0.SEC2.Print_1.SEC1.BDY.Data_Set_WORK_SUMMTUDO" hidden="1">"'Partitions:2'"</definedName>
    <definedName name="_AMO_ContentLocation_659937799_ROM_F0.SEC2.Print_1.SEC1.BDY.Data_Set_WORK_SUMMTUDO.0" hidden="1">"'&lt;ContentLocation path=""F0.SEC2.Print_1.SEC1.BDY.Data_Set_WORK_SUMMTUDO"" rsid=""659937799"" tag=""ROM"" fid=""0""&gt;_x000D_
  &lt;param n=""_NumRows"" v=""48"" /&gt;_x000D_
  &lt;param n=""_NumCols"" v=""7"" /&gt;_x000D_
  &lt;param n=""tableSig"" v=""R:R=48:C=7:FCR=2:FCC=1"" /&gt;_x000D_
  '"</definedName>
    <definedName name="_AMO_ContentLocation_659937799_ROM_F0.SEC2.Print_1.SEC1.BDY.Data_Set_WORK_SUMMTUDO.1" hidden="1">"'&lt;param n=""leftMargin"" v=""1"" /&gt;_x000D_
&lt;/ContentLocation&gt;'"</definedName>
    <definedName name="_AMO_ContentLocation_659937799_ROM_F0.SEC2.Print_1.SEC1.HDR.TXT1" hidden="1">"'&lt;ContentLocation path=""F0.SEC2.Print_1.SEC1.HDR.TXT1"" rsid=""659937799"" tag=""ROM"" fid=""0""&gt;_x000D_
  &lt;param n=""_NumRows"" v=""1"" /&gt;_x000D_
  &lt;param n=""_NumCols"" v=""10"" /&gt;_x000D_
&lt;/ContentLocation&gt;'"</definedName>
    <definedName name="_AMO_ContentLocation_659937799_ROM_F0.SEC2.Print_2.SEC1.BDY.Data_Set_WORK_REVISAOPARAM" hidden="1">"'Partitions:2'"</definedName>
    <definedName name="_AMO_ContentLocation_659937799_ROM_F0.SEC2.Print_2.SEC1.BDY.Data_Set_WORK_REVISAOPARAM.0" hidden="1">"'&lt;ContentLocation path=""F0.SEC2.Print_2.SEC1.BDY.Data_Set_WORK_REVISAOPARAM"" rsid=""659937799"" tag=""ROM"" fid=""0""&gt;_x000D_
  &lt;param n=""_NumRows"" v=""179"" /&gt;_x000D_
  &lt;param n=""_NumCols"" v=""7"" /&gt;_x000D_
  &lt;param n=""tableSig"" v=""R:R=179:C=7:FCR=2:FCC=1"" /'"</definedName>
    <definedName name="_AMO_ContentLocation_659937799_ROM_F0.SEC2.Print_2.SEC1.BDY.Data_Set_WORK_REVISAOPARAM.1" hidden="1">"'&gt;_x000D_
  &lt;param n=""leftMargin"" v=""1"" /&gt;_x000D_
&lt;/ContentLocation&gt;'"</definedName>
    <definedName name="_AMO_ContentLocation_659937799_ROM_F0.SEC2.Print_2.SEC1.HDR.TXT1" hidden="1">"'&lt;ContentLocation path=""F0.SEC2.Print_2.SEC1.HDR.TXT1"" rsid=""659937799"" tag=""ROM"" fid=""0""&gt;_x000D_
  &lt;param n=""_NumRows"" v=""1"" /&gt;_x000D_
  &lt;param n=""_NumCols"" v=""10"" /&gt;_x000D_
&lt;/ContentLocation&gt;'"</definedName>
    <definedName name="_AMO_ContentLocation_659937799_ROM_F0.SEC2.Print_3.SEC1.BDY.Data_Set_WORK_REAISMWHT" hidden="1">"'Partitions:2'"</definedName>
    <definedName name="_AMO_ContentLocation_659937799_ROM_F0.SEC2.Print_3.SEC1.BDY.Data_Set_WORK_REAISMWHT.0" hidden="1">"'&lt;ContentLocation path=""F0.SEC2.Print_3.SEC1.BDY.Data_Set_WORK_REAISMWHT"" rsid=""659937799"" tag=""ROM"" fid=""0""&gt;_x000D_
  &lt;param n=""_NumRows"" v=""97"" /&gt;_x000D_
  &lt;param n=""_NumCols"" v=""10"" /&gt;_x000D_
  &lt;param n=""tableSig"" v=""R:R=97:C=10:FCR=2:FCC=1"" /&gt;_x000D_
'"</definedName>
    <definedName name="_AMO_ContentLocation_659937799_ROM_F0.SEC2.Print_3.SEC1.BDY.Data_Set_WORK_REAISMWHT.1" hidden="1">"'  &lt;param n=""leftMargin"" v=""0"" /&gt;_x000D_
&lt;/ContentLocation&gt;'"</definedName>
    <definedName name="_AMO_ContentLocation_659937799_ROM_F0.SEC2.Print_3.SEC1.HDR.TXT1" hidden="1">"'&lt;ContentLocation path=""F0.SEC2.Print_3.SEC1.HDR.TXT1"" rsid=""659937799"" tag=""ROM"" fid=""0""&gt;_x000D_
  &lt;param n=""_NumRows"" v=""1"" /&gt;_x000D_
  &lt;param n=""_NumCols"" v=""10"" /&gt;_x000D_
&lt;/ContentLocation&gt;'"</definedName>
    <definedName name="_AMO_ContentLocation_659937799_ROM_F0.SEC2.Print_4.SEC1.BDY.Data_Set_WORK_IRTGERALT" hidden="1">"'Partitions:2'"</definedName>
    <definedName name="_AMO_ContentLocation_659937799_ROM_F0.SEC2.Print_4.SEC1.BDY.Data_Set_WORK_IRTGERALT.0" hidden="1">"'&lt;ContentLocation path=""F0.SEC2.Print_4.SEC1.BDY.Data_Set_WORK_IRTGERALT"" rsid=""659937799"" tag=""ROM"" fid=""0""&gt;_x000D_
  &lt;param n=""_NumRows"" v=""11"" /&gt;_x000D_
  &lt;param n=""_NumCols"" v=""7"" /&gt;_x000D_
  &lt;param n=""tableSig"" v=""R:R=11:C=7:FCR=2:FCC=1"" /&gt;_x000D_
 '"</definedName>
    <definedName name="_AMO_ContentLocation_659937799_ROM_F0.SEC2.Print_4.SEC1.BDY.Data_Set_WORK_IRTGERALT.1" hidden="1">"' &lt;param n=""leftMargin"" v=""1"" /&gt;_x000D_
&lt;/ContentLocation&gt;'"</definedName>
    <definedName name="_AMO_ContentLocation_659937799_ROM_F0.SEC2.Print_4.SEC1.HDR.TXT1" hidden="1">"'&lt;ContentLocation path=""F0.SEC2.Print_4.SEC1.HDR.TXT1"" rsid=""659937799"" tag=""ROM"" fid=""0""&gt;_x000D_
  &lt;param n=""_NumRows"" v=""1"" /&gt;_x000D_
  &lt;param n=""_NumCols"" v=""10"" /&gt;_x000D_
&lt;/ContentLocation&gt;'"</definedName>
    <definedName name="_AMO_ContentLocation_659937799_ROM_F0.SEC2.Tabulate_1.SEC1.BDY.Cross_tabular_summary_report_Table_1" hidden="1">"'Partitions:2'"</definedName>
    <definedName name="_AMO_ContentLocation_659937799_ROM_F0.SEC2.Tabulate_1.SEC1.BDY.Cross_tabular_summary_report_Table_1.0" hidden="1">"'&lt;ContentLocation path=""F0.SEC2.Tabulate_1.SEC1.BDY.Cross_tabular_summary_report_Table_1"" rsid=""659937799"" tag=""ROM"" fid=""0""&gt;_x000D_
  &lt;param n=""_NumRows"" v=""49"" /&gt;_x000D_
  &lt;param n=""_NumCols"" v=""7"" /&gt;_x000D_
  &lt;param n=""tableSig"" v=""R:R=49:C=7:FCR='"</definedName>
    <definedName name="_AMO_ContentLocation_659937799_ROM_F0.SEC2.Tabulate_1.SEC1.BDY.Cross_tabular_summary_report_Table_1.1" hidden="1">"'2:FCC=5:RSP.1=1,H,4"" /&gt;_x000D_
  &lt;param n=""leftMargin"" v=""1"" /&gt;_x000D_
&lt;/ContentLocation&gt;'"</definedName>
    <definedName name="_AMO_ContentLocation_659937799_ROM_F0.SEC2.Tabulate_1.SEC1.HDR.TXT1" hidden="1">"'&lt;ContentLocation path=""F0.SEC2.Tabulate_1.SEC1.HDR.TXT1"" rsid=""659937799"" tag=""ROM"" fid=""0""&gt;_x000D_
  &lt;param n=""_NumRows"" v=""1"" /&gt;_x000D_
  &lt;param n=""_NumCols"" v=""10"" /&gt;_x000D_
&lt;/ContentLocation&gt;'"</definedName>
    <definedName name="_AMO_ContentLocation_663608823_ROM_F0.SEC2.Print_1.SEC1.BDY.Data_Set_WORK_SUMMTUDO" hidden="1">"'Partitions:2'"</definedName>
    <definedName name="_AMO_ContentLocation_663608823_ROM_F0.SEC2.Print_1.SEC1.BDY.Data_Set_WORK_SUMMTUDO.0" hidden="1">"'&lt;ContentLocation path=""F0.SEC2.Print_1.SEC1.BDY.Data_Set_WORK_SUMMTUDO"" rsid=""663608823"" tag=""ROM"" fid=""0""&gt;_x000D_
  &lt;param n=""_NumRows"" v=""49"" /&gt;_x000D_
  &lt;param n=""_NumCols"" v=""7"" /&gt;_x000D_
  &lt;param n=""tableSig"" v=""R:R=49:C=7:FCR=2:FCC=1"" /&gt;_x000D_
  '"</definedName>
    <definedName name="_AMO_ContentLocation_663608823_ROM_F0.SEC2.Print_1.SEC1.BDY.Data_Set_WORK_SUMMTUDO.1" hidden="1">"'&lt;param n=""leftMargin"" v=""1"" /&gt;_x000D_
&lt;/ContentLocation&gt;'"</definedName>
    <definedName name="_AMO_ContentLocation_663608823_ROM_F0.SEC2.Print_1.SEC1.HDR.TXT1" hidden="1">"'&lt;ContentLocation path=""F0.SEC2.Print_1.SEC1.HDR.TXT1"" rsid=""663608823"" tag=""ROM"" fid=""0""&gt;_x000D_
  &lt;param n=""_NumRows"" v=""1"" /&gt;_x000D_
  &lt;param n=""_NumCols"" v=""10"" /&gt;_x000D_
&lt;/ContentLocation&gt;'"</definedName>
    <definedName name="_AMO_ContentLocation_663608823_ROM_F0.SEC2.Print_2.SEC1.BDY.Data_Set_WORK_REVISAOPARAM" hidden="1">"'Partitions:2'"</definedName>
    <definedName name="_AMO_ContentLocation_663608823_ROM_F0.SEC2.Print_2.SEC1.BDY.Data_Set_WORK_REVISAOPARAM.0" hidden="1">"'&lt;ContentLocation path=""F0.SEC2.Print_2.SEC1.BDY.Data_Set_WORK_REVISAOPARAM"" rsid=""663608823"" tag=""ROM"" fid=""0""&gt;_x000D_
  &lt;param n=""_NumRows"" v=""156"" /&gt;_x000D_
  &lt;param n=""_NumCols"" v=""5"" /&gt;_x000D_
  &lt;param n=""tableSig"" v=""R:R=156:C=5:FCR=2:FCC=1"" /'"</definedName>
    <definedName name="_AMO_ContentLocation_663608823_ROM_F0.SEC2.Print_2.SEC1.BDY.Data_Set_WORK_REVISAOPARAM.1" hidden="1">"'&gt;_x000D_
  &lt;param n=""leftMargin"" v=""2"" /&gt;_x000D_
&lt;/ContentLocation&gt;'"</definedName>
    <definedName name="_AMO_ContentLocation_663608823_ROM_F0.SEC2.Print_2.SEC1.HDR.TXT1" hidden="1">"'&lt;ContentLocation path=""F0.SEC2.Print_2.SEC1.HDR.TXT1"" rsid=""663608823"" tag=""ROM"" fid=""0""&gt;_x000D_
  &lt;param n=""_NumRows"" v=""1"" /&gt;_x000D_
  &lt;param n=""_NumCols"" v=""10"" /&gt;_x000D_
&lt;/ContentLocation&gt;'"</definedName>
    <definedName name="_AMO_ContentLocation_663608823_ROM_F0.SEC2.Print_3.SEC1.BDY.Data_Set_WORK_REAISMWHT" hidden="1">"'Partitions:2'"</definedName>
    <definedName name="_AMO_ContentLocation_663608823_ROM_F0.SEC2.Print_3.SEC1.BDY.Data_Set_WORK_REAISMWHT.0" hidden="1">"'&lt;ContentLocation path=""F0.SEC2.Print_3.SEC1.BDY.Data_Set_WORK_REAISMWHT"" rsid=""663608823"" tag=""ROM"" fid=""0""&gt;_x000D_
  &lt;param n=""_NumRows"" v=""97"" /&gt;_x000D_
  &lt;param n=""_NumCols"" v=""10"" /&gt;_x000D_
  &lt;param n=""tableSig"" v=""R:R=97:C=10:FCR=2:FCC=1"" /&gt;_x000D_
'"</definedName>
    <definedName name="_AMO_ContentLocation_663608823_ROM_F0.SEC2.Print_3.SEC1.BDY.Data_Set_WORK_REAISMWHT.1" hidden="1">"'  &lt;param n=""leftMargin"" v=""0"" /&gt;_x000D_
&lt;/ContentLocation&gt;'"</definedName>
    <definedName name="_AMO_ContentLocation_663608823_ROM_F0.SEC2.Print_3.SEC1.HDR.TXT1" hidden="1">"'&lt;ContentLocation path=""F0.SEC2.Print_3.SEC1.HDR.TXT1"" rsid=""663608823"" tag=""ROM"" fid=""0""&gt;_x000D_
  &lt;param n=""_NumRows"" v=""1"" /&gt;_x000D_
  &lt;param n=""_NumCols"" v=""10"" /&gt;_x000D_
&lt;/ContentLocation&gt;'"</definedName>
    <definedName name="_AMO_ContentLocation_663608823_ROM_F0.SEC2.Print_4.SEC1.BDY.Data_Set_WORK_IRTGERALT" hidden="1">"'Partitions:2'"</definedName>
    <definedName name="_AMO_ContentLocation_663608823_ROM_F0.SEC2.Print_4.SEC1.BDY.Data_Set_WORK_IRTGERALT.0" hidden="1">"'&lt;ContentLocation path=""F0.SEC2.Print_4.SEC1.BDY.Data_Set_WORK_IRTGERALT"" rsid=""663608823"" tag=""ROM"" fid=""0""&gt;_x000D_
  &lt;param n=""_NumRows"" v=""11"" /&gt;_x000D_
  &lt;param n=""_NumCols"" v=""7"" /&gt;_x000D_
  &lt;param n=""tableSig"" v=""R:R=11:C=7:FCR=2:FCC=1"" /&gt;_x000D_
 '"</definedName>
    <definedName name="_AMO_ContentLocation_663608823_ROM_F0.SEC2.Print_4.SEC1.BDY.Data_Set_WORK_IRTGERALT.1" hidden="1">"' &lt;param n=""leftMargin"" v=""1"" /&gt;_x000D_
&lt;/ContentLocation&gt;'"</definedName>
    <definedName name="_AMO_ContentLocation_663608823_ROM_F0.SEC2.Print_4.SEC1.HDR.TXT1" hidden="1">"'&lt;ContentLocation path=""F0.SEC2.Print_4.SEC1.HDR.TXT1"" rsid=""663608823"" tag=""ROM"" fid=""0""&gt;_x000D_
  &lt;param n=""_NumRows"" v=""1"" /&gt;_x000D_
  &lt;param n=""_NumCols"" v=""10"" /&gt;_x000D_
&lt;/ContentLocation&gt;'"</definedName>
    <definedName name="_AMO_ContentLocation_663608823_ROM_F0.SEC2.Tabulate_1.SEC1.BDY.Cross_tabular_summary_report_Table_1" hidden="1">"'Partitions:2'"</definedName>
    <definedName name="_AMO_ContentLocation_663608823_ROM_F0.SEC2.Tabulate_1.SEC1.BDY.Cross_tabular_summary_report_Table_1.0" hidden="1">"'&lt;ContentLocation path=""F0.SEC2.Tabulate_1.SEC1.BDY.Cross_tabular_summary_report_Table_1"" rsid=""663608823"" tag=""ROM"" fid=""0""&gt;_x000D_
  &lt;param n=""_NumRows"" v=""50"" /&gt;_x000D_
  &lt;param n=""_NumCols"" v=""7"" /&gt;_x000D_
  &lt;param n=""tableSig"" v=""R:R=50:C=7:FCR='"</definedName>
    <definedName name="_AMO_ContentLocation_663608823_ROM_F0.SEC2.Tabulate_1.SEC1.BDY.Cross_tabular_summary_report_Table_1.1" hidden="1">"'2:FCC=5:RSP.1=1,H,4"" /&gt;_x000D_
  &lt;param n=""leftMargin"" v=""1"" /&gt;_x000D_
&lt;/ContentLocation&gt;'"</definedName>
    <definedName name="_AMO_ContentLocation_663608823_ROM_F0.SEC2.Tabulate_1.SEC1.HDR.TXT1" hidden="1">"'&lt;ContentLocation path=""F0.SEC2.Tabulate_1.SEC1.HDR.TXT1"" rsid=""663608823"" tag=""ROM"" fid=""0""&gt;_x000D_
  &lt;param n=""_NumRows"" v=""1"" /&gt;_x000D_
  &lt;param n=""_NumCols"" v=""10"" /&gt;_x000D_
&lt;/ContentLocation&gt;'"</definedName>
    <definedName name="_AMO_ContentLocation_703996623_ROM_F0.SEC2.Print_1.SEC1.BDY.Data_Set_WORK_SUMMTUDO" hidden="1">"'Partitions:2'"</definedName>
    <definedName name="_AMO_ContentLocation_703996623_ROM_F0.SEC2.Print_1.SEC1.BDY.Data_Set_WORK_SUMMTUDO.0" hidden="1">"'&lt;ContentLocation path=""F0.SEC2.Print_1.SEC1.BDY.Data_Set_WORK_SUMMTUDO"" rsid=""703996623"" tag=""ROM"" fid=""0""&gt;_x000D_
  &lt;param n=""_NumRows"" v=""54"" /&gt;_x000D_
  &lt;param n=""_NumCols"" v=""7"" /&gt;_x000D_
  &lt;param n=""tableSig"" v=""R:R=54:C=7:FCR=2:FCC=1"" /&gt;_x000D_
  '"</definedName>
    <definedName name="_AMO_ContentLocation_703996623_ROM_F0.SEC2.Print_1.SEC1.BDY.Data_Set_WORK_SUMMTUDO.1" hidden="1">"'&lt;param n=""leftMargin"" v=""1"" /&gt;_x000D_
&lt;/ContentLocation&gt;'"</definedName>
    <definedName name="_AMO_ContentLocation_703996623_ROM_F0.SEC2.Print_1.SEC1.HDR.TXT1" hidden="1">"'&lt;ContentLocation path=""F0.SEC2.Print_1.SEC1.HDR.TXT1"" rsid=""703996623"" tag=""ROM"" fid=""0""&gt;_x000D_
  &lt;param n=""_NumRows"" v=""1"" /&gt;_x000D_
  &lt;param n=""_NumCols"" v=""10"" /&gt;_x000D_
&lt;/ContentLocation&gt;'"</definedName>
    <definedName name="_AMO_ContentLocation_703996623_ROM_F0.SEC2.Print_2.SEC1.BDY.Data_Set_WORK_REVISAOPARAM" hidden="1">"'Partitions:2'"</definedName>
    <definedName name="_AMO_ContentLocation_703996623_ROM_F0.SEC2.Print_2.SEC1.BDY.Data_Set_WORK_REVISAOPARAM.0" hidden="1">"'&lt;ContentLocation path=""F0.SEC2.Print_2.SEC1.BDY.Data_Set_WORK_REVISAOPARAM"" rsid=""703996623"" tag=""ROM"" fid=""0""&gt;_x000D_
  &lt;param n=""_NumRows"" v=""182"" /&gt;_x000D_
  &lt;param n=""_NumCols"" v=""5"" /&gt;_x000D_
  &lt;param n=""tableSig"" v=""R:R=182:C=5:FCR=2:FCC=1"" /'"</definedName>
    <definedName name="_AMO_ContentLocation_703996623_ROM_F0.SEC2.Print_2.SEC1.BDY.Data_Set_WORK_REVISAOPARAM.1" hidden="1">"'&gt;_x000D_
  &lt;param n=""leftMargin"" v=""2"" /&gt;_x000D_
&lt;/ContentLocation&gt;'"</definedName>
    <definedName name="_AMO_ContentLocation_703996623_ROM_F0.SEC2.Print_2.SEC1.HDR.TXT1" hidden="1">"'&lt;ContentLocation path=""F0.SEC2.Print_2.SEC1.HDR.TXT1"" rsid=""703996623"" tag=""ROM"" fid=""0""&gt;_x000D_
  &lt;param n=""_NumRows"" v=""1"" /&gt;_x000D_
  &lt;param n=""_NumCols"" v=""10"" /&gt;_x000D_
&lt;/ContentLocation&gt;'"</definedName>
    <definedName name="_AMO_ContentLocation_703996623_ROM_F0.SEC2.Print_3.SEC1.BDY.Data_Set_WORK_REAISMWHT" hidden="1">"'Partitions:2'"</definedName>
    <definedName name="_AMO_ContentLocation_703996623_ROM_F0.SEC2.Print_3.SEC1.BDY.Data_Set_WORK_REAISMWHT.0" hidden="1">"'&lt;ContentLocation path=""F0.SEC2.Print_3.SEC1.BDY.Data_Set_WORK_REAISMWHT"" rsid=""703996623"" tag=""ROM"" fid=""0""&gt;_x000D_
  &lt;param n=""_NumRows"" v=""109"" /&gt;_x000D_
  &lt;param n=""_NumCols"" v=""10"" /&gt;_x000D_
  &lt;param n=""tableSig"" v=""R:R=109:C=10:FCR=2:FCC=1"" /&gt;'"</definedName>
    <definedName name="_AMO_ContentLocation_703996623_ROM_F0.SEC2.Print_3.SEC1.BDY.Data_Set_WORK_REAISMWHT.1" hidden="1">"'_x000D_
  &lt;param n=""leftMargin"" v=""0"" /&gt;_x000D_
&lt;/ContentLocation&gt;'"</definedName>
    <definedName name="_AMO_ContentLocation_703996623_ROM_F0.SEC2.Print_3.SEC1.HDR.TXT1" hidden="1">"'&lt;ContentLocation path=""F0.SEC2.Print_3.SEC1.HDR.TXT1"" rsid=""703996623"" tag=""ROM"" fid=""0""&gt;_x000D_
  &lt;param n=""_NumRows"" v=""1"" /&gt;_x000D_
  &lt;param n=""_NumCols"" v=""10"" /&gt;_x000D_
&lt;/ContentLocation&gt;'"</definedName>
    <definedName name="_AMO_ContentLocation_703996623_ROM_F0.SEC2.Print_4.SEC1.BDY.Data_Set_WORK_IRTGERALT" hidden="1">"'Partitions:2'"</definedName>
    <definedName name="_AMO_ContentLocation_703996623_ROM_F0.SEC2.Print_4.SEC1.BDY.Data_Set_WORK_IRTGERALT.0" hidden="1">"'&lt;ContentLocation path=""F0.SEC2.Print_4.SEC1.BDY.Data_Set_WORK_IRTGERALT"" rsid=""703996623"" tag=""ROM"" fid=""0""&gt;_x000D_
  &lt;param n=""_NumRows"" v=""11"" /&gt;_x000D_
  &lt;param n=""_NumCols"" v=""7"" /&gt;_x000D_
  &lt;param n=""tableSig"" v=""R:R=11:C=7:FCR=2:FCC=1"" /&gt;_x000D_
 '"</definedName>
    <definedName name="_AMO_ContentLocation_703996623_ROM_F0.SEC2.Print_4.SEC1.BDY.Data_Set_WORK_IRTGERALT.1" hidden="1">"' &lt;param n=""leftMargin"" v=""1"" /&gt;_x000D_
&lt;/ContentLocation&gt;'"</definedName>
    <definedName name="_AMO_ContentLocation_703996623_ROM_F0.SEC2.Print_4.SEC1.HDR.TXT1" hidden="1">"'&lt;ContentLocation path=""F0.SEC2.Print_4.SEC1.HDR.TXT1"" rsid=""703996623"" tag=""ROM"" fid=""0""&gt;_x000D_
  &lt;param n=""_NumRows"" v=""1"" /&gt;_x000D_
  &lt;param n=""_NumCols"" v=""10"" /&gt;_x000D_
&lt;/ContentLocation&gt;'"</definedName>
    <definedName name="_AMO_ContentLocation_703996623_ROM_F0.SEC2.Tabulate_1.SEC1.BDY.Cross_tabular_summary_report_Table_1" hidden="1">"'Partitions:2'"</definedName>
    <definedName name="_AMO_ContentLocation_703996623_ROM_F0.SEC2.Tabulate_1.SEC1.BDY.Cross_tabular_summary_report_Table_1.0" hidden="1">"'&lt;ContentLocation path=""F0.SEC2.Tabulate_1.SEC1.BDY.Cross_tabular_summary_report_Table_1"" rsid=""703996623"" tag=""ROM"" fid=""0""&gt;_x000D_
  &lt;param n=""_NumRows"" v=""45"" /&gt;_x000D_
  &lt;param n=""_NumCols"" v=""6"" /&gt;_x000D_
  &lt;param n=""tableSig"" v=""R:R=45:C=6:FCR='"</definedName>
    <definedName name="_AMO_ContentLocation_703996623_ROM_F0.SEC2.Tabulate_1.SEC1.BDY.Cross_tabular_summary_report_Table_1.1" hidden="1">"'2:FCC=5:RSP.1=1,H,4"" /&gt;_x000D_
  &lt;param n=""leftMargin"" v=""2"" /&gt;_x000D_
&lt;/ContentLocation&gt;'"</definedName>
    <definedName name="_AMO_ContentLocation_703996623_ROM_F0.SEC2.Tabulate_1.SEC1.HDR.TXT1" hidden="1">"'&lt;ContentLocation path=""F0.SEC2.Tabulate_1.SEC1.HDR.TXT1"" rsid=""703996623"" tag=""ROM"" fid=""0""&gt;_x000D_
  &lt;param n=""_NumRows"" v=""1"" /&gt;_x000D_
  &lt;param n=""_NumCols"" v=""10"" /&gt;_x000D_
&lt;/ContentLocation&gt;'"</definedName>
    <definedName name="_AMO_ContentLocation_703996623_ROM_F0.SEC2.Tabulate_2.SEC1.BDY.Cross_tabular_summary_report_Table_1" hidden="1">"'Partitions:2'"</definedName>
    <definedName name="_AMO_ContentLocation_703996623_ROM_F0.SEC2.Tabulate_2.SEC1.BDY.Cross_tabular_summary_report_Table_1.0" hidden="1">"'&lt;ContentLocation path=""F0.SEC2.Tabulate_2.SEC1.BDY.Cross_tabular_summary_report_Table_1"" rsid=""703996623"" tag=""ROM"" fid=""0""&gt;_x000D_
  &lt;param n=""_NumRows"" v=""55"" /&gt;_x000D_
  &lt;param n=""_NumCols"" v=""7"" /&gt;_x000D_
  &lt;param n=""tableSig"" v=""R:R=55:C=7:FCR='"</definedName>
    <definedName name="_AMO_ContentLocation_703996623_ROM_F0.SEC2.Tabulate_2.SEC1.BDY.Cross_tabular_summary_report_Table_1.1" hidden="1">"'2:FCC=5:RSP.1=1,H,4"" /&gt;_x000D_
  &lt;param n=""leftMargin"" v=""1"" /&gt;_x000D_
&lt;/ContentLocation&gt;'"</definedName>
    <definedName name="_AMO_ContentLocation_703996623_ROM_F0.SEC2.Tabulate_2.SEC1.HDR.TXT1" hidden="1">"'&lt;ContentLocation path=""F0.SEC2.Tabulate_2.SEC1.HDR.TXT1"" rsid=""703996623"" tag=""ROM"" fid=""0""&gt;_x000D_
  &lt;param n=""_NumRows"" v=""1"" /&gt;_x000D_
  &lt;param n=""_NumCols"" v=""10"" /&gt;_x000D_
&lt;/ContentLocation&gt;'"</definedName>
    <definedName name="_AMO_ContentLocation_718052594_ROM_F0.SEC2.Print_1.SEC1.BDY.Data_Set_WORK_SUMMTUDO" hidden="1">"'Partitions:2'"</definedName>
    <definedName name="_AMO_ContentLocation_718052594_ROM_F0.SEC2.Print_1.SEC1.BDY.Data_Set_WORK_SUMMTUDO.0" hidden="1">"'&lt;ContentLocation path=""F0.SEC2.Print_1.SEC1.BDY.Data_Set_WORK_SUMMTUDO"" rsid=""718052594"" tag=""ROM"" fid=""0""&gt;_x000D_
  &lt;param n=""_NumRows"" v=""54"" /&gt;_x000D_
  &lt;param n=""_NumCols"" v=""7"" /&gt;_x000D_
  &lt;param n=""tableSig"" v=""R:R=54:C=7:FCR=2:FCC=1"" /&gt;_x000D_
  '"</definedName>
    <definedName name="_AMO_ContentLocation_718052594_ROM_F0.SEC2.Print_1.SEC1.BDY.Data_Set_WORK_SUMMTUDO.1" hidden="1">"'&lt;param n=""leftMargin"" v=""1"" /&gt;_x000D_
&lt;/ContentLocation&gt;'"</definedName>
    <definedName name="_AMO_ContentLocation_718052594_ROM_F0.SEC2.Print_1.SEC1.HDR.TXT1" hidden="1">"'&lt;ContentLocation path=""F0.SEC2.Print_1.SEC1.HDR.TXT1"" rsid=""718052594"" tag=""ROM"" fid=""0""&gt;_x000D_
  &lt;param n=""_NumRows"" v=""1"" /&gt;_x000D_
  &lt;param n=""_NumCols"" v=""10"" /&gt;_x000D_
&lt;/ContentLocation&gt;'"</definedName>
    <definedName name="_AMO_ContentLocation_718052594_ROM_F0.SEC2.Print_2.SEC1.BDY.Data_Set_WORK_REVISAOPARAM" hidden="1">"'Partitions:2'"</definedName>
    <definedName name="_AMO_ContentLocation_718052594_ROM_F0.SEC2.Print_2.SEC1.BDY.Data_Set_WORK_REVISAOPARAM.0" hidden="1">"'&lt;ContentLocation path=""F0.SEC2.Print_2.SEC1.BDY.Data_Set_WORK_REVISAOPARAM"" rsid=""718052594"" tag=""ROM"" fid=""0""&gt;_x000D_
  &lt;param n=""_NumRows"" v=""182"" /&gt;_x000D_
  &lt;param n=""_NumCols"" v=""5"" /&gt;_x000D_
  &lt;param n=""tableSig"" v=""R:R=182:C=5:FCR=2:FCC=1"" /'"</definedName>
    <definedName name="_AMO_ContentLocation_718052594_ROM_F0.SEC2.Print_2.SEC1.BDY.Data_Set_WORK_REVISAOPARAM.1" hidden="1">"'&gt;_x000D_
  &lt;param n=""leftMargin"" v=""2"" /&gt;_x000D_
&lt;/ContentLocation&gt;'"</definedName>
    <definedName name="_AMO_ContentLocation_718052594_ROM_F0.SEC2.Print_2.SEC1.HDR.TXT1" hidden="1">"'&lt;ContentLocation path=""F0.SEC2.Print_2.SEC1.HDR.TXT1"" rsid=""718052594"" tag=""ROM"" fid=""0""&gt;_x000D_
  &lt;param n=""_NumRows"" v=""1"" /&gt;_x000D_
  &lt;param n=""_NumCols"" v=""10"" /&gt;_x000D_
&lt;/ContentLocation&gt;'"</definedName>
    <definedName name="_AMO_ContentLocation_718052594_ROM_F0.SEC2.Print_3.SEC1.BDY.Data_Set_WORK_REAISMWHT" hidden="1">"'Partitions:2'"</definedName>
    <definedName name="_AMO_ContentLocation_718052594_ROM_F0.SEC2.Print_3.SEC1.BDY.Data_Set_WORK_REAISMWHT.0" hidden="1">"'&lt;ContentLocation path=""F0.SEC2.Print_3.SEC1.BDY.Data_Set_WORK_REAISMWHT"" rsid=""718052594"" tag=""ROM"" fid=""0""&gt;_x000D_
  &lt;param n=""_NumRows"" v=""107"" /&gt;_x000D_
  &lt;param n=""_NumCols"" v=""10"" /&gt;_x000D_
  &lt;param n=""tableSig"" v=""R:R=107:C=10:FCR=2:FCC=1"" /&gt;'"</definedName>
    <definedName name="_AMO_ContentLocation_718052594_ROM_F0.SEC2.Print_3.SEC1.BDY.Data_Set_WORK_REAISMWHT.1" hidden="1">"'_x000D_
  &lt;param n=""leftMargin"" v=""0"" /&gt;_x000D_
&lt;/ContentLocation&gt;'"</definedName>
    <definedName name="_AMO_ContentLocation_718052594_ROM_F0.SEC2.Print_3.SEC1.HDR.TXT1" hidden="1">"'&lt;ContentLocation path=""F0.SEC2.Print_3.SEC1.HDR.TXT1"" rsid=""718052594"" tag=""ROM"" fid=""0""&gt;_x000D_
  &lt;param n=""_NumRows"" v=""1"" /&gt;_x000D_
  &lt;param n=""_NumCols"" v=""10"" /&gt;_x000D_
&lt;/ContentLocation&gt;'"</definedName>
    <definedName name="_AMO_ContentLocation_718052594_ROM_F0.SEC2.Print_4.SEC1.BDY.Data_Set_WORK_IRTGERALT" hidden="1">"'Partitions:2'"</definedName>
    <definedName name="_AMO_ContentLocation_718052594_ROM_F0.SEC2.Print_4.SEC1.BDY.Data_Set_WORK_IRTGERALT.0" hidden="1">"'&lt;ContentLocation path=""F0.SEC2.Print_4.SEC1.BDY.Data_Set_WORK_IRTGERALT"" rsid=""718052594"" tag=""ROM"" fid=""0""&gt;_x000D_
  &lt;param n=""_NumRows"" v=""11"" /&gt;_x000D_
  &lt;param n=""_NumCols"" v=""7"" /&gt;_x000D_
  &lt;param n=""tableSig"" v=""R:R=11:C=7:FCR=2:FCC=1"" /&gt;_x000D_
 '"</definedName>
    <definedName name="_AMO_ContentLocation_718052594_ROM_F0.SEC2.Print_4.SEC1.BDY.Data_Set_WORK_IRTGERALT.1" hidden="1">"' &lt;param n=""leftMargin"" v=""1"" /&gt;_x000D_
&lt;/ContentLocation&gt;'"</definedName>
    <definedName name="_AMO_ContentLocation_718052594_ROM_F0.SEC2.Print_4.SEC1.HDR.TXT1" hidden="1">"'&lt;ContentLocation path=""F0.SEC2.Print_4.SEC1.HDR.TXT1"" rsid=""718052594"" tag=""ROM"" fid=""0""&gt;_x000D_
  &lt;param n=""_NumRows"" v=""1"" /&gt;_x000D_
  &lt;param n=""_NumCols"" v=""10"" /&gt;_x000D_
&lt;/ContentLocation&gt;'"</definedName>
    <definedName name="_AMO_ContentLocation_718052594_ROM_F0.SEC2.Tabulate_1.SEC1.BDY.Cross_tabular_summary_report_Table_1" hidden="1">"'Partitions:2'"</definedName>
    <definedName name="_AMO_ContentLocation_718052594_ROM_F0.SEC2.Tabulate_1.SEC1.BDY.Cross_tabular_summary_report_Table_1.0" hidden="1">"'&lt;ContentLocation path=""F0.SEC2.Tabulate_1.SEC1.BDY.Cross_tabular_summary_report_Table_1"" rsid=""718052594"" tag=""ROM"" fid=""0""&gt;_x000D_
  &lt;param n=""_NumRows"" v=""45"" /&gt;_x000D_
  &lt;param n=""_NumCols"" v=""6"" /&gt;_x000D_
  &lt;param n=""tableSig"" v=""R:R=45:C=6:FCR='"</definedName>
    <definedName name="_AMO_ContentLocation_718052594_ROM_F0.SEC2.Tabulate_1.SEC1.BDY.Cross_tabular_summary_report_Table_1.1" hidden="1">"'2:FCC=5:RSP.1=1,H,4"" /&gt;_x000D_
  &lt;param n=""leftMargin"" v=""2"" /&gt;_x000D_
&lt;/ContentLocation&gt;'"</definedName>
    <definedName name="_AMO_ContentLocation_718052594_ROM_F0.SEC2.Tabulate_1.SEC1.HDR.TXT1" hidden="1">"'&lt;ContentLocation path=""F0.SEC2.Tabulate_1.SEC1.HDR.TXT1"" rsid=""718052594"" tag=""ROM"" fid=""0""&gt;_x000D_
  &lt;param n=""_NumRows"" v=""1"" /&gt;_x000D_
  &lt;param n=""_NumCols"" v=""10"" /&gt;_x000D_
&lt;/ContentLocation&gt;'"</definedName>
    <definedName name="_AMO_ContentLocation_718052594_ROM_F0.SEC2.Tabulate_2.SEC1.BDY.Cross_tabular_summary_report_Table_1" hidden="1">"'Partitions:2'"</definedName>
    <definedName name="_AMO_ContentLocation_718052594_ROM_F0.SEC2.Tabulate_2.SEC1.BDY.Cross_tabular_summary_report_Table_1.0" hidden="1">"'&lt;ContentLocation path=""F0.SEC2.Tabulate_2.SEC1.BDY.Cross_tabular_summary_report_Table_1"" rsid=""718052594"" tag=""ROM"" fid=""0""&gt;_x000D_
  &lt;param n=""_NumRows"" v=""55"" /&gt;_x000D_
  &lt;param n=""_NumCols"" v=""7"" /&gt;_x000D_
  &lt;param n=""tableSig"" v=""R:R=55:C=7:FCR='"</definedName>
    <definedName name="_AMO_ContentLocation_718052594_ROM_F0.SEC2.Tabulate_2.SEC1.BDY.Cross_tabular_summary_report_Table_1.1" hidden="1">"'2:FCC=5:RSP.1=1,H,4"" /&gt;_x000D_
  &lt;param n=""leftMargin"" v=""1"" /&gt;_x000D_
&lt;/ContentLocation&gt;'"</definedName>
    <definedName name="_AMO_ContentLocation_718052594_ROM_F0.SEC2.Tabulate_2.SEC1.HDR.TXT1" hidden="1">"'&lt;ContentLocation path=""F0.SEC2.Tabulate_2.SEC1.HDR.TXT1"" rsid=""718052594"" tag=""ROM"" fid=""0""&gt;_x000D_
  &lt;param n=""_NumRows"" v=""1"" /&gt;_x000D_
  &lt;param n=""_NumCols"" v=""10"" /&gt;_x000D_
&lt;/ContentLocation&gt;'"</definedName>
    <definedName name="_AMO_ContentLocation_751190492_ROM_F0.SEC2.Print_1.SEC1.BDY.Data_Set_WORK_SUMMTUDO" hidden="1">"'Partitions:2'"</definedName>
    <definedName name="_AMO_ContentLocation_751190492_ROM_F0.SEC2.Print_1.SEC1.BDY.Data_Set_WORK_SUMMTUDO.0" hidden="1">"'&lt;ContentLocation path=""F0.SEC2.Print_1.SEC1.BDY.Data_Set_WORK_SUMMTUDO"" rsid=""751190492"" tag=""ROM"" fid=""0""&gt;_x000D_
  &lt;param n=""_NumRows"" v=""31"" /&gt;_x000D_
  &lt;param n=""_NumCols"" v=""7"" /&gt;_x000D_
  &lt;param n=""tableSig"" v=""R:R=31:C=7:FCR=2:FCC=1"" /&gt;_x000D_
  '"</definedName>
    <definedName name="_AMO_ContentLocation_751190492_ROM_F0.SEC2.Print_1.SEC1.BDY.Data_Set_WORK_SUMMTUDO.1" hidden="1">"'&lt;param n=""leftMargin"" v=""1"" /&gt;_x000D_
&lt;/ContentLocation&gt;'"</definedName>
    <definedName name="_AMO_ContentLocation_751190492_ROM_F0.SEC2.Print_1.SEC1.HDR.TXT1" hidden="1">"'&lt;ContentLocation path=""F0.SEC2.Print_1.SEC1.HDR.TXT1"" rsid=""751190492"" tag=""ROM"" fid=""0""&gt;_x000D_
  &lt;param n=""_NumRows"" v=""1"" /&gt;_x000D_
  &lt;param n=""_NumCols"" v=""10"" /&gt;_x000D_
&lt;/ContentLocation&gt;'"</definedName>
    <definedName name="_AMO_ContentLocation_751190492_ROM_F0.SEC2.Print_2.SEC1.BDY.Data_Set_WORK_REVISAOPARAM" hidden="1">"'Partitions:2'"</definedName>
    <definedName name="_AMO_ContentLocation_751190492_ROM_F0.SEC2.Print_2.SEC1.BDY.Data_Set_WORK_REVISAOPARAM.0" hidden="1">"'&lt;ContentLocation path=""F0.SEC2.Print_2.SEC1.BDY.Data_Set_WORK_REVISAOPARAM"" rsid=""751190492"" tag=""ROM"" fid=""0""&gt;_x000D_
  &lt;param n=""_NumRows"" v=""25"" /&gt;_x000D_
  &lt;param n=""_NumCols"" v=""5"" /&gt;_x000D_
  &lt;param n=""tableSig"" v=""R:R=25:C=5:FCR=2:FCC=1"" /&gt;_x000D_'"</definedName>
    <definedName name="_AMO_ContentLocation_751190492_ROM_F0.SEC2.Print_2.SEC1.BDY.Data_Set_WORK_REVISAOPARAM.1" hidden="1">"'
  &lt;param n=""leftMargin"" v=""2"" /&gt;_x000D_
&lt;/ContentLocation&gt;'"</definedName>
    <definedName name="_AMO_ContentLocation_751190492_ROM_F0.SEC2.Print_2.SEC1.HDR.TXT1" hidden="1">"'&lt;ContentLocation path=""F0.SEC2.Print_2.SEC1.HDR.TXT1"" rsid=""751190492"" tag=""ROM"" fid=""0""&gt;_x000D_
  &lt;param n=""_NumRows"" v=""1"" /&gt;_x000D_
  &lt;param n=""_NumCols"" v=""10"" /&gt;_x000D_
&lt;/ContentLocation&gt;'"</definedName>
    <definedName name="_AMO_ContentLocation_751190492_ROM_F0.SEC2.Print_3.SEC1.BDY.Data_Set_WORK_REAISMWHT" hidden="1">"'Partitions:2'"</definedName>
    <definedName name="_AMO_ContentLocation_751190492_ROM_F0.SEC2.Print_3.SEC1.BDY.Data_Set_WORK_REAISMWHT.0" hidden="1">"'&lt;ContentLocation path=""F0.SEC2.Print_3.SEC1.BDY.Data_Set_WORK_REAISMWHT"" rsid=""751190492"" tag=""ROM"" fid=""0""&gt;_x000D_
  &lt;param n=""_NumRows"" v=""105"" /&gt;_x000D_
  &lt;param n=""_NumCols"" v=""10"" /&gt;_x000D_
  &lt;param n=""tableSig"" v=""R:R=105:C=10:FCR=2:FCC=1"" /&gt;'"</definedName>
    <definedName name="_AMO_ContentLocation_751190492_ROM_F0.SEC2.Print_3.SEC1.BDY.Data_Set_WORK_REAISMWHT.1" hidden="1">"'_x000D_
  &lt;param n=""leftMargin"" v=""0"" /&gt;_x000D_
&lt;/ContentLocation&gt;'"</definedName>
    <definedName name="_AMO_ContentLocation_751190492_ROM_F0.SEC2.Print_3.SEC1.HDR.TXT1" hidden="1">"'&lt;ContentLocation path=""F0.SEC2.Print_3.SEC1.HDR.TXT1"" rsid=""751190492"" tag=""ROM"" fid=""0""&gt;_x000D_
  &lt;param n=""_NumRows"" v=""1"" /&gt;_x000D_
  &lt;param n=""_NumCols"" v=""10"" /&gt;_x000D_
&lt;/ContentLocation&gt;'"</definedName>
    <definedName name="_AMO_ContentLocation_751190492_ROM_F0.SEC2.Print_4.SEC1.BDY.Data_Set_WORK_IRTGERALT" hidden="1">"'Partitions:2'"</definedName>
    <definedName name="_AMO_ContentLocation_751190492_ROM_F0.SEC2.Print_4.SEC1.BDY.Data_Set_WORK_IRTGERALT.0" hidden="1">"'&lt;ContentLocation path=""F0.SEC2.Print_4.SEC1.BDY.Data_Set_WORK_IRTGERALT"" rsid=""751190492"" tag=""ROM"" fid=""0""&gt;_x000D_
  &lt;param n=""_NumRows"" v=""11"" /&gt;_x000D_
  &lt;param n=""_NumCols"" v=""7"" /&gt;_x000D_
  &lt;param n=""tableSig"" v=""R:R=11:C=7:FCR=2:FCC=1"" /&gt;_x000D_
 '"</definedName>
    <definedName name="_AMO_ContentLocation_751190492_ROM_F0.SEC2.Print_4.SEC1.BDY.Data_Set_WORK_IRTGERALT.1" hidden="1">"' &lt;param n=""leftMargin"" v=""1"" /&gt;_x000D_
&lt;/ContentLocation&gt;'"</definedName>
    <definedName name="_AMO_ContentLocation_751190492_ROM_F0.SEC2.Print_4.SEC1.HDR.TXT1" hidden="1">"'&lt;ContentLocation path=""F0.SEC2.Print_4.SEC1.HDR.TXT1"" rsid=""751190492"" tag=""ROM"" fid=""0""&gt;_x000D_
  &lt;param n=""_NumRows"" v=""1"" /&gt;_x000D_
  &lt;param n=""_NumCols"" v=""10"" /&gt;_x000D_
&lt;/ContentLocation&gt;'"</definedName>
    <definedName name="_AMO_ContentLocation_751190492_ROM_F0.SEC2.Tabulate_1.SEC1.BDY.Cross_tabular_summary_report_Table_1" hidden="1">"'Partitions:2'"</definedName>
    <definedName name="_AMO_ContentLocation_751190492_ROM_F0.SEC2.Tabulate_1.SEC1.BDY.Cross_tabular_summary_report_Table_1.0" hidden="1">"'&lt;ContentLocation path=""F0.SEC2.Tabulate_1.SEC1.BDY.Cross_tabular_summary_report_Table_1"" rsid=""751190492"" tag=""ROM"" fid=""0""&gt;_x000D_
  &lt;param n=""_NumRows"" v=""49"" /&gt;_x000D_
  &lt;param n=""_NumCols"" v=""6"" /&gt;_x000D_
  &lt;param n=""tableSig"" v=""R:R=49:C=6:FCR='"</definedName>
    <definedName name="_AMO_ContentLocation_751190492_ROM_F0.SEC2.Tabulate_1.SEC1.BDY.Cross_tabular_summary_report_Table_1.1" hidden="1">"'2:FCC=5:RSP.1=1,H,4"" /&gt;_x000D_
  &lt;param n=""leftMargin"" v=""2"" /&gt;_x000D_
&lt;/ContentLocation&gt;'"</definedName>
    <definedName name="_AMO_ContentLocation_751190492_ROM_F0.SEC2.Tabulate_1.SEC1.HDR.TXT1" hidden="1">"'&lt;ContentLocation path=""F0.SEC2.Tabulate_1.SEC1.HDR.TXT1"" rsid=""751190492"" tag=""ROM"" fid=""0""&gt;_x000D_
  &lt;param n=""_NumRows"" v=""1"" /&gt;_x000D_
  &lt;param n=""_NumCols"" v=""10"" /&gt;_x000D_
&lt;/ContentLocation&gt;'"</definedName>
    <definedName name="_AMO_ContentLocation_751190492_ROM_F0.SEC2.Tabulate_2.SEC1.BDY.Cross_tabular_summary_report_Table_1" hidden="1">"'Partitions:2'"</definedName>
    <definedName name="_AMO_ContentLocation_751190492_ROM_F0.SEC2.Tabulate_2.SEC1.BDY.Cross_tabular_summary_report_Table_1.0" hidden="1">"'&lt;ContentLocation path=""F0.SEC2.Tabulate_2.SEC1.BDY.Cross_tabular_summary_report_Table_1"" rsid=""751190492"" tag=""ROM"" fid=""0""&gt;_x000D_
  &lt;param n=""_NumRows"" v=""32"" /&gt;_x000D_
  &lt;param n=""_NumCols"" v=""7"" /&gt;_x000D_
  &lt;param n=""tableSig"" v=""R:R=32:C=7:FCR='"</definedName>
    <definedName name="_AMO_ContentLocation_751190492_ROM_F0.SEC2.Tabulate_2.SEC1.BDY.Cross_tabular_summary_report_Table_1.1" hidden="1">"'2:FCC=5:RSP.1=1,H,4"" /&gt;_x000D_
  &lt;param n=""leftMargin"" v=""1"" /&gt;_x000D_
&lt;/ContentLocation&gt;'"</definedName>
    <definedName name="_AMO_ContentLocation_751190492_ROM_F0.SEC2.Tabulate_2.SEC1.HDR.TXT1" hidden="1">"'&lt;ContentLocation path=""F0.SEC2.Tabulate_2.SEC1.HDR.TXT1"" rsid=""751190492"" tag=""ROM"" fid=""0""&gt;_x000D_
  &lt;param n=""_NumRows"" v=""1"" /&gt;_x000D_
  &lt;param n=""_NumCols"" v=""10"" /&gt;_x000D_
&lt;/ContentLocation&gt;'"</definedName>
    <definedName name="_AMO_ContentLocation_755891465_ROM_F0.SEC2.Print_1.SEC1.BDY.Data_Set_WORK_SUMMTUDO" hidden="1">"'Partitions:2'"</definedName>
    <definedName name="_AMO_ContentLocation_755891465_ROM_F0.SEC2.Print_1.SEC1.BDY.Data_Set_WORK_SUMMTUDO.0" hidden="1">"'&lt;ContentLocation path=""F0.SEC2.Print_1.SEC1.BDY.Data_Set_WORK_SUMMTUDO"" rsid=""755891465"" tag=""ROM"" fid=""0""&gt;_x000D_
  &lt;param n=""_NumRows"" v=""44"" /&gt;_x000D_
  &lt;param n=""_NumCols"" v=""7"" /&gt;_x000D_
  &lt;param n=""tableSig"" v=""R:R=44:C=7:FCR=2:FCC=1"" /&gt;_x000D_
  '"</definedName>
    <definedName name="_AMO_ContentLocation_755891465_ROM_F0.SEC2.Print_1.SEC1.BDY.Data_Set_WORK_SUMMTUDO.1" hidden="1">"'&lt;param n=""leftMargin"" v=""1"" /&gt;_x000D_
&lt;/ContentLocation&gt;'"</definedName>
    <definedName name="_AMO_ContentLocation_755891465_ROM_F0.SEC2.Print_1.SEC1.HDR.TXT1" hidden="1">"'&lt;ContentLocation path=""F0.SEC2.Print_1.SEC1.HDR.TXT1"" rsid=""755891465"" tag=""ROM"" fid=""0""&gt;_x000D_
  &lt;param n=""_NumRows"" v=""1"" /&gt;_x000D_
  &lt;param n=""_NumCols"" v=""10"" /&gt;_x000D_
&lt;/ContentLocation&gt;'"</definedName>
    <definedName name="_AMO_ContentLocation_755891465_ROM_F0.SEC2.Print_2.SEC1.BDY.Data_Set_WORK_REVISAOPARAM" hidden="1">"'Partitions:2'"</definedName>
    <definedName name="_AMO_ContentLocation_755891465_ROM_F0.SEC2.Print_2.SEC1.BDY.Data_Set_WORK_REVISAOPARAM.0" hidden="1">"'&lt;ContentLocation path=""F0.SEC2.Print_2.SEC1.BDY.Data_Set_WORK_REVISAOPARAM"" rsid=""755891465"" tag=""ROM"" fid=""0""&gt;_x000D_
  &lt;param n=""_NumRows"" v=""160"" /&gt;_x000D_
  &lt;param n=""_NumCols"" v=""5"" /&gt;_x000D_
  &lt;param n=""tableSig"" v=""R:R=160:C=5:FCR=2:FCC=1"" /'"</definedName>
    <definedName name="_AMO_ContentLocation_755891465_ROM_F0.SEC2.Print_2.SEC1.BDY.Data_Set_WORK_REVISAOPARAM.1" hidden="1">"'&gt;_x000D_
  &lt;param n=""leftMargin"" v=""2"" /&gt;_x000D_
&lt;/ContentLocation&gt;'"</definedName>
    <definedName name="_AMO_ContentLocation_755891465_ROM_F0.SEC2.Print_2.SEC1.HDR.TXT1" hidden="1">"'&lt;ContentLocation path=""F0.SEC2.Print_2.SEC1.HDR.TXT1"" rsid=""755891465"" tag=""ROM"" fid=""0""&gt;_x000D_
  &lt;param n=""_NumRows"" v=""1"" /&gt;_x000D_
  &lt;param n=""_NumCols"" v=""10"" /&gt;_x000D_
&lt;/ContentLocation&gt;'"</definedName>
    <definedName name="_AMO_ContentLocation_755891465_ROM_F0.SEC2.Print_3.SEC1.BDY.Data_Set_WORK_REAISMWHT" hidden="1">"'Partitions:2'"</definedName>
    <definedName name="_AMO_ContentLocation_755891465_ROM_F0.SEC2.Print_3.SEC1.BDY.Data_Set_WORK_REAISMWHT.0" hidden="1">"'&lt;ContentLocation path=""F0.SEC2.Print_3.SEC1.BDY.Data_Set_WORK_REAISMWHT"" rsid=""755891465"" tag=""ROM"" fid=""0""&gt;_x000D_
  &lt;param n=""_NumRows"" v=""97"" /&gt;_x000D_
  &lt;param n=""_NumCols"" v=""10"" /&gt;_x000D_
  &lt;param n=""tableSig"" v=""R:R=97:C=10:FCR=2:FCC=1"" /&gt;_x000D_
'"</definedName>
    <definedName name="_AMO_ContentLocation_755891465_ROM_F0.SEC2.Print_3.SEC1.BDY.Data_Set_WORK_REAISMWHT.1" hidden="1">"'  &lt;param n=""leftMargin"" v=""0"" /&gt;_x000D_
&lt;/ContentLocation&gt;'"</definedName>
    <definedName name="_AMO_ContentLocation_755891465_ROM_F0.SEC2.Print_3.SEC1.HDR.TXT1" hidden="1">"'&lt;ContentLocation path=""F0.SEC2.Print_3.SEC1.HDR.TXT1"" rsid=""755891465"" tag=""ROM"" fid=""0""&gt;_x000D_
  &lt;param n=""_NumRows"" v=""1"" /&gt;_x000D_
  &lt;param n=""_NumCols"" v=""10"" /&gt;_x000D_
&lt;/ContentLocation&gt;'"</definedName>
    <definedName name="_AMO_ContentLocation_755891465_ROM_F0.SEC2.Tabulate_1.SEC1.BDY.Cross_tabular_summary_report_Table_1" hidden="1">"'Partitions:2'"</definedName>
    <definedName name="_AMO_ContentLocation_755891465_ROM_F0.SEC2.Tabulate_1.SEC1.BDY.Cross_tabular_summary_report_Table_1.0" hidden="1">"'&lt;ContentLocation path=""F0.SEC2.Tabulate_1.SEC1.BDY.Cross_tabular_summary_report_Table_1"" rsid=""755891465"" tag=""ROM"" fid=""0""&gt;_x000D_
  &lt;param n=""_NumRows"" v=""45"" /&gt;_x000D_
  &lt;param n=""_NumCols"" v=""7"" /&gt;_x000D_
  &lt;param n=""tableSig"" v=""R:R=45:C=7:FCR='"</definedName>
    <definedName name="_AMO_ContentLocation_755891465_ROM_F0.SEC2.Tabulate_1.SEC1.BDY.Cross_tabular_summary_report_Table_1.1" hidden="1">"'2:FCC=5:RSP.1=1,H,4"" /&gt;_x000D_
  &lt;param n=""leftMargin"" v=""1"" /&gt;_x000D_
&lt;/ContentLocation&gt;'"</definedName>
    <definedName name="_AMO_ContentLocation_755891465_ROM_F0.SEC2.Tabulate_1.SEC1.HDR.TXT1" hidden="1">"'&lt;ContentLocation path=""F0.SEC2.Tabulate_1.SEC1.HDR.TXT1"" rsid=""755891465"" tag=""ROM"" fid=""0""&gt;_x000D_
  &lt;param n=""_NumRows"" v=""1"" /&gt;_x000D_
  &lt;param n=""_NumCols"" v=""10"" /&gt;_x000D_
&lt;/ContentLocation&gt;'"</definedName>
    <definedName name="_AMO_ContentLocation_907815323_ROM_F0.SEC2.Print_1.SEC1.BDY.Data_Set_WORK_PARCELABBADNET" hidden="1">"'Partitions:2'"</definedName>
    <definedName name="_AMO_ContentLocation_907815323_ROM_F0.SEC2.Print_1.SEC1.BDY.Data_Set_WORK_PARCELABBADNET.0" hidden="1">"'&lt;ContentLocation path=""F0.SEC2.Print_1.SEC1.BDY.Data_Set_WORK_PARCELABBADNET"" rsid=""907815323"" tag=""ROM"" fid=""0""&gt;_x000D_
  &lt;param n=""_NumRows"" v=""133"" /&gt;_x000D_
  &lt;param n=""_NumCols"" v=""5"" /&gt;_x000D_
  &lt;param n=""tableSig"" v=""R:R=133:C=5:FCR=2:FCC=1""'"</definedName>
    <definedName name="_AMO_ContentLocation_907815323_ROM_F0.SEC2.Print_1.SEC1.BDY.Data_Set_WORK_PARCELABBADNET.1" hidden="1">"' /&gt;_x000D_
  &lt;param n=""leftMargin"" v=""1"" /&gt;_x000D_
&lt;/ContentLocation&gt;'"</definedName>
    <definedName name="_AMO_ContentLocation_907815323_ROM_F0.SEC2.Print_1.SEC1.BDY.Data_Set_WORK_REVISAOPARAM" hidden="1">"'Partitions:2'"</definedName>
    <definedName name="_AMO_ContentLocation_907815323_ROM_F0.SEC2.Print_1.SEC1.BDY.Data_Set_WORK_REVISAOPARAM.0" hidden="1">"'&lt;ContentLocation path=""F0.SEC2.Print_1.SEC1.BDY.Data_Set_WORK_REVISAOPARAM"" rsid=""907815323"" tag=""ROM"" fid=""0""&gt;_x000D_
  &lt;param n=""_NumRows"" v=""135"" /&gt;_x000D_
  &lt;param n=""_NumCols"" v=""5"" /&gt;_x000D_
  &lt;param n=""tableSig"" v=""R:R=135:C=5:FCR=2:FCC=1"" /'"</definedName>
    <definedName name="_AMO_ContentLocation_907815323_ROM_F0.SEC2.Print_1.SEC1.BDY.Data_Set_WORK_REVISAOPARAM.1" hidden="1">"'&gt;_x000D_
  &lt;param n=""leftMargin"" v=""0"" /&gt;_x000D_
&lt;/ContentLocation&gt;'"</definedName>
    <definedName name="_AMO_ContentLocation_907815323_ROM_F0.SEC2.Print_1.SEC1.BDY.Data_Set_WORK_SUMMTUDO" hidden="1">"'Partitions:2'"</definedName>
    <definedName name="_AMO_ContentLocation_907815323_ROM_F0.SEC2.Print_1.SEC1.BDY.Data_Set_WORK_SUMMTUDO.0" hidden="1">"'&lt;ContentLocation path=""F0.SEC2.Print_1.SEC1.BDY.Data_Set_WORK_SUMMTUDO"" rsid=""907815323"" tag=""ROM"" fid=""0""&gt;_x000D_
  &lt;param n=""_NumRows"" v=""44"" /&gt;_x000D_
  &lt;param n=""_NumCols"" v=""7"" /&gt;_x000D_
  &lt;param n=""tableSig"" v=""R:R=44:C=7:FCR=2:FCC=1"" /&gt;_x000D_
  '"</definedName>
    <definedName name="_AMO_ContentLocation_907815323_ROM_F0.SEC2.Print_1.SEC1.BDY.Data_Set_WORK_SUMMTUDO.1" hidden="1">"'&lt;param n=""leftMargin"" v=""0"" /&gt;_x000D_
&lt;/ContentLocation&gt;'"</definedName>
    <definedName name="_AMO_ContentLocation_907815323_ROM_F0.SEC2.Print_1.SEC1.HDR.TXT1" hidden="1">"'&lt;ContentLocation path=""F0.SEC2.Print_1.SEC1.HDR.TXT1"" rsid=""907815323"" tag=""ROM"" fid=""0""&gt;_x000D_
  &lt;param n=""_NumRows"" v=""1"" /&gt;_x000D_
  &lt;param n=""_NumCols"" v=""6"" /&gt;_x000D_
&lt;/ContentLocation&gt;'"</definedName>
    <definedName name="_AMO_ContentLocation_907815323_ROM_F0.SEC2.Print_2.SEC1.BDY.Data_Set_WORK_REVISAOPARAM" hidden="1">"'Partitions:2'"</definedName>
    <definedName name="_AMO_ContentLocation_907815323_ROM_F0.SEC2.Print_2.SEC1.BDY.Data_Set_WORK_REVISAOPARAM.0" hidden="1">"'&lt;ContentLocation path=""F0.SEC2.Print_2.SEC1.BDY.Data_Set_WORK_REVISAOPARAM"" rsid=""907815323"" tag=""ROM"" fid=""0""&gt;_x000D_
  &lt;param n=""_NumRows"" v=""142"" /&gt;_x000D_
  &lt;param n=""_NumCols"" v=""5"" /&gt;_x000D_
  &lt;param n=""tableSig"" v=""R:R=142:C=5:FCR=2:FCC=1"" /'"</definedName>
    <definedName name="_AMO_ContentLocation_907815323_ROM_F0.SEC2.Print_2.SEC1.BDY.Data_Set_WORK_REVISAOPARAM.1" hidden="1">"'&gt;_x000D_
  &lt;param n=""leftMargin"" v=""1"" /&gt;_x000D_
&lt;/ContentLocation&gt;'"</definedName>
    <definedName name="_AMO_ContentLocation_907815323_ROM_F0.SEC2.Print_2.SEC1.HDR.TXT1" hidden="1">"'&lt;ContentLocation path=""F0.SEC2.Print_2.SEC1.HDR.TXT1"" rsid=""907815323"" tag=""ROM"" fid=""0""&gt;_x000D_
  &lt;param n=""_NumRows"" v=""1"" /&gt;_x000D_
  &lt;param n=""_NumCols"" v=""7"" /&gt;_x000D_
&lt;/ContentLocation&gt;'"</definedName>
    <definedName name="_AMO_ContentLocation_907815323_ROM_F0.SEC2.Tabulate_1.SEC1.BDY.Cross_tabular_summary_report_Table_1" hidden="1">"'Partitions:2'"</definedName>
    <definedName name="_AMO_ContentLocation_907815323_ROM_F0.SEC2.Tabulate_1.SEC1.BDY.Cross_tabular_summary_report_Table_1.0" hidden="1">"'&lt;ContentLocation path=""F0.SEC2.Tabulate_1.SEC1.BDY.Cross_tabular_summary_report_Table_1"" rsid=""907815323"" tag=""ROM"" fid=""0""&gt;_x000D_
  &lt;param n=""_NumRows"" v=""45"" /&gt;_x000D_
  &lt;param n=""_NumCols"" v=""7"" /&gt;_x000D_
  &lt;param n=""tableSig"" v=""R:R=45:C=7:FCR='"</definedName>
    <definedName name="_AMO_ContentLocation_907815323_ROM_F0.SEC2.Tabulate_1.SEC1.BDY.Cross_tabular_summary_report_Table_1.1" hidden="1">"'2:FCC=5:RSP.1=1,H,4"" /&gt;_x000D_
  &lt;param n=""leftMargin"" v=""0"" /&gt;_x000D_
&lt;/ContentLocation&gt;'"</definedName>
    <definedName name="_AMO_ContentLocation_907815323_ROM_F0.SEC2.Tabulate_1.SEC1.HDR.TXT1" hidden="1">"'&lt;ContentLocation path=""F0.SEC2.Tabulate_1.SEC1.HDR.TXT1"" rsid=""907815323"" tag=""ROM"" fid=""0""&gt;_x000D_
  &lt;param n=""_NumRows"" v=""1"" /&gt;_x000D_
  &lt;param n=""_NumCols"" v=""6"" /&gt;_x000D_
&lt;/ContentLocation&gt;'"</definedName>
    <definedName name="_AMO_ContentLocation_917437536_ROM_F0.SEC2.Print_1.SEC1.BDY.Data_Set_WORK_SUMMTUDO" hidden="1">"'Partitions:2'"</definedName>
    <definedName name="_AMO_ContentLocation_917437536_ROM_F0.SEC2.Print_1.SEC1.BDY.Data_Set_WORK_SUMMTUDO.0" hidden="1">"'&lt;ContentLocation path=""F0.SEC2.Print_1.SEC1.BDY.Data_Set_WORK_SUMMTUDO"" rsid=""917437536"" tag=""ROM"" fid=""0""&gt;_x000D_
  &lt;param n=""_NumRows"" v=""56"" /&gt;_x000D_
  &lt;param n=""_NumCols"" v=""7"" /&gt;_x000D_
  &lt;param n=""tableSig"" v=""R:R=56:C=7:FCR=2:FCC=1"" /&gt;_x000D_
  '"</definedName>
    <definedName name="_AMO_ContentLocation_917437536_ROM_F0.SEC2.Print_1.SEC1.BDY.Data_Set_WORK_SUMMTUDO.1" hidden="1">"'&lt;param n=""leftMargin"" v=""1"" /&gt;_x000D_
&lt;/ContentLocation&gt;'"</definedName>
    <definedName name="_AMO_ContentLocation_917437536_ROM_F0.SEC2.Print_1.SEC1.HDR.TXT1" hidden="1">"'&lt;ContentLocation path=""F0.SEC2.Print_1.SEC1.HDR.TXT1"" rsid=""917437536"" tag=""ROM"" fid=""0""&gt;_x000D_
  &lt;param n=""_NumRows"" v=""1"" /&gt;_x000D_
  &lt;param n=""_NumCols"" v=""10"" /&gt;_x000D_
&lt;/ContentLocation&gt;'"</definedName>
    <definedName name="_AMO_ContentLocation_917437536_ROM_F0.SEC2.Print_2.SEC1.BDY.Data_Set_WORK_REVISAOPARAM" hidden="1">"'Partitions:2'"</definedName>
    <definedName name="_AMO_ContentLocation_917437536_ROM_F0.SEC2.Print_2.SEC1.BDY.Data_Set_WORK_REVISAOPARAM.0" hidden="1">"'&lt;ContentLocation path=""F0.SEC2.Print_2.SEC1.BDY.Data_Set_WORK_REVISAOPARAM"" rsid=""917437536"" tag=""ROM"" fid=""0""&gt;_x000D_
  &lt;param n=""_NumRows"" v=""110"" /&gt;_x000D_
  &lt;param n=""_NumCols"" v=""5"" /&gt;_x000D_
  &lt;param n=""tableSig"" v=""R:R=110:C=5:FCR=2:FCC=1"" /'"</definedName>
    <definedName name="_AMO_ContentLocation_917437536_ROM_F0.SEC2.Print_2.SEC1.BDY.Data_Set_WORK_REVISAOPARAM.1" hidden="1">"'&gt;_x000D_
  &lt;param n=""leftMargin"" v=""2"" /&gt;_x000D_
&lt;/ContentLocation&gt;'"</definedName>
    <definedName name="_AMO_ContentLocation_917437536_ROM_F0.SEC2.Print_2.SEC1.HDR.TXT1" hidden="1">"'&lt;ContentLocation path=""F0.SEC2.Print_2.SEC1.HDR.TXT1"" rsid=""917437536"" tag=""ROM"" fid=""0""&gt;_x000D_
  &lt;param n=""_NumRows"" v=""1"" /&gt;_x000D_
  &lt;param n=""_NumCols"" v=""10"" /&gt;_x000D_
&lt;/ContentLocation&gt;'"</definedName>
    <definedName name="_AMO_ContentLocation_917437536_ROM_F0.SEC2.Print_3.SEC1.BDY.Data_Set_WORK_REAISMWHT" hidden="1">"'Partitions:2'"</definedName>
    <definedName name="_AMO_ContentLocation_917437536_ROM_F0.SEC2.Print_3.SEC1.BDY.Data_Set_WORK_REAISMWHT.0" hidden="1">"'&lt;ContentLocation path=""F0.SEC2.Print_3.SEC1.BDY.Data_Set_WORK_REAISMWHT"" rsid=""917437536"" tag=""ROM"" fid=""0""&gt;_x000D_
  &lt;param n=""_NumRows"" v=""105"" /&gt;_x000D_
  &lt;param n=""_NumCols"" v=""10"" /&gt;_x000D_
  &lt;param n=""tableSig"" v=""R:R=105:C=10:FCR=2:FCC=1"" /&gt;'"</definedName>
    <definedName name="_AMO_ContentLocation_917437536_ROM_F0.SEC2.Print_3.SEC1.BDY.Data_Set_WORK_REAISMWHT.1" hidden="1">"'_x000D_
  &lt;param n=""leftMargin"" v=""0"" /&gt;_x000D_
&lt;/ContentLocation&gt;'"</definedName>
    <definedName name="_AMO_ContentLocation_917437536_ROM_F0.SEC2.Print_3.SEC1.HDR.TXT1" hidden="1">"'&lt;ContentLocation path=""F0.SEC2.Print_3.SEC1.HDR.TXT1"" rsid=""917437536"" tag=""ROM"" fid=""0""&gt;_x000D_
  &lt;param n=""_NumRows"" v=""1"" /&gt;_x000D_
  &lt;param n=""_NumCols"" v=""10"" /&gt;_x000D_
&lt;/ContentLocation&gt;'"</definedName>
    <definedName name="_AMO_ContentLocation_917437536_ROM_F0.SEC2.Print_4.SEC1.BDY.Data_Set_WORK_IRTGERALT" hidden="1">"'Partitions:2'"</definedName>
    <definedName name="_AMO_ContentLocation_917437536_ROM_F0.SEC2.Print_4.SEC1.BDY.Data_Set_WORK_IRTGERALT.0" hidden="1">"'&lt;ContentLocation path=""F0.SEC2.Print_4.SEC1.BDY.Data_Set_WORK_IRTGERALT"" rsid=""917437536"" tag=""ROM"" fid=""0""&gt;_x000D_
  &lt;param n=""_NumRows"" v=""11"" /&gt;_x000D_
  &lt;param n=""_NumCols"" v=""7"" /&gt;_x000D_
  &lt;param n=""tableSig"" v=""R:R=11:C=7:FCR=2:FCC=1"" /&gt;_x000D_
 '"</definedName>
    <definedName name="_AMO_ContentLocation_917437536_ROM_F0.SEC2.Print_4.SEC1.BDY.Data_Set_WORK_IRTGERALT.1" hidden="1">"' &lt;param n=""leftMargin"" v=""1"" /&gt;_x000D_
&lt;/ContentLocation&gt;'"</definedName>
    <definedName name="_AMO_ContentLocation_917437536_ROM_F0.SEC2.Print_4.SEC1.HDR.TXT1" hidden="1">"'&lt;ContentLocation path=""F0.SEC2.Print_4.SEC1.HDR.TXT1"" rsid=""917437536"" tag=""ROM"" fid=""0""&gt;_x000D_
  &lt;param n=""_NumRows"" v=""1"" /&gt;_x000D_
  &lt;param n=""_NumCols"" v=""10"" /&gt;_x000D_
&lt;/ContentLocation&gt;'"</definedName>
    <definedName name="_AMO_ContentLocation_917437536_ROM_F0.SEC2.Tabulate_1.SEC1.BDY.Cross_tabular_summary_report_Table_1" hidden="1">"'Partitions:2'"</definedName>
    <definedName name="_AMO_ContentLocation_917437536_ROM_F0.SEC2.Tabulate_1.SEC1.BDY.Cross_tabular_summary_report_Table_1.0" hidden="1">"'&lt;ContentLocation path=""F0.SEC2.Tabulate_1.SEC1.BDY.Cross_tabular_summary_report_Table_1"" rsid=""917437536"" tag=""ROM"" fid=""0""&gt;_x000D_
  &lt;param n=""_NumRows"" v=""49"" /&gt;_x000D_
  &lt;param n=""_NumCols"" v=""6"" /&gt;_x000D_
  &lt;param n=""tableSig"" v=""R:R=49:C=6:FCR='"</definedName>
    <definedName name="_AMO_ContentLocation_917437536_ROM_F0.SEC2.Tabulate_1.SEC1.BDY.Cross_tabular_summary_report_Table_1.1" hidden="1">"'2:FCC=5:RSP.1=1,H,4"" /&gt;_x000D_
  &lt;param n=""leftMargin"" v=""2"" /&gt;_x000D_
&lt;/ContentLocation&gt;'"</definedName>
    <definedName name="_AMO_ContentLocation_917437536_ROM_F0.SEC2.Tabulate_1.SEC1.HDR.TXT1" hidden="1">"'&lt;ContentLocation path=""F0.SEC2.Tabulate_1.SEC1.HDR.TXT1"" rsid=""917437536"" tag=""ROM"" fid=""0""&gt;_x000D_
  &lt;param n=""_NumRows"" v=""1"" /&gt;_x000D_
  &lt;param n=""_NumCols"" v=""10"" /&gt;_x000D_
&lt;/ContentLocation&gt;'"</definedName>
    <definedName name="_AMO_ContentLocation_917437536_ROM_F0.SEC2.Tabulate_2.SEC1.BDY.Cross_tabular_summary_report_Table_1" hidden="1">"'Partitions:2'"</definedName>
    <definedName name="_AMO_ContentLocation_917437536_ROM_F0.SEC2.Tabulate_2.SEC1.BDY.Cross_tabular_summary_report_Table_1.0" hidden="1">"'&lt;ContentLocation path=""F0.SEC2.Tabulate_2.SEC1.BDY.Cross_tabular_summary_report_Table_1"" rsid=""917437536"" tag=""ROM"" fid=""0""&gt;_x000D_
  &lt;param n=""_NumRows"" v=""57"" /&gt;_x000D_
  &lt;param n=""_NumCols"" v=""7"" /&gt;_x000D_
  &lt;param n=""tableSig"" v=""R:R=57:C=7:FCR='"</definedName>
    <definedName name="_AMO_ContentLocation_917437536_ROM_F0.SEC2.Tabulate_2.SEC1.BDY.Cross_tabular_summary_report_Table_1.1" hidden="1">"'2:FCC=5:RSP.1=1,H,4"" /&gt;_x000D_
  &lt;param n=""leftMargin"" v=""1"" /&gt;_x000D_
&lt;/ContentLocation&gt;'"</definedName>
    <definedName name="_AMO_ContentLocation_917437536_ROM_F0.SEC2.Tabulate_2.SEC1.HDR.TXT1" hidden="1">"'&lt;ContentLocation path=""F0.SEC2.Tabulate_2.SEC1.HDR.TXT1"" rsid=""917437536"" tag=""ROM"" fid=""0""&gt;_x000D_
  &lt;param n=""_NumRows"" v=""1"" /&gt;_x000D_
  &lt;param n=""_NumCols"" v=""10"" /&gt;_x000D_
&lt;/ContentLocation&gt;'"</definedName>
    <definedName name="_AMO_ContentLocation_974704765_ROM_F0.SEC2.Print_1.SEC1.BDY.Data_Set_WORK_SUMMTUDO" hidden="1">"'Partitions:2'"</definedName>
    <definedName name="_AMO_ContentLocation_974704765_ROM_F0.SEC2.Print_1.SEC1.BDY.Data_Set_WORK_SUMMTUDO.0" hidden="1">"'&lt;ContentLocation path=""F0.SEC2.Print_1.SEC1.BDY.Data_Set_WORK_SUMMTUDO"" rsid=""974704765"" tag=""ROM"" fid=""0""&gt;_x000D_
  &lt;param n=""_NumRows"" v=""31"" /&gt;_x000D_
  &lt;param n=""_NumCols"" v=""7"" /&gt;_x000D_
  &lt;param n=""tableSig"" v=""R:R=31:C=7:FCR=2:FCC=1"" /&gt;_x000D_
  '"</definedName>
    <definedName name="_AMO_ContentLocation_974704765_ROM_F0.SEC2.Print_1.SEC1.BDY.Data_Set_WORK_SUMMTUDO.1" hidden="1">"'&lt;param n=""leftMargin"" v=""1"" /&gt;_x000D_
&lt;/ContentLocation&gt;'"</definedName>
    <definedName name="_AMO_ContentLocation_974704765_ROM_F0.SEC2.Print_1.SEC1.HDR.TXT1" hidden="1">"'&lt;ContentLocation path=""F0.SEC2.Print_1.SEC1.HDR.TXT1"" rsid=""974704765"" tag=""ROM"" fid=""0""&gt;_x000D_
  &lt;param n=""_NumRows"" v=""1"" /&gt;_x000D_
  &lt;param n=""_NumCols"" v=""10"" /&gt;_x000D_
&lt;/ContentLocation&gt;'"</definedName>
    <definedName name="_AMO_ContentLocation_974704765_ROM_F0.SEC2.Print_2.SEC1.BDY.Data_Set_WORK_REVISAOPARAM" hidden="1">"'Partitions:2'"</definedName>
    <definedName name="_AMO_ContentLocation_974704765_ROM_F0.SEC2.Print_2.SEC1.BDY.Data_Set_WORK_REVISAOPARAM.0" hidden="1">"'&lt;ContentLocation path=""F0.SEC2.Print_2.SEC1.BDY.Data_Set_WORK_REVISAOPARAM"" rsid=""974704765"" tag=""ROM"" fid=""0""&gt;_x000D_
  &lt;param n=""_NumRows"" v=""25"" /&gt;_x000D_
  &lt;param n=""_NumCols"" v=""5"" /&gt;_x000D_
  &lt;param n=""tableSig"" v=""R:R=25:C=5:FCR=2:FCC=1"" /&gt;_x000D_'"</definedName>
    <definedName name="_AMO_ContentLocation_974704765_ROM_F0.SEC2.Print_2.SEC1.BDY.Data_Set_WORK_REVISAOPARAM.1" hidden="1">"'
  &lt;param n=""leftMargin"" v=""2"" /&gt;_x000D_
&lt;/ContentLocation&gt;'"</definedName>
    <definedName name="_AMO_ContentLocation_974704765_ROM_F0.SEC2.Print_2.SEC1.HDR.TXT1" hidden="1">"'&lt;ContentLocation path=""F0.SEC2.Print_2.SEC1.HDR.TXT1"" rsid=""974704765"" tag=""ROM"" fid=""0""&gt;_x000D_
  &lt;param n=""_NumRows"" v=""1"" /&gt;_x000D_
  &lt;param n=""_NumCols"" v=""10"" /&gt;_x000D_
&lt;/ContentLocation&gt;'"</definedName>
    <definedName name="_AMO_ContentLocation_974704765_ROM_F0.SEC2.Print_3.SEC1.BDY.Data_Set_WORK_REAISMWHT" hidden="1">"'Partitions:2'"</definedName>
    <definedName name="_AMO_ContentLocation_974704765_ROM_F0.SEC2.Print_3.SEC1.BDY.Data_Set_WORK_REAISMWHT.0" hidden="1">"'&lt;ContentLocation path=""F0.SEC2.Print_3.SEC1.BDY.Data_Set_WORK_REAISMWHT"" rsid=""974704765"" tag=""ROM"" fid=""0""&gt;_x000D_
  &lt;param n=""_NumRows"" v=""105"" /&gt;_x000D_
  &lt;param n=""_NumCols"" v=""10"" /&gt;_x000D_
  &lt;param n=""tableSig"" v=""R:R=105:C=10:FCR=2:FCC=1"" /&gt;'"</definedName>
    <definedName name="_AMO_ContentLocation_974704765_ROM_F0.SEC2.Print_3.SEC1.BDY.Data_Set_WORK_REAISMWHT.1" hidden="1">"'_x000D_
  &lt;param n=""leftMargin"" v=""0"" /&gt;_x000D_
&lt;/ContentLocation&gt;'"</definedName>
    <definedName name="_AMO_ContentLocation_974704765_ROM_F0.SEC2.Print_3.SEC1.HDR.TXT1" hidden="1">"'&lt;ContentLocation path=""F0.SEC2.Print_3.SEC1.HDR.TXT1"" rsid=""974704765"" tag=""ROM"" fid=""0""&gt;_x000D_
  &lt;param n=""_NumRows"" v=""1"" /&gt;_x000D_
  &lt;param n=""_NumCols"" v=""10"" /&gt;_x000D_
&lt;/ContentLocation&gt;'"</definedName>
    <definedName name="_AMO_ContentLocation_974704765_ROM_F0.SEC2.Print_4.SEC1.BDY.Data_Set_WORK_IRTGERALT" hidden="1">"'Partitions:2'"</definedName>
    <definedName name="_AMO_ContentLocation_974704765_ROM_F0.SEC2.Print_4.SEC1.BDY.Data_Set_WORK_IRTGERALT.0" hidden="1">"'&lt;ContentLocation path=""F0.SEC2.Print_4.SEC1.BDY.Data_Set_WORK_IRTGERALT"" rsid=""974704765"" tag=""ROM"" fid=""0""&gt;_x000D_
  &lt;param n=""_NumRows"" v=""11"" /&gt;_x000D_
  &lt;param n=""_NumCols"" v=""7"" /&gt;_x000D_
  &lt;param n=""tableSig"" v=""R:R=11:C=7:FCR=2:FCC=1"" /&gt;_x000D_
 '"</definedName>
    <definedName name="_AMO_ContentLocation_974704765_ROM_F0.SEC2.Print_4.SEC1.BDY.Data_Set_WORK_IRTGERALT.1" hidden="1">"' &lt;param n=""leftMargin"" v=""1"" /&gt;_x000D_
&lt;/ContentLocation&gt;'"</definedName>
    <definedName name="_AMO_ContentLocation_974704765_ROM_F0.SEC2.Print_4.SEC1.HDR.TXT1" hidden="1">"'&lt;ContentLocation path=""F0.SEC2.Print_4.SEC1.HDR.TXT1"" rsid=""974704765"" tag=""ROM"" fid=""0""&gt;_x000D_
  &lt;param n=""_NumRows"" v=""1"" /&gt;_x000D_
  &lt;param n=""_NumCols"" v=""10"" /&gt;_x000D_
&lt;/ContentLocation&gt;'"</definedName>
    <definedName name="_AMO_ContentLocation_974704765_ROM_F0.SEC2.Tabulate_1.SEC1.BDY.Cross_tabular_summary_report_Table_1" hidden="1">"'Partitions:2'"</definedName>
    <definedName name="_AMO_ContentLocation_974704765_ROM_F0.SEC2.Tabulate_1.SEC1.BDY.Cross_tabular_summary_report_Table_1.0" hidden="1">"'&lt;ContentLocation path=""F0.SEC2.Tabulate_1.SEC1.BDY.Cross_tabular_summary_report_Table_1"" rsid=""974704765"" tag=""ROM"" fid=""0""&gt;_x000D_
  &lt;param n=""_NumRows"" v=""49"" /&gt;_x000D_
  &lt;param n=""_NumCols"" v=""6"" /&gt;_x000D_
  &lt;param n=""tableSig"" v=""R:R=49:C=6:FCR='"</definedName>
    <definedName name="_AMO_ContentLocation_974704765_ROM_F0.SEC2.Tabulate_1.SEC1.BDY.Cross_tabular_summary_report_Table_1.1" hidden="1">"'2:FCC=5:RSP.1=1,H,4"" /&gt;_x000D_
  &lt;param n=""leftMargin"" v=""2"" /&gt;_x000D_
&lt;/ContentLocation&gt;'"</definedName>
    <definedName name="_AMO_ContentLocation_974704765_ROM_F0.SEC2.Tabulate_1.SEC1.HDR.TXT1" hidden="1">"'&lt;ContentLocation path=""F0.SEC2.Tabulate_1.SEC1.HDR.TXT1"" rsid=""974704765"" tag=""ROM"" fid=""0""&gt;_x000D_
  &lt;param n=""_NumRows"" v=""1"" /&gt;_x000D_
  &lt;param n=""_NumCols"" v=""10"" /&gt;_x000D_
&lt;/ContentLocation&gt;'"</definedName>
    <definedName name="_AMO_ContentLocation_974704765_ROM_F0.SEC2.Tabulate_2.SEC1.BDY.Cross_tabular_summary_report_Table_1" hidden="1">"'Partitions:2'"</definedName>
    <definedName name="_AMO_ContentLocation_974704765_ROM_F0.SEC2.Tabulate_2.SEC1.BDY.Cross_tabular_summary_report_Table_1.0" hidden="1">"'&lt;ContentLocation path=""F0.SEC2.Tabulate_2.SEC1.BDY.Cross_tabular_summary_report_Table_1"" rsid=""974704765"" tag=""ROM"" fid=""0""&gt;_x000D_
  &lt;param n=""_NumRows"" v=""32"" /&gt;_x000D_
  &lt;param n=""_NumCols"" v=""7"" /&gt;_x000D_
  &lt;param n=""tableSig"" v=""R:R=32:C=7:FCR='"</definedName>
    <definedName name="_AMO_ContentLocation_974704765_ROM_F0.SEC2.Tabulate_2.SEC1.BDY.Cross_tabular_summary_report_Table_1.1" hidden="1">"'2:FCC=5:RSP.1=1,H,4"" /&gt;_x000D_
  &lt;param n=""leftMargin"" v=""1"" /&gt;_x000D_
&lt;/ContentLocation&gt;'"</definedName>
    <definedName name="_AMO_ContentLocation_974704765_ROM_F0.SEC2.Tabulate_2.SEC1.HDR.TXT1" hidden="1">"'&lt;ContentLocation path=""F0.SEC2.Tabulate_2.SEC1.HDR.TXT1"" rsid=""974704765"" tag=""ROM"" fid=""0""&gt;_x000D_
  &lt;param n=""_NumRows"" v=""1"" /&gt;_x000D_
  &lt;param n=""_NumCols"" v=""10"" /&gt;_x000D_
&lt;/ContentLocation&gt;'"</definedName>
    <definedName name="_AMO_ContentLocation_98860476_ROM_F0.SEC2.Print_1.SEC1.BDY.Data_Set_WORK_SUMMTUDO" hidden="1">"'Partitions:2'"</definedName>
    <definedName name="_AMO_ContentLocation_98860476_ROM_F0.SEC2.Print_1.SEC1.BDY.Data_Set_WORK_SUMMTUDO.0" hidden="1">"'&lt;ContentLocation path=""F0.SEC2.Print_1.SEC1.BDY.Data_Set_WORK_SUMMTUDO"" rsid=""98860476"" tag=""ROM"" fid=""0""&gt;_x000D_
  &lt;param n=""_NumRows"" v=""33"" /&gt;_x000D_
  &lt;param n=""_NumCols"" v=""7"" /&gt;_x000D_
  &lt;param n=""tableSig"" v=""R:R=33:C=7:FCR=2:FCC=1"" /&gt;_x000D_
  &lt;'"</definedName>
    <definedName name="_AMO_ContentLocation_98860476_ROM_F0.SEC2.Print_1.SEC1.BDY.Data_Set_WORK_SUMMTUDO.1" hidden="1">"'param n=""leftMargin"" v=""1"" /&gt;_x000D_
&lt;/ContentLocation&gt;'"</definedName>
    <definedName name="_AMO_ContentLocation_98860476_ROM_F0.SEC2.Print_1.SEC1.HDR.TXT1" hidden="1">"'&lt;ContentLocation path=""F0.SEC2.Print_1.SEC1.HDR.TXT1"" rsid=""98860476"" tag=""ROM"" fid=""0""&gt;_x000D_
  &lt;param n=""_NumRows"" v=""1"" /&gt;_x000D_
  &lt;param n=""_NumCols"" v=""10"" /&gt;_x000D_
&lt;/ContentLocation&gt;'"</definedName>
    <definedName name="_AMO_ContentLocation_98860476_ROM_F0.SEC2.Print_2.SEC1.BDY.Data_Set_WORK_REVISAOPARAM" hidden="1">"'Partitions:2'"</definedName>
    <definedName name="_AMO_ContentLocation_98860476_ROM_F0.SEC2.Print_2.SEC1.BDY.Data_Set_WORK_REVISAOPARAM.0" hidden="1">"'&lt;ContentLocation path=""F0.SEC2.Print_2.SEC1.BDY.Data_Set_WORK_REVISAOPARAM"" rsid=""98860476"" tag=""ROM"" fid=""0""&gt;_x000D_
  &lt;param n=""_NumRows"" v=""177"" /&gt;_x000D_
  &lt;param n=""_NumCols"" v=""5"" /&gt;_x000D_
  &lt;param n=""tableSig"" v=""R:R=177:C=5:FCR=2:FCC=1"" /&gt;'"</definedName>
    <definedName name="_AMO_ContentLocation_98860476_ROM_F0.SEC2.Print_2.SEC1.BDY.Data_Set_WORK_REVISAOPARAM.1" hidden="1">"'_x000D_
  &lt;param n=""leftMargin"" v=""2"" /&gt;_x000D_
&lt;/ContentLocation&gt;'"</definedName>
    <definedName name="_AMO_ContentLocation_98860476_ROM_F0.SEC2.Print_2.SEC1.HDR.TXT1" hidden="1">"'&lt;ContentLocation path=""F0.SEC2.Print_2.SEC1.HDR.TXT1"" rsid=""98860476"" tag=""ROM"" fid=""0""&gt;_x000D_
  &lt;param n=""_NumRows"" v=""1"" /&gt;_x000D_
  &lt;param n=""_NumCols"" v=""10"" /&gt;_x000D_
&lt;/ContentLocation&gt;'"</definedName>
    <definedName name="_AMO_ContentLocation_98860476_ROM_F0.SEC2.Print_3.SEC1.BDY.Data_Set_WORK_REAISMWHT" hidden="1">"'Partitions:2'"</definedName>
    <definedName name="_AMO_ContentLocation_98860476_ROM_F0.SEC2.Print_3.SEC1.BDY.Data_Set_WORK_REAISMWHT.0" hidden="1">"'&lt;ContentLocation path=""F0.SEC2.Print_3.SEC1.BDY.Data_Set_WORK_REAISMWHT"" rsid=""98860476"" tag=""ROM"" fid=""0""&gt;_x000D_
  &lt;param n=""_NumRows"" v=""107"" /&gt;_x000D_
  &lt;param n=""_NumCols"" v=""10"" /&gt;_x000D_
  &lt;param n=""tableSig"" v=""R:R=107:C=10:FCR=2:FCC=1"" /&gt;_x000D_'"</definedName>
    <definedName name="_AMO_ContentLocation_98860476_ROM_F0.SEC2.Print_3.SEC1.BDY.Data_Set_WORK_REAISMWHT.1" hidden="1">"'
  &lt;param n=""leftMargin"" v=""0"" /&gt;_x000D_
&lt;/ContentLocation&gt;'"</definedName>
    <definedName name="_AMO_ContentLocation_98860476_ROM_F0.SEC2.Print_3.SEC1.HDR.TXT1" hidden="1">"'&lt;ContentLocation path=""F0.SEC2.Print_3.SEC1.HDR.TXT1"" rsid=""98860476"" tag=""ROM"" fid=""0""&gt;_x000D_
  &lt;param n=""_NumRows"" v=""1"" /&gt;_x000D_
  &lt;param n=""_NumCols"" v=""10"" /&gt;_x000D_
&lt;/ContentLocation&gt;'"</definedName>
    <definedName name="_AMO_ContentLocation_98860476_ROM_F0.SEC2.Print_4.SEC1.BDY.Data_Set_WORK_IRTGERALT" hidden="1">"'Partitions:2'"</definedName>
    <definedName name="_AMO_ContentLocation_98860476_ROM_F0.SEC2.Print_4.SEC1.BDY.Data_Set_WORK_IRTGERALT.0" hidden="1">"'&lt;ContentLocation path=""F0.SEC2.Print_4.SEC1.BDY.Data_Set_WORK_IRTGERALT"" rsid=""98860476"" tag=""ROM"" fid=""0""&gt;_x000D_
  &lt;param n=""_NumRows"" v=""11"" /&gt;_x000D_
  &lt;param n=""_NumCols"" v=""7"" /&gt;_x000D_
  &lt;param n=""tableSig"" v=""R:R=11:C=7:FCR=2:FCC=1"" /&gt;_x000D_
  '"</definedName>
    <definedName name="_AMO_ContentLocation_98860476_ROM_F0.SEC2.Print_4.SEC1.BDY.Data_Set_WORK_IRTGERALT.1" hidden="1">"'&lt;param n=""leftMargin"" v=""1"" /&gt;_x000D_
&lt;/ContentLocation&gt;'"</definedName>
    <definedName name="_AMO_ContentLocation_98860476_ROM_F0.SEC2.Print_4.SEC1.HDR.TXT1" hidden="1">"'&lt;ContentLocation path=""F0.SEC2.Print_4.SEC1.HDR.TXT1"" rsid=""98860476"" tag=""ROM"" fid=""0""&gt;_x000D_
  &lt;param n=""_NumRows"" v=""1"" /&gt;_x000D_
  &lt;param n=""_NumCols"" v=""10"" /&gt;_x000D_
&lt;/ContentLocation&gt;'"</definedName>
    <definedName name="_AMO_ContentLocation_98860476_ROM_F0.SEC2.Tabulate_1.SEC1.BDY.Cross_tabular_summary_report_Table_1" hidden="1">"'Partitions:2'"</definedName>
    <definedName name="_AMO_ContentLocation_98860476_ROM_F0.SEC2.Tabulate_1.SEC1.BDY.Cross_tabular_summary_report_Table_1.0" hidden="1">"'&lt;ContentLocation path=""F0.SEC2.Tabulate_1.SEC1.BDY.Cross_tabular_summary_report_Table_1"" rsid=""98860476"" tag=""ROM"" fid=""0""&gt;_x000D_
  &lt;param n=""_NumRows"" v=""34"" /&gt;_x000D_
  &lt;param n=""_NumCols"" v=""7"" /&gt;_x000D_
  &lt;param n=""tableSig"" v=""R:R=34:C=7:FCR=2'"</definedName>
    <definedName name="_AMO_ContentLocation_98860476_ROM_F0.SEC2.Tabulate_1.SEC1.BDY.Cross_tabular_summary_report_Table_1.1" hidden="1">"':FCC=5:RSP.1=1,H,4"" /&gt;_x000D_
  &lt;param n=""leftMargin"" v=""1"" /&gt;_x000D_
&lt;/ContentLocation&gt;'"</definedName>
    <definedName name="_AMO_ContentLocation_98860476_ROM_F0.SEC2.Tabulate_1.SEC1.HDR.TXT1" hidden="1">"'&lt;ContentLocation path=""F0.SEC2.Tabulate_1.SEC1.HDR.TXT1"" rsid=""98860476"" tag=""ROM"" fid=""0""&gt;_x000D_
  &lt;param n=""_NumRows"" v=""1"" /&gt;_x000D_
  &lt;param n=""_NumCols"" v=""10"" /&gt;_x000D_
&lt;/ContentLocation&gt;'"</definedName>
    <definedName name="_AMO_RefreshMultipleList" hidden="1">"'&lt;Items /&gt;'"</definedName>
    <definedName name="_AMO_RefreshMultipleList.0" hidden="1">"'&lt;Items&gt;_x000D_
  &lt;Item Id=""133494585"" Checked=""False"" /&gt;_x000D_
  &lt;Item Id=""755891465"" Checked=""False"" /&gt;_x000D_
  &lt;Item Id=""310728015"" Checked=""False"" /&gt;_x000D_
  &lt;Item Id=""659937799"" Checked=""False"" /&gt;_x000D_
  &lt;Item Id=""643045985"" Checked=""False"" /&gt;_x000D_
  &lt;It'"</definedName>
    <definedName name="_AMO_RefreshMultipleList.1" hidden="1">"'em Id=""663608823"" Checked=""False"" /&gt;_x000D_
  &lt;Item Id=""98860476"" Checked=""False"" /&gt;_x000D_
  &lt;Item Id=""332776469"" Checked=""False"" /&gt;_x000D_
  &lt;Item Id=""718052594"" Checked=""False"" /&gt;_x000D_
  &lt;Item Id=""703996623"" Checked=""False"" /&gt;_x000D_
  &lt;Item Id=""466356'"</definedName>
    <definedName name="_AMO_RefreshMultipleList.2" hidden="1">"'944"" Checked=""False"" /&gt;_x000D_
  &lt;Item Id=""917437536"" Checked=""False"" /&gt;_x000D_
  &lt;Item Id=""751190492"" Checked=""False"" /&gt;_x000D_
&lt;/Items&gt;'"</definedName>
    <definedName name="_AMO_ScheduleElement_ScheduledRefresh" hidden="1">"'Partitions:2'"</definedName>
    <definedName name="_AMO_ScheduleElement_ScheduledRefresh.0" hidden="1">"'&lt;ScheduleElement name=""Scheduled Refresh - Avaliação de Resultados após RTE - REAJUSTE EMS 2015 v3 0"" scriptPath=""C:\Users\andreneves\Documents\My SAS Files\Add-In for Microsoft Office\Avaliação de Resultados após RTE - REAJUSTE EMS 2015 v3 0 - Ref'"</definedName>
    <definedName name="_AMO_ScheduleElement_ScheduledRefresh.1" hidden="1">"'resh.vbs"" userName=""ANEEL""&gt;&lt;DeliveryActions /&gt;&lt;/ScheduleElement&gt;'"</definedName>
    <definedName name="_AMO_SingleObject_133494585_ROM_F0.SEC2.Tabulate_1.SEC1.BDY.Cross_tabular_summary_report_Table_1" hidden="1">'[7]Dados Base'!#REF!</definedName>
    <definedName name="_AMO_SingleObject_310728015_ROM_F0.SEC2.Tabulate_1.SEC1.BDY.Cross_tabular_summary_report_Table_1" hidden="1">'[7]Dados Base'!#REF!</definedName>
    <definedName name="_AMO_SingleObject_332776469_ROM_F0.SEC2.Tabulate_2.SEC1.BDY.Cross_tabular_summary_report_Table_1" hidden="1">'[8]Dados Base'!#REF!</definedName>
    <definedName name="_AMO_SingleObject_630089467_ROM_F0.SEC2.Print_1.SEC1.BDY.Data_Set_WORK_PARCELABBADNET" hidden="1">#REF!</definedName>
    <definedName name="_AMO_SingleObject_630089467_ROM_F0.SEC2.Print_1.SEC1.HDR.TXT1" hidden="1">#REF!</definedName>
    <definedName name="_AMO_SingleObject_630089467_ROM_F0.SEC2.Tabulate_1.SEC1.BDY.Cross_tabular_summary_report_Table_1" hidden="1">#REF!</definedName>
    <definedName name="_AMO_SingleObject_630089467_ROM_F0.SEC2.Tabulate_1.SEC1.HDR.TXT1" hidden="1">#REF!</definedName>
    <definedName name="_AMO_SingleObject_703996623_ROM_F0.SEC2.Print_4.SEC1.HDR.TXT1" hidden="1">'[8]Dados Base'!#REF!</definedName>
    <definedName name="_AMO_SingleObject_718052594_ROM_F0.SEC2.Print_4.SEC1.HDR.TXT1" hidden="1">'[8]Dados Base'!#REF!</definedName>
    <definedName name="_AMO_SingleObject_907815323_ROM_F0.SEC2.Print_1.SEC1.HDR.TXT1" hidden="1">'[7]Dados Base'!#REF!</definedName>
    <definedName name="_AMO_SingleObject_907815323_ROM_F0.SEC2.Tabulate_1.SEC1.BDY.Cross_tabular_summary_report_Table_1" hidden="1">'[8]Dados Base'!#REF!</definedName>
    <definedName name="_AMO_SingleObject_907815323_ROM_F0.SEC2.Tabulate_1.SEC1.HDR.TXT1" hidden="1">'[8]Dados Base'!#REF!</definedName>
    <definedName name="_AMO_XmlVersion">"'1'"</definedName>
    <definedName name="_B1" hidden="1">{#N/A,#N/A,FALSE,"LLAVE";#N/A,#N/A,FALSE,"EERR";#N/A,#N/A,FALSE,"ESP";#N/A,#N/A,FALSE,"EOAF";#N/A,#N/A,FALSE,"CASH";#N/A,#N/A,FALSE,"FINANZAS";#N/A,#N/A,FALSE,"DEUDA";#N/A,#N/A,FALSE,"INVERSION";#N/A,#N/A,FALSE,"PERSONAL"}</definedName>
    <definedName name="_bb1" hidden="1">{#N/A,#N/A,FALSE,"ENERGIA";#N/A,#N/A,FALSE,"PERDIDAS";#N/A,#N/A,FALSE,"CLIENTES";#N/A,#N/A,FALSE,"ESTADO";#N/A,#N/A,FALSE,"TECNICA"}</definedName>
    <definedName name="_bbb1" hidden="1">{#N/A,#N/A,FALSE,"LLAVE";#N/A,#N/A,FALSE,"EERR";#N/A,#N/A,FALSE,"ESP";#N/A,#N/A,FALSE,"EOAF";#N/A,#N/A,FALSE,"CASH";#N/A,#N/A,FALSE,"FINANZAS";#N/A,#N/A,FALSE,"DEUDA";#N/A,#N/A,FALSE,"INVERSION";#N/A,#N/A,FALSE,"PERSONAL"}</definedName>
    <definedName name="_bx1" hidden="1">{#N/A,#N/A,FALSE,"LLAVE";#N/A,#N/A,FALSE,"EERR";#N/A,#N/A,FALSE,"ESP";#N/A,#N/A,FALSE,"EOAF";#N/A,#N/A,FALSE,"CASH";#N/A,#N/A,FALSE,"FINANZAS";#N/A,#N/A,FALSE,"DEUDA";#N/A,#N/A,FALSE,"INVERSION";#N/A,#N/A,FALSE,"PERSONAL"}</definedName>
    <definedName name="_CD1" hidden="1">{#N/A,#N/A,FALSE,"LLAVE";#N/A,#N/A,FALSE,"EERR";#N/A,#N/A,FALSE,"ESP";#N/A,#N/A,FALSE,"EOAF";#N/A,#N/A,FALSE,"CASH";#N/A,#N/A,FALSE,"FINANZAS";#N/A,#N/A,FALSE,"DEUDA";#N/A,#N/A,FALSE,"INVERSION";#N/A,#N/A,FALSE,"PERSONAL"}</definedName>
    <definedName name="_cdx1" hidden="1">{#N/A,#N/A,FALSE,"LLAVE";#N/A,#N/A,FALSE,"EERR";#N/A,#N/A,FALSE,"ESP";#N/A,#N/A,FALSE,"EOAF";#N/A,#N/A,FALSE,"CASH";#N/A,#N/A,FALSE,"FINANZAS";#N/A,#N/A,FALSE,"DEUDA";#N/A,#N/A,FALSE,"INVERSION";#N/A,#N/A,FALSE,"PERSONAL"}</definedName>
    <definedName name="_df1" hidden="1">{#N/A,#N/A,FALSE,"LLAVE";#N/A,#N/A,FALSE,"EERR";#N/A,#N/A,FALSE,"ESP";#N/A,#N/A,FALSE,"EOAF";#N/A,#N/A,FALSE,"CASH";#N/A,#N/A,FALSE,"FINANZAS";#N/A,#N/A,FALSE,"DEUDA";#N/A,#N/A,FALSE,"INVERSION";#N/A,#N/A,FALSE,"PERSONAL"}</definedName>
    <definedName name="_e1" hidden="1">{#N/A,#N/A,FALSE,"ENERGIA";#N/A,#N/A,FALSE,"PERDIDAS";#N/A,#N/A,FALSE,"CLIENTES";#N/A,#N/A,FALSE,"ESTADO";#N/A,#N/A,FALSE,"TECNICA"}</definedName>
    <definedName name="_Fill" localSheetId="19" hidden="1">#REF!</definedName>
    <definedName name="_Fill" localSheetId="8" hidden="1">#REF!</definedName>
    <definedName name="_Fill" hidden="1">#REF!</definedName>
    <definedName name="_xlnm._FilterDatabase" localSheetId="1" hidden="1">BD!$H$5:$W$30</definedName>
    <definedName name="_xlnm._FilterDatabase" localSheetId="23" hidden="1">'BD SUPRIMENTO'!$B$1:$R$165</definedName>
    <definedName name="_xlnm._FilterDatabase" localSheetId="3" hidden="1">BDCOVID!$A$1:$AH$497</definedName>
    <definedName name="_xlnm._FilterDatabase" localSheetId="27" hidden="1">'BD-NET'!$A$1:$P$179</definedName>
    <definedName name="_xlnm._FilterDatabase" localSheetId="6" hidden="1">CAPA!$A:$H</definedName>
    <definedName name="_xlnm._FilterDatabase" localSheetId="29" hidden="1">COEFICIENTES!$D$20:$M$124</definedName>
    <definedName name="_xlnm._FilterDatabase" localSheetId="14" hidden="1">CUSD!$A:$H</definedName>
    <definedName name="_xlnm._FilterDatabase" localSheetId="19" hidden="1">#REF!</definedName>
    <definedName name="_xlnm._FilterDatabase" localSheetId="11" hidden="1">Energia!$A:$H</definedName>
    <definedName name="_xlnm._FilterDatabase" localSheetId="4" hidden="1">Faturas!$AB$1:$AE$151</definedName>
    <definedName name="_xlnm._FilterDatabase" localSheetId="26" hidden="1">Índices!$B$6:$F$500</definedName>
    <definedName name="_xlnm._FilterDatabase" localSheetId="24" hidden="1">RA0BD!$A$1:$U$205</definedName>
    <definedName name="_xlnm._FilterDatabase" localSheetId="12" hidden="1">'Rede Básica + Ajuste'!$AA$17:$AA$60</definedName>
    <definedName name="_xlnm._FilterDatabase" localSheetId="25" hidden="1">SimuBD!$A$1:$N$27</definedName>
    <definedName name="_xlnm._FilterDatabase" localSheetId="0" hidden="1">Subsidio!$A$1:$J$52</definedName>
    <definedName name="_xlnm._FilterDatabase" localSheetId="8" hidden="1">'Tabelas e Gráficos'!$BJ$267:$BJ$285</definedName>
    <definedName name="_xlnm._FilterDatabase" hidden="1">#REF!</definedName>
    <definedName name="_FT08" hidden="1">"3OYHDJRF05V1IN1D1R6C32J5E"</definedName>
    <definedName name="_Key1" localSheetId="19" hidden="1">#REF!</definedName>
    <definedName name="_Key1" localSheetId="8" hidden="1">#REF!</definedName>
    <definedName name="_Key1" hidden="1">#REF!</definedName>
    <definedName name="_Key2" hidden="1">#REF!</definedName>
    <definedName name="_MEN1" hidden="1">{#N/A,#N/A,FALSE,"LLAVE";#N/A,#N/A,FALSE,"EERR";#N/A,#N/A,FALSE,"ESP";#N/A,#N/A,FALSE,"EOAF";#N/A,#N/A,FALSE,"CASH";#N/A,#N/A,FALSE,"FINANZAS";#N/A,#N/A,FALSE,"DEUDA";#N/A,#N/A,FALSE,"INVERSION";#N/A,#N/A,FALSE,"PERSONAL"}</definedName>
    <definedName name="_Order1">0</definedName>
    <definedName name="_Order2">255</definedName>
    <definedName name="_p55" hidden="1">#REF!</definedName>
    <definedName name="_PP12" hidden="1">{#N/A,#N/A,FALSE,"ENERGIA";#N/A,#N/A,FALSE,"PERDIDAS";#N/A,#N/A,FALSE,"CLIENTES";#N/A,#N/A,FALSE,"ESTADO";#N/A,#N/A,FALSE,"TECNICA"}</definedName>
    <definedName name="_Regression_Int" hidden="1">1</definedName>
    <definedName name="_Regression_Out" localSheetId="19" hidden="1">'[9] PIB Brasil ( R$ de 1996 )'!#REF!</definedName>
    <definedName name="_Regression_Out" localSheetId="8" hidden="1">'[9] PIB Brasil ( R$ de 1996 )'!#REF!</definedName>
    <definedName name="_Regression_Out" hidden="1">'[9] PIB Brasil ( R$ de 1996 )'!#REF!</definedName>
    <definedName name="_Regression_X" localSheetId="19" hidden="1">'[9] PIB Brasil ( R$ de 1996 )'!#REF!</definedName>
    <definedName name="_Regression_X" localSheetId="8" hidden="1">'[9] PIB Brasil ( R$ de 1996 )'!#REF!</definedName>
    <definedName name="_Regression_X" hidden="1">'[9] PIB Brasil ( R$ de 1996 )'!#REF!</definedName>
    <definedName name="_Regression_Y" hidden="1">#REF!</definedName>
    <definedName name="_s1" hidden="1">{#N/A,#N/A,FALSE,"LLAVE";#N/A,#N/A,FALSE,"EERR";#N/A,#N/A,FALSE,"ESP";#N/A,#N/A,FALSE,"EOAF";#N/A,#N/A,FALSE,"CASH";#N/A,#N/A,FALSE,"FINANZAS";#N/A,#N/A,FALSE,"DEUDA";#N/A,#N/A,FALSE,"INVERSION";#N/A,#N/A,FALSE,"PERSONAL"}</definedName>
    <definedName name="_Sort" localSheetId="19" hidden="1">#REF!</definedName>
    <definedName name="_Sort" localSheetId="8" hidden="1">#REF!</definedName>
    <definedName name="_Sort" hidden="1">#REF!</definedName>
    <definedName name="_Table1_In1" hidden="1">#REF!</definedName>
    <definedName name="_Table1_Out" hidden="1">#REF!</definedName>
    <definedName name="_Table2_In1" hidden="1">#REF!</definedName>
    <definedName name="_Table2_In2" hidden="1">#REF!</definedName>
    <definedName name="_Table2_Out" hidden="1">#REF!</definedName>
    <definedName name="_yh7" hidden="1">{#N/A,#N/A,FALSE,"CONTROLE";#N/A,#N/A,FALSE,"CONTROLE"}</definedName>
    <definedName name="A" localSheetId="19" hidden="1">{#N/A,#N/A,FALSE,"ENERGIA";#N/A,#N/A,FALSE,"PERDIDAS";#N/A,#N/A,FALSE,"CLIENTES";#N/A,#N/A,FALSE,"ESTADO";#N/A,#N/A,FALSE,"TECNICA"}</definedName>
    <definedName name="A" hidden="1">{#N/A,#N/A,FALSE,"ENERGIA";#N/A,#N/A,FALSE,"PERDIDAS";#N/A,#N/A,FALSE,"CLIENTES";#N/A,#N/A,FALSE,"ESTADO";#N/A,#N/A,FALSE,"TECNICA"}</definedName>
    <definedName name="a_" hidden="1">{#N/A,#N/A,FALSE,"CONTROLE";#N/A,#N/A,FALSE,"CONTROLE"}</definedName>
    <definedName name="a4e4" hidden="1">{#N/A,#N/A,FALSE,"CONTROLE"}</definedName>
    <definedName name="abc" hidden="1">{#N/A,#N/A,FALSE,"LLAVE";#N/A,#N/A,FALSE,"EERR";#N/A,#N/A,FALSE,"ESP";#N/A,#N/A,FALSE,"EOAF";#N/A,#N/A,FALSE,"CASH";#N/A,#N/A,FALSE,"FINANZAS";#N/A,#N/A,FALSE,"DEUDA";#N/A,#N/A,FALSE,"INVERSION";#N/A,#N/A,FALSE,"PERSONAL"}</definedName>
    <definedName name="ac_" hidden="1">{#N/A,#N/A,FALSE,"CONTROLE";#N/A,#N/A,FALSE,"CONTROLE"}</definedName>
    <definedName name="AccessDatabase" hidden="1">"C:\Doc\clientes\Unitech\Sig.xls"</definedName>
    <definedName name="AnoRefTar">CAPA!$C$13</definedName>
    <definedName name="AnoRevRea" localSheetId="8">CAPA!$C$13</definedName>
    <definedName name="AnoRevRea">CAPA!$C$13</definedName>
    <definedName name="anscount" hidden="1">3</definedName>
    <definedName name="aplicação" hidden="1">{#N/A,#N/A,FALSE,"CONTROLE"}</definedName>
    <definedName name="aplicação_" hidden="1">{#N/A,#N/A,FALSE,"CONTROLE"}</definedName>
    <definedName name="_xlnm.Extract" localSheetId="4">Faturas!$O:$V</definedName>
    <definedName name="_xlnm.Print_Area" localSheetId="7">Resultado!$A$1:$M$100</definedName>
    <definedName name="aretret" hidden="1">{#N/A,#N/A,FALSE,"CONTROLE"}</definedName>
    <definedName name="artret" hidden="1">{#N/A,#N/A,FALSE,"CONTROLE";#N/A,#N/A,FALSE,"CONTROLE"}</definedName>
    <definedName name="as" hidden="1">{#N/A,#N/A,FALSE,"ENERGIA";#N/A,#N/A,FALSE,"PERDIDAS";#N/A,#N/A,FALSE,"CLIENTES";#N/A,#N/A,FALSE,"ESTADO";#N/A,#N/A,FALSE,"TECNICA"}</definedName>
    <definedName name="AS2DocOpenMode">"AS2DocumentEdit"</definedName>
    <definedName name="asadsasd" hidden="1">{#N/A,#N/A,FALSE,"CONTROLE";#N/A,#N/A,FALSE,"CONTROLE"}</definedName>
    <definedName name="asas" hidden="1">[1]Calc!$AL$8:$AL$21</definedName>
    <definedName name="asdadsada" hidden="1">{#N/A,#N/A,FALSE,"CONTROLE"}</definedName>
    <definedName name="asdf" hidden="1">{#N/A,#N/A,FALSE,"CONTROLE"}</definedName>
    <definedName name="asfaf" hidden="1">{#N/A,#N/A,FALSE,"ENERGIA";#N/A,#N/A,FALSE,"PERDIDAS";#N/A,#N/A,FALSE,"CLIENTES";#N/A,#N/A,FALSE,"ESTADO";#N/A,#N/A,FALSE,"TECNICA"}</definedName>
    <definedName name="axsxas" hidden="1">[1]MOne!$B$145:$B$231</definedName>
    <definedName name="axsxasxx" hidden="1">[1]MTwo!$B$145:$B$232</definedName>
    <definedName name="B" localSheetId="19" hidden="1">[2]Mercado!#REF!</definedName>
    <definedName name="B" hidden="1">{#N/A,#N/A,FALSE,"LLAVE";#N/A,#N/A,FALSE,"EERR";#N/A,#N/A,FALSE,"ESP";#N/A,#N/A,FALSE,"EOAF";#N/A,#N/A,FALSE,"CASH";#N/A,#N/A,FALSE,"FINANZAS";#N/A,#N/A,FALSE,"DEUDA";#N/A,#N/A,FALSE,"INVERSION";#N/A,#N/A,FALSE,"PERSONAL"}</definedName>
    <definedName name="BANCO1" localSheetId="19" hidden="1">#REF!</definedName>
    <definedName name="BANCO1" localSheetId="8" hidden="1">#REF!</definedName>
    <definedName name="BANCO1" hidden="1">#REF!</definedName>
    <definedName name="bb" localSheetId="19" hidden="1">{#N/A,#N/A,FALSE,"ENERGIA";#N/A,#N/A,FALSE,"PERDIDAS";#N/A,#N/A,FALSE,"CLIENTES";#N/A,#N/A,FALSE,"ESTADO";#N/A,#N/A,FALSE,"TECNICA"}</definedName>
    <definedName name="bb" hidden="1">{#N/A,#N/A,FALSE,"ENERGIA";#N/A,#N/A,FALSE,"PERDIDAS";#N/A,#N/A,FALSE,"CLIENTES";#N/A,#N/A,FALSE,"ESTADO";#N/A,#N/A,FALSE,"TECNICA"}</definedName>
    <definedName name="bb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bb" hidden="1">{#N/A,#N/A,FALSE,"LLAVE";#N/A,#N/A,FALSE,"EERR";#N/A,#N/A,FALSE,"ESP";#N/A,#N/A,FALSE,"EOAF";#N/A,#N/A,FALSE,"CASH";#N/A,#N/A,FALSE,"FINANZAS";#N/A,#N/A,FALSE,"DEUDA";#N/A,#N/A,FALSE,"INVERSION";#N/A,#N/A,FALSE,"PERSONAL"}</definedName>
    <definedName name="bbbbbbbbbbbbbbbbbbbbbbbbbbbbbbbbb" hidden="1">{#N/A,#N/A,FALSE,"LLAVE";#N/A,#N/A,FALSE,"EERR";#N/A,#N/A,FALSE,"ESP";#N/A,#N/A,FALSE,"EOAF";#N/A,#N/A,FALSE,"CASH";#N/A,#N/A,FALSE,"FINANZAS";#N/A,#N/A,FALSE,"DEUDA";#N/A,#N/A,FALSE,"INVERSION";#N/A,#N/A,FALSE,"PERSONAL"}</definedName>
    <definedName name="bbbosta" hidden="1">{#N/A,#N/A,FALSE,"LLAVE";#N/A,#N/A,FALSE,"EERR";#N/A,#N/A,FALSE,"ESP";#N/A,#N/A,FALSE,"EOAF";#N/A,#N/A,FALSE,"CASH";#N/A,#N/A,FALSE,"FINANZAS";#N/A,#N/A,FALSE,"DEUDA";#N/A,#N/A,FALSE,"INVERSION";#N/A,#N/A,FALSE,"PERSONAL"}</definedName>
    <definedName name="bbosta" hidden="1">{#N/A,#N/A,FALSE,"ENERGIA";#N/A,#N/A,FALSE,"PERDIDAS";#N/A,#N/A,FALSE,"CLIENTES";#N/A,#N/A,FALSE,"ESTADO";#N/A,#N/A,FALSE,"TECNICA"}</definedName>
    <definedName name="bosta" hidden="1">{#N/A,#N/A,FALSE,"LLAVE";#N/A,#N/A,FALSE,"EERR";#N/A,#N/A,FALSE,"ESP";#N/A,#N/A,FALSE,"EOAF";#N/A,#N/A,FALSE,"CASH";#N/A,#N/A,FALSE,"FINANZAS";#N/A,#N/A,FALSE,"DEUDA";#N/A,#N/A,FALSE,"INVERSION";#N/A,#N/A,FALSE,"PERSONAL"}</definedName>
    <definedName name="bx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x" hidden="1">{#N/A,#N/A,FALSE,"LLAVE";#N/A,#N/A,FALSE,"EERR";#N/A,#N/A,FALSE,"ESP";#N/A,#N/A,FALSE,"EOAF";#N/A,#N/A,FALSE,"CASH";#N/A,#N/A,FALSE,"FINANZAS";#N/A,#N/A,FALSE,"DEUDA";#N/A,#N/A,FALSE,"INVERSION";#N/A,#N/A,FALSE,"PERSONAL"}</definedName>
    <definedName name="CB_ENERTRADE" hidden="1">{#N/A,#N/A,FALSE,"ENERGIA";#N/A,#N/A,FALSE,"PERDIDAS";#N/A,#N/A,FALSE,"CLIENTES";#N/A,#N/A,FALSE,"ESTADO";#N/A,#N/A,FALSE,"TECNICA"}</definedName>
    <definedName name="CBWorkbookPriority" hidden="1">-71257818</definedName>
    <definedName name="CD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D" hidden="1">{#N/A,#N/A,FALSE,"LLAVE";#N/A,#N/A,FALSE,"EERR";#N/A,#N/A,FALSE,"ESP";#N/A,#N/A,FALSE,"EOAF";#N/A,#N/A,FALSE,"CASH";#N/A,#N/A,FALSE,"FINANZAS";#N/A,#N/A,FALSE,"DEUDA";#N/A,#N/A,FALSE,"INVERSION";#N/A,#N/A,FALSE,"PERSONAL"}</definedName>
    <definedName name="cdx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dx" hidden="1">{#N/A,#N/A,FALSE,"LLAVE";#N/A,#N/A,FALSE,"EERR";#N/A,#N/A,FALSE,"ESP";#N/A,#N/A,FALSE,"EOAF";#N/A,#N/A,FALSE,"CASH";#N/A,#N/A,FALSE,"FINANZAS";#N/A,#N/A,FALSE,"DEUDA";#N/A,#N/A,FALSE,"INVERSION";#N/A,#N/A,FALSE,"PERSONAL"}</definedName>
    <definedName name="CEMIG" hidden="1">{#N/A,#N/A,FALSE,"ENERGIA";#N/A,#N/A,FALSE,"PERDIDAS";#N/A,#N/A,FALSE,"CLIENTES";#N/A,#N/A,FALSE,"ESTADO";#N/A,#N/A,FALSE,"TECNICA"}</definedName>
    <definedName name="CENF_ANT" hidden="1">{#N/A,#N/A,FALSE,"ENERGIA";#N/A,#N/A,FALSE,"PERDIDAS";#N/A,#N/A,FALSE,"CLIENTES";#N/A,#N/A,FALSE,"ESTADO";#N/A,#N/A,FALSE,"TECNICA"}</definedName>
    <definedName name="CESP" hidden="1">{#N/A,#N/A,FALSE,"LLAVE";#N/A,#N/A,FALSE,"EERR";#N/A,#N/A,FALSE,"ESP";#N/A,#N/A,FALSE,"EOAF";#N/A,#N/A,FALSE,"CASH";#N/A,#N/A,FALSE,"FINANZAS";#N/A,#N/A,FALSE,"DEUDA";#N/A,#N/A,FALSE,"INVERSION";#N/A,#N/A,FALSE,"PERSONAL"}</definedName>
    <definedName name="cgico" hidden="1">{#N/A,#N/A,FALSE,"CONTROLE"}</definedName>
    <definedName name="Chico" hidden="1">{#N/A,#N/A,FALSE,"CONTROLE"}</definedName>
    <definedName name="Chico_" hidden="1">{#N/A,#N/A,FALSE,"CONTROLE"}</definedName>
    <definedName name="Chico__" hidden="1">{#N/A,#N/A,FALSE,"CONTROLE"}</definedName>
    <definedName name="Chico___" hidden="1">{#N/A,#N/A,FALSE,"CONTROLE";#N/A,#N/A,FALSE,"CONTROLE"}</definedName>
    <definedName name="colunanome">OFFSET(#REF!,0,0,COUNTIF(#REF!,"&lt;&gt;0"),1)</definedName>
    <definedName name="colunavalor">OFFSET(#REF!,0,0,COUNTIF(#REF!,"&lt;&gt;0"),1)</definedName>
    <definedName name="comp.SP.pag.4.PIRA" hidden="1">{#N/A,#N/A,FALSE,"CONTROLE";#N/A,#N/A,FALSE,"CONTROLE"}</definedName>
    <definedName name="conferencia" hidden="1">{#N/A,#N/A,FALSE,"ENERGIA";#N/A,#N/A,FALSE,"PERDIDAS";#N/A,#N/A,FALSE,"CLIENTES";#N/A,#N/A,FALSE,"ESTADO";#N/A,#N/A,FALSE,"TECNICA"}</definedName>
    <definedName name="COPIA" hidden="1">{#N/A,#N/A,FALSE,"CONTROLE"}</definedName>
    <definedName name="COPIA1" hidden="1">{#N/A,#N/A,FALSE,"CONTROLE"}</definedName>
    <definedName name="_xlnm.Criteria" localSheetId="4">Faturas!$J$1:$M$5</definedName>
    <definedName name="cust" hidden="1">{#N/A,#N/A,FALSE,"CONTROLE"}</definedName>
    <definedName name="cv" hidden="1">{#N/A,#N/A,FALSE,"CONTROLE"}</definedName>
    <definedName name="cvcvxvxcvxcvxcv" hidden="1">{#N/A,#N/A,FALSE,"LLAVE";#N/A,#N/A,FALSE,"EERR";#N/A,#N/A,FALSE,"ESP";#N/A,#N/A,FALSE,"EOAF";#N/A,#N/A,FALSE,"CASH";#N/A,#N/A,FALSE,"FINANZAS";#N/A,#N/A,FALSE,"DEUDA";#N/A,#N/A,FALSE,"INVERSION";#N/A,#N/A,FALSE,"PERSONAL"}</definedName>
    <definedName name="D" hidden="1">[2]Mercado!#REF!</definedName>
    <definedName name="DASDA" hidden="1">{#N/A,#N/A,FALSE,"CONTROLE"}</definedName>
    <definedName name="DataRevRea" localSheetId="8">CAPA!$C$15</definedName>
    <definedName name="DataRevRea">CAPA!$C$15</definedName>
    <definedName name="DCC" hidden="1">{#N/A,#N/A,FALSE,"CONTROLE"}</definedName>
    <definedName name="dddd" hidden="1">{#N/A,#N/A,FALSE,"CONTROLE";#N/A,#N/A,FALSE,"CONTROLE"}</definedName>
    <definedName name="dddddddddddddddddddd" hidden="1">{#N/A,#N/A,FALSE,"LLAVE";#N/A,#N/A,FALSE,"EERR";#N/A,#N/A,FALSE,"ESP";#N/A,#N/A,FALSE,"EOAF";#N/A,#N/A,FALSE,"CASH";#N/A,#N/A,FALSE,"FINANZAS";#N/A,#N/A,FALSE,"DEUDA";#N/A,#N/A,FALSE,"INVERSION";#N/A,#N/A,FALSE,"PERSONAL"}</definedName>
    <definedName name="ddsds" hidden="1">{#N/A,#N/A,FALSE,"CONTROLE"}</definedName>
    <definedName name="defw" hidden="1">{#N/A,#N/A,FALSE,"CONTROLE";#N/A,#N/A,FALSE,"CONTROLE"}</definedName>
    <definedName name="departamentos" hidden="1">{#N/A,#N/A,FALSE,"CONTROLE";#N/A,#N/A,FALSE,"CONTROLE"}</definedName>
    <definedName name="df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df" hidden="1">{#N/A,#N/A,FALSE,"LLAVE";#N/A,#N/A,FALSE,"EERR";#N/A,#N/A,FALSE,"ESP";#N/A,#N/A,FALSE,"EOAF";#N/A,#N/A,FALSE,"CASH";#N/A,#N/A,FALSE,"FINANZAS";#N/A,#N/A,FALSE,"DEUDA";#N/A,#N/A,FALSE,"INVERSION";#N/A,#N/A,FALSE,"PERSONAL"}</definedName>
    <definedName name="dfdaf" hidden="1">15</definedName>
    <definedName name="dfsagasgdfagadfgdaf" hidden="1">{#N/A,#N/A,FALSE,"ENERGIA";#N/A,#N/A,FALSE,"PERDIDAS";#N/A,#N/A,FALSE,"CLIENTES";#N/A,#N/A,FALSE,"ESTADO";#N/A,#N/A,FALSE,"TECNICA"}</definedName>
    <definedName name="ds" hidden="1">{#N/A,#N/A,FALSE,"ENERGIA";#N/A,#N/A,FALSE,"PERDIDAS";#N/A,#N/A,FALSE,"CLIENTES";#N/A,#N/A,FALSE,"ESTADO";#N/A,#N/A,FALSE,"TECNICA"}</definedName>
    <definedName name="E" localSheetId="19" hidden="1">[2]Mercado!#REF!</definedName>
    <definedName name="e" hidden="1">{#N/A,#N/A,FALSE,"ENERGIA";#N/A,#N/A,FALSE,"PERDIDAS";#N/A,#N/A,FALSE,"CLIENTES";#N/A,#N/A,FALSE,"ESTADO";#N/A,#N/A,FALSE,"TECNICA"}</definedName>
    <definedName name="EAEEE" hidden="1">{#N/A,#N/A,FALSE,"CONTROLE";#N/A,#N/A,FALSE,"CONTROLE"}</definedName>
    <definedName name="ee" hidden="1">{#N/A,#N/A,FALSE,"CONTROLE"}</definedName>
    <definedName name="efi" hidden="1">{#N/A,#N/A,FALSE,"CONTROLE"}</definedName>
    <definedName name="eficiencia" hidden="1">{#N/A,#N/A,FALSE,"CONTROLE"}</definedName>
    <definedName name="ENERTRADE" hidden="1">{#N/A,#N/A,FALSE,"LLAVE";#N/A,#N/A,FALSE,"EERR";#N/A,#N/A,FALSE,"ESP";#N/A,#N/A,FALSE,"EOAF";#N/A,#N/A,FALSE,"CASH";#N/A,#N/A,FALSE,"FINANZAS";#N/A,#N/A,FALSE,"DEUDA";#N/A,#N/A,FALSE,"INVERSION";#N/A,#N/A,FALSE,"PERSONAL"}</definedName>
    <definedName name="erf" localSheetId="8" hidden="1">[2]Mercado!#REF!</definedName>
    <definedName name="F" localSheetId="19" hidden="1">#REF!</definedName>
    <definedName name="F" hidden="1">{#N/A,#N/A,FALSE,"ENERGIA";#N/A,#N/A,FALSE,"PERDIDAS";#N/A,#N/A,FALSE,"CLIENTES";#N/A,#N/A,FALSE,"ESTADO";#N/A,#N/A,FALSE,"TECNICA"}</definedName>
    <definedName name="fa" hidden="1">{#N/A,#N/A,FALSE,"CONTROLE"}</definedName>
    <definedName name="fdfds" hidden="1">{#N/A,#N/A,FALSE,"LLAVE";#N/A,#N/A,FALSE,"EERR";#N/A,#N/A,FALSE,"ESP";#N/A,#N/A,FALSE,"EOAF";#N/A,#N/A,FALSE,"CASH";#N/A,#N/A,FALSE,"FINANZAS";#N/A,#N/A,FALSE,"DEUDA";#N/A,#N/A,FALSE,"INVERSION";#N/A,#N/A,FALSE,"PERSONAL"}</definedName>
    <definedName name="fevcpflr" hidden="1">{#N/A,#N/A,FALSE,"CONTROLE";#N/A,#N/A,FALSE,"CONTROLE"}</definedName>
    <definedName name="ff" localSheetId="19" hidden="1">{#N/A,#N/A,FALSE,"ENERGIA";#N/A,#N/A,FALSE,"PERDIDAS";#N/A,#N/A,FALSE,"CLIENTES";#N/A,#N/A,FALSE,"ESTADO";#N/A,#N/A,FALSE,"TECNICA"}</definedName>
    <definedName name="ff" hidden="1">{#N/A,#N/A,FALSE,"ENERGIA";#N/A,#N/A,FALSE,"PERDIDAS";#N/A,#N/A,FALSE,"CLIENTES";#N/A,#N/A,FALSE,"ESTADO";#N/A,#N/A,FALSE,"TECNICA"}</definedName>
    <definedName name="fgfghtfhjgh" hidden="1">{#N/A,#N/A,FALSE,"CONTROLE"}</definedName>
    <definedName name="FinanceiroSuprimento">[10]Suprimento!$F$34</definedName>
    <definedName name="fornecimento" hidden="1">{#N/A,#N/A,FALSE,"CONTROLE"}</definedName>
    <definedName name="FornecimentoE" localSheetId="8">Calc_Mercado!$C$8</definedName>
    <definedName name="FornecimentoE">Calc_Mercado!$C$8</definedName>
    <definedName name="FornecimentoE_A1" localSheetId="8">Calc_Mercado!$C$9</definedName>
    <definedName name="FornecimentoE_A1">Calc_Mercado!$C$9</definedName>
    <definedName name="FornecimentoE_BT" localSheetId="8">Calc_Mercado!$C$15</definedName>
    <definedName name="FornecimentoE_BT">Calc_Mercado!$C$15</definedName>
    <definedName name="frr" hidden="1">{#N/A,#N/A,FALSE,"CONTROLE"}</definedName>
    <definedName name="fx" localSheetId="19" hidden="1">{#N/A,#N/A,FALSE,"ENERGIA";#N/A,#N/A,FALSE,"PERDIDAS";#N/A,#N/A,FALSE,"CLIENTES";#N/A,#N/A,FALSE,"ESTADO";#N/A,#N/A,FALSE,"TECNICA"}</definedName>
    <definedName name="fx" hidden="1">{#N/A,#N/A,FALSE,"ENERGIA";#N/A,#N/A,FALSE,"PERDIDAS";#N/A,#N/A,FALSE,"CLIENTES";#N/A,#N/A,FALSE,"ESTADO";#N/A,#N/A,FALSE,"TECNICA"}</definedName>
    <definedName name="G" hidden="1">#REF!</definedName>
    <definedName name="gbvergtrgfv" hidden="1">{#N/A,#N/A,FALSE,"CONTROLE";#N/A,#N/A,FALSE,"CONTROLE"}</definedName>
    <definedName name="ger" hidden="1">{#N/A,#N/A,FALSE,"CONTROLE"}</definedName>
    <definedName name="gerencial" hidden="1">{#N/A,#N/A,FALSE,"CONTROLE"}</definedName>
    <definedName name="gfgsdfrytwcfrycRV" hidden="1">{#N/A,#N/A,FALSE,"CONTROLE";#N/A,#N/A,FALSE,"CONTROLE"}</definedName>
    <definedName name="gjhyd" hidden="1">{#N/A,#N/A,FALSE,"CONTROLE"}</definedName>
    <definedName name="gkjf" hidden="1">{#N/A,#N/A,FALSE,"CONTROLE"}</definedName>
    <definedName name="Graf2" hidden="1">[2]Mercado!#REF!</definedName>
    <definedName name="Graf3" hidden="1">[2]Mercado!#REF!</definedName>
    <definedName name="Grafico" hidden="1">{#N/A,#N/A,FALSE,"CONTROLE"}</definedName>
    <definedName name="GraphRepasse">'Tabelas e Gráficos'!$BA$267:$BI$274</definedName>
    <definedName name="GT" hidden="1">{#N/A,#N/A,FALSE,"LLAVE";#N/A,#N/A,FALSE,"EERR";#N/A,#N/A,FALSE,"ESP";#N/A,#N/A,FALSE,"EOAF";#N/A,#N/A,FALSE,"CASH";#N/A,#N/A,FALSE,"FINANZAS";#N/A,#N/A,FALSE,"DEUDA";#N/A,#N/A,FALSE,"INVERSION";#N/A,#N/A,FALSE,"PERSONAL"}</definedName>
    <definedName name="GTIFfaturas">#REF!</definedName>
    <definedName name="GTIFPastaBD">[10]BD!$B$8:$C$38,[10]BD!$C$40:$C$43,[10]BD!$C$45:$C$46,[10]BD!$B$47:$C$48,[10]BD!$B$50:$C$53,[10]BD!$G$8:$I$19,[10]BD!$G$24:$H$29,[10]BD!$G$36:$H$39,[10]BD!$G$43:$H$44,[10]BD!$G$47:$H$50,[10]BD!$G$53:$H$56,[10]BD!$B$59:$H$62,[10]BD!$B$67:$G$81,[10]BD!$L$8:$O$9,[10]BD!$L$12:$M$21,[10]BD!$L$23:$P$34,[10]BD!$L$37:$P$48,[10]BD!$L$51:$O$54,[10]BD!$L$57:$M$60,[10]BD!$L$67:$M$73,[10]BD!$L$63:$M$63,[10]BD!$O$67:$P$78,[10]BD!$I$87:$O$108,[10]BD!$I$112:$N$132,[10]BD!$B$86:$G$132,[10]BD!$S$8:$V$82,[10]BD!$A$141:$T$439,[10]BD!$B$442:$J$456,[10]BD!$B$553:$H$553,[10]BD!$B$459:$E$546,[10]BD!$G$459:$K$477,[10]!TabRIAnt[#Data],[10]BD!$S$87:$T$116,[10]BD!$S$121:$T$123,[10]!TabMercado6[#Data],[10]!TabPID[#Data],[10]!Tab_CVA_Neutralidade[#Data],[10]!TabFinanCovid[#Data],[10]!TabCVA_Neutralidade_Covid[#Data]</definedName>
    <definedName name="GTIFPastaCapa">[10]CAPA!$G$8,[10]CAPA!$G$16,[10]CAPA!$G$21:$G$27</definedName>
    <definedName name="GTIFPastaCUSD">[10]CUSD!$C$38:$C$39,[10]CUSD!$C$42:$E$43,[10]CUSD!$H$39:$R$50,[10]CUSD!$E$49,[10]CUSD!$C$53:$C$54,[10]CUSD!$C$57:$E$58,[10]CUSD!$E$64,[10]CUSD!$H$54:$R$65,[10]CUSD!$C$68:$C$69,[10]CUSD!$C$72:$E$73,[10]CUSD!$E$79,[10]CUSD!$H$69:$R$80,[10]CUSD!$C$83:$C$84,[10]CUSD!$C$87:$E$88,[10]CUSD!$E$94,[10]CUSD!$H$84:$R$95,[10]CUSD!$C$98:$C$99,[10]CUSD!$C$102:$E$103,[10]CUSD!$E$109,[10]CUSD!$H$99:$R$110,[10]CUSD!$C$113:$C$114,[10]CUSD!$C$117:$E$118,[10]CUSD!$E$124,[10]CUSD!$H$114:$R$125,[10]CUSD!$C$128:$C$129,[10]CUSD!$C$132:$E$133,[10]CUSD!$E$139,[10]CUSD!$H$129:$R$140,[10]CUSD!$C$143:$C$144,[10]CUSD!$C$147:$E$148,[10]CUSD!$E$154,[10]CUSD!$H$144:$R$155,[10]CUSD!$C$158:$C$159,[10]CUSD!$C$162:$E$163,[10]CUSD!$E$169,[10]CUSD!$H$159:$R$170,[10]CUSD!$C$173:$C$174,[10]CUSD!$C$177:$E$178,[10]CUSD!$E$184,[10]CUSD!$H$174:$R$185</definedName>
    <definedName name="GTIFPastaCVA">CVE!$C$9:$E$17,CVE!$I$9:$I$9,CVE!$D$24:$D$32,CVE!$C$42,CVE!$C$46,CVE!$I$11:$I$14</definedName>
    <definedName name="GTIFPastaEnergia">[10]Energia!$B$49:$H$140,[10]Energia!$B$145:$L$191,[10]Energia!$C$35:$D$35,[10]Energia!$C$40,[10]Energia!$E$40</definedName>
    <definedName name="GTIFPastaEntrada">[10]Entrada!$Q$8:$BD$29,[10]Entrada!$G$27:$G$31,[10]Entrada!$G$33:$G$34,[10]Entrada!$G$37:$G$41,[10]Entrada!$G$44:$G$54,[10]Entrada!$G$58:$G$67,[10]Entrada!$L$7:$M$7,[10]Entrada!$L$9:$M$17,[10]Entrada!$Q$32,[10]Entrada!$Q$35:$AB$43,[10]Entrada!$Q$46:$AB$47,[10]Entrada!$C$6:$C$10,[10]Entrada!$G$70:$G$74,[10]Entrada!$G$76,[10]Entrada!$G$78,[10]Entrada!$G$80,[10]Entrada!$G$82,[10]Entrada!$G$83,[10]Entrada!$G$86,[10]Entrada!$G$87,[10]Entrada!$G$91:$G$110,[10]Entrada!$L$20:$M$22,[10]Entrada!$L$25:$M$37,[10]Entrada!$L$40:$M$42,[10]Entrada!$L$45:$M$45,[10]Entrada!$L$48:$M$53,[10]Entrada!$L$56:$M$59</definedName>
    <definedName name="GTIFPastaFinanceiros">[10]Financeiros!$D$128:$D$128,[10]Financeiros!$C$194:$D$335</definedName>
    <definedName name="GTIFPastaIndexador">[10]Indexador!$E$95:$J$95,[10]Indexador!$F$96,[10]Indexador!$H$96,[10]Indexador!$J$96,[10]Indexador!$E$97:$E$116,[10]Indexador!$G$97:$G$116,[10]Indexador!$I$97:$I$116,[10]Indexador!$F$121:$J$124,[10]Indexador!$F$126:$J$126,[10]Indexador!$C$143:$C$172</definedName>
    <definedName name="GTIFPastaSuprimento">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#REF!,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</definedName>
    <definedName name="Guapore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H" hidden="1">#REF!</definedName>
    <definedName name="hghjhhgj" hidden="1">{#N/A,#N/A,FALSE,"CONTROLE";#N/A,#N/A,FALSE,"CONTROLE"}</definedName>
    <definedName name="hjawt" hidden="1">{#N/A,#N/A,FALSE,"CONTROLE"}</definedName>
    <definedName name="ht" hidden="1">{#N/A,#N/A,FALSE,"CONTROLE"}</definedName>
    <definedName name="HTML_CodePage" hidden="1">1252</definedName>
    <definedName name="HTML_Control" hidden="1">{"'1998'!$B$2:$O$16"}</definedName>
    <definedName name="HTML_Control2" hidden="1">{"'DEC ou FEC'!$A$1:$O$132"}</definedName>
    <definedName name="HTML_Control3" hidden="1">{"'DEC ou FEC'!$A$1:$O$132"}</definedName>
    <definedName name="HTML_Control4" hidden="1">{"'DEC ou FEC'!$A$1:$O$132"}</definedName>
    <definedName name="HTML_Control5" hidden="1">{"'DEC ou FEC'!$A$1:$O$132"}</definedName>
    <definedName name="HTML_Control6" hidden="1">{"'DEC ou FEC'!$A$1:$O$132"}</definedName>
    <definedName name="HTML_Control7" hidden="1">{"'DEC ou FEC'!$A$1:$O$132"}</definedName>
    <definedName name="HTML_Control8" hidden="1">{"'DEC ou FEC'!$A$1:$O$132"}</definedName>
    <definedName name="HTML_Description" hidden="1">""</definedName>
    <definedName name="HTML_Email" hidden="1">"sacg@CPFL.COM.BR"</definedName>
    <definedName name="HTML_Header" hidden="1">""</definedName>
    <definedName name="HTML_LastUpdate" hidden="1">"13/01/2000"</definedName>
    <definedName name="HTML_LineAfter" hidden="1">FALSE</definedName>
    <definedName name="HTML_LineBefore" hidden="1">FALSE</definedName>
    <definedName name="HTML_Name" hidden="1">"Solange Aparecida Carvalho Grecco"</definedName>
    <definedName name="HTML_OBDlg2" hidden="1">TRUE</definedName>
    <definedName name="HTML_OBDlg4" hidden="1">TRUE</definedName>
    <definedName name="HTML_OS" hidden="1">0</definedName>
    <definedName name="HTML_PathFile" hidden="1">"C:\FrontPage Webs\Content\fo\INDICADORES_ECONOMICOS\Inflacao98.htm"</definedName>
    <definedName name="HTML_Title" hidden="1">""</definedName>
    <definedName name="I" hidden="1">[2]Mercado!#REF!</definedName>
    <definedName name="idagente">CAPA!$K$11</definedName>
    <definedName name="idsreag">CAPA!$K$10</definedName>
    <definedName name="im" localSheetId="19" hidden="1">{#N/A,#N/A,FALSE,"ENERGIA";#N/A,#N/A,FALSE,"PERDIDAS";#N/A,#N/A,FALSE,"CLIENTES";#N/A,#N/A,FALSE,"ESTADO";#N/A,#N/A,FALSE,"TECNICA"}</definedName>
    <definedName name="im" hidden="1">{#N/A,#N/A,FALSE,"ENERGIA";#N/A,#N/A,FALSE,"PERDIDAS";#N/A,#N/A,FALSE,"CLIENTES";#N/A,#N/A,FALSE,"ESTADO";#N/A,#N/A,FALSE,"TECNICA"}</definedName>
    <definedName name="ime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ime" hidden="1">{#N/A,#N/A,FALSE,"LLAVE";#N/A,#N/A,FALSE,"EERR";#N/A,#N/A,FALSE,"ESP";#N/A,#N/A,FALSE,"EOAF";#N/A,#N/A,FALSE,"CASH";#N/A,#N/A,FALSE,"FINANZAS";#N/A,#N/A,FALSE,"DEUDA";#N/A,#N/A,FALSE,"INVERSION";#N/A,#N/A,FALSE,"PERSONAL"}</definedName>
    <definedName name="Inad" hidden="1">49</definedName>
    <definedName name="isaac" hidden="1">[11]Detail!#REF!</definedName>
    <definedName name="iukiikii" hidden="1">{#N/A,#N/A,FALSE,"CONTROLE"}</definedName>
    <definedName name="J" hidden="1">#REF!</definedName>
    <definedName name="jd" hidden="1">{#N/A,#N/A,FALSE,"CONTROLE"}</definedName>
    <definedName name="jhhgj" hidden="1">{#N/A,#N/A,FALSE,"CONTROLE"}</definedName>
    <definedName name="juu" hidden="1">{#N/A,#N/A,FALSE,"CONTROLE"}</definedName>
    <definedName name="jyd" hidden="1">{#N/A,#N/A,FALSE,"CONTROLE"}</definedName>
    <definedName name="kico" hidden="1">{#N/A,#N/A,FALSE,"CONTROLE";#N/A,#N/A,FALSE,"CONTROLE"}</definedName>
    <definedName name="kiko" hidden="1">{#N/A,#N/A,FALSE,"CONTROLE";#N/A,#N/A,FALSE,"CONTROLE"}</definedName>
    <definedName name="kiy" hidden="1">{#N/A,#N/A,FALSE,"CONTROLE"}</definedName>
    <definedName name="kjfhgjfj" hidden="1">{#N/A,#N/A,FALSE,"CONTROLE";#N/A,#N/A,FALSE,"CONTROLE"}</definedName>
    <definedName name="LEILA" hidden="1">{#N/A,#N/A,FALSE,"ENERGIA";#N/A,#N/A,FALSE,"PERDIDAS";#N/A,#N/A,FALSE,"CLIENTES";#N/A,#N/A,FALSE,"ESTADO";#N/A,#N/A,FALSE,"TECNICA"}</definedName>
    <definedName name="LIGHT" hidden="1">{#N/A,#N/A,FALSE,"ENERGIA";#N/A,#N/A,FALSE,"PERDIDAS";#N/A,#N/A,FALSE,"CLIENTES";#N/A,#N/A,FALSE,"ESTADO";#N/A,#N/A,FALSE,"TECNICA"}</definedName>
    <definedName name="limcount" hidden="1">1</definedName>
    <definedName name="LinkTxtEfeitoPA">Resultado!$E$34</definedName>
    <definedName name="LinkTxtEfeitoPB">Resultado!$E$39</definedName>
    <definedName name="LinkTXTPR">BD!$C$31</definedName>
    <definedName name="LinkTXTSaldoRTP">Indexador!$F$20</definedName>
    <definedName name="linktxttotfin">'Tabelas e Gráficos'!$AW$261</definedName>
    <definedName name="ListaDir">[12]CAPA!$Q$62:$Q$65</definedName>
    <definedName name="LivreE" localSheetId="8">Calc_Mercado!$C$18</definedName>
    <definedName name="LivreE">Calc_Mercado!$C$18</definedName>
    <definedName name="LivreE_A1" localSheetId="8">Calc_Mercado!$C$19</definedName>
    <definedName name="LivreE_A1">Calc_Mercado!$C$19</definedName>
    <definedName name="Livres" hidden="1">{#N/A,#N/A,FALSE,"CONTROLE"}</definedName>
    <definedName name="LL" hidden="1">{#N/A,#N/A,FALSE,"LLAVE";#N/A,#N/A,FALSE,"EERR";#N/A,#N/A,FALSE,"ESP";#N/A,#N/A,FALSE,"EOAF";#N/A,#N/A,FALSE,"CASH";#N/A,#N/A,FALSE,"FINANZAS";#N/A,#N/A,FALSE,"DEUDA";#N/A,#N/A,FALSE,"INVERSION";#N/A,#N/A,FALSE,"PERSONAL"}</definedName>
    <definedName name="LnkTxEfeitoSobrecontratacao">[10]Financeiros!#REF!</definedName>
    <definedName name="LnkTxTAjusteCUST">Financeiros!$D$26</definedName>
    <definedName name="LnkTXTAumfin">'Tabelas e Gráficos'!$AC$5</definedName>
    <definedName name="LnkTxtAvalEfeitoEnergia">'[10]Votos e NTs'!$BP$286</definedName>
    <definedName name="LnkTxtBand">Financeiros!$E$29</definedName>
    <definedName name="LnkTXTBandeira">Financeiros!$D$29</definedName>
    <definedName name="LnkTXTCarta">CAPA!$C$28</definedName>
    <definedName name="LnkTXTCiEmp">CAPA!$C$92</definedName>
    <definedName name="LnkTxtComp12">'Tabelas e Gráficos'!$AD$5</definedName>
    <definedName name="LnkTxtCompIndi">'Tabelas e Gráficos'!$AE$5</definedName>
    <definedName name="LnkTxtConcatenacaoCUSD">[10]Financeiros!#REF!</definedName>
    <definedName name="LnkTXTConexao">CAPA!$C$105</definedName>
    <definedName name="LnkTxtConselho">[10]Financeiros!$D$90</definedName>
    <definedName name="LnkTXTConsu">Calc_Mercado!$G$99</definedName>
    <definedName name="LnkTXTConsumidores">Calc_Mercado!$J$18</definedName>
    <definedName name="LnkTXTData">CAPA!$C$94</definedName>
    <definedName name="LnkTXTDataAntSemDia">CAPA!$C$93</definedName>
    <definedName name="LnkTXTDataCont">CAPA!$C$89</definedName>
    <definedName name="LnkTXTDataFIM">Calc_Mercado!$G$104</definedName>
    <definedName name="LnkTXTDataFinal">CAPA!$C$97</definedName>
    <definedName name="LnkTXTDataSemD">Calc_Mercado!$G$103</definedName>
    <definedName name="LnkTXTDataSemDia">CAPA!$C$96</definedName>
    <definedName name="LnkTXTdentro">'Tabelas e Gráficos'!$W$10</definedName>
    <definedName name="LnkTXTDescTusd">CUSD!$G$3</definedName>
    <definedName name="LnkTXTDescTusdAnte">CUSD!$I$3</definedName>
    <definedName name="LnkTXTDICFIC">Financeiros!$D$27</definedName>
    <definedName name="LnkTxtDirRel" localSheetId="8">CAPA!$H$2</definedName>
    <definedName name="LnkTxtDirRel">CAPA!$H$2</definedName>
    <definedName name="LnkTXTDNT">CAPA!$H$4</definedName>
    <definedName name="LnkTXTDreh">CAPA!$C$84</definedName>
    <definedName name="LnkTxtDRPData">[10]CAPA!$C$10</definedName>
    <definedName name="LnkTXTEEU">CAPA!$C$86</definedName>
    <definedName name="LnkTxtEfeCDE">Resultado!$E$18</definedName>
    <definedName name="LnkTXTEfEcoU">CAPA!$C$86</definedName>
    <definedName name="LnkTXTEfeiEcoUl">CAPA!$C$86</definedName>
    <definedName name="LnkTXTEfeito">Resultado!$L$5</definedName>
    <definedName name="LnkTXTEfeitoAT">Resultado!$L$3</definedName>
    <definedName name="LnkTXTEfeitoBT">Resultado!$L$4</definedName>
    <definedName name="LnkTxtEfeitoExpSubmercados">[10]Financeiros!#REF!</definedName>
    <definedName name="LnkTxTEfeitofimdesPor">[12]CAPA!$X$59</definedName>
    <definedName name="LnkTXTEfFinU">CAPA!$C$87</definedName>
    <definedName name="LnkTXTEfMeU">CAPA!$C$85</definedName>
    <definedName name="LnkTxtEletronuclear">[10]Financeiros!#REF!</definedName>
    <definedName name="LnkTXTEM">'Tabelas e Gráficos'!$AQ$204</definedName>
    <definedName name="LnkTXTEnergia">CAPA!$C$102</definedName>
    <definedName name="LnkTXTER" localSheetId="8">Energia!$C$5</definedName>
    <definedName name="LnkTXTER">Energia!$C$5</definedName>
    <definedName name="LnkTXTERFIN">'Tabelas e Gráficos'!$AW$263</definedName>
    <definedName name="LnkTXTEV" localSheetId="8">Energia!$C$6</definedName>
    <definedName name="LnkTXTEV">Energia!$C$6</definedName>
    <definedName name="LnkTXTF">Energia!$C$7</definedName>
    <definedName name="LnkTXTFatorX">CAPA!$C$100</definedName>
    <definedName name="LnkTXTfora">'Tabelas e Gráficos'!$X$10</definedName>
    <definedName name="LnkTxtGarantias">[10]Financeiros!#REF!</definedName>
    <definedName name="LnkTXTGPCU" localSheetId="8">Energia!$M$32</definedName>
    <definedName name="LnkTXTGPCU">Energia!$M$32</definedName>
    <definedName name="LnkTXTGPM" localSheetId="8">Energia!$C$18</definedName>
    <definedName name="LnkTXTGPM">Energia!$C$18</definedName>
    <definedName name="LnkTXTICMS">Calc_Mercado!$J$8</definedName>
    <definedName name="LnkTXTIGPM">'Tabelas e Gráficos'!$W$41</definedName>
    <definedName name="LnkTxtIGPMFatorX">[10]VPB1!$F$44</definedName>
    <definedName name="LnkTXTIParcelaBcomSub">Resultado!$D$39</definedName>
    <definedName name="LnkTXTIParcelaBsemSub">Resultado!$D$40</definedName>
    <definedName name="LnkTXTIPCA" localSheetId="8">CAPA!$K$17</definedName>
    <definedName name="LnkTXTIPCA">CAPA!$K$17</definedName>
    <definedName name="LnkTXTIPCAac">'Tabelas e Gráficos'!$W$42</definedName>
    <definedName name="LnkTXTIPCAFatorX">CAPA!$C$101</definedName>
    <definedName name="LnkTXTIRTCUSD">'Tabelas e Gráficos'!$AW$225</definedName>
    <definedName name="LnkTXTIRTEC">'Tabelas e Gráficos'!$AW$219</definedName>
    <definedName name="LnkTXTIRTEco">Resultado!$C$7</definedName>
    <definedName name="LnkTXTIRTES">'Tabelas e Gráficos'!$AW$208</definedName>
    <definedName name="LnkTXTIRTFin" localSheetId="8">Resultado!$C$8</definedName>
    <definedName name="LnkTXTIRTParcelaA">'Tabelas e Gráficos'!$AW$227</definedName>
    <definedName name="LnkTXTIRTParcelaB">'Tabelas e Gráficos'!$AW$228</definedName>
    <definedName name="LnkTXTIRTTE">'Tabelas e Gráficos'!$AW$221</definedName>
    <definedName name="LnkTXTIRTTotal">Resultado!$C$9</definedName>
    <definedName name="LnkTXTISubvencaoPB">CAPA!$K$32</definedName>
    <definedName name="LnkTXTlimittrinta">'Tabelas e Gráficos'!$AF$5</definedName>
    <definedName name="LNKTXTLImPB">CAPA!$K$30</definedName>
    <definedName name="LnkTXTNeutralidade">'Tabelas e Gráficos'!$AN$166</definedName>
    <definedName name="LnkTXTNNT">CAPA!$H$3</definedName>
    <definedName name="LnkTXTNome">CAPA!$C$90</definedName>
    <definedName name="LnkTXTNreh">CAPA!$C$83</definedName>
    <definedName name="LnkTxtNumContratoPermissao">CAPA!$C$88</definedName>
    <definedName name="LnkTxtNumProcesso">CAPA!$C$82</definedName>
    <definedName name="LnkTXTOpcaoSN">CAPA!$C$112</definedName>
    <definedName name="LnkTXTPartParcelaA">'Tabelas e Gráficos'!$AX$227</definedName>
    <definedName name="LnkTXTPartParcelaB">'Tabelas e Gráficos'!$AX$228</definedName>
    <definedName name="LnkTXTPBeLimite">"CAPA!$K$24"</definedName>
    <definedName name="LnkTXTPBReq">CAPA!$K$31</definedName>
    <definedName name="LnkTXTPD">'Tabelas e Gráficos'!$Q$114</definedName>
    <definedName name="LNKTXTPercperdas">Energia!$M$14</definedName>
    <definedName name="LNKTXTPercPISCOFINS">Calc_Mercado!$J$9</definedName>
    <definedName name="LnkTXTPerdas" localSheetId="8">Energia!$C$9</definedName>
    <definedName name="LnkTXTPerdas">Energia!$C$9</definedName>
    <definedName name="LnkTXTPerdasDist">CAPA!$C$99</definedName>
    <definedName name="LnkTXTPerdasDist.">CAPA!$C$99</definedName>
    <definedName name="LnkTXTPIS_COFINS">'Tabelas e Gráficos'!$AN$165</definedName>
    <definedName name="LnkTXTPISCOFINS">Financeiros!$D$9</definedName>
    <definedName name="LnkTXTPISCOFINSPer" localSheetId="8">Financeiros!$E$9</definedName>
    <definedName name="LnkTXTPISCOFINSPer">Financeiros!$E$9</definedName>
    <definedName name="LnkTxtprevisaoriscohidro">[10]Energia!$E$38</definedName>
    <definedName name="LnkTXTProinfa">Energia!$C$19</definedName>
    <definedName name="LnkTXTRA0">Resultado!$C$6</definedName>
    <definedName name="LnKTxTRA1">Resultado!$C$5</definedName>
    <definedName name="LnKTXTReaRev">CAPA!$C$111</definedName>
    <definedName name="LnkTXTRecalculo">'Tabelas e Gráficos'!$AN$169</definedName>
    <definedName name="LnkTXTReceitaRA0">Calc_Mercado!$G$100</definedName>
    <definedName name="LnkTXTReceitaRaoM">CAPA!$C$107</definedName>
    <definedName name="LnkTXTRedeBasica">CAPA!$C$104</definedName>
    <definedName name="LnkTXTReferencia">CAPA!$C$98</definedName>
    <definedName name="LnkTxtReversaoCDEenergia">[10]Financeiros!#REF!</definedName>
    <definedName name="LnkTxtReversaoCDEuso">[10]Financeiros!#REF!</definedName>
    <definedName name="LnkTxtRI">[10]Resultado!$D$39</definedName>
    <definedName name="LnkTXTRSub">CAPA!$C$95</definedName>
    <definedName name="LnkTXTSaldo">Indexador!$F$16</definedName>
    <definedName name="LnkTXTSaldoA">Indexador!$F$17</definedName>
    <definedName name="LnkTXTSigla" localSheetId="8">CAPA!$C$91</definedName>
    <definedName name="LnkTXTSigla">CAPA!$C$91</definedName>
    <definedName name="LnkTxtSobrecontratacao">[10]Financeiros!#REF!</definedName>
    <definedName name="LnkTXTSubdesc">Aj.Subsídio!$N$11</definedName>
    <definedName name="LnkTxTSubvencaoCDE" localSheetId="8">Financeiros!$D$28</definedName>
    <definedName name="LnkTxTSubvencaoCDE">Financeiros!$D$28</definedName>
    <definedName name="LnkTXTSupri1">Calc_Mercado!$G$101</definedName>
    <definedName name="LnkTXTSupri2">Calc_Mercado!$G$102</definedName>
    <definedName name="LnkTXTSuprid1" localSheetId="8">CAPA!$C$108</definedName>
    <definedName name="LnkTXTSuprid1">CAPA!$C$108</definedName>
    <definedName name="LnkTXTSuprid2" localSheetId="8">CAPA!$C$109</definedName>
    <definedName name="LnkTXTSuprid2">CAPA!$C$109</definedName>
    <definedName name="lnktxttotalfin">Financeiros!$E$7</definedName>
    <definedName name="lnktxttotsubsid">'Tabelas e Gráficos'!$BH$274</definedName>
    <definedName name="LnkTXTTransporte">CAPA!$C$103</definedName>
    <definedName name="LnkTXTUNConsu">CAPA!$C$106</definedName>
    <definedName name="LnkTxtVarCDE">Resultado!$F$18</definedName>
    <definedName name="LnkTXTVarEC">'Tabelas e Gráficos'!$AV$219</definedName>
    <definedName name="LnkTXTVarES">'Tabelas e Gráficos'!$AV$208</definedName>
    <definedName name="LnkTxtVariacaoIGPM">'[10]Votos e NTs'!#REF!</definedName>
    <definedName name="LnkTxtVariacaoIPCA">'[10]Votos e NTs'!#REF!</definedName>
    <definedName name="LnkTxtVaricaoTarifa">'[10]Votos e NTs'!#REF!</definedName>
    <definedName name="LnkTXTVarTE">'Tabelas e Gráficos'!$AV$221</definedName>
    <definedName name="LnkTxtVarTFSEE">Resultado!$F$17</definedName>
    <definedName name="M" hidden="1">#REF!</definedName>
    <definedName name="MANU" hidden="1">{#N/A,#N/A,FALSE,"ENERGIA";#N/A,#N/A,FALSE,"PERDIDAS";#N/A,#N/A,FALSE,"CLIENTES";#N/A,#N/A,FALSE,"ESTADO";#N/A,#N/A,FALSE,"TECNICA"}</definedName>
    <definedName name="MANUWHEHDEB" hidden="1">{#N/A,#N/A,FALSE,"LLAVE";#N/A,#N/A,FALSE,"EERR";#N/A,#N/A,FALSE,"ESP";#N/A,#N/A,FALSE,"EOAF";#N/A,#N/A,FALSE,"CASH";#N/A,#N/A,FALSE,"FINANZAS";#N/A,#N/A,FALSE,"DEUDA";#N/A,#N/A,FALSE,"INVERSION";#N/A,#N/A,FALSE,"PERSONAL"}</definedName>
    <definedName name="marcelo" hidden="1">{#N/A,#N/A,FALSE,"LLAVE";#N/A,#N/A,FALSE,"EERR";#N/A,#N/A,FALSE,"ESP";#N/A,#N/A,FALSE,"EOAF";#N/A,#N/A,FALSE,"CASH";#N/A,#N/A,FALSE,"FINANZAS";#N/A,#N/A,FALSE,"DEUDA";#N/A,#N/A,FALSE,"INVERSION";#N/A,#N/A,FALSE,"PERSONAL"}</definedName>
    <definedName name="men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men" hidden="1">{#N/A,#N/A,FALSE,"LLAVE";#N/A,#N/A,FALSE,"EERR";#N/A,#N/A,FALSE,"ESP";#N/A,#N/A,FALSE,"EOAF";#N/A,#N/A,FALSE,"CASH";#N/A,#N/A,FALSE,"FINANZAS";#N/A,#N/A,FALSE,"DEUDA";#N/A,#N/A,FALSE,"INVERSION";#N/A,#N/A,FALSE,"PERSONAL"}</definedName>
    <definedName name="Mercado" localSheetId="8" hidden="1">#REF!</definedName>
    <definedName name="Mercado_CriterioA1">Calc_Mercado!$S$1:$T$2</definedName>
    <definedName name="Mercado_CriterioA2">Calc_Mercado!$S$3:$T$4</definedName>
    <definedName name="Mercado_CriterioA3">Calc_Mercado!$S$5:$T$6</definedName>
    <definedName name="Mercado_CriterioA3a">Calc_Mercado!$S$7:$T$8</definedName>
    <definedName name="Mercado_CriterioA4">Calc_Mercado!$S$9:$T$10</definedName>
    <definedName name="Mercado_CriterioAS">Calc_Mercado!$S$11:$T$12</definedName>
    <definedName name="Mercado_CriterioB">Calc_Mercado!$S$13:$T$14</definedName>
    <definedName name="Mercado_CriterioDistribuição">Calc_Mercado!$S$21:$S$22</definedName>
    <definedName name="Mercado_CriterioGeração">Calc_Mercado!$S$23:$S$24</definedName>
    <definedName name="Mercado_CriterioLivre">Calc_Mercado!$S$25:$S$26</definedName>
    <definedName name="Mercado_CriterioLivreA1">Calc_Mercado!$S$19:$T$20</definedName>
    <definedName name="Mercado_CriterioResBr">Calc_Mercado!$S$15:$T$16</definedName>
    <definedName name="Mercado_CriterioSuprimento">Calc_Mercado!$S$17:$T$18</definedName>
    <definedName name="Mercado_Faturado_Encargo_CDE">Calc_Mercado!$H$76</definedName>
    <definedName name="Mercado_Faturado_Encargo_CDE_BRUTO" localSheetId="8">Calc_Mercado!$H$75</definedName>
    <definedName name="Mercado_Faturado_Encargo_CDE_BRUTO">Calc_Mercado!$H$75</definedName>
    <definedName name="Mercado_Faturado_Encargo_CFURH">Calc_Mercado!$J$76</definedName>
    <definedName name="Mercado_Faturado_Encargo_CFURH_BRUTO" localSheetId="8">Calc_Mercado!$J$75</definedName>
    <definedName name="Mercado_Faturado_Encargo_CFURH_BRUTO">Calc_Mercado!$J$75</definedName>
    <definedName name="Mercado_Faturado_Encargo_ESSERR">Calc_Mercado!$F$76</definedName>
    <definedName name="Mercado_Faturado_Encargo_ESSERR_BRUTO" localSheetId="8">Calc_Mercado!$F$75</definedName>
    <definedName name="Mercado_Faturado_Encargo_ESSERR_BRUTO">Calc_Mercado!$F$75</definedName>
    <definedName name="Mercado_Faturado_Encargo_ONS">Calc_Mercado!$E$76</definedName>
    <definedName name="Mercado_Faturado_Encargo_ONS_BRUTO" localSheetId="8">Calc_Mercado!$E$75</definedName>
    <definedName name="Mercado_Faturado_Encargo_ONS_BRUTO">Calc_Mercado!$E$75</definedName>
    <definedName name="Mercado_Faturado_Encargo_PeD">Calc_Mercado!$D$76</definedName>
    <definedName name="Mercado_Faturado_Encargo_PeD_BRUTO" localSheetId="8">Calc_Mercado!$D$75</definedName>
    <definedName name="Mercado_Faturado_Encargo_PeD_BRUTO">Calc_Mercado!$D$75</definedName>
    <definedName name="Mercado_Faturado_Encargo_PROINFA">Calc_Mercado!$G$76</definedName>
    <definedName name="Mercado_Faturado_Encargo_PROINFA_BRUTO" localSheetId="8">Calc_Mercado!$G$75</definedName>
    <definedName name="Mercado_Faturado_Encargo_PROINFA_BRUTO">Calc_Mercado!$G$75</definedName>
    <definedName name="Mercado_Faturado_Encargo_TFSEE">Calc_Mercado!$I$76</definedName>
    <definedName name="Mercado_Faturado_Encargo_TFSEE_BRUTO" localSheetId="8">Calc_Mercado!$I$75</definedName>
    <definedName name="Mercado_Faturado_Encargo_TFSEE_BRUTO">Calc_Mercado!$I$75</definedName>
    <definedName name="Mercado_LivreA2">Calc_Mercado!$S$43:$T$44</definedName>
    <definedName name="Mercado_LivreA3">Calc_Mercado!$S$45:$T$46</definedName>
    <definedName name="Mercado_LivreA3a">Calc_Mercado!$S$47:$T$48</definedName>
    <definedName name="Mercado_LivreA4">Calc_Mercado!$S$49:$T$50</definedName>
    <definedName name="Mercado_LivreAS">Calc_Mercado!$S$53:$T$54</definedName>
    <definedName name="Mercado_LivreB">Calc_Mercado!$S$51:$T$52</definedName>
    <definedName name="Mercado_RA0_MWh" localSheetId="8">Calc_Mercado!$C$25</definedName>
    <definedName name="Mercado_RA0_MWh">Calc_Mercado!$C$25</definedName>
    <definedName name="Mercado_RA0_Reais" localSheetId="8">Calc_Mercado!$D$25</definedName>
    <definedName name="Mercado_RA0_Reais">Calc_Mercado!$D$25</definedName>
    <definedName name="MercadoBase">'BD MERCADO'!$A$2:$FC$3999</definedName>
    <definedName name="MercadoBase1">dados_MercadoBase[#All]</definedName>
    <definedName name="mov_ac" hidden="1">[13]Mercado!#REF!</definedName>
    <definedName name="mso" hidden="1">{#N/A,#N/A,FALSE,"CONTROLE"}</definedName>
    <definedName name="N" hidden="1">#REF!</definedName>
    <definedName name="oiio" hidden="1">{#N/A,#N/A,FALSE,"CONTROLE"}</definedName>
    <definedName name="old" localSheetId="19" hidden="1">[2]Mercado!#REF!</definedName>
    <definedName name="old" localSheetId="8" hidden="1">[2]Mercado!#REF!</definedName>
    <definedName name="old" hidden="1">[2]Mercado!#REF!</definedName>
    <definedName name="OLE_LINK3" localSheetId="8">'Tabelas e Gráficos'!$N$39</definedName>
    <definedName name="operação" hidden="1">{#N/A,#N/A,FALSE,"CONTROLE"}</definedName>
    <definedName name="oy" hidden="1">{#N/A,#N/A,FALSE,"CONTROLE";#N/A,#N/A,FALSE,"CONTROLE"}</definedName>
    <definedName name="PEDRO" hidden="1">{#N/A,#N/A,FALSE,"CONTROLE"}</definedName>
    <definedName name="Piratininga" hidden="1">{#N/A,#N/A,FALSE,"CONTROLE"}</definedName>
    <definedName name="PIRATININGAV2" hidden="1">{#N/A,#N/A,FALSE,"CONTROLE"}</definedName>
    <definedName name="PisCofins" localSheetId="19" hidden="1">{#N/A,#N/A,FALSE,"ENERGIA";#N/A,#N/A,FALSE,"PERDIDAS";#N/A,#N/A,FALSE,"CLIENTES";#N/A,#N/A,FALSE,"ESTADO";#N/A,#N/A,FALSE,"TECNICA"}</definedName>
    <definedName name="PisCofins" hidden="1">{#N/A,#N/A,FALSE,"ENERGIA";#N/A,#N/A,FALSE,"PERDIDAS";#N/A,#N/A,FALSE,"CLIENTES";#N/A,#N/A,FALSE,"ESTADO";#N/A,#N/A,FALSE,"TECNICA"}</definedName>
    <definedName name="planilha" localSheetId="19" hidden="1">{#N/A,#N/A,FALSE,"ENERGIA";#N/A,#N/A,FALSE,"PERDIDAS";#N/A,#N/A,FALSE,"CLIENTES";#N/A,#N/A,FALSE,"ESTADO";#N/A,#N/A,FALSE,"TECNICA"}</definedName>
    <definedName name="planilha" hidden="1">{#N/A,#N/A,FALSE,"ENERGIA";#N/A,#N/A,FALSE,"PERDIDAS";#N/A,#N/A,FALSE,"CLIENTES";#N/A,#N/A,FALSE,"ESTADO";#N/A,#N/A,FALSE,"TECNICA"}</definedName>
    <definedName name="poiu" hidden="1">{#N/A,#N/A,FALSE,"CONTROLE";#N/A,#N/A,FALSE,"CONTROLE"}</definedName>
    <definedName name="pp" localSheetId="19" hidden="1">{#N/A,#N/A,FALSE,"ENERGIA";#N/A,#N/A,FALSE,"PERDIDAS";#N/A,#N/A,FALSE,"CLIENTES";#N/A,#N/A,FALSE,"ESTADO";#N/A,#N/A,FALSE,"TECNICA"}</definedName>
    <definedName name="pp" hidden="1">{#N/A,#N/A,FALSE,"ENERGIA";#N/A,#N/A,FALSE,"PERDIDAS";#N/A,#N/A,FALSE,"CLIENTES";#N/A,#N/A,FALSE,"ESTADO";#N/A,#N/A,FALSE,"TECNICA"}</definedName>
    <definedName name="q" hidden="1">{#N/A,#N/A,FALSE,"CONTROLE";#N/A,#N/A,FALSE,"CONTROLE"}</definedName>
    <definedName name="qq" hidden="1">{#N/A,#N/A,FALSE,"CONTROLE";#N/A,#N/A,FALSE,"CONTROLE"}</definedName>
    <definedName name="qqq" hidden="1">{#N/A,#N/A,FALSE,"CONTROLE"}</definedName>
    <definedName name="qqqq" hidden="1">{#N/A,#N/A,FALSE,"CONTROLE"}</definedName>
    <definedName name="qtret" hidden="1">{#N/A,#N/A,FALSE,"CONTROLE"}</definedName>
    <definedName name="qtyyuu" hidden="1">{#N/A,#N/A,FALSE,"CONTROLE"}</definedName>
    <definedName name="QuadroMercado">Calc_Mercado!$B$7:$D$25</definedName>
    <definedName name="qwe" hidden="1">{#N/A,#N/A,FALSE,"CONTROLE"}</definedName>
    <definedName name="qweer" hidden="1">{#N/A,#N/A,FALSE,"CONTROLE"}</definedName>
    <definedName name="qwr" hidden="1">[1]Calc!$D$38:$D$83</definedName>
    <definedName name="qwrqwrqwrqwd" hidden="1">[1]Calc!$X$153:$X$313</definedName>
    <definedName name="raf" hidden="1">{#N/A,#N/A,FALSE,"CONTROLE";#N/A,#N/A,FALSE,"CONTROLE"}</definedName>
    <definedName name="R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B" hidden="1">{#N/A,#N/A,FALSE,"LLAVE";#N/A,#N/A,FALSE,"EERR";#N/A,#N/A,FALSE,"ESP";#N/A,#N/A,FALSE,"EOAF";#N/A,#N/A,FALSE,"CASH";#N/A,#N/A,FALSE,"FINANZAS";#N/A,#N/A,FALSE,"DEUDA";#N/A,#N/A,FALSE,"INVERSION";#N/A,#N/A,FALSE,"PERSONAL"}</definedName>
    <definedName name="RBTESTE" localSheetId="19" hidden="1">{#N/A,#N/A,FALSE,"ENERGIA";#N/A,#N/A,FALSE,"PERDIDAS";#N/A,#N/A,FALSE,"CLIENTES";#N/A,#N/A,FALSE,"ESTADO";#N/A,#N/A,FALSE,"TECNICA"}</definedName>
    <definedName name="RBTESTE" hidden="1">{#N/A,#N/A,FALSE,"ENERGIA";#N/A,#N/A,FALSE,"PERDIDAS";#N/A,#N/A,FALSE,"CLIENTES";#N/A,#N/A,FALSE,"ESTADO";#N/A,#N/A,FALSE,"TECNICA"}</definedName>
    <definedName name="REAIS" hidden="1">{#N/A,#N/A,FALSE,"CONTROLE"}</definedName>
    <definedName name="REAISPREV" hidden="1">{#N/A,#N/A,FALSE,"CONTROLE"}</definedName>
    <definedName name="REDE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hidden="1">{#N/A,#N/A,FALSE,"LLAVE";#N/A,#N/A,FALSE,"EERR";#N/A,#N/A,FALSE,"ESP";#N/A,#N/A,FALSE,"EOAF";#N/A,#N/A,FALSE,"CASH";#N/A,#N/A,FALSE,"FINANZAS";#N/A,#N/A,FALSE,"DEUDA";#N/A,#N/A,FALSE,"INVERSION";#N/A,#N/A,FALSE,"PERSONAL"}</definedName>
    <definedName name="RefR">"9.99999999999999E+307"</definedName>
    <definedName name="Relat" hidden="1">{#N/A,#N/A,FALSE,"CONTROLE";#N/A,#N/A,FALSE,"CONTROLE"}</definedName>
    <definedName name="Renato" hidden="1">{#N/A,#N/A,FALSE,"CONTROLE"}</definedName>
    <definedName name="RESUMO3" hidden="1">{#N/A,#N/A,FALSE,"CONTROLE"}</definedName>
    <definedName name="rey" hidden="1">{#N/A,#N/A,FALSE,"CONTROLE"}</definedName>
    <definedName name="rg" hidden="1">{#N/A,#N/A,FALSE,"CONTROLE"}</definedName>
    <definedName name="rqrwrq" hidden="1">[1]Calc!$AB$153:$AB$325</definedName>
    <definedName name="rqwrqwrqwr" hidden="1">[1]Calc!$Z$153:$Z$315</definedName>
    <definedName name="rr" hidden="1">{#N/A,#N/A,FALSE,"CONTROLE"}</definedName>
    <definedName name="rtet" hidden="1">{#N/A,#N/A,FALSE,"CONTROLE";#N/A,#N/A,FALSE,"CONTROLE"}</definedName>
    <definedName name="rtre" hidden="1">{#N/A,#N/A,FALSE,"CONTROLE";#N/A,#N/A,FALSE,"CONTROLE"}</definedName>
    <definedName name="rtt" hidden="1">{#N/A,#N/A,FALSE,"CONTROLE"}</definedName>
    <definedName name="S" hidden="1">{#N/A,#N/A,FALSE,"LLAVE";#N/A,#N/A,FALSE,"EERR";#N/A,#N/A,FALSE,"ESP";#N/A,#N/A,FALSE,"EOAF";#N/A,#N/A,FALSE,"CASH";#N/A,#N/A,FALSE,"FINANZAS";#N/A,#N/A,FALSE,"DEUDA";#N/A,#N/A,FALSE,"INVERSION";#N/A,#N/A,FALSE,"PERSONAL"}</definedName>
    <definedName name="SADSSA" hidden="1">{#N/A,#N/A,FALSE,"CONTROLE";#N/A,#N/A,FALSE,"CONTROLE"}</definedName>
    <definedName name="SaldoCVA_Energia">[10]Mercado!$K$67</definedName>
    <definedName name="SAPBEXrevision" hidden="1">1</definedName>
    <definedName name="SAPBEXsysID" hidden="1">"BP0"</definedName>
    <definedName name="SAPBEXwbID" hidden="1">"3NOKGUUFBSCX0A1U3U2IO4KFM"</definedName>
    <definedName name="SAS_RA0_DataFim" localSheetId="8">CAPA!$C$17</definedName>
    <definedName name="SAS_RA0_DataFim">CAPA!$C$17</definedName>
    <definedName name="SAS_RA0_DataInicio" localSheetId="8">CAPA!$C$16</definedName>
    <definedName name="SAS_RA0_DataInicio">CAPA!$C$16</definedName>
    <definedName name="se" hidden="1">{#N/A,#N/A,FALSE,"LLAVE";#N/A,#N/A,FALSE,"EERR";#N/A,#N/A,FALSE,"ESP";#N/A,#N/A,FALSE,"EOAF";#N/A,#N/A,FALSE,"CASH";#N/A,#N/A,FALSE,"FINANZAS";#N/A,#N/A,FALSE,"DEUDA";#N/A,#N/A,FALSE,"INVERSION";#N/A,#N/A,FALSE,"PERSONAL"}</definedName>
    <definedName name="sencount" hidden="1">2</definedName>
    <definedName name="SOBRA" hidden="1">{#N/A,#N/A,FALSE,"CONTROLE";#N/A,#N/A,FALSE,"CONTROLE"}</definedName>
    <definedName name="solver_adj" localSheetId="6" hidden="1">CAPA!#REF!</definedName>
    <definedName name="solver_adj" localSheetId="14" hidden="1">CUSD!$M$13</definedName>
    <definedName name="solver_cvg" localSheetId="6" hidden="1">0.0001</definedName>
    <definedName name="solver_drv" localSheetId="6" hidden="1">2</definedName>
    <definedName name="solver_eng" localSheetId="6" hidden="1">1</definedName>
    <definedName name="solver_est" localSheetId="6" hidden="1">1</definedName>
    <definedName name="solver_itr" localSheetId="6" hidden="1">2147483647</definedName>
    <definedName name="solver_lhs1" localSheetId="14" hidden="1">CUSD!$M$13</definedName>
    <definedName name="solver_lhs10" localSheetId="14" hidden="1">CUSD!$M$13</definedName>
    <definedName name="solver_lhs11" localSheetId="14" hidden="1">CUSD!$M$15</definedName>
    <definedName name="solver_lhs12" localSheetId="14" hidden="1">CUSD!$M$13</definedName>
    <definedName name="solver_lhs13" localSheetId="14" hidden="1">CUSD!$M$13</definedName>
    <definedName name="solver_lhs14" localSheetId="14" hidden="1">CUSD!$M$15</definedName>
    <definedName name="solver_lhs15" localSheetId="14" hidden="1">CUSD!$M$13</definedName>
    <definedName name="solver_lhs2" localSheetId="14" hidden="1">CUSD!$M$15</definedName>
    <definedName name="solver_lhs3" localSheetId="14" hidden="1">CUSD!$M$13</definedName>
    <definedName name="solver_lhs4" localSheetId="14" hidden="1">CUSD!$M$13</definedName>
    <definedName name="solver_lhs5" localSheetId="14" hidden="1">CUSD!$M$15</definedName>
    <definedName name="solver_lhs6" localSheetId="14" hidden="1">CUSD!$M$13</definedName>
    <definedName name="solver_lhs7" localSheetId="14" hidden="1">CUSD!$M$13</definedName>
    <definedName name="solver_lhs8" localSheetId="14" hidden="1">CUSD!$M$15</definedName>
    <definedName name="solver_lhs9" localSheetId="14" hidden="1">CUSD!$M$13</definedName>
    <definedName name="solver_lin">0</definedName>
    <definedName name="solver_mip" localSheetId="6" hidden="1">2147483647</definedName>
    <definedName name="solver_mni" localSheetId="6" hidden="1">30</definedName>
    <definedName name="solver_mrt" localSheetId="6" hidden="1">0.075</definedName>
    <definedName name="solver_msl" localSheetId="6" hidden="1">2</definedName>
    <definedName name="solver_neg" localSheetId="6" hidden="1">1</definedName>
    <definedName name="solver_nod" localSheetId="6" hidden="1">2147483647</definedName>
    <definedName name="solver_num" localSheetId="6" hidden="1">0</definedName>
    <definedName name="solver_nwt" localSheetId="6" hidden="1">1</definedName>
    <definedName name="solver_opt" localSheetId="6" hidden="1">CAPA!$L$58</definedName>
    <definedName name="solver_opt" localSheetId="14" hidden="1">CUSD!$M$15</definedName>
    <definedName name="solver_pre" localSheetId="6" hidden="1">0.000001</definedName>
    <definedName name="solver_rbv" localSheetId="6" hidden="1">2</definedName>
    <definedName name="solver_rlx" localSheetId="6" hidden="1">2</definedName>
    <definedName name="solver_rsd" localSheetId="6" hidden="1">0</definedName>
    <definedName name="solver_scl" localSheetId="6" hidden="1">2</definedName>
    <definedName name="solver_sho" localSheetId="6" hidden="1">2</definedName>
    <definedName name="solver_ssz" localSheetId="6" hidden="1">100</definedName>
    <definedName name="solver_tim" localSheetId="6" hidden="1">2147483647</definedName>
    <definedName name="solver_tol" localSheetId="6" hidden="1">0.01</definedName>
    <definedName name="solver_typ" localSheetId="6" hidden="1">3</definedName>
    <definedName name="solver_val" localSheetId="6" hidden="1">0.2</definedName>
    <definedName name="solver_ver" localSheetId="6" hidden="1">3</definedName>
    <definedName name="ss" hidden="1">{#N/A,#N/A,FALSE,"ENERGIA";#N/A,#N/A,FALSE,"PERDIDAS";#N/A,#N/A,FALSE,"CLIENTES";#N/A,#N/A,FALSE,"ESTADO";#N/A,#N/A,FALSE,"TECNICA"}</definedName>
    <definedName name="ssa" hidden="1">{#N/A,#N/A,FALSE,"LLAVE";#N/A,#N/A,FALSE,"EERR";#N/A,#N/A,FALSE,"ESP";#N/A,#N/A,FALSE,"EOAF";#N/A,#N/A,FALSE,"CASH";#N/A,#N/A,FALSE,"FINANZAS";#N/A,#N/A,FALSE,"DEUDA";#N/A,#N/A,FALSE,"INVERSION";#N/A,#N/A,FALSE,"PERSONAL"}</definedName>
    <definedName name="ssss" hidden="1">{#N/A,#N/A,FALSE,"CONTROLE"}</definedName>
    <definedName name="ssssss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sssssss" hidden="1">{#N/A,#N/A,FALSE,"ENERGIA";#N/A,#N/A,FALSE,"PERDIDAS";#N/A,#N/A,FALSE,"CLIENTES";#N/A,#N/A,FALSE,"ESTADO";#N/A,#N/A,FALSE,"TECNICA"}</definedName>
    <definedName name="SuprimentoE" localSheetId="8">Calc_Mercado!$C$17</definedName>
    <definedName name="SuprimentoE">Calc_Mercado!$C$17</definedName>
    <definedName name="TabCF">'Tabelas e Gráficos'!$AM$164:$AN$197</definedName>
    <definedName name="TabCUSD">'Tabelas e Gráficos'!$AE$145:$AK$161</definedName>
    <definedName name="TabCustoEnergia">'Tabelas e Gráficos'!$Z$137:$AC$142</definedName>
    <definedName name="TabDRA">'Tabelas e Gráficos'!$I$73:$K$97</definedName>
    <definedName name="Tabela4">Resultado!$B$5:$D$49</definedName>
    <definedName name="TabEM">'Tabelas e Gráficos'!$AP$201:$AQ$204</definedName>
    <definedName name="TabEncargos">'Tabelas e Gráficos'!$M$99:$N$109</definedName>
    <definedName name="TabEnSup">'Tabelas e Gráficos'!$V$128:$X$133</definedName>
    <definedName name="TabER">'Tabelas e Gráficos'!$S$118:$T$125</definedName>
    <definedName name="TabES">'Tabelas e Gráficos'!$V$128:$X$130</definedName>
    <definedName name="tabESup">'Tabelas e Gráficos'!$V$128:$X$133</definedName>
    <definedName name="TabFatorX">'Tabelas e Gráficos'!$BZ$304:$CA$306</definedName>
    <definedName name="TabPerdas">'Tabelas e Gráficos'!$P$111:$Q$114</definedName>
    <definedName name="TabPorcDesc">'Tabelas e Gráficos'!$BT$296:$BW$303</definedName>
    <definedName name="TabRA0">'Tabelas e Gráficos'!$E$59:$G$70</definedName>
    <definedName name="TabRB">'Tabelas e Gráficos'!$BK$276:$BM$285</definedName>
    <definedName name="TabResPB">'Tabelas e Gráficos'!$AH$74:$AK$87</definedName>
    <definedName name="TabResultados">'Tabelas e Gráficos'!$AS$207:$AX$265</definedName>
    <definedName name="TabResultadosNT">'Tabelas e Gráficos'!$AS$207:$AX$262</definedName>
    <definedName name="TabResumo">Resultado!$B$5:$D$40</definedName>
    <definedName name="Tabresumo2">Resultado!$B$41:$C$49</definedName>
    <definedName name="Tabresumo3">Resultado!$B$5:$E$50</definedName>
    <definedName name="TabResumoIRT">'Tabelas e Gráficos'!$B$51:$C$56</definedName>
    <definedName name="TABSUB">'Tabelas e Gráficos'!$BA$267:$BH$274</definedName>
    <definedName name="TabSubsidios">'Tabelas e Gráficos'!$BO$287:$BR$294</definedName>
    <definedName name="TabVariaçãoRI">[10]Mercado!$B$29:$C$38,[10]Mercado!$G$29:$H$38</definedName>
    <definedName name="TabVariaRI">[10]Mercado!$B$29:$C$38,[10]Mercado!$G$29:$H$38</definedName>
    <definedName name="TarB1Valor">[10]!TabB1[Valor]</definedName>
    <definedName name="tarifas_2003" localSheetId="19" hidden="1">{#N/A,#N/A,FALSE,"ENERGIA";#N/A,#N/A,FALSE,"PERDIDAS";#N/A,#N/A,FALSE,"CLIENTES";#N/A,#N/A,FALSE,"ESTADO";#N/A,#N/A,FALSE,"TECNICA"}</definedName>
    <definedName name="tarifas_2003" hidden="1">{#N/A,#N/A,FALSE,"ENERGIA";#N/A,#N/A,FALSE,"PERDIDAS";#N/A,#N/A,FALSE,"CLIENTES";#N/A,#N/A,FALSE,"ESTADO";#N/A,#N/A,FALSE,"TECNICA"}</definedName>
    <definedName name="teste" hidden="1">[14]Mercado!#REF!</definedName>
    <definedName name="teste2" localSheetId="8" hidden="1">[14]Mercado!#REF!</definedName>
    <definedName name="teste2" hidden="1">[14]Mercado!#REF!</definedName>
    <definedName name="tg" hidden="1">{#N/A,#N/A,FALSE,"CONTROLE";#N/A,#N/A,FALSE,"CONTROLE"}</definedName>
    <definedName name="tiuliul" hidden="1">{#N/A,#N/A,FALSE,"CONTROLE"}</definedName>
    <definedName name="tr" hidden="1">{#N/A,#N/A,FALSE,"CONTROLE"}</definedName>
    <definedName name="try" hidden="1">{#N/A,#N/A,FALSE,"CONTROLE"}</definedName>
    <definedName name="trye" hidden="1">{#N/A,#N/A,FALSE,"CONTROLE"}</definedName>
    <definedName name="tttt" hidden="1">{#N/A,#N/A,FALSE,"CONTROLE"}</definedName>
    <definedName name="ttttt" hidden="1">{#N/A,#N/A,FALSE,"CONTROLE";#N/A,#N/A,FALSE,"CONTROLE"}</definedName>
    <definedName name="tttttt" hidden="1">{#N/A,#N/A,FALSE,"CONTROLE"}</definedName>
    <definedName name="tyt" hidden="1">{#N/A,#N/A,FALSE,"CONTROLE"}</definedName>
    <definedName name="tyuttry" hidden="1">{#N/A,#N/A,FALSE,"CONTROLE";#N/A,#N/A,FALSE,"CONTROLE"}</definedName>
    <definedName name="uiliul" hidden="1">{#N/A,#N/A,FALSE,"CONTROLE"}</definedName>
    <definedName name="uj" hidden="1">{#N/A,#N/A,FALSE,"CONTROLE"}</definedName>
    <definedName name="ujuju" hidden="1">{#N/A,#N/A,FALSE,"CONTROLE";#N/A,#N/A,FALSE,"CONTROLE"}</definedName>
    <definedName name="utkiukuy" hidden="1">{#N/A,#N/A,FALSE,"CONTROLE"}</definedName>
    <definedName name="uuy" hidden="1">{#N/A,#N/A,FALSE,"CONTROLE"}</definedName>
    <definedName name="uytuytu" hidden="1">{#N/A,#N/A,FALSE,"CONTROLE"}</definedName>
    <definedName name="vcxbstg" hidden="1">{#N/A,#N/A,FALSE,"CONTROLE"}</definedName>
    <definedName name="vfr" hidden="1">{#N/A,#N/A,FALSE,"CONTROLE"}</definedName>
    <definedName name="wdwd" hidden="1">{#N/A,#N/A,FALSE,"CONTROLE";#N/A,#N/A,FALSE,"CONTROLE"}</definedName>
    <definedName name="werrt" hidden="1">{#N/A,#N/A,FALSE,"CONTROLE";#N/A,#N/A,FALSE,"CONTROLE"}</definedName>
    <definedName name="WQWQRWERW" hidden="1">{#N/A,#N/A,FALSE,"CONTROLE";#N/A,#N/A,FALSE,"CONTROLE"}</definedName>
    <definedName name="wrn.APLICAÇÃO." hidden="1">{#N/A,#N/A,FALSE,"CONTROLE"}</definedName>
    <definedName name="wrn.ESTADOS._.FINANCIEROS.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wrn.forneci" hidden="1">{#N/A,#N/A,FALSE,"CONTROLE";#N/A,#N/A,FALSE,"CONTROLE"}</definedName>
    <definedName name="WRN.INFMES" hidden="1">{#N/A,#N/A,FALSE,"ENERGIA";#N/A,#N/A,FALSE,"PERDIDAS";#N/A,#N/A,FALSE,"CLIENTES";#N/A,#N/A,FALSE,"ESTADO";#N/A,#N/A,FALSE,"TECNICA"}</definedName>
    <definedName name="wrn.INFMES." localSheetId="19" hidden="1">{#N/A,#N/A,FALSE,"ENERGIA";#N/A,#N/A,FALSE,"PERDIDAS";#N/A,#N/A,FALSE,"CLIENTES";#N/A,#N/A,FALSE,"ESTADO";#N/A,#N/A,FALSE,"TECNICA"}</definedName>
    <definedName name="wrn.INFMES." hidden="1">{#N/A,#N/A,FALSE,"ENERGIA";#N/A,#N/A,FALSE,"PERDIDAS";#N/A,#N/A,FALSE,"CLIENTES";#N/A,#N/A,FALSE,"ESTADO";#N/A,#N/A,FALSE,"TECNICA"}</definedName>
    <definedName name="wrn.MENSUAL.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wrn.MENSUAL." hidden="1">{#N/A,#N/A,FALSE,"LLAVE";#N/A,#N/A,FALSE,"EERR";#N/A,#N/A,FALSE,"ESP";#N/A,#N/A,FALSE,"EOAF";#N/A,#N/A,FALSE,"CASH";#N/A,#N/A,FALSE,"FINANZAS";#N/A,#N/A,FALSE,"DEUDA";#N/A,#N/A,FALSE,"INVERSION";#N/A,#N/A,FALSE,"PERSONAL"}</definedName>
    <definedName name="wrn.Model.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wrn.RELATORIO." hidden="1">{#N/A,#N/A,FALSE,"CONTROLE";#N/A,#N/A,FALSE,"CONTROLE"}</definedName>
    <definedName name="w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ws" hidden="1">{#N/A,#N/A,FALSE,"LLAVE";#N/A,#N/A,FALSE,"EERR";#N/A,#N/A,FALSE,"ESP";#N/A,#N/A,FALSE,"EOAF";#N/A,#N/A,FALSE,"CASH";#N/A,#N/A,FALSE,"FINANZAS";#N/A,#N/A,FALSE,"DEUDA";#N/A,#N/A,FALSE,"INVERSION";#N/A,#N/A,FALSE,"PERSONAL"}</definedName>
    <definedName name="wsdq" hidden="1">[1]Calc!$AD$10:$AD$33</definedName>
    <definedName name="x\zx\x\z" hidden="1">{#N/A,#N/A,FALSE,"CONTROLE";#N/A,#N/A,FALSE,"CONTROLE"}</definedName>
    <definedName name="xaas" hidden="1">[1]GrFour!$B$115:$B$185</definedName>
    <definedName name="xaasxa" hidden="1">[1]GoEight!$B$115:$B$160</definedName>
    <definedName name="xasxas" hidden="1">[1]Calc!$F$23:$F$58</definedName>
    <definedName name="xasxasas" hidden="1">[1]KOne!$B$230:$B$755</definedName>
    <definedName name="xs" localSheetId="19" hidden="1">{#N/A,#N/A,FALSE,"ENERGIA";#N/A,#N/A,FALSE,"PERDIDAS";#N/A,#N/A,FALSE,"CLIENTES";#N/A,#N/A,FALSE,"ESTADO";#N/A,#N/A,FALSE,"TECNICA"}</definedName>
    <definedName name="xs" hidden="1">{#N/A,#N/A,FALSE,"ENERGIA";#N/A,#N/A,FALSE,"PERDIDAS";#N/A,#N/A,FALSE,"CLIENTES";#N/A,#N/A,FALSE,"ESTADO";#N/A,#N/A,FALSE,"TECNICA"}</definedName>
    <definedName name="xs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xsa" hidden="1">{#N/A,#N/A,FALSE,"LLAVE";#N/A,#N/A,FALSE,"EERR";#N/A,#N/A,FALSE,"ESP";#N/A,#N/A,FALSE,"EOAF";#N/A,#N/A,FALSE,"CASH";#N/A,#N/A,FALSE,"FINANZAS";#N/A,#N/A,FALSE,"DEUDA";#N/A,#N/A,FALSE,"INVERSION";#N/A,#N/A,FALSE,"PERSONAL"}</definedName>
    <definedName name="Xuxu" hidden="1">{#N/A,#N/A,FALSE,"CONTROLE"}</definedName>
    <definedName name="xxx" localSheetId="19" hidden="1">{#N/A,#N/A,FALSE,"ENERGIA";#N/A,#N/A,FALSE,"PERDIDAS";#N/A,#N/A,FALSE,"CLIENTES";#N/A,#N/A,FALSE,"ESTADO";#N/A,#N/A,FALSE,"TECNICA"}</definedName>
    <definedName name="xxx" hidden="1">{#N/A,#N/A,FALSE,"ENERGIA";#N/A,#N/A,FALSE,"PERDIDAS";#N/A,#N/A,FALSE,"CLIENTES";#N/A,#N/A,FALSE,"ESTADO";#N/A,#N/A,FALSE,"TECNICA"}</definedName>
    <definedName name="XXXXXX" hidden="1">{#N/A,#N/A,FALSE,"ENERGIA";#N/A,#N/A,FALSE,"PERDIDAS";#N/A,#N/A,FALSE,"CLIENTES";#N/A,#N/A,FALSE,"ESTADO";#N/A,#N/A,FALSE,"TECNICA"}</definedName>
    <definedName name="y" hidden="1">[2]Mercado!#REF!</definedName>
    <definedName name="yeuyu" hidden="1">{#N/A,#N/A,FALSE,"CONTROLE"}</definedName>
    <definedName name="yru6" hidden="1">{#N/A,#N/A,FALSE,"CONTROLE";#N/A,#N/A,FALSE,"CONTROLE"}</definedName>
    <definedName name="ytuytuyt" hidden="1">{#N/A,#N/A,FALSE,"CONTROLE";#N/A,#N/A,FALSE,"CONTROLE"}</definedName>
    <definedName name="ytytry" hidden="1">{#N/A,#N/A,FALSE,"CONTROLE"}</definedName>
    <definedName name="yuii" hidden="1">{#N/A,#N/A,FALSE,"CONTROLE";#N/A,#N/A,FALSE,"CONTROLE"}</definedName>
    <definedName name="yyy" hidden="1">{#N/A,#N/A,FALSE,"CONTROLE"}</definedName>
    <definedName name="Z_A46625B5_2B64_4741_9BD6_64D33D3699F2_.wvu.Cols" hidden="1">'[15]22.  Despesa Uso Sistema Distr '!#REF!</definedName>
    <definedName name="zx\" hidden="1">[1]Calc!$AJ$8:$AJ$19</definedName>
    <definedName name="zxcz" hidden="1">{#N/A,#N/A,FALSE,"CONTROLE"}</definedName>
    <definedName name="zz" hidden="1">{#N/A,#N/A,FALSE,"CONTROLE"}</definedName>
    <definedName name="zzzzz" hidden="1">#REF!</definedName>
    <definedName name="zzzzzzzzzzzzzzzzzz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</definedNames>
  <calcPr calcId="191029" iterate="1"/>
  <pivotCaches>
    <pivotCache cacheId="28" r:id="rId49"/>
    <pivotCache cacheId="29" r:id="rId5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0" i="139" l="1"/>
  <c r="D38" i="50" s="1"/>
  <c r="C18" i="50"/>
  <c r="L34" i="64"/>
  <c r="C6" i="139"/>
  <c r="C7" i="139"/>
  <c r="C5" i="139"/>
  <c r="H48" i="51"/>
  <c r="I48" i="51"/>
  <c r="H49" i="51"/>
  <c r="I49" i="51"/>
  <c r="H50" i="51"/>
  <c r="I50" i="51"/>
  <c r="H51" i="51"/>
  <c r="I51" i="51"/>
  <c r="H52" i="51"/>
  <c r="I52" i="51"/>
  <c r="H53" i="51"/>
  <c r="I53" i="51"/>
  <c r="H54" i="51"/>
  <c r="I54" i="51"/>
  <c r="H55" i="51"/>
  <c r="I55" i="51"/>
  <c r="H56" i="51"/>
  <c r="I56" i="51"/>
  <c r="H57" i="51"/>
  <c r="I57" i="51"/>
  <c r="H58" i="51"/>
  <c r="I58" i="51"/>
  <c r="H47" i="51"/>
  <c r="I47" i="51"/>
  <c r="D41" i="50"/>
  <c r="C147" i="49" l="1"/>
  <c r="C148" i="49"/>
  <c r="C149" i="49"/>
  <c r="AM181" i="89"/>
  <c r="AS247" i="89" s="1"/>
  <c r="AN181" i="89"/>
  <c r="AO181" i="89" s="1"/>
  <c r="AM182" i="89"/>
  <c r="AS248" i="89" s="1"/>
  <c r="AN182" i="89"/>
  <c r="AO182" i="89" s="1"/>
  <c r="AM183" i="89"/>
  <c r="AS249" i="89" s="1"/>
  <c r="AN183" i="89"/>
  <c r="AO183" i="89" s="1"/>
  <c r="AM184" i="89"/>
  <c r="AN184" i="89"/>
  <c r="AO184" i="89" s="1"/>
  <c r="AM185" i="89"/>
  <c r="AN185" i="89"/>
  <c r="AO185" i="89" s="1"/>
  <c r="AM186" i="89"/>
  <c r="AN186" i="89"/>
  <c r="AO186" i="89" s="1"/>
  <c r="E43" i="50"/>
  <c r="Q149" i="49" s="1"/>
  <c r="P149" i="49" s="1"/>
  <c r="E42" i="50"/>
  <c r="Q148" i="49" s="1"/>
  <c r="P148" i="49" s="1"/>
  <c r="E44" i="50"/>
  <c r="AU247" i="89" l="1"/>
  <c r="AU249" i="89"/>
  <c r="AU248" i="89"/>
  <c r="AS253" i="89" l="1"/>
  <c r="AS254" i="89"/>
  <c r="AS255" i="89"/>
  <c r="AS256" i="89"/>
  <c r="AU256" i="89"/>
  <c r="AS257" i="89"/>
  <c r="AU257" i="89"/>
  <c r="AS258" i="89"/>
  <c r="AU258" i="89"/>
  <c r="AS259" i="89"/>
  <c r="AU259" i="89"/>
  <c r="AS260" i="89"/>
  <c r="AU260" i="89"/>
  <c r="AO190" i="89"/>
  <c r="AO191" i="89"/>
  <c r="AO192" i="89"/>
  <c r="AO193" i="89"/>
  <c r="AO194" i="89"/>
  <c r="AO195" i="89"/>
  <c r="AO196" i="89"/>
  <c r="L22" i="58"/>
  <c r="L23" i="58"/>
  <c r="N6" i="139" l="1"/>
  <c r="N7" i="139" s="1"/>
  <c r="N8" i="139" s="1"/>
  <c r="N9" i="139" s="1"/>
  <c r="N10" i="139" s="1"/>
  <c r="AO168" i="89"/>
  <c r="F126" i="49"/>
  <c r="G126" i="49"/>
  <c r="H126" i="49"/>
  <c r="I126" i="49"/>
  <c r="J126" i="49"/>
  <c r="K126" i="49"/>
  <c r="F127" i="49"/>
  <c r="G127" i="49"/>
  <c r="H127" i="49"/>
  <c r="I127" i="49"/>
  <c r="J127" i="49"/>
  <c r="K127" i="49"/>
  <c r="K93" i="49"/>
  <c r="J93" i="49"/>
  <c r="I93" i="49"/>
  <c r="H93" i="49"/>
  <c r="G93" i="49"/>
  <c r="F93" i="49"/>
  <c r="K92" i="49"/>
  <c r="J92" i="49"/>
  <c r="I92" i="49"/>
  <c r="H92" i="49"/>
  <c r="G92" i="49"/>
  <c r="F92" i="49"/>
  <c r="L10" i="139" l="1"/>
  <c r="N11" i="139" s="1"/>
  <c r="N12" i="139" s="1"/>
  <c r="N13" i="139" s="1"/>
  <c r="N14" i="139" s="1"/>
  <c r="N15" i="139" s="1"/>
  <c r="N16" i="139" s="1"/>
  <c r="N17" i="139" s="1"/>
  <c r="N18" i="139" s="1"/>
  <c r="N19" i="139" s="1"/>
  <c r="N20" i="139" s="1"/>
  <c r="N21" i="139" s="1"/>
  <c r="N22" i="139" s="1"/>
  <c r="N23" i="139" s="1"/>
  <c r="N24" i="139" s="1"/>
  <c r="N25" i="139" s="1"/>
  <c r="N26" i="139" s="1"/>
  <c r="N27" i="139" s="1"/>
  <c r="N28" i="139" s="1"/>
  <c r="N29" i="139" s="1"/>
  <c r="N30" i="139" s="1"/>
  <c r="N31" i="139" s="1"/>
  <c r="N32" i="139" s="1"/>
  <c r="N33" i="139" s="1"/>
  <c r="N34" i="139" s="1"/>
  <c r="N35" i="139" s="1"/>
  <c r="N36" i="139" s="1"/>
  <c r="N37" i="139" s="1"/>
  <c r="N38" i="139" s="1"/>
  <c r="N39" i="139" s="1"/>
  <c r="N40" i="139" s="1"/>
  <c r="N41" i="139" s="1"/>
  <c r="N42" i="139" s="1"/>
  <c r="N43" i="139" s="1"/>
  <c r="N44" i="139" s="1"/>
  <c r="N45" i="139" s="1"/>
  <c r="N46" i="139" s="1"/>
  <c r="N47" i="139" s="1"/>
  <c r="N48" i="139" s="1"/>
  <c r="N49" i="139" s="1"/>
  <c r="N50" i="139" s="1"/>
  <c r="N51" i="139" s="1"/>
  <c r="N52" i="139" s="1"/>
  <c r="N53" i="139" s="1"/>
  <c r="N54" i="139" s="1"/>
  <c r="N55" i="139" s="1"/>
  <c r="N56" i="139" s="1"/>
  <c r="N57" i="139" s="1"/>
  <c r="N58" i="139" s="1"/>
  <c r="N59" i="139" s="1"/>
  <c r="N60" i="139" s="1"/>
  <c r="N61" i="139" s="1"/>
  <c r="N62" i="139" s="1"/>
  <c r="N63" i="139" s="1"/>
  <c r="N64" i="139" s="1"/>
  <c r="N65" i="139" s="1"/>
  <c r="N66" i="139" s="1"/>
  <c r="N67" i="139" s="1"/>
  <c r="N68" i="139" s="1"/>
  <c r="N69" i="139" s="1"/>
  <c r="N70" i="139" s="1"/>
  <c r="N71" i="139" s="1"/>
  <c r="N72" i="139" s="1"/>
  <c r="N73" i="139" s="1"/>
  <c r="N74" i="139" s="1"/>
  <c r="N75" i="139" s="1"/>
  <c r="N76" i="139" s="1"/>
  <c r="N77" i="139" s="1"/>
  <c r="N78" i="139" s="1"/>
  <c r="N79" i="139" s="1"/>
  <c r="N80" i="139" s="1"/>
  <c r="N81" i="139" s="1"/>
  <c r="N82" i="139" s="1"/>
  <c r="N83" i="139" s="1"/>
  <c r="N84" i="139" s="1"/>
  <c r="N85" i="139" s="1"/>
  <c r="N86" i="139" s="1"/>
  <c r="N87" i="139" s="1"/>
  <c r="C8" i="139"/>
  <c r="O5" i="139" s="1"/>
  <c r="O6" i="139" s="1"/>
  <c r="O7" i="139" s="1"/>
  <c r="O8" i="139" s="1"/>
  <c r="O9" i="139" s="1"/>
  <c r="O10" i="139" s="1"/>
  <c r="O11" i="139" s="1"/>
  <c r="O12" i="139" s="1"/>
  <c r="O13" i="139" s="1"/>
  <c r="O14" i="139" s="1"/>
  <c r="O15" i="139" s="1"/>
  <c r="O16" i="139" s="1"/>
  <c r="O17" i="139" s="1"/>
  <c r="O18" i="139" s="1"/>
  <c r="O19" i="139" s="1"/>
  <c r="O20" i="139" s="1"/>
  <c r="O21" i="139" s="1"/>
  <c r="O22" i="139" s="1"/>
  <c r="O23" i="139" s="1"/>
  <c r="O24" i="139" s="1"/>
  <c r="O25" i="139" s="1"/>
  <c r="O26" i="139" s="1"/>
  <c r="O27" i="139" s="1"/>
  <c r="O28" i="139" s="1"/>
  <c r="O29" i="139" s="1"/>
  <c r="O30" i="139" s="1"/>
  <c r="O31" i="139" s="1"/>
  <c r="O32" i="139" s="1"/>
  <c r="O33" i="139" s="1"/>
  <c r="O34" i="139" s="1"/>
  <c r="O35" i="139" s="1"/>
  <c r="O36" i="139" s="1"/>
  <c r="O37" i="139" s="1"/>
  <c r="O38" i="139" s="1"/>
  <c r="O39" i="139" s="1"/>
  <c r="O40" i="139" s="1"/>
  <c r="O41" i="139" s="1"/>
  <c r="O42" i="139" s="1"/>
  <c r="O43" i="139" s="1"/>
  <c r="O44" i="139" s="1"/>
  <c r="O45" i="139" s="1"/>
  <c r="O46" i="139" s="1"/>
  <c r="O47" i="139" s="1"/>
  <c r="O48" i="139" s="1"/>
  <c r="O49" i="139" s="1"/>
  <c r="O50" i="139" s="1"/>
  <c r="O51" i="139" s="1"/>
  <c r="O52" i="139" s="1"/>
  <c r="O53" i="139" s="1"/>
  <c r="O54" i="139" s="1"/>
  <c r="O55" i="139" s="1"/>
  <c r="O56" i="139" s="1"/>
  <c r="O57" i="139" s="1"/>
  <c r="O58" i="139" s="1"/>
  <c r="O59" i="139" s="1"/>
  <c r="O60" i="139" s="1"/>
  <c r="O61" i="139" s="1"/>
  <c r="O62" i="139" s="1"/>
  <c r="O63" i="139" s="1"/>
  <c r="O64" i="139" s="1"/>
  <c r="O65" i="139" s="1"/>
  <c r="O66" i="139" s="1"/>
  <c r="O67" i="139" s="1"/>
  <c r="O68" i="139" s="1"/>
  <c r="O69" i="139" s="1"/>
  <c r="O70" i="139" s="1"/>
  <c r="O71" i="139" s="1"/>
  <c r="O72" i="139" s="1"/>
  <c r="O73" i="139" s="1"/>
  <c r="O74" i="139" s="1"/>
  <c r="O75" i="139" s="1"/>
  <c r="O76" i="139" s="1"/>
  <c r="O77" i="139" s="1"/>
  <c r="O78" i="139" s="1"/>
  <c r="O79" i="139" s="1"/>
  <c r="O80" i="139" s="1"/>
  <c r="O81" i="139" s="1"/>
  <c r="O82" i="139" s="1"/>
  <c r="O83" i="139" s="1"/>
  <c r="O84" i="139" s="1"/>
  <c r="O85" i="139" s="1"/>
  <c r="O86" i="139" s="1"/>
  <c r="O87" i="139" s="1"/>
  <c r="L42" i="51" l="1"/>
  <c r="C20" i="50" s="1"/>
  <c r="L41" i="51"/>
  <c r="C19" i="50" s="1"/>
  <c r="C126" i="49" l="1"/>
  <c r="C92" i="49"/>
  <c r="C93" i="49"/>
  <c r="C127" i="49"/>
  <c r="Q186" i="49" l="1"/>
  <c r="Q185" i="49"/>
  <c r="F132" i="49"/>
  <c r="G132" i="49"/>
  <c r="H132" i="49"/>
  <c r="I132" i="49"/>
  <c r="J132" i="49"/>
  <c r="K132" i="49"/>
  <c r="C132" i="49"/>
  <c r="L17" i="51"/>
  <c r="I21" i="51"/>
  <c r="AU214" i="89" s="1"/>
  <c r="AV214" i="89" s="1"/>
  <c r="I20" i="51"/>
  <c r="Q273" i="49" l="1"/>
  <c r="P273" i="49" s="1"/>
  <c r="F47" i="58" l="1"/>
  <c r="E47" i="58"/>
  <c r="F46" i="58"/>
  <c r="E46" i="58"/>
  <c r="F45" i="58"/>
  <c r="E45" i="58"/>
  <c r="F44" i="58"/>
  <c r="E44" i="58"/>
  <c r="F43" i="58"/>
  <c r="E43" i="58"/>
  <c r="K43" i="58" s="1"/>
  <c r="K42" i="58"/>
  <c r="K12" i="39"/>
  <c r="L6" i="58"/>
  <c r="K44" i="58" l="1"/>
  <c r="L44" i="58" s="1"/>
  <c r="K46" i="58"/>
  <c r="K47" i="58"/>
  <c r="L47" i="58" s="1"/>
  <c r="K45" i="58"/>
  <c r="L45" i="58" s="1"/>
  <c r="J48" i="58"/>
  <c r="L43" i="58"/>
  <c r="L42" i="58"/>
  <c r="L46" i="58"/>
  <c r="U38" i="25"/>
  <c r="U39" i="25"/>
  <c r="U40" i="25"/>
  <c r="U41" i="25"/>
  <c r="U42" i="25"/>
  <c r="U43" i="25"/>
  <c r="U44" i="25"/>
  <c r="U45" i="25"/>
  <c r="U46" i="25"/>
  <c r="U47" i="25"/>
  <c r="U48" i="25"/>
  <c r="U37" i="25"/>
  <c r="S38" i="25"/>
  <c r="S39" i="25"/>
  <c r="S40" i="25"/>
  <c r="S41" i="25"/>
  <c r="S42" i="25"/>
  <c r="S43" i="25"/>
  <c r="S44" i="25"/>
  <c r="S45" i="25"/>
  <c r="S46" i="25"/>
  <c r="S47" i="25"/>
  <c r="S48" i="25"/>
  <c r="S37" i="25"/>
  <c r="G28" i="123" l="1"/>
  <c r="L9" i="64" s="1"/>
  <c r="H28" i="123"/>
  <c r="I28" i="123"/>
  <c r="J28" i="123"/>
  <c r="K28" i="123"/>
  <c r="L28" i="123"/>
  <c r="M28" i="123"/>
  <c r="N28" i="123"/>
  <c r="O28" i="123"/>
  <c r="P28" i="123"/>
  <c r="Q28" i="123"/>
  <c r="G29" i="123"/>
  <c r="L10" i="64" s="1"/>
  <c r="H29" i="123"/>
  <c r="I29" i="123"/>
  <c r="J29" i="123"/>
  <c r="K29" i="123"/>
  <c r="L29" i="123"/>
  <c r="M29" i="123"/>
  <c r="N29" i="123"/>
  <c r="O29" i="123"/>
  <c r="P29" i="123"/>
  <c r="Q29" i="123"/>
  <c r="G30" i="123"/>
  <c r="L11" i="64" s="1"/>
  <c r="H30" i="123"/>
  <c r="I30" i="123"/>
  <c r="J30" i="123"/>
  <c r="K30" i="123"/>
  <c r="L30" i="123"/>
  <c r="M30" i="123"/>
  <c r="N30" i="123"/>
  <c r="O30" i="123"/>
  <c r="P30" i="123"/>
  <c r="Q30" i="123"/>
  <c r="G31" i="123"/>
  <c r="L12" i="64" s="1"/>
  <c r="H31" i="123"/>
  <c r="I31" i="123"/>
  <c r="J31" i="123"/>
  <c r="K31" i="123"/>
  <c r="L31" i="123"/>
  <c r="M31" i="123"/>
  <c r="N31" i="123"/>
  <c r="O31" i="123"/>
  <c r="P31" i="123"/>
  <c r="Q31" i="123"/>
  <c r="G32" i="123"/>
  <c r="L13" i="64" s="1"/>
  <c r="H32" i="123"/>
  <c r="I32" i="123"/>
  <c r="J32" i="123"/>
  <c r="K32" i="123"/>
  <c r="L32" i="123"/>
  <c r="M32" i="123"/>
  <c r="N32" i="123"/>
  <c r="O32" i="123"/>
  <c r="P32" i="123"/>
  <c r="Q32" i="123"/>
  <c r="G33" i="123"/>
  <c r="L14" i="64" s="1"/>
  <c r="H33" i="123"/>
  <c r="I33" i="123"/>
  <c r="J33" i="123"/>
  <c r="K33" i="123"/>
  <c r="L33" i="123"/>
  <c r="M33" i="123"/>
  <c r="N33" i="123"/>
  <c r="O33" i="123"/>
  <c r="P33" i="123"/>
  <c r="Q33" i="123"/>
  <c r="F29" i="123"/>
  <c r="F30" i="123"/>
  <c r="F31" i="123"/>
  <c r="F32" i="123"/>
  <c r="F33" i="123"/>
  <c r="F28" i="123"/>
  <c r="G427" i="132" l="1"/>
  <c r="G428" i="132"/>
  <c r="G426" i="132"/>
  <c r="G331" i="132"/>
  <c r="G332" i="132"/>
  <c r="G333" i="132"/>
  <c r="G330" i="132"/>
  <c r="G323" i="132" l="1"/>
  <c r="G322" i="132"/>
  <c r="D48" i="39" l="1"/>
  <c r="D47" i="39"/>
  <c r="F11" i="51" s="1"/>
  <c r="D46" i="39"/>
  <c r="D45" i="39"/>
  <c r="D44" i="39"/>
  <c r="D43" i="39"/>
  <c r="F6" i="51" s="1"/>
  <c r="D42" i="39"/>
  <c r="AI8" i="130"/>
  <c r="AI7" i="130"/>
  <c r="AI6" i="130"/>
  <c r="AI5" i="130"/>
  <c r="AI4" i="130"/>
  <c r="AI3" i="130"/>
  <c r="AI2" i="130"/>
  <c r="C19" i="58" a="1"/>
  <c r="C19" i="58" s="1"/>
  <c r="C12" i="51"/>
  <c r="C9" i="51"/>
  <c r="L18" i="51" s="1"/>
  <c r="C63" i="58"/>
  <c r="C13" i="39"/>
  <c r="V38" i="89"/>
  <c r="V39" i="89"/>
  <c r="C48" i="51" l="1"/>
  <c r="C52" i="51"/>
  <c r="C56" i="51"/>
  <c r="C50" i="51"/>
  <c r="C54" i="51"/>
  <c r="C58" i="51"/>
  <c r="C49" i="51"/>
  <c r="C53" i="51"/>
  <c r="C57" i="51"/>
  <c r="C51" i="51"/>
  <c r="C55" i="51"/>
  <c r="C47" i="51"/>
  <c r="K8" i="130"/>
  <c r="I79" i="89"/>
  <c r="O11" i="122" l="1"/>
  <c r="O12" i="122" s="1"/>
  <c r="O13" i="122" s="1"/>
  <c r="O14" i="122" s="1"/>
  <c r="O15" i="122" s="1"/>
  <c r="O16" i="122" s="1"/>
  <c r="O17" i="122" s="1"/>
  <c r="O18" i="122" s="1"/>
  <c r="O19" i="122" s="1"/>
  <c r="O20" i="122" s="1"/>
  <c r="O21" i="122" s="1"/>
  <c r="O22" i="122" s="1"/>
  <c r="O23" i="122" s="1"/>
  <c r="O24" i="122" s="1"/>
  <c r="O25" i="122" s="1"/>
  <c r="O26" i="122" s="1"/>
  <c r="O27" i="122" s="1"/>
  <c r="O28" i="122" s="1"/>
  <c r="O29" i="122" s="1"/>
  <c r="O30" i="122" s="1"/>
  <c r="O31" i="122" s="1"/>
  <c r="O32" i="122" s="1"/>
  <c r="O33" i="122" s="1"/>
  <c r="O34" i="122" s="1"/>
  <c r="O35" i="122" s="1"/>
  <c r="O36" i="122" s="1"/>
  <c r="O37" i="122" s="1"/>
  <c r="O38" i="122" s="1"/>
  <c r="O39" i="122" s="1"/>
  <c r="O40" i="122" s="1"/>
  <c r="O41" i="122" s="1"/>
  <c r="O42" i="122" s="1"/>
  <c r="O43" i="122" s="1"/>
  <c r="O44" i="122" s="1"/>
  <c r="O45" i="122" s="1"/>
  <c r="O46" i="122" s="1"/>
  <c r="O47" i="122" s="1"/>
  <c r="O48" i="122" s="1"/>
  <c r="O49" i="122" s="1"/>
  <c r="O50" i="122" s="1"/>
  <c r="O51" i="122" s="1"/>
  <c r="O52" i="122" s="1"/>
  <c r="O53" i="122" s="1"/>
  <c r="O54" i="122" s="1"/>
  <c r="O55" i="122" s="1"/>
  <c r="O56" i="122" s="1"/>
  <c r="O57" i="122" s="1"/>
  <c r="O58" i="122" s="1"/>
  <c r="O59" i="122" s="1"/>
  <c r="O60" i="122" s="1"/>
  <c r="O61" i="122" s="1"/>
  <c r="S11" i="122" l="1"/>
  <c r="S12" i="122" s="1"/>
  <c r="S13" i="122" s="1"/>
  <c r="S14" i="122" s="1"/>
  <c r="S15" i="122" s="1"/>
  <c r="S16" i="122" s="1"/>
  <c r="S17" i="122" s="1"/>
  <c r="S18" i="122" s="1"/>
  <c r="S19" i="122" s="1"/>
  <c r="S20" i="122" s="1"/>
  <c r="S21" i="122" s="1"/>
  <c r="S22" i="122" s="1"/>
  <c r="S23" i="122" s="1"/>
  <c r="S24" i="122" s="1"/>
  <c r="S25" i="122" s="1"/>
  <c r="S26" i="122" s="1"/>
  <c r="S27" i="122" s="1"/>
  <c r="S28" i="122" s="1"/>
  <c r="S29" i="122" s="1"/>
  <c r="S30" i="122" s="1"/>
  <c r="S31" i="122" s="1"/>
  <c r="S32" i="122" s="1"/>
  <c r="S33" i="122" s="1"/>
  <c r="S34" i="122" s="1"/>
  <c r="S35" i="122" s="1"/>
  <c r="S36" i="122" s="1"/>
  <c r="S37" i="122" s="1"/>
  <c r="S38" i="122" s="1"/>
  <c r="S39" i="122" s="1"/>
  <c r="S40" i="122" s="1"/>
  <c r="S41" i="122" s="1"/>
  <c r="S42" i="122" s="1"/>
  <c r="S43" i="122" s="1"/>
  <c r="S44" i="122" s="1"/>
  <c r="S45" i="122" s="1"/>
  <c r="S46" i="122" s="1"/>
  <c r="S47" i="122" s="1"/>
  <c r="S48" i="122" s="1"/>
  <c r="S49" i="122" s="1"/>
  <c r="S50" i="122" s="1"/>
  <c r="S51" i="122" s="1"/>
  <c r="S52" i="122" s="1"/>
  <c r="S53" i="122" s="1"/>
  <c r="S54" i="122" s="1"/>
  <c r="S55" i="122" s="1"/>
  <c r="S56" i="122" s="1"/>
  <c r="S57" i="122" s="1"/>
  <c r="S58" i="122" s="1"/>
  <c r="S59" i="122" s="1"/>
  <c r="S60" i="122" s="1"/>
  <c r="S61" i="122" s="1"/>
  <c r="F7" i="123" l="1"/>
  <c r="AW265" i="89"/>
  <c r="AS251" i="89" l="1"/>
  <c r="AS252" i="89"/>
  <c r="AU250" i="89"/>
  <c r="AS250" i="89"/>
  <c r="AU251" i="89" l="1"/>
  <c r="AU252" i="89"/>
  <c r="Q193" i="49"/>
  <c r="Q191" i="49"/>
  <c r="C150" i="49"/>
  <c r="F150" i="49"/>
  <c r="G150" i="49"/>
  <c r="H150" i="49"/>
  <c r="I150" i="49"/>
  <c r="J150" i="49"/>
  <c r="K150" i="49"/>
  <c r="C151" i="49"/>
  <c r="F151" i="49"/>
  <c r="G151" i="49"/>
  <c r="H151" i="49"/>
  <c r="I151" i="49"/>
  <c r="J151" i="49"/>
  <c r="K151" i="49"/>
  <c r="C152" i="49"/>
  <c r="F152" i="49"/>
  <c r="G152" i="49"/>
  <c r="H152" i="49"/>
  <c r="I152" i="49"/>
  <c r="J152" i="49"/>
  <c r="K152" i="49"/>
  <c r="C141" i="49"/>
  <c r="F141" i="49"/>
  <c r="G141" i="49"/>
  <c r="H141" i="49"/>
  <c r="I141" i="49"/>
  <c r="J141" i="49"/>
  <c r="K141" i="49"/>
  <c r="C142" i="49"/>
  <c r="F142" i="49"/>
  <c r="G142" i="49"/>
  <c r="H142" i="49"/>
  <c r="I142" i="49"/>
  <c r="J142" i="49"/>
  <c r="K142" i="49"/>
  <c r="C143" i="49"/>
  <c r="F143" i="49"/>
  <c r="G143" i="49"/>
  <c r="H143" i="49"/>
  <c r="I143" i="49"/>
  <c r="J143" i="49"/>
  <c r="K143" i="49"/>
  <c r="C144" i="49"/>
  <c r="F144" i="49"/>
  <c r="G144" i="49"/>
  <c r="H144" i="49"/>
  <c r="I144" i="49"/>
  <c r="J144" i="49"/>
  <c r="K144" i="49"/>
  <c r="C145" i="49"/>
  <c r="F145" i="49"/>
  <c r="G145" i="49"/>
  <c r="H145" i="49"/>
  <c r="I145" i="49"/>
  <c r="J145" i="49"/>
  <c r="K145" i="49"/>
  <c r="C146" i="49"/>
  <c r="F146" i="49"/>
  <c r="G146" i="49"/>
  <c r="H146" i="49"/>
  <c r="I146" i="49"/>
  <c r="J146" i="49"/>
  <c r="K146" i="49"/>
  <c r="F138" i="49"/>
  <c r="G138" i="49"/>
  <c r="H138" i="49"/>
  <c r="I138" i="49"/>
  <c r="J138" i="49"/>
  <c r="K138" i="49"/>
  <c r="F139" i="49"/>
  <c r="G139" i="49"/>
  <c r="H139" i="49"/>
  <c r="I139" i="49"/>
  <c r="J139" i="49"/>
  <c r="K139" i="49"/>
  <c r="F140" i="49"/>
  <c r="G140" i="49"/>
  <c r="H140" i="49"/>
  <c r="I140" i="49"/>
  <c r="J140" i="49"/>
  <c r="K140" i="49"/>
  <c r="G137" i="49"/>
  <c r="H137" i="49"/>
  <c r="I137" i="49"/>
  <c r="J137" i="49"/>
  <c r="K137" i="49"/>
  <c r="F137" i="49"/>
  <c r="F134" i="49"/>
  <c r="G134" i="49"/>
  <c r="H134" i="49"/>
  <c r="I134" i="49"/>
  <c r="J134" i="49"/>
  <c r="K134" i="49"/>
  <c r="F135" i="49"/>
  <c r="G135" i="49"/>
  <c r="H135" i="49"/>
  <c r="I135" i="49"/>
  <c r="J135" i="49"/>
  <c r="K135" i="49"/>
  <c r="F136" i="49"/>
  <c r="G136" i="49"/>
  <c r="H136" i="49"/>
  <c r="I136" i="49"/>
  <c r="J136" i="49"/>
  <c r="K136" i="49"/>
  <c r="G133" i="49"/>
  <c r="H133" i="49"/>
  <c r="I133" i="49"/>
  <c r="J133" i="49"/>
  <c r="K133" i="49"/>
  <c r="F133" i="49"/>
  <c r="F118" i="49"/>
  <c r="G118" i="49"/>
  <c r="H118" i="49"/>
  <c r="I118" i="49"/>
  <c r="J118" i="49"/>
  <c r="K118" i="49"/>
  <c r="F119" i="49"/>
  <c r="G119" i="49"/>
  <c r="H119" i="49"/>
  <c r="I119" i="49"/>
  <c r="J119" i="49"/>
  <c r="K119" i="49"/>
  <c r="F120" i="49"/>
  <c r="G120" i="49"/>
  <c r="H120" i="49"/>
  <c r="I120" i="49"/>
  <c r="J120" i="49"/>
  <c r="K120" i="49"/>
  <c r="F121" i="49"/>
  <c r="G121" i="49"/>
  <c r="H121" i="49"/>
  <c r="I121" i="49"/>
  <c r="J121" i="49"/>
  <c r="K121" i="49"/>
  <c r="F122" i="49"/>
  <c r="G122" i="49"/>
  <c r="H122" i="49"/>
  <c r="I122" i="49"/>
  <c r="J122" i="49"/>
  <c r="K122" i="49"/>
  <c r="F123" i="49"/>
  <c r="G123" i="49"/>
  <c r="H123" i="49"/>
  <c r="I123" i="49"/>
  <c r="J123" i="49"/>
  <c r="K123" i="49"/>
  <c r="F124" i="49"/>
  <c r="G124" i="49"/>
  <c r="H124" i="49"/>
  <c r="I124" i="49"/>
  <c r="J124" i="49"/>
  <c r="K124" i="49"/>
  <c r="F125" i="49"/>
  <c r="G125" i="49"/>
  <c r="H125" i="49"/>
  <c r="I125" i="49"/>
  <c r="J125" i="49"/>
  <c r="K125" i="49"/>
  <c r="F128" i="49"/>
  <c r="G128" i="49"/>
  <c r="H128" i="49"/>
  <c r="I128" i="49"/>
  <c r="J128" i="49"/>
  <c r="K128" i="49"/>
  <c r="F129" i="49"/>
  <c r="G129" i="49"/>
  <c r="H129" i="49"/>
  <c r="I129" i="49"/>
  <c r="J129" i="49"/>
  <c r="K129" i="49"/>
  <c r="F130" i="49"/>
  <c r="G130" i="49"/>
  <c r="H130" i="49"/>
  <c r="I130" i="49"/>
  <c r="J130" i="49"/>
  <c r="K130" i="49"/>
  <c r="F131" i="49"/>
  <c r="G131" i="49"/>
  <c r="H131" i="49"/>
  <c r="I131" i="49"/>
  <c r="J131" i="49"/>
  <c r="K131" i="49"/>
  <c r="G117" i="49"/>
  <c r="H117" i="49"/>
  <c r="I117" i="49"/>
  <c r="J117" i="49"/>
  <c r="K117" i="49"/>
  <c r="F117" i="49"/>
  <c r="C118" i="49"/>
  <c r="C117" i="49"/>
  <c r="Q114" i="49"/>
  <c r="Q115" i="49"/>
  <c r="Q116" i="49"/>
  <c r="Q113" i="49"/>
  <c r="C114" i="49"/>
  <c r="F114" i="49"/>
  <c r="G114" i="49"/>
  <c r="H114" i="49"/>
  <c r="I114" i="49"/>
  <c r="J114" i="49"/>
  <c r="K114" i="49"/>
  <c r="C115" i="49"/>
  <c r="F115" i="49"/>
  <c r="G115" i="49"/>
  <c r="H115" i="49"/>
  <c r="I115" i="49"/>
  <c r="J115" i="49"/>
  <c r="K115" i="49"/>
  <c r="C116" i="49"/>
  <c r="F116" i="49"/>
  <c r="G116" i="49"/>
  <c r="H116" i="49"/>
  <c r="I116" i="49"/>
  <c r="J116" i="49"/>
  <c r="K116" i="49"/>
  <c r="C113" i="49"/>
  <c r="F111" i="49"/>
  <c r="G111" i="49"/>
  <c r="H111" i="49"/>
  <c r="F112" i="49"/>
  <c r="G112" i="49"/>
  <c r="H112" i="49"/>
  <c r="F113" i="49"/>
  <c r="G113" i="49"/>
  <c r="H113" i="49"/>
  <c r="I112" i="49"/>
  <c r="J112" i="49"/>
  <c r="K112" i="49"/>
  <c r="I113" i="49"/>
  <c r="J113" i="49"/>
  <c r="K113" i="49"/>
  <c r="B84" i="64" l="1"/>
  <c r="B85" i="64"/>
  <c r="B86" i="64"/>
  <c r="B87" i="64"/>
  <c r="B88" i="64"/>
  <c r="B89" i="64"/>
  <c r="B90" i="64"/>
  <c r="B91" i="64"/>
  <c r="B92" i="64"/>
  <c r="B93" i="64"/>
  <c r="B94" i="64"/>
  <c r="B95" i="64"/>
  <c r="B96" i="64"/>
  <c r="B97" i="64"/>
  <c r="B98" i="64"/>
  <c r="B99" i="64"/>
  <c r="B61" i="64"/>
  <c r="C61" i="64"/>
  <c r="B62" i="64"/>
  <c r="C62" i="64"/>
  <c r="B63" i="64"/>
  <c r="C63" i="64"/>
  <c r="B64" i="64"/>
  <c r="C64" i="64"/>
  <c r="B65" i="64"/>
  <c r="B66" i="64"/>
  <c r="B67" i="64"/>
  <c r="B68" i="64"/>
  <c r="B69" i="64"/>
  <c r="B70" i="64"/>
  <c r="B71" i="64"/>
  <c r="B72" i="64"/>
  <c r="B73" i="64"/>
  <c r="B74" i="64"/>
  <c r="B75" i="64"/>
  <c r="B76" i="64"/>
  <c r="B77" i="64"/>
  <c r="B78" i="64"/>
  <c r="B79" i="64"/>
  <c r="B80" i="64"/>
  <c r="B81" i="64"/>
  <c r="B82" i="64"/>
  <c r="B83" i="64"/>
  <c r="AN180" i="89" l="1"/>
  <c r="AM180" i="89"/>
  <c r="AS240" i="89" l="1"/>
  <c r="AS242" i="89"/>
  <c r="AS245" i="89"/>
  <c r="AS246" i="89"/>
  <c r="AU246" i="89"/>
  <c r="AO180" i="89"/>
  <c r="AN176" i="89"/>
  <c r="AU242" i="89" s="1"/>
  <c r="AN179" i="89"/>
  <c r="AU245" i="89" s="1"/>
  <c r="E63" i="58" l="1"/>
  <c r="D63" i="58" s="1"/>
  <c r="G30" i="61"/>
  <c r="G7" i="61"/>
  <c r="G8" i="61"/>
  <c r="G9" i="61"/>
  <c r="G10" i="61"/>
  <c r="G11" i="61"/>
  <c r="G12" i="61"/>
  <c r="G13" i="61"/>
  <c r="G14" i="61"/>
  <c r="G15" i="61"/>
  <c r="G16" i="61"/>
  <c r="G17" i="61"/>
  <c r="G18" i="61"/>
  <c r="G19" i="61"/>
  <c r="G20" i="61"/>
  <c r="G21" i="61"/>
  <c r="G22" i="61"/>
  <c r="G23" i="61"/>
  <c r="G24" i="61"/>
  <c r="G25" i="61"/>
  <c r="G26" i="61"/>
  <c r="G27" i="61"/>
  <c r="G28" i="61"/>
  <c r="G29" i="61"/>
  <c r="G6" i="61"/>
  <c r="L26" i="58" l="1"/>
  <c r="O48" i="49"/>
  <c r="O49" i="49"/>
  <c r="O50" i="49"/>
  <c r="O51" i="49"/>
  <c r="O47" i="49"/>
  <c r="J11" i="130"/>
  <c r="P275" i="49"/>
  <c r="P274" i="49"/>
  <c r="L48" i="49"/>
  <c r="L49" i="49"/>
  <c r="L50" i="49"/>
  <c r="L51" i="49"/>
  <c r="L47" i="49"/>
  <c r="C249" i="49" l="1"/>
  <c r="F249" i="49"/>
  <c r="G249" i="49"/>
  <c r="H249" i="49"/>
  <c r="I249" i="49"/>
  <c r="J249" i="49"/>
  <c r="Q252" i="49"/>
  <c r="P252" i="49" s="1"/>
  <c r="Q267" i="49"/>
  <c r="P267" i="49" s="1"/>
  <c r="Q266" i="49"/>
  <c r="P266" i="49" s="1"/>
  <c r="Q265" i="49"/>
  <c r="P265" i="49" s="1"/>
  <c r="Q264" i="49"/>
  <c r="P264" i="49" s="1"/>
  <c r="Q263" i="49"/>
  <c r="P263" i="49" s="1"/>
  <c r="Q262" i="49"/>
  <c r="P262" i="49" s="1"/>
  <c r="Q261" i="49"/>
  <c r="P261" i="49" s="1"/>
  <c r="Q260" i="49"/>
  <c r="P260" i="49" s="1"/>
  <c r="Q259" i="49"/>
  <c r="P259" i="49" s="1"/>
  <c r="Q258" i="49"/>
  <c r="P258" i="49" s="1"/>
  <c r="Q257" i="49"/>
  <c r="P257" i="49" s="1"/>
  <c r="Q256" i="49"/>
  <c r="P256" i="49" s="1"/>
  <c r="Q255" i="49"/>
  <c r="P255" i="49" s="1"/>
  <c r="Q254" i="49"/>
  <c r="P254" i="49" s="1"/>
  <c r="Q253" i="49"/>
  <c r="P253" i="49" s="1"/>
  <c r="Q251" i="49"/>
  <c r="P251" i="49" s="1"/>
  <c r="Q250" i="49"/>
  <c r="P250" i="49" s="1"/>
  <c r="C216" i="49"/>
  <c r="F216" i="49"/>
  <c r="G216" i="49"/>
  <c r="H216" i="49"/>
  <c r="I216" i="49"/>
  <c r="J216" i="49"/>
  <c r="K216" i="49"/>
  <c r="C217" i="49"/>
  <c r="F217" i="49"/>
  <c r="G217" i="49"/>
  <c r="H217" i="49"/>
  <c r="I217" i="49"/>
  <c r="J217" i="49"/>
  <c r="K217" i="49"/>
  <c r="C218" i="49"/>
  <c r="F218" i="49"/>
  <c r="G218" i="49"/>
  <c r="H218" i="49"/>
  <c r="I218" i="49"/>
  <c r="J218" i="49"/>
  <c r="K218" i="49"/>
  <c r="C219" i="49"/>
  <c r="F219" i="49"/>
  <c r="G219" i="49"/>
  <c r="H219" i="49"/>
  <c r="I219" i="49"/>
  <c r="J219" i="49"/>
  <c r="K219" i="49"/>
  <c r="C220" i="49"/>
  <c r="F220" i="49"/>
  <c r="G220" i="49"/>
  <c r="H220" i="49"/>
  <c r="I220" i="49"/>
  <c r="J220" i="49"/>
  <c r="K220" i="49"/>
  <c r="C221" i="49"/>
  <c r="F221" i="49"/>
  <c r="G221" i="49"/>
  <c r="H221" i="49"/>
  <c r="I221" i="49"/>
  <c r="J221" i="49"/>
  <c r="K221" i="49"/>
  <c r="C222" i="49"/>
  <c r="F222" i="49"/>
  <c r="G222" i="49"/>
  <c r="H222" i="49"/>
  <c r="I222" i="49"/>
  <c r="J222" i="49"/>
  <c r="K222" i="49"/>
  <c r="C223" i="49"/>
  <c r="F223" i="49"/>
  <c r="G223" i="49"/>
  <c r="H223" i="49"/>
  <c r="I223" i="49"/>
  <c r="J223" i="49"/>
  <c r="K223" i="49"/>
  <c r="C224" i="49"/>
  <c r="F224" i="49"/>
  <c r="G224" i="49"/>
  <c r="H224" i="49"/>
  <c r="I224" i="49"/>
  <c r="J224" i="49"/>
  <c r="K224" i="49"/>
  <c r="C225" i="49"/>
  <c r="F225" i="49"/>
  <c r="G225" i="49"/>
  <c r="H225" i="49"/>
  <c r="I225" i="49"/>
  <c r="J225" i="49"/>
  <c r="K225" i="49"/>
  <c r="C226" i="49"/>
  <c r="F226" i="49"/>
  <c r="G226" i="49"/>
  <c r="H226" i="49"/>
  <c r="I226" i="49"/>
  <c r="J226" i="49"/>
  <c r="K226" i="49"/>
  <c r="C227" i="49"/>
  <c r="F227" i="49"/>
  <c r="G227" i="49"/>
  <c r="H227" i="49"/>
  <c r="I227" i="49"/>
  <c r="J227" i="49"/>
  <c r="K227" i="49"/>
  <c r="C228" i="49"/>
  <c r="F228" i="49"/>
  <c r="G228" i="49"/>
  <c r="H228" i="49"/>
  <c r="I228" i="49"/>
  <c r="J228" i="49"/>
  <c r="K228" i="49"/>
  <c r="C229" i="49"/>
  <c r="F229" i="49"/>
  <c r="G229" i="49"/>
  <c r="H229" i="49"/>
  <c r="I229" i="49"/>
  <c r="J229" i="49"/>
  <c r="K229" i="49"/>
  <c r="C230" i="49"/>
  <c r="F230" i="49"/>
  <c r="G230" i="49"/>
  <c r="H230" i="49"/>
  <c r="I230" i="49"/>
  <c r="J230" i="49"/>
  <c r="K230" i="49"/>
  <c r="C231" i="49"/>
  <c r="F231" i="49"/>
  <c r="G231" i="49"/>
  <c r="H231" i="49"/>
  <c r="I231" i="49"/>
  <c r="J231" i="49"/>
  <c r="K231" i="49"/>
  <c r="C232" i="49"/>
  <c r="F232" i="49"/>
  <c r="G232" i="49"/>
  <c r="H232" i="49"/>
  <c r="I232" i="49"/>
  <c r="J232" i="49"/>
  <c r="K232" i="49"/>
  <c r="C233" i="49"/>
  <c r="F233" i="49"/>
  <c r="G233" i="49"/>
  <c r="H233" i="49"/>
  <c r="I233" i="49"/>
  <c r="J233" i="49"/>
  <c r="K233" i="49"/>
  <c r="C234" i="49"/>
  <c r="F234" i="49"/>
  <c r="G234" i="49"/>
  <c r="H234" i="49"/>
  <c r="I234" i="49"/>
  <c r="J234" i="49"/>
  <c r="K234" i="49"/>
  <c r="C235" i="49"/>
  <c r="F235" i="49"/>
  <c r="G235" i="49"/>
  <c r="H235" i="49"/>
  <c r="I235" i="49"/>
  <c r="J235" i="49"/>
  <c r="K235" i="49"/>
  <c r="C236" i="49"/>
  <c r="F236" i="49"/>
  <c r="G236" i="49"/>
  <c r="H236" i="49"/>
  <c r="I236" i="49"/>
  <c r="J236" i="49"/>
  <c r="K236" i="49"/>
  <c r="C237" i="49"/>
  <c r="F237" i="49"/>
  <c r="G237" i="49"/>
  <c r="H237" i="49"/>
  <c r="I237" i="49"/>
  <c r="J237" i="49"/>
  <c r="K237" i="49"/>
  <c r="C238" i="49"/>
  <c r="F238" i="49"/>
  <c r="G238" i="49"/>
  <c r="H238" i="49"/>
  <c r="I238" i="49"/>
  <c r="J238" i="49"/>
  <c r="K238" i="49"/>
  <c r="C239" i="49"/>
  <c r="F239" i="49"/>
  <c r="G239" i="49"/>
  <c r="H239" i="49"/>
  <c r="I239" i="49"/>
  <c r="J239" i="49"/>
  <c r="K239" i="49"/>
  <c r="C240" i="49"/>
  <c r="F240" i="49"/>
  <c r="G240" i="49"/>
  <c r="H240" i="49"/>
  <c r="I240" i="49"/>
  <c r="J240" i="49"/>
  <c r="K240" i="49"/>
  <c r="C241" i="49"/>
  <c r="F241" i="49"/>
  <c r="G241" i="49"/>
  <c r="H241" i="49"/>
  <c r="I241" i="49"/>
  <c r="J241" i="49"/>
  <c r="K241" i="49"/>
  <c r="C242" i="49"/>
  <c r="F242" i="49"/>
  <c r="G242" i="49"/>
  <c r="H242" i="49"/>
  <c r="I242" i="49"/>
  <c r="J242" i="49"/>
  <c r="K242" i="49"/>
  <c r="C243" i="49"/>
  <c r="C244" i="49"/>
  <c r="C245" i="49"/>
  <c r="C246" i="49"/>
  <c r="C247" i="49"/>
  <c r="C248" i="49"/>
  <c r="G215" i="49"/>
  <c r="H215" i="49"/>
  <c r="I215" i="49"/>
  <c r="J215" i="49"/>
  <c r="K215" i="49"/>
  <c r="F215" i="49"/>
  <c r="C215" i="49"/>
  <c r="D64" i="50"/>
  <c r="AN188" i="89" s="1"/>
  <c r="D63" i="50"/>
  <c r="D56" i="50"/>
  <c r="D50" i="50"/>
  <c r="D48" i="50"/>
  <c r="D49" i="50"/>
  <c r="AO188" i="89" l="1"/>
  <c r="AU254" i="89"/>
  <c r="Q216" i="49"/>
  <c r="P216" i="49" s="1"/>
  <c r="C66" i="64"/>
  <c r="Q217" i="49"/>
  <c r="P217" i="49" s="1"/>
  <c r="C67" i="64"/>
  <c r="Q215" i="49"/>
  <c r="P215" i="49" s="1"/>
  <c r="C65" i="64"/>
  <c r="Q223" i="49"/>
  <c r="P223" i="49" s="1"/>
  <c r="C73" i="64"/>
  <c r="Q230" i="49"/>
  <c r="P230" i="49" s="1"/>
  <c r="C80" i="64"/>
  <c r="Q231" i="49"/>
  <c r="P231" i="49" s="1"/>
  <c r="C81" i="64"/>
  <c r="Q214" i="49"/>
  <c r="K68" i="58" l="1" a="1"/>
  <c r="K68" i="58" s="1"/>
  <c r="I68" i="58" a="1"/>
  <c r="I68" i="58" s="1"/>
  <c r="I64" i="58"/>
  <c r="I65" i="58" s="1"/>
  <c r="E65" i="58"/>
  <c r="D65" i="58" s="1"/>
  <c r="C65" i="58"/>
  <c r="E64" i="58"/>
  <c r="C64" i="58"/>
  <c r="J68" i="58" l="1"/>
  <c r="K63" i="58"/>
  <c r="C66" i="58"/>
  <c r="F64" i="58"/>
  <c r="F65" i="58"/>
  <c r="F63" i="58"/>
  <c r="C24" i="135"/>
  <c r="C32" i="135"/>
  <c r="C31" i="135"/>
  <c r="C30" i="135"/>
  <c r="C29" i="135"/>
  <c r="C28" i="135"/>
  <c r="C27" i="135"/>
  <c r="C26" i="135"/>
  <c r="C25" i="135"/>
  <c r="F66" i="58" l="1"/>
  <c r="B65" i="135"/>
  <c r="B64" i="135" s="1"/>
  <c r="I10" i="135"/>
  <c r="I3" i="135"/>
  <c r="I2" i="135"/>
  <c r="D33" i="135"/>
  <c r="W68" i="25" s="1"/>
  <c r="E32" i="135"/>
  <c r="E31" i="135"/>
  <c r="E30" i="135"/>
  <c r="E29" i="135"/>
  <c r="E28" i="135"/>
  <c r="E27" i="135"/>
  <c r="E26" i="135"/>
  <c r="E25" i="135"/>
  <c r="E24" i="135"/>
  <c r="E18" i="135"/>
  <c r="D18" i="135"/>
  <c r="C18" i="135"/>
  <c r="W80" i="25" l="1"/>
  <c r="R28" i="135"/>
  <c r="B63" i="135"/>
  <c r="E33" i="135"/>
  <c r="C33" i="135"/>
  <c r="M65" i="135" a="1"/>
  <c r="S65" i="135" a="1"/>
  <c r="K65" i="135" a="1"/>
  <c r="D65" i="135" a="1"/>
  <c r="X65" i="135" a="1"/>
  <c r="O65" i="135" a="1"/>
  <c r="I65" i="135" a="1"/>
  <c r="P65" i="135" a="1"/>
  <c r="L65" i="135" a="1"/>
  <c r="AB65" i="135" a="1"/>
  <c r="AA65" i="135" a="1"/>
  <c r="G65" i="135" a="1"/>
  <c r="F65" i="135" a="1"/>
  <c r="W65" i="135" a="1"/>
  <c r="U65" i="135" a="1"/>
  <c r="Z65" i="135" a="1"/>
  <c r="N65" i="135" a="1"/>
  <c r="Q65" i="135" a="1"/>
  <c r="J65" i="135" a="1"/>
  <c r="T65" i="135" a="1"/>
  <c r="Y65" i="135" a="1"/>
  <c r="H65" i="135" a="1"/>
  <c r="E65" i="135" a="1"/>
  <c r="V65" i="135" a="1"/>
  <c r="P65" i="135" l="1"/>
  <c r="L65" i="135"/>
  <c r="M65" i="135"/>
  <c r="O65" i="135"/>
  <c r="K65" i="135"/>
  <c r="Q65" i="135"/>
  <c r="N65" i="135"/>
  <c r="I65" i="135"/>
  <c r="H65" i="135"/>
  <c r="S65" i="135"/>
  <c r="U65" i="135"/>
  <c r="F65" i="135"/>
  <c r="AB65" i="135"/>
  <c r="J65" i="135"/>
  <c r="T65" i="135"/>
  <c r="Z65" i="135"/>
  <c r="Y65" i="135"/>
  <c r="AA65" i="135"/>
  <c r="E65" i="135"/>
  <c r="D65" i="135"/>
  <c r="X65" i="135"/>
  <c r="W65" i="135"/>
  <c r="V65" i="135"/>
  <c r="G65" i="135"/>
  <c r="R26" i="135"/>
  <c r="B62" i="135"/>
  <c r="Q64" i="135" a="1"/>
  <c r="E64" i="135" a="1"/>
  <c r="J64" i="135" a="1"/>
  <c r="AA64" i="135" a="1"/>
  <c r="Z64" i="135" a="1"/>
  <c r="X64" i="135" a="1"/>
  <c r="D64" i="135" a="1"/>
  <c r="AB64" i="135" a="1"/>
  <c r="T64" i="135" a="1"/>
  <c r="U64" i="135" a="1"/>
  <c r="G64" i="135" a="1"/>
  <c r="V64" i="135" a="1"/>
  <c r="K64" i="135" a="1"/>
  <c r="Y64" i="135" a="1"/>
  <c r="S64" i="135" a="1"/>
  <c r="O64" i="135" a="1"/>
  <c r="I64" i="135" a="1"/>
  <c r="P64" i="135" a="1"/>
  <c r="W64" i="135" a="1"/>
  <c r="L64" i="135" a="1"/>
  <c r="M64" i="135" a="1"/>
  <c r="N64" i="135" a="1"/>
  <c r="H64" i="135" a="1"/>
  <c r="F64" i="135" a="1"/>
  <c r="P64" i="135" l="1"/>
  <c r="N64" i="135"/>
  <c r="K64" i="135"/>
  <c r="M64" i="135"/>
  <c r="O64" i="135"/>
  <c r="L64" i="135"/>
  <c r="Q64" i="135"/>
  <c r="I64" i="135"/>
  <c r="H64" i="135"/>
  <c r="V64" i="135"/>
  <c r="U64" i="135"/>
  <c r="X64" i="135"/>
  <c r="G64" i="135"/>
  <c r="F64" i="135"/>
  <c r="AB64" i="135"/>
  <c r="S64" i="135"/>
  <c r="Z64" i="135"/>
  <c r="Y64" i="135"/>
  <c r="J64" i="135"/>
  <c r="W64" i="135"/>
  <c r="T64" i="135"/>
  <c r="AA64" i="135"/>
  <c r="E64" i="135"/>
  <c r="D64" i="135"/>
  <c r="R24" i="135"/>
  <c r="B61" i="135"/>
  <c r="D63" i="135" a="1"/>
  <c r="M63" i="135" a="1"/>
  <c r="N63" i="135" a="1"/>
  <c r="AB63" i="135" a="1"/>
  <c r="Y63" i="135" a="1"/>
  <c r="I63" i="135" a="1"/>
  <c r="G63" i="135" a="1"/>
  <c r="Z63" i="135" a="1"/>
  <c r="S63" i="135" a="1"/>
  <c r="H63" i="135" a="1"/>
  <c r="O63" i="135" a="1"/>
  <c r="P63" i="135" a="1"/>
  <c r="Q63" i="135" a="1"/>
  <c r="T63" i="135" a="1"/>
  <c r="K63" i="135" a="1"/>
  <c r="AA63" i="135" a="1"/>
  <c r="W63" i="135" a="1"/>
  <c r="E63" i="135" a="1"/>
  <c r="L63" i="135" a="1"/>
  <c r="J63" i="135" a="1"/>
  <c r="X63" i="135" a="1"/>
  <c r="U63" i="135" a="1"/>
  <c r="F63" i="135" a="1"/>
  <c r="V63" i="135" a="1"/>
  <c r="L63" i="135" l="1"/>
  <c r="N63" i="135"/>
  <c r="Q63" i="135"/>
  <c r="K63" i="135"/>
  <c r="M63" i="135"/>
  <c r="O63" i="135"/>
  <c r="P63" i="135"/>
  <c r="I63" i="135"/>
  <c r="H63" i="135"/>
  <c r="AA63" i="135"/>
  <c r="E63" i="135"/>
  <c r="U63" i="135"/>
  <c r="G63" i="135"/>
  <c r="F63" i="135"/>
  <c r="AB63" i="135"/>
  <c r="V63" i="135"/>
  <c r="X63" i="135"/>
  <c r="D63" i="135"/>
  <c r="T63" i="135"/>
  <c r="Z63" i="135"/>
  <c r="Y63" i="135"/>
  <c r="S63" i="135"/>
  <c r="W63" i="135"/>
  <c r="J63" i="135"/>
  <c r="R22" i="135"/>
  <c r="B60" i="135"/>
  <c r="L62" i="135" a="1"/>
  <c r="V62" i="135" a="1"/>
  <c r="E62" i="135" a="1"/>
  <c r="S62" i="135" a="1"/>
  <c r="N62" i="135" a="1"/>
  <c r="I62" i="135" a="1"/>
  <c r="F62" i="135" a="1"/>
  <c r="O62" i="135" a="1"/>
  <c r="J62" i="135" a="1"/>
  <c r="K62" i="135" a="1"/>
  <c r="X62" i="135" a="1"/>
  <c r="Q62" i="135" a="1"/>
  <c r="W62" i="135" a="1"/>
  <c r="U62" i="135" a="1"/>
  <c r="Y62" i="135" a="1"/>
  <c r="AA62" i="135" a="1"/>
  <c r="D62" i="135" a="1"/>
  <c r="H62" i="135" a="1"/>
  <c r="T62" i="135" a="1"/>
  <c r="M62" i="135" a="1"/>
  <c r="AB62" i="135" a="1"/>
  <c r="P62" i="135" a="1"/>
  <c r="Z62" i="135" a="1"/>
  <c r="G62" i="135" a="1"/>
  <c r="Q62" i="135" l="1"/>
  <c r="P62" i="135"/>
  <c r="M62" i="135"/>
  <c r="D62" i="135"/>
  <c r="S62" i="135"/>
  <c r="N62" i="135"/>
  <c r="AB62" i="135"/>
  <c r="K62" i="135"/>
  <c r="AA62" i="135"/>
  <c r="J62" i="135"/>
  <c r="X62" i="135"/>
  <c r="U62" i="135"/>
  <c r="W62" i="135"/>
  <c r="Z62" i="135"/>
  <c r="I62" i="135"/>
  <c r="Y62" i="135"/>
  <c r="H62" i="135"/>
  <c r="V62" i="135"/>
  <c r="E62" i="135"/>
  <c r="L62" i="135"/>
  <c r="O62" i="135"/>
  <c r="G62" i="135"/>
  <c r="F62" i="135"/>
  <c r="T62" i="135"/>
  <c r="R20" i="135"/>
  <c r="B59" i="135"/>
  <c r="I61" i="135" a="1"/>
  <c r="W61" i="135" a="1"/>
  <c r="G61" i="135" a="1"/>
  <c r="N61" i="135" a="1"/>
  <c r="T61" i="135" a="1"/>
  <c r="AA61" i="135" a="1"/>
  <c r="J61" i="135" a="1"/>
  <c r="U61" i="135" a="1"/>
  <c r="K61" i="135" a="1"/>
  <c r="D61" i="135" a="1"/>
  <c r="O61" i="135" a="1"/>
  <c r="H61" i="135" a="1"/>
  <c r="F61" i="135" a="1"/>
  <c r="AB61" i="135" a="1"/>
  <c r="Y61" i="135" a="1"/>
  <c r="P61" i="135" a="1"/>
  <c r="S61" i="135" a="1"/>
  <c r="M61" i="135" a="1"/>
  <c r="Q61" i="135" a="1"/>
  <c r="V61" i="135" a="1"/>
  <c r="L61" i="135" a="1"/>
  <c r="X61" i="135" a="1"/>
  <c r="Z61" i="135" a="1"/>
  <c r="E61" i="135" a="1"/>
  <c r="Z61" i="135" l="1"/>
  <c r="I61" i="135"/>
  <c r="Y61" i="135"/>
  <c r="H61" i="135"/>
  <c r="V61" i="135"/>
  <c r="E61" i="135"/>
  <c r="D61" i="135"/>
  <c r="J61" i="135"/>
  <c r="L61" i="135"/>
  <c r="W61" i="135"/>
  <c r="F61" i="135"/>
  <c r="T61" i="135"/>
  <c r="S61" i="135"/>
  <c r="N61" i="135"/>
  <c r="AB61" i="135"/>
  <c r="G61" i="135"/>
  <c r="Q61" i="135"/>
  <c r="P61" i="135"/>
  <c r="M61" i="135"/>
  <c r="X61" i="135"/>
  <c r="K61" i="135"/>
  <c r="AA61" i="135"/>
  <c r="O61" i="135"/>
  <c r="U61" i="135"/>
  <c r="R18" i="135"/>
  <c r="B58" i="135"/>
  <c r="M60" i="135" a="1"/>
  <c r="E60" i="135" a="1"/>
  <c r="L60" i="135" a="1"/>
  <c r="F60" i="135" a="1"/>
  <c r="G60" i="135" a="1"/>
  <c r="S60" i="135" a="1"/>
  <c r="U60" i="135" a="1"/>
  <c r="T60" i="135" a="1"/>
  <c r="Y60" i="135" a="1"/>
  <c r="AA60" i="135" a="1"/>
  <c r="J60" i="135" a="1"/>
  <c r="Q60" i="135" a="1"/>
  <c r="X60" i="135" a="1"/>
  <c r="O60" i="135" a="1"/>
  <c r="P60" i="135" a="1"/>
  <c r="AB60" i="135" a="1"/>
  <c r="W60" i="135" a="1"/>
  <c r="I60" i="135" a="1"/>
  <c r="V60" i="135" a="1"/>
  <c r="Z60" i="135" a="1"/>
  <c r="N60" i="135" a="1"/>
  <c r="D60" i="135" a="1"/>
  <c r="H60" i="135" a="1"/>
  <c r="K60" i="135" a="1"/>
  <c r="D60" i="135" l="1"/>
  <c r="Q60" i="135"/>
  <c r="P60" i="135"/>
  <c r="M60" i="135"/>
  <c r="O60" i="135"/>
  <c r="X60" i="135"/>
  <c r="N60" i="135"/>
  <c r="AB60" i="135"/>
  <c r="K60" i="135"/>
  <c r="AA60" i="135"/>
  <c r="J60" i="135"/>
  <c r="G60" i="135"/>
  <c r="L60" i="135"/>
  <c r="U60" i="135"/>
  <c r="F60" i="135"/>
  <c r="T60" i="135"/>
  <c r="Z60" i="135"/>
  <c r="I60" i="135"/>
  <c r="Y60" i="135"/>
  <c r="H60" i="135"/>
  <c r="V60" i="135"/>
  <c r="E60" i="135"/>
  <c r="W60" i="135"/>
  <c r="S60" i="135"/>
  <c r="R16" i="135"/>
  <c r="B57" i="135"/>
  <c r="Q59" i="135" a="1"/>
  <c r="G59" i="135" a="1"/>
  <c r="AA59" i="135" a="1"/>
  <c r="K59" i="135" a="1"/>
  <c r="D59" i="135" a="1"/>
  <c r="T59" i="135" a="1"/>
  <c r="X59" i="135" a="1"/>
  <c r="AB59" i="135" a="1"/>
  <c r="F59" i="135" a="1"/>
  <c r="L59" i="135" a="1"/>
  <c r="P59" i="135" a="1"/>
  <c r="U59" i="135" a="1"/>
  <c r="E59" i="135" a="1"/>
  <c r="J59" i="135" a="1"/>
  <c r="I59" i="135" a="1"/>
  <c r="S59" i="135" a="1"/>
  <c r="M59" i="135" a="1"/>
  <c r="H59" i="135" a="1"/>
  <c r="O59" i="135" a="1"/>
  <c r="W59" i="135" a="1"/>
  <c r="Z59" i="135" a="1"/>
  <c r="N59" i="135" a="1"/>
  <c r="V59" i="135" a="1"/>
  <c r="Y59" i="135" a="1"/>
  <c r="Z59" i="135" l="1"/>
  <c r="I59" i="135"/>
  <c r="Y59" i="135"/>
  <c r="H59" i="135"/>
  <c r="V59" i="135"/>
  <c r="E59" i="135"/>
  <c r="X59" i="135"/>
  <c r="K59" i="135"/>
  <c r="AA59" i="135"/>
  <c r="D59" i="135"/>
  <c r="W59" i="135"/>
  <c r="F59" i="135"/>
  <c r="T59" i="135"/>
  <c r="S59" i="135"/>
  <c r="G59" i="135"/>
  <c r="Q59" i="135"/>
  <c r="P59" i="135"/>
  <c r="M59" i="135"/>
  <c r="U59" i="135"/>
  <c r="O59" i="135"/>
  <c r="L59" i="135"/>
  <c r="N59" i="135"/>
  <c r="AB59" i="135"/>
  <c r="J59" i="135"/>
  <c r="R14" i="135"/>
  <c r="B56" i="135"/>
  <c r="K58" i="135" a="1"/>
  <c r="AB58" i="135" a="1"/>
  <c r="T58" i="135" a="1"/>
  <c r="W58" i="135" a="1"/>
  <c r="Q58" i="135" a="1"/>
  <c r="S58" i="135" a="1"/>
  <c r="Y58" i="135" a="1"/>
  <c r="L58" i="135" a="1"/>
  <c r="H58" i="135" a="1"/>
  <c r="N58" i="135" a="1"/>
  <c r="I58" i="135" a="1"/>
  <c r="G58" i="135" a="1"/>
  <c r="AA58" i="135" a="1"/>
  <c r="E58" i="135" a="1"/>
  <c r="M58" i="135" a="1"/>
  <c r="P58" i="135" a="1"/>
  <c r="J58" i="135" a="1"/>
  <c r="U58" i="135" a="1"/>
  <c r="O58" i="135" a="1"/>
  <c r="X58" i="135" a="1"/>
  <c r="D58" i="135" a="1"/>
  <c r="F58" i="135" a="1"/>
  <c r="Z58" i="135" a="1"/>
  <c r="V58" i="135" a="1"/>
  <c r="V58" i="135" l="1"/>
  <c r="M58" i="135"/>
  <c r="U58" i="135"/>
  <c r="L58" i="135"/>
  <c r="D58" i="135"/>
  <c r="W58" i="135"/>
  <c r="F58" i="135"/>
  <c r="T58" i="135"/>
  <c r="AB58" i="135"/>
  <c r="AA58" i="135"/>
  <c r="S58" i="135"/>
  <c r="J58" i="135"/>
  <c r="K58" i="135"/>
  <c r="X58" i="135"/>
  <c r="G58" i="135"/>
  <c r="Z58" i="135"/>
  <c r="Q58" i="135"/>
  <c r="Y58" i="135"/>
  <c r="P58" i="135"/>
  <c r="H58" i="135"/>
  <c r="I58" i="135"/>
  <c r="O58" i="135"/>
  <c r="N58" i="135"/>
  <c r="E58" i="135"/>
  <c r="R12" i="135"/>
  <c r="B55" i="135"/>
  <c r="O57" i="135" a="1"/>
  <c r="K57" i="135" a="1"/>
  <c r="Z57" i="135" a="1"/>
  <c r="AA57" i="135" a="1"/>
  <c r="Y57" i="135" a="1"/>
  <c r="W57" i="135" a="1"/>
  <c r="E57" i="135" a="1"/>
  <c r="V57" i="135" a="1"/>
  <c r="J57" i="135" a="1"/>
  <c r="P57" i="135" a="1"/>
  <c r="F57" i="135" a="1"/>
  <c r="U57" i="135" a="1"/>
  <c r="G57" i="135" a="1"/>
  <c r="M57" i="135" a="1"/>
  <c r="AB57" i="135" a="1"/>
  <c r="Q57" i="135" a="1"/>
  <c r="H57" i="135" a="1"/>
  <c r="L57" i="135" a="1"/>
  <c r="X57" i="135" a="1"/>
  <c r="I57" i="135" a="1"/>
  <c r="T57" i="135" a="1"/>
  <c r="N57" i="135" a="1"/>
  <c r="S57" i="135" a="1"/>
  <c r="D57" i="135" a="1"/>
  <c r="U57" i="135" l="1"/>
  <c r="L57" i="135"/>
  <c r="D57" i="135"/>
  <c r="Z57" i="135"/>
  <c r="I57" i="135"/>
  <c r="K57" i="135"/>
  <c r="X57" i="135"/>
  <c r="W57" i="135"/>
  <c r="F57" i="135"/>
  <c r="M57" i="135"/>
  <c r="T57" i="135"/>
  <c r="AA57" i="135"/>
  <c r="S57" i="135"/>
  <c r="J57" i="135"/>
  <c r="V57" i="135"/>
  <c r="E57" i="135"/>
  <c r="O57" i="135"/>
  <c r="Y57" i="135"/>
  <c r="P57" i="135"/>
  <c r="H57" i="135"/>
  <c r="Q57" i="135"/>
  <c r="AB57" i="135"/>
  <c r="G57" i="135"/>
  <c r="N57" i="135"/>
  <c r="R10" i="135"/>
  <c r="B54" i="135"/>
  <c r="N56" i="135" a="1"/>
  <c r="Q56" i="135" a="1"/>
  <c r="L56" i="135" a="1"/>
  <c r="G56" i="135" a="1"/>
  <c r="P56" i="135" a="1"/>
  <c r="I56" i="135" a="1"/>
  <c r="Z56" i="135" a="1"/>
  <c r="AA56" i="135" a="1"/>
  <c r="Y56" i="135" a="1"/>
  <c r="V56" i="135" a="1"/>
  <c r="F56" i="135" a="1"/>
  <c r="M56" i="135" a="1"/>
  <c r="J56" i="135" a="1"/>
  <c r="U56" i="135" a="1"/>
  <c r="T56" i="135" a="1"/>
  <c r="W56" i="135" a="1"/>
  <c r="X56" i="135" a="1"/>
  <c r="E56" i="135" a="1"/>
  <c r="K56" i="135" a="1"/>
  <c r="D56" i="135" a="1"/>
  <c r="S56" i="135" a="1"/>
  <c r="AB56" i="135" a="1"/>
  <c r="O56" i="135" a="1"/>
  <c r="H56" i="135" a="1"/>
  <c r="U56" i="135" l="1"/>
  <c r="L56" i="135"/>
  <c r="D56" i="135"/>
  <c r="Q56" i="135"/>
  <c r="O56" i="135"/>
  <c r="N56" i="135"/>
  <c r="E56" i="135"/>
  <c r="X56" i="135"/>
  <c r="AA56" i="135"/>
  <c r="S56" i="135"/>
  <c r="J56" i="135"/>
  <c r="M56" i="135"/>
  <c r="AB56" i="135"/>
  <c r="G56" i="135"/>
  <c r="Y56" i="135"/>
  <c r="P56" i="135"/>
  <c r="H56" i="135"/>
  <c r="Z56" i="135"/>
  <c r="I56" i="135"/>
  <c r="T56" i="135"/>
  <c r="W56" i="135"/>
  <c r="F56" i="135"/>
  <c r="V56" i="135"/>
  <c r="K56" i="135"/>
  <c r="R8" i="135"/>
  <c r="E55" i="135" a="1"/>
  <c r="I55" i="135" a="1"/>
  <c r="G55" i="135" a="1"/>
  <c r="AA55" i="135" a="1"/>
  <c r="L55" i="135" a="1"/>
  <c r="D55" i="135" a="1"/>
  <c r="H55" i="135" a="1"/>
  <c r="V55" i="135" a="1"/>
  <c r="O55" i="135" a="1"/>
  <c r="AB55" i="135" a="1"/>
  <c r="J55" i="135" a="1"/>
  <c r="U55" i="135" a="1"/>
  <c r="Q55" i="135" a="1"/>
  <c r="S55" i="135" a="1"/>
  <c r="P55" i="135" a="1"/>
  <c r="W55" i="135" a="1"/>
  <c r="F55" i="135" a="1"/>
  <c r="Y55" i="135" a="1"/>
  <c r="M55" i="135" a="1"/>
  <c r="Z55" i="135" a="1"/>
  <c r="K55" i="135" a="1"/>
  <c r="X55" i="135" a="1"/>
  <c r="T55" i="135" a="1"/>
  <c r="N55" i="135" a="1"/>
  <c r="U55" i="135" l="1"/>
  <c r="L55" i="135"/>
  <c r="D55" i="135"/>
  <c r="M55" i="135"/>
  <c r="X55" i="135"/>
  <c r="AB55" i="135"/>
  <c r="Z55" i="135"/>
  <c r="W55" i="135"/>
  <c r="F55" i="135"/>
  <c r="V55" i="135"/>
  <c r="AA55" i="135"/>
  <c r="S55" i="135"/>
  <c r="J55" i="135"/>
  <c r="E55" i="135"/>
  <c r="O55" i="135"/>
  <c r="K55" i="135"/>
  <c r="Q55" i="135"/>
  <c r="Y55" i="135"/>
  <c r="P55" i="135"/>
  <c r="H55" i="135"/>
  <c r="G55" i="135"/>
  <c r="I55" i="135"/>
  <c r="T55" i="135"/>
  <c r="N55" i="135"/>
  <c r="R6" i="135"/>
  <c r="W54" i="135" a="1"/>
  <c r="Y54" i="135" a="1"/>
  <c r="Q54" i="135" a="1"/>
  <c r="I54" i="135" a="1"/>
  <c r="J54" i="135" a="1"/>
  <c r="F54" i="135" a="1"/>
  <c r="T54" i="135" a="1"/>
  <c r="X54" i="135" a="1"/>
  <c r="K54" i="135" a="1"/>
  <c r="AA54" i="135" a="1"/>
  <c r="U54" i="135" a="1"/>
  <c r="AB54" i="135" a="1"/>
  <c r="O54" i="135" a="1"/>
  <c r="V54" i="135" a="1"/>
  <c r="S54" i="135" a="1"/>
  <c r="G54" i="135" a="1"/>
  <c r="E54" i="135" a="1"/>
  <c r="N54" i="135" a="1"/>
  <c r="Z54" i="135" a="1"/>
  <c r="P54" i="135" a="1"/>
  <c r="M54" i="135" a="1"/>
  <c r="H54" i="135" a="1"/>
  <c r="L54" i="135" a="1"/>
  <c r="D54" i="135" a="1"/>
  <c r="U54" i="135" l="1"/>
  <c r="U66" i="135" s="1"/>
  <c r="N54" i="135"/>
  <c r="N66" i="135" s="1"/>
  <c r="F29" i="135" s="1"/>
  <c r="F54" i="135"/>
  <c r="F66" i="135" s="1"/>
  <c r="Q54" i="135"/>
  <c r="Q66" i="135" s="1"/>
  <c r="F31" i="135" s="1"/>
  <c r="I54" i="135"/>
  <c r="I66" i="135" s="1"/>
  <c r="H54" i="135"/>
  <c r="H66" i="135" s="1"/>
  <c r="K54" i="135"/>
  <c r="K66" i="135" s="1"/>
  <c r="F28" i="135" s="1"/>
  <c r="AA54" i="135"/>
  <c r="AA66" i="135" s="1"/>
  <c r="S54" i="135"/>
  <c r="S66" i="135" s="1"/>
  <c r="L54" i="135"/>
  <c r="L66" i="135" s="1"/>
  <c r="F27" i="135" s="1"/>
  <c r="D54" i="135"/>
  <c r="D66" i="135" s="1"/>
  <c r="O54" i="135"/>
  <c r="O66" i="135" s="1"/>
  <c r="F30" i="135" s="1"/>
  <c r="G54" i="135"/>
  <c r="G66" i="135" s="1"/>
  <c r="Y54" i="135"/>
  <c r="Y66" i="135" s="1"/>
  <c r="V54" i="135"/>
  <c r="V66" i="135" s="1"/>
  <c r="J54" i="135"/>
  <c r="J66" i="135" s="1"/>
  <c r="T54" i="135"/>
  <c r="T66" i="135" s="1"/>
  <c r="M54" i="135"/>
  <c r="M66" i="135" s="1"/>
  <c r="F25" i="135" s="1"/>
  <c r="E54" i="135"/>
  <c r="E66" i="135" s="1"/>
  <c r="W54" i="135"/>
  <c r="W66" i="135" s="1"/>
  <c r="P54" i="135"/>
  <c r="P66" i="135" s="1"/>
  <c r="F32" i="135" s="1"/>
  <c r="X54" i="135"/>
  <c r="X66" i="135" s="1"/>
  <c r="F26" i="135" s="1"/>
  <c r="Z54" i="135"/>
  <c r="Z66" i="135" s="1"/>
  <c r="AB54" i="135"/>
  <c r="AB66" i="135" s="1"/>
  <c r="F33" i="135" l="1"/>
  <c r="E28" i="123" l="1"/>
  <c r="A78" i="58" l="1"/>
  <c r="A79" i="58"/>
  <c r="A80" i="58"/>
  <c r="A81" i="58"/>
  <c r="A82" i="58"/>
  <c r="A83" i="58"/>
  <c r="I33" i="58" s="1"/>
  <c r="A84" i="58"/>
  <c r="I34" i="58" s="1"/>
  <c r="X44" i="89" l="1"/>
  <c r="X46" i="89"/>
  <c r="AH3" i="132" l="1"/>
  <c r="AH4" i="132"/>
  <c r="AH5" i="132"/>
  <c r="AH6" i="132"/>
  <c r="AH7" i="132"/>
  <c r="AH8" i="132"/>
  <c r="AH9" i="132"/>
  <c r="AH10" i="132"/>
  <c r="AH11" i="132"/>
  <c r="AH12" i="132"/>
  <c r="AH13" i="132"/>
  <c r="AH14" i="132"/>
  <c r="AH15" i="132"/>
  <c r="AH16" i="132"/>
  <c r="AH17" i="132"/>
  <c r="AH18" i="132"/>
  <c r="AH19" i="132"/>
  <c r="AH20" i="132"/>
  <c r="AH21" i="132"/>
  <c r="AH22" i="132"/>
  <c r="AH23" i="132"/>
  <c r="AH24" i="132"/>
  <c r="AH25" i="132"/>
  <c r="AH26" i="132"/>
  <c r="AH27" i="132"/>
  <c r="AH28" i="132"/>
  <c r="AH29" i="132"/>
  <c r="AH30" i="132"/>
  <c r="AH31" i="132"/>
  <c r="AH32" i="132"/>
  <c r="AH33" i="132"/>
  <c r="AH34" i="132"/>
  <c r="AH35" i="132"/>
  <c r="AH36" i="132"/>
  <c r="AH37" i="132"/>
  <c r="AH38" i="132"/>
  <c r="AH39" i="132"/>
  <c r="AH40" i="132"/>
  <c r="AH41" i="132"/>
  <c r="AH42" i="132"/>
  <c r="AH43" i="132"/>
  <c r="AH44" i="132"/>
  <c r="AH45" i="132"/>
  <c r="AH46" i="132"/>
  <c r="AH47" i="132"/>
  <c r="AH48" i="132"/>
  <c r="AH49" i="132"/>
  <c r="AH50" i="132"/>
  <c r="AH51" i="132"/>
  <c r="AH52" i="132"/>
  <c r="AH53" i="132"/>
  <c r="AH54" i="132"/>
  <c r="AH55" i="132"/>
  <c r="AH56" i="132"/>
  <c r="AH57" i="132"/>
  <c r="AH58" i="132"/>
  <c r="AH59" i="132"/>
  <c r="AH60" i="132"/>
  <c r="AH61" i="132"/>
  <c r="AH62" i="132"/>
  <c r="AH63" i="132"/>
  <c r="AH64" i="132"/>
  <c r="AH65" i="132"/>
  <c r="AH66" i="132"/>
  <c r="AH67" i="132"/>
  <c r="AH68" i="132"/>
  <c r="AH69" i="132"/>
  <c r="AH70" i="132"/>
  <c r="AH71" i="132"/>
  <c r="AH72" i="132"/>
  <c r="AH73" i="132"/>
  <c r="AH74" i="132"/>
  <c r="AH75" i="132"/>
  <c r="AH76" i="132"/>
  <c r="AH77" i="132"/>
  <c r="AH78" i="132"/>
  <c r="AH79" i="132"/>
  <c r="AH80" i="132"/>
  <c r="AH81" i="132"/>
  <c r="AH82" i="132"/>
  <c r="AH83" i="132"/>
  <c r="AH84" i="132"/>
  <c r="AH85" i="132"/>
  <c r="AH86" i="132"/>
  <c r="AH87" i="132"/>
  <c r="AH88" i="132"/>
  <c r="AH89" i="132"/>
  <c r="AH90" i="132"/>
  <c r="AH91" i="132"/>
  <c r="AH92" i="132"/>
  <c r="AH93" i="132"/>
  <c r="AH94" i="132"/>
  <c r="AH95" i="132"/>
  <c r="AH96" i="132"/>
  <c r="AH97" i="132"/>
  <c r="AH98" i="132"/>
  <c r="AH99" i="132"/>
  <c r="AH100" i="132"/>
  <c r="AH101" i="132"/>
  <c r="AH102" i="132"/>
  <c r="AH103" i="132"/>
  <c r="AH104" i="132"/>
  <c r="AH105" i="132"/>
  <c r="AH106" i="132"/>
  <c r="AH107" i="132"/>
  <c r="AH108" i="132"/>
  <c r="AH109" i="132"/>
  <c r="AH110" i="132"/>
  <c r="AH111" i="132"/>
  <c r="AH112" i="132"/>
  <c r="AH113" i="132"/>
  <c r="AH114" i="132"/>
  <c r="AH115" i="132"/>
  <c r="AH116" i="132"/>
  <c r="AH117" i="132"/>
  <c r="AH118" i="132"/>
  <c r="AH119" i="132"/>
  <c r="AH120" i="132"/>
  <c r="AH121" i="132"/>
  <c r="AH122" i="132"/>
  <c r="AH123" i="132"/>
  <c r="AH124" i="132"/>
  <c r="AH125" i="132"/>
  <c r="AH126" i="132"/>
  <c r="AH127" i="132"/>
  <c r="AH128" i="132"/>
  <c r="AH129" i="132"/>
  <c r="AH130" i="132"/>
  <c r="AH131" i="132"/>
  <c r="AH132" i="132"/>
  <c r="AH133" i="132"/>
  <c r="AH134" i="132"/>
  <c r="AH135" i="132"/>
  <c r="AH136" i="132"/>
  <c r="AH137" i="132"/>
  <c r="AH138" i="132"/>
  <c r="AH139" i="132"/>
  <c r="AH140" i="132"/>
  <c r="AH141" i="132"/>
  <c r="AH142" i="132"/>
  <c r="AH143" i="132"/>
  <c r="AH144" i="132"/>
  <c r="AH145" i="132"/>
  <c r="AH146" i="132"/>
  <c r="AH147" i="132"/>
  <c r="AH148" i="132"/>
  <c r="AH149" i="132"/>
  <c r="AH150" i="132"/>
  <c r="AH151" i="132"/>
  <c r="AH152" i="132"/>
  <c r="AH153" i="132"/>
  <c r="AH154" i="132"/>
  <c r="AH155" i="132"/>
  <c r="AH156" i="132"/>
  <c r="AH157" i="132"/>
  <c r="AH158" i="132"/>
  <c r="AH159" i="132"/>
  <c r="AH160" i="132"/>
  <c r="AH161" i="132"/>
  <c r="AH162" i="132"/>
  <c r="AH163" i="132"/>
  <c r="AH164" i="132"/>
  <c r="AH165" i="132"/>
  <c r="AH166" i="132"/>
  <c r="AH167" i="132"/>
  <c r="AH168" i="132"/>
  <c r="AH169" i="132"/>
  <c r="AH170" i="132"/>
  <c r="AH171" i="132"/>
  <c r="AH172" i="132"/>
  <c r="AH173" i="132"/>
  <c r="AH174" i="132"/>
  <c r="AH175" i="132"/>
  <c r="AH176" i="132"/>
  <c r="AH177" i="132"/>
  <c r="AH178" i="132"/>
  <c r="AH179" i="132"/>
  <c r="AH180" i="132"/>
  <c r="AH181" i="132"/>
  <c r="AH182" i="132"/>
  <c r="AH183" i="132"/>
  <c r="AH184" i="132"/>
  <c r="AH185" i="132"/>
  <c r="AH186" i="132"/>
  <c r="AH187" i="132"/>
  <c r="AH188" i="132"/>
  <c r="AH189" i="132"/>
  <c r="AH190" i="132"/>
  <c r="AH191" i="132"/>
  <c r="AH192" i="132"/>
  <c r="AH193" i="132"/>
  <c r="AH194" i="132"/>
  <c r="AH195" i="132"/>
  <c r="AH196" i="132"/>
  <c r="AH197" i="132"/>
  <c r="AH198" i="132"/>
  <c r="AH199" i="132"/>
  <c r="AH200" i="132"/>
  <c r="AH201" i="132"/>
  <c r="AH202" i="132"/>
  <c r="AH203" i="132"/>
  <c r="AH204" i="132"/>
  <c r="AH205" i="132"/>
  <c r="AH206" i="132"/>
  <c r="AH207" i="132"/>
  <c r="AH208" i="132"/>
  <c r="AH209" i="132"/>
  <c r="AH210" i="132"/>
  <c r="AH211" i="132"/>
  <c r="AH212" i="132"/>
  <c r="AH213" i="132"/>
  <c r="AH214" i="132"/>
  <c r="AH215" i="132"/>
  <c r="AH216" i="132"/>
  <c r="AH217" i="132"/>
  <c r="AH218" i="132"/>
  <c r="AH219" i="132"/>
  <c r="AH220" i="132"/>
  <c r="AH221" i="132"/>
  <c r="AH222" i="132"/>
  <c r="AH223" i="132"/>
  <c r="AH224" i="132"/>
  <c r="AH225" i="132"/>
  <c r="AH226" i="132"/>
  <c r="AH227" i="132"/>
  <c r="AH228" i="132"/>
  <c r="AH229" i="132"/>
  <c r="AH230" i="132"/>
  <c r="AH231" i="132"/>
  <c r="AH232" i="132"/>
  <c r="AH233" i="132"/>
  <c r="AH234" i="132"/>
  <c r="AH235" i="132"/>
  <c r="AH236" i="132"/>
  <c r="AH237" i="132"/>
  <c r="AH238" i="132"/>
  <c r="AH239" i="132"/>
  <c r="AH240" i="132"/>
  <c r="AH241" i="132"/>
  <c r="AH242" i="132"/>
  <c r="AH243" i="132"/>
  <c r="AH244" i="132"/>
  <c r="AH245" i="132"/>
  <c r="AH246" i="132"/>
  <c r="AH247" i="132"/>
  <c r="AH248" i="132"/>
  <c r="AH249" i="132"/>
  <c r="AH250" i="132"/>
  <c r="AH251" i="132"/>
  <c r="AH252" i="132"/>
  <c r="AH253" i="132"/>
  <c r="AH254" i="132"/>
  <c r="AH255" i="132"/>
  <c r="AH256" i="132"/>
  <c r="AH257" i="132"/>
  <c r="AH258" i="132"/>
  <c r="AH259" i="132"/>
  <c r="AH260" i="132"/>
  <c r="AH261" i="132"/>
  <c r="AH262" i="132"/>
  <c r="AH263" i="132"/>
  <c r="AH264" i="132"/>
  <c r="AH265" i="132"/>
  <c r="AH266" i="132"/>
  <c r="AH267" i="132"/>
  <c r="AH268" i="132"/>
  <c r="AH269" i="132"/>
  <c r="AH270" i="132"/>
  <c r="AH271" i="132"/>
  <c r="AH272" i="132"/>
  <c r="AH273" i="132"/>
  <c r="AH274" i="132"/>
  <c r="AH275" i="132"/>
  <c r="AH276" i="132"/>
  <c r="AH277" i="132"/>
  <c r="AH278" i="132"/>
  <c r="AH279" i="132"/>
  <c r="AH280" i="132"/>
  <c r="AH281" i="132"/>
  <c r="AH282" i="132"/>
  <c r="AH283" i="132"/>
  <c r="AH284" i="132"/>
  <c r="AH285" i="132"/>
  <c r="AH286" i="132"/>
  <c r="AH287" i="132"/>
  <c r="AH288" i="132"/>
  <c r="AH289" i="132"/>
  <c r="AH290" i="132"/>
  <c r="AH291" i="132"/>
  <c r="AH292" i="132"/>
  <c r="AH293" i="132"/>
  <c r="AH294" i="132"/>
  <c r="AH295" i="132"/>
  <c r="AH296" i="132"/>
  <c r="AH297" i="132"/>
  <c r="AH298" i="132"/>
  <c r="AH299" i="132"/>
  <c r="AH300" i="132"/>
  <c r="AH301" i="132"/>
  <c r="AH302" i="132"/>
  <c r="AH303" i="132"/>
  <c r="AH304" i="132"/>
  <c r="AH305" i="132"/>
  <c r="AH306" i="132"/>
  <c r="AH307" i="132"/>
  <c r="AH308" i="132"/>
  <c r="AH309" i="132"/>
  <c r="AH310" i="132"/>
  <c r="AH311" i="132"/>
  <c r="AH312" i="132"/>
  <c r="AH313" i="132"/>
  <c r="AH314" i="132"/>
  <c r="AH315" i="132"/>
  <c r="AH316" i="132"/>
  <c r="AH317" i="132"/>
  <c r="AH318" i="132"/>
  <c r="AH319" i="132"/>
  <c r="AH320" i="132"/>
  <c r="AH321" i="132"/>
  <c r="AH322" i="132"/>
  <c r="AH323" i="132"/>
  <c r="AH324" i="132"/>
  <c r="AH325" i="132"/>
  <c r="AH326" i="132"/>
  <c r="AH327" i="132"/>
  <c r="AH328" i="132"/>
  <c r="AH329" i="132"/>
  <c r="AH330" i="132"/>
  <c r="AH331" i="132"/>
  <c r="AH332" i="132"/>
  <c r="AH333" i="132"/>
  <c r="AH334" i="132"/>
  <c r="AH335" i="132"/>
  <c r="AH336" i="132"/>
  <c r="AH337" i="132"/>
  <c r="AH338" i="132"/>
  <c r="AH339" i="132"/>
  <c r="AH340" i="132"/>
  <c r="AH341" i="132"/>
  <c r="AH342" i="132"/>
  <c r="AH343" i="132"/>
  <c r="AH344" i="132"/>
  <c r="AH345" i="132"/>
  <c r="AH346" i="132"/>
  <c r="AH347" i="132"/>
  <c r="AH348" i="132"/>
  <c r="AH349" i="132"/>
  <c r="AH350" i="132"/>
  <c r="AH351" i="132"/>
  <c r="AH352" i="132"/>
  <c r="AH353" i="132"/>
  <c r="AH354" i="132"/>
  <c r="AH355" i="132"/>
  <c r="AH356" i="132"/>
  <c r="AH357" i="132"/>
  <c r="AH358" i="132"/>
  <c r="AH359" i="132"/>
  <c r="AH360" i="132"/>
  <c r="AH361" i="132"/>
  <c r="AH362" i="132"/>
  <c r="AH363" i="132"/>
  <c r="AH364" i="132"/>
  <c r="AH365" i="132"/>
  <c r="AH366" i="132"/>
  <c r="AH367" i="132"/>
  <c r="AH368" i="132"/>
  <c r="AH369" i="132"/>
  <c r="AH370" i="132"/>
  <c r="AH371" i="132"/>
  <c r="AH372" i="132"/>
  <c r="AH373" i="132"/>
  <c r="AH374" i="132"/>
  <c r="AH375" i="132"/>
  <c r="AH376" i="132"/>
  <c r="AH377" i="132"/>
  <c r="AH378" i="132"/>
  <c r="AH379" i="132"/>
  <c r="AH380" i="132"/>
  <c r="AH381" i="132"/>
  <c r="AH382" i="132"/>
  <c r="AH383" i="132"/>
  <c r="AH384" i="132"/>
  <c r="AH385" i="132"/>
  <c r="AH386" i="132"/>
  <c r="AH387" i="132"/>
  <c r="AH388" i="132"/>
  <c r="AH389" i="132"/>
  <c r="AH390" i="132"/>
  <c r="AH391" i="132"/>
  <c r="AH392" i="132"/>
  <c r="AH393" i="132"/>
  <c r="AH394" i="132"/>
  <c r="AH395" i="132"/>
  <c r="AH396" i="132"/>
  <c r="AH397" i="132"/>
  <c r="AH398" i="132"/>
  <c r="AH399" i="132"/>
  <c r="AH400" i="132"/>
  <c r="AH401" i="132"/>
  <c r="AH402" i="132"/>
  <c r="AH403" i="132"/>
  <c r="AH404" i="132"/>
  <c r="AH405" i="132"/>
  <c r="AH406" i="132"/>
  <c r="AH407" i="132"/>
  <c r="AH408" i="132"/>
  <c r="AH409" i="132"/>
  <c r="AH410" i="132"/>
  <c r="AH411" i="132"/>
  <c r="AH412" i="132"/>
  <c r="AH413" i="132"/>
  <c r="AH414" i="132"/>
  <c r="AH415" i="132"/>
  <c r="AH416" i="132"/>
  <c r="AH417" i="132"/>
  <c r="AH418" i="132"/>
  <c r="AH419" i="132"/>
  <c r="AH420" i="132"/>
  <c r="AH421" i="132"/>
  <c r="AH422" i="132"/>
  <c r="AH423" i="132"/>
  <c r="AH424" i="132"/>
  <c r="AH425" i="132"/>
  <c r="AH426" i="132"/>
  <c r="AH427" i="132"/>
  <c r="AH428" i="132"/>
  <c r="AH429" i="132"/>
  <c r="AH430" i="132"/>
  <c r="AH431" i="132"/>
  <c r="AH432" i="132"/>
  <c r="AH433" i="132"/>
  <c r="AH434" i="132"/>
  <c r="AH435" i="132"/>
  <c r="AH436" i="132"/>
  <c r="AH437" i="132"/>
  <c r="AH438" i="132"/>
  <c r="AH439" i="132"/>
  <c r="AH440" i="132"/>
  <c r="AH441" i="132"/>
  <c r="AH442" i="132"/>
  <c r="AH443" i="132"/>
  <c r="AH444" i="132"/>
  <c r="AH445" i="132"/>
  <c r="AH446" i="132"/>
  <c r="AH447" i="132"/>
  <c r="AH448" i="132"/>
  <c r="AH449" i="132"/>
  <c r="AH450" i="132"/>
  <c r="AH451" i="132"/>
  <c r="AH452" i="132"/>
  <c r="AH453" i="132"/>
  <c r="AH454" i="132"/>
  <c r="AH455" i="132"/>
  <c r="AH456" i="132"/>
  <c r="AH457" i="132"/>
  <c r="AH2" i="132"/>
  <c r="U80" i="25" l="1"/>
  <c r="S80" i="25"/>
  <c r="AU213" i="89" l="1"/>
  <c r="AV213" i="89" s="1"/>
  <c r="N104" i="89"/>
  <c r="A1" i="131" l="1"/>
  <c r="I17" i="131"/>
  <c r="E17" i="131"/>
  <c r="N13" i="131"/>
  <c r="M13" i="131"/>
  <c r="C10" i="131" l="1"/>
  <c r="B13" i="131"/>
  <c r="C14" i="131"/>
  <c r="B12" i="131"/>
  <c r="C13" i="131"/>
  <c r="C9" i="131"/>
  <c r="B11" i="131"/>
  <c r="C12" i="131"/>
  <c r="B15" i="131"/>
  <c r="B10" i="131"/>
  <c r="C11" i="131"/>
  <c r="B14" i="131"/>
  <c r="C15" i="131"/>
  <c r="B9" i="131"/>
  <c r="C84" i="39"/>
  <c r="D14" i="131" l="1"/>
  <c r="D10" i="131"/>
  <c r="D9" i="131"/>
  <c r="D12" i="131"/>
  <c r="D11" i="131"/>
  <c r="D13" i="131"/>
  <c r="D15" i="131"/>
  <c r="B17" i="131"/>
  <c r="D22" i="64"/>
  <c r="C17" i="131" l="1"/>
  <c r="Z138" i="89"/>
  <c r="C19" i="131" l="1"/>
  <c r="D17" i="131"/>
  <c r="L195" i="122"/>
  <c r="L194" i="122"/>
  <c r="L193" i="122"/>
  <c r="L189" i="122"/>
  <c r="L166" i="122"/>
  <c r="L164" i="122"/>
  <c r="L186" i="122"/>
  <c r="J16" i="131" l="1"/>
  <c r="L163" i="122"/>
  <c r="L162" i="122"/>
  <c r="L204" i="122"/>
  <c r="L208" i="122"/>
  <c r="L205" i="122"/>
  <c r="L206" i="122"/>
  <c r="L207" i="122"/>
  <c r="F150" i="122" l="1"/>
  <c r="F149" i="122"/>
  <c r="U38" i="89" l="1"/>
  <c r="L134" i="122" l="1"/>
  <c r="L133" i="122"/>
  <c r="L84" i="122"/>
  <c r="L93" i="122"/>
  <c r="M93" i="122" s="1"/>
  <c r="L94" i="122"/>
  <c r="M94" i="122" s="1"/>
  <c r="L95" i="122"/>
  <c r="M95" i="122" s="1"/>
  <c r="L96" i="122"/>
  <c r="M96" i="122" s="1"/>
  <c r="L92" i="122"/>
  <c r="M92" i="122" s="1"/>
  <c r="M84" i="122" l="1"/>
  <c r="N84" i="122"/>
  <c r="M133" i="122"/>
  <c r="N133" i="122"/>
  <c r="C17" i="39"/>
  <c r="C16" i="39"/>
  <c r="G10" i="131" l="1"/>
  <c r="G11" i="131"/>
  <c r="G15" i="131"/>
  <c r="F9" i="131"/>
  <c r="G9" i="131"/>
  <c r="G14" i="131"/>
  <c r="G13" i="131"/>
  <c r="G12" i="131"/>
  <c r="R57" i="135"/>
  <c r="R61" i="135"/>
  <c r="R65" i="135"/>
  <c r="R60" i="135"/>
  <c r="R54" i="135"/>
  <c r="R58" i="135"/>
  <c r="R62" i="135"/>
  <c r="R55" i="135"/>
  <c r="R59" i="135"/>
  <c r="R63" i="135"/>
  <c r="R56" i="135"/>
  <c r="R64" i="135"/>
  <c r="F14" i="131"/>
  <c r="F10" i="131"/>
  <c r="H10" i="131" s="1"/>
  <c r="F12" i="131"/>
  <c r="F13" i="131"/>
  <c r="F11" i="131"/>
  <c r="F15" i="131"/>
  <c r="D70" i="50" l="1"/>
  <c r="H15" i="131"/>
  <c r="H13" i="131"/>
  <c r="H14" i="131"/>
  <c r="H9" i="131"/>
  <c r="J11" i="131"/>
  <c r="H11" i="131"/>
  <c r="H12" i="131"/>
  <c r="J15" i="131"/>
  <c r="J13" i="131"/>
  <c r="J14" i="131"/>
  <c r="J10" i="131"/>
  <c r="J12" i="131"/>
  <c r="K67" i="135"/>
  <c r="I15" i="135" s="1"/>
  <c r="L67" i="135"/>
  <c r="F67" i="135"/>
  <c r="P67" i="135"/>
  <c r="M67" i="135"/>
  <c r="Q67" i="135"/>
  <c r="T67" i="135"/>
  <c r="V67" i="135"/>
  <c r="D67" i="135"/>
  <c r="S67" i="135"/>
  <c r="R67" i="135"/>
  <c r="W67" i="135"/>
  <c r="U67" i="135"/>
  <c r="J67" i="135"/>
  <c r="Z67" i="135"/>
  <c r="N67" i="135"/>
  <c r="O67" i="135"/>
  <c r="X67" i="135"/>
  <c r="G67" i="135"/>
  <c r="H67" i="135"/>
  <c r="AA67" i="135"/>
  <c r="I67" i="135"/>
  <c r="E67" i="135"/>
  <c r="AB67" i="135"/>
  <c r="Y67" i="135"/>
  <c r="L17" i="131"/>
  <c r="K17" i="131"/>
  <c r="G17" i="131"/>
  <c r="F17" i="131"/>
  <c r="D16" i="123"/>
  <c r="E16" i="123"/>
  <c r="D17" i="123"/>
  <c r="E17" i="123"/>
  <c r="D18" i="123"/>
  <c r="E18" i="123"/>
  <c r="D19" i="123"/>
  <c r="E19" i="123"/>
  <c r="D20" i="123"/>
  <c r="E20" i="123"/>
  <c r="D21" i="123"/>
  <c r="E21" i="123"/>
  <c r="C17" i="123"/>
  <c r="C18" i="123"/>
  <c r="C19" i="123"/>
  <c r="C20" i="123"/>
  <c r="C21" i="123"/>
  <c r="C16" i="123"/>
  <c r="C28" i="123"/>
  <c r="D8" i="139" l="1"/>
  <c r="J9" i="131"/>
  <c r="J17" i="131" s="1"/>
  <c r="D35" i="50" s="1"/>
  <c r="AN174" i="89" s="1"/>
  <c r="AU240" i="89" s="1"/>
  <c r="H17" i="131"/>
  <c r="D82" i="50"/>
  <c r="M7" i="123"/>
  <c r="Q249" i="49" l="1"/>
  <c r="P249" i="49" s="1"/>
  <c r="C99" i="64"/>
  <c r="O38" i="89"/>
  <c r="N38" i="89"/>
  <c r="M38" i="89"/>
  <c r="E18" i="58" l="1"/>
  <c r="C114" i="39" l="1"/>
  <c r="C113" i="39"/>
  <c r="H22" i="61"/>
  <c r="H23" i="61"/>
  <c r="H24" i="61"/>
  <c r="H25" i="61"/>
  <c r="H26" i="61"/>
  <c r="H27" i="61"/>
  <c r="H28" i="61"/>
  <c r="H29" i="61"/>
  <c r="H30" i="61"/>
  <c r="C70" i="58"/>
  <c r="C72" i="58" l="1"/>
  <c r="F70" i="58"/>
  <c r="M32" i="39"/>
  <c r="H68" i="58"/>
  <c r="H33" i="58"/>
  <c r="H34" i="58"/>
  <c r="E33" i="58"/>
  <c r="E34" i="58"/>
  <c r="F33" i="58"/>
  <c r="F34" i="58"/>
  <c r="V33" i="58" l="1"/>
  <c r="U31" i="58" l="1"/>
  <c r="U30" i="58"/>
  <c r="U29" i="58"/>
  <c r="Q29" i="58"/>
  <c r="E19" i="82" l="1"/>
  <c r="F19" i="82"/>
  <c r="G19" i="82"/>
  <c r="H19" i="82"/>
  <c r="E20" i="82"/>
  <c r="F20" i="82"/>
  <c r="G20" i="82"/>
  <c r="H20" i="82"/>
  <c r="E21" i="82"/>
  <c r="F21" i="82"/>
  <c r="G21" i="82"/>
  <c r="H21" i="82"/>
  <c r="E22" i="82"/>
  <c r="F22" i="82"/>
  <c r="G22" i="82"/>
  <c r="H22" i="82"/>
  <c r="E23" i="82"/>
  <c r="F23" i="82"/>
  <c r="G23" i="82"/>
  <c r="H23" i="82"/>
  <c r="E24" i="82"/>
  <c r="F24" i="82"/>
  <c r="G24" i="82"/>
  <c r="H24" i="82"/>
  <c r="E25" i="82"/>
  <c r="F25" i="82"/>
  <c r="G25" i="82"/>
  <c r="H25" i="82"/>
  <c r="E26" i="82"/>
  <c r="F26" i="82"/>
  <c r="G26" i="82"/>
  <c r="H26" i="82"/>
  <c r="E27" i="82"/>
  <c r="F27" i="82"/>
  <c r="G27" i="82"/>
  <c r="H27" i="82"/>
  <c r="F18" i="82"/>
  <c r="G18" i="82"/>
  <c r="H18" i="82"/>
  <c r="E18" i="82"/>
  <c r="E21" i="58" l="1"/>
  <c r="E20" i="58"/>
  <c r="B21" i="58"/>
  <c r="B20" i="58"/>
  <c r="J64" i="58"/>
  <c r="D64" i="58"/>
  <c r="C271" i="49" l="1"/>
  <c r="C270" i="49"/>
  <c r="C269" i="49"/>
  <c r="C268" i="49"/>
  <c r="J65" i="58"/>
  <c r="K65" i="58" s="1"/>
  <c r="K66" i="58" l="1"/>
  <c r="D36" i="50" s="1"/>
  <c r="F59" i="58" l="1"/>
  <c r="E59" i="58"/>
  <c r="F58" i="58"/>
  <c r="E58" i="58"/>
  <c r="F57" i="58"/>
  <c r="E57" i="58"/>
  <c r="K57" i="58" s="1"/>
  <c r="L57" i="58" s="1"/>
  <c r="F56" i="58"/>
  <c r="E56" i="58"/>
  <c r="F55" i="58"/>
  <c r="E55" i="58"/>
  <c r="K55" i="58" l="1"/>
  <c r="L55" i="58" s="1"/>
  <c r="K58" i="58"/>
  <c r="L58" i="58" s="1"/>
  <c r="K56" i="58"/>
  <c r="L56" i="58" s="1"/>
  <c r="K59" i="58"/>
  <c r="L59" i="58" s="1"/>
  <c r="G28" i="82"/>
  <c r="H28" i="82"/>
  <c r="G29" i="82"/>
  <c r="H29" i="82"/>
  <c r="G30" i="82"/>
  <c r="H30" i="82"/>
  <c r="G31" i="82"/>
  <c r="H31" i="82"/>
  <c r="G32" i="82"/>
  <c r="H32" i="82"/>
  <c r="G33" i="82"/>
  <c r="H33" i="82"/>
  <c r="G34" i="82"/>
  <c r="H34" i="82"/>
  <c r="G35" i="82"/>
  <c r="H35" i="82"/>
  <c r="G36" i="82"/>
  <c r="H36" i="82"/>
  <c r="G37" i="82"/>
  <c r="H37" i="82"/>
  <c r="G38" i="82"/>
  <c r="H38" i="82"/>
  <c r="G39" i="82"/>
  <c r="H39" i="82"/>
  <c r="G40" i="82"/>
  <c r="H40" i="82"/>
  <c r="G41" i="82"/>
  <c r="H41" i="82"/>
  <c r="G42" i="82"/>
  <c r="H42" i="82"/>
  <c r="G43" i="82"/>
  <c r="H43" i="82"/>
  <c r="G44" i="82"/>
  <c r="H44" i="82"/>
  <c r="G45" i="82"/>
  <c r="H45" i="82"/>
  <c r="G46" i="82"/>
  <c r="H46" i="82"/>
  <c r="G47" i="82"/>
  <c r="H47" i="82"/>
  <c r="G48" i="82"/>
  <c r="H48" i="82"/>
  <c r="G49" i="82"/>
  <c r="H49" i="82"/>
  <c r="G50" i="82"/>
  <c r="H50" i="82"/>
  <c r="G51" i="82"/>
  <c r="H51" i="82"/>
  <c r="G52" i="82"/>
  <c r="H52" i="82"/>
  <c r="G53" i="82"/>
  <c r="H53" i="82"/>
  <c r="G54" i="82"/>
  <c r="H54" i="82"/>
  <c r="G55" i="82"/>
  <c r="H55" i="82"/>
  <c r="G56" i="82"/>
  <c r="H56" i="82"/>
  <c r="G57" i="82"/>
  <c r="H57" i="82"/>
  <c r="G58" i="82"/>
  <c r="H58" i="82"/>
  <c r="G59" i="82"/>
  <c r="H59" i="82"/>
  <c r="G60" i="82"/>
  <c r="H60" i="82"/>
  <c r="E50" i="82"/>
  <c r="F50" i="82"/>
  <c r="E51" i="82"/>
  <c r="F51" i="82"/>
  <c r="E52" i="82"/>
  <c r="F52" i="82"/>
  <c r="E53" i="82"/>
  <c r="F53" i="82"/>
  <c r="E54" i="82"/>
  <c r="F54" i="82"/>
  <c r="E55" i="82"/>
  <c r="F55" i="82"/>
  <c r="E56" i="82"/>
  <c r="F56" i="82"/>
  <c r="E57" i="82"/>
  <c r="F57" i="82"/>
  <c r="E58" i="82"/>
  <c r="F58" i="82"/>
  <c r="E59" i="82"/>
  <c r="F59" i="82"/>
  <c r="E60" i="82"/>
  <c r="F60" i="82"/>
  <c r="E28" i="82"/>
  <c r="F28" i="82"/>
  <c r="E29" i="82"/>
  <c r="F29" i="82"/>
  <c r="E30" i="82"/>
  <c r="F30" i="82"/>
  <c r="E31" i="82"/>
  <c r="F31" i="82"/>
  <c r="E32" i="82"/>
  <c r="F32" i="82"/>
  <c r="E33" i="82"/>
  <c r="F33" i="82"/>
  <c r="E34" i="82"/>
  <c r="F34" i="82"/>
  <c r="E35" i="82"/>
  <c r="F35" i="82"/>
  <c r="E36" i="82"/>
  <c r="F36" i="82"/>
  <c r="E37" i="82"/>
  <c r="F37" i="82"/>
  <c r="E38" i="82"/>
  <c r="F38" i="82"/>
  <c r="E39" i="82"/>
  <c r="F39" i="82"/>
  <c r="E40" i="82"/>
  <c r="F40" i="82"/>
  <c r="E41" i="82"/>
  <c r="F41" i="82"/>
  <c r="E42" i="82"/>
  <c r="F42" i="82"/>
  <c r="E43" i="82"/>
  <c r="F43" i="82"/>
  <c r="E44" i="82"/>
  <c r="F44" i="82"/>
  <c r="E45" i="82"/>
  <c r="F45" i="82"/>
  <c r="E46" i="82"/>
  <c r="F46" i="82"/>
  <c r="E47" i="82"/>
  <c r="F47" i="82"/>
  <c r="E48" i="82"/>
  <c r="F48" i="82"/>
  <c r="E49" i="82"/>
  <c r="F49" i="82"/>
  <c r="T38" i="89" l="1"/>
  <c r="U43" i="71" l="1"/>
  <c r="H43" i="71" s="1"/>
  <c r="U44" i="71"/>
  <c r="H44" i="71" s="1"/>
  <c r="U45" i="71"/>
  <c r="H45" i="71" s="1"/>
  <c r="F115" i="122"/>
  <c r="W23" i="71"/>
  <c r="H23" i="71" s="1"/>
  <c r="W24" i="71"/>
  <c r="H24" i="71" s="1"/>
  <c r="W25" i="71"/>
  <c r="H25" i="71" s="1"/>
  <c r="W26" i="71"/>
  <c r="H26" i="71" s="1"/>
  <c r="W27" i="71"/>
  <c r="H27" i="71" s="1"/>
  <c r="W28" i="71"/>
  <c r="H28" i="71" s="1"/>
  <c r="W29" i="71"/>
  <c r="H29" i="71" s="1"/>
  <c r="W30" i="71"/>
  <c r="H30" i="71" s="1"/>
  <c r="U46" i="71"/>
  <c r="H46" i="71" s="1"/>
  <c r="U47" i="71"/>
  <c r="H47" i="71" s="1"/>
  <c r="U48" i="71"/>
  <c r="H48" i="71" s="1"/>
  <c r="U49" i="71"/>
  <c r="H49" i="71" s="1"/>
  <c r="U50" i="71"/>
  <c r="H50" i="71" s="1"/>
  <c r="U51" i="71"/>
  <c r="H51" i="71" s="1"/>
  <c r="U52" i="71"/>
  <c r="H52" i="71" s="1"/>
  <c r="U53" i="71"/>
  <c r="H53" i="71" s="1"/>
  <c r="U54" i="71"/>
  <c r="H54" i="71" s="1"/>
  <c r="U55" i="71"/>
  <c r="H55" i="71" s="1"/>
  <c r="U56" i="71"/>
  <c r="H56" i="71" s="1"/>
  <c r="U57" i="71"/>
  <c r="H57" i="71" s="1"/>
  <c r="U58" i="71"/>
  <c r="H58" i="71" s="1"/>
  <c r="U59" i="71"/>
  <c r="H59" i="71" s="1"/>
  <c r="G28" i="58" l="1"/>
  <c r="G31" i="58"/>
  <c r="G34" i="58"/>
  <c r="G33" i="58"/>
  <c r="G32" i="58"/>
  <c r="G30" i="58"/>
  <c r="C82" i="39"/>
  <c r="L11" i="51" l="1"/>
  <c r="K211" i="122" l="1"/>
  <c r="Q106" i="49" l="1"/>
  <c r="Q107" i="49"/>
  <c r="Q108" i="49"/>
  <c r="Q109" i="49"/>
  <c r="Q112" i="49"/>
  <c r="C107" i="49"/>
  <c r="C108" i="49"/>
  <c r="C109" i="49"/>
  <c r="C110" i="49"/>
  <c r="C111" i="49"/>
  <c r="C112" i="49"/>
  <c r="F105" i="49"/>
  <c r="G105" i="49"/>
  <c r="H105" i="49"/>
  <c r="I105" i="49"/>
  <c r="J105" i="49"/>
  <c r="K105" i="49"/>
  <c r="F106" i="49"/>
  <c r="G106" i="49"/>
  <c r="H106" i="49"/>
  <c r="I106" i="49"/>
  <c r="J106" i="49"/>
  <c r="K106" i="49"/>
  <c r="F107" i="49"/>
  <c r="G107" i="49"/>
  <c r="H107" i="49"/>
  <c r="I107" i="49"/>
  <c r="J107" i="49"/>
  <c r="K107" i="49"/>
  <c r="F108" i="49"/>
  <c r="G108" i="49"/>
  <c r="H108" i="49"/>
  <c r="I108" i="49"/>
  <c r="J108" i="49"/>
  <c r="K108" i="49"/>
  <c r="F109" i="49"/>
  <c r="G109" i="49"/>
  <c r="H109" i="49"/>
  <c r="I109" i="49"/>
  <c r="J109" i="49"/>
  <c r="K109" i="49"/>
  <c r="F110" i="49"/>
  <c r="G110" i="49"/>
  <c r="H110" i="49"/>
  <c r="I110" i="49"/>
  <c r="J110" i="49"/>
  <c r="K110" i="49"/>
  <c r="I111" i="49"/>
  <c r="J111" i="49"/>
  <c r="K111" i="49"/>
  <c r="G104" i="49"/>
  <c r="H104" i="49"/>
  <c r="I104" i="49"/>
  <c r="J104" i="49"/>
  <c r="K104" i="49"/>
  <c r="F104" i="49"/>
  <c r="F72" i="58" l="1"/>
  <c r="D70" i="58"/>
  <c r="H7" i="61"/>
  <c r="H8" i="61"/>
  <c r="H9" i="61"/>
  <c r="H10" i="61"/>
  <c r="H11" i="61"/>
  <c r="H12" i="61"/>
  <c r="H13" i="61"/>
  <c r="H14" i="61"/>
  <c r="H15" i="61"/>
  <c r="H16" i="61"/>
  <c r="H17" i="61"/>
  <c r="Q103" i="49" l="1"/>
  <c r="P103" i="49" s="1"/>
  <c r="P107" i="49"/>
  <c r="P108" i="49"/>
  <c r="P109" i="49"/>
  <c r="P112" i="49"/>
  <c r="F84" i="49"/>
  <c r="G84" i="49"/>
  <c r="H84" i="49"/>
  <c r="I84" i="49"/>
  <c r="J84" i="49"/>
  <c r="K84" i="49"/>
  <c r="F85" i="49"/>
  <c r="G85" i="49"/>
  <c r="H85" i="49"/>
  <c r="I85" i="49"/>
  <c r="J85" i="49"/>
  <c r="K85" i="49"/>
  <c r="F86" i="49"/>
  <c r="G86" i="49"/>
  <c r="H86" i="49"/>
  <c r="I86" i="49"/>
  <c r="J86" i="49"/>
  <c r="K86" i="49"/>
  <c r="F87" i="49"/>
  <c r="G87" i="49"/>
  <c r="H87" i="49"/>
  <c r="I87" i="49"/>
  <c r="J87" i="49"/>
  <c r="K87" i="49"/>
  <c r="F88" i="49"/>
  <c r="G88" i="49"/>
  <c r="H88" i="49"/>
  <c r="I88" i="49"/>
  <c r="J88" i="49"/>
  <c r="K88" i="49"/>
  <c r="F89" i="49"/>
  <c r="G89" i="49"/>
  <c r="H89" i="49"/>
  <c r="I89" i="49"/>
  <c r="J89" i="49"/>
  <c r="K89" i="49"/>
  <c r="F90" i="49"/>
  <c r="G90" i="49"/>
  <c r="H90" i="49"/>
  <c r="I90" i="49"/>
  <c r="J90" i="49"/>
  <c r="K90" i="49"/>
  <c r="F91" i="49"/>
  <c r="G91" i="49"/>
  <c r="H91" i="49"/>
  <c r="I91" i="49"/>
  <c r="J91" i="49"/>
  <c r="K91" i="49"/>
  <c r="F94" i="49"/>
  <c r="G94" i="49"/>
  <c r="H94" i="49"/>
  <c r="I94" i="49"/>
  <c r="J94" i="49"/>
  <c r="K94" i="49"/>
  <c r="F95" i="49"/>
  <c r="G95" i="49"/>
  <c r="H95" i="49"/>
  <c r="I95" i="49"/>
  <c r="J95" i="49"/>
  <c r="K95" i="49"/>
  <c r="F96" i="49"/>
  <c r="G96" i="49"/>
  <c r="H96" i="49"/>
  <c r="I96" i="49"/>
  <c r="J96" i="49"/>
  <c r="K96" i="49"/>
  <c r="F97" i="49"/>
  <c r="G97" i="49"/>
  <c r="H97" i="49"/>
  <c r="I97" i="49"/>
  <c r="J97" i="49"/>
  <c r="K97" i="49"/>
  <c r="F98" i="49"/>
  <c r="G98" i="49"/>
  <c r="H98" i="49"/>
  <c r="I98" i="49"/>
  <c r="J98" i="49"/>
  <c r="K98" i="49"/>
  <c r="F100" i="49"/>
  <c r="G100" i="49"/>
  <c r="H100" i="49"/>
  <c r="I100" i="49"/>
  <c r="J100" i="49"/>
  <c r="K100" i="49"/>
  <c r="F101" i="49"/>
  <c r="G101" i="49"/>
  <c r="H101" i="49"/>
  <c r="I101" i="49"/>
  <c r="J101" i="49"/>
  <c r="K101" i="49"/>
  <c r="F102" i="49"/>
  <c r="G102" i="49"/>
  <c r="H102" i="49"/>
  <c r="I102" i="49"/>
  <c r="J102" i="49"/>
  <c r="K102" i="49"/>
  <c r="F103" i="49"/>
  <c r="G103" i="49"/>
  <c r="H103" i="49"/>
  <c r="I103" i="49"/>
  <c r="J103" i="49"/>
  <c r="K103" i="49"/>
  <c r="J9" i="78"/>
  <c r="J8" i="78"/>
  <c r="K31" i="39" l="1"/>
  <c r="D29" i="58" l="1"/>
  <c r="D30" i="58"/>
  <c r="A42" i="61" l="1"/>
  <c r="A43" i="61"/>
  <c r="A44" i="61"/>
  <c r="A45" i="61"/>
  <c r="A46" i="61"/>
  <c r="A47" i="61"/>
  <c r="A48" i="61"/>
  <c r="A49" i="61"/>
  <c r="A50" i="61"/>
  <c r="A51" i="61"/>
  <c r="A52" i="61"/>
  <c r="A41" i="61"/>
  <c r="F148" i="122" l="1"/>
  <c r="F147" i="122"/>
  <c r="K215" i="122" l="1"/>
  <c r="K209" i="122"/>
  <c r="C13" i="50"/>
  <c r="J206" i="122"/>
  <c r="J205" i="122"/>
  <c r="C104" i="49" l="1"/>
  <c r="C105" i="49"/>
  <c r="C137" i="49"/>
  <c r="C138" i="49"/>
  <c r="F69" i="122" l="1"/>
  <c r="D28" i="58" l="1"/>
  <c r="D31" i="58"/>
  <c r="E31" i="58" s="1"/>
  <c r="D32" i="58"/>
  <c r="E32" i="58" s="1"/>
  <c r="D34" i="58"/>
  <c r="H18" i="61"/>
  <c r="H19" i="61"/>
  <c r="H20" i="61"/>
  <c r="H21" i="61"/>
  <c r="AF147" i="89" l="1"/>
  <c r="AF148" i="89"/>
  <c r="AF149" i="89"/>
  <c r="AF150" i="89"/>
  <c r="AF151" i="89"/>
  <c r="AF152" i="89"/>
  <c r="AF153" i="89"/>
  <c r="AF154" i="89"/>
  <c r="AF155" i="89"/>
  <c r="AF156" i="89"/>
  <c r="AF157" i="89"/>
  <c r="AF158" i="89"/>
  <c r="AF159" i="89"/>
  <c r="AF160" i="89"/>
  <c r="AF146" i="89"/>
  <c r="B55" i="64" l="1"/>
  <c r="AM175" i="89"/>
  <c r="AS241" i="89" s="1"/>
  <c r="AI154" i="89" l="1"/>
  <c r="AI155" i="89"/>
  <c r="AI156" i="89"/>
  <c r="AI157" i="89"/>
  <c r="AI158" i="89"/>
  <c r="AI159" i="89"/>
  <c r="AI160" i="89"/>
  <c r="H6" i="61"/>
  <c r="AI146" i="89" s="1"/>
  <c r="E30" i="58"/>
  <c r="E29" i="58"/>
  <c r="E28" i="58"/>
  <c r="F7" i="61"/>
  <c r="AG147" i="89" s="1"/>
  <c r="F8" i="61"/>
  <c r="AG148" i="89" s="1"/>
  <c r="F9" i="61"/>
  <c r="AG149" i="89" s="1"/>
  <c r="F10" i="61"/>
  <c r="AG150" i="89" s="1"/>
  <c r="F11" i="61"/>
  <c r="AG151" i="89" s="1"/>
  <c r="F12" i="61"/>
  <c r="AG152" i="89" s="1"/>
  <c r="F13" i="61"/>
  <c r="AG153" i="89" s="1"/>
  <c r="F14" i="61"/>
  <c r="F15" i="61"/>
  <c r="F16" i="61"/>
  <c r="F17" i="61"/>
  <c r="F18" i="61"/>
  <c r="F19" i="61"/>
  <c r="F20" i="61"/>
  <c r="F21" i="61"/>
  <c r="F22" i="61"/>
  <c r="F23" i="61"/>
  <c r="F24" i="61"/>
  <c r="F25" i="61"/>
  <c r="F26" i="61"/>
  <c r="F27" i="61"/>
  <c r="F28" i="61"/>
  <c r="F29" i="61"/>
  <c r="F30" i="61"/>
  <c r="F6" i="61"/>
  <c r="E7" i="61"/>
  <c r="E8" i="61"/>
  <c r="E9" i="61"/>
  <c r="E10" i="61"/>
  <c r="E11" i="61"/>
  <c r="E12" i="61"/>
  <c r="E13" i="61"/>
  <c r="E14" i="61"/>
  <c r="E15" i="61"/>
  <c r="E16" i="61"/>
  <c r="E17" i="61"/>
  <c r="E18" i="61"/>
  <c r="E19" i="61"/>
  <c r="E20" i="61"/>
  <c r="E21" i="61"/>
  <c r="E22" i="61"/>
  <c r="E23" i="61"/>
  <c r="E24" i="61"/>
  <c r="E25" i="61"/>
  <c r="E26" i="61"/>
  <c r="E27" i="61"/>
  <c r="E28" i="61"/>
  <c r="E29" i="61"/>
  <c r="E30" i="61"/>
  <c r="E6" i="61"/>
  <c r="E35" i="58" l="1"/>
  <c r="AG146" i="89"/>
  <c r="AH157" i="89"/>
  <c r="AG157" i="89"/>
  <c r="AH159" i="89"/>
  <c r="AG159" i="89"/>
  <c r="AH155" i="89"/>
  <c r="AG155" i="89"/>
  <c r="AG160" i="89"/>
  <c r="AH160" i="89"/>
  <c r="AG156" i="89"/>
  <c r="AH156" i="89"/>
  <c r="AG158" i="89"/>
  <c r="AH158" i="89"/>
  <c r="AG154" i="89"/>
  <c r="AH154" i="89"/>
  <c r="A53" i="61"/>
  <c r="A54" i="61"/>
  <c r="A55" i="61"/>
  <c r="A56" i="61"/>
  <c r="A57" i="61"/>
  <c r="A58" i="61"/>
  <c r="A59" i="61"/>
  <c r="A60" i="61"/>
  <c r="A61" i="61"/>
  <c r="A62" i="61"/>
  <c r="A63" i="61"/>
  <c r="A64" i="61"/>
  <c r="A65" i="61"/>
  <c r="A66" i="61"/>
  <c r="A67" i="61"/>
  <c r="L25" i="58" l="1"/>
  <c r="AA138" i="89"/>
  <c r="W22" i="71"/>
  <c r="H22" i="71" s="1"/>
  <c r="W21" i="71"/>
  <c r="H21" i="71" s="1"/>
  <c r="W20" i="71"/>
  <c r="H20" i="71" s="1"/>
  <c r="W19" i="71"/>
  <c r="H19" i="71" s="1"/>
  <c r="W18" i="71"/>
  <c r="H18" i="71" s="1"/>
  <c r="W17" i="71"/>
  <c r="H17" i="71" s="1"/>
  <c r="W16" i="71"/>
  <c r="H16" i="71" s="1"/>
  <c r="W15" i="71"/>
  <c r="H15" i="71" s="1"/>
  <c r="W14" i="71"/>
  <c r="H14" i="71" s="1"/>
  <c r="W13" i="71"/>
  <c r="H13" i="71" s="1"/>
  <c r="W12" i="71"/>
  <c r="H12" i="71" s="1"/>
  <c r="W11" i="71"/>
  <c r="H11" i="71" s="1"/>
  <c r="W10" i="71"/>
  <c r="H10" i="71" s="1"/>
  <c r="W9" i="71"/>
  <c r="H9" i="71" s="1"/>
  <c r="W8" i="71"/>
  <c r="H8" i="71" s="1"/>
  <c r="W7" i="71"/>
  <c r="H7" i="71" s="1"/>
  <c r="W6" i="71"/>
  <c r="H6" i="71" s="1"/>
  <c r="F107" i="122"/>
  <c r="F70" i="122"/>
  <c r="F71" i="122"/>
  <c r="F72" i="122"/>
  <c r="F73" i="122"/>
  <c r="F74" i="122"/>
  <c r="F75" i="122"/>
  <c r="F76" i="122"/>
  <c r="F77" i="122"/>
  <c r="F78" i="122"/>
  <c r="F79" i="122"/>
  <c r="F80" i="122"/>
  <c r="F81" i="122"/>
  <c r="F82" i="122"/>
  <c r="F83" i="122"/>
  <c r="F84" i="122"/>
  <c r="F85" i="122"/>
  <c r="F86" i="122"/>
  <c r="F87" i="122"/>
  <c r="F88" i="122"/>
  <c r="F89" i="122"/>
  <c r="F90" i="122"/>
  <c r="F91" i="122"/>
  <c r="F92" i="122"/>
  <c r="F93" i="122"/>
  <c r="F94" i="122"/>
  <c r="F95" i="122"/>
  <c r="F96" i="122"/>
  <c r="F97" i="122"/>
  <c r="F98" i="122"/>
  <c r="F99" i="122"/>
  <c r="F100" i="122"/>
  <c r="F101" i="122"/>
  <c r="F102" i="122"/>
  <c r="F103" i="122"/>
  <c r="F104" i="122"/>
  <c r="F105" i="122"/>
  <c r="F106" i="122"/>
  <c r="F108" i="122"/>
  <c r="F109" i="122"/>
  <c r="F110" i="122"/>
  <c r="F111" i="122"/>
  <c r="F112" i="122"/>
  <c r="F113" i="122"/>
  <c r="F114" i="122"/>
  <c r="F116" i="122"/>
  <c r="F117" i="122"/>
  <c r="F118" i="122"/>
  <c r="F119" i="122"/>
  <c r="F120" i="122"/>
  <c r="F121" i="122"/>
  <c r="F122" i="122"/>
  <c r="F123" i="122"/>
  <c r="F124" i="122"/>
  <c r="F125" i="122"/>
  <c r="F126" i="122"/>
  <c r="F127" i="122"/>
  <c r="F128" i="122"/>
  <c r="F129" i="122"/>
  <c r="F130" i="122"/>
  <c r="F131" i="122"/>
  <c r="F132" i="122"/>
  <c r="F133" i="122"/>
  <c r="F134" i="122"/>
  <c r="F135" i="122"/>
  <c r="F136" i="122"/>
  <c r="F137" i="122"/>
  <c r="F138" i="122"/>
  <c r="F139" i="122"/>
  <c r="F140" i="122"/>
  <c r="F141" i="122"/>
  <c r="F142" i="122"/>
  <c r="F143" i="122"/>
  <c r="F144" i="122"/>
  <c r="F145" i="122"/>
  <c r="F146" i="122"/>
  <c r="J60" i="58" l="1"/>
  <c r="L30" i="58" s="1"/>
  <c r="I21" i="61"/>
  <c r="I19" i="61"/>
  <c r="I24" i="61"/>
  <c r="I26" i="61"/>
  <c r="I23" i="61"/>
  <c r="I28" i="61"/>
  <c r="I14" i="61"/>
  <c r="I13" i="61"/>
  <c r="I11" i="61"/>
  <c r="I9" i="61"/>
  <c r="I16" i="61"/>
  <c r="I7" i="61"/>
  <c r="I12" i="61"/>
  <c r="I6" i="61"/>
  <c r="I10" i="61"/>
  <c r="I8" i="61"/>
  <c r="I15" i="61"/>
  <c r="I17" i="61"/>
  <c r="I27" i="61"/>
  <c r="I25" i="61"/>
  <c r="I29" i="61"/>
  <c r="I18" i="61"/>
  <c r="I20" i="61"/>
  <c r="I22" i="61"/>
  <c r="I30" i="61"/>
  <c r="J204" i="122" l="1"/>
  <c r="J203" i="122"/>
  <c r="J202" i="122"/>
  <c r="J201" i="122"/>
  <c r="J200" i="122"/>
  <c r="J199" i="122"/>
  <c r="J198" i="122"/>
  <c r="J197" i="122"/>
  <c r="J196" i="122"/>
  <c r="J195" i="122"/>
  <c r="S38" i="89" l="1"/>
  <c r="L32" i="39"/>
  <c r="L18" i="39"/>
  <c r="K32" i="39" l="1"/>
  <c r="D28" i="50" s="1"/>
  <c r="J216" i="122"/>
  <c r="J210" i="122"/>
  <c r="G76" i="82" l="1"/>
  <c r="C29" i="123" l="1"/>
  <c r="C30" i="123"/>
  <c r="C31" i="123"/>
  <c r="C32" i="123"/>
  <c r="C33" i="123"/>
  <c r="D29" i="123" l="1"/>
  <c r="E29" i="123"/>
  <c r="D30" i="123"/>
  <c r="E30" i="123"/>
  <c r="D31" i="123"/>
  <c r="E31" i="123"/>
  <c r="D32" i="123"/>
  <c r="E32" i="123"/>
  <c r="D33" i="123"/>
  <c r="E33" i="123"/>
  <c r="D28" i="123"/>
  <c r="AQ204" i="89" l="1"/>
  <c r="AQ203" i="89"/>
  <c r="AQ202" i="89"/>
  <c r="BA269" i="89"/>
  <c r="BA270" i="89"/>
  <c r="BA271" i="89"/>
  <c r="BA272" i="89"/>
  <c r="BA273" i="89"/>
  <c r="BA268" i="89"/>
  <c r="Q15" i="123" l="1"/>
  <c r="Q19" i="123" l="1"/>
  <c r="Q20" i="123"/>
  <c r="Q16" i="123"/>
  <c r="Q21" i="123"/>
  <c r="Q17" i="123"/>
  <c r="D15" i="25"/>
  <c r="D17" i="25" s="1"/>
  <c r="E15" i="25"/>
  <c r="E17" i="25" s="1"/>
  <c r="A41" i="71"/>
  <c r="AN169" i="89" l="1"/>
  <c r="F6" i="123"/>
  <c r="M6" i="123" s="1"/>
  <c r="BQ289" i="89" s="1"/>
  <c r="BG269" i="89" s="1"/>
  <c r="BQ290" i="89"/>
  <c r="BG270" i="89" s="1"/>
  <c r="F8" i="123"/>
  <c r="M8" i="123" s="1"/>
  <c r="BQ291" i="89" s="1"/>
  <c r="BG271" i="89" s="1"/>
  <c r="F9" i="123"/>
  <c r="M9" i="123" s="1"/>
  <c r="BQ292" i="89" s="1"/>
  <c r="BG272" i="89" s="1"/>
  <c r="F10" i="123"/>
  <c r="M10" i="123" s="1"/>
  <c r="BQ293" i="89" s="1"/>
  <c r="BG273" i="89" s="1"/>
  <c r="F5" i="123"/>
  <c r="M5" i="123" s="1"/>
  <c r="BQ288" i="89" s="1"/>
  <c r="N4" i="123"/>
  <c r="D118" i="78"/>
  <c r="C118" i="78"/>
  <c r="BQ294" i="89" l="1"/>
  <c r="BG268" i="89"/>
  <c r="Q27" i="123"/>
  <c r="Q22" i="123"/>
  <c r="M11" i="123"/>
  <c r="P15" i="123"/>
  <c r="P21" i="123" s="1"/>
  <c r="F11" i="123"/>
  <c r="P27" i="123" l="1"/>
  <c r="P17" i="123"/>
  <c r="P16" i="123"/>
  <c r="P20" i="123"/>
  <c r="P19" i="123"/>
  <c r="P22" i="123"/>
  <c r="P34" i="123" s="1"/>
  <c r="Q34" i="123"/>
  <c r="O15" i="123"/>
  <c r="O22" i="123" l="1"/>
  <c r="O34" i="123" s="1"/>
  <c r="O16" i="123"/>
  <c r="O20" i="123"/>
  <c r="O19" i="123"/>
  <c r="O17" i="123"/>
  <c r="O21" i="123"/>
  <c r="N15" i="123"/>
  <c r="O27" i="123"/>
  <c r="N22" i="123" l="1"/>
  <c r="N34" i="123" s="1"/>
  <c r="N19" i="123"/>
  <c r="N17" i="123"/>
  <c r="N21" i="123"/>
  <c r="N16" i="123"/>
  <c r="N20" i="123"/>
  <c r="M15" i="123"/>
  <c r="N27" i="123"/>
  <c r="M22" i="123" l="1"/>
  <c r="M34" i="123" s="1"/>
  <c r="M17" i="123"/>
  <c r="M21" i="123"/>
  <c r="M16" i="123"/>
  <c r="M20" i="123"/>
  <c r="M19" i="123"/>
  <c r="L15" i="123"/>
  <c r="L27" i="123" s="1"/>
  <c r="M27" i="123"/>
  <c r="L22" i="123" l="1"/>
  <c r="L34" i="123" s="1"/>
  <c r="L17" i="123"/>
  <c r="L21" i="123"/>
  <c r="L16" i="123"/>
  <c r="L20" i="123"/>
  <c r="L19" i="123"/>
  <c r="K15" i="123"/>
  <c r="K22" i="123" l="1"/>
  <c r="K34" i="123" s="1"/>
  <c r="K16" i="123"/>
  <c r="K20" i="123"/>
  <c r="K19" i="123"/>
  <c r="K17" i="123"/>
  <c r="K21" i="123"/>
  <c r="J15" i="123"/>
  <c r="K27" i="123"/>
  <c r="J22" i="123" l="1"/>
  <c r="J34" i="123" s="1"/>
  <c r="J19" i="123"/>
  <c r="J17" i="123"/>
  <c r="J21" i="123"/>
  <c r="J16" i="123"/>
  <c r="J20" i="123"/>
  <c r="I15" i="123"/>
  <c r="J27" i="123"/>
  <c r="I22" i="123" l="1"/>
  <c r="I34" i="123" s="1"/>
  <c r="I17" i="123"/>
  <c r="I21" i="123"/>
  <c r="I16" i="123"/>
  <c r="I20" i="123"/>
  <c r="I19" i="123"/>
  <c r="H15" i="123"/>
  <c r="I27" i="123"/>
  <c r="H19" i="123" l="1"/>
  <c r="H16" i="123"/>
  <c r="H20" i="123"/>
  <c r="H17" i="123"/>
  <c r="H21" i="123"/>
  <c r="H22" i="123"/>
  <c r="H34" i="123" s="1"/>
  <c r="G15" i="123"/>
  <c r="H27" i="123"/>
  <c r="G17" i="123" l="1"/>
  <c r="G19" i="123"/>
  <c r="G21" i="123"/>
  <c r="G16" i="123"/>
  <c r="G20" i="123"/>
  <c r="F15" i="123"/>
  <c r="G22" i="123"/>
  <c r="G34" i="123" s="1"/>
  <c r="G27" i="123"/>
  <c r="F17" i="123" l="1"/>
  <c r="F19" i="123"/>
  <c r="F21" i="123"/>
  <c r="F16" i="123"/>
  <c r="F20" i="123"/>
  <c r="E15" i="123"/>
  <c r="D15" i="123" s="1"/>
  <c r="F27" i="123"/>
  <c r="F22" i="123"/>
  <c r="E22" i="123" l="1"/>
  <c r="E23" i="123" s="1"/>
  <c r="F34" i="123"/>
  <c r="E27" i="123"/>
  <c r="E39" i="123" s="1"/>
  <c r="D22" i="123"/>
  <c r="E34" i="123" l="1"/>
  <c r="C15" i="123"/>
  <c r="C22" i="123" s="1"/>
  <c r="C5" i="123" s="1"/>
  <c r="D27" i="123"/>
  <c r="D39" i="123" s="1"/>
  <c r="D23" i="123"/>
  <c r="D34" i="123"/>
  <c r="C9" i="123" l="1"/>
  <c r="C8" i="123"/>
  <c r="C6" i="123"/>
  <c r="C27" i="123"/>
  <c r="C39" i="123" s="1"/>
  <c r="C34" i="123"/>
  <c r="C23" i="123"/>
  <c r="C35" i="123" l="1"/>
  <c r="AS234" i="89"/>
  <c r="AM177" i="89"/>
  <c r="AS243" i="89" s="1"/>
  <c r="AN177" i="89"/>
  <c r="AO174" i="89"/>
  <c r="AO176" i="89"/>
  <c r="D115" i="78"/>
  <c r="D119" i="78"/>
  <c r="D117" i="78"/>
  <c r="D116" i="78"/>
  <c r="C119" i="78"/>
  <c r="C117" i="78"/>
  <c r="C116" i="78"/>
  <c r="C115" i="78"/>
  <c r="C114" i="78"/>
  <c r="D114" i="78"/>
  <c r="AO177" i="89" l="1"/>
  <c r="AU243" i="89"/>
  <c r="C120" i="78"/>
  <c r="D120" i="78"/>
  <c r="F18" i="51"/>
  <c r="F15" i="51"/>
  <c r="F14" i="51"/>
  <c r="BU298" i="89" l="1"/>
  <c r="BU299" i="89"/>
  <c r="BU300" i="89"/>
  <c r="BU301" i="89"/>
  <c r="BU302" i="89"/>
  <c r="BU303" i="89"/>
  <c r="BU297" i="89"/>
  <c r="BT298" i="89"/>
  <c r="BT299" i="89"/>
  <c r="BT300" i="89"/>
  <c r="BT301" i="89"/>
  <c r="BT302" i="89"/>
  <c r="BT303" i="89"/>
  <c r="BT297" i="89"/>
  <c r="C9" i="78"/>
  <c r="C10" i="78"/>
  <c r="H41" i="39" l="1"/>
  <c r="K33" i="39"/>
  <c r="Q38" i="89" l="1"/>
  <c r="R38" i="89"/>
  <c r="P38" i="89"/>
  <c r="D53" i="39" l="1"/>
  <c r="B8" i="122" l="1"/>
  <c r="C8" i="122" s="1"/>
  <c r="D8" i="122" s="1"/>
  <c r="E8" i="122" s="1"/>
  <c r="F8" i="122" s="1"/>
  <c r="G8" i="122" s="1"/>
  <c r="H8" i="122" s="1"/>
  <c r="I8" i="122" s="1"/>
  <c r="J8" i="122" s="1"/>
  <c r="K8" i="122" s="1"/>
  <c r="L8" i="122" s="1"/>
  <c r="M8" i="122" s="1"/>
  <c r="N8" i="122" s="1"/>
  <c r="O8" i="122" l="1"/>
  <c r="P8" i="122" s="1"/>
  <c r="Q8" i="122" s="1"/>
  <c r="R8" i="122" s="1"/>
  <c r="S8" i="122" s="1"/>
  <c r="T8" i="122" s="1"/>
  <c r="U8" i="122" s="1"/>
  <c r="V8" i="122" s="1"/>
  <c r="W8" i="122" s="1"/>
  <c r="X8" i="122" s="1"/>
  <c r="Y8" i="122" s="1"/>
  <c r="Z8" i="122" s="1"/>
  <c r="AA8" i="122" s="1"/>
  <c r="AB8" i="122" s="1"/>
  <c r="AC8" i="122" s="1"/>
  <c r="AD8" i="122" s="1"/>
  <c r="AE8" i="122" s="1"/>
  <c r="AF8" i="122" s="1"/>
  <c r="AG8" i="122" s="1"/>
  <c r="AH8" i="122" s="1"/>
  <c r="AI8" i="122" s="1"/>
  <c r="AJ8" i="122" s="1"/>
  <c r="AK8" i="122" s="1"/>
  <c r="AL8" i="122" s="1"/>
  <c r="AM8" i="122" s="1"/>
  <c r="AN8" i="122" s="1"/>
  <c r="AM172" i="89" l="1"/>
  <c r="AS238" i="89" s="1"/>
  <c r="AM173" i="89"/>
  <c r="AS239" i="89" s="1"/>
  <c r="AM178" i="89"/>
  <c r="AS244" i="89" s="1"/>
  <c r="AN178" i="89"/>
  <c r="AM171" i="89"/>
  <c r="AS237" i="89" s="1"/>
  <c r="B56" i="64"/>
  <c r="C56" i="64"/>
  <c r="B57" i="64"/>
  <c r="C57" i="64"/>
  <c r="B58" i="64"/>
  <c r="B59" i="64"/>
  <c r="B60" i="64"/>
  <c r="C60" i="64"/>
  <c r="B53" i="64"/>
  <c r="C53" i="64"/>
  <c r="B54" i="64"/>
  <c r="C54" i="64"/>
  <c r="B51" i="64"/>
  <c r="B52" i="64"/>
  <c r="B50" i="64"/>
  <c r="AO178" i="89" l="1"/>
  <c r="AU244" i="89"/>
  <c r="D52" i="39"/>
  <c r="D50" i="39"/>
  <c r="D49" i="39"/>
  <c r="D41" i="39"/>
  <c r="A42" i="71" l="1"/>
  <c r="A43" i="71"/>
  <c r="A44" i="71"/>
  <c r="A45" i="71"/>
  <c r="A46" i="71"/>
  <c r="A47" i="71"/>
  <c r="A48" i="71"/>
  <c r="A49" i="71"/>
  <c r="A50" i="71"/>
  <c r="A51" i="71"/>
  <c r="A52" i="71"/>
  <c r="A53" i="71"/>
  <c r="A54" i="71"/>
  <c r="A55" i="71"/>
  <c r="A56" i="71"/>
  <c r="A57" i="71"/>
  <c r="C96" i="78"/>
  <c r="C32" i="64" l="1"/>
  <c r="Q3" i="39" l="1"/>
  <c r="P3" i="39"/>
  <c r="O3" i="39" s="1"/>
  <c r="K10" i="39" l="1"/>
  <c r="G22" i="25"/>
  <c r="Q180" i="49"/>
  <c r="Q181" i="49"/>
  <c r="Q188" i="49"/>
  <c r="Q272" i="49" l="1"/>
  <c r="P272" i="49" s="1"/>
  <c r="D53" i="123"/>
  <c r="C83" i="49"/>
  <c r="C84" i="49"/>
  <c r="C94" i="49"/>
  <c r="C95" i="49"/>
  <c r="C96" i="49"/>
  <c r="C97" i="49"/>
  <c r="C98" i="49"/>
  <c r="C100" i="49"/>
  <c r="C101" i="49"/>
  <c r="C102" i="49"/>
  <c r="C103" i="49"/>
  <c r="C106" i="49"/>
  <c r="Q90" i="49"/>
  <c r="Q96" i="49"/>
  <c r="Q97" i="49"/>
  <c r="F83" i="49"/>
  <c r="G83" i="49"/>
  <c r="H83" i="49"/>
  <c r="I83" i="49"/>
  <c r="J83" i="49"/>
  <c r="K83" i="49"/>
  <c r="G18" i="123" l="1"/>
  <c r="K18" i="123"/>
  <c r="K23" i="123" s="1"/>
  <c r="O18" i="123"/>
  <c r="O23" i="123" s="1"/>
  <c r="H18" i="123"/>
  <c r="L18" i="123"/>
  <c r="L23" i="123" s="1"/>
  <c r="P18" i="123"/>
  <c r="P23" i="123" s="1"/>
  <c r="I18" i="123"/>
  <c r="I23" i="123" s="1"/>
  <c r="M18" i="123"/>
  <c r="M23" i="123" s="1"/>
  <c r="Q18" i="123"/>
  <c r="Q23" i="123" s="1"/>
  <c r="F18" i="123"/>
  <c r="J18" i="123"/>
  <c r="J23" i="123" s="1"/>
  <c r="N18" i="123"/>
  <c r="N23" i="123" s="1"/>
  <c r="J2" i="130"/>
  <c r="J3" i="130" s="1"/>
  <c r="J4" i="130" s="1"/>
  <c r="J5" i="130" s="1"/>
  <c r="AS232" i="89"/>
  <c r="C7" i="123" l="1"/>
  <c r="D6" i="123"/>
  <c r="D7" i="123"/>
  <c r="D8" i="123"/>
  <c r="D5" i="123"/>
  <c r="E5" i="123" s="1"/>
  <c r="D10" i="123"/>
  <c r="D9" i="123"/>
  <c r="Y60" i="82"/>
  <c r="X60" i="82"/>
  <c r="W60" i="82"/>
  <c r="V60" i="82"/>
  <c r="U60" i="82"/>
  <c r="T60" i="82"/>
  <c r="S60" i="82"/>
  <c r="R60" i="82"/>
  <c r="Q60" i="82"/>
  <c r="P60" i="82"/>
  <c r="O60" i="82"/>
  <c r="N60" i="82"/>
  <c r="D60" i="82"/>
  <c r="C60" i="82"/>
  <c r="B60" i="82"/>
  <c r="AA60" i="82" s="1"/>
  <c r="Y59" i="82"/>
  <c r="X59" i="82"/>
  <c r="W59" i="82"/>
  <c r="V59" i="82"/>
  <c r="U59" i="82"/>
  <c r="T59" i="82"/>
  <c r="S59" i="82"/>
  <c r="R59" i="82"/>
  <c r="Q59" i="82"/>
  <c r="P59" i="82"/>
  <c r="O59" i="82"/>
  <c r="N59" i="82"/>
  <c r="D59" i="82"/>
  <c r="C59" i="82"/>
  <c r="B59" i="82"/>
  <c r="AA59" i="82" s="1"/>
  <c r="Y58" i="82"/>
  <c r="X58" i="82"/>
  <c r="W58" i="82"/>
  <c r="V58" i="82"/>
  <c r="U58" i="82"/>
  <c r="T58" i="82"/>
  <c r="S58" i="82"/>
  <c r="R58" i="82"/>
  <c r="Q58" i="82"/>
  <c r="P58" i="82"/>
  <c r="O58" i="82"/>
  <c r="N58" i="82"/>
  <c r="D58" i="82"/>
  <c r="C58" i="82"/>
  <c r="B58" i="82"/>
  <c r="AA58" i="82" s="1"/>
  <c r="Y57" i="82"/>
  <c r="X57" i="82"/>
  <c r="W57" i="82"/>
  <c r="V57" i="82"/>
  <c r="U57" i="82"/>
  <c r="T57" i="82"/>
  <c r="S57" i="82"/>
  <c r="R57" i="82"/>
  <c r="Q57" i="82"/>
  <c r="P57" i="82"/>
  <c r="O57" i="82"/>
  <c r="N57" i="82"/>
  <c r="D57" i="82"/>
  <c r="C57" i="82"/>
  <c r="B57" i="82"/>
  <c r="AA57" i="82" s="1"/>
  <c r="Y56" i="82"/>
  <c r="X56" i="82"/>
  <c r="W56" i="82"/>
  <c r="V56" i="82"/>
  <c r="U56" i="82"/>
  <c r="T56" i="82"/>
  <c r="S56" i="82"/>
  <c r="R56" i="82"/>
  <c r="Q56" i="82"/>
  <c r="P56" i="82"/>
  <c r="O56" i="82"/>
  <c r="N56" i="82"/>
  <c r="D56" i="82"/>
  <c r="C56" i="82"/>
  <c r="B56" i="82"/>
  <c r="AA56" i="82" s="1"/>
  <c r="Y55" i="82"/>
  <c r="X55" i="82"/>
  <c r="W55" i="82"/>
  <c r="V55" i="82"/>
  <c r="U55" i="82"/>
  <c r="T55" i="82"/>
  <c r="S55" i="82"/>
  <c r="R55" i="82"/>
  <c r="Q55" i="82"/>
  <c r="P55" i="82"/>
  <c r="O55" i="82"/>
  <c r="N55" i="82"/>
  <c r="D55" i="82"/>
  <c r="C55" i="82"/>
  <c r="B55" i="82"/>
  <c r="AA55" i="82" s="1"/>
  <c r="Y54" i="82"/>
  <c r="X54" i="82"/>
  <c r="W54" i="82"/>
  <c r="V54" i="82"/>
  <c r="U54" i="82"/>
  <c r="T54" i="82"/>
  <c r="S54" i="82"/>
  <c r="R54" i="82"/>
  <c r="Q54" i="82"/>
  <c r="P54" i="82"/>
  <c r="O54" i="82"/>
  <c r="N54" i="82"/>
  <c r="D54" i="82"/>
  <c r="C54" i="82"/>
  <c r="B54" i="82"/>
  <c r="AA54" i="82" s="1"/>
  <c r="Y53" i="82"/>
  <c r="X53" i="82"/>
  <c r="W53" i="82"/>
  <c r="V53" i="82"/>
  <c r="U53" i="82"/>
  <c r="T53" i="82"/>
  <c r="S53" i="82"/>
  <c r="R53" i="82"/>
  <c r="Q53" i="82"/>
  <c r="P53" i="82"/>
  <c r="O53" i="82"/>
  <c r="N53" i="82"/>
  <c r="D53" i="82"/>
  <c r="C53" i="82"/>
  <c r="B53" i="82"/>
  <c r="AA53" i="82" s="1"/>
  <c r="Y52" i="82"/>
  <c r="X52" i="82"/>
  <c r="W52" i="82"/>
  <c r="V52" i="82"/>
  <c r="U52" i="82"/>
  <c r="T52" i="82"/>
  <c r="S52" i="82"/>
  <c r="R52" i="82"/>
  <c r="Q52" i="82"/>
  <c r="P52" i="82"/>
  <c r="O52" i="82"/>
  <c r="N52" i="82"/>
  <c r="D52" i="82"/>
  <c r="C52" i="82"/>
  <c r="B52" i="82"/>
  <c r="AA52" i="82" s="1"/>
  <c r="Y51" i="82"/>
  <c r="X51" i="82"/>
  <c r="W51" i="82"/>
  <c r="V51" i="82"/>
  <c r="U51" i="82"/>
  <c r="T51" i="82"/>
  <c r="S51" i="82"/>
  <c r="R51" i="82"/>
  <c r="Q51" i="82"/>
  <c r="P51" i="82"/>
  <c r="O51" i="82"/>
  <c r="N51" i="82"/>
  <c r="D51" i="82"/>
  <c r="C51" i="82"/>
  <c r="B51" i="82"/>
  <c r="AA51" i="82" s="1"/>
  <c r="Y50" i="82"/>
  <c r="X50" i="82"/>
  <c r="W50" i="82"/>
  <c r="V50" i="82"/>
  <c r="U50" i="82"/>
  <c r="T50" i="82"/>
  <c r="S50" i="82"/>
  <c r="R50" i="82"/>
  <c r="Q50" i="82"/>
  <c r="P50" i="82"/>
  <c r="O50" i="82"/>
  <c r="N50" i="82"/>
  <c r="D50" i="82"/>
  <c r="C50" i="82"/>
  <c r="B50" i="82"/>
  <c r="AA50" i="82" s="1"/>
  <c r="Y49" i="82"/>
  <c r="X49" i="82"/>
  <c r="W49" i="82"/>
  <c r="V49" i="82"/>
  <c r="U49" i="82"/>
  <c r="T49" i="82"/>
  <c r="S49" i="82"/>
  <c r="R49" i="82"/>
  <c r="Q49" i="82"/>
  <c r="P49" i="82"/>
  <c r="O49" i="82"/>
  <c r="N49" i="82"/>
  <c r="D49" i="82"/>
  <c r="C49" i="82"/>
  <c r="B49" i="82"/>
  <c r="AA49" i="82" s="1"/>
  <c r="Y48" i="82"/>
  <c r="X48" i="82"/>
  <c r="W48" i="82"/>
  <c r="V48" i="82"/>
  <c r="U48" i="82"/>
  <c r="T48" i="82"/>
  <c r="S48" i="82"/>
  <c r="R48" i="82"/>
  <c r="Q48" i="82"/>
  <c r="P48" i="82"/>
  <c r="O48" i="82"/>
  <c r="N48" i="82"/>
  <c r="D48" i="82"/>
  <c r="C48" i="82"/>
  <c r="B48" i="82"/>
  <c r="AA48" i="82" s="1"/>
  <c r="Y47" i="82"/>
  <c r="X47" i="82"/>
  <c r="W47" i="82"/>
  <c r="V47" i="82"/>
  <c r="U47" i="82"/>
  <c r="T47" i="82"/>
  <c r="S47" i="82"/>
  <c r="R47" i="82"/>
  <c r="Q47" i="82"/>
  <c r="P47" i="82"/>
  <c r="O47" i="82"/>
  <c r="N47" i="82"/>
  <c r="D47" i="82"/>
  <c r="C47" i="82"/>
  <c r="B47" i="82"/>
  <c r="AA47" i="82" s="1"/>
  <c r="Y46" i="82"/>
  <c r="X46" i="82"/>
  <c r="W46" i="82"/>
  <c r="V46" i="82"/>
  <c r="U46" i="82"/>
  <c r="T46" i="82"/>
  <c r="S46" i="82"/>
  <c r="R46" i="82"/>
  <c r="Q46" i="82"/>
  <c r="P46" i="82"/>
  <c r="O46" i="82"/>
  <c r="N46" i="82"/>
  <c r="D46" i="82"/>
  <c r="C46" i="82"/>
  <c r="B46" i="82"/>
  <c r="AA46" i="82" s="1"/>
  <c r="Y45" i="82"/>
  <c r="X45" i="82"/>
  <c r="W45" i="82"/>
  <c r="V45" i="82"/>
  <c r="U45" i="82"/>
  <c r="T45" i="82"/>
  <c r="S45" i="82"/>
  <c r="R45" i="82"/>
  <c r="Q45" i="82"/>
  <c r="P45" i="82"/>
  <c r="O45" i="82"/>
  <c r="N45" i="82"/>
  <c r="D45" i="82"/>
  <c r="C45" i="82"/>
  <c r="B45" i="82"/>
  <c r="AA45" i="82" s="1"/>
  <c r="Y44" i="82"/>
  <c r="X44" i="82"/>
  <c r="W44" i="82"/>
  <c r="V44" i="82"/>
  <c r="U44" i="82"/>
  <c r="T44" i="82"/>
  <c r="S44" i="82"/>
  <c r="R44" i="82"/>
  <c r="Q44" i="82"/>
  <c r="P44" i="82"/>
  <c r="O44" i="82"/>
  <c r="N44" i="82"/>
  <c r="D44" i="82"/>
  <c r="C44" i="82"/>
  <c r="B44" i="82"/>
  <c r="AA44" i="82" s="1"/>
  <c r="Y43" i="82"/>
  <c r="X43" i="82"/>
  <c r="W43" i="82"/>
  <c r="V43" i="82"/>
  <c r="U43" i="82"/>
  <c r="T43" i="82"/>
  <c r="S43" i="82"/>
  <c r="R43" i="82"/>
  <c r="Q43" i="82"/>
  <c r="P43" i="82"/>
  <c r="O43" i="82"/>
  <c r="N43" i="82"/>
  <c r="D43" i="82"/>
  <c r="C43" i="82"/>
  <c r="B43" i="82"/>
  <c r="AA43" i="82" s="1"/>
  <c r="Y42" i="82"/>
  <c r="X42" i="82"/>
  <c r="W42" i="82"/>
  <c r="V42" i="82"/>
  <c r="U42" i="82"/>
  <c r="T42" i="82"/>
  <c r="S42" i="82"/>
  <c r="R42" i="82"/>
  <c r="Q42" i="82"/>
  <c r="P42" i="82"/>
  <c r="O42" i="82"/>
  <c r="N42" i="82"/>
  <c r="D42" i="82"/>
  <c r="C42" i="82"/>
  <c r="B42" i="82"/>
  <c r="AA42" i="82" s="1"/>
  <c r="Y41" i="82"/>
  <c r="X41" i="82"/>
  <c r="W41" i="82"/>
  <c r="V41" i="82"/>
  <c r="U41" i="82"/>
  <c r="T41" i="82"/>
  <c r="S41" i="82"/>
  <c r="R41" i="82"/>
  <c r="Q41" i="82"/>
  <c r="P41" i="82"/>
  <c r="O41" i="82"/>
  <c r="N41" i="82"/>
  <c r="D41" i="82"/>
  <c r="C41" i="82"/>
  <c r="B41" i="82"/>
  <c r="AA41" i="82" s="1"/>
  <c r="Y40" i="82"/>
  <c r="X40" i="82"/>
  <c r="W40" i="82"/>
  <c r="V40" i="82"/>
  <c r="U40" i="82"/>
  <c r="T40" i="82"/>
  <c r="S40" i="82"/>
  <c r="R40" i="82"/>
  <c r="Q40" i="82"/>
  <c r="P40" i="82"/>
  <c r="O40" i="82"/>
  <c r="N40" i="82"/>
  <c r="D40" i="82"/>
  <c r="C40" i="82"/>
  <c r="B40" i="82"/>
  <c r="AA40" i="82" s="1"/>
  <c r="Y39" i="82"/>
  <c r="X39" i="82"/>
  <c r="W39" i="82"/>
  <c r="V39" i="82"/>
  <c r="U39" i="82"/>
  <c r="T39" i="82"/>
  <c r="S39" i="82"/>
  <c r="R39" i="82"/>
  <c r="Q39" i="82"/>
  <c r="P39" i="82"/>
  <c r="O39" i="82"/>
  <c r="N39" i="82"/>
  <c r="D39" i="82"/>
  <c r="C39" i="82"/>
  <c r="B39" i="82"/>
  <c r="AA39" i="82" s="1"/>
  <c r="Y38" i="82"/>
  <c r="X38" i="82"/>
  <c r="W38" i="82"/>
  <c r="V38" i="82"/>
  <c r="U38" i="82"/>
  <c r="T38" i="82"/>
  <c r="S38" i="82"/>
  <c r="R38" i="82"/>
  <c r="Q38" i="82"/>
  <c r="P38" i="82"/>
  <c r="O38" i="82"/>
  <c r="N38" i="82"/>
  <c r="D38" i="82"/>
  <c r="C38" i="82"/>
  <c r="B38" i="82"/>
  <c r="AA38" i="82" s="1"/>
  <c r="Y37" i="82"/>
  <c r="X37" i="82"/>
  <c r="W37" i="82"/>
  <c r="V37" i="82"/>
  <c r="U37" i="82"/>
  <c r="T37" i="82"/>
  <c r="S37" i="82"/>
  <c r="R37" i="82"/>
  <c r="Q37" i="82"/>
  <c r="P37" i="82"/>
  <c r="O37" i="82"/>
  <c r="N37" i="82"/>
  <c r="D37" i="82"/>
  <c r="C37" i="82"/>
  <c r="B37" i="82"/>
  <c r="AA37" i="82" s="1"/>
  <c r="Y36" i="82"/>
  <c r="X36" i="82"/>
  <c r="W36" i="82"/>
  <c r="V36" i="82"/>
  <c r="U36" i="82"/>
  <c r="T36" i="82"/>
  <c r="S36" i="82"/>
  <c r="R36" i="82"/>
  <c r="Q36" i="82"/>
  <c r="P36" i="82"/>
  <c r="O36" i="82"/>
  <c r="N36" i="82"/>
  <c r="D36" i="82"/>
  <c r="C36" i="82"/>
  <c r="B36" i="82"/>
  <c r="AA36" i="82" s="1"/>
  <c r="Y35" i="82"/>
  <c r="X35" i="82"/>
  <c r="W35" i="82"/>
  <c r="V35" i="82"/>
  <c r="U35" i="82"/>
  <c r="T35" i="82"/>
  <c r="S35" i="82"/>
  <c r="R35" i="82"/>
  <c r="Q35" i="82"/>
  <c r="P35" i="82"/>
  <c r="O35" i="82"/>
  <c r="N35" i="82"/>
  <c r="D35" i="82"/>
  <c r="C35" i="82"/>
  <c r="B35" i="82"/>
  <c r="AA35" i="82" s="1"/>
  <c r="Y34" i="82"/>
  <c r="X34" i="82"/>
  <c r="W34" i="82"/>
  <c r="V34" i="82"/>
  <c r="U34" i="82"/>
  <c r="T34" i="82"/>
  <c r="S34" i="82"/>
  <c r="R34" i="82"/>
  <c r="Q34" i="82"/>
  <c r="P34" i="82"/>
  <c r="O34" i="82"/>
  <c r="N34" i="82"/>
  <c r="D34" i="82"/>
  <c r="C34" i="82"/>
  <c r="B34" i="82"/>
  <c r="AA34" i="82" s="1"/>
  <c r="Y33" i="82"/>
  <c r="X33" i="82"/>
  <c r="W33" i="82"/>
  <c r="V33" i="82"/>
  <c r="U33" i="82"/>
  <c r="T33" i="82"/>
  <c r="S33" i="82"/>
  <c r="R33" i="82"/>
  <c r="Q33" i="82"/>
  <c r="P33" i="82"/>
  <c r="O33" i="82"/>
  <c r="N33" i="82"/>
  <c r="D33" i="82"/>
  <c r="C33" i="82"/>
  <c r="B33" i="82"/>
  <c r="AA33" i="82" s="1"/>
  <c r="Y32" i="82"/>
  <c r="X32" i="82"/>
  <c r="W32" i="82"/>
  <c r="V32" i="82"/>
  <c r="U32" i="82"/>
  <c r="T32" i="82"/>
  <c r="S32" i="82"/>
  <c r="R32" i="82"/>
  <c r="Q32" i="82"/>
  <c r="P32" i="82"/>
  <c r="O32" i="82"/>
  <c r="N32" i="82"/>
  <c r="D32" i="82"/>
  <c r="C32" i="82"/>
  <c r="B32" i="82"/>
  <c r="AA32" i="82" s="1"/>
  <c r="Y31" i="82"/>
  <c r="X31" i="82"/>
  <c r="W31" i="82"/>
  <c r="V31" i="82"/>
  <c r="U31" i="82"/>
  <c r="T31" i="82"/>
  <c r="S31" i="82"/>
  <c r="R31" i="82"/>
  <c r="Q31" i="82"/>
  <c r="P31" i="82"/>
  <c r="O31" i="82"/>
  <c r="N31" i="82"/>
  <c r="D31" i="82"/>
  <c r="C31" i="82"/>
  <c r="B31" i="82"/>
  <c r="AA31" i="82" s="1"/>
  <c r="Y30" i="82"/>
  <c r="X30" i="82"/>
  <c r="W30" i="82"/>
  <c r="V30" i="82"/>
  <c r="U30" i="82"/>
  <c r="T30" i="82"/>
  <c r="S30" i="82"/>
  <c r="R30" i="82"/>
  <c r="Q30" i="82"/>
  <c r="P30" i="82"/>
  <c r="O30" i="82"/>
  <c r="N30" i="82"/>
  <c r="D30" i="82"/>
  <c r="C30" i="82"/>
  <c r="B30" i="82"/>
  <c r="AA30" i="82" s="1"/>
  <c r="Y29" i="82"/>
  <c r="X29" i="82"/>
  <c r="W29" i="82"/>
  <c r="V29" i="82"/>
  <c r="U29" i="82"/>
  <c r="T29" i="82"/>
  <c r="S29" i="82"/>
  <c r="R29" i="82"/>
  <c r="Q29" i="82"/>
  <c r="P29" i="82"/>
  <c r="O29" i="82"/>
  <c r="N29" i="82"/>
  <c r="D29" i="82"/>
  <c r="C29" i="82"/>
  <c r="B29" i="82"/>
  <c r="AA29" i="82" s="1"/>
  <c r="Y28" i="82"/>
  <c r="X28" i="82"/>
  <c r="W28" i="82"/>
  <c r="V28" i="82"/>
  <c r="U28" i="82"/>
  <c r="T28" i="82"/>
  <c r="S28" i="82"/>
  <c r="R28" i="82"/>
  <c r="Q28" i="82"/>
  <c r="P28" i="82"/>
  <c r="O28" i="82"/>
  <c r="N28" i="82"/>
  <c r="D28" i="82"/>
  <c r="C28" i="82"/>
  <c r="B28" i="82"/>
  <c r="AA28" i="82" s="1"/>
  <c r="Y27" i="82"/>
  <c r="X27" i="82"/>
  <c r="W27" i="82"/>
  <c r="V27" i="82"/>
  <c r="U27" i="82"/>
  <c r="T27" i="82"/>
  <c r="S27" i="82"/>
  <c r="R27" i="82"/>
  <c r="Q27" i="82"/>
  <c r="P27" i="82"/>
  <c r="O27" i="82"/>
  <c r="N27" i="82"/>
  <c r="D27" i="82"/>
  <c r="C27" i="82"/>
  <c r="B27" i="82"/>
  <c r="AA27" i="82" s="1"/>
  <c r="Y26" i="82"/>
  <c r="X26" i="82"/>
  <c r="W26" i="82"/>
  <c r="V26" i="82"/>
  <c r="U26" i="82"/>
  <c r="T26" i="82"/>
  <c r="S26" i="82"/>
  <c r="R26" i="82"/>
  <c r="Q26" i="82"/>
  <c r="P26" i="82"/>
  <c r="O26" i="82"/>
  <c r="N26" i="82"/>
  <c r="D26" i="82"/>
  <c r="C26" i="82"/>
  <c r="B26" i="82"/>
  <c r="AA26" i="82" s="1"/>
  <c r="Y25" i="82"/>
  <c r="X25" i="82"/>
  <c r="W25" i="82"/>
  <c r="V25" i="82"/>
  <c r="U25" i="82"/>
  <c r="T25" i="82"/>
  <c r="S25" i="82"/>
  <c r="R25" i="82"/>
  <c r="Q25" i="82"/>
  <c r="P25" i="82"/>
  <c r="O25" i="82"/>
  <c r="N25" i="82"/>
  <c r="D25" i="82"/>
  <c r="C25" i="82"/>
  <c r="B25" i="82"/>
  <c r="AA25" i="82" s="1"/>
  <c r="Y24" i="82"/>
  <c r="X24" i="82"/>
  <c r="W24" i="82"/>
  <c r="V24" i="82"/>
  <c r="U24" i="82"/>
  <c r="T24" i="82"/>
  <c r="S24" i="82"/>
  <c r="R24" i="82"/>
  <c r="Q24" i="82"/>
  <c r="P24" i="82"/>
  <c r="O24" i="82"/>
  <c r="N24" i="82"/>
  <c r="D24" i="82"/>
  <c r="C24" i="82"/>
  <c r="B24" i="82"/>
  <c r="AA24" i="82" s="1"/>
  <c r="Y23" i="82"/>
  <c r="X23" i="82"/>
  <c r="W23" i="82"/>
  <c r="V23" i="82"/>
  <c r="U23" i="82"/>
  <c r="T23" i="82"/>
  <c r="S23" i="82"/>
  <c r="R23" i="82"/>
  <c r="Q23" i="82"/>
  <c r="P23" i="82"/>
  <c r="O23" i="82"/>
  <c r="N23" i="82"/>
  <c r="D23" i="82"/>
  <c r="C23" i="82"/>
  <c r="B23" i="82"/>
  <c r="AA23" i="82" s="1"/>
  <c r="Y22" i="82"/>
  <c r="X22" i="82"/>
  <c r="W22" i="82"/>
  <c r="V22" i="82"/>
  <c r="U22" i="82"/>
  <c r="T22" i="82"/>
  <c r="S22" i="82"/>
  <c r="R22" i="82"/>
  <c r="Q22" i="82"/>
  <c r="P22" i="82"/>
  <c r="O22" i="82"/>
  <c r="N22" i="82"/>
  <c r="D22" i="82"/>
  <c r="C22" i="82"/>
  <c r="B22" i="82"/>
  <c r="AA22" i="82" s="1"/>
  <c r="Y21" i="82"/>
  <c r="X21" i="82"/>
  <c r="W21" i="82"/>
  <c r="V21" i="82"/>
  <c r="U21" i="82"/>
  <c r="T21" i="82"/>
  <c r="S21" i="82"/>
  <c r="R21" i="82"/>
  <c r="Q21" i="82"/>
  <c r="P21" i="82"/>
  <c r="O21" i="82"/>
  <c r="N21" i="82"/>
  <c r="D21" i="82"/>
  <c r="C21" i="82"/>
  <c r="B21" i="82"/>
  <c r="AA21" i="82" s="1"/>
  <c r="Y20" i="82"/>
  <c r="X20" i="82"/>
  <c r="W20" i="82"/>
  <c r="V20" i="82"/>
  <c r="U20" i="82"/>
  <c r="T20" i="82"/>
  <c r="S20" i="82"/>
  <c r="R20" i="82"/>
  <c r="Q20" i="82"/>
  <c r="P20" i="82"/>
  <c r="O20" i="82"/>
  <c r="N20" i="82"/>
  <c r="D20" i="82"/>
  <c r="C20" i="82"/>
  <c r="B20" i="82"/>
  <c r="AA20" i="82" s="1"/>
  <c r="Y19" i="82"/>
  <c r="X19" i="82"/>
  <c r="W19" i="82"/>
  <c r="V19" i="82"/>
  <c r="U19" i="82"/>
  <c r="T19" i="82"/>
  <c r="S19" i="82"/>
  <c r="R19" i="82"/>
  <c r="Q19" i="82"/>
  <c r="P19" i="82"/>
  <c r="O19" i="82"/>
  <c r="N19" i="82"/>
  <c r="D19" i="82"/>
  <c r="C19" i="82"/>
  <c r="B19" i="82"/>
  <c r="AA19" i="82" s="1"/>
  <c r="Y18" i="82"/>
  <c r="X18" i="82"/>
  <c r="W18" i="82"/>
  <c r="V18" i="82"/>
  <c r="U18" i="82"/>
  <c r="T18" i="82"/>
  <c r="S18" i="82"/>
  <c r="R18" i="82"/>
  <c r="Q18" i="82"/>
  <c r="P18" i="82"/>
  <c r="O18" i="82"/>
  <c r="N18" i="82"/>
  <c r="D18" i="82"/>
  <c r="C18" i="82"/>
  <c r="B18" i="82"/>
  <c r="AA18" i="82" l="1"/>
  <c r="H206" i="82"/>
  <c r="H221" i="82" s="1"/>
  <c r="D211" i="82"/>
  <c r="D196" i="82"/>
  <c r="D121" i="82"/>
  <c r="D106" i="82"/>
  <c r="D181" i="82"/>
  <c r="D166" i="82"/>
  <c r="D91" i="82"/>
  <c r="D76" i="82"/>
  <c r="D151" i="82"/>
  <c r="D136" i="82"/>
  <c r="P62" i="82"/>
  <c r="T62" i="82"/>
  <c r="X62" i="82"/>
  <c r="M19" i="82"/>
  <c r="K19" i="82" s="1"/>
  <c r="M20" i="82"/>
  <c r="I20" i="82" s="1"/>
  <c r="M21" i="82"/>
  <c r="K21" i="82" s="1"/>
  <c r="M24" i="82"/>
  <c r="K24" i="82" s="1"/>
  <c r="M25" i="82"/>
  <c r="J25" i="82" s="1"/>
  <c r="M28" i="82"/>
  <c r="K28" i="82" s="1"/>
  <c r="M29" i="82"/>
  <c r="K29" i="82" s="1"/>
  <c r="M30" i="82"/>
  <c r="J30" i="82" s="1"/>
  <c r="M32" i="82"/>
  <c r="K32" i="82" s="1"/>
  <c r="M33" i="82"/>
  <c r="K33" i="82" s="1"/>
  <c r="M34" i="82"/>
  <c r="K34" i="82" s="1"/>
  <c r="M36" i="82"/>
  <c r="K36" i="82" s="1"/>
  <c r="M37" i="82"/>
  <c r="L37" i="82" s="1"/>
  <c r="M38" i="82"/>
  <c r="I38" i="82" s="1"/>
  <c r="M40" i="82"/>
  <c r="K40" i="82" s="1"/>
  <c r="M41" i="82"/>
  <c r="J41" i="82" s="1"/>
  <c r="M43" i="82"/>
  <c r="K43" i="82" s="1"/>
  <c r="M44" i="82"/>
  <c r="K44" i="82" s="1"/>
  <c r="M45" i="82"/>
  <c r="K45" i="82" s="1"/>
  <c r="M46" i="82"/>
  <c r="I46" i="82" s="1"/>
  <c r="M47" i="82"/>
  <c r="K47" i="82" s="1"/>
  <c r="M49" i="82"/>
  <c r="K49" i="82" s="1"/>
  <c r="M50" i="82"/>
  <c r="K50" i="82" s="1"/>
  <c r="M51" i="82"/>
  <c r="K51" i="82" s="1"/>
  <c r="M52" i="82"/>
  <c r="K52" i="82" s="1"/>
  <c r="M53" i="82"/>
  <c r="K53" i="82" s="1"/>
  <c r="M54" i="82"/>
  <c r="K54" i="82" s="1"/>
  <c r="M55" i="82"/>
  <c r="K55" i="82" s="1"/>
  <c r="M56" i="82"/>
  <c r="K56" i="82" s="1"/>
  <c r="M58" i="82"/>
  <c r="K58" i="82" s="1"/>
  <c r="R62" i="82"/>
  <c r="M26" i="82"/>
  <c r="K26" i="82" s="1"/>
  <c r="M48" i="82"/>
  <c r="K48" i="82" s="1"/>
  <c r="M59" i="82"/>
  <c r="K59" i="82" s="1"/>
  <c r="M57" i="82"/>
  <c r="K57" i="82" s="1"/>
  <c r="W62" i="82"/>
  <c r="N62" i="82"/>
  <c r="O62" i="82"/>
  <c r="M22" i="82"/>
  <c r="K22" i="82" s="1"/>
  <c r="M35" i="82"/>
  <c r="K35" i="82" s="1"/>
  <c r="M39" i="82"/>
  <c r="K39" i="82" s="1"/>
  <c r="M60" i="82"/>
  <c r="K60" i="82" s="1"/>
  <c r="V62" i="82"/>
  <c r="S62" i="82"/>
  <c r="M23" i="82"/>
  <c r="K23" i="82" s="1"/>
  <c r="M27" i="82"/>
  <c r="K27" i="82" s="1"/>
  <c r="M31" i="82"/>
  <c r="K31" i="82" s="1"/>
  <c r="M42" i="82"/>
  <c r="K42" i="82" s="1"/>
  <c r="U62" i="82"/>
  <c r="M18" i="82"/>
  <c r="L18" i="82" s="1"/>
  <c r="Q62" i="82"/>
  <c r="Y62" i="82"/>
  <c r="K102" i="82" l="1"/>
  <c r="K93" i="82"/>
  <c r="K95" i="82"/>
  <c r="K97" i="82"/>
  <c r="K99" i="82"/>
  <c r="K101" i="82"/>
  <c r="J79" i="82"/>
  <c r="J83" i="82"/>
  <c r="J87" i="82"/>
  <c r="K79" i="82"/>
  <c r="K83" i="82"/>
  <c r="K87" i="82"/>
  <c r="K91" i="82"/>
  <c r="J93" i="82"/>
  <c r="J96" i="82"/>
  <c r="K98" i="82"/>
  <c r="J101" i="82"/>
  <c r="J80" i="82"/>
  <c r="J85" i="82"/>
  <c r="K78" i="82"/>
  <c r="K84" i="82"/>
  <c r="K92" i="82"/>
  <c r="J95" i="82"/>
  <c r="J98" i="82"/>
  <c r="K100" i="82"/>
  <c r="J78" i="82"/>
  <c r="J84" i="82"/>
  <c r="K77" i="82"/>
  <c r="K82" i="82"/>
  <c r="K76" i="82"/>
  <c r="I86" i="82"/>
  <c r="I101" i="82" s="1"/>
  <c r="I82" i="82"/>
  <c r="I97" i="82" s="1"/>
  <c r="I78" i="82"/>
  <c r="I93" i="82" s="1"/>
  <c r="H87" i="82"/>
  <c r="H102" i="82" s="1"/>
  <c r="H83" i="82"/>
  <c r="H98" i="82" s="1"/>
  <c r="H79" i="82"/>
  <c r="H94" i="82" s="1"/>
  <c r="J102" i="82"/>
  <c r="K96" i="82"/>
  <c r="J91" i="82"/>
  <c r="J86" i="82"/>
  <c r="K85" i="82"/>
  <c r="I87" i="82"/>
  <c r="I102" i="82" s="1"/>
  <c r="I81" i="82"/>
  <c r="I96" i="82" s="1"/>
  <c r="I76" i="82"/>
  <c r="I91" i="82" s="1"/>
  <c r="H84" i="82"/>
  <c r="H99" i="82" s="1"/>
  <c r="H78" i="82"/>
  <c r="H93" i="82" s="1"/>
  <c r="K80" i="82"/>
  <c r="H86" i="82"/>
  <c r="H101" i="82" s="1"/>
  <c r="J92" i="82"/>
  <c r="J97" i="82"/>
  <c r="J77" i="82"/>
  <c r="J76" i="82"/>
  <c r="K86" i="82"/>
  <c r="I85" i="82"/>
  <c r="I100" i="82" s="1"/>
  <c r="I80" i="82"/>
  <c r="I95" i="82" s="1"/>
  <c r="H76" i="82"/>
  <c r="H91" i="82" s="1"/>
  <c r="H82" i="82"/>
  <c r="H97" i="82" s="1"/>
  <c r="H77" i="82"/>
  <c r="H92" i="82" s="1"/>
  <c r="I84" i="82"/>
  <c r="I99" i="82" s="1"/>
  <c r="H81" i="82"/>
  <c r="H96" i="82" s="1"/>
  <c r="J94" i="82"/>
  <c r="J99" i="82"/>
  <c r="J81" i="82"/>
  <c r="K94" i="82"/>
  <c r="J100" i="82"/>
  <c r="J82" i="82"/>
  <c r="K81" i="82"/>
  <c r="I83" i="82"/>
  <c r="I98" i="82" s="1"/>
  <c r="I77" i="82"/>
  <c r="I92" i="82" s="1"/>
  <c r="H85" i="82"/>
  <c r="H100" i="82" s="1"/>
  <c r="H80" i="82"/>
  <c r="H95" i="82" s="1"/>
  <c r="I79" i="82"/>
  <c r="I94" i="82" s="1"/>
  <c r="K140" i="82"/>
  <c r="K144" i="82"/>
  <c r="J136" i="82"/>
  <c r="I147" i="82"/>
  <c r="I162" i="82" s="1"/>
  <c r="I143" i="82"/>
  <c r="I158" i="82" s="1"/>
  <c r="I139" i="82"/>
  <c r="I154" i="82" s="1"/>
  <c r="H144" i="82"/>
  <c r="H159" i="82" s="1"/>
  <c r="H140" i="82"/>
  <c r="H155" i="82" s="1"/>
  <c r="H136" i="82"/>
  <c r="H151" i="82" s="1"/>
  <c r="K141" i="82"/>
  <c r="K146" i="82"/>
  <c r="K138" i="82"/>
  <c r="K143" i="82"/>
  <c r="K136" i="82"/>
  <c r="K139" i="82"/>
  <c r="K145" i="82"/>
  <c r="I145" i="82"/>
  <c r="I160" i="82" s="1"/>
  <c r="I140" i="82"/>
  <c r="I155" i="82" s="1"/>
  <c r="H147" i="82"/>
  <c r="H162" i="82" s="1"/>
  <c r="H142" i="82"/>
  <c r="H157" i="82" s="1"/>
  <c r="H137" i="82"/>
  <c r="H152" i="82" s="1"/>
  <c r="I144" i="82"/>
  <c r="I159" i="82" s="1"/>
  <c r="I137" i="82"/>
  <c r="I152" i="82" s="1"/>
  <c r="H143" i="82"/>
  <c r="H158" i="82" s="1"/>
  <c r="H146" i="82"/>
  <c r="H161" i="82" s="1"/>
  <c r="K137" i="82"/>
  <c r="I142" i="82"/>
  <c r="I157" i="82" s="1"/>
  <c r="I136" i="82"/>
  <c r="I151" i="82" s="1"/>
  <c r="H141" i="82"/>
  <c r="H156" i="82" s="1"/>
  <c r="H139" i="82"/>
  <c r="H154" i="82" s="1"/>
  <c r="K142" i="82"/>
  <c r="K147" i="82"/>
  <c r="I146" i="82"/>
  <c r="I161" i="82" s="1"/>
  <c r="I138" i="82"/>
  <c r="I153" i="82" s="1"/>
  <c r="H145" i="82"/>
  <c r="H160" i="82" s="1"/>
  <c r="H138" i="82"/>
  <c r="H153" i="82" s="1"/>
  <c r="I141" i="82"/>
  <c r="I156" i="82" s="1"/>
  <c r="K167" i="82"/>
  <c r="K169" i="82"/>
  <c r="K171" i="82"/>
  <c r="K173" i="82"/>
  <c r="K175" i="82"/>
  <c r="K177" i="82"/>
  <c r="I175" i="82"/>
  <c r="I190" i="82" s="1"/>
  <c r="I171" i="82"/>
  <c r="I186" i="82" s="1"/>
  <c r="I167" i="82"/>
  <c r="I182" i="82" s="1"/>
  <c r="H175" i="82"/>
  <c r="H190" i="82" s="1"/>
  <c r="H171" i="82"/>
  <c r="H186" i="82" s="1"/>
  <c r="H167" i="82"/>
  <c r="H182" i="82" s="1"/>
  <c r="J168" i="82"/>
  <c r="K170" i="82"/>
  <c r="J173" i="82"/>
  <c r="J176" i="82"/>
  <c r="J166" i="82"/>
  <c r="I174" i="82"/>
  <c r="I189" i="82" s="1"/>
  <c r="I169" i="82"/>
  <c r="I184" i="82" s="1"/>
  <c r="K168" i="82"/>
  <c r="J171" i="82"/>
  <c r="J174" i="82"/>
  <c r="K176" i="82"/>
  <c r="J169" i="82"/>
  <c r="J172" i="82"/>
  <c r="K174" i="82"/>
  <c r="J177" i="82"/>
  <c r="J167" i="82"/>
  <c r="J170" i="82"/>
  <c r="K172" i="82"/>
  <c r="J175" i="82"/>
  <c r="K166" i="82"/>
  <c r="I176" i="82"/>
  <c r="I191" i="82" s="1"/>
  <c r="I170" i="82"/>
  <c r="I185" i="82" s="1"/>
  <c r="H177" i="82"/>
  <c r="H192" i="82" s="1"/>
  <c r="H172" i="82"/>
  <c r="H187" i="82" s="1"/>
  <c r="H166" i="82"/>
  <c r="H181" i="82" s="1"/>
  <c r="H176" i="82"/>
  <c r="H191" i="82" s="1"/>
  <c r="I173" i="82"/>
  <c r="I188" i="82" s="1"/>
  <c r="H174" i="82"/>
  <c r="H189" i="82" s="1"/>
  <c r="H168" i="82"/>
  <c r="H183" i="82" s="1"/>
  <c r="H170" i="82"/>
  <c r="H185" i="82" s="1"/>
  <c r="I172" i="82"/>
  <c r="I187" i="82" s="1"/>
  <c r="H173" i="82"/>
  <c r="H188" i="82" s="1"/>
  <c r="I168" i="82"/>
  <c r="I183" i="82" s="1"/>
  <c r="I177" i="82"/>
  <c r="I192" i="82" s="1"/>
  <c r="I166" i="82"/>
  <c r="I181" i="82" s="1"/>
  <c r="H169" i="82"/>
  <c r="H184" i="82" s="1"/>
  <c r="K197" i="82"/>
  <c r="K199" i="82"/>
  <c r="K201" i="82"/>
  <c r="K203" i="82"/>
  <c r="K205" i="82"/>
  <c r="K207" i="82"/>
  <c r="I205" i="82"/>
  <c r="I220" i="82" s="1"/>
  <c r="I201" i="82"/>
  <c r="I216" i="82" s="1"/>
  <c r="I197" i="82"/>
  <c r="I212" i="82" s="1"/>
  <c r="H205" i="82"/>
  <c r="H220" i="82" s="1"/>
  <c r="H201" i="82"/>
  <c r="H216" i="82" s="1"/>
  <c r="H197" i="82"/>
  <c r="H212" i="82" s="1"/>
  <c r="J198" i="82"/>
  <c r="K200" i="82"/>
  <c r="J203" i="82"/>
  <c r="J206" i="82"/>
  <c r="J196" i="82"/>
  <c r="I207" i="82"/>
  <c r="I222" i="82" s="1"/>
  <c r="I202" i="82"/>
  <c r="I217" i="82" s="1"/>
  <c r="I196" i="82"/>
  <c r="I211" i="82" s="1"/>
  <c r="H198" i="82"/>
  <c r="H213" i="82" s="1"/>
  <c r="K198" i="82"/>
  <c r="J201" i="82"/>
  <c r="J204" i="82"/>
  <c r="K206" i="82"/>
  <c r="J199" i="82"/>
  <c r="J202" i="82"/>
  <c r="K204" i="82"/>
  <c r="J207" i="82"/>
  <c r="J197" i="82"/>
  <c r="J200" i="82"/>
  <c r="K202" i="82"/>
  <c r="J205" i="82"/>
  <c r="K196" i="82"/>
  <c r="I203" i="82"/>
  <c r="I218" i="82" s="1"/>
  <c r="I198" i="82"/>
  <c r="I213" i="82" s="1"/>
  <c r="H204" i="82"/>
  <c r="H219" i="82" s="1"/>
  <c r="H199" i="82"/>
  <c r="H214" i="82" s="1"/>
  <c r="H203" i="82"/>
  <c r="H218" i="82" s="1"/>
  <c r="I200" i="82"/>
  <c r="I215" i="82" s="1"/>
  <c r="H202" i="82"/>
  <c r="H217" i="82" s="1"/>
  <c r="H207" i="82"/>
  <c r="H222" i="82" s="1"/>
  <c r="I199" i="82"/>
  <c r="I214" i="82" s="1"/>
  <c r="H200" i="82"/>
  <c r="H215" i="82" s="1"/>
  <c r="I206" i="82"/>
  <c r="I221" i="82" s="1"/>
  <c r="I204" i="82"/>
  <c r="I219" i="82" s="1"/>
  <c r="H196" i="82"/>
  <c r="H211" i="82" s="1"/>
  <c r="K152" i="82"/>
  <c r="K154" i="82"/>
  <c r="K156" i="82"/>
  <c r="K158" i="82"/>
  <c r="K160" i="82"/>
  <c r="K162" i="82"/>
  <c r="J154" i="82"/>
  <c r="J157" i="82"/>
  <c r="K159" i="82"/>
  <c r="J162" i="82"/>
  <c r="J152" i="82"/>
  <c r="J155" i="82"/>
  <c r="K157" i="82"/>
  <c r="J160" i="82"/>
  <c r="K151" i="82"/>
  <c r="J153" i="82"/>
  <c r="K155" i="82"/>
  <c r="J158" i="82"/>
  <c r="J161" i="82"/>
  <c r="J151" i="82"/>
  <c r="K153" i="82"/>
  <c r="J156" i="82"/>
  <c r="J159" i="82"/>
  <c r="K161" i="82"/>
  <c r="K182" i="82"/>
  <c r="K184" i="82"/>
  <c r="K186" i="82"/>
  <c r="K188" i="82"/>
  <c r="K190" i="82"/>
  <c r="K192" i="82"/>
  <c r="J184" i="82"/>
  <c r="J187" i="82"/>
  <c r="K189" i="82"/>
  <c r="J192" i="82"/>
  <c r="J182" i="82"/>
  <c r="J185" i="82"/>
  <c r="K187" i="82"/>
  <c r="J190" i="82"/>
  <c r="K181" i="82"/>
  <c r="J183" i="82"/>
  <c r="K185" i="82"/>
  <c r="J188" i="82"/>
  <c r="J191" i="82"/>
  <c r="J181" i="82"/>
  <c r="K183" i="82"/>
  <c r="J186" i="82"/>
  <c r="J189" i="82"/>
  <c r="K191" i="82"/>
  <c r="K212" i="82"/>
  <c r="K214" i="82"/>
  <c r="K216" i="82"/>
  <c r="K218" i="82"/>
  <c r="K220" i="82"/>
  <c r="K222" i="82"/>
  <c r="J214" i="82"/>
  <c r="J217" i="82"/>
  <c r="K219" i="82"/>
  <c r="J222" i="82"/>
  <c r="J212" i="82"/>
  <c r="J215" i="82"/>
  <c r="K217" i="82"/>
  <c r="J220" i="82"/>
  <c r="K211" i="82"/>
  <c r="J213" i="82"/>
  <c r="K215" i="82"/>
  <c r="J218" i="82"/>
  <c r="J221" i="82"/>
  <c r="J211" i="82"/>
  <c r="K213" i="82"/>
  <c r="J216" i="82"/>
  <c r="J219" i="82"/>
  <c r="K221" i="82"/>
  <c r="K107" i="82"/>
  <c r="K111" i="82"/>
  <c r="K115" i="82"/>
  <c r="K106" i="82"/>
  <c r="J144" i="82"/>
  <c r="J140" i="82"/>
  <c r="J107" i="82"/>
  <c r="J111" i="82"/>
  <c r="J115" i="82"/>
  <c r="H116" i="82"/>
  <c r="H131" i="82" s="1"/>
  <c r="K108" i="82"/>
  <c r="K113" i="82"/>
  <c r="J106" i="82"/>
  <c r="J145" i="82"/>
  <c r="J139" i="82"/>
  <c r="J112" i="82"/>
  <c r="J117" i="82"/>
  <c r="K109" i="82"/>
  <c r="K110" i="82"/>
  <c r="K116" i="82"/>
  <c r="J147" i="82"/>
  <c r="K112" i="82"/>
  <c r="K117" i="82"/>
  <c r="J146" i="82"/>
  <c r="J141" i="82"/>
  <c r="J110" i="82"/>
  <c r="J116" i="82"/>
  <c r="I117" i="82"/>
  <c r="I132" i="82" s="1"/>
  <c r="I113" i="82"/>
  <c r="I128" i="82" s="1"/>
  <c r="I109" i="82"/>
  <c r="I124" i="82" s="1"/>
  <c r="H115" i="82"/>
  <c r="H130" i="82" s="1"/>
  <c r="H111" i="82"/>
  <c r="H126" i="82" s="1"/>
  <c r="H107" i="82"/>
  <c r="H122" i="82" s="1"/>
  <c r="K114" i="82"/>
  <c r="J143" i="82"/>
  <c r="J108" i="82"/>
  <c r="I112" i="82"/>
  <c r="I127" i="82" s="1"/>
  <c r="I107" i="82"/>
  <c r="I122" i="82" s="1"/>
  <c r="H112" i="82"/>
  <c r="H127" i="82" s="1"/>
  <c r="I106" i="82"/>
  <c r="I121" i="82" s="1"/>
  <c r="J113" i="82"/>
  <c r="H114" i="82"/>
  <c r="H129" i="82" s="1"/>
  <c r="J142" i="82"/>
  <c r="J109" i="82"/>
  <c r="I116" i="82"/>
  <c r="I131" i="82" s="1"/>
  <c r="I111" i="82"/>
  <c r="I126" i="82" s="1"/>
  <c r="H117" i="82"/>
  <c r="H132" i="82" s="1"/>
  <c r="H110" i="82"/>
  <c r="H125" i="82" s="1"/>
  <c r="H106" i="82"/>
  <c r="H121" i="82" s="1"/>
  <c r="J138" i="82"/>
  <c r="I115" i="82"/>
  <c r="I130" i="82" s="1"/>
  <c r="H109" i="82"/>
  <c r="H124" i="82" s="1"/>
  <c r="J137" i="82"/>
  <c r="J114" i="82"/>
  <c r="I114" i="82"/>
  <c r="I129" i="82" s="1"/>
  <c r="I108" i="82"/>
  <c r="I123" i="82" s="1"/>
  <c r="H113" i="82"/>
  <c r="H128" i="82" s="1"/>
  <c r="H108" i="82"/>
  <c r="H123" i="82" s="1"/>
  <c r="I110" i="82"/>
  <c r="I125" i="82" s="1"/>
  <c r="K122" i="82"/>
  <c r="K126" i="82"/>
  <c r="K130" i="82"/>
  <c r="J122" i="82"/>
  <c r="J126" i="82"/>
  <c r="J130" i="82"/>
  <c r="K124" i="82"/>
  <c r="K129" i="82"/>
  <c r="J123" i="82"/>
  <c r="J128" i="82"/>
  <c r="J121" i="82"/>
  <c r="K123" i="82"/>
  <c r="K128" i="82"/>
  <c r="K121" i="82"/>
  <c r="J127" i="82"/>
  <c r="J132" i="82"/>
  <c r="K125" i="82"/>
  <c r="J124" i="82"/>
  <c r="K127" i="82"/>
  <c r="J125" i="82"/>
  <c r="K131" i="82"/>
  <c r="K132" i="82"/>
  <c r="J131" i="82"/>
  <c r="J129" i="82"/>
  <c r="C9" i="82"/>
  <c r="J29" i="82"/>
  <c r="J54" i="82"/>
  <c r="J37" i="82"/>
  <c r="K37" i="82"/>
  <c r="I37" i="82"/>
  <c r="I30" i="82"/>
  <c r="L36" i="82"/>
  <c r="L24" i="82"/>
  <c r="J51" i="82"/>
  <c r="I26" i="82"/>
  <c r="J49" i="82"/>
  <c r="I28" i="82"/>
  <c r="I55" i="82"/>
  <c r="L51" i="82"/>
  <c r="K41" i="82"/>
  <c r="I52" i="82"/>
  <c r="I25" i="82"/>
  <c r="L47" i="82"/>
  <c r="L19" i="82"/>
  <c r="I19" i="82"/>
  <c r="J48" i="82"/>
  <c r="I43" i="82"/>
  <c r="J52" i="82"/>
  <c r="J43" i="82"/>
  <c r="I56" i="82"/>
  <c r="L52" i="82"/>
  <c r="I36" i="82"/>
  <c r="L41" i="82"/>
  <c r="J20" i="82"/>
  <c r="K30" i="82"/>
  <c r="J24" i="82"/>
  <c r="I24" i="82"/>
  <c r="I41" i="82"/>
  <c r="L46" i="82"/>
  <c r="L30" i="82"/>
  <c r="J26" i="82"/>
  <c r="K46" i="82"/>
  <c r="J40" i="82"/>
  <c r="I50" i="82"/>
  <c r="J21" i="82"/>
  <c r="L54" i="82"/>
  <c r="L34" i="82"/>
  <c r="J45" i="82"/>
  <c r="I34" i="82"/>
  <c r="I54" i="82"/>
  <c r="I21" i="82"/>
  <c r="L29" i="82"/>
  <c r="J59" i="82"/>
  <c r="J50" i="82"/>
  <c r="J44" i="82"/>
  <c r="J34" i="82"/>
  <c r="J28" i="82"/>
  <c r="J47" i="82"/>
  <c r="J33" i="82"/>
  <c r="L20" i="82"/>
  <c r="I48" i="82"/>
  <c r="L43" i="82"/>
  <c r="L25" i="82"/>
  <c r="K25" i="82"/>
  <c r="J56" i="82"/>
  <c r="J38" i="82"/>
  <c r="J32" i="82"/>
  <c r="J19" i="82"/>
  <c r="I32" i="82"/>
  <c r="I47" i="82"/>
  <c r="L56" i="82"/>
  <c r="L48" i="82"/>
  <c r="L32" i="82"/>
  <c r="K20" i="82"/>
  <c r="K38" i="82"/>
  <c r="I35" i="82"/>
  <c r="I59" i="82"/>
  <c r="L55" i="82"/>
  <c r="L50" i="82"/>
  <c r="L26" i="82"/>
  <c r="J55" i="82"/>
  <c r="J46" i="82"/>
  <c r="J36" i="82"/>
  <c r="I51" i="82"/>
  <c r="I29" i="82"/>
  <c r="L40" i="82"/>
  <c r="J58" i="82"/>
  <c r="J53" i="82"/>
  <c r="I33" i="82"/>
  <c r="I58" i="82"/>
  <c r="I53" i="82"/>
  <c r="I49" i="82"/>
  <c r="I45" i="82"/>
  <c r="I40" i="82"/>
  <c r="L58" i="82"/>
  <c r="L53" i="82"/>
  <c r="L49" i="82"/>
  <c r="L44" i="82"/>
  <c r="L38" i="82"/>
  <c r="L33" i="82"/>
  <c r="L28" i="82"/>
  <c r="L23" i="82"/>
  <c r="I44" i="82"/>
  <c r="L21" i="82"/>
  <c r="L45" i="82"/>
  <c r="L60" i="82"/>
  <c r="L59" i="82"/>
  <c r="J35" i="82"/>
  <c r="I23" i="82"/>
  <c r="I60" i="82"/>
  <c r="L35" i="82"/>
  <c r="J60" i="82"/>
  <c r="J57" i="82"/>
  <c r="I27" i="82"/>
  <c r="J42" i="82"/>
  <c r="J23" i="82"/>
  <c r="L57" i="82"/>
  <c r="I57" i="82"/>
  <c r="L39" i="82"/>
  <c r="L31" i="82"/>
  <c r="L27" i="82"/>
  <c r="I18" i="82"/>
  <c r="I22" i="82"/>
  <c r="L22" i="82"/>
  <c r="J22" i="82"/>
  <c r="J39" i="82"/>
  <c r="J31" i="82"/>
  <c r="J27" i="82"/>
  <c r="I31" i="82"/>
  <c r="I39" i="82"/>
  <c r="I42" i="82"/>
  <c r="M62" i="82"/>
  <c r="L42" i="82"/>
  <c r="J18" i="82"/>
  <c r="K18" i="82"/>
  <c r="H62" i="82" l="1"/>
  <c r="G62" i="82"/>
  <c r="F62" i="82"/>
  <c r="E62" i="82"/>
  <c r="I62" i="82"/>
  <c r="L62" i="82"/>
  <c r="K62" i="82"/>
  <c r="J62" i="82"/>
  <c r="K29" i="39" l="1"/>
  <c r="M33" i="51" l="1"/>
  <c r="D14" i="50" l="1"/>
  <c r="Q87" i="49" s="1"/>
  <c r="C10" i="39"/>
  <c r="N25" i="78" l="1"/>
  <c r="J40" i="39" l="1"/>
  <c r="L15" i="58" l="1"/>
  <c r="J90" i="89" l="1"/>
  <c r="BG267" i="89" l="1"/>
  <c r="BH267" i="89"/>
  <c r="B40" i="39" l="1"/>
  <c r="L13" i="58" l="1"/>
  <c r="C22" i="94" l="1"/>
  <c r="C21" i="94"/>
  <c r="B49" i="64" l="1"/>
  <c r="B48" i="64"/>
  <c r="B47" i="64"/>
  <c r="B45" i="64"/>
  <c r="C37" i="95" l="1"/>
  <c r="C36" i="95"/>
  <c r="G7" i="95" l="1"/>
  <c r="M15" i="94"/>
  <c r="E15" i="94"/>
  <c r="I10" i="94"/>
  <c r="E14" i="94"/>
  <c r="I8" i="94"/>
  <c r="I7" i="94"/>
  <c r="E16" i="94" l="1"/>
  <c r="E13" i="94"/>
  <c r="I9" i="94"/>
  <c r="J5" i="94" l="1"/>
  <c r="K5" i="94"/>
  <c r="L5" i="94"/>
  <c r="P5" i="94"/>
  <c r="C4" i="94"/>
  <c r="N5" i="94"/>
  <c r="Q5" i="94"/>
  <c r="M5" i="94"/>
  <c r="I5" i="94"/>
  <c r="O5" i="94"/>
  <c r="AM169" i="89" l="1"/>
  <c r="AS235" i="89" s="1"/>
  <c r="M25" i="50" l="1"/>
  <c r="BY299" i="89" l="1"/>
  <c r="N14" i="78"/>
  <c r="N13" i="78"/>
  <c r="N12" i="78"/>
  <c r="N11" i="78"/>
  <c r="N10" i="78"/>
  <c r="N9" i="78"/>
  <c r="N8" i="78"/>
  <c r="S6" i="78" l="1"/>
  <c r="S8" i="78"/>
  <c r="C33" i="95" l="1"/>
  <c r="C32" i="95"/>
  <c r="BB267" i="89" l="1"/>
  <c r="BC267" i="89"/>
  <c r="BI267" i="89"/>
  <c r="P190" i="49" l="1"/>
  <c r="AH147" i="89" l="1"/>
  <c r="AH148" i="89"/>
  <c r="AH149" i="89"/>
  <c r="AH150" i="89"/>
  <c r="AH151" i="89"/>
  <c r="AH152" i="89"/>
  <c r="AH153" i="89"/>
  <c r="AH146" i="89"/>
  <c r="C86" i="49" l="1"/>
  <c r="AE147" i="89" l="1"/>
  <c r="AL147" i="89" s="1"/>
  <c r="AE148" i="89"/>
  <c r="AL148" i="89" s="1"/>
  <c r="AE150" i="89"/>
  <c r="AE151" i="89"/>
  <c r="AE152" i="89"/>
  <c r="AL152" i="89" s="1"/>
  <c r="AE153" i="89"/>
  <c r="AL153" i="89" s="1"/>
  <c r="AE154" i="89"/>
  <c r="AL154" i="89" s="1"/>
  <c r="AE155" i="89"/>
  <c r="AL155" i="89" s="1"/>
  <c r="AE156" i="89"/>
  <c r="AL156" i="89" s="1"/>
  <c r="AE157" i="89"/>
  <c r="AE158" i="89"/>
  <c r="AL158" i="89" s="1"/>
  <c r="AE159" i="89"/>
  <c r="AL159" i="89" s="1"/>
  <c r="AE160" i="89"/>
  <c r="AL160" i="89" s="1"/>
  <c r="AE146" i="89"/>
  <c r="AL146" i="89" s="1"/>
  <c r="E7" i="87" l="1"/>
  <c r="E8" i="87"/>
  <c r="E9" i="87"/>
  <c r="E10" i="87"/>
  <c r="E6" i="87"/>
  <c r="D7" i="87"/>
  <c r="D8" i="87"/>
  <c r="D9" i="87"/>
  <c r="D10" i="87"/>
  <c r="D6" i="87"/>
  <c r="C10" i="87"/>
  <c r="C7" i="87"/>
  <c r="C8" i="87"/>
  <c r="C9" i="87"/>
  <c r="C6" i="87"/>
  <c r="B7" i="87"/>
  <c r="B8" i="87"/>
  <c r="B9" i="87"/>
  <c r="B10" i="87"/>
  <c r="F7" i="87"/>
  <c r="F8" i="87"/>
  <c r="F9" i="87"/>
  <c r="F10" i="87"/>
  <c r="F6" i="87"/>
  <c r="B6" i="87"/>
  <c r="G7" i="87" l="1"/>
  <c r="D10" i="82" l="1"/>
  <c r="D9" i="82"/>
  <c r="D25" i="64" l="1"/>
  <c r="F28" i="64" l="1"/>
  <c r="F29" i="64"/>
  <c r="F30" i="64"/>
  <c r="F27" i="64"/>
  <c r="G35" i="58" l="1"/>
  <c r="AB138" i="89" s="1"/>
  <c r="K34" i="39"/>
  <c r="C17" i="50" l="1"/>
  <c r="C90" i="49" s="1"/>
  <c r="Q26" i="49" l="1"/>
  <c r="Q10" i="49" l="1"/>
  <c r="Q9" i="49"/>
  <c r="L39" i="89" l="1"/>
  <c r="AM170" i="89"/>
  <c r="AS236" i="89" s="1"/>
  <c r="AM165" i="89"/>
  <c r="AB140" i="89"/>
  <c r="Z140" i="89"/>
  <c r="Z139" i="89"/>
  <c r="W133" i="89"/>
  <c r="Y133" i="89" s="1"/>
  <c r="V133" i="89"/>
  <c r="W132" i="89"/>
  <c r="Y132" i="89" s="1"/>
  <c r="V132" i="89"/>
  <c r="W131" i="89"/>
  <c r="Y131" i="89" s="1"/>
  <c r="V131" i="89"/>
  <c r="W130" i="89"/>
  <c r="Y130" i="89" s="1"/>
  <c r="V130" i="89"/>
  <c r="W129" i="89"/>
  <c r="Y129" i="89" s="1"/>
  <c r="V129" i="89"/>
  <c r="BM284" i="89"/>
  <c r="BN284" i="89" s="1"/>
  <c r="BL284" i="89"/>
  <c r="BN282" i="89"/>
  <c r="BN281" i="89"/>
  <c r="BN280" i="89"/>
  <c r="BN279" i="89"/>
  <c r="AS225" i="89"/>
  <c r="AS224" i="89"/>
  <c r="AS223" i="89"/>
  <c r="AS222" i="89"/>
  <c r="AU210" i="89"/>
  <c r="AV210" i="89" s="1"/>
  <c r="AU209" i="89"/>
  <c r="AV209" i="89" s="1"/>
  <c r="M108" i="89"/>
  <c r="M107" i="89"/>
  <c r="M106" i="89"/>
  <c r="M105" i="89"/>
  <c r="M103" i="89"/>
  <c r="M102" i="89"/>
  <c r="N101" i="89"/>
  <c r="O101" i="89" s="1"/>
  <c r="M101" i="89"/>
  <c r="N100" i="89"/>
  <c r="O100" i="89" s="1"/>
  <c r="M100" i="89"/>
  <c r="I83" i="89"/>
  <c r="AS218" i="89" s="1"/>
  <c r="I82" i="89"/>
  <c r="AS217" i="89" s="1"/>
  <c r="I81" i="89"/>
  <c r="AS216" i="89" s="1"/>
  <c r="I80" i="89"/>
  <c r="AS215" i="89" s="1"/>
  <c r="I78" i="89"/>
  <c r="AS212" i="89" s="1"/>
  <c r="I77" i="89"/>
  <c r="AS211" i="89" s="1"/>
  <c r="I76" i="89"/>
  <c r="AS210" i="89" s="1"/>
  <c r="I75" i="89"/>
  <c r="AS209" i="89" s="1"/>
  <c r="Q36" i="89"/>
  <c r="L14" i="89"/>
  <c r="AS233" i="89"/>
  <c r="AY230" i="89"/>
  <c r="AT210" i="89"/>
  <c r="L76" i="89"/>
  <c r="J75" i="89"/>
  <c r="AT209" i="89" s="1"/>
  <c r="L75" i="89" l="1"/>
  <c r="Q29" i="49" l="1"/>
  <c r="Q28" i="49"/>
  <c r="Q27" i="49"/>
  <c r="B2" i="25" l="1"/>
  <c r="Q202" i="49" l="1"/>
  <c r="P202" i="49" s="1"/>
  <c r="Q204" i="49"/>
  <c r="P204" i="49" s="1"/>
  <c r="Q207" i="49"/>
  <c r="P207" i="49" s="1"/>
  <c r="Q203" i="49"/>
  <c r="P203" i="49" s="1"/>
  <c r="Q206" i="49"/>
  <c r="P206" i="49" s="1"/>
  <c r="Q205" i="49"/>
  <c r="P205" i="49" s="1"/>
  <c r="C91" i="39"/>
  <c r="T39" i="89" l="1"/>
  <c r="U39" i="89"/>
  <c r="L7" i="64" s="1"/>
  <c r="M39" i="89"/>
  <c r="S39" i="89"/>
  <c r="P36" i="89"/>
  <c r="C110" i="39"/>
  <c r="I3" i="61"/>
  <c r="R39" i="89"/>
  <c r="Q195" i="49"/>
  <c r="C88" i="39"/>
  <c r="C83" i="39"/>
  <c r="C89" i="39"/>
  <c r="O39" i="89"/>
  <c r="N39" i="89"/>
  <c r="Q39" i="89"/>
  <c r="P39" i="89"/>
  <c r="Q189" i="49"/>
  <c r="D3" i="121"/>
  <c r="D2" i="121"/>
  <c r="B120" i="39"/>
  <c r="E109" i="39"/>
  <c r="C109" i="39" s="1"/>
  <c r="E108" i="39"/>
  <c r="C108" i="39"/>
  <c r="P1" i="39"/>
  <c r="C112" i="39" s="1"/>
  <c r="E92" i="39"/>
  <c r="D92" i="39"/>
  <c r="AA140" i="89"/>
  <c r="AD140" i="89" s="1"/>
  <c r="F9" i="51"/>
  <c r="BO286" i="89"/>
  <c r="BG274" i="89"/>
  <c r="W39" i="89" l="1"/>
  <c r="M42" i="89"/>
  <c r="G3" i="61"/>
  <c r="J11" i="61" s="1"/>
  <c r="M41" i="89"/>
  <c r="V40" i="89"/>
  <c r="U40" i="89"/>
  <c r="M40" i="89"/>
  <c r="S40" i="89"/>
  <c r="R40" i="89"/>
  <c r="T40" i="89"/>
  <c r="C18" i="39"/>
  <c r="B2" i="64"/>
  <c r="C111" i="39"/>
  <c r="Q155" i="49"/>
  <c r="J9" i="61"/>
  <c r="J6" i="61"/>
  <c r="O40" i="89"/>
  <c r="N40" i="89"/>
  <c r="Q40" i="89"/>
  <c r="P40" i="89"/>
  <c r="C120" i="39"/>
  <c r="C92" i="39"/>
  <c r="G48" i="51"/>
  <c r="G47" i="51"/>
  <c r="AC140" i="89"/>
  <c r="B9" i="64"/>
  <c r="B7" i="64"/>
  <c r="P189" i="49"/>
  <c r="C7" i="95"/>
  <c r="AI149" i="89"/>
  <c r="AI153" i="89"/>
  <c r="AI152" i="89"/>
  <c r="AI151" i="89"/>
  <c r="AI148" i="89"/>
  <c r="AI147" i="89"/>
  <c r="AI150" i="89"/>
  <c r="T13" i="89"/>
  <c r="W9" i="89" s="1"/>
  <c r="T12" i="89"/>
  <c r="B2" i="78"/>
  <c r="C94" i="78"/>
  <c r="C92" i="78"/>
  <c r="C93" i="78"/>
  <c r="C81" i="78"/>
  <c r="D21" i="78"/>
  <c r="D18" i="78"/>
  <c r="D17" i="78"/>
  <c r="C82" i="78"/>
  <c r="G14" i="78"/>
  <c r="C95" i="78"/>
  <c r="C15" i="78"/>
  <c r="G9" i="78"/>
  <c r="C14" i="78"/>
  <c r="C80" i="78"/>
  <c r="D19" i="78"/>
  <c r="C16" i="78"/>
  <c r="C19" i="78"/>
  <c r="C88" i="78"/>
  <c r="D15" i="78"/>
  <c r="D14" i="78"/>
  <c r="D13" i="78"/>
  <c r="D9" i="78"/>
  <c r="G10" i="78"/>
  <c r="D10" i="78"/>
  <c r="C11" i="78"/>
  <c r="C83" i="78"/>
  <c r="C89" i="78"/>
  <c r="C91" i="78"/>
  <c r="D20" i="78"/>
  <c r="C79" i="78"/>
  <c r="C18" i="78"/>
  <c r="C20" i="78"/>
  <c r="G12" i="78"/>
  <c r="C12" i="78"/>
  <c r="C13" i="78"/>
  <c r="C97" i="78"/>
  <c r="G11" i="78"/>
  <c r="D11" i="78"/>
  <c r="C17" i="78"/>
  <c r="G8" i="78"/>
  <c r="G13" i="78"/>
  <c r="C90" i="78"/>
  <c r="C87" i="78"/>
  <c r="C84" i="78"/>
  <c r="D16" i="78"/>
  <c r="D12" i="78"/>
  <c r="J16" i="61" l="1"/>
  <c r="AJ156" i="89" s="1"/>
  <c r="AK156" i="89" s="1"/>
  <c r="J21" i="61"/>
  <c r="J20" i="61"/>
  <c r="AJ160" i="89" s="1"/>
  <c r="AK160" i="89" s="1"/>
  <c r="J22" i="61"/>
  <c r="J24" i="61"/>
  <c r="J18" i="61"/>
  <c r="AJ158" i="89" s="1"/>
  <c r="AK158" i="89" s="1"/>
  <c r="J23" i="61"/>
  <c r="J29" i="61"/>
  <c r="J12" i="61"/>
  <c r="J13" i="61"/>
  <c r="J26" i="61"/>
  <c r="J19" i="61"/>
  <c r="AJ159" i="89" s="1"/>
  <c r="AK159" i="89" s="1"/>
  <c r="J28" i="61"/>
  <c r="J14" i="61"/>
  <c r="AJ154" i="89" s="1"/>
  <c r="AK154" i="89" s="1"/>
  <c r="J30" i="61"/>
  <c r="J10" i="61"/>
  <c r="J27" i="61"/>
  <c r="J25" i="61"/>
  <c r="J15" i="61"/>
  <c r="AJ155" i="89" s="1"/>
  <c r="AK155" i="89" s="1"/>
  <c r="J17" i="61"/>
  <c r="AJ157" i="89" s="1"/>
  <c r="AK157" i="89" s="1"/>
  <c r="J8" i="61"/>
  <c r="J7" i="61"/>
  <c r="W40" i="89"/>
  <c r="I12" i="51"/>
  <c r="I10" i="51"/>
  <c r="I11" i="51"/>
  <c r="C25" i="64"/>
  <c r="C26" i="64"/>
  <c r="C31" i="64"/>
  <c r="Q184" i="49" s="1"/>
  <c r="AS262" i="89"/>
  <c r="B56" i="89"/>
  <c r="AS229" i="89"/>
  <c r="B54" i="89"/>
  <c r="BB269" i="89"/>
  <c r="BB273" i="89"/>
  <c r="BB270" i="89"/>
  <c r="BB268" i="89"/>
  <c r="BB271" i="89"/>
  <c r="BB272" i="89"/>
  <c r="AI161" i="89"/>
  <c r="W8" i="89"/>
  <c r="W10" i="89" s="1"/>
  <c r="X8" i="89" s="1"/>
  <c r="T14" i="89"/>
  <c r="G69" i="89"/>
  <c r="H69" i="89" s="1"/>
  <c r="F66" i="89"/>
  <c r="G63" i="89"/>
  <c r="H63" i="89" s="1"/>
  <c r="F62" i="89"/>
  <c r="G67" i="89"/>
  <c r="H67" i="89" s="1"/>
  <c r="G65" i="89"/>
  <c r="H65" i="89" s="1"/>
  <c r="J84" i="89"/>
  <c r="F68" i="89"/>
  <c r="F64" i="89"/>
  <c r="F67" i="89"/>
  <c r="F63" i="89"/>
  <c r="G64" i="89"/>
  <c r="H64" i="89" s="1"/>
  <c r="F69" i="89"/>
  <c r="G68" i="89"/>
  <c r="H68" i="89" s="1"/>
  <c r="G61" i="89"/>
  <c r="H61" i="89" s="1"/>
  <c r="F61" i="89"/>
  <c r="F65" i="89"/>
  <c r="G62" i="89"/>
  <c r="H62" i="89" s="1"/>
  <c r="G66" i="89"/>
  <c r="H66" i="89" s="1"/>
  <c r="D8" i="78"/>
  <c r="D25" i="78" s="1"/>
  <c r="C8" i="78"/>
  <c r="D22" i="78"/>
  <c r="G16" i="78"/>
  <c r="C22" i="78"/>
  <c r="G15" i="78"/>
  <c r="I19" i="51" l="1"/>
  <c r="C3" i="61"/>
  <c r="C25" i="78"/>
  <c r="I6" i="51"/>
  <c r="BB274" i="89"/>
  <c r="X9" i="89"/>
  <c r="X10" i="89" s="1"/>
  <c r="G60" i="89"/>
  <c r="J85" i="89"/>
  <c r="L84" i="89"/>
  <c r="F60" i="89"/>
  <c r="G17" i="78"/>
  <c r="I22" i="51" l="1"/>
  <c r="C7" i="51" s="1"/>
  <c r="D18" i="64" s="1"/>
  <c r="N103" i="89" s="1"/>
  <c r="AU212" i="89"/>
  <c r="Q14" i="49"/>
  <c r="P214" i="49"/>
  <c r="N15" i="78"/>
  <c r="F70" i="89"/>
  <c r="G70" i="89"/>
  <c r="AT226" i="89"/>
  <c r="AW214" i="89" s="1"/>
  <c r="AY214" i="89" s="1"/>
  <c r="J97" i="89"/>
  <c r="AT220" i="89"/>
  <c r="AT219" i="89" s="1"/>
  <c r="L85" i="89"/>
  <c r="K76" i="89" l="1"/>
  <c r="K75" i="89"/>
  <c r="K85" i="89"/>
  <c r="K84" i="89" s="1"/>
  <c r="AW210" i="89"/>
  <c r="AY210" i="89" s="1"/>
  <c r="AW209" i="89"/>
  <c r="AY209" i="89" l="1"/>
  <c r="E49" i="25" l="1"/>
  <c r="E199" i="82"/>
  <c r="E184" i="82"/>
  <c r="C79" i="82"/>
  <c r="C94" i="82" s="1"/>
  <c r="C109" i="82" s="1"/>
  <c r="C124" i="82" s="1"/>
  <c r="C139" i="82" s="1"/>
  <c r="C154" i="82" s="1"/>
  <c r="C169" i="82" s="1"/>
  <c r="C184" i="82" s="1"/>
  <c r="C199" i="82" s="1"/>
  <c r="C214" i="82" s="1"/>
  <c r="G77" i="82"/>
  <c r="F70" i="82" l="1"/>
  <c r="F69" i="82" s="1"/>
  <c r="E70" i="82"/>
  <c r="E69" i="82" s="1"/>
  <c r="D169" i="82"/>
  <c r="D184" i="82"/>
  <c r="E169" i="82"/>
  <c r="G78" i="82"/>
  <c r="G92" i="82"/>
  <c r="G91" i="82"/>
  <c r="G106" i="82" l="1"/>
  <c r="G107" i="82"/>
  <c r="G70" i="82"/>
  <c r="G69" i="82" s="1"/>
  <c r="E214" i="82"/>
  <c r="G79" i="82"/>
  <c r="G93" i="82"/>
  <c r="G108" i="82" l="1"/>
  <c r="G121" i="82"/>
  <c r="H70" i="82"/>
  <c r="H69" i="82" s="1"/>
  <c r="G122" i="82"/>
  <c r="G80" i="82"/>
  <c r="G94" i="82"/>
  <c r="G137" i="82" l="1"/>
  <c r="G123" i="82"/>
  <c r="G136" i="82"/>
  <c r="G109" i="82"/>
  <c r="I70" i="82"/>
  <c r="I69" i="82" s="1"/>
  <c r="G95" i="82"/>
  <c r="G81" i="82"/>
  <c r="G124" i="82" l="1"/>
  <c r="G152" i="82"/>
  <c r="G138" i="82"/>
  <c r="J70" i="82"/>
  <c r="J69" i="82" s="1"/>
  <c r="G110" i="82"/>
  <c r="G151" i="82"/>
  <c r="G82" i="82"/>
  <c r="G96" i="82"/>
  <c r="D23" i="64"/>
  <c r="D20" i="64"/>
  <c r="D19" i="64"/>
  <c r="G111" i="82" l="1"/>
  <c r="G153" i="82"/>
  <c r="G125" i="82"/>
  <c r="G166" i="82"/>
  <c r="G167" i="82"/>
  <c r="G139" i="82"/>
  <c r="K70" i="82"/>
  <c r="K69" i="82" s="1"/>
  <c r="G83" i="82"/>
  <c r="G97" i="82"/>
  <c r="E12" i="51"/>
  <c r="E3" i="51"/>
  <c r="G181" i="82" l="1"/>
  <c r="G182" i="82"/>
  <c r="G126" i="82"/>
  <c r="G112" i="82"/>
  <c r="G154" i="82"/>
  <c r="G168" i="82"/>
  <c r="L70" i="82"/>
  <c r="L69" i="82" s="1"/>
  <c r="G140" i="82"/>
  <c r="G84" i="82"/>
  <c r="G98" i="82"/>
  <c r="G183" i="82" l="1"/>
  <c r="G197" i="82"/>
  <c r="G127" i="82"/>
  <c r="M70" i="82"/>
  <c r="M69" i="82" s="1"/>
  <c r="G141" i="82"/>
  <c r="G155" i="82"/>
  <c r="G113" i="82"/>
  <c r="G169" i="82"/>
  <c r="G196" i="82"/>
  <c r="G85" i="82"/>
  <c r="G99" i="82"/>
  <c r="G212" i="82" l="1"/>
  <c r="G142" i="82"/>
  <c r="N70" i="82"/>
  <c r="N69" i="82" s="1"/>
  <c r="G184" i="82"/>
  <c r="G170" i="82"/>
  <c r="G114" i="82"/>
  <c r="G128" i="82"/>
  <c r="G211" i="82"/>
  <c r="G156" i="82"/>
  <c r="G198" i="82"/>
  <c r="G86" i="82"/>
  <c r="G100" i="82"/>
  <c r="P26" i="49"/>
  <c r="P27" i="49"/>
  <c r="P28" i="49"/>
  <c r="G129" i="82" l="1"/>
  <c r="G157" i="82"/>
  <c r="G213" i="82"/>
  <c r="G143" i="82"/>
  <c r="G115" i="82"/>
  <c r="G199" i="82"/>
  <c r="O70" i="82"/>
  <c r="O69" i="82" s="1"/>
  <c r="G171" i="82"/>
  <c r="G185" i="82"/>
  <c r="C1" i="82"/>
  <c r="D199" i="82"/>
  <c r="D214" i="82"/>
  <c r="G87" i="82"/>
  <c r="G101" i="82"/>
  <c r="G186" i="82" l="1"/>
  <c r="G172" i="82"/>
  <c r="G200" i="82"/>
  <c r="G116" i="82"/>
  <c r="G214" i="82"/>
  <c r="G158" i="82"/>
  <c r="G130" i="82"/>
  <c r="G144" i="82"/>
  <c r="G102" i="82"/>
  <c r="P70" i="82"/>
  <c r="P69" i="82" s="1"/>
  <c r="Q69" i="82" s="1"/>
  <c r="L91" i="82" l="1"/>
  <c r="M91" i="82"/>
  <c r="L92" i="82"/>
  <c r="M92" i="82"/>
  <c r="M93" i="82"/>
  <c r="L93" i="82"/>
  <c r="L94" i="82"/>
  <c r="M94" i="82"/>
  <c r="L95" i="82"/>
  <c r="M95" i="82"/>
  <c r="L96" i="82"/>
  <c r="M96" i="82"/>
  <c r="M97" i="82"/>
  <c r="L97" i="82"/>
  <c r="L98" i="82"/>
  <c r="M98" i="82"/>
  <c r="L99" i="82"/>
  <c r="M99" i="82"/>
  <c r="L100" i="82"/>
  <c r="M100" i="82"/>
  <c r="M102" i="82"/>
  <c r="L102" i="82"/>
  <c r="L101" i="82"/>
  <c r="M101" i="82"/>
  <c r="L76" i="82"/>
  <c r="M76" i="82"/>
  <c r="L77" i="82"/>
  <c r="M77" i="82"/>
  <c r="L78" i="82"/>
  <c r="M78" i="82"/>
  <c r="M106" i="82"/>
  <c r="L79" i="82"/>
  <c r="M107" i="82"/>
  <c r="M79" i="82"/>
  <c r="L107" i="82"/>
  <c r="L106" i="82"/>
  <c r="M80" i="82"/>
  <c r="M122" i="82"/>
  <c r="M108" i="82"/>
  <c r="L121" i="82"/>
  <c r="L108" i="82"/>
  <c r="M121" i="82"/>
  <c r="L80" i="82"/>
  <c r="L122" i="82"/>
  <c r="L137" i="82"/>
  <c r="M81" i="82"/>
  <c r="M123" i="82"/>
  <c r="M137" i="82"/>
  <c r="L81" i="82"/>
  <c r="L123" i="82"/>
  <c r="M136" i="82"/>
  <c r="L109" i="82"/>
  <c r="M109" i="82"/>
  <c r="L136" i="82"/>
  <c r="L151" i="82"/>
  <c r="L124" i="82"/>
  <c r="M82" i="82"/>
  <c r="L82" i="82"/>
  <c r="M138" i="82"/>
  <c r="M151" i="82"/>
  <c r="M124" i="82"/>
  <c r="L152" i="82"/>
  <c r="M110" i="82"/>
  <c r="M152" i="82"/>
  <c r="L110" i="82"/>
  <c r="L138" i="82"/>
  <c r="M166" i="82"/>
  <c r="M153" i="82"/>
  <c r="M139" i="82"/>
  <c r="M111" i="82"/>
  <c r="L166" i="82"/>
  <c r="L153" i="82"/>
  <c r="L139" i="82"/>
  <c r="L111" i="82"/>
  <c r="L83" i="82"/>
  <c r="L125" i="82"/>
  <c r="M167" i="82"/>
  <c r="M83" i="82"/>
  <c r="M125" i="82"/>
  <c r="L167" i="82"/>
  <c r="L182" i="82"/>
  <c r="L154" i="82"/>
  <c r="L112" i="82"/>
  <c r="M140" i="82"/>
  <c r="M182" i="82"/>
  <c r="M154" i="82"/>
  <c r="M112" i="82"/>
  <c r="L140" i="82"/>
  <c r="L126" i="82"/>
  <c r="L84" i="82"/>
  <c r="M181" i="82"/>
  <c r="L168" i="82"/>
  <c r="M84" i="82"/>
  <c r="L181" i="82"/>
  <c r="M168" i="82"/>
  <c r="M126" i="82"/>
  <c r="L169" i="82"/>
  <c r="M113" i="82"/>
  <c r="L85" i="82"/>
  <c r="L196" i="82"/>
  <c r="M183" i="82"/>
  <c r="M169" i="82"/>
  <c r="L113" i="82"/>
  <c r="M85" i="82"/>
  <c r="M196" i="82"/>
  <c r="L183" i="82"/>
  <c r="M127" i="82"/>
  <c r="L197" i="82"/>
  <c r="L155" i="82"/>
  <c r="M141" i="82"/>
  <c r="L127" i="82"/>
  <c r="M197" i="82"/>
  <c r="M155" i="82"/>
  <c r="L141" i="82"/>
  <c r="L114" i="82"/>
  <c r="L170" i="82"/>
  <c r="L198" i="82"/>
  <c r="L211" i="82"/>
  <c r="L86" i="82"/>
  <c r="M114" i="82"/>
  <c r="M170" i="82"/>
  <c r="M198" i="82"/>
  <c r="M211" i="82"/>
  <c r="M86" i="82"/>
  <c r="M142" i="82"/>
  <c r="L212" i="82"/>
  <c r="L156" i="82"/>
  <c r="L184" i="82"/>
  <c r="L128" i="82"/>
  <c r="L142" i="82"/>
  <c r="M212" i="82"/>
  <c r="M156" i="82"/>
  <c r="M184" i="82"/>
  <c r="M128" i="82"/>
  <c r="L87" i="82"/>
  <c r="M199" i="82"/>
  <c r="L171" i="82"/>
  <c r="L172" i="82"/>
  <c r="M172" i="82"/>
  <c r="L186" i="82"/>
  <c r="M186" i="82"/>
  <c r="M115" i="82"/>
  <c r="M87" i="82"/>
  <c r="L199" i="82"/>
  <c r="M171" i="82"/>
  <c r="L115" i="82"/>
  <c r="L214" i="82"/>
  <c r="M214" i="82"/>
  <c r="M144" i="82"/>
  <c r="L144" i="82"/>
  <c r="L116" i="82"/>
  <c r="M116" i="82"/>
  <c r="L129" i="82"/>
  <c r="L185" i="82"/>
  <c r="L157" i="82"/>
  <c r="L213" i="82"/>
  <c r="L143" i="82"/>
  <c r="L158" i="82"/>
  <c r="M158" i="82"/>
  <c r="L130" i="82"/>
  <c r="M130" i="82"/>
  <c r="L200" i="82"/>
  <c r="M200" i="82"/>
  <c r="M129" i="82"/>
  <c r="M185" i="82"/>
  <c r="M157" i="82"/>
  <c r="M213" i="82"/>
  <c r="M143" i="82"/>
  <c r="G131" i="82"/>
  <c r="G187" i="82"/>
  <c r="G145" i="82"/>
  <c r="G215" i="82"/>
  <c r="G159" i="82"/>
  <c r="G173" i="82"/>
  <c r="G117" i="82"/>
  <c r="G201" i="82"/>
  <c r="J14" i="78"/>
  <c r="J15" i="78" s="1"/>
  <c r="N198" i="82" l="1"/>
  <c r="N171" i="82"/>
  <c r="N168" i="82"/>
  <c r="M159" i="82"/>
  <c r="L159" i="82"/>
  <c r="L145" i="82"/>
  <c r="M145" i="82"/>
  <c r="M201" i="82"/>
  <c r="L201" i="82"/>
  <c r="L117" i="82"/>
  <c r="D110" i="82" s="1"/>
  <c r="M117" i="82"/>
  <c r="E110" i="82" s="1"/>
  <c r="L187" i="82"/>
  <c r="M187" i="82"/>
  <c r="L173" i="82"/>
  <c r="M173" i="82"/>
  <c r="L215" i="82"/>
  <c r="M215" i="82"/>
  <c r="L131" i="82"/>
  <c r="M131" i="82"/>
  <c r="N172" i="82"/>
  <c r="N212" i="82"/>
  <c r="N213" i="82"/>
  <c r="N184" i="82"/>
  <c r="N214" i="82"/>
  <c r="N196" i="82"/>
  <c r="N169" i="82"/>
  <c r="E95" i="82"/>
  <c r="N185" i="82"/>
  <c r="N199" i="82"/>
  <c r="N186" i="82"/>
  <c r="G174" i="82"/>
  <c r="N211" i="82"/>
  <c r="N182" i="82"/>
  <c r="N167" i="82"/>
  <c r="N200" i="82"/>
  <c r="G216" i="82"/>
  <c r="G188" i="82"/>
  <c r="N197" i="82"/>
  <c r="N166" i="82"/>
  <c r="D95" i="82"/>
  <c r="E80" i="82"/>
  <c r="G132" i="82"/>
  <c r="N170" i="82"/>
  <c r="N183" i="82"/>
  <c r="N181" i="82"/>
  <c r="D80" i="82"/>
  <c r="G160" i="82"/>
  <c r="G202" i="82"/>
  <c r="G146" i="82"/>
  <c r="Q157" i="49"/>
  <c r="Q176" i="49"/>
  <c r="K41" i="39"/>
  <c r="L146" i="82" l="1"/>
  <c r="M146" i="82"/>
  <c r="L202" i="82"/>
  <c r="M202" i="82"/>
  <c r="L132" i="82"/>
  <c r="D125" i="82" s="1"/>
  <c r="M132" i="82"/>
  <c r="E125" i="82" s="1"/>
  <c r="L174" i="82"/>
  <c r="M174" i="82"/>
  <c r="L160" i="82"/>
  <c r="M160" i="82"/>
  <c r="L188" i="82"/>
  <c r="M188" i="82"/>
  <c r="L216" i="82"/>
  <c r="M216" i="82"/>
  <c r="N201" i="82"/>
  <c r="G217" i="82"/>
  <c r="N173" i="82"/>
  <c r="G161" i="82"/>
  <c r="N215" i="82"/>
  <c r="G203" i="82"/>
  <c r="G189" i="82"/>
  <c r="N187" i="82"/>
  <c r="G175" i="82"/>
  <c r="G147" i="82"/>
  <c r="D109" i="39"/>
  <c r="L161" i="82" l="1"/>
  <c r="M161" i="82"/>
  <c r="M189" i="82"/>
  <c r="L189" i="82"/>
  <c r="M147" i="82"/>
  <c r="E140" i="82" s="1"/>
  <c r="L147" i="82"/>
  <c r="D140" i="82" s="1"/>
  <c r="M203" i="82"/>
  <c r="L203" i="82"/>
  <c r="M217" i="82"/>
  <c r="L217" i="82"/>
  <c r="L175" i="82"/>
  <c r="M175" i="82"/>
  <c r="N174" i="82"/>
  <c r="N202" i="82"/>
  <c r="N216" i="82"/>
  <c r="G190" i="82"/>
  <c r="N188" i="82"/>
  <c r="G162" i="82"/>
  <c r="G204" i="82"/>
  <c r="G218" i="82"/>
  <c r="G176" i="82"/>
  <c r="L190" i="82" l="1"/>
  <c r="M190" i="82"/>
  <c r="L176" i="82"/>
  <c r="M176" i="82"/>
  <c r="L218" i="82"/>
  <c r="M218" i="82"/>
  <c r="L162" i="82"/>
  <c r="D155" i="82" s="1"/>
  <c r="M162" i="82"/>
  <c r="E155" i="82" s="1"/>
  <c r="M204" i="82"/>
  <c r="L204" i="82"/>
  <c r="N203" i="82"/>
  <c r="G219" i="82"/>
  <c r="G177" i="82"/>
  <c r="G205" i="82"/>
  <c r="G191" i="82"/>
  <c r="N217" i="82"/>
  <c r="N189" i="82"/>
  <c r="N175" i="82"/>
  <c r="F5" i="51"/>
  <c r="F47" i="51"/>
  <c r="F7" i="51"/>
  <c r="F8" i="51"/>
  <c r="L19" i="51" s="1"/>
  <c r="F10" i="51"/>
  <c r="M191" i="82" l="1"/>
  <c r="L191" i="82"/>
  <c r="L205" i="82"/>
  <c r="M205" i="82"/>
  <c r="M219" i="82"/>
  <c r="L219" i="82"/>
  <c r="L177" i="82"/>
  <c r="M177" i="82"/>
  <c r="E170" i="82" s="1"/>
  <c r="N218" i="82"/>
  <c r="N204" i="82"/>
  <c r="G206" i="82"/>
  <c r="N190" i="82"/>
  <c r="G192" i="82"/>
  <c r="N176" i="82"/>
  <c r="G220" i="82"/>
  <c r="D51" i="51"/>
  <c r="D55" i="51"/>
  <c r="D47" i="51"/>
  <c r="D48" i="51"/>
  <c r="D52" i="51"/>
  <c r="D56" i="51"/>
  <c r="D49" i="51"/>
  <c r="D53" i="51"/>
  <c r="D57" i="51"/>
  <c r="D50" i="51"/>
  <c r="D54" i="51"/>
  <c r="D58" i="51"/>
  <c r="F50" i="51"/>
  <c r="F54" i="51"/>
  <c r="F58" i="51"/>
  <c r="F51" i="51"/>
  <c r="F55" i="51"/>
  <c r="F48" i="51"/>
  <c r="F52" i="51"/>
  <c r="F56" i="51"/>
  <c r="F49" i="51"/>
  <c r="F53" i="51"/>
  <c r="F57" i="51"/>
  <c r="G53" i="51"/>
  <c r="G57" i="51"/>
  <c r="G50" i="51"/>
  <c r="G54" i="51"/>
  <c r="G58" i="51"/>
  <c r="G51" i="51"/>
  <c r="G55" i="51"/>
  <c r="G49" i="51"/>
  <c r="G52" i="51"/>
  <c r="G56" i="51"/>
  <c r="E50" i="51"/>
  <c r="E54" i="51"/>
  <c r="E58" i="51"/>
  <c r="E51" i="51"/>
  <c r="E55" i="51"/>
  <c r="E47" i="51"/>
  <c r="E48" i="51"/>
  <c r="E52" i="51"/>
  <c r="E56" i="51"/>
  <c r="E49" i="51"/>
  <c r="E53" i="51"/>
  <c r="E57" i="51"/>
  <c r="C97" i="39"/>
  <c r="J48" i="51" l="1"/>
  <c r="J47" i="51"/>
  <c r="L220" i="82"/>
  <c r="M220" i="82"/>
  <c r="L206" i="82"/>
  <c r="M206" i="82"/>
  <c r="L192" i="82"/>
  <c r="M192" i="82"/>
  <c r="E185" i="82" s="1"/>
  <c r="N205" i="82"/>
  <c r="N177" i="82"/>
  <c r="D170" i="82"/>
  <c r="G207" i="82"/>
  <c r="G221" i="82"/>
  <c r="N191" i="82"/>
  <c r="N219" i="82"/>
  <c r="J55" i="51"/>
  <c r="J50" i="51"/>
  <c r="J56" i="51"/>
  <c r="J51" i="51"/>
  <c r="J49" i="51"/>
  <c r="J54" i="51"/>
  <c r="J57" i="51"/>
  <c r="J52" i="51"/>
  <c r="J53" i="51"/>
  <c r="J58" i="51"/>
  <c r="L221" i="82" l="1"/>
  <c r="M221" i="82"/>
  <c r="M207" i="82"/>
  <c r="E200" i="82" s="1"/>
  <c r="L207" i="82"/>
  <c r="N192" i="82"/>
  <c r="D185" i="82"/>
  <c r="N206" i="82"/>
  <c r="G222" i="82"/>
  <c r="N220" i="82"/>
  <c r="BY303" i="89"/>
  <c r="BY302" i="89"/>
  <c r="BY297" i="89"/>
  <c r="BY300" i="89"/>
  <c r="BY301" i="89"/>
  <c r="BY298" i="89"/>
  <c r="L222" i="82" l="1"/>
  <c r="M222" i="82"/>
  <c r="E215" i="82" s="1"/>
  <c r="N221" i="82"/>
  <c r="N207" i="82"/>
  <c r="D200" i="82"/>
  <c r="C107" i="39"/>
  <c r="N222" i="82" l="1"/>
  <c r="D215" i="82"/>
  <c r="E94" i="39"/>
  <c r="E95" i="39"/>
  <c r="C95" i="39" l="1"/>
  <c r="G50009" i="84" l="1"/>
  <c r="D35" i="58" l="1"/>
  <c r="C8" i="58" l="1"/>
  <c r="C109" i="85"/>
  <c r="C125" i="85"/>
  <c r="C151" i="85"/>
  <c r="C96" i="85"/>
  <c r="C149" i="85"/>
  <c r="C134" i="85"/>
  <c r="C119" i="85"/>
  <c r="C71" i="85"/>
  <c r="C95" i="85"/>
  <c r="C152" i="85"/>
  <c r="C141" i="85"/>
  <c r="C18" i="85"/>
  <c r="C90" i="85"/>
  <c r="C161" i="85"/>
  <c r="C121" i="85"/>
  <c r="C12" i="85"/>
  <c r="C73" i="85"/>
  <c r="C16" i="85"/>
  <c r="C21" i="85"/>
  <c r="C15" i="85"/>
  <c r="C108" i="85"/>
  <c r="C4" i="85"/>
  <c r="C20" i="85"/>
  <c r="C6" i="85"/>
  <c r="C145" i="85"/>
  <c r="C45" i="85"/>
  <c r="C166" i="85"/>
  <c r="C37" i="85"/>
  <c r="C130" i="85"/>
  <c r="C24" i="85"/>
  <c r="C107" i="85"/>
  <c r="C140" i="85"/>
  <c r="C17" i="85"/>
  <c r="C155" i="85"/>
  <c r="C142" i="85"/>
  <c r="C113" i="85"/>
  <c r="C77" i="85"/>
  <c r="C10" i="85"/>
  <c r="C167" i="85"/>
  <c r="C39" i="85"/>
  <c r="C102" i="85"/>
  <c r="C110" i="85"/>
  <c r="C8" i="85"/>
  <c r="C13" i="85"/>
  <c r="C115" i="85"/>
  <c r="C103" i="85"/>
  <c r="C104" i="85"/>
  <c r="C153" i="85"/>
  <c r="C139" i="85"/>
  <c r="C105" i="85"/>
  <c r="C154" i="85"/>
  <c r="C36" i="85"/>
  <c r="C98" i="85"/>
  <c r="C99" i="85"/>
  <c r="C165" i="85"/>
  <c r="C147" i="85"/>
  <c r="C44" i="85"/>
  <c r="C123" i="85"/>
  <c r="C160" i="85"/>
  <c r="C133" i="85"/>
  <c r="C112" i="85"/>
  <c r="C131" i="85"/>
  <c r="C38" i="85"/>
  <c r="C144" i="85"/>
  <c r="C157" i="85"/>
  <c r="C164" i="85"/>
  <c r="C163" i="85"/>
  <c r="C97" i="85"/>
  <c r="C19" i="85"/>
  <c r="C60" i="85"/>
  <c r="C111" i="85"/>
  <c r="C14" i="85"/>
  <c r="C23" i="85"/>
  <c r="C162" i="85"/>
  <c r="C150" i="85"/>
  <c r="C32" i="85"/>
  <c r="C129" i="85"/>
  <c r="C11" i="85"/>
  <c r="C7" i="85"/>
  <c r="C138" i="85"/>
  <c r="C143" i="85"/>
  <c r="C156" i="85"/>
  <c r="C9" i="85"/>
  <c r="C3" i="85"/>
  <c r="C46" i="85"/>
  <c r="C100" i="85"/>
  <c r="C117" i="85"/>
  <c r="C132" i="85"/>
  <c r="C159" i="85"/>
  <c r="C25" i="85"/>
  <c r="C114" i="85"/>
  <c r="C26" i="85"/>
  <c r="C106" i="85"/>
  <c r="C101" i="85"/>
  <c r="C87" i="85"/>
  <c r="C146" i="85"/>
  <c r="C127" i="85"/>
  <c r="C57" i="85"/>
  <c r="C5" i="85"/>
  <c r="C137" i="85"/>
  <c r="C148" i="85"/>
  <c r="C158" i="85"/>
  <c r="T121" i="89" l="1"/>
  <c r="U121" i="89" s="1"/>
  <c r="R718" i="84"/>
  <c r="R719" i="84"/>
  <c r="R720" i="84"/>
  <c r="R721" i="84"/>
  <c r="R722" i="84"/>
  <c r="R723" i="84"/>
  <c r="R724" i="84"/>
  <c r="R725" i="84"/>
  <c r="R726" i="84"/>
  <c r="R727" i="84"/>
  <c r="R728" i="84"/>
  <c r="R729" i="84"/>
  <c r="R730" i="84"/>
  <c r="R731" i="84"/>
  <c r="R732" i="84"/>
  <c r="R733" i="84"/>
  <c r="R734" i="84"/>
  <c r="R735" i="84"/>
  <c r="R736" i="84"/>
  <c r="R737" i="84"/>
  <c r="R738" i="84"/>
  <c r="R739" i="84"/>
  <c r="R740" i="84"/>
  <c r="R741" i="84"/>
  <c r="R742" i="84"/>
  <c r="R743" i="84"/>
  <c r="R744" i="84"/>
  <c r="R745" i="84"/>
  <c r="R746" i="84"/>
  <c r="R747" i="84"/>
  <c r="R748" i="84"/>
  <c r="R749" i="84"/>
  <c r="R750" i="84"/>
  <c r="R751" i="84"/>
  <c r="R752" i="84"/>
  <c r="R753" i="84"/>
  <c r="R754" i="84"/>
  <c r="R755" i="84"/>
  <c r="R756" i="84"/>
  <c r="R757" i="84"/>
  <c r="R758" i="84"/>
  <c r="R759" i="84"/>
  <c r="R760" i="84"/>
  <c r="R761" i="84"/>
  <c r="R762" i="84"/>
  <c r="R763" i="84"/>
  <c r="R764" i="84"/>
  <c r="R765" i="84"/>
  <c r="R766" i="84"/>
  <c r="R767" i="84"/>
  <c r="R768" i="84"/>
  <c r="R769" i="84"/>
  <c r="R770" i="84"/>
  <c r="R771" i="84"/>
  <c r="R772" i="84"/>
  <c r="R773" i="84"/>
  <c r="R774" i="84"/>
  <c r="R775" i="84"/>
  <c r="R776" i="84"/>
  <c r="R777" i="84"/>
  <c r="R778" i="84"/>
  <c r="R779" i="84"/>
  <c r="R780" i="84"/>
  <c r="R781" i="84"/>
  <c r="R782" i="84"/>
  <c r="R783" i="84"/>
  <c r="R784" i="84"/>
  <c r="R785" i="84"/>
  <c r="R786" i="84"/>
  <c r="R787" i="84"/>
  <c r="R788" i="84"/>
  <c r="R789" i="84"/>
  <c r="R790" i="84"/>
  <c r="R791" i="84"/>
  <c r="R792" i="84"/>
  <c r="R793" i="84"/>
  <c r="R794" i="84"/>
  <c r="R795" i="84"/>
  <c r="R796" i="84"/>
  <c r="R797" i="84"/>
  <c r="R798" i="84"/>
  <c r="R799" i="84"/>
  <c r="R800" i="84"/>
  <c r="R801" i="84"/>
  <c r="R802" i="84"/>
  <c r="R803" i="84"/>
  <c r="R804" i="84"/>
  <c r="R805" i="84"/>
  <c r="R806" i="84"/>
  <c r="R807" i="84"/>
  <c r="R808" i="84"/>
  <c r="R809" i="84"/>
  <c r="R810" i="84"/>
  <c r="R811" i="84"/>
  <c r="R812" i="84"/>
  <c r="R813" i="84"/>
  <c r="R814" i="84"/>
  <c r="R815" i="84"/>
  <c r="R816" i="84"/>
  <c r="R817" i="84"/>
  <c r="R818" i="84"/>
  <c r="R819" i="84"/>
  <c r="R820" i="84"/>
  <c r="R821" i="84"/>
  <c r="R822" i="84"/>
  <c r="R823" i="84"/>
  <c r="R824" i="84"/>
  <c r="R825" i="84"/>
  <c r="R826" i="84"/>
  <c r="R827" i="84"/>
  <c r="R828" i="84"/>
  <c r="R829" i="84"/>
  <c r="R830" i="84"/>
  <c r="R831" i="84"/>
  <c r="R832" i="84"/>
  <c r="R833" i="84"/>
  <c r="R834" i="84"/>
  <c r="R835" i="84"/>
  <c r="R836" i="84"/>
  <c r="R837" i="84"/>
  <c r="R838" i="84"/>
  <c r="R839" i="84"/>
  <c r="R840" i="84"/>
  <c r="R841" i="84"/>
  <c r="R842" i="84"/>
  <c r="R843" i="84"/>
  <c r="R844" i="84"/>
  <c r="R845" i="84"/>
  <c r="R846" i="84"/>
  <c r="R847" i="84"/>
  <c r="R848" i="84"/>
  <c r="R849" i="84"/>
  <c r="R850" i="84"/>
  <c r="R851" i="84"/>
  <c r="R852" i="84"/>
  <c r="R853" i="84"/>
  <c r="R854" i="84"/>
  <c r="R855" i="84"/>
  <c r="R856" i="84"/>
  <c r="R857" i="84"/>
  <c r="R858" i="84"/>
  <c r="R859" i="84"/>
  <c r="R860" i="84"/>
  <c r="R861" i="84"/>
  <c r="R862" i="84"/>
  <c r="R863" i="84"/>
  <c r="R864" i="84"/>
  <c r="R865" i="84"/>
  <c r="R866" i="84"/>
  <c r="R867" i="84"/>
  <c r="R868" i="84"/>
  <c r="R869" i="84"/>
  <c r="R870" i="84"/>
  <c r="R871" i="84"/>
  <c r="R872" i="84"/>
  <c r="R873" i="84"/>
  <c r="R874" i="84"/>
  <c r="R875" i="84"/>
  <c r="R876" i="84"/>
  <c r="R877" i="84"/>
  <c r="R878" i="84"/>
  <c r="R879" i="84"/>
  <c r="R880" i="84"/>
  <c r="R881" i="84"/>
  <c r="R882" i="84"/>
  <c r="R883" i="84"/>
  <c r="R884" i="84"/>
  <c r="R885" i="84"/>
  <c r="R886" i="84"/>
  <c r="R887" i="84"/>
  <c r="R888" i="84"/>
  <c r="R889" i="84"/>
  <c r="R890" i="84"/>
  <c r="R891" i="84"/>
  <c r="R892" i="84"/>
  <c r="R893" i="84"/>
  <c r="R894" i="84"/>
  <c r="R895" i="84"/>
  <c r="R896" i="84"/>
  <c r="R897" i="84"/>
  <c r="R898" i="84"/>
  <c r="R899" i="84"/>
  <c r="R900" i="84"/>
  <c r="R901" i="84"/>
  <c r="R902" i="84"/>
  <c r="R903" i="84"/>
  <c r="R904" i="84"/>
  <c r="R905" i="84"/>
  <c r="R906" i="84"/>
  <c r="R907" i="84"/>
  <c r="R908" i="84"/>
  <c r="R909" i="84"/>
  <c r="R910" i="84"/>
  <c r="R911" i="84"/>
  <c r="R912" i="84"/>
  <c r="R913" i="84"/>
  <c r="R914" i="84"/>
  <c r="R915" i="84"/>
  <c r="R916" i="84"/>
  <c r="R917" i="84"/>
  <c r="R918" i="84"/>
  <c r="R919" i="84"/>
  <c r="R920" i="84"/>
  <c r="R921" i="84"/>
  <c r="R922" i="84"/>
  <c r="R923" i="84"/>
  <c r="R924" i="84"/>
  <c r="R925" i="84"/>
  <c r="R926" i="84"/>
  <c r="R927" i="84"/>
  <c r="R928" i="84"/>
  <c r="R929" i="84"/>
  <c r="R930" i="84"/>
  <c r="R931" i="84"/>
  <c r="R932" i="84"/>
  <c r="R933" i="84"/>
  <c r="R934" i="84"/>
  <c r="R935" i="84"/>
  <c r="R936" i="84"/>
  <c r="R937" i="84"/>
  <c r="R938" i="84"/>
  <c r="R939" i="84"/>
  <c r="R940" i="84"/>
  <c r="R941" i="84"/>
  <c r="R942" i="84"/>
  <c r="R943" i="84"/>
  <c r="R944" i="84"/>
  <c r="R945" i="84"/>
  <c r="R946" i="84"/>
  <c r="R947" i="84"/>
  <c r="R948" i="84"/>
  <c r="R949" i="84"/>
  <c r="R950" i="84"/>
  <c r="R951" i="84"/>
  <c r="R952" i="84"/>
  <c r="R953" i="84"/>
  <c r="R954" i="84"/>
  <c r="R955" i="84"/>
  <c r="R956" i="84"/>
  <c r="R957" i="84"/>
  <c r="R958" i="84"/>
  <c r="R959" i="84"/>
  <c r="R960" i="84"/>
  <c r="R961" i="84"/>
  <c r="R962" i="84"/>
  <c r="R963" i="84"/>
  <c r="R964" i="84"/>
  <c r="R965" i="84"/>
  <c r="R966" i="84"/>
  <c r="R967" i="84"/>
  <c r="R968" i="84"/>
  <c r="R969" i="84"/>
  <c r="R970" i="84"/>
  <c r="R971" i="84"/>
  <c r="R972" i="84"/>
  <c r="R973" i="84"/>
  <c r="R974" i="84"/>
  <c r="R975" i="84"/>
  <c r="R976" i="84"/>
  <c r="R977" i="84"/>
  <c r="R978" i="84"/>
  <c r="R979" i="84"/>
  <c r="R980" i="84"/>
  <c r="R981" i="84"/>
  <c r="R982" i="84"/>
  <c r="R983" i="84"/>
  <c r="R984" i="84"/>
  <c r="R985" i="84"/>
  <c r="R986" i="84"/>
  <c r="R987" i="84"/>
  <c r="R988" i="84"/>
  <c r="R989" i="84"/>
  <c r="R990" i="84"/>
  <c r="R991" i="84"/>
  <c r="R992" i="84"/>
  <c r="R993" i="84"/>
  <c r="R994" i="84"/>
  <c r="R995" i="84"/>
  <c r="R996" i="84"/>
  <c r="R997" i="84"/>
  <c r="R998" i="84"/>
  <c r="R999" i="84"/>
  <c r="R1000" i="84"/>
  <c r="R1001" i="84"/>
  <c r="R1002" i="84"/>
  <c r="R1003" i="84"/>
  <c r="R1004" i="84"/>
  <c r="R1005" i="84"/>
  <c r="R1006" i="84"/>
  <c r="R1007" i="84"/>
  <c r="R1008" i="84"/>
  <c r="R1009" i="84"/>
  <c r="R1010" i="84"/>
  <c r="R1011" i="84"/>
  <c r="R1012" i="84"/>
  <c r="R1013" i="84"/>
  <c r="R1014" i="84"/>
  <c r="R1015" i="84"/>
  <c r="R1016" i="84"/>
  <c r="R1017" i="84"/>
  <c r="R1018" i="84"/>
  <c r="R1019" i="84"/>
  <c r="R1020" i="84"/>
  <c r="R1021" i="84"/>
  <c r="R1022" i="84"/>
  <c r="R1023" i="84"/>
  <c r="R1024" i="84"/>
  <c r="R1025" i="84"/>
  <c r="R1026" i="84"/>
  <c r="R1027" i="84"/>
  <c r="R1028" i="84"/>
  <c r="R1029" i="84"/>
  <c r="R1030" i="84"/>
  <c r="R1031" i="84"/>
  <c r="R1032" i="84"/>
  <c r="R1033" i="84"/>
  <c r="R1034" i="84"/>
  <c r="R1035" i="84"/>
  <c r="R1036" i="84"/>
  <c r="R1037" i="84"/>
  <c r="R1038" i="84"/>
  <c r="R1039" i="84"/>
  <c r="R1040" i="84"/>
  <c r="R1041" i="84"/>
  <c r="R1042" i="84"/>
  <c r="R1043" i="84"/>
  <c r="R1044" i="84"/>
  <c r="R1045" i="84"/>
  <c r="R1046" i="84"/>
  <c r="R1047" i="84"/>
  <c r="R1048" i="84"/>
  <c r="R1049" i="84"/>
  <c r="R1050" i="84"/>
  <c r="R1051" i="84"/>
  <c r="R1052" i="84"/>
  <c r="R1053" i="84"/>
  <c r="R1054" i="84"/>
  <c r="R1055" i="84"/>
  <c r="R1056" i="84"/>
  <c r="R1057" i="84"/>
  <c r="R1058" i="84"/>
  <c r="R1059" i="84"/>
  <c r="R1060" i="84"/>
  <c r="R1061" i="84"/>
  <c r="R1062" i="84"/>
  <c r="R1063" i="84"/>
  <c r="R1064" i="84"/>
  <c r="R1065" i="84"/>
  <c r="R1066" i="84"/>
  <c r="R1067" i="84"/>
  <c r="R1068" i="84"/>
  <c r="R1069" i="84"/>
  <c r="R1070" i="84"/>
  <c r="R1071" i="84"/>
  <c r="R1072" i="84"/>
  <c r="R1073" i="84"/>
  <c r="R1074" i="84"/>
  <c r="R1075" i="84"/>
  <c r="R1076" i="84"/>
  <c r="R1077" i="84"/>
  <c r="R1078" i="84"/>
  <c r="R1079" i="84"/>
  <c r="R1080" i="84"/>
  <c r="R1081" i="84"/>
  <c r="R1082" i="84"/>
  <c r="R1083" i="84"/>
  <c r="R1084" i="84"/>
  <c r="R1085" i="84"/>
  <c r="R1086" i="84"/>
  <c r="R1087" i="84"/>
  <c r="R1088" i="84"/>
  <c r="R1089" i="84"/>
  <c r="R1090" i="84"/>
  <c r="R1091" i="84"/>
  <c r="R1092" i="84"/>
  <c r="R1093" i="84"/>
  <c r="R1094" i="84"/>
  <c r="R1095" i="84"/>
  <c r="R1096" i="84"/>
  <c r="R1097" i="84"/>
  <c r="R1098" i="84"/>
  <c r="R1099" i="84"/>
  <c r="R1100" i="84"/>
  <c r="R1101" i="84"/>
  <c r="R1102" i="84"/>
  <c r="R1103" i="84"/>
  <c r="R1104" i="84"/>
  <c r="R1105" i="84"/>
  <c r="R1106" i="84"/>
  <c r="R1107" i="84"/>
  <c r="R1108" i="84"/>
  <c r="R1109" i="84"/>
  <c r="R1110" i="84"/>
  <c r="R1111" i="84"/>
  <c r="R1112" i="84"/>
  <c r="R1113" i="84"/>
  <c r="R1114" i="84"/>
  <c r="R1115" i="84"/>
  <c r="R1116" i="84"/>
  <c r="R1117" i="84"/>
  <c r="R1118" i="84"/>
  <c r="R1119" i="84"/>
  <c r="R1120" i="84"/>
  <c r="R1121" i="84"/>
  <c r="R1122" i="84"/>
  <c r="R1123" i="84"/>
  <c r="R1124" i="84"/>
  <c r="R1125" i="84"/>
  <c r="R1126" i="84"/>
  <c r="R1127" i="84"/>
  <c r="R1128" i="84"/>
  <c r="R1129" i="84"/>
  <c r="R1130" i="84"/>
  <c r="R1131" i="84"/>
  <c r="R1132" i="84"/>
  <c r="R1133" i="84"/>
  <c r="R1134" i="84"/>
  <c r="R1135" i="84"/>
  <c r="R1136" i="84"/>
  <c r="R1137" i="84"/>
  <c r="R1138" i="84"/>
  <c r="R1139" i="84"/>
  <c r="R1140" i="84"/>
  <c r="R1141" i="84"/>
  <c r="R1142" i="84"/>
  <c r="R1143" i="84"/>
  <c r="R1144" i="84"/>
  <c r="R1145" i="84"/>
  <c r="R1146" i="84"/>
  <c r="R1147" i="84"/>
  <c r="R1148" i="84"/>
  <c r="R1149" i="84"/>
  <c r="R1150" i="84"/>
  <c r="R1151" i="84"/>
  <c r="R1152" i="84"/>
  <c r="R1153" i="84"/>
  <c r="R1154" i="84"/>
  <c r="R1155" i="84"/>
  <c r="R1156" i="84"/>
  <c r="R1157" i="84"/>
  <c r="R1158" i="84"/>
  <c r="R1159" i="84"/>
  <c r="R1160" i="84"/>
  <c r="R1161" i="84"/>
  <c r="R1162" i="84"/>
  <c r="R1163" i="84"/>
  <c r="R1164" i="84"/>
  <c r="R1165" i="84"/>
  <c r="R1166" i="84"/>
  <c r="R1167" i="84"/>
  <c r="R1168" i="84"/>
  <c r="R1169" i="84"/>
  <c r="R1170" i="84"/>
  <c r="R1171" i="84"/>
  <c r="R1172" i="84"/>
  <c r="R1173" i="84"/>
  <c r="R1174" i="84"/>
  <c r="R1175" i="84"/>
  <c r="R1176" i="84"/>
  <c r="R1177" i="84"/>
  <c r="R1178" i="84"/>
  <c r="R1179" i="84"/>
  <c r="R1180" i="84"/>
  <c r="R1181" i="84"/>
  <c r="R1182" i="84"/>
  <c r="R1183" i="84"/>
  <c r="R1184" i="84"/>
  <c r="R1185" i="84"/>
  <c r="R1186" i="84"/>
  <c r="R1187" i="84"/>
  <c r="R1188" i="84"/>
  <c r="R1189" i="84"/>
  <c r="R1190" i="84"/>
  <c r="R1191" i="84"/>
  <c r="R1192" i="84"/>
  <c r="R1193" i="84"/>
  <c r="R1194" i="84"/>
  <c r="R1195" i="84"/>
  <c r="R1196" i="84"/>
  <c r="R1197" i="84"/>
  <c r="R1198" i="84"/>
  <c r="R1199" i="84"/>
  <c r="R1200" i="84"/>
  <c r="R1201" i="84"/>
  <c r="R1202" i="84"/>
  <c r="R1203" i="84"/>
  <c r="R1204" i="84"/>
  <c r="R1205" i="84"/>
  <c r="R1206" i="84"/>
  <c r="R1207" i="84"/>
  <c r="R1208" i="84"/>
  <c r="R1209" i="84"/>
  <c r="R1210" i="84"/>
  <c r="R1211" i="84"/>
  <c r="R1212" i="84"/>
  <c r="R1213" i="84"/>
  <c r="R1214" i="84"/>
  <c r="R1215" i="84"/>
  <c r="R1216" i="84"/>
  <c r="R1217" i="84"/>
  <c r="R1218" i="84"/>
  <c r="R1219" i="84"/>
  <c r="R1220" i="84"/>
  <c r="R1221" i="84"/>
  <c r="R1222" i="84"/>
  <c r="R1223" i="84"/>
  <c r="R1224" i="84"/>
  <c r="R1225" i="84"/>
  <c r="R1226" i="84"/>
  <c r="R1227" i="84"/>
  <c r="R1228" i="84"/>
  <c r="P181" i="49" l="1"/>
  <c r="P180" i="49"/>
  <c r="P173" i="49"/>
  <c r="Q154" i="49"/>
  <c r="P154" i="49" s="1"/>
  <c r="C140" i="49"/>
  <c r="C139" i="49"/>
  <c r="C136" i="49"/>
  <c r="C135" i="49"/>
  <c r="C134" i="49"/>
  <c r="C133" i="49"/>
  <c r="C131" i="49"/>
  <c r="C130" i="49"/>
  <c r="C129" i="49"/>
  <c r="C128" i="49"/>
  <c r="P97" i="49"/>
  <c r="Q57" i="49"/>
  <c r="P57" i="49" s="1"/>
  <c r="P30" i="49"/>
  <c r="P1726" i="49"/>
  <c r="P1725" i="49"/>
  <c r="P1724" i="49"/>
  <c r="P1723" i="49"/>
  <c r="P1722" i="49"/>
  <c r="P1721" i="49"/>
  <c r="P1720" i="49"/>
  <c r="P1719" i="49"/>
  <c r="P1718" i="49"/>
  <c r="P1717" i="49"/>
  <c r="P1716" i="49"/>
  <c r="P1715" i="49"/>
  <c r="P1714" i="49"/>
  <c r="P1713" i="49"/>
  <c r="P1712" i="49"/>
  <c r="P1711" i="49"/>
  <c r="P1710" i="49"/>
  <c r="P1709" i="49"/>
  <c r="P1708" i="49"/>
  <c r="P1707" i="49"/>
  <c r="P1706" i="49"/>
  <c r="P1705" i="49"/>
  <c r="P1704" i="49"/>
  <c r="P1703" i="49"/>
  <c r="P1702" i="49"/>
  <c r="P1701" i="49"/>
  <c r="P1700" i="49"/>
  <c r="P1699" i="49"/>
  <c r="P1698" i="49"/>
  <c r="P1697" i="49"/>
  <c r="P1696" i="49"/>
  <c r="P1695" i="49"/>
  <c r="P1694" i="49"/>
  <c r="P1693" i="49"/>
  <c r="P1692" i="49"/>
  <c r="P1691" i="49"/>
  <c r="P1690" i="49"/>
  <c r="P1689" i="49"/>
  <c r="P1688" i="49"/>
  <c r="P1687" i="49"/>
  <c r="P1686" i="49"/>
  <c r="P1685" i="49"/>
  <c r="P1684" i="49"/>
  <c r="P1683" i="49"/>
  <c r="P1682" i="49"/>
  <c r="P1681" i="49"/>
  <c r="P1680" i="49"/>
  <c r="P1679" i="49"/>
  <c r="P1678" i="49"/>
  <c r="P1677" i="49"/>
  <c r="P1676" i="49"/>
  <c r="P1675" i="49"/>
  <c r="P1674" i="49"/>
  <c r="P1673" i="49"/>
  <c r="P1672" i="49"/>
  <c r="P1671" i="49"/>
  <c r="P1670" i="49"/>
  <c r="P1669" i="49"/>
  <c r="P1668" i="49"/>
  <c r="P1667" i="49"/>
  <c r="P1666" i="49"/>
  <c r="P1665" i="49"/>
  <c r="P1664" i="49"/>
  <c r="P1663" i="49"/>
  <c r="P1662" i="49"/>
  <c r="P1661" i="49"/>
  <c r="P1660" i="49"/>
  <c r="P1659" i="49"/>
  <c r="P1658" i="49"/>
  <c r="P1657" i="49"/>
  <c r="P1656" i="49"/>
  <c r="P1655" i="49"/>
  <c r="P1654" i="49"/>
  <c r="P1653" i="49"/>
  <c r="P1652" i="49"/>
  <c r="P1651" i="49"/>
  <c r="P1650" i="49"/>
  <c r="P1649" i="49"/>
  <c r="P1648" i="49"/>
  <c r="P1647" i="49"/>
  <c r="P1646" i="49"/>
  <c r="P1645" i="49"/>
  <c r="P1644" i="49"/>
  <c r="P1643" i="49"/>
  <c r="P1642" i="49"/>
  <c r="P1641" i="49"/>
  <c r="P1640" i="49"/>
  <c r="P1639" i="49"/>
  <c r="P1638" i="49"/>
  <c r="P1637" i="49"/>
  <c r="P1636" i="49"/>
  <c r="P1635" i="49"/>
  <c r="P1634" i="49"/>
  <c r="P1633" i="49"/>
  <c r="P1632" i="49"/>
  <c r="P1631" i="49"/>
  <c r="P1630" i="49"/>
  <c r="P1629" i="49"/>
  <c r="P1628" i="49"/>
  <c r="P1627" i="49"/>
  <c r="P1626" i="49"/>
  <c r="P1625" i="49"/>
  <c r="P1624" i="49"/>
  <c r="P1623" i="49"/>
  <c r="P1622" i="49"/>
  <c r="P1621" i="49"/>
  <c r="P1620" i="49"/>
  <c r="P1619" i="49"/>
  <c r="P1618" i="49"/>
  <c r="P1617" i="49"/>
  <c r="P1616" i="49"/>
  <c r="P1615" i="49"/>
  <c r="P1614" i="49"/>
  <c r="P1613" i="49"/>
  <c r="P1612" i="49"/>
  <c r="P1611" i="49"/>
  <c r="P1610" i="49"/>
  <c r="P1609" i="49"/>
  <c r="P1608" i="49"/>
  <c r="P1607" i="49"/>
  <c r="P1606" i="49"/>
  <c r="P1605" i="49"/>
  <c r="P1604" i="49"/>
  <c r="P1603" i="49"/>
  <c r="P1602" i="49"/>
  <c r="P1601" i="49"/>
  <c r="P1600" i="49"/>
  <c r="P1599" i="49"/>
  <c r="P1598" i="49"/>
  <c r="P1597" i="49"/>
  <c r="P1596" i="49"/>
  <c r="P1595" i="49"/>
  <c r="P1594" i="49"/>
  <c r="P1593" i="49"/>
  <c r="P1592" i="49"/>
  <c r="P1591" i="49"/>
  <c r="P1590" i="49"/>
  <c r="P1589" i="49"/>
  <c r="P1588" i="49"/>
  <c r="P1587" i="49"/>
  <c r="P1586" i="49"/>
  <c r="P1585" i="49"/>
  <c r="P1584" i="49"/>
  <c r="P1583" i="49"/>
  <c r="P1582" i="49"/>
  <c r="P1581" i="49"/>
  <c r="P1580" i="49"/>
  <c r="P1579" i="49"/>
  <c r="P1578" i="49"/>
  <c r="P1577" i="49"/>
  <c r="P1576" i="49"/>
  <c r="P1575" i="49"/>
  <c r="P1574" i="49"/>
  <c r="P1573" i="49"/>
  <c r="P1572" i="49"/>
  <c r="P1571" i="49"/>
  <c r="P1570" i="49"/>
  <c r="P1569" i="49"/>
  <c r="P1568" i="49"/>
  <c r="P1567" i="49"/>
  <c r="P1566" i="49"/>
  <c r="P1565" i="49"/>
  <c r="P1564" i="49"/>
  <c r="P1563" i="49"/>
  <c r="P1562" i="49"/>
  <c r="P1561" i="49"/>
  <c r="P1560" i="49"/>
  <c r="P1559" i="49"/>
  <c r="P1558" i="49"/>
  <c r="P1557" i="49"/>
  <c r="P1556" i="49"/>
  <c r="P1555" i="49"/>
  <c r="P1554" i="49"/>
  <c r="P1553" i="49"/>
  <c r="P1552" i="49"/>
  <c r="P1551" i="49"/>
  <c r="P1550" i="49"/>
  <c r="P1549" i="49"/>
  <c r="P1548" i="49"/>
  <c r="P1547" i="49"/>
  <c r="P1546" i="49"/>
  <c r="P1545" i="49"/>
  <c r="P1544" i="49"/>
  <c r="P1543" i="49"/>
  <c r="P1542" i="49"/>
  <c r="P1541" i="49"/>
  <c r="P1540" i="49"/>
  <c r="P1539" i="49"/>
  <c r="P1538" i="49"/>
  <c r="P1537" i="49"/>
  <c r="P1536" i="49"/>
  <c r="P1535" i="49"/>
  <c r="P1534" i="49"/>
  <c r="P1533" i="49"/>
  <c r="P1532" i="49"/>
  <c r="P1531" i="49"/>
  <c r="P1530" i="49"/>
  <c r="P1529" i="49"/>
  <c r="P1528" i="49"/>
  <c r="P1527" i="49"/>
  <c r="P1526" i="49"/>
  <c r="P1525" i="49"/>
  <c r="P1524" i="49"/>
  <c r="P1523" i="49"/>
  <c r="P1522" i="49"/>
  <c r="P1521" i="49"/>
  <c r="P1520" i="49"/>
  <c r="P1519" i="49"/>
  <c r="P1518" i="49"/>
  <c r="P1517" i="49"/>
  <c r="P1516" i="49"/>
  <c r="P1515" i="49"/>
  <c r="P1514" i="49"/>
  <c r="P1513" i="49"/>
  <c r="P1512" i="49"/>
  <c r="P1511" i="49"/>
  <c r="P1510" i="49"/>
  <c r="P1509" i="49"/>
  <c r="P1508" i="49"/>
  <c r="P1507" i="49"/>
  <c r="P1506" i="49"/>
  <c r="P1505" i="49"/>
  <c r="P1504" i="49"/>
  <c r="P1503" i="49"/>
  <c r="P1502" i="49"/>
  <c r="P1501" i="49"/>
  <c r="P1500" i="49"/>
  <c r="P1499" i="49"/>
  <c r="P1498" i="49"/>
  <c r="P1497" i="49"/>
  <c r="P1496" i="49"/>
  <c r="P1495" i="49"/>
  <c r="P1494" i="49"/>
  <c r="P1493" i="49"/>
  <c r="P1492" i="49"/>
  <c r="P1491" i="49"/>
  <c r="P1490" i="49"/>
  <c r="P1489" i="49"/>
  <c r="P1488" i="49"/>
  <c r="P1487" i="49"/>
  <c r="P1486" i="49"/>
  <c r="P1485" i="49"/>
  <c r="P1484" i="49"/>
  <c r="P1483" i="49"/>
  <c r="P1482" i="49"/>
  <c r="P1481" i="49"/>
  <c r="P1480" i="49"/>
  <c r="P1479" i="49"/>
  <c r="P1478" i="49"/>
  <c r="P1477" i="49"/>
  <c r="P1476" i="49"/>
  <c r="P1475" i="49"/>
  <c r="P1474" i="49"/>
  <c r="P1473" i="49"/>
  <c r="P1472" i="49"/>
  <c r="P1471" i="49"/>
  <c r="P1470" i="49"/>
  <c r="P1469" i="49"/>
  <c r="P1468" i="49"/>
  <c r="P1467" i="49"/>
  <c r="P1466" i="49"/>
  <c r="P1465" i="49"/>
  <c r="P1464" i="49"/>
  <c r="P1463" i="49"/>
  <c r="P1462" i="49"/>
  <c r="P1461" i="49"/>
  <c r="P1460" i="49"/>
  <c r="P1459" i="49"/>
  <c r="P1458" i="49"/>
  <c r="P1457" i="49"/>
  <c r="P1456" i="49"/>
  <c r="P1455" i="49"/>
  <c r="P1454" i="49"/>
  <c r="P1453" i="49"/>
  <c r="P1452" i="49"/>
  <c r="P1451" i="49"/>
  <c r="P1450" i="49"/>
  <c r="P1449" i="49"/>
  <c r="P1448" i="49"/>
  <c r="P1447" i="49"/>
  <c r="P1446" i="49"/>
  <c r="P1445" i="49"/>
  <c r="P1444" i="49"/>
  <c r="P1443" i="49"/>
  <c r="P1442" i="49"/>
  <c r="P1441" i="49"/>
  <c r="P1440" i="49"/>
  <c r="P1439" i="49"/>
  <c r="P1438" i="49"/>
  <c r="P1437" i="49"/>
  <c r="P1436" i="49"/>
  <c r="P1435" i="49"/>
  <c r="P1434" i="49"/>
  <c r="P1433" i="49"/>
  <c r="P1432" i="49"/>
  <c r="P1431" i="49"/>
  <c r="P1430" i="49"/>
  <c r="P1429" i="49"/>
  <c r="P1428" i="49"/>
  <c r="P1427" i="49"/>
  <c r="P1426" i="49"/>
  <c r="P1425" i="49"/>
  <c r="P1424" i="49"/>
  <c r="P1423" i="49"/>
  <c r="P1422" i="49"/>
  <c r="P1421" i="49"/>
  <c r="P1420" i="49"/>
  <c r="P1419" i="49"/>
  <c r="P1418" i="49"/>
  <c r="P1417" i="49"/>
  <c r="P1416" i="49"/>
  <c r="P1415" i="49"/>
  <c r="P1414" i="49"/>
  <c r="P1413" i="49"/>
  <c r="P1412" i="49"/>
  <c r="P1411" i="49"/>
  <c r="P1410" i="49"/>
  <c r="P1409" i="49"/>
  <c r="P1408" i="49"/>
  <c r="P1407" i="49"/>
  <c r="P1406" i="49"/>
  <c r="P1405" i="49"/>
  <c r="P1404" i="49"/>
  <c r="P1403" i="49"/>
  <c r="P1402" i="49"/>
  <c r="P1401" i="49"/>
  <c r="P1400" i="49"/>
  <c r="P1399" i="49"/>
  <c r="P1398" i="49"/>
  <c r="P1397" i="49"/>
  <c r="P1396" i="49"/>
  <c r="P1395" i="49"/>
  <c r="P1394" i="49"/>
  <c r="P1393" i="49"/>
  <c r="P1392" i="49"/>
  <c r="P1391" i="49"/>
  <c r="P1390" i="49"/>
  <c r="P1389" i="49"/>
  <c r="P1388" i="49"/>
  <c r="P1387" i="49"/>
  <c r="P1386" i="49"/>
  <c r="P1385" i="49"/>
  <c r="P1384" i="49"/>
  <c r="P1383" i="49"/>
  <c r="P1382" i="49"/>
  <c r="P1381" i="49"/>
  <c r="P1380" i="49"/>
  <c r="P1379" i="49"/>
  <c r="P1378" i="49"/>
  <c r="P1377" i="49"/>
  <c r="P1376" i="49"/>
  <c r="P1375" i="49"/>
  <c r="P1374" i="49"/>
  <c r="P1373" i="49"/>
  <c r="P1372" i="49"/>
  <c r="P1371" i="49"/>
  <c r="P1370" i="49"/>
  <c r="P1369" i="49"/>
  <c r="P1368" i="49"/>
  <c r="P1367" i="49"/>
  <c r="P1366" i="49"/>
  <c r="P1365" i="49"/>
  <c r="P1364" i="49"/>
  <c r="P1363" i="49"/>
  <c r="P1362" i="49"/>
  <c r="P1361" i="49"/>
  <c r="P1360" i="49"/>
  <c r="P1359" i="49"/>
  <c r="P1358" i="49"/>
  <c r="P1357" i="49"/>
  <c r="P1356" i="49"/>
  <c r="P1355" i="49"/>
  <c r="P1354" i="49"/>
  <c r="P1353" i="49"/>
  <c r="P1352" i="49"/>
  <c r="P1351" i="49"/>
  <c r="P1350" i="49"/>
  <c r="P1349" i="49"/>
  <c r="P1348" i="49"/>
  <c r="P1347" i="49"/>
  <c r="P1346" i="49"/>
  <c r="P1345" i="49"/>
  <c r="P1344" i="49"/>
  <c r="P1343" i="49"/>
  <c r="P1342" i="49"/>
  <c r="P1341" i="49"/>
  <c r="P1340" i="49"/>
  <c r="P1339" i="49"/>
  <c r="P1338" i="49"/>
  <c r="P1337" i="49"/>
  <c r="P1336" i="49"/>
  <c r="P1335" i="49"/>
  <c r="P1334" i="49"/>
  <c r="P1333" i="49"/>
  <c r="P1332" i="49"/>
  <c r="P1331" i="49"/>
  <c r="P1330" i="49"/>
  <c r="P1329" i="49"/>
  <c r="P1328" i="49"/>
  <c r="P1327" i="49"/>
  <c r="P1326" i="49"/>
  <c r="P1325" i="49"/>
  <c r="P1324" i="49"/>
  <c r="P1323" i="49"/>
  <c r="P1322" i="49"/>
  <c r="P1321" i="49"/>
  <c r="P1320" i="49"/>
  <c r="P1319" i="49"/>
  <c r="P1318" i="49"/>
  <c r="P1317" i="49"/>
  <c r="P1316" i="49"/>
  <c r="P1315" i="49"/>
  <c r="P1314" i="49"/>
  <c r="P1313" i="49"/>
  <c r="P1312" i="49"/>
  <c r="P1311" i="49"/>
  <c r="P1310" i="49"/>
  <c r="P1309" i="49"/>
  <c r="P1308" i="49"/>
  <c r="P1307" i="49"/>
  <c r="P1306" i="49"/>
  <c r="P1305" i="49"/>
  <c r="P1304" i="49"/>
  <c r="P1303" i="49"/>
  <c r="P1302" i="49"/>
  <c r="P1301" i="49"/>
  <c r="P1300" i="49"/>
  <c r="P1299" i="49"/>
  <c r="P1298" i="49"/>
  <c r="P1297" i="49"/>
  <c r="P1296" i="49"/>
  <c r="P1295" i="49"/>
  <c r="P1294" i="49"/>
  <c r="P1293" i="49"/>
  <c r="P1292" i="49"/>
  <c r="P1291" i="49"/>
  <c r="P1290" i="49"/>
  <c r="P1289" i="49"/>
  <c r="P1288" i="49"/>
  <c r="P1287" i="49"/>
  <c r="P1286" i="49"/>
  <c r="P1285" i="49"/>
  <c r="P1284" i="49"/>
  <c r="P1283" i="49"/>
  <c r="P1282" i="49"/>
  <c r="P1281" i="49"/>
  <c r="P1280" i="49"/>
  <c r="P1279" i="49"/>
  <c r="P1278" i="49"/>
  <c r="P1277" i="49"/>
  <c r="P1276" i="49"/>
  <c r="P1275" i="49"/>
  <c r="P1274" i="49"/>
  <c r="P1273" i="49"/>
  <c r="P1272" i="49"/>
  <c r="P1271" i="49"/>
  <c r="P1270" i="49"/>
  <c r="P1269" i="49"/>
  <c r="P1268" i="49"/>
  <c r="P1267" i="49"/>
  <c r="P1266" i="49"/>
  <c r="P1265" i="49"/>
  <c r="P1264" i="49"/>
  <c r="P1263" i="49"/>
  <c r="P1262" i="49"/>
  <c r="P1261" i="49"/>
  <c r="P1260" i="49"/>
  <c r="P1259" i="49"/>
  <c r="P1258" i="49"/>
  <c r="P1257" i="49"/>
  <c r="P1256" i="49"/>
  <c r="P1255" i="49"/>
  <c r="P1254" i="49"/>
  <c r="P1253" i="49"/>
  <c r="P1252" i="49"/>
  <c r="P1251" i="49"/>
  <c r="P1250" i="49"/>
  <c r="P1249" i="49"/>
  <c r="P1248" i="49"/>
  <c r="P1247" i="49"/>
  <c r="P1246" i="49"/>
  <c r="P1245" i="49"/>
  <c r="P1244" i="49"/>
  <c r="P1243" i="49"/>
  <c r="P1242" i="49"/>
  <c r="P1241" i="49"/>
  <c r="P1240" i="49"/>
  <c r="P1239" i="49"/>
  <c r="P1238" i="49"/>
  <c r="P1237" i="49"/>
  <c r="P1236" i="49"/>
  <c r="P1235" i="49"/>
  <c r="P1234" i="49"/>
  <c r="P1233" i="49"/>
  <c r="P1232" i="49"/>
  <c r="P1231" i="49"/>
  <c r="P1230" i="49"/>
  <c r="P1229" i="49"/>
  <c r="P1228" i="49"/>
  <c r="P1227" i="49"/>
  <c r="P1226" i="49"/>
  <c r="P1225" i="49"/>
  <c r="P1224" i="49"/>
  <c r="P1223" i="49"/>
  <c r="P1222" i="49"/>
  <c r="P1221" i="49"/>
  <c r="P1220" i="49"/>
  <c r="P1219" i="49"/>
  <c r="P1218" i="49"/>
  <c r="P1217" i="49"/>
  <c r="P1216" i="49"/>
  <c r="P1215" i="49"/>
  <c r="P1214" i="49"/>
  <c r="P1213" i="49"/>
  <c r="P1212" i="49"/>
  <c r="P1211" i="49"/>
  <c r="P1210" i="49"/>
  <c r="P1209" i="49"/>
  <c r="P1208" i="49"/>
  <c r="P1207" i="49"/>
  <c r="P1206" i="49"/>
  <c r="P1205" i="49"/>
  <c r="P1204" i="49"/>
  <c r="P1203" i="49"/>
  <c r="P1202" i="49"/>
  <c r="P1201" i="49"/>
  <c r="P1200" i="49"/>
  <c r="P1199" i="49"/>
  <c r="P1198" i="49"/>
  <c r="P1197" i="49"/>
  <c r="P1196" i="49"/>
  <c r="P1195" i="49"/>
  <c r="P1194" i="49"/>
  <c r="P1193" i="49"/>
  <c r="P1192" i="49"/>
  <c r="P1191" i="49"/>
  <c r="P1190" i="49"/>
  <c r="P1189" i="49"/>
  <c r="P1188" i="49"/>
  <c r="P1187" i="49"/>
  <c r="P1186" i="49"/>
  <c r="P1185" i="49"/>
  <c r="P1184" i="49"/>
  <c r="P1183" i="49"/>
  <c r="P1182" i="49"/>
  <c r="P1181" i="49"/>
  <c r="P1180" i="49"/>
  <c r="P1179" i="49"/>
  <c r="P1178" i="49"/>
  <c r="P1177" i="49"/>
  <c r="P1176" i="49"/>
  <c r="P1175" i="49"/>
  <c r="P1174" i="49"/>
  <c r="P1173" i="49"/>
  <c r="P1172" i="49"/>
  <c r="P1171" i="49"/>
  <c r="P1170" i="49"/>
  <c r="P1169" i="49"/>
  <c r="P1168" i="49"/>
  <c r="P1167" i="49"/>
  <c r="P1166" i="49"/>
  <c r="P1165" i="49"/>
  <c r="P1164" i="49"/>
  <c r="P1163" i="49"/>
  <c r="P1162" i="49"/>
  <c r="P1161" i="49"/>
  <c r="P1160" i="49"/>
  <c r="P1159" i="49"/>
  <c r="P1158" i="49"/>
  <c r="P1157" i="49"/>
  <c r="P1156" i="49"/>
  <c r="P1155" i="49"/>
  <c r="P1154" i="49"/>
  <c r="P1153" i="49"/>
  <c r="P1152" i="49"/>
  <c r="P1151" i="49"/>
  <c r="P1150" i="49"/>
  <c r="P1149" i="49"/>
  <c r="P1148" i="49"/>
  <c r="P1147" i="49"/>
  <c r="P1146" i="49"/>
  <c r="P1145" i="49"/>
  <c r="P1144" i="49"/>
  <c r="P1143" i="49"/>
  <c r="P1142" i="49"/>
  <c r="P1141" i="49"/>
  <c r="P1140" i="49"/>
  <c r="P1139" i="49"/>
  <c r="P1138" i="49"/>
  <c r="P1137" i="49"/>
  <c r="P1136" i="49"/>
  <c r="P1135" i="49"/>
  <c r="P1134" i="49"/>
  <c r="P1133" i="49"/>
  <c r="P1132" i="49"/>
  <c r="P1131" i="49"/>
  <c r="P1130" i="49"/>
  <c r="P1129" i="49"/>
  <c r="P1128" i="49"/>
  <c r="P1127" i="49"/>
  <c r="P1126" i="49"/>
  <c r="P1125" i="49"/>
  <c r="P1124" i="49"/>
  <c r="P1123" i="49"/>
  <c r="P1122" i="49"/>
  <c r="P1121" i="49"/>
  <c r="P1120" i="49"/>
  <c r="P1119" i="49"/>
  <c r="P1118" i="49"/>
  <c r="P1117" i="49"/>
  <c r="P1116" i="49"/>
  <c r="P1115" i="49"/>
  <c r="P1114" i="49"/>
  <c r="P1113" i="49"/>
  <c r="P1112" i="49"/>
  <c r="P1111" i="49"/>
  <c r="P1110" i="49"/>
  <c r="P1109" i="49"/>
  <c r="P1108" i="49"/>
  <c r="P1107" i="49"/>
  <c r="P1106" i="49"/>
  <c r="P1105" i="49"/>
  <c r="P1104" i="49"/>
  <c r="P1103" i="49"/>
  <c r="P1102" i="49"/>
  <c r="P1101" i="49"/>
  <c r="P1100" i="49"/>
  <c r="P1099" i="49"/>
  <c r="P1098" i="49"/>
  <c r="P1097" i="49"/>
  <c r="P1096" i="49"/>
  <c r="P1095" i="49"/>
  <c r="P1094" i="49"/>
  <c r="P1093" i="49"/>
  <c r="P1092" i="49"/>
  <c r="P1091" i="49"/>
  <c r="P1090" i="49"/>
  <c r="P1089" i="49"/>
  <c r="P1088" i="49"/>
  <c r="P1087" i="49"/>
  <c r="P1086" i="49"/>
  <c r="P1085" i="49"/>
  <c r="P1084" i="49"/>
  <c r="P1083" i="49"/>
  <c r="P1082" i="49"/>
  <c r="P1081" i="49"/>
  <c r="P1080" i="49"/>
  <c r="P1079" i="49"/>
  <c r="P1078" i="49"/>
  <c r="P1077" i="49"/>
  <c r="P1076" i="49"/>
  <c r="P1075" i="49"/>
  <c r="P1074" i="49"/>
  <c r="P1073" i="49"/>
  <c r="P1072" i="49"/>
  <c r="P1071" i="49"/>
  <c r="P1070" i="49"/>
  <c r="P1069" i="49"/>
  <c r="P1068" i="49"/>
  <c r="P1067" i="49"/>
  <c r="P1066" i="49"/>
  <c r="P1065" i="49"/>
  <c r="P1064" i="49"/>
  <c r="P1063" i="49"/>
  <c r="P1062" i="49"/>
  <c r="P1061" i="49"/>
  <c r="P1060" i="49"/>
  <c r="P1059" i="49"/>
  <c r="P1058" i="49"/>
  <c r="P1057" i="49"/>
  <c r="P1056" i="49"/>
  <c r="P1055" i="49"/>
  <c r="P1054" i="49"/>
  <c r="P1053" i="49"/>
  <c r="P1052" i="49"/>
  <c r="P1051" i="49"/>
  <c r="P1050" i="49"/>
  <c r="P1049" i="49"/>
  <c r="P1048" i="49"/>
  <c r="P1047" i="49"/>
  <c r="P1046" i="49"/>
  <c r="P1045" i="49"/>
  <c r="P1044" i="49"/>
  <c r="P1043" i="49"/>
  <c r="P1042" i="49"/>
  <c r="P1041" i="49"/>
  <c r="P1040" i="49"/>
  <c r="P1039" i="49"/>
  <c r="P1038" i="49"/>
  <c r="P1037" i="49"/>
  <c r="P1036" i="49"/>
  <c r="P1035" i="49"/>
  <c r="P1034" i="49"/>
  <c r="P1033" i="49"/>
  <c r="P1032" i="49"/>
  <c r="P1031" i="49"/>
  <c r="P1030" i="49"/>
  <c r="P1029" i="49"/>
  <c r="P1028" i="49"/>
  <c r="P1027" i="49"/>
  <c r="P1026" i="49"/>
  <c r="P1025" i="49"/>
  <c r="P1024" i="49"/>
  <c r="P1023" i="49"/>
  <c r="P1022" i="49"/>
  <c r="P1021" i="49"/>
  <c r="P1020" i="49"/>
  <c r="P1019" i="49"/>
  <c r="P1018" i="49"/>
  <c r="P1017" i="49"/>
  <c r="P1016" i="49"/>
  <c r="P1015" i="49"/>
  <c r="P1014" i="49"/>
  <c r="P1013" i="49"/>
  <c r="P1012" i="49"/>
  <c r="P1011" i="49"/>
  <c r="P1010" i="49"/>
  <c r="P1009" i="49"/>
  <c r="P1008" i="49"/>
  <c r="P1007" i="49"/>
  <c r="P1006" i="49"/>
  <c r="P1005" i="49"/>
  <c r="P1004" i="49"/>
  <c r="P1003" i="49"/>
  <c r="P1002" i="49"/>
  <c r="P1001" i="49"/>
  <c r="P1000" i="49"/>
  <c r="P999" i="49"/>
  <c r="P998" i="49"/>
  <c r="P997" i="49"/>
  <c r="P996" i="49"/>
  <c r="P995" i="49"/>
  <c r="P994" i="49"/>
  <c r="P993" i="49"/>
  <c r="P992" i="49"/>
  <c r="P991" i="49"/>
  <c r="P990" i="49"/>
  <c r="P989" i="49"/>
  <c r="P988" i="49"/>
  <c r="P987" i="49"/>
  <c r="P986" i="49"/>
  <c r="P985" i="49"/>
  <c r="P984" i="49"/>
  <c r="P983" i="49"/>
  <c r="P982" i="49"/>
  <c r="P981" i="49"/>
  <c r="P980" i="49"/>
  <c r="P979" i="49"/>
  <c r="P978" i="49"/>
  <c r="P977" i="49"/>
  <c r="P976" i="49"/>
  <c r="P975" i="49"/>
  <c r="P974" i="49"/>
  <c r="P973" i="49"/>
  <c r="P972" i="49"/>
  <c r="P971" i="49"/>
  <c r="P970" i="49"/>
  <c r="P969" i="49"/>
  <c r="P968" i="49"/>
  <c r="P967" i="49"/>
  <c r="P966" i="49"/>
  <c r="P965" i="49"/>
  <c r="P964" i="49"/>
  <c r="P963" i="49"/>
  <c r="P962" i="49"/>
  <c r="P961" i="49"/>
  <c r="P960" i="49"/>
  <c r="P959" i="49"/>
  <c r="P958" i="49"/>
  <c r="P957" i="49"/>
  <c r="P956" i="49"/>
  <c r="P955" i="49"/>
  <c r="P954" i="49"/>
  <c r="P953" i="49"/>
  <c r="P952" i="49"/>
  <c r="P951" i="49"/>
  <c r="P950" i="49"/>
  <c r="P949" i="49"/>
  <c r="P948" i="49"/>
  <c r="P947" i="49"/>
  <c r="P946" i="49"/>
  <c r="P945" i="49"/>
  <c r="P944" i="49"/>
  <c r="P943" i="49"/>
  <c r="P942" i="49"/>
  <c r="P941" i="49"/>
  <c r="P940" i="49"/>
  <c r="P939" i="49"/>
  <c r="P938" i="49"/>
  <c r="P937" i="49"/>
  <c r="P936" i="49"/>
  <c r="P935" i="49"/>
  <c r="P934" i="49"/>
  <c r="P933" i="49"/>
  <c r="P932" i="49"/>
  <c r="P931" i="49"/>
  <c r="P930" i="49"/>
  <c r="P929" i="49"/>
  <c r="P928" i="49"/>
  <c r="P927" i="49"/>
  <c r="P926" i="49"/>
  <c r="P925" i="49"/>
  <c r="P924" i="49"/>
  <c r="P923" i="49"/>
  <c r="P922" i="49"/>
  <c r="P921" i="49"/>
  <c r="P920" i="49"/>
  <c r="P919" i="49"/>
  <c r="P918" i="49"/>
  <c r="P917" i="49"/>
  <c r="P916" i="49"/>
  <c r="P915" i="49"/>
  <c r="P914" i="49"/>
  <c r="P913" i="49"/>
  <c r="P912" i="49"/>
  <c r="P911" i="49"/>
  <c r="P910" i="49"/>
  <c r="P909" i="49"/>
  <c r="P908" i="49"/>
  <c r="P907" i="49"/>
  <c r="P906" i="49"/>
  <c r="P905" i="49"/>
  <c r="P904" i="49"/>
  <c r="P903" i="49"/>
  <c r="P902" i="49"/>
  <c r="P901" i="49"/>
  <c r="P900" i="49"/>
  <c r="P899" i="49"/>
  <c r="P898" i="49"/>
  <c r="P897" i="49"/>
  <c r="P896" i="49"/>
  <c r="P895" i="49"/>
  <c r="P894" i="49"/>
  <c r="P893" i="49"/>
  <c r="P892" i="49"/>
  <c r="P891" i="49"/>
  <c r="P890" i="49"/>
  <c r="P889" i="49"/>
  <c r="P888" i="49"/>
  <c r="P887" i="49"/>
  <c r="P886" i="49"/>
  <c r="P885" i="49"/>
  <c r="P884" i="49"/>
  <c r="P883" i="49"/>
  <c r="P882" i="49"/>
  <c r="P881" i="49"/>
  <c r="P880" i="49"/>
  <c r="P879" i="49"/>
  <c r="P878" i="49"/>
  <c r="P877" i="49"/>
  <c r="P876" i="49"/>
  <c r="P875" i="49"/>
  <c r="P874" i="49"/>
  <c r="P873" i="49"/>
  <c r="P872" i="49"/>
  <c r="P871" i="49"/>
  <c r="P870" i="49"/>
  <c r="P869" i="49"/>
  <c r="P868" i="49"/>
  <c r="P867" i="49"/>
  <c r="P866" i="49"/>
  <c r="P865" i="49"/>
  <c r="P864" i="49"/>
  <c r="P863" i="49"/>
  <c r="P862" i="49"/>
  <c r="P861" i="49"/>
  <c r="P860" i="49"/>
  <c r="P859" i="49"/>
  <c r="P858" i="49"/>
  <c r="P857" i="49"/>
  <c r="P856" i="49"/>
  <c r="P855" i="49"/>
  <c r="P854" i="49"/>
  <c r="P853" i="49"/>
  <c r="P852" i="49"/>
  <c r="P851" i="49"/>
  <c r="P850" i="49"/>
  <c r="P849" i="49"/>
  <c r="P848" i="49"/>
  <c r="P847" i="49"/>
  <c r="P846" i="49"/>
  <c r="P845" i="49"/>
  <c r="P844" i="49"/>
  <c r="P843" i="49"/>
  <c r="P842" i="49"/>
  <c r="P841" i="49"/>
  <c r="P840" i="49"/>
  <c r="P839" i="49"/>
  <c r="P838" i="49"/>
  <c r="P837" i="49"/>
  <c r="P836" i="49"/>
  <c r="P835" i="49"/>
  <c r="P834" i="49"/>
  <c r="P833" i="49"/>
  <c r="P832" i="49"/>
  <c r="P831" i="49"/>
  <c r="P830" i="49"/>
  <c r="P829" i="49"/>
  <c r="P828" i="49"/>
  <c r="P827" i="49"/>
  <c r="P826" i="49"/>
  <c r="P825" i="49"/>
  <c r="P824" i="49"/>
  <c r="P823" i="49"/>
  <c r="P822" i="49"/>
  <c r="P821" i="49"/>
  <c r="P820" i="49"/>
  <c r="P819" i="49"/>
  <c r="P818" i="49"/>
  <c r="P817" i="49"/>
  <c r="P816" i="49"/>
  <c r="P815" i="49"/>
  <c r="P814" i="49"/>
  <c r="P813" i="49"/>
  <c r="P812" i="49"/>
  <c r="P811" i="49"/>
  <c r="P810" i="49"/>
  <c r="P809" i="49"/>
  <c r="P808" i="49"/>
  <c r="P807" i="49"/>
  <c r="P806" i="49"/>
  <c r="P805" i="49"/>
  <c r="P804" i="49"/>
  <c r="P803" i="49"/>
  <c r="P802" i="49"/>
  <c r="P801" i="49"/>
  <c r="P800" i="49"/>
  <c r="P799" i="49"/>
  <c r="P798" i="49"/>
  <c r="P797" i="49"/>
  <c r="P796" i="49"/>
  <c r="P795" i="49"/>
  <c r="P794" i="49"/>
  <c r="P793" i="49"/>
  <c r="P792" i="49"/>
  <c r="P791" i="49"/>
  <c r="P790" i="49"/>
  <c r="P789" i="49"/>
  <c r="P788" i="49"/>
  <c r="P787" i="49"/>
  <c r="P786" i="49"/>
  <c r="P785" i="49"/>
  <c r="P784" i="49"/>
  <c r="P783" i="49"/>
  <c r="P782" i="49"/>
  <c r="P781" i="49"/>
  <c r="P780" i="49"/>
  <c r="P779" i="49"/>
  <c r="P778" i="49"/>
  <c r="P777" i="49"/>
  <c r="P776" i="49"/>
  <c r="P775" i="49"/>
  <c r="P774" i="49"/>
  <c r="P773" i="49"/>
  <c r="P772" i="49"/>
  <c r="P771" i="49"/>
  <c r="P770" i="49"/>
  <c r="P769" i="49"/>
  <c r="P768" i="49"/>
  <c r="P767" i="49"/>
  <c r="P766" i="49"/>
  <c r="P765" i="49"/>
  <c r="P764" i="49"/>
  <c r="P763" i="49"/>
  <c r="P762" i="49"/>
  <c r="P761" i="49"/>
  <c r="P760" i="49"/>
  <c r="P759" i="49"/>
  <c r="P758" i="49"/>
  <c r="P757" i="49"/>
  <c r="P756" i="49"/>
  <c r="P755" i="49"/>
  <c r="P754" i="49"/>
  <c r="P753" i="49"/>
  <c r="P752" i="49"/>
  <c r="P751" i="49"/>
  <c r="P750" i="49"/>
  <c r="P749" i="49"/>
  <c r="P748" i="49"/>
  <c r="P747" i="49"/>
  <c r="P746" i="49"/>
  <c r="P745" i="49"/>
  <c r="P744" i="49"/>
  <c r="P743" i="49"/>
  <c r="P742" i="49"/>
  <c r="P741" i="49"/>
  <c r="P740" i="49"/>
  <c r="P739" i="49"/>
  <c r="P738" i="49"/>
  <c r="P737" i="49"/>
  <c r="P736" i="49"/>
  <c r="P735" i="49"/>
  <c r="P734" i="49"/>
  <c r="P733" i="49"/>
  <c r="P732" i="49"/>
  <c r="P731" i="49"/>
  <c r="P730" i="49"/>
  <c r="P729" i="49"/>
  <c r="P728" i="49"/>
  <c r="P727" i="49"/>
  <c r="P726" i="49"/>
  <c r="P725" i="49"/>
  <c r="P724" i="49"/>
  <c r="P723" i="49"/>
  <c r="P722" i="49"/>
  <c r="P721" i="49"/>
  <c r="P720" i="49"/>
  <c r="P719" i="49"/>
  <c r="P718" i="49"/>
  <c r="P717" i="49"/>
  <c r="P716" i="49"/>
  <c r="P715" i="49"/>
  <c r="P714" i="49"/>
  <c r="P713" i="49"/>
  <c r="P712" i="49"/>
  <c r="P711" i="49"/>
  <c r="P710" i="49"/>
  <c r="P709" i="49"/>
  <c r="P708" i="49"/>
  <c r="P707" i="49"/>
  <c r="P706" i="49"/>
  <c r="P705" i="49"/>
  <c r="P704" i="49"/>
  <c r="P703" i="49"/>
  <c r="P702" i="49"/>
  <c r="P701" i="49"/>
  <c r="P700" i="49"/>
  <c r="P699" i="49"/>
  <c r="P698" i="49"/>
  <c r="P697" i="49"/>
  <c r="P696" i="49"/>
  <c r="P695" i="49"/>
  <c r="P694" i="49"/>
  <c r="P693" i="49"/>
  <c r="P692" i="49"/>
  <c r="P691" i="49"/>
  <c r="P690" i="49"/>
  <c r="P689" i="49"/>
  <c r="P688" i="49"/>
  <c r="P687" i="49"/>
  <c r="P686" i="49"/>
  <c r="P685" i="49"/>
  <c r="P684" i="49"/>
  <c r="P683" i="49"/>
  <c r="P682" i="49"/>
  <c r="P681" i="49"/>
  <c r="P680" i="49"/>
  <c r="P679" i="49"/>
  <c r="P678" i="49"/>
  <c r="P677" i="49"/>
  <c r="P676" i="49"/>
  <c r="P675" i="49"/>
  <c r="P674" i="49"/>
  <c r="P673" i="49"/>
  <c r="P672" i="49"/>
  <c r="P671" i="49"/>
  <c r="P670" i="49"/>
  <c r="P669" i="49"/>
  <c r="P668" i="49"/>
  <c r="P667" i="49"/>
  <c r="P666" i="49"/>
  <c r="P665" i="49"/>
  <c r="P664" i="49"/>
  <c r="P663" i="49"/>
  <c r="P662" i="49"/>
  <c r="P661" i="49"/>
  <c r="P660" i="49"/>
  <c r="P659" i="49"/>
  <c r="P658" i="49"/>
  <c r="P657" i="49"/>
  <c r="P656" i="49"/>
  <c r="P655" i="49"/>
  <c r="P654" i="49"/>
  <c r="P653" i="49"/>
  <c r="P652" i="49"/>
  <c r="P651" i="49"/>
  <c r="P650" i="49"/>
  <c r="P649" i="49"/>
  <c r="P648" i="49"/>
  <c r="P647" i="49"/>
  <c r="P646" i="49"/>
  <c r="P645" i="49"/>
  <c r="P644" i="49"/>
  <c r="P643" i="49"/>
  <c r="P642" i="49"/>
  <c r="P641" i="49"/>
  <c r="P640" i="49"/>
  <c r="P639" i="49"/>
  <c r="P638" i="49"/>
  <c r="P637" i="49"/>
  <c r="P636" i="49"/>
  <c r="P635" i="49"/>
  <c r="P634" i="49"/>
  <c r="P633" i="49"/>
  <c r="P632" i="49"/>
  <c r="P631" i="49"/>
  <c r="P630" i="49"/>
  <c r="P629" i="49"/>
  <c r="P628" i="49"/>
  <c r="P627" i="49"/>
  <c r="P626" i="49"/>
  <c r="P625" i="49"/>
  <c r="P624" i="49"/>
  <c r="P623" i="49"/>
  <c r="P622" i="49"/>
  <c r="P621" i="49"/>
  <c r="P620" i="49"/>
  <c r="P619" i="49"/>
  <c r="P618" i="49"/>
  <c r="P617" i="49"/>
  <c r="P616" i="49"/>
  <c r="P615" i="49"/>
  <c r="P614" i="49"/>
  <c r="P613" i="49"/>
  <c r="P612" i="49"/>
  <c r="P611" i="49"/>
  <c r="P610" i="49"/>
  <c r="P609" i="49"/>
  <c r="P608" i="49"/>
  <c r="P607" i="49"/>
  <c r="P606" i="49"/>
  <c r="P605" i="49"/>
  <c r="P604" i="49"/>
  <c r="P603" i="49"/>
  <c r="P602" i="49"/>
  <c r="P601" i="49"/>
  <c r="P600" i="49"/>
  <c r="P599" i="49"/>
  <c r="P598" i="49"/>
  <c r="P597" i="49"/>
  <c r="P596" i="49"/>
  <c r="P595" i="49"/>
  <c r="P594" i="49"/>
  <c r="P593" i="49"/>
  <c r="P592" i="49"/>
  <c r="P591" i="49"/>
  <c r="P590" i="49"/>
  <c r="P589" i="49"/>
  <c r="P588" i="49"/>
  <c r="P587" i="49"/>
  <c r="P586" i="49"/>
  <c r="P585" i="49"/>
  <c r="P584" i="49"/>
  <c r="P583" i="49"/>
  <c r="P582" i="49"/>
  <c r="P581" i="49"/>
  <c r="P580" i="49"/>
  <c r="P579" i="49"/>
  <c r="P578" i="49"/>
  <c r="P577" i="49"/>
  <c r="P576" i="49"/>
  <c r="P575" i="49"/>
  <c r="P574" i="49"/>
  <c r="P573" i="49"/>
  <c r="P572" i="49"/>
  <c r="P571" i="49"/>
  <c r="P570" i="49"/>
  <c r="P569" i="49"/>
  <c r="P568" i="49"/>
  <c r="P567" i="49"/>
  <c r="P566" i="49"/>
  <c r="P565" i="49"/>
  <c r="P564" i="49"/>
  <c r="P563" i="49"/>
  <c r="P562" i="49"/>
  <c r="P561" i="49"/>
  <c r="P560" i="49"/>
  <c r="P559" i="49"/>
  <c r="P558" i="49"/>
  <c r="P557" i="49"/>
  <c r="P556" i="49"/>
  <c r="P555" i="49"/>
  <c r="P554" i="49"/>
  <c r="P553" i="49"/>
  <c r="P552" i="49"/>
  <c r="P551" i="49"/>
  <c r="P550" i="49"/>
  <c r="P549" i="49"/>
  <c r="P548" i="49"/>
  <c r="P547" i="49"/>
  <c r="P546" i="49"/>
  <c r="P545" i="49"/>
  <c r="P544" i="49"/>
  <c r="P543" i="49"/>
  <c r="P542" i="49"/>
  <c r="P541" i="49"/>
  <c r="P540" i="49"/>
  <c r="P539" i="49"/>
  <c r="P538" i="49"/>
  <c r="P537" i="49"/>
  <c r="P536" i="49"/>
  <c r="P535" i="49"/>
  <c r="P534" i="49"/>
  <c r="P533" i="49"/>
  <c r="P532" i="49"/>
  <c r="P531" i="49"/>
  <c r="P530" i="49"/>
  <c r="P529" i="49"/>
  <c r="P528" i="49"/>
  <c r="P527" i="49"/>
  <c r="P526" i="49"/>
  <c r="P525" i="49"/>
  <c r="P524" i="49"/>
  <c r="P523" i="49"/>
  <c r="P522" i="49"/>
  <c r="P521" i="49"/>
  <c r="P520" i="49"/>
  <c r="P519" i="49"/>
  <c r="P518" i="49"/>
  <c r="P517" i="49"/>
  <c r="P516" i="49"/>
  <c r="P515" i="49"/>
  <c r="P514" i="49"/>
  <c r="P513" i="49"/>
  <c r="P512" i="49"/>
  <c r="P511" i="49"/>
  <c r="P510" i="49"/>
  <c r="P509" i="49"/>
  <c r="P508" i="49"/>
  <c r="P507" i="49"/>
  <c r="P506" i="49"/>
  <c r="P505" i="49"/>
  <c r="P504" i="49"/>
  <c r="P503" i="49"/>
  <c r="P502" i="49"/>
  <c r="P501" i="49"/>
  <c r="P500" i="49"/>
  <c r="P499" i="49"/>
  <c r="P498" i="49"/>
  <c r="P497" i="49"/>
  <c r="P496" i="49"/>
  <c r="P495" i="49"/>
  <c r="P494" i="49"/>
  <c r="P493" i="49"/>
  <c r="P492" i="49"/>
  <c r="P491" i="49"/>
  <c r="P490" i="49"/>
  <c r="P489" i="49"/>
  <c r="P488" i="49"/>
  <c r="P487" i="49"/>
  <c r="P486" i="49"/>
  <c r="P485" i="49"/>
  <c r="P484" i="49"/>
  <c r="P483" i="49"/>
  <c r="P482" i="49"/>
  <c r="P481" i="49"/>
  <c r="P480" i="49"/>
  <c r="P479" i="49"/>
  <c r="P478" i="49"/>
  <c r="P477" i="49"/>
  <c r="P476" i="49"/>
  <c r="P475" i="49"/>
  <c r="P474" i="49"/>
  <c r="P473" i="49"/>
  <c r="P472" i="49"/>
  <c r="P471" i="49"/>
  <c r="P470" i="49"/>
  <c r="P469" i="49"/>
  <c r="P468" i="49"/>
  <c r="P467" i="49"/>
  <c r="P466" i="49"/>
  <c r="P465" i="49"/>
  <c r="P464" i="49"/>
  <c r="P463" i="49"/>
  <c r="P462" i="49"/>
  <c r="P461" i="49"/>
  <c r="P460" i="49"/>
  <c r="P459" i="49"/>
  <c r="P458" i="49"/>
  <c r="P457" i="49"/>
  <c r="P456" i="49"/>
  <c r="P455" i="49"/>
  <c r="P454" i="49"/>
  <c r="P453" i="49"/>
  <c r="P452" i="49"/>
  <c r="P451" i="49"/>
  <c r="P450" i="49"/>
  <c r="P449" i="49"/>
  <c r="P448" i="49"/>
  <c r="P447" i="49"/>
  <c r="P446" i="49"/>
  <c r="P445" i="49"/>
  <c r="P444" i="49"/>
  <c r="P443" i="49"/>
  <c r="P442" i="49"/>
  <c r="P441" i="49"/>
  <c r="P440" i="49"/>
  <c r="P439" i="49"/>
  <c r="P438" i="49"/>
  <c r="P437" i="49"/>
  <c r="P436" i="49"/>
  <c r="P435" i="49"/>
  <c r="P434" i="49"/>
  <c r="P433" i="49"/>
  <c r="P432" i="49"/>
  <c r="P431" i="49"/>
  <c r="P430" i="49"/>
  <c r="P429" i="49"/>
  <c r="P428" i="49"/>
  <c r="P427" i="49"/>
  <c r="P426" i="49"/>
  <c r="P425" i="49"/>
  <c r="P424" i="49"/>
  <c r="P423" i="49"/>
  <c r="P422" i="49"/>
  <c r="P421" i="49"/>
  <c r="P420" i="49"/>
  <c r="P419" i="49"/>
  <c r="P418" i="49"/>
  <c r="P417" i="49"/>
  <c r="P416" i="49"/>
  <c r="P415" i="49"/>
  <c r="P414" i="49"/>
  <c r="P413" i="49"/>
  <c r="P412" i="49"/>
  <c r="P411" i="49"/>
  <c r="P410" i="49"/>
  <c r="P409" i="49"/>
  <c r="P408" i="49"/>
  <c r="P407" i="49"/>
  <c r="P406" i="49"/>
  <c r="P405" i="49"/>
  <c r="P404" i="49"/>
  <c r="P403" i="49"/>
  <c r="P402" i="49"/>
  <c r="P401" i="49"/>
  <c r="P400" i="49"/>
  <c r="P399" i="49"/>
  <c r="P398" i="49"/>
  <c r="P397" i="49"/>
  <c r="P396" i="49"/>
  <c r="P395" i="49"/>
  <c r="P394" i="49"/>
  <c r="P393" i="49"/>
  <c r="P392" i="49"/>
  <c r="P391" i="49"/>
  <c r="P390" i="49"/>
  <c r="P389" i="49"/>
  <c r="P388" i="49"/>
  <c r="P387" i="49"/>
  <c r="P386" i="49"/>
  <c r="P385" i="49"/>
  <c r="P384" i="49"/>
  <c r="P383" i="49"/>
  <c r="P382" i="49"/>
  <c r="P381" i="49"/>
  <c r="P380" i="49"/>
  <c r="P379" i="49"/>
  <c r="P378" i="49"/>
  <c r="P377" i="49"/>
  <c r="P376" i="49"/>
  <c r="P375" i="49"/>
  <c r="P374" i="49"/>
  <c r="P373" i="49"/>
  <c r="P372" i="49"/>
  <c r="P371" i="49"/>
  <c r="P370" i="49"/>
  <c r="P369" i="49"/>
  <c r="P368" i="49"/>
  <c r="P367" i="49"/>
  <c r="P366" i="49"/>
  <c r="P365" i="49"/>
  <c r="P364" i="49"/>
  <c r="P363" i="49"/>
  <c r="P362" i="49"/>
  <c r="P361" i="49"/>
  <c r="P360" i="49"/>
  <c r="P359" i="49"/>
  <c r="P358" i="49"/>
  <c r="P357" i="49"/>
  <c r="P356" i="49"/>
  <c r="P355" i="49"/>
  <c r="P354" i="49"/>
  <c r="P353" i="49"/>
  <c r="P352" i="49"/>
  <c r="P351" i="49"/>
  <c r="P350" i="49"/>
  <c r="P349" i="49"/>
  <c r="P348" i="49"/>
  <c r="P347" i="49"/>
  <c r="P346" i="49"/>
  <c r="P345" i="49"/>
  <c r="P344" i="49"/>
  <c r="P343" i="49"/>
  <c r="P342" i="49"/>
  <c r="P341" i="49"/>
  <c r="P340" i="49"/>
  <c r="P339" i="49"/>
  <c r="P338" i="49"/>
  <c r="P337" i="49"/>
  <c r="P336" i="49"/>
  <c r="P335" i="49"/>
  <c r="P334" i="49"/>
  <c r="P333" i="49"/>
  <c r="P332" i="49"/>
  <c r="P331" i="49"/>
  <c r="P330" i="49"/>
  <c r="P329" i="49"/>
  <c r="P328" i="49"/>
  <c r="P327" i="49"/>
  <c r="P326" i="49"/>
  <c r="P325" i="49"/>
  <c r="P324" i="49"/>
  <c r="P323" i="49"/>
  <c r="P322" i="49"/>
  <c r="P321" i="49"/>
  <c r="P320" i="49"/>
  <c r="P319" i="49"/>
  <c r="P318" i="49"/>
  <c r="P317" i="49"/>
  <c r="P316" i="49"/>
  <c r="P315" i="49"/>
  <c r="P314" i="49"/>
  <c r="P313" i="49"/>
  <c r="P312" i="49"/>
  <c r="P311" i="49"/>
  <c r="P310" i="49"/>
  <c r="P309" i="49"/>
  <c r="P308" i="49"/>
  <c r="P307" i="49"/>
  <c r="P306" i="49"/>
  <c r="P305" i="49"/>
  <c r="P304" i="49"/>
  <c r="P303" i="49"/>
  <c r="P302" i="49"/>
  <c r="P301" i="49"/>
  <c r="P300" i="49"/>
  <c r="P299" i="49"/>
  <c r="P298" i="49"/>
  <c r="P297" i="49"/>
  <c r="P296" i="49"/>
  <c r="P295" i="49"/>
  <c r="P294" i="49"/>
  <c r="P293" i="49"/>
  <c r="P292" i="49"/>
  <c r="P291" i="49"/>
  <c r="P290" i="49"/>
  <c r="P289" i="49"/>
  <c r="P288" i="49"/>
  <c r="P287" i="49"/>
  <c r="P286" i="49"/>
  <c r="P285" i="49"/>
  <c r="P284" i="49"/>
  <c r="P283" i="49"/>
  <c r="P282" i="49"/>
  <c r="P281" i="49"/>
  <c r="P280" i="49"/>
  <c r="P279" i="49"/>
  <c r="P278" i="49"/>
  <c r="P193" i="49"/>
  <c r="P188" i="49"/>
  <c r="P175" i="49"/>
  <c r="P174" i="49"/>
  <c r="P156" i="49"/>
  <c r="P155" i="49"/>
  <c r="P10" i="49"/>
  <c r="P9" i="49"/>
  <c r="M49" i="25" l="1"/>
  <c r="B48" i="25"/>
  <c r="C22" i="25"/>
  <c r="G14" i="25"/>
  <c r="H14" i="25" s="1"/>
  <c r="I14" i="25" s="1"/>
  <c r="J14" i="25" s="1"/>
  <c r="G13" i="25"/>
  <c r="O24" i="50"/>
  <c r="M24" i="50" s="1"/>
  <c r="C91" i="49"/>
  <c r="O17" i="50"/>
  <c r="M17" i="50" s="1"/>
  <c r="C16" i="50"/>
  <c r="C89" i="49" s="1"/>
  <c r="C15" i="50"/>
  <c r="C88" i="49" s="1"/>
  <c r="C14" i="50"/>
  <c r="C87" i="49" s="1"/>
  <c r="C12" i="50"/>
  <c r="C85" i="49" s="1"/>
  <c r="B2" i="51"/>
  <c r="D21" i="87"/>
  <c r="B20" i="87"/>
  <c r="B19" i="87"/>
  <c r="B18" i="87"/>
  <c r="B17" i="87"/>
  <c r="B16" i="87"/>
  <c r="F12" i="87"/>
  <c r="E11" i="87"/>
  <c r="D11" i="87"/>
  <c r="C11" i="87"/>
  <c r="G10" i="87"/>
  <c r="G9" i="87"/>
  <c r="G8" i="87"/>
  <c r="G6" i="87"/>
  <c r="B2" i="87"/>
  <c r="B2" i="82"/>
  <c r="B2" i="61"/>
  <c r="B2" i="58"/>
  <c r="B2" i="71"/>
  <c r="C94" i="39"/>
  <c r="K7" i="130"/>
  <c r="K6" i="130"/>
  <c r="C90" i="39"/>
  <c r="B2" i="39"/>
  <c r="C70" i="85"/>
  <c r="C82" i="85"/>
  <c r="C88" i="85"/>
  <c r="C136" i="85"/>
  <c r="C31" i="85"/>
  <c r="C135" i="85"/>
  <c r="C22" i="85"/>
  <c r="I31" i="58" l="1"/>
  <c r="F31" i="58" s="1"/>
  <c r="I30" i="58"/>
  <c r="F30" i="58" s="1"/>
  <c r="I32" i="58"/>
  <c r="F32" i="58" s="1"/>
  <c r="I29" i="58"/>
  <c r="I28" i="58"/>
  <c r="F28" i="58" s="1"/>
  <c r="AJ2" i="130"/>
  <c r="AJ4" i="130"/>
  <c r="AJ5" i="130"/>
  <c r="AJ6" i="130"/>
  <c r="AJ7" i="130"/>
  <c r="AJ8" i="130"/>
  <c r="AJ3" i="130"/>
  <c r="M2" i="130"/>
  <c r="M4" i="130" s="1"/>
  <c r="B1" i="121"/>
  <c r="L2" i="130"/>
  <c r="L4" i="130" s="1"/>
  <c r="B2" i="121"/>
  <c r="E3" i="121" s="1"/>
  <c r="F59" i="39"/>
  <c r="H44" i="39"/>
  <c r="CA306" i="89" s="1"/>
  <c r="H43" i="39"/>
  <c r="B3" i="121"/>
  <c r="K18" i="39"/>
  <c r="K30" i="39" s="1"/>
  <c r="C96" i="39"/>
  <c r="C2" i="50"/>
  <c r="C98" i="39"/>
  <c r="B77" i="39"/>
  <c r="F48" i="25"/>
  <c r="N17" i="82"/>
  <c r="O17" i="82" s="1"/>
  <c r="P17" i="82" s="1"/>
  <c r="Q17" i="82" s="1"/>
  <c r="R17" i="82" s="1"/>
  <c r="S17" i="82" s="1"/>
  <c r="T17" i="82" s="1"/>
  <c r="U17" i="82" s="1"/>
  <c r="V17" i="82" s="1"/>
  <c r="W17" i="82" s="1"/>
  <c r="X17" i="82" s="1"/>
  <c r="Y17" i="82" s="1"/>
  <c r="P24" i="78"/>
  <c r="C18" i="87"/>
  <c r="E18" i="87" s="1"/>
  <c r="C16" i="87"/>
  <c r="C20" i="87"/>
  <c r="E20" i="87" s="1"/>
  <c r="C17" i="87"/>
  <c r="E17" i="87" s="1"/>
  <c r="C19" i="87"/>
  <c r="E19" i="87" s="1"/>
  <c r="C102" i="78"/>
  <c r="J18" i="78" s="1"/>
  <c r="C106" i="39" s="1"/>
  <c r="O104" i="89"/>
  <c r="N105" i="89"/>
  <c r="O105" i="89" s="1"/>
  <c r="AU215" i="89"/>
  <c r="AU218" i="89"/>
  <c r="AV218" i="89" s="1"/>
  <c r="N108" i="89"/>
  <c r="O108" i="89" s="1"/>
  <c r="B74" i="78"/>
  <c r="B73" i="78" s="1"/>
  <c r="B72" i="78" s="1"/>
  <c r="B71" i="78" s="1"/>
  <c r="B70" i="78" s="1"/>
  <c r="B69" i="78" s="1"/>
  <c r="B68" i="78" s="1"/>
  <c r="B67" i="78" s="1"/>
  <c r="B66" i="78" s="1"/>
  <c r="B65" i="78" s="1"/>
  <c r="B64" i="78" s="1"/>
  <c r="B63" i="78" s="1"/>
  <c r="Q1727" i="49"/>
  <c r="P1727" i="49" s="1"/>
  <c r="Q1728" i="49"/>
  <c r="P1728" i="49" s="1"/>
  <c r="B79" i="25"/>
  <c r="V79" i="25" s="1"/>
  <c r="B58" i="51"/>
  <c r="B73" i="51" s="1"/>
  <c r="Q41" i="49"/>
  <c r="P41" i="49" s="1"/>
  <c r="Q16" i="49"/>
  <c r="Q12" i="49"/>
  <c r="P12" i="49" s="1"/>
  <c r="F16" i="64"/>
  <c r="Q19" i="49"/>
  <c r="P19" i="49" s="1"/>
  <c r="Q153" i="49"/>
  <c r="P153" i="49" s="1"/>
  <c r="Q172" i="49"/>
  <c r="P172" i="49" s="1"/>
  <c r="C123" i="49"/>
  <c r="C124" i="49"/>
  <c r="C120" i="49"/>
  <c r="C121" i="49"/>
  <c r="C122" i="49"/>
  <c r="Q15" i="49"/>
  <c r="Q11" i="49"/>
  <c r="P11" i="49" s="1"/>
  <c r="C119" i="49"/>
  <c r="C125" i="49"/>
  <c r="K14" i="39"/>
  <c r="K16" i="39" s="1"/>
  <c r="K15" i="39"/>
  <c r="B47" i="25"/>
  <c r="F47" i="25" s="1"/>
  <c r="F15" i="64"/>
  <c r="G11" i="87"/>
  <c r="G15" i="25"/>
  <c r="G17" i="25" s="1"/>
  <c r="H13" i="25"/>
  <c r="R74" i="78"/>
  <c r="J74" i="78"/>
  <c r="C72" i="85"/>
  <c r="M74" i="78"/>
  <c r="K74" i="78"/>
  <c r="F74" i="78"/>
  <c r="D74" i="78"/>
  <c r="U74" i="78"/>
  <c r="H74" i="78"/>
  <c r="T74" i="78"/>
  <c r="S74" i="78"/>
  <c r="P74" i="78"/>
  <c r="O74" i="78"/>
  <c r="N74" i="78"/>
  <c r="Q74" i="78"/>
  <c r="C30" i="85"/>
  <c r="I74" i="78"/>
  <c r="L74" i="78"/>
  <c r="G74" i="78"/>
  <c r="E74" i="78"/>
  <c r="H28" i="58" l="1"/>
  <c r="K53" i="58" s="1"/>
  <c r="L53" i="58" s="1"/>
  <c r="H73" i="51"/>
  <c r="H42" i="51" s="1"/>
  <c r="O79" i="25" s="1"/>
  <c r="P79" i="25" s="1"/>
  <c r="I73" i="51"/>
  <c r="I42" i="51" s="1"/>
  <c r="Q79" i="25" s="1"/>
  <c r="R79" i="25" s="1"/>
  <c r="C73" i="51"/>
  <c r="C42" i="51" s="1"/>
  <c r="Q50" i="49"/>
  <c r="H31" i="58"/>
  <c r="Q51" i="49"/>
  <c r="H32" i="58"/>
  <c r="K9" i="130"/>
  <c r="P22" i="78"/>
  <c r="G77" i="39"/>
  <c r="O48" i="25" s="1"/>
  <c r="P48" i="25" s="1"/>
  <c r="X79" i="25"/>
  <c r="T79" i="25"/>
  <c r="H77" i="39"/>
  <c r="D77" i="39"/>
  <c r="Q48" i="25" s="1"/>
  <c r="R48" i="25" s="1"/>
  <c r="H29" i="58"/>
  <c r="K54" i="58" s="1"/>
  <c r="L54" i="58" s="1"/>
  <c r="E2" i="121"/>
  <c r="F2" i="121" s="1"/>
  <c r="C77" i="39"/>
  <c r="C48" i="25" s="1"/>
  <c r="D48" i="25" s="1"/>
  <c r="E77" i="39"/>
  <c r="G48" i="25" s="1"/>
  <c r="H48" i="25" s="1"/>
  <c r="B42" i="51"/>
  <c r="F55" i="71"/>
  <c r="L3" i="130"/>
  <c r="L5" i="130" s="1"/>
  <c r="M3" i="130"/>
  <c r="M5" i="130" s="1"/>
  <c r="BV297" i="89"/>
  <c r="H42" i="39"/>
  <c r="Q78" i="49"/>
  <c r="P78" i="49" s="1"/>
  <c r="F3" i="121"/>
  <c r="BW300" i="89"/>
  <c r="BV300" i="89"/>
  <c r="BV298" i="89"/>
  <c r="BV303" i="89"/>
  <c r="BW301" i="89"/>
  <c r="BV301" i="89"/>
  <c r="BV299" i="89"/>
  <c r="BV302" i="89"/>
  <c r="P15" i="49"/>
  <c r="P16" i="49"/>
  <c r="C28" i="95"/>
  <c r="L73" i="51"/>
  <c r="K79" i="25" s="1"/>
  <c r="Q5" i="49"/>
  <c r="P5" i="49" s="1"/>
  <c r="L40" i="89"/>
  <c r="B76" i="39"/>
  <c r="G76" i="39" s="1"/>
  <c r="F73" i="51"/>
  <c r="F42" i="51" s="1"/>
  <c r="E73" i="51"/>
  <c r="E42" i="51" s="1"/>
  <c r="G73" i="51"/>
  <c r="G42" i="51" s="1"/>
  <c r="D73" i="51"/>
  <c r="D42" i="51" s="1"/>
  <c r="B78" i="25"/>
  <c r="X78" i="25" s="1"/>
  <c r="B57" i="51"/>
  <c r="B72" i="51" s="1"/>
  <c r="Q4" i="49"/>
  <c r="P4" i="49" s="1"/>
  <c r="Q2" i="49"/>
  <c r="P2" i="49" s="1"/>
  <c r="C33" i="64"/>
  <c r="Q72" i="49"/>
  <c r="P72" i="49" s="1"/>
  <c r="Q66" i="49"/>
  <c r="P66" i="49" s="1"/>
  <c r="Q62" i="49"/>
  <c r="P62" i="49" s="1"/>
  <c r="Q56" i="49"/>
  <c r="P56" i="49" s="1"/>
  <c r="L7" i="58"/>
  <c r="L24" i="58" s="1"/>
  <c r="Q55" i="49"/>
  <c r="P55" i="49" s="1"/>
  <c r="Q74" i="49"/>
  <c r="P74" i="49" s="1"/>
  <c r="Q73" i="49"/>
  <c r="P73" i="49" s="1"/>
  <c r="Q60" i="49"/>
  <c r="P60" i="49" s="1"/>
  <c r="Q58" i="49"/>
  <c r="P58" i="49" s="1"/>
  <c r="Q70" i="49"/>
  <c r="P70" i="49" s="1"/>
  <c r="Q67" i="49"/>
  <c r="P67" i="49" s="1"/>
  <c r="Q76" i="49"/>
  <c r="P76" i="49" s="1"/>
  <c r="Q69" i="49"/>
  <c r="P69" i="49" s="1"/>
  <c r="Q63" i="49"/>
  <c r="P63" i="49" s="1"/>
  <c r="Q61" i="49"/>
  <c r="P61" i="49" s="1"/>
  <c r="Q59" i="49"/>
  <c r="P59" i="49" s="1"/>
  <c r="Q53" i="49"/>
  <c r="P53" i="49" s="1"/>
  <c r="Q71" i="49"/>
  <c r="P71" i="49" s="1"/>
  <c r="Q54" i="49"/>
  <c r="P54" i="49" s="1"/>
  <c r="L8" i="58"/>
  <c r="Q68" i="49"/>
  <c r="P68" i="49" s="1"/>
  <c r="Q64" i="49"/>
  <c r="P64" i="49" s="1"/>
  <c r="L9" i="58"/>
  <c r="L16" i="58" s="1"/>
  <c r="K17" i="39"/>
  <c r="E16" i="87"/>
  <c r="E21" i="87" s="1"/>
  <c r="D31" i="64" s="1"/>
  <c r="C21" i="87"/>
  <c r="I13" i="25"/>
  <c r="H15" i="25"/>
  <c r="H17" i="25" s="1"/>
  <c r="B46" i="25"/>
  <c r="R73" i="78"/>
  <c r="J73" i="78"/>
  <c r="E73" i="78"/>
  <c r="D73" i="78"/>
  <c r="K73" i="78"/>
  <c r="I73" i="78"/>
  <c r="N73" i="78"/>
  <c r="O73" i="78"/>
  <c r="M73" i="78"/>
  <c r="T73" i="78"/>
  <c r="L73" i="78"/>
  <c r="F73" i="78"/>
  <c r="G73" i="78"/>
  <c r="Q73" i="78"/>
  <c r="H73" i="78"/>
  <c r="P73" i="78"/>
  <c r="U73" i="78"/>
  <c r="S73" i="78"/>
  <c r="K41" i="58" l="1"/>
  <c r="L41" i="58" s="1"/>
  <c r="H72" i="51"/>
  <c r="H41" i="51" s="1"/>
  <c r="O78" i="25" s="1"/>
  <c r="P78" i="25" s="1"/>
  <c r="I72" i="51"/>
  <c r="I41" i="51" s="1"/>
  <c r="Q78" i="25" s="1"/>
  <c r="R78" i="25" s="1"/>
  <c r="C72" i="51"/>
  <c r="C41" i="51" s="1"/>
  <c r="P20" i="78"/>
  <c r="H76" i="39"/>
  <c r="O47" i="25"/>
  <c r="P47" i="25" s="1"/>
  <c r="B41" i="51"/>
  <c r="V78" i="25"/>
  <c r="T78" i="25"/>
  <c r="H30" i="58"/>
  <c r="Q49" i="49"/>
  <c r="BW299" i="89"/>
  <c r="BW298" i="89"/>
  <c r="S31" i="58"/>
  <c r="T31" i="58" s="1"/>
  <c r="V31" i="58" s="1"/>
  <c r="S30" i="58"/>
  <c r="T30" i="58" s="1"/>
  <c r="V30" i="58" s="1"/>
  <c r="L7" i="51"/>
  <c r="C76" i="39"/>
  <c r="C47" i="25" s="1"/>
  <c r="D47" i="25" s="1"/>
  <c r="E76" i="39"/>
  <c r="G47" i="25" s="1"/>
  <c r="H47" i="25" s="1"/>
  <c r="D76" i="39"/>
  <c r="C79" i="25"/>
  <c r="F54" i="71"/>
  <c r="BW297" i="89"/>
  <c r="F46" i="25"/>
  <c r="Q79" i="49"/>
  <c r="P79" i="49" s="1"/>
  <c r="CA305" i="89"/>
  <c r="CA304" i="89" s="1"/>
  <c r="P51" i="49"/>
  <c r="X133" i="89"/>
  <c r="BW302" i="89"/>
  <c r="BW303" i="89"/>
  <c r="Q187" i="49"/>
  <c r="AE15" i="89"/>
  <c r="Q167" i="49"/>
  <c r="P167" i="49" s="1"/>
  <c r="L72" i="51"/>
  <c r="K78" i="25" s="1"/>
  <c r="AC6" i="89"/>
  <c r="BM283" i="89"/>
  <c r="BN283" i="89" s="1"/>
  <c r="AU224" i="89"/>
  <c r="Q25" i="49"/>
  <c r="P25" i="49" s="1"/>
  <c r="B75" i="39"/>
  <c r="E72" i="51"/>
  <c r="E41" i="51" s="1"/>
  <c r="D72" i="51"/>
  <c r="D41" i="51" s="1"/>
  <c r="F72" i="51"/>
  <c r="F41" i="51" s="1"/>
  <c r="G72" i="51"/>
  <c r="G41" i="51" s="1"/>
  <c r="B77" i="25"/>
  <c r="X77" i="25" s="1"/>
  <c r="B56" i="51"/>
  <c r="B71" i="51" s="1"/>
  <c r="J73" i="51"/>
  <c r="J42" i="51" s="1"/>
  <c r="L5" i="58"/>
  <c r="Q77" i="49"/>
  <c r="P77" i="49" s="1"/>
  <c r="Q75" i="49"/>
  <c r="P75" i="49" s="1"/>
  <c r="Q3" i="49"/>
  <c r="P3" i="49" s="1"/>
  <c r="M11" i="25"/>
  <c r="Q52" i="49"/>
  <c r="P52" i="49" s="1"/>
  <c r="M10" i="25"/>
  <c r="J13" i="25"/>
  <c r="J15" i="25" s="1"/>
  <c r="J17" i="25" s="1"/>
  <c r="I15" i="25"/>
  <c r="I17" i="25" s="1"/>
  <c r="B45" i="25"/>
  <c r="P29" i="49"/>
  <c r="I72" i="78"/>
  <c r="G72" i="78"/>
  <c r="M72" i="78"/>
  <c r="H72" i="78"/>
  <c r="J72" i="78"/>
  <c r="P72" i="78"/>
  <c r="L72" i="78"/>
  <c r="Q72" i="78"/>
  <c r="F72" i="78"/>
  <c r="T72" i="78"/>
  <c r="K72" i="78"/>
  <c r="N72" i="78"/>
  <c r="U72" i="78"/>
  <c r="R72" i="78"/>
  <c r="E72" i="78"/>
  <c r="S72" i="78"/>
  <c r="O72" i="78"/>
  <c r="D72" i="78"/>
  <c r="H71" i="51" l="1"/>
  <c r="H40" i="51" s="1"/>
  <c r="O77" i="25" s="1"/>
  <c r="P77" i="25" s="1"/>
  <c r="I71" i="51"/>
  <c r="I40" i="51" s="1"/>
  <c r="Q77" i="25" s="1"/>
  <c r="R77" i="25" s="1"/>
  <c r="C71" i="51"/>
  <c r="C40" i="51" s="1"/>
  <c r="P18" i="78"/>
  <c r="G75" i="39"/>
  <c r="O46" i="25" s="1"/>
  <c r="P46" i="25" s="1"/>
  <c r="B40" i="51"/>
  <c r="V77" i="25"/>
  <c r="T77" i="25"/>
  <c r="Q47" i="25"/>
  <c r="R47" i="25" s="1"/>
  <c r="C7" i="58"/>
  <c r="M25" i="58"/>
  <c r="D79" i="25"/>
  <c r="E79" i="25"/>
  <c r="E75" i="39"/>
  <c r="G46" i="25" s="1"/>
  <c r="H46" i="25" s="1"/>
  <c r="D75" i="39"/>
  <c r="Q46" i="25" s="1"/>
  <c r="R46" i="25" s="1"/>
  <c r="C75" i="39"/>
  <c r="C46" i="25" s="1"/>
  <c r="D46" i="25" s="1"/>
  <c r="L79" i="25"/>
  <c r="C78" i="25"/>
  <c r="F53" i="71"/>
  <c r="F45" i="25"/>
  <c r="H75" i="39"/>
  <c r="AD5" i="89"/>
  <c r="C31" i="95"/>
  <c r="C34" i="95"/>
  <c r="L71" i="51"/>
  <c r="K77" i="25" s="1"/>
  <c r="L78" i="25"/>
  <c r="N41" i="89"/>
  <c r="O41" i="89" s="1"/>
  <c r="P41" i="89" s="1"/>
  <c r="Q41" i="89" s="1"/>
  <c r="R41" i="89" s="1"/>
  <c r="S41" i="89" s="1"/>
  <c r="T41" i="89" s="1"/>
  <c r="N42" i="89"/>
  <c r="O42" i="89" s="1"/>
  <c r="P42" i="89" s="1"/>
  <c r="Q42" i="89" s="1"/>
  <c r="R42" i="89" s="1"/>
  <c r="S42" i="89" s="1"/>
  <c r="AU222" i="89"/>
  <c r="BM277" i="89"/>
  <c r="BN277" i="89" s="1"/>
  <c r="B74" i="39"/>
  <c r="I17" i="78"/>
  <c r="Q23" i="49"/>
  <c r="P23" i="49" s="1"/>
  <c r="G71" i="51"/>
  <c r="G40" i="51" s="1"/>
  <c r="F71" i="51"/>
  <c r="F40" i="51" s="1"/>
  <c r="E71" i="51"/>
  <c r="E40" i="51" s="1"/>
  <c r="D71" i="51"/>
  <c r="D40" i="51" s="1"/>
  <c r="B76" i="25"/>
  <c r="X76" i="25" s="1"/>
  <c r="B55" i="51"/>
  <c r="B70" i="51" s="1"/>
  <c r="J72" i="51"/>
  <c r="J41" i="51" s="1"/>
  <c r="F417" i="7"/>
  <c r="F418" i="7" s="1"/>
  <c r="F419" i="7" s="1"/>
  <c r="F420" i="7" s="1"/>
  <c r="F421" i="7" s="1"/>
  <c r="F422" i="7" s="1"/>
  <c r="F423" i="7" s="1"/>
  <c r="F424" i="7" s="1"/>
  <c r="F425" i="7" s="1"/>
  <c r="F426" i="7" s="1"/>
  <c r="F427" i="7" s="1"/>
  <c r="F428" i="7" s="1"/>
  <c r="F429" i="7" s="1"/>
  <c r="F430" i="7" s="1"/>
  <c r="F431" i="7" s="1"/>
  <c r="F432" i="7" s="1"/>
  <c r="F433" i="7" s="1"/>
  <c r="F434" i="7" s="1"/>
  <c r="F435" i="7" s="1"/>
  <c r="F436" i="7" s="1"/>
  <c r="F437" i="7" s="1"/>
  <c r="F438" i="7" s="1"/>
  <c r="F439" i="7" s="1"/>
  <c r="F440" i="7" s="1"/>
  <c r="F441" i="7" s="1"/>
  <c r="F442" i="7" s="1"/>
  <c r="F443" i="7" s="1"/>
  <c r="F444" i="7" s="1"/>
  <c r="F445" i="7" s="1"/>
  <c r="F446" i="7" s="1"/>
  <c r="F447" i="7" s="1"/>
  <c r="F448" i="7" s="1"/>
  <c r="F449" i="7" s="1"/>
  <c r="F450" i="7" s="1"/>
  <c r="F451" i="7" s="1"/>
  <c r="F452" i="7" s="1"/>
  <c r="F453" i="7" s="1"/>
  <c r="F454" i="7" s="1"/>
  <c r="F455" i="7" s="1"/>
  <c r="F456" i="7" s="1"/>
  <c r="F457" i="7" s="1"/>
  <c r="F458" i="7" s="1"/>
  <c r="F459" i="7" s="1"/>
  <c r="F460" i="7" s="1"/>
  <c r="F461" i="7" s="1"/>
  <c r="F462" i="7" s="1"/>
  <c r="F463" i="7" s="1"/>
  <c r="F464" i="7" s="1"/>
  <c r="F465" i="7" s="1"/>
  <c r="F466" i="7" s="1"/>
  <c r="F467" i="7" s="1"/>
  <c r="F468" i="7" s="1"/>
  <c r="F469" i="7" s="1"/>
  <c r="F470" i="7" s="1"/>
  <c r="F471" i="7" s="1"/>
  <c r="F472" i="7" s="1"/>
  <c r="F473" i="7" s="1"/>
  <c r="F474" i="7" s="1"/>
  <c r="F475" i="7" s="1"/>
  <c r="F476" i="7" s="1"/>
  <c r="F477" i="7" s="1"/>
  <c r="F478" i="7" s="1"/>
  <c r="F479" i="7" s="1"/>
  <c r="F480" i="7" s="1"/>
  <c r="F481" i="7" s="1"/>
  <c r="F482" i="7" s="1"/>
  <c r="F483" i="7" s="1"/>
  <c r="F484" i="7" s="1"/>
  <c r="F485" i="7" s="1"/>
  <c r="F486" i="7" s="1"/>
  <c r="F487" i="7" s="1"/>
  <c r="F488" i="7" s="1"/>
  <c r="F489" i="7" s="1"/>
  <c r="F490" i="7" s="1"/>
  <c r="F491" i="7" s="1"/>
  <c r="F492" i="7" s="1"/>
  <c r="F493" i="7" s="1"/>
  <c r="F494" i="7" s="1"/>
  <c r="F495" i="7" s="1"/>
  <c r="F496" i="7" s="1"/>
  <c r="F497" i="7" s="1"/>
  <c r="F498" i="7" s="1"/>
  <c r="F499" i="7" s="1"/>
  <c r="F500" i="7" s="1"/>
  <c r="P157" i="49"/>
  <c r="Q65" i="49"/>
  <c r="P65" i="49" s="1"/>
  <c r="C105" i="39"/>
  <c r="B44" i="25"/>
  <c r="U71" i="78"/>
  <c r="D71" i="78"/>
  <c r="Q71" i="78"/>
  <c r="F71" i="78"/>
  <c r="O71" i="78"/>
  <c r="L71" i="78"/>
  <c r="R71" i="78"/>
  <c r="P71" i="78"/>
  <c r="N71" i="78"/>
  <c r="H71" i="78"/>
  <c r="S71" i="78"/>
  <c r="E71" i="78"/>
  <c r="T71" i="78"/>
  <c r="M71" i="78"/>
  <c r="I71" i="78"/>
  <c r="G71" i="78"/>
  <c r="C55" i="85"/>
  <c r="K71" i="78"/>
  <c r="J71" i="78"/>
  <c r="H70" i="51" l="1"/>
  <c r="H39" i="51" s="1"/>
  <c r="O76" i="25" s="1"/>
  <c r="P76" i="25" s="1"/>
  <c r="I70" i="51"/>
  <c r="I39" i="51" s="1"/>
  <c r="Q76" i="25" s="1"/>
  <c r="R76" i="25" s="1"/>
  <c r="C70" i="51"/>
  <c r="C39" i="51" s="1"/>
  <c r="T42" i="89"/>
  <c r="U42" i="89" s="1"/>
  <c r="V42" i="89" s="1"/>
  <c r="W42" i="89" s="1"/>
  <c r="U41" i="89"/>
  <c r="P16" i="78"/>
  <c r="G74" i="39"/>
  <c r="O45" i="25" s="1"/>
  <c r="P45" i="25" s="1"/>
  <c r="T120" i="89"/>
  <c r="U120" i="89" s="1"/>
  <c r="B39" i="51"/>
  <c r="T76" i="25"/>
  <c r="V76" i="25"/>
  <c r="G79" i="25"/>
  <c r="D78" i="25"/>
  <c r="D74" i="39"/>
  <c r="Q45" i="25" s="1"/>
  <c r="R45" i="25" s="1"/>
  <c r="C74" i="39"/>
  <c r="C45" i="25" s="1"/>
  <c r="D45" i="25" s="1"/>
  <c r="E74" i="39"/>
  <c r="G45" i="25" s="1"/>
  <c r="H45" i="25" s="1"/>
  <c r="F79" i="25"/>
  <c r="I79" i="25"/>
  <c r="J79" i="25" s="1"/>
  <c r="E78" i="25"/>
  <c r="C77" i="25"/>
  <c r="F52" i="71"/>
  <c r="F44" i="25"/>
  <c r="H74" i="39"/>
  <c r="C10" i="51"/>
  <c r="Q46" i="49"/>
  <c r="P46" i="49" s="1"/>
  <c r="L70" i="51"/>
  <c r="K76" i="25" s="1"/>
  <c r="C6" i="58"/>
  <c r="O103" i="89"/>
  <c r="N47" i="25"/>
  <c r="B73" i="39"/>
  <c r="N46" i="25"/>
  <c r="N45" i="25"/>
  <c r="N48" i="25"/>
  <c r="D70" i="51"/>
  <c r="D39" i="51" s="1"/>
  <c r="E70" i="51"/>
  <c r="E39" i="51" s="1"/>
  <c r="G70" i="51"/>
  <c r="G39" i="51" s="1"/>
  <c r="F70" i="51"/>
  <c r="F39" i="51" s="1"/>
  <c r="B75" i="25"/>
  <c r="X75" i="25" s="1"/>
  <c r="B54" i="51"/>
  <c r="B69" i="51" s="1"/>
  <c r="J71" i="51"/>
  <c r="J40" i="51" s="1"/>
  <c r="F15" i="25"/>
  <c r="F17" i="25" s="1"/>
  <c r="P176" i="49"/>
  <c r="P14" i="49"/>
  <c r="Q168" i="49"/>
  <c r="P168" i="49" s="1"/>
  <c r="C6" i="64"/>
  <c r="B43" i="25"/>
  <c r="N44" i="25"/>
  <c r="E70" i="78"/>
  <c r="V41" i="89" l="1"/>
  <c r="W41" i="89" s="1"/>
  <c r="P14" i="78"/>
  <c r="T119" i="89"/>
  <c r="G73" i="39"/>
  <c r="O44" i="25" s="1"/>
  <c r="P44" i="25" s="1"/>
  <c r="M24" i="58"/>
  <c r="B38" i="51"/>
  <c r="T75" i="25"/>
  <c r="V75" i="25"/>
  <c r="D4" i="50"/>
  <c r="AY264" i="89"/>
  <c r="H79" i="25"/>
  <c r="E77" i="25"/>
  <c r="M79" i="25"/>
  <c r="N79" i="25" s="1"/>
  <c r="G78" i="25"/>
  <c r="AB139" i="89"/>
  <c r="D73" i="39"/>
  <c r="Q44" i="25" s="1"/>
  <c r="R44" i="25" s="1"/>
  <c r="C73" i="39"/>
  <c r="C44" i="25" s="1"/>
  <c r="D44" i="25" s="1"/>
  <c r="E73" i="39"/>
  <c r="G44" i="25" s="1"/>
  <c r="H44" i="25" s="1"/>
  <c r="F78" i="25"/>
  <c r="I78" i="25"/>
  <c r="J78" i="25" s="1"/>
  <c r="L77" i="25"/>
  <c r="D77" i="25"/>
  <c r="C76" i="25"/>
  <c r="F51" i="71"/>
  <c r="F43" i="25"/>
  <c r="H73" i="39"/>
  <c r="D21" i="64"/>
  <c r="AD6" i="89"/>
  <c r="F19" i="25"/>
  <c r="E30" i="64"/>
  <c r="E27" i="64"/>
  <c r="E28" i="64"/>
  <c r="E29" i="64"/>
  <c r="L76" i="25"/>
  <c r="C53" i="89"/>
  <c r="Q80" i="49"/>
  <c r="P80" i="49" s="1"/>
  <c r="B72" i="39"/>
  <c r="J70" i="51"/>
  <c r="J39" i="51" s="1"/>
  <c r="B74" i="25"/>
  <c r="X74" i="25" s="1"/>
  <c r="B53" i="51"/>
  <c r="B68" i="51" s="1"/>
  <c r="E16" i="64"/>
  <c r="E15" i="64"/>
  <c r="B42" i="25"/>
  <c r="N43" i="25"/>
  <c r="T69" i="78"/>
  <c r="R70" i="78"/>
  <c r="F70" i="78"/>
  <c r="M70" i="78"/>
  <c r="H69" i="78"/>
  <c r="I69" i="78"/>
  <c r="Q70" i="78"/>
  <c r="U69" i="78"/>
  <c r="R69" i="78"/>
  <c r="S70" i="78"/>
  <c r="I70" i="78"/>
  <c r="H70" i="78"/>
  <c r="U70" i="78"/>
  <c r="K69" i="78"/>
  <c r="G69" i="78"/>
  <c r="Q69" i="78"/>
  <c r="G70" i="78"/>
  <c r="N69" i="78"/>
  <c r="E69" i="78"/>
  <c r="O69" i="78"/>
  <c r="P69" i="78"/>
  <c r="F69" i="78"/>
  <c r="O70" i="78"/>
  <c r="K70" i="78"/>
  <c r="D70" i="78"/>
  <c r="L69" i="78"/>
  <c r="L70" i="78"/>
  <c r="J70" i="78"/>
  <c r="N70" i="78"/>
  <c r="D69" i="78"/>
  <c r="J69" i="78"/>
  <c r="M69" i="78"/>
  <c r="T70" i="78"/>
  <c r="P70" i="78"/>
  <c r="S69" i="78"/>
  <c r="I69" i="51" l="1"/>
  <c r="I38" i="51" s="1"/>
  <c r="Q75" i="25" s="1"/>
  <c r="R75" i="25" s="1"/>
  <c r="D69" i="51"/>
  <c r="D38" i="51" s="1"/>
  <c r="C69" i="51"/>
  <c r="C38" i="51" s="1"/>
  <c r="C75" i="25" s="1"/>
  <c r="G69" i="51"/>
  <c r="G38" i="51" s="1"/>
  <c r="E69" i="51"/>
  <c r="E38" i="51" s="1"/>
  <c r="L69" i="51"/>
  <c r="K75" i="25" s="1"/>
  <c r="H69" i="51"/>
  <c r="H38" i="51" s="1"/>
  <c r="O75" i="25" s="1"/>
  <c r="P75" i="25" s="1"/>
  <c r="F69" i="51"/>
  <c r="F38" i="51" s="1"/>
  <c r="H68" i="51"/>
  <c r="H37" i="51" s="1"/>
  <c r="O74" i="25" s="1"/>
  <c r="P74" i="25" s="1"/>
  <c r="AW248" i="89"/>
  <c r="AY248" i="89" s="1"/>
  <c r="AW249" i="89"/>
  <c r="AY249" i="89" s="1"/>
  <c r="AW247" i="89"/>
  <c r="AY247" i="89" s="1"/>
  <c r="AW254" i="89"/>
  <c r="AY254" i="89" s="1"/>
  <c r="AW260" i="89"/>
  <c r="AY260" i="89" s="1"/>
  <c r="AW256" i="89"/>
  <c r="AY256" i="89" s="1"/>
  <c r="AW257" i="89"/>
  <c r="AY257" i="89" s="1"/>
  <c r="AW258" i="89"/>
  <c r="AY258" i="89" s="1"/>
  <c r="AW259" i="89"/>
  <c r="AY259" i="89" s="1"/>
  <c r="I68" i="51"/>
  <c r="I37" i="51" s="1"/>
  <c r="Q74" i="25" s="1"/>
  <c r="R74" i="25" s="1"/>
  <c r="C68" i="51"/>
  <c r="C37" i="51" s="1"/>
  <c r="AW252" i="89"/>
  <c r="AY252" i="89" s="1"/>
  <c r="AW251" i="89"/>
  <c r="AY251" i="89" s="1"/>
  <c r="AW250" i="89"/>
  <c r="D99" i="64"/>
  <c r="E99" i="64" s="1"/>
  <c r="E41" i="50"/>
  <c r="D80" i="64"/>
  <c r="E80" i="64" s="1"/>
  <c r="D64" i="64"/>
  <c r="E64" i="64" s="1"/>
  <c r="D73" i="64"/>
  <c r="E73" i="64" s="1"/>
  <c r="D62" i="64"/>
  <c r="E62" i="64" s="1"/>
  <c r="D67" i="64"/>
  <c r="E67" i="64" s="1"/>
  <c r="D81" i="64"/>
  <c r="E81" i="64" s="1"/>
  <c r="D65" i="64"/>
  <c r="E65" i="64" s="1"/>
  <c r="D63" i="64"/>
  <c r="E63" i="64" s="1"/>
  <c r="D66" i="64"/>
  <c r="E66" i="64" s="1"/>
  <c r="D61" i="64"/>
  <c r="E61" i="64" s="1"/>
  <c r="P12" i="78"/>
  <c r="AW240" i="89"/>
  <c r="AW244" i="89"/>
  <c r="AW245" i="89"/>
  <c r="AW242" i="89"/>
  <c r="AW246" i="89"/>
  <c r="AW243" i="89"/>
  <c r="E36" i="50"/>
  <c r="Q142" i="49" s="1"/>
  <c r="P142" i="49" s="1"/>
  <c r="E40" i="50"/>
  <c r="Q146" i="49" s="1"/>
  <c r="P146" i="49" s="1"/>
  <c r="E47" i="50"/>
  <c r="E45" i="50"/>
  <c r="Q151" i="49" s="1"/>
  <c r="P151" i="49" s="1"/>
  <c r="E39" i="50"/>
  <c r="Q145" i="49" s="1"/>
  <c r="P145" i="49" s="1"/>
  <c r="E37" i="50"/>
  <c r="Q143" i="49" s="1"/>
  <c r="P143" i="49" s="1"/>
  <c r="E48" i="50"/>
  <c r="E49" i="50"/>
  <c r="E46" i="50"/>
  <c r="Q152" i="49" s="1"/>
  <c r="P152" i="49" s="1"/>
  <c r="E38" i="50"/>
  <c r="Q144" i="49" s="1"/>
  <c r="P144" i="49" s="1"/>
  <c r="G72" i="39"/>
  <c r="O43" i="25" s="1"/>
  <c r="P43" i="25" s="1"/>
  <c r="E56" i="50"/>
  <c r="E64" i="50"/>
  <c r="E50" i="50"/>
  <c r="E63" i="50"/>
  <c r="E35" i="50"/>
  <c r="Q141" i="49" s="1"/>
  <c r="P141" i="49" s="1"/>
  <c r="B37" i="51"/>
  <c r="V74" i="25"/>
  <c r="T74" i="25"/>
  <c r="D53" i="64"/>
  <c r="E53" i="64" s="1"/>
  <c r="D54" i="64"/>
  <c r="E54" i="64" s="1"/>
  <c r="D60" i="64"/>
  <c r="E60" i="64" s="1"/>
  <c r="E30" i="50"/>
  <c r="Q136" i="49" s="1"/>
  <c r="E34" i="50"/>
  <c r="D56" i="64"/>
  <c r="E56" i="64" s="1"/>
  <c r="D57" i="64"/>
  <c r="E57" i="64" s="1"/>
  <c r="D76" i="25"/>
  <c r="H78" i="25"/>
  <c r="F77" i="25"/>
  <c r="I77" i="25"/>
  <c r="J77" i="25" s="1"/>
  <c r="M78" i="25"/>
  <c r="N78" i="25" s="1"/>
  <c r="G77" i="25"/>
  <c r="D72" i="39"/>
  <c r="Q43" i="25" s="1"/>
  <c r="R43" i="25" s="1"/>
  <c r="C72" i="39"/>
  <c r="C43" i="25" s="1"/>
  <c r="D43" i="25" s="1"/>
  <c r="E72" i="39"/>
  <c r="G43" i="25" s="1"/>
  <c r="H43" i="25" s="1"/>
  <c r="E76" i="25"/>
  <c r="F50" i="71"/>
  <c r="F42" i="25"/>
  <c r="AU235" i="89"/>
  <c r="AW235" i="89" s="1"/>
  <c r="AO169" i="89"/>
  <c r="H72" i="39"/>
  <c r="AE6" i="89"/>
  <c r="AE5" i="89" s="1"/>
  <c r="K48" i="25"/>
  <c r="L48" i="25" s="1"/>
  <c r="E55" i="71" s="1"/>
  <c r="N106" i="89"/>
  <c r="O106" i="89" s="1"/>
  <c r="Q17" i="49"/>
  <c r="P17" i="49" s="1"/>
  <c r="AU216" i="89"/>
  <c r="L68" i="51"/>
  <c r="K74" i="25" s="1"/>
  <c r="F20" i="25"/>
  <c r="B71" i="39"/>
  <c r="E68" i="51"/>
  <c r="E37" i="51" s="1"/>
  <c r="G68" i="51"/>
  <c r="G37" i="51" s="1"/>
  <c r="F68" i="51"/>
  <c r="F37" i="51" s="1"/>
  <c r="D68" i="51"/>
  <c r="D37" i="51" s="1"/>
  <c r="B73" i="25"/>
  <c r="X73" i="25" s="1"/>
  <c r="B52" i="51"/>
  <c r="B67" i="51" s="1"/>
  <c r="B41" i="25"/>
  <c r="N42" i="25"/>
  <c r="L68" i="78"/>
  <c r="R68" i="78"/>
  <c r="I68" i="78"/>
  <c r="J68" i="78"/>
  <c r="U68" i="78"/>
  <c r="O68" i="78"/>
  <c r="D68" i="78"/>
  <c r="T68" i="78"/>
  <c r="P68" i="78"/>
  <c r="K68" i="78"/>
  <c r="E68" i="78"/>
  <c r="Q68" i="78"/>
  <c r="N68" i="78"/>
  <c r="G68" i="78"/>
  <c r="H68" i="78"/>
  <c r="S68" i="78"/>
  <c r="M68" i="78"/>
  <c r="F68" i="78"/>
  <c r="J69" i="51" l="1"/>
  <c r="J38" i="51" s="1"/>
  <c r="H67" i="51"/>
  <c r="H36" i="51" s="1"/>
  <c r="O73" i="25" s="1"/>
  <c r="P73" i="25" s="1"/>
  <c r="Q150" i="49"/>
  <c r="P150" i="49" s="1"/>
  <c r="Q147" i="49"/>
  <c r="P147" i="49" s="1"/>
  <c r="I67" i="51"/>
  <c r="I36" i="51" s="1"/>
  <c r="Q73" i="25" s="1"/>
  <c r="R73" i="25" s="1"/>
  <c r="C67" i="51"/>
  <c r="C36" i="51" s="1"/>
  <c r="Q140" i="49"/>
  <c r="P10" i="78"/>
  <c r="AY246" i="89"/>
  <c r="G71" i="39"/>
  <c r="O42" i="25" s="1"/>
  <c r="P42" i="25" s="1"/>
  <c r="B36" i="51"/>
  <c r="V73" i="25"/>
  <c r="T73" i="25"/>
  <c r="H77" i="25"/>
  <c r="M77" i="25"/>
  <c r="N77" i="25" s="1"/>
  <c r="G76" i="25"/>
  <c r="E75" i="25"/>
  <c r="I75" i="25" s="1"/>
  <c r="J75" i="25" s="1"/>
  <c r="D71" i="39"/>
  <c r="Q42" i="25" s="1"/>
  <c r="R42" i="25" s="1"/>
  <c r="E71" i="39"/>
  <c r="G42" i="25" s="1"/>
  <c r="H42" i="25" s="1"/>
  <c r="C71" i="39"/>
  <c r="C42" i="25" s="1"/>
  <c r="D42" i="25" s="1"/>
  <c r="F76" i="25"/>
  <c r="I76" i="25"/>
  <c r="J76" i="25" s="1"/>
  <c r="L75" i="25"/>
  <c r="D75" i="25"/>
  <c r="C74" i="25"/>
  <c r="F49" i="71"/>
  <c r="F41" i="25"/>
  <c r="H71" i="39"/>
  <c r="K47" i="25"/>
  <c r="L47" i="25" s="1"/>
  <c r="E54" i="71" s="1"/>
  <c r="L74" i="25"/>
  <c r="L67" i="51"/>
  <c r="K73" i="25" s="1"/>
  <c r="B70" i="39"/>
  <c r="F67" i="51"/>
  <c r="F36" i="51" s="1"/>
  <c r="E67" i="51"/>
  <c r="E36" i="51" s="1"/>
  <c r="G67" i="51"/>
  <c r="G36" i="51" s="1"/>
  <c r="D67" i="51"/>
  <c r="D36" i="51" s="1"/>
  <c r="B72" i="25"/>
  <c r="X72" i="25" s="1"/>
  <c r="B51" i="51"/>
  <c r="B66" i="51" s="1"/>
  <c r="J68" i="51"/>
  <c r="J37" i="51" s="1"/>
  <c r="B40" i="25"/>
  <c r="N41" i="25"/>
  <c r="N67" i="78"/>
  <c r="K67" i="78"/>
  <c r="P67" i="78"/>
  <c r="D67" i="78"/>
  <c r="O67" i="78"/>
  <c r="G67" i="78"/>
  <c r="E67" i="78"/>
  <c r="S67" i="78"/>
  <c r="U67" i="78"/>
  <c r="F67" i="78"/>
  <c r="T67" i="78"/>
  <c r="H67" i="78"/>
  <c r="L67" i="78"/>
  <c r="M67" i="78"/>
  <c r="Q67" i="78"/>
  <c r="I67" i="78"/>
  <c r="J67" i="78"/>
  <c r="R67" i="78"/>
  <c r="H66" i="51" l="1"/>
  <c r="H35" i="51" s="1"/>
  <c r="O72" i="25" s="1"/>
  <c r="P72" i="25" s="1"/>
  <c r="I66" i="51"/>
  <c r="I35" i="51" s="1"/>
  <c r="Q72" i="25" s="1"/>
  <c r="R72" i="25" s="1"/>
  <c r="C66" i="51"/>
  <c r="C35" i="51" s="1"/>
  <c r="P8" i="78"/>
  <c r="G70" i="39"/>
  <c r="O41" i="25" s="1"/>
  <c r="P41" i="25" s="1"/>
  <c r="B35" i="51"/>
  <c r="V72" i="25"/>
  <c r="T72" i="25"/>
  <c r="H76" i="25"/>
  <c r="M76" i="25"/>
  <c r="N76" i="25" s="1"/>
  <c r="F75" i="25"/>
  <c r="G75" i="25"/>
  <c r="D74" i="25"/>
  <c r="E74" i="25"/>
  <c r="C70" i="39"/>
  <c r="C41" i="25" s="1"/>
  <c r="D41" i="25" s="1"/>
  <c r="D70" i="39"/>
  <c r="Q41" i="25" s="1"/>
  <c r="R41" i="25" s="1"/>
  <c r="E70" i="39"/>
  <c r="G41" i="25" s="1"/>
  <c r="H41" i="25" s="1"/>
  <c r="C73" i="25"/>
  <c r="F48" i="71"/>
  <c r="F40" i="25"/>
  <c r="H70" i="39"/>
  <c r="K46" i="25"/>
  <c r="L46" i="25" s="1"/>
  <c r="E53" i="71" s="1"/>
  <c r="L73" i="25"/>
  <c r="L66" i="51"/>
  <c r="K72" i="25" s="1"/>
  <c r="B69" i="39"/>
  <c r="E66" i="51"/>
  <c r="E35" i="51" s="1"/>
  <c r="G66" i="51"/>
  <c r="G35" i="51" s="1"/>
  <c r="F66" i="51"/>
  <c r="F35" i="51" s="1"/>
  <c r="D66" i="51"/>
  <c r="D35" i="51" s="1"/>
  <c r="J67" i="51"/>
  <c r="J36" i="51" s="1"/>
  <c r="B71" i="25"/>
  <c r="X71" i="25" s="1"/>
  <c r="B50" i="51"/>
  <c r="B65" i="51" s="1"/>
  <c r="B39" i="25"/>
  <c r="N40" i="25"/>
  <c r="U66" i="78"/>
  <c r="L66" i="78"/>
  <c r="G66" i="78"/>
  <c r="F66" i="78"/>
  <c r="M66" i="78"/>
  <c r="Q66" i="78"/>
  <c r="E66" i="78"/>
  <c r="N66" i="78"/>
  <c r="O66" i="78"/>
  <c r="H66" i="78"/>
  <c r="R66" i="78"/>
  <c r="I66" i="78"/>
  <c r="T66" i="78"/>
  <c r="K66" i="78"/>
  <c r="P66" i="78"/>
  <c r="S66" i="78"/>
  <c r="D66" i="78"/>
  <c r="J66" i="78"/>
  <c r="H65" i="51" l="1"/>
  <c r="H34" i="51" s="1"/>
  <c r="O71" i="25" s="1"/>
  <c r="P71" i="25" s="1"/>
  <c r="I65" i="51"/>
  <c r="I34" i="51" s="1"/>
  <c r="Q71" i="25" s="1"/>
  <c r="R71" i="25" s="1"/>
  <c r="C65" i="51"/>
  <c r="C34" i="51" s="1"/>
  <c r="P6" i="78"/>
  <c r="G69" i="39"/>
  <c r="O40" i="25" s="1"/>
  <c r="P40" i="25" s="1"/>
  <c r="V71" i="25"/>
  <c r="T71" i="25"/>
  <c r="B34" i="51"/>
  <c r="H75" i="25"/>
  <c r="G74" i="25"/>
  <c r="M75" i="25"/>
  <c r="N75" i="25" s="1"/>
  <c r="D73" i="25"/>
  <c r="D69" i="39"/>
  <c r="Q40" i="25" s="1"/>
  <c r="R40" i="25" s="1"/>
  <c r="C69" i="39"/>
  <c r="C40" i="25" s="1"/>
  <c r="D40" i="25" s="1"/>
  <c r="E69" i="39"/>
  <c r="G40" i="25" s="1"/>
  <c r="H40" i="25" s="1"/>
  <c r="E73" i="25"/>
  <c r="F74" i="25"/>
  <c r="I74" i="25"/>
  <c r="J74" i="25" s="1"/>
  <c r="C72" i="25"/>
  <c r="F47" i="71"/>
  <c r="F39" i="25"/>
  <c r="H69" i="39"/>
  <c r="K45" i="25"/>
  <c r="L45" i="25" s="1"/>
  <c r="E52" i="71" s="1"/>
  <c r="L65" i="51"/>
  <c r="K71" i="25" s="1"/>
  <c r="B68" i="39"/>
  <c r="G68" i="39" s="1"/>
  <c r="E65" i="51"/>
  <c r="E34" i="51" s="1"/>
  <c r="G65" i="51"/>
  <c r="G34" i="51" s="1"/>
  <c r="F65" i="51"/>
  <c r="F34" i="51" s="1"/>
  <c r="D65" i="51"/>
  <c r="D34" i="51" s="1"/>
  <c r="B70" i="25"/>
  <c r="B49" i="51"/>
  <c r="B64" i="51" s="1"/>
  <c r="J66" i="51"/>
  <c r="J35" i="51" s="1"/>
  <c r="B38" i="25"/>
  <c r="N39" i="25"/>
  <c r="P65" i="78"/>
  <c r="R65" i="78"/>
  <c r="E65" i="78"/>
  <c r="U65" i="78"/>
  <c r="M65" i="78"/>
  <c r="T65" i="78"/>
  <c r="I65" i="78"/>
  <c r="O65" i="78"/>
  <c r="J65" i="78"/>
  <c r="K65" i="78"/>
  <c r="Q65" i="78"/>
  <c r="L65" i="78"/>
  <c r="S65" i="78"/>
  <c r="F65" i="78"/>
  <c r="G65" i="78"/>
  <c r="N65" i="78"/>
  <c r="H65" i="78"/>
  <c r="D65" i="78"/>
  <c r="H64" i="51" l="1"/>
  <c r="H33" i="51" s="1"/>
  <c r="O70" i="25" s="1"/>
  <c r="P70" i="25" s="1"/>
  <c r="I64" i="51"/>
  <c r="I33" i="51" s="1"/>
  <c r="Q70" i="25" s="1"/>
  <c r="R70" i="25" s="1"/>
  <c r="C64" i="51"/>
  <c r="C33" i="51" s="1"/>
  <c r="P4" i="78"/>
  <c r="C68" i="39"/>
  <c r="C39" i="25" s="1"/>
  <c r="D39" i="25" s="1"/>
  <c r="O39" i="25"/>
  <c r="P39" i="25" s="1"/>
  <c r="T70" i="25"/>
  <c r="X70" i="25"/>
  <c r="V70" i="25"/>
  <c r="B33" i="51"/>
  <c r="G73" i="25"/>
  <c r="H74" i="25"/>
  <c r="M74" i="25"/>
  <c r="N74" i="25" s="1"/>
  <c r="E72" i="25"/>
  <c r="I72" i="25" s="1"/>
  <c r="J72" i="25" s="1"/>
  <c r="E68" i="39"/>
  <c r="G39" i="25" s="1"/>
  <c r="H39" i="25" s="1"/>
  <c r="D68" i="39"/>
  <c r="Q39" i="25" s="1"/>
  <c r="R39" i="25" s="1"/>
  <c r="F73" i="25"/>
  <c r="I73" i="25"/>
  <c r="J73" i="25" s="1"/>
  <c r="L72" i="25"/>
  <c r="D72" i="25"/>
  <c r="C71" i="25"/>
  <c r="E71" i="25" s="1"/>
  <c r="F46" i="71"/>
  <c r="F38" i="25"/>
  <c r="H68" i="39"/>
  <c r="K44" i="25"/>
  <c r="L44" i="25" s="1"/>
  <c r="E51" i="71" s="1"/>
  <c r="L64" i="51"/>
  <c r="K70" i="25" s="1"/>
  <c r="B67" i="39"/>
  <c r="G67" i="39" s="1"/>
  <c r="D64" i="51"/>
  <c r="D33" i="51" s="1"/>
  <c r="F64" i="51"/>
  <c r="F33" i="51" s="1"/>
  <c r="G64" i="51"/>
  <c r="G33" i="51" s="1"/>
  <c r="E64" i="51"/>
  <c r="E33" i="51" s="1"/>
  <c r="J65" i="51"/>
  <c r="J34" i="51" s="1"/>
  <c r="B69" i="25"/>
  <c r="B48" i="51"/>
  <c r="B63" i="51" s="1"/>
  <c r="B37" i="25"/>
  <c r="N38" i="25"/>
  <c r="D64" i="78"/>
  <c r="G64" i="78"/>
  <c r="H64" i="78"/>
  <c r="O64" i="78"/>
  <c r="M64" i="78"/>
  <c r="F64" i="78"/>
  <c r="Q64" i="78"/>
  <c r="L64" i="78"/>
  <c r="R64" i="78"/>
  <c r="P2" i="78" l="1"/>
  <c r="C67" i="39"/>
  <c r="C38" i="25" s="1"/>
  <c r="D38" i="25" s="1"/>
  <c r="O38" i="25"/>
  <c r="P38" i="25" s="1"/>
  <c r="T69" i="25"/>
  <c r="X69" i="25"/>
  <c r="V69" i="25"/>
  <c r="B32" i="51"/>
  <c r="H73" i="25"/>
  <c r="M73" i="25"/>
  <c r="N73" i="25" s="1"/>
  <c r="F72" i="25"/>
  <c r="F71" i="25"/>
  <c r="I71" i="25"/>
  <c r="J71" i="25" s="1"/>
  <c r="G72" i="25"/>
  <c r="D67" i="39"/>
  <c r="Q38" i="25" s="1"/>
  <c r="R38" i="25" s="1"/>
  <c r="E67" i="39"/>
  <c r="G38" i="25" s="1"/>
  <c r="H38" i="25" s="1"/>
  <c r="L71" i="25"/>
  <c r="D71" i="25"/>
  <c r="G71" i="25" s="1"/>
  <c r="C70" i="25"/>
  <c r="E70" i="25" s="1"/>
  <c r="F45" i="71"/>
  <c r="F37" i="25"/>
  <c r="F49" i="25" s="1"/>
  <c r="H67" i="39"/>
  <c r="Q98" i="49"/>
  <c r="K43" i="25"/>
  <c r="L43" i="25" s="1"/>
  <c r="E50" i="71" s="1"/>
  <c r="L63" i="51"/>
  <c r="K69" i="25" s="1"/>
  <c r="B66" i="39"/>
  <c r="G63" i="51"/>
  <c r="G32" i="51" s="1"/>
  <c r="F63" i="51"/>
  <c r="F32" i="51" s="1"/>
  <c r="D63" i="51"/>
  <c r="D32" i="51" s="1"/>
  <c r="J64" i="51"/>
  <c r="J33" i="51" s="1"/>
  <c r="B68" i="25"/>
  <c r="B47" i="51"/>
  <c r="B62" i="51" s="1"/>
  <c r="B36" i="25"/>
  <c r="N37" i="25"/>
  <c r="M63" i="78"/>
  <c r="D63" i="78"/>
  <c r="J63" i="78"/>
  <c r="T64" i="78"/>
  <c r="K63" i="78"/>
  <c r="N64" i="78"/>
  <c r="P64" i="78"/>
  <c r="E64" i="78"/>
  <c r="H63" i="78"/>
  <c r="S63" i="78"/>
  <c r="E63" i="78"/>
  <c r="U64" i="78"/>
  <c r="F63" i="78"/>
  <c r="J64" i="78"/>
  <c r="T63" i="78"/>
  <c r="N63" i="78"/>
  <c r="K64" i="78"/>
  <c r="Q63" i="78"/>
  <c r="L63" i="78"/>
  <c r="G63" i="78"/>
  <c r="R63" i="78"/>
  <c r="P63" i="78"/>
  <c r="U63" i="78"/>
  <c r="S64" i="78"/>
  <c r="I64" i="78"/>
  <c r="I63" i="78"/>
  <c r="O63" i="78"/>
  <c r="H63" i="51" l="1"/>
  <c r="H32" i="51" s="1"/>
  <c r="O69" i="25" s="1"/>
  <c r="P69" i="25" s="1"/>
  <c r="E63" i="51"/>
  <c r="E32" i="51" s="1"/>
  <c r="I63" i="51"/>
  <c r="I32" i="51" s="1"/>
  <c r="Q69" i="25" s="1"/>
  <c r="R69" i="25" s="1"/>
  <c r="C63" i="51"/>
  <c r="C32" i="51" s="1"/>
  <c r="C69" i="25" s="1"/>
  <c r="D69" i="25" s="1"/>
  <c r="H62" i="51"/>
  <c r="H31" i="51" s="1"/>
  <c r="O68" i="25" s="1"/>
  <c r="I62" i="51"/>
  <c r="I31" i="51" s="1"/>
  <c r="Q68" i="25" s="1"/>
  <c r="U75" i="78"/>
  <c r="C62" i="51"/>
  <c r="C31" i="51" s="1"/>
  <c r="T75" i="78"/>
  <c r="S75" i="78"/>
  <c r="R75" i="78"/>
  <c r="G66" i="39"/>
  <c r="O37" i="25" s="1"/>
  <c r="P37" i="25" s="1"/>
  <c r="T68" i="25"/>
  <c r="X68" i="25"/>
  <c r="C66" i="39"/>
  <c r="C37" i="25" s="1"/>
  <c r="D37" i="25" s="1"/>
  <c r="D66" i="39"/>
  <c r="V68" i="25"/>
  <c r="T36" i="25"/>
  <c r="B31" i="51"/>
  <c r="H72" i="25"/>
  <c r="H71" i="25"/>
  <c r="M72" i="25"/>
  <c r="N72" i="25" s="1"/>
  <c r="F70" i="25"/>
  <c r="M71" i="25"/>
  <c r="N71" i="25" s="1"/>
  <c r="E66" i="39"/>
  <c r="G37" i="25" s="1"/>
  <c r="H37" i="25" s="1"/>
  <c r="I70" i="25"/>
  <c r="J70" i="25" s="1"/>
  <c r="L70" i="25"/>
  <c r="D70" i="25"/>
  <c r="G70" i="25" s="1"/>
  <c r="H66" i="39"/>
  <c r="F44" i="71"/>
  <c r="N79" i="78"/>
  <c r="Q79" i="78"/>
  <c r="K78" i="78"/>
  <c r="M79" i="78"/>
  <c r="P79" i="78"/>
  <c r="O79" i="78"/>
  <c r="K42" i="25"/>
  <c r="L42" i="25" s="1"/>
  <c r="E49" i="71" s="1"/>
  <c r="C48" i="64"/>
  <c r="D48" i="64" s="1"/>
  <c r="E48" i="64" s="1"/>
  <c r="E25" i="50"/>
  <c r="Q132" i="49" s="1"/>
  <c r="P132" i="49" s="1"/>
  <c r="L69" i="25"/>
  <c r="L62" i="51"/>
  <c r="K68" i="25" s="1"/>
  <c r="K75" i="78"/>
  <c r="O75" i="78"/>
  <c r="L75" i="78"/>
  <c r="P75" i="78"/>
  <c r="Q75" i="78"/>
  <c r="N75" i="78"/>
  <c r="M75" i="78"/>
  <c r="B67" i="25"/>
  <c r="B65" i="39"/>
  <c r="H75" i="78"/>
  <c r="J78" i="89" s="1"/>
  <c r="G75" i="78"/>
  <c r="J81" i="89" s="1"/>
  <c r="D75" i="78"/>
  <c r="E75" i="78"/>
  <c r="I75" i="78"/>
  <c r="J77" i="89" s="1"/>
  <c r="F75" i="78"/>
  <c r="C20" i="64" s="1"/>
  <c r="J75" i="78"/>
  <c r="D62" i="51"/>
  <c r="D31" i="51" s="1"/>
  <c r="F62" i="51"/>
  <c r="F31" i="51" s="1"/>
  <c r="G62" i="51"/>
  <c r="G31" i="51" s="1"/>
  <c r="E62" i="51"/>
  <c r="E31" i="51" s="1"/>
  <c r="B35" i="25"/>
  <c r="N36" i="25"/>
  <c r="C19" i="64" l="1"/>
  <c r="AT213" i="89"/>
  <c r="Q80" i="25"/>
  <c r="G69" i="25"/>
  <c r="H69" i="25" s="1"/>
  <c r="J63" i="51"/>
  <c r="J32" i="51" s="1"/>
  <c r="R68" i="25"/>
  <c r="X67" i="25"/>
  <c r="R67" i="25"/>
  <c r="P67" i="25"/>
  <c r="P68" i="25"/>
  <c r="O80" i="25"/>
  <c r="C36" i="25"/>
  <c r="D36" i="25" s="1"/>
  <c r="E65" i="39"/>
  <c r="G36" i="25" s="1"/>
  <c r="H36" i="25" s="1"/>
  <c r="G65" i="39"/>
  <c r="O36" i="25" s="1"/>
  <c r="P36" i="25" s="1"/>
  <c r="D65" i="39"/>
  <c r="D67" i="25"/>
  <c r="T67" i="25"/>
  <c r="V67" i="25"/>
  <c r="T35" i="25"/>
  <c r="Q37" i="25"/>
  <c r="R37" i="25" s="1"/>
  <c r="J83" i="89"/>
  <c r="C23" i="64"/>
  <c r="J82" i="89"/>
  <c r="AT217" i="89" s="1"/>
  <c r="C22" i="64"/>
  <c r="AY235" i="89"/>
  <c r="M70" i="25"/>
  <c r="N70" i="25" s="1"/>
  <c r="H70" i="25"/>
  <c r="E69" i="25"/>
  <c r="C68" i="25"/>
  <c r="D68" i="25" s="1"/>
  <c r="G68" i="25" s="1"/>
  <c r="H65" i="39"/>
  <c r="F43" i="71"/>
  <c r="J79" i="89"/>
  <c r="L79" i="89" s="1"/>
  <c r="J80" i="89"/>
  <c r="AT215" i="89" s="1"/>
  <c r="K80" i="25"/>
  <c r="K41" i="25"/>
  <c r="L41" i="25" s="1"/>
  <c r="E48" i="71" s="1"/>
  <c r="K40" i="25"/>
  <c r="L40" i="25" s="1"/>
  <c r="E47" i="71" s="1"/>
  <c r="L67" i="25"/>
  <c r="AT211" i="89"/>
  <c r="K77" i="89"/>
  <c r="L77" i="89"/>
  <c r="AT212" i="89"/>
  <c r="AW212" i="89" s="1"/>
  <c r="L78" i="89"/>
  <c r="K78" i="89"/>
  <c r="AT216" i="89"/>
  <c r="AW216" i="89" s="1"/>
  <c r="K81" i="89"/>
  <c r="L81" i="89"/>
  <c r="F67" i="25"/>
  <c r="H67" i="25"/>
  <c r="N67" i="25"/>
  <c r="B66" i="25"/>
  <c r="B64" i="39"/>
  <c r="J67" i="25"/>
  <c r="J62" i="51"/>
  <c r="J31" i="51" s="1"/>
  <c r="B34" i="25"/>
  <c r="N35" i="25"/>
  <c r="G80" i="25" l="1"/>
  <c r="X66" i="25"/>
  <c r="R66" i="25"/>
  <c r="P66" i="25"/>
  <c r="C35" i="25"/>
  <c r="D35" i="25" s="1"/>
  <c r="E64" i="39"/>
  <c r="G35" i="25" s="1"/>
  <c r="H35" i="25" s="1"/>
  <c r="AW215" i="89"/>
  <c r="AY215" i="89" s="1"/>
  <c r="G64" i="39"/>
  <c r="O35" i="25" s="1"/>
  <c r="P35" i="25" s="1"/>
  <c r="H64" i="39"/>
  <c r="Q36" i="25"/>
  <c r="R36" i="25" s="1"/>
  <c r="I77" i="39"/>
  <c r="D64" i="39"/>
  <c r="Q35" i="25" s="1"/>
  <c r="R35" i="25" s="1"/>
  <c r="D66" i="25"/>
  <c r="T66" i="25"/>
  <c r="V66" i="25"/>
  <c r="T34" i="25"/>
  <c r="AT218" i="89"/>
  <c r="AW218" i="89" s="1"/>
  <c r="K82" i="89"/>
  <c r="K83" i="89"/>
  <c r="AV216" i="89"/>
  <c r="AV212" i="89"/>
  <c r="AY212" i="89"/>
  <c r="F69" i="25"/>
  <c r="I69" i="25"/>
  <c r="J69" i="25" s="1"/>
  <c r="E68" i="25"/>
  <c r="I68" i="25" s="1"/>
  <c r="J68" i="25" s="1"/>
  <c r="C80" i="25"/>
  <c r="F42" i="71"/>
  <c r="K79" i="89"/>
  <c r="J74" i="89"/>
  <c r="K80" i="89"/>
  <c r="E20" i="64"/>
  <c r="F20" i="64"/>
  <c r="E19" i="64"/>
  <c r="F19" i="64"/>
  <c r="H68" i="25"/>
  <c r="L68" i="25"/>
  <c r="K39" i="25"/>
  <c r="L39" i="25" s="1"/>
  <c r="E46" i="71" s="1"/>
  <c r="L66" i="25"/>
  <c r="AY216" i="89"/>
  <c r="H66" i="25"/>
  <c r="N66" i="25"/>
  <c r="F66" i="25"/>
  <c r="J66" i="25"/>
  <c r="B65" i="25"/>
  <c r="B63" i="39"/>
  <c r="B33" i="25"/>
  <c r="N34" i="25"/>
  <c r="X65" i="25" l="1"/>
  <c r="P65" i="25"/>
  <c r="R65" i="25"/>
  <c r="G63" i="39"/>
  <c r="O34" i="25" s="1"/>
  <c r="P34" i="25" s="1"/>
  <c r="D63" i="39"/>
  <c r="Q34" i="25" s="1"/>
  <c r="C34" i="25"/>
  <c r="D34" i="25" s="1"/>
  <c r="D65" i="25"/>
  <c r="V65" i="25"/>
  <c r="T65" i="25"/>
  <c r="AW213" i="89"/>
  <c r="AY213" i="89" s="1"/>
  <c r="T33" i="25"/>
  <c r="E63" i="39"/>
  <c r="G34" i="25" s="1"/>
  <c r="AT208" i="89"/>
  <c r="M69" i="25"/>
  <c r="N69" i="25" s="1"/>
  <c r="F68" i="25"/>
  <c r="M68" i="25" s="1"/>
  <c r="E80" i="25"/>
  <c r="I80" i="25"/>
  <c r="F41" i="71"/>
  <c r="P33" i="25"/>
  <c r="R33" i="25"/>
  <c r="K74" i="89"/>
  <c r="K38" i="25"/>
  <c r="L38" i="25" s="1"/>
  <c r="E45" i="71" s="1"/>
  <c r="K36" i="25"/>
  <c r="L36" i="25" s="1"/>
  <c r="E43" i="71" s="1"/>
  <c r="L34" i="25"/>
  <c r="E41" i="71" s="1"/>
  <c r="J65" i="25"/>
  <c r="F65" i="25"/>
  <c r="H65" i="25"/>
  <c r="L65" i="25"/>
  <c r="N65" i="25"/>
  <c r="B64" i="25"/>
  <c r="C21" i="64"/>
  <c r="C17" i="64"/>
  <c r="B32" i="25"/>
  <c r="N33" i="25"/>
  <c r="D33" i="25"/>
  <c r="H33" i="25"/>
  <c r="X64" i="25" l="1"/>
  <c r="R64" i="25"/>
  <c r="P64" i="25"/>
  <c r="V64" i="25"/>
  <c r="T64" i="25"/>
  <c r="T32" i="25"/>
  <c r="V32" i="25"/>
  <c r="M80" i="25"/>
  <c r="N68" i="25"/>
  <c r="L64" i="25"/>
  <c r="D64" i="25"/>
  <c r="Q49" i="25"/>
  <c r="R34" i="25"/>
  <c r="H34" i="25"/>
  <c r="G49" i="25"/>
  <c r="C49" i="25"/>
  <c r="P32" i="25"/>
  <c r="R32" i="25"/>
  <c r="F21" i="64"/>
  <c r="K46" i="39" s="1"/>
  <c r="K37" i="25"/>
  <c r="L37" i="25" s="1"/>
  <c r="E44" i="71" s="1"/>
  <c r="B63" i="25"/>
  <c r="F64" i="25"/>
  <c r="H64" i="25"/>
  <c r="N64" i="25"/>
  <c r="J64" i="25"/>
  <c r="E21" i="64"/>
  <c r="C18" i="64"/>
  <c r="B31" i="25"/>
  <c r="D32" i="25"/>
  <c r="L32" i="25"/>
  <c r="H32" i="25"/>
  <c r="N32" i="25"/>
  <c r="X63" i="25" l="1"/>
  <c r="P63" i="25"/>
  <c r="R63" i="25"/>
  <c r="V63" i="25"/>
  <c r="T63" i="25"/>
  <c r="T31" i="25"/>
  <c r="V31" i="25"/>
  <c r="N63" i="25"/>
  <c r="D63" i="25"/>
  <c r="P31" i="25"/>
  <c r="R31" i="25"/>
  <c r="K35" i="25"/>
  <c r="L35" i="25" s="1"/>
  <c r="E42" i="71" s="1"/>
  <c r="K44" i="39"/>
  <c r="F18" i="64"/>
  <c r="K43" i="39" s="1"/>
  <c r="E23" i="64"/>
  <c r="F63" i="25"/>
  <c r="J63" i="25"/>
  <c r="H63" i="25"/>
  <c r="B62" i="25"/>
  <c r="L63" i="25"/>
  <c r="F23" i="64"/>
  <c r="K48" i="39" s="1"/>
  <c r="C14" i="64"/>
  <c r="E18" i="64"/>
  <c r="K45" i="39"/>
  <c r="B30" i="25"/>
  <c r="D31" i="25"/>
  <c r="L31" i="25"/>
  <c r="N31" i="25"/>
  <c r="H31" i="25"/>
  <c r="X62" i="25" l="1"/>
  <c r="R62" i="25"/>
  <c r="P62" i="25"/>
  <c r="V62" i="25"/>
  <c r="T62" i="25"/>
  <c r="V30" i="25"/>
  <c r="T30" i="25"/>
  <c r="J62" i="25"/>
  <c r="D62" i="25"/>
  <c r="P30" i="25"/>
  <c r="R30" i="25"/>
  <c r="BL283" i="89"/>
  <c r="K49" i="25"/>
  <c r="L33" i="25"/>
  <c r="AG15" i="89"/>
  <c r="F62" i="25"/>
  <c r="N62" i="25"/>
  <c r="L62" i="25"/>
  <c r="H62" i="25"/>
  <c r="B61" i="25"/>
  <c r="B29" i="25"/>
  <c r="D30" i="25"/>
  <c r="L30" i="25"/>
  <c r="N30" i="25"/>
  <c r="H30" i="25"/>
  <c r="X61" i="25" l="1"/>
  <c r="P61" i="25"/>
  <c r="R61" i="25"/>
  <c r="V61" i="25"/>
  <c r="T61" i="25"/>
  <c r="V29" i="25"/>
  <c r="T29" i="25"/>
  <c r="L61" i="25"/>
  <c r="D61" i="25"/>
  <c r="P29" i="25"/>
  <c r="R29" i="25"/>
  <c r="J94" i="89"/>
  <c r="K94" i="89" s="1"/>
  <c r="F25" i="64"/>
  <c r="E31" i="64"/>
  <c r="F31" i="64"/>
  <c r="J93" i="89"/>
  <c r="N61" i="25"/>
  <c r="J61" i="25"/>
  <c r="J89" i="89"/>
  <c r="L89" i="89" s="1"/>
  <c r="J88" i="89"/>
  <c r="BL278" i="89"/>
  <c r="J92" i="89"/>
  <c r="BL277" i="89"/>
  <c r="J87" i="89"/>
  <c r="J91" i="89"/>
  <c r="F61" i="25"/>
  <c r="H61" i="25"/>
  <c r="B60" i="25"/>
  <c r="H29" i="25"/>
  <c r="B28" i="25"/>
  <c r="L29" i="25"/>
  <c r="D29" i="25"/>
  <c r="N29" i="25"/>
  <c r="X60" i="25" l="1"/>
  <c r="R60" i="25"/>
  <c r="P60" i="25"/>
  <c r="V60" i="25"/>
  <c r="T60" i="25"/>
  <c r="V28" i="25"/>
  <c r="T28" i="25"/>
  <c r="H60" i="25"/>
  <c r="D60" i="25"/>
  <c r="P28" i="25"/>
  <c r="R28" i="25"/>
  <c r="L94" i="89"/>
  <c r="AT225" i="89"/>
  <c r="BL285" i="89"/>
  <c r="BN285" i="89" s="1"/>
  <c r="K90" i="89"/>
  <c r="L90" i="89"/>
  <c r="AT223" i="89"/>
  <c r="K88" i="89"/>
  <c r="L88" i="89"/>
  <c r="L91" i="89"/>
  <c r="K91" i="89"/>
  <c r="AT224" i="89"/>
  <c r="AW224" i="89" s="1"/>
  <c r="L93" i="89"/>
  <c r="K93" i="89"/>
  <c r="K92" i="89"/>
  <c r="L92" i="89"/>
  <c r="AT222" i="89"/>
  <c r="AW222" i="89" s="1"/>
  <c r="L87" i="89"/>
  <c r="K87" i="89"/>
  <c r="K89" i="89"/>
  <c r="L60" i="25"/>
  <c r="N60" i="25"/>
  <c r="B59" i="25"/>
  <c r="J60" i="25"/>
  <c r="F60" i="25"/>
  <c r="H28" i="25"/>
  <c r="B27" i="25"/>
  <c r="D28" i="25"/>
  <c r="L28" i="25"/>
  <c r="N28" i="25"/>
  <c r="X59" i="25" l="1"/>
  <c r="R59" i="25"/>
  <c r="P59" i="25"/>
  <c r="V59" i="25"/>
  <c r="T59" i="25"/>
  <c r="T27" i="25"/>
  <c r="V27" i="25"/>
  <c r="L59" i="25"/>
  <c r="D59" i="25"/>
  <c r="P27" i="25"/>
  <c r="R27" i="25"/>
  <c r="AY224" i="89"/>
  <c r="AV224" i="89"/>
  <c r="J59" i="25"/>
  <c r="H59" i="25"/>
  <c r="AT221" i="89"/>
  <c r="F59" i="25"/>
  <c r="N59" i="25"/>
  <c r="B58" i="25"/>
  <c r="B26" i="25"/>
  <c r="H27" i="25"/>
  <c r="N27" i="25"/>
  <c r="D27" i="25"/>
  <c r="L27" i="25"/>
  <c r="X58" i="25" l="1"/>
  <c r="R58" i="25"/>
  <c r="P58" i="25"/>
  <c r="D58" i="25"/>
  <c r="T58" i="25"/>
  <c r="V58" i="25"/>
  <c r="T26" i="25"/>
  <c r="V26" i="25"/>
  <c r="P26" i="25"/>
  <c r="R26" i="25"/>
  <c r="AT227" i="89"/>
  <c r="AT228" i="89" s="1"/>
  <c r="AY222" i="89"/>
  <c r="J58" i="25"/>
  <c r="N58" i="25"/>
  <c r="F58" i="25"/>
  <c r="H58" i="25"/>
  <c r="B57" i="25"/>
  <c r="L58" i="25"/>
  <c r="B25" i="25"/>
  <c r="L26" i="25"/>
  <c r="D26" i="25"/>
  <c r="N26" i="25"/>
  <c r="H26" i="25"/>
  <c r="X57" i="25" l="1"/>
  <c r="R57" i="25"/>
  <c r="P57" i="25"/>
  <c r="T57" i="25"/>
  <c r="V57" i="25"/>
  <c r="R25" i="25"/>
  <c r="R49" i="25" s="1"/>
  <c r="C12" i="137" s="1"/>
  <c r="T25" i="25"/>
  <c r="V25" i="25"/>
  <c r="J57" i="25"/>
  <c r="D57" i="25"/>
  <c r="B24" i="25"/>
  <c r="P25" i="25"/>
  <c r="H57" i="25"/>
  <c r="L57" i="25"/>
  <c r="F57" i="25"/>
  <c r="B56" i="25"/>
  <c r="N57" i="25"/>
  <c r="BD273" i="89"/>
  <c r="BD269" i="89"/>
  <c r="BD270" i="89"/>
  <c r="BD271" i="89"/>
  <c r="BD272" i="89"/>
  <c r="L25" i="25"/>
  <c r="L49" i="25" s="1"/>
  <c r="D29" i="50" s="1"/>
  <c r="N25" i="25"/>
  <c r="N49" i="25" s="1"/>
  <c r="AN172" i="89" s="1"/>
  <c r="D25" i="25"/>
  <c r="D49" i="25" s="1"/>
  <c r="D10" i="50" s="1"/>
  <c r="H25" i="25"/>
  <c r="H49" i="25" s="1"/>
  <c r="AN171" i="89" s="1"/>
  <c r="X56" i="25" l="1"/>
  <c r="P56" i="25"/>
  <c r="R56" i="25"/>
  <c r="D12" i="137"/>
  <c r="T56" i="25"/>
  <c r="V56" i="25"/>
  <c r="T24" i="25"/>
  <c r="V24" i="25"/>
  <c r="AN173" i="89"/>
  <c r="AO173" i="89" s="1"/>
  <c r="Q102" i="49"/>
  <c r="P102" i="49" s="1"/>
  <c r="L56" i="25"/>
  <c r="D56" i="25"/>
  <c r="D80" i="25" s="1"/>
  <c r="P24" i="25"/>
  <c r="R24" i="25"/>
  <c r="N24" i="25"/>
  <c r="H24" i="25"/>
  <c r="B55" i="25"/>
  <c r="J24" i="25"/>
  <c r="L24" i="25"/>
  <c r="AO171" i="89"/>
  <c r="AU237" i="89"/>
  <c r="AW237" i="89" s="1"/>
  <c r="AU238" i="89"/>
  <c r="AW238" i="89" s="1"/>
  <c r="AO172" i="89"/>
  <c r="C51" i="64"/>
  <c r="D9" i="50"/>
  <c r="D11" i="50"/>
  <c r="AY240" i="89" s="1"/>
  <c r="C52" i="64"/>
  <c r="D52" i="64" s="1"/>
  <c r="E52" i="64" s="1"/>
  <c r="C50" i="64"/>
  <c r="D50" i="64" s="1"/>
  <c r="E50" i="64" s="1"/>
  <c r="Q101" i="49"/>
  <c r="P101" i="49" s="1"/>
  <c r="J56" i="25"/>
  <c r="C47" i="64"/>
  <c r="D47" i="64" s="1"/>
  <c r="E47" i="64" s="1"/>
  <c r="O23" i="50"/>
  <c r="M23" i="50" s="1"/>
  <c r="H56" i="25"/>
  <c r="F56" i="25"/>
  <c r="F80" i="25" s="1"/>
  <c r="N56" i="25"/>
  <c r="O49" i="25"/>
  <c r="BD268" i="89" s="1"/>
  <c r="BD274" i="89" s="1"/>
  <c r="P49" i="25"/>
  <c r="C89" i="85"/>
  <c r="D51" i="64" l="1"/>
  <c r="E51" i="64" s="1"/>
  <c r="H51" i="64"/>
  <c r="X55" i="25"/>
  <c r="X80" i="25" s="1"/>
  <c r="G31" i="135" s="1"/>
  <c r="C96" i="64" s="1"/>
  <c r="D96" i="64" s="1"/>
  <c r="E96" i="64" s="1"/>
  <c r="R55" i="25"/>
  <c r="R80" i="25" s="1"/>
  <c r="M42" i="51" s="1"/>
  <c r="D20" i="50" s="1"/>
  <c r="P55" i="25"/>
  <c r="P80" i="25" s="1"/>
  <c r="M41" i="51" s="1"/>
  <c r="E10" i="50"/>
  <c r="T55" i="25"/>
  <c r="T80" i="25" s="1"/>
  <c r="V55" i="25"/>
  <c r="V80" i="25" s="1"/>
  <c r="AU239" i="89"/>
  <c r="AW239" i="89" s="1"/>
  <c r="P106" i="49"/>
  <c r="AU232" i="89"/>
  <c r="AN165" i="89"/>
  <c r="N55" i="25"/>
  <c r="N80" i="25" s="1"/>
  <c r="M35" i="51" s="1"/>
  <c r="D16" i="50" s="1"/>
  <c r="D55" i="25"/>
  <c r="F55" i="25"/>
  <c r="L55" i="25"/>
  <c r="L80" i="25" s="1"/>
  <c r="M37" i="51" s="1"/>
  <c r="H55" i="25"/>
  <c r="H80" i="25" s="1"/>
  <c r="M31" i="51" s="1"/>
  <c r="D12" i="50" s="1"/>
  <c r="J55" i="25"/>
  <c r="J80" i="25" s="1"/>
  <c r="BE268" i="89"/>
  <c r="E28" i="50"/>
  <c r="Q134" i="49" s="1"/>
  <c r="BE273" i="89"/>
  <c r="BE270" i="89"/>
  <c r="BE271" i="89"/>
  <c r="BE272" i="89"/>
  <c r="M34" i="51"/>
  <c r="D15" i="50" s="1"/>
  <c r="AY244" i="89" s="1"/>
  <c r="M36" i="51"/>
  <c r="D18" i="50" s="1"/>
  <c r="G32" i="135" l="1"/>
  <c r="C98" i="64" s="1"/>
  <c r="D98" i="64" s="1"/>
  <c r="E98" i="64" s="1"/>
  <c r="G27" i="135"/>
  <c r="G25" i="135"/>
  <c r="G33" i="135" s="1"/>
  <c r="G30" i="135"/>
  <c r="G28" i="135"/>
  <c r="G26" i="135"/>
  <c r="G29" i="135"/>
  <c r="C97" i="64" s="1"/>
  <c r="D97" i="64" s="1"/>
  <c r="E97" i="64" s="1"/>
  <c r="M43" i="51"/>
  <c r="D19" i="50"/>
  <c r="AN167" i="89" s="1"/>
  <c r="AU234" i="89" s="1"/>
  <c r="AW234" i="89" s="1"/>
  <c r="Q93" i="49"/>
  <c r="P93" i="49" s="1"/>
  <c r="E20" i="50"/>
  <c r="Q127" i="49" s="1"/>
  <c r="P127" i="49" s="1"/>
  <c r="P114" i="49"/>
  <c r="Q117" i="49"/>
  <c r="Q91" i="49"/>
  <c r="P91" i="49" s="1"/>
  <c r="AY250" i="89"/>
  <c r="Q247" i="49"/>
  <c r="P247" i="49" s="1"/>
  <c r="Q246" i="49"/>
  <c r="P246" i="49" s="1"/>
  <c r="Q248" i="49"/>
  <c r="P248" i="49" s="1"/>
  <c r="AO179" i="89"/>
  <c r="Q110" i="49"/>
  <c r="P110" i="49" s="1"/>
  <c r="C58" i="64"/>
  <c r="D58" i="64" s="1"/>
  <c r="E58" i="64" s="1"/>
  <c r="Q111" i="49"/>
  <c r="P111" i="49" s="1"/>
  <c r="C59" i="64"/>
  <c r="D59" i="64" s="1"/>
  <c r="E59" i="64" s="1"/>
  <c r="AY238" i="89"/>
  <c r="M32" i="51"/>
  <c r="Q85" i="49"/>
  <c r="P85" i="49" s="1"/>
  <c r="Q89" i="49"/>
  <c r="Q88" i="49"/>
  <c r="O12" i="50"/>
  <c r="M12" i="50" s="1"/>
  <c r="BE269" i="89"/>
  <c r="BE274" i="89" s="1"/>
  <c r="O15" i="50"/>
  <c r="M15" i="50" s="1"/>
  <c r="P98" i="49"/>
  <c r="O18" i="50"/>
  <c r="M18" i="50" s="1"/>
  <c r="O14" i="50"/>
  <c r="M14" i="50" s="1"/>
  <c r="AO167" i="89" l="1"/>
  <c r="Q92" i="49"/>
  <c r="P92" i="49" s="1"/>
  <c r="E19" i="50"/>
  <c r="Q126" i="49" s="1"/>
  <c r="P126" i="49" s="1"/>
  <c r="D13" i="50"/>
  <c r="AN166" i="89" s="1"/>
  <c r="M38" i="51"/>
  <c r="P90" i="49"/>
  <c r="O16" i="50"/>
  <c r="M16" i="50" s="1"/>
  <c r="P96" i="49"/>
  <c r="E17" i="50"/>
  <c r="E23" i="50"/>
  <c r="Q130" i="49" s="1"/>
  <c r="E29" i="50"/>
  <c r="Q135" i="49" s="1"/>
  <c r="E24" i="50"/>
  <c r="Q131" i="49" s="1"/>
  <c r="E15" i="50"/>
  <c r="E18" i="50"/>
  <c r="E14" i="50"/>
  <c r="E16" i="50"/>
  <c r="E12" i="50"/>
  <c r="P116" i="49" s="1"/>
  <c r="AY239" i="89" l="1"/>
  <c r="E13" i="50"/>
  <c r="AY245" i="89"/>
  <c r="Q86" i="49"/>
  <c r="P86" i="49" s="1"/>
  <c r="O13" i="50"/>
  <c r="M13" i="50" s="1"/>
  <c r="BC273" i="89"/>
  <c r="BC268" i="89"/>
  <c r="BC269" i="89"/>
  <c r="P15" i="50"/>
  <c r="Q122" i="49"/>
  <c r="P122" i="49" s="1"/>
  <c r="N15" i="50"/>
  <c r="P12" i="50"/>
  <c r="Q119" i="49"/>
  <c r="P119" i="49" s="1"/>
  <c r="N12" i="50"/>
  <c r="P18" i="50"/>
  <c r="N18" i="50"/>
  <c r="Q125" i="49"/>
  <c r="P125" i="49" s="1"/>
  <c r="P135" i="49"/>
  <c r="P130" i="49"/>
  <c r="P23" i="50"/>
  <c r="N23" i="50"/>
  <c r="Q124" i="49"/>
  <c r="P124" i="49" s="1"/>
  <c r="N17" i="50"/>
  <c r="P17" i="50"/>
  <c r="P14" i="50"/>
  <c r="Q121" i="49"/>
  <c r="P121" i="49" s="1"/>
  <c r="N14" i="50"/>
  <c r="P24" i="50"/>
  <c r="P131" i="49"/>
  <c r="N24" i="50"/>
  <c r="P136" i="49"/>
  <c r="N16" i="50"/>
  <c r="Q123" i="49"/>
  <c r="P123" i="49" s="1"/>
  <c r="P16" i="50"/>
  <c r="AO166" i="89" l="1"/>
  <c r="AU233" i="89"/>
  <c r="N13" i="50"/>
  <c r="P13" i="50"/>
  <c r="Q120" i="49"/>
  <c r="P120" i="49" s="1"/>
  <c r="BC271" i="89"/>
  <c r="BC270" i="89"/>
  <c r="BC272" i="89"/>
  <c r="AW233" i="89" l="1"/>
  <c r="AY233" i="89" s="1"/>
  <c r="BC274" i="89"/>
  <c r="BI272" i="89"/>
  <c r="BI273" i="89" l="1"/>
  <c r="BI271" i="89"/>
  <c r="BI270" i="89"/>
  <c r="BI269" i="89"/>
  <c r="BI268" i="89"/>
  <c r="BI274" i="89" l="1"/>
  <c r="D79" i="82"/>
  <c r="N76" i="82" l="1"/>
  <c r="N77" i="82"/>
  <c r="N78" i="82" l="1"/>
  <c r="N79" i="82" l="1"/>
  <c r="N80" i="82" l="1"/>
  <c r="N81" i="82" l="1"/>
  <c r="N82" i="82" l="1"/>
  <c r="N83" i="82" l="1"/>
  <c r="N84" i="82" l="1"/>
  <c r="N85" i="82" l="1"/>
  <c r="C39" i="95" l="1"/>
  <c r="C17" i="95" s="1"/>
  <c r="N86" i="82"/>
  <c r="N87" i="82" l="1"/>
  <c r="E79" i="82"/>
  <c r="D94" i="82" l="1"/>
  <c r="N91" i="82" l="1"/>
  <c r="N92" i="82"/>
  <c r="N93" i="82"/>
  <c r="N94" i="82" l="1"/>
  <c r="N95" i="82" l="1"/>
  <c r="N96" i="82" l="1"/>
  <c r="N97" i="82" l="1"/>
  <c r="N98" i="82" l="1"/>
  <c r="N99" i="82" l="1"/>
  <c r="N100" i="82" l="1"/>
  <c r="N101" i="82" l="1"/>
  <c r="E94" i="82"/>
  <c r="N102" i="82" l="1"/>
  <c r="D109" i="82" l="1"/>
  <c r="N106" i="82" l="1"/>
  <c r="N107" i="82"/>
  <c r="N108" i="82"/>
  <c r="N109" i="82" l="1"/>
  <c r="N110" i="82" l="1"/>
  <c r="N111" i="82" l="1"/>
  <c r="N112" i="82" l="1"/>
  <c r="N113" i="82" l="1"/>
  <c r="N114" i="82" l="1"/>
  <c r="N115" i="82" l="1"/>
  <c r="N116" i="82" l="1"/>
  <c r="N117" i="82" l="1"/>
  <c r="E109" i="82"/>
  <c r="D154" i="82" l="1"/>
  <c r="N151" i="82"/>
  <c r="N152" i="82"/>
  <c r="N153" i="82"/>
  <c r="N155" i="82" l="1"/>
  <c r="N154" i="82"/>
  <c r="N156" i="82" l="1"/>
  <c r="N157" i="82" l="1"/>
  <c r="N158" i="82" l="1"/>
  <c r="N159" i="82" l="1"/>
  <c r="N160" i="82" l="1"/>
  <c r="N161" i="82" l="1"/>
  <c r="N162" i="82" l="1"/>
  <c r="E154" i="82"/>
  <c r="D139" i="82" l="1"/>
  <c r="N136" i="82"/>
  <c r="N137" i="82"/>
  <c r="N138" i="82" l="1"/>
  <c r="N139" i="82" l="1"/>
  <c r="N140" i="82" l="1"/>
  <c r="N141" i="82" l="1"/>
  <c r="N142" i="82" l="1"/>
  <c r="N143" i="82" l="1"/>
  <c r="N144" i="82" l="1"/>
  <c r="N145" i="82" l="1"/>
  <c r="N146" i="82" l="1"/>
  <c r="N147" i="82" l="1"/>
  <c r="E139" i="82"/>
  <c r="D124" i="82" l="1"/>
  <c r="N121" i="82"/>
  <c r="E71" i="82" s="1"/>
  <c r="N122" i="82"/>
  <c r="F71" i="82" s="1"/>
  <c r="N123" i="82"/>
  <c r="G71" i="82" s="1"/>
  <c r="J27" i="25" l="1"/>
  <c r="J26" i="25"/>
  <c r="N124" i="82"/>
  <c r="H71" i="82" s="1"/>
  <c r="I37" i="25" s="1"/>
  <c r="J37" i="25" s="1"/>
  <c r="J28" i="25" l="1"/>
  <c r="J25" i="25"/>
  <c r="N125" i="82"/>
  <c r="I71" i="82" s="1"/>
  <c r="I38" i="25" l="1"/>
  <c r="J38" i="25" s="1"/>
  <c r="J29" i="25"/>
  <c r="N126" i="82"/>
  <c r="J71" i="82" s="1"/>
  <c r="I39" i="25" l="1"/>
  <c r="J39" i="25" s="1"/>
  <c r="J30" i="25"/>
  <c r="N127" i="82"/>
  <c r="K71" i="82" s="1"/>
  <c r="I40" i="25" l="1"/>
  <c r="J40" i="25" s="1"/>
  <c r="H72" i="82" s="1"/>
  <c r="J31" i="25"/>
  <c r="N128" i="82"/>
  <c r="L71" i="82" s="1"/>
  <c r="I41" i="25" l="1"/>
  <c r="J41" i="25" s="1"/>
  <c r="I72" i="82" s="1"/>
  <c r="J32" i="25"/>
  <c r="N129" i="82"/>
  <c r="M71" i="82" s="1"/>
  <c r="I42" i="25" l="1"/>
  <c r="J42" i="25" s="1"/>
  <c r="J72" i="82" s="1"/>
  <c r="J33" i="25"/>
  <c r="N130" i="82"/>
  <c r="N71" i="82" s="1"/>
  <c r="I46" i="25" l="1"/>
  <c r="J46" i="25" s="1"/>
  <c r="N72" i="82" s="1"/>
  <c r="I43" i="25"/>
  <c r="J43" i="25" s="1"/>
  <c r="K72" i="82" s="1"/>
  <c r="J34" i="25"/>
  <c r="E72" i="82" s="1"/>
  <c r="N131" i="82"/>
  <c r="O71" i="82" s="1"/>
  <c r="I47" i="25" l="1"/>
  <c r="J47" i="25" s="1"/>
  <c r="O72" i="82" s="1"/>
  <c r="I44" i="25"/>
  <c r="J44" i="25" s="1"/>
  <c r="L72" i="82" s="1"/>
  <c r="J35" i="25"/>
  <c r="F72" i="82" s="1"/>
  <c r="N132" i="82"/>
  <c r="P71" i="82" s="1"/>
  <c r="E124" i="82"/>
  <c r="I48" i="25" l="1"/>
  <c r="J48" i="25" s="1"/>
  <c r="P72" i="82" s="1"/>
  <c r="I45" i="25"/>
  <c r="J45" i="25" s="1"/>
  <c r="M72" i="82" s="1"/>
  <c r="D71" i="82"/>
  <c r="I49" i="25" l="1"/>
  <c r="J36" i="25"/>
  <c r="J49" i="25" l="1"/>
  <c r="D26" i="50" s="1"/>
  <c r="G72" i="82"/>
  <c r="D72" i="82" s="1"/>
  <c r="Q182" i="49"/>
  <c r="P182" i="49" s="1"/>
  <c r="E25" i="64"/>
  <c r="Q183" i="49"/>
  <c r="P183" i="49" s="1"/>
  <c r="P185" i="49" l="1"/>
  <c r="P186" i="49"/>
  <c r="P184" i="49" l="1"/>
  <c r="P187" i="49"/>
  <c r="C24" i="64"/>
  <c r="C34" i="64" l="1"/>
  <c r="E27" i="50"/>
  <c r="C45" i="64"/>
  <c r="D45" i="64" s="1"/>
  <c r="AF15" i="89"/>
  <c r="J86" i="89"/>
  <c r="P134" i="49" l="1"/>
  <c r="Q133" i="49"/>
  <c r="AY237" i="89"/>
  <c r="P99" i="49"/>
  <c r="E26" i="50"/>
  <c r="Q84" i="49"/>
  <c r="P84" i="49" s="1"/>
  <c r="Q83" i="49"/>
  <c r="P83" i="49" s="1"/>
  <c r="Q100" i="49"/>
  <c r="P100" i="49" s="1"/>
  <c r="O27" i="50"/>
  <c r="M27" i="50" s="1"/>
  <c r="E11" i="50"/>
  <c r="Q118" i="49" s="1"/>
  <c r="P89" i="49"/>
  <c r="O26" i="50"/>
  <c r="M26" i="50" s="1"/>
  <c r="AN170" i="89"/>
  <c r="C49" i="64"/>
  <c r="D49" i="64" s="1"/>
  <c r="E49" i="64" s="1"/>
  <c r="E9" i="50"/>
  <c r="AW232" i="89" s="1"/>
  <c r="P87" i="49"/>
  <c r="P82" i="49"/>
  <c r="P88" i="49"/>
  <c r="E45" i="64"/>
  <c r="C39" i="64"/>
  <c r="D39" i="64" s="1"/>
  <c r="J95" i="89"/>
  <c r="L86" i="89"/>
  <c r="K86" i="89"/>
  <c r="P118" i="49" l="1"/>
  <c r="P115" i="49"/>
  <c r="AO170" i="89"/>
  <c r="AU236" i="89"/>
  <c r="P113" i="49"/>
  <c r="N27" i="50"/>
  <c r="P133" i="49"/>
  <c r="P27" i="50"/>
  <c r="N26" i="50"/>
  <c r="P26" i="50"/>
  <c r="P117" i="49"/>
  <c r="C46" i="64"/>
  <c r="AD15" i="89"/>
  <c r="K95" i="89"/>
  <c r="J96" i="89"/>
  <c r="K96" i="89" s="1"/>
  <c r="AW236" i="89" l="1"/>
  <c r="AY232" i="89"/>
  <c r="D46" i="64"/>
  <c r="E46" i="64" s="1"/>
  <c r="K97" i="89"/>
  <c r="P191" i="49" l="1"/>
  <c r="Q81" i="49"/>
  <c r="P81" i="49" s="1"/>
  <c r="Q161" i="49"/>
  <c r="P161" i="49" s="1"/>
  <c r="Q194" i="49"/>
  <c r="P194" i="49" s="1"/>
  <c r="O10" i="51"/>
  <c r="E39" i="64"/>
  <c r="L11" i="89" s="1"/>
  <c r="F39" i="64"/>
  <c r="AD16" i="89"/>
  <c r="AU228" i="89"/>
  <c r="AW228" i="89" s="1"/>
  <c r="AV228" i="89" l="1"/>
  <c r="U8" i="89"/>
  <c r="AY228" i="89" l="1"/>
  <c r="C100" i="39" l="1"/>
  <c r="C101" i="39" l="1"/>
  <c r="Q1731" i="49" l="1"/>
  <c r="P1731" i="49" s="1"/>
  <c r="E9" i="82"/>
  <c r="C10" i="82"/>
  <c r="Q1732" i="49" s="1"/>
  <c r="P1732" i="49" s="1"/>
  <c r="E10" i="82"/>
  <c r="Q1730" i="49" s="1"/>
  <c r="P1730" i="49" s="1"/>
  <c r="Q1729" i="49" l="1"/>
  <c r="P1729" i="49" s="1"/>
  <c r="D26" i="64"/>
  <c r="C27" i="95"/>
  <c r="D52" i="50" l="1"/>
  <c r="D54" i="50"/>
  <c r="D55" i="50"/>
  <c r="D53" i="50"/>
  <c r="D51" i="50"/>
  <c r="D22" i="50"/>
  <c r="D21" i="50"/>
  <c r="F26" i="64"/>
  <c r="C104" i="39"/>
  <c r="BM278" i="89"/>
  <c r="BN278" i="89" s="1"/>
  <c r="AU223" i="89"/>
  <c r="AW223" i="89" s="1"/>
  <c r="Q24" i="49"/>
  <c r="P24" i="49" s="1"/>
  <c r="E26" i="64"/>
  <c r="C30" i="95"/>
  <c r="C21" i="95"/>
  <c r="Q218" i="49" l="1"/>
  <c r="P218" i="49" s="1"/>
  <c r="C68" i="64"/>
  <c r="D68" i="64" s="1"/>
  <c r="E68" i="64" s="1"/>
  <c r="Q220" i="49"/>
  <c r="P220" i="49" s="1"/>
  <c r="C70" i="64"/>
  <c r="D70" i="64" s="1"/>
  <c r="E70" i="64" s="1"/>
  <c r="Q222" i="49"/>
  <c r="P222" i="49" s="1"/>
  <c r="C72" i="64"/>
  <c r="D72" i="64" s="1"/>
  <c r="E72" i="64" s="1"/>
  <c r="Q221" i="49"/>
  <c r="P221" i="49" s="1"/>
  <c r="C71" i="64"/>
  <c r="D71" i="64" s="1"/>
  <c r="E71" i="64" s="1"/>
  <c r="Q219" i="49"/>
  <c r="P219" i="49" s="1"/>
  <c r="C69" i="64"/>
  <c r="D69" i="64" s="1"/>
  <c r="E69" i="64" s="1"/>
  <c r="Q95" i="49"/>
  <c r="P95" i="49" s="1"/>
  <c r="E22" i="50"/>
  <c r="Q129" i="49" s="1"/>
  <c r="O22" i="50"/>
  <c r="M22" i="50" s="1"/>
  <c r="Q94" i="49"/>
  <c r="P94" i="49" s="1"/>
  <c r="O21" i="50"/>
  <c r="M21" i="50" s="1"/>
  <c r="E21" i="50"/>
  <c r="Q128" i="49" s="1"/>
  <c r="BM285" i="89"/>
  <c r="AY223" i="89"/>
  <c r="C20" i="94"/>
  <c r="C35" i="95"/>
  <c r="P128" i="49" l="1"/>
  <c r="P21" i="50"/>
  <c r="N21" i="50"/>
  <c r="P129" i="49"/>
  <c r="P22" i="50"/>
  <c r="N22" i="50"/>
  <c r="C24" i="95" l="1"/>
  <c r="C40" i="95"/>
  <c r="C23" i="94" l="1"/>
  <c r="C38" i="95"/>
  <c r="C8" i="95"/>
  <c r="G6" i="95" s="1"/>
  <c r="G5" i="95" s="1"/>
  <c r="C13" i="95" l="1"/>
  <c r="F17" i="95" s="1"/>
  <c r="C14" i="95"/>
  <c r="C16" i="95"/>
  <c r="C15" i="95"/>
  <c r="D15" i="95" l="1"/>
  <c r="E15" i="95" s="1"/>
  <c r="F15" i="95" s="1"/>
  <c r="D16" i="95"/>
  <c r="E16" i="95" s="1"/>
  <c r="F16" i="95" s="1"/>
  <c r="D14" i="95"/>
  <c r="D18" i="95" l="1"/>
  <c r="E14" i="95"/>
  <c r="F14" i="95" s="1"/>
  <c r="P195" i="49" s="1"/>
  <c r="C10" i="95" l="1"/>
  <c r="G4" i="95" s="1"/>
  <c r="F18" i="95"/>
  <c r="AJ152" i="89" l="1"/>
  <c r="AK152" i="89" s="1"/>
  <c r="AJ147" i="89"/>
  <c r="AK147" i="89" s="1"/>
  <c r="AJ151" i="89"/>
  <c r="AK151" i="89" s="1"/>
  <c r="AJ153" i="89"/>
  <c r="AK153" i="89" s="1"/>
  <c r="AJ148" i="89"/>
  <c r="AK148" i="89" s="1"/>
  <c r="Q20" i="49"/>
  <c r="P20" i="49" s="1"/>
  <c r="AJ146" i="89"/>
  <c r="AK146" i="89" s="1"/>
  <c r="AJ150" i="89" l="1"/>
  <c r="AK150" i="89" s="1"/>
  <c r="Q47" i="49" l="1"/>
  <c r="P47" i="49" s="1"/>
  <c r="P50" i="49"/>
  <c r="P49" i="49" l="1"/>
  <c r="X131" i="89"/>
  <c r="X129" i="89"/>
  <c r="Q48" i="49"/>
  <c r="P48" i="49" s="1"/>
  <c r="X132" i="89"/>
  <c r="H35" i="58" l="1"/>
  <c r="X130" i="89"/>
  <c r="D35" i="123" l="1"/>
  <c r="E35" i="123"/>
  <c r="F35" i="123"/>
  <c r="G35" i="123"/>
  <c r="E8" i="123" s="1"/>
  <c r="H35" i="123"/>
  <c r="I35" i="123"/>
  <c r="J35" i="123"/>
  <c r="K35" i="123"/>
  <c r="L35" i="123"/>
  <c r="M35" i="123"/>
  <c r="N35" i="123"/>
  <c r="O35" i="123"/>
  <c r="P35" i="123"/>
  <c r="Q35" i="123"/>
  <c r="E7" i="123" l="1"/>
  <c r="G7" i="123" s="1"/>
  <c r="N7" i="123" s="1"/>
  <c r="E6" i="123"/>
  <c r="G6" i="123" s="1"/>
  <c r="N6" i="123" s="1"/>
  <c r="E9" i="123"/>
  <c r="L9" i="123" s="1"/>
  <c r="BP292" i="89" s="1"/>
  <c r="G8" i="123"/>
  <c r="N8" i="123" s="1"/>
  <c r="L8" i="123"/>
  <c r="BP291" i="89" s="1"/>
  <c r="L7" i="123" l="1"/>
  <c r="BP290" i="89" s="1"/>
  <c r="BF270" i="89" s="1"/>
  <c r="L6" i="123"/>
  <c r="BP289" i="89" s="1"/>
  <c r="BF269" i="89" s="1"/>
  <c r="BF272" i="89"/>
  <c r="Q200" i="49"/>
  <c r="P200" i="49" s="1"/>
  <c r="BR292" i="89"/>
  <c r="BF271" i="89"/>
  <c r="BR291" i="89"/>
  <c r="Q199" i="49"/>
  <c r="P199" i="49" s="1"/>
  <c r="G9" i="123"/>
  <c r="N9" i="123" s="1"/>
  <c r="L5" i="123"/>
  <c r="G5" i="123"/>
  <c r="D11" i="123"/>
  <c r="Q198" i="49" l="1"/>
  <c r="P198" i="49" s="1"/>
  <c r="BR290" i="89"/>
  <c r="Q210" i="49" s="1"/>
  <c r="P210" i="49" s="1"/>
  <c r="Q197" i="49"/>
  <c r="P197" i="49" s="1"/>
  <c r="BR289" i="89"/>
  <c r="BS289" i="89" s="1"/>
  <c r="BH272" i="89"/>
  <c r="BJ272" i="89" s="1"/>
  <c r="BS292" i="89"/>
  <c r="Q212" i="49"/>
  <c r="P212" i="49" s="1"/>
  <c r="BP288" i="89"/>
  <c r="BH271" i="89"/>
  <c r="BJ271" i="89" s="1"/>
  <c r="BS291" i="89"/>
  <c r="Q211" i="49"/>
  <c r="P211" i="49" s="1"/>
  <c r="N5" i="123"/>
  <c r="BS290" i="89" l="1"/>
  <c r="BH270" i="89"/>
  <c r="BJ270" i="89" s="1"/>
  <c r="BH269" i="89"/>
  <c r="BJ269" i="89" s="1"/>
  <c r="Q209" i="49"/>
  <c r="P209" i="49" s="1"/>
  <c r="BF268" i="89"/>
  <c r="BR288" i="89"/>
  <c r="Q196" i="49"/>
  <c r="P196" i="49" s="1"/>
  <c r="BH268" i="89" l="1"/>
  <c r="BS288" i="89"/>
  <c r="Q208" i="49"/>
  <c r="P208" i="49" s="1"/>
  <c r="BJ268" i="89" l="1"/>
  <c r="AO165" i="89" l="1"/>
  <c r="Q22" i="49" l="1"/>
  <c r="Q21" i="49" l="1"/>
  <c r="P21" i="49" s="1"/>
  <c r="P22" i="49"/>
  <c r="D32" i="64"/>
  <c r="C103" i="39" s="1"/>
  <c r="AE149" i="89"/>
  <c r="AL149" i="89" s="1"/>
  <c r="AJ149" i="89"/>
  <c r="AK149" i="89" s="1"/>
  <c r="AK161" i="89" s="1"/>
  <c r="AU225" i="89" l="1"/>
  <c r="AW225" i="89" s="1"/>
  <c r="AW221" i="89" s="1"/>
  <c r="E32" i="64"/>
  <c r="D24" i="64"/>
  <c r="F32" i="64"/>
  <c r="K52" i="39" s="1"/>
  <c r="AV225" i="89" l="1"/>
  <c r="AU221" i="89"/>
  <c r="Q163" i="49"/>
  <c r="P163" i="49" s="1"/>
  <c r="O8" i="51"/>
  <c r="E24" i="64"/>
  <c r="L9" i="89" s="1"/>
  <c r="F24" i="64"/>
  <c r="AF16" i="89"/>
  <c r="AY225" i="89" l="1"/>
  <c r="AY221" i="89"/>
  <c r="U10" i="89"/>
  <c r="AV221" i="89"/>
  <c r="AB141" i="89" l="1"/>
  <c r="L14" i="58" l="1"/>
  <c r="Q14" i="58" s="1"/>
  <c r="L17" i="58" l="1"/>
  <c r="P14" i="58" l="1"/>
  <c r="L21" i="58"/>
  <c r="AD138" i="89" l="1"/>
  <c r="AC138" i="89" l="1"/>
  <c r="AY226" i="89" l="1"/>
  <c r="Q18" i="49"/>
  <c r="P18" i="49" s="1"/>
  <c r="N107" i="89" l="1"/>
  <c r="O107" i="89" s="1"/>
  <c r="F22" i="64"/>
  <c r="K47" i="39" s="1"/>
  <c r="AU217" i="89"/>
  <c r="E22" i="64"/>
  <c r="AW217" i="89" l="1"/>
  <c r="AV217" i="89"/>
  <c r="G23" i="123"/>
  <c r="H23" i="123"/>
  <c r="C10" i="123" l="1"/>
  <c r="E10" i="123" s="1"/>
  <c r="F23" i="123"/>
  <c r="C11" i="123" l="1"/>
  <c r="G10" i="123"/>
  <c r="L10" i="123"/>
  <c r="E11" i="123"/>
  <c r="L11" i="123" l="1"/>
  <c r="BP293" i="89"/>
  <c r="N10" i="123"/>
  <c r="N11" i="123" s="1"/>
  <c r="G11" i="123"/>
  <c r="Q201" i="49" l="1"/>
  <c r="P201" i="49" s="1"/>
  <c r="BP294" i="89"/>
  <c r="BR294" i="89" s="1"/>
  <c r="BS294" i="89" s="1"/>
  <c r="BR293" i="89"/>
  <c r="BF273" i="89"/>
  <c r="BF274" i="89" s="1"/>
  <c r="Q213" i="49" l="1"/>
  <c r="P213" i="49" s="1"/>
  <c r="BS293" i="89"/>
  <c r="BH273" i="89"/>
  <c r="BJ273" i="89" l="1"/>
  <c r="BH274" i="89"/>
  <c r="BJ274" i="89" s="1"/>
  <c r="S49" i="25" l="1"/>
  <c r="T37" i="25" s="1"/>
  <c r="U49" i="25"/>
  <c r="V33" i="25" l="1"/>
  <c r="V37" i="25"/>
  <c r="V34" i="25"/>
  <c r="V35" i="25"/>
  <c r="V39" i="25"/>
  <c r="V36" i="25"/>
  <c r="T48" i="25"/>
  <c r="T47" i="25"/>
  <c r="T46" i="25"/>
  <c r="T45" i="25"/>
  <c r="T44" i="25"/>
  <c r="T43" i="25"/>
  <c r="T42" i="25"/>
  <c r="T41" i="25"/>
  <c r="T40" i="25"/>
  <c r="T39" i="25"/>
  <c r="T38" i="25"/>
  <c r="V48" i="25"/>
  <c r="V47" i="25"/>
  <c r="V46" i="25"/>
  <c r="V45" i="25"/>
  <c r="V44" i="25"/>
  <c r="V43" i="25"/>
  <c r="V42" i="25"/>
  <c r="V41" i="25"/>
  <c r="V40" i="25"/>
  <c r="V38" i="25"/>
  <c r="V49" i="25" l="1"/>
  <c r="B13" i="137" s="1"/>
  <c r="T49" i="25"/>
  <c r="B14" i="137" s="1"/>
  <c r="B12" i="137" l="1"/>
  <c r="E12" i="137" s="1"/>
  <c r="D31" i="50" s="1"/>
  <c r="P140" i="49"/>
  <c r="AY243" i="89"/>
  <c r="E51" i="50"/>
  <c r="E52" i="50"/>
  <c r="E53" i="50"/>
  <c r="E54" i="50"/>
  <c r="E55" i="50"/>
  <c r="AY242" i="89" l="1"/>
  <c r="AY234" i="89"/>
  <c r="AY236" i="89"/>
  <c r="E31" i="50" l="1"/>
  <c r="C55" i="64" l="1"/>
  <c r="AN175" i="89"/>
  <c r="AO175" i="89" l="1"/>
  <c r="AN197" i="89"/>
  <c r="D55" i="64"/>
  <c r="E55" i="64" s="1"/>
  <c r="AU241" i="89"/>
  <c r="AW241" i="89" l="1"/>
  <c r="AU261" i="89"/>
  <c r="AY241" i="89" l="1"/>
  <c r="AW261" i="89"/>
  <c r="Q243" i="49"/>
  <c r="P243" i="49" s="1"/>
  <c r="Q244" i="49"/>
  <c r="P244" i="49" s="1"/>
  <c r="Q245" i="49"/>
  <c r="P245" i="49" s="1"/>
  <c r="C93" i="64"/>
  <c r="D93" i="64" s="1"/>
  <c r="E93" i="64" s="1"/>
  <c r="C94" i="64"/>
  <c r="D94" i="64" s="1"/>
  <c r="E94" i="64" s="1"/>
  <c r="C95" i="64"/>
  <c r="D95" i="64" s="1"/>
  <c r="E95" i="64" s="1"/>
  <c r="Q237" i="49"/>
  <c r="P237" i="49" s="1"/>
  <c r="E70" i="50"/>
  <c r="C87" i="64"/>
  <c r="D87" i="64" s="1"/>
  <c r="E87" i="64" s="1"/>
  <c r="C180" i="85"/>
  <c r="C781" i="85"/>
  <c r="C857" i="85"/>
  <c r="C1196" i="85"/>
  <c r="C1475" i="85"/>
  <c r="C1994" i="85"/>
  <c r="C551" i="85"/>
  <c r="C1815" i="85"/>
  <c r="C951" i="85"/>
  <c r="C1099" i="85"/>
  <c r="C473" i="85"/>
  <c r="C1215" i="85"/>
  <c r="C51" i="85"/>
  <c r="C236" i="85"/>
  <c r="C1079" i="85"/>
  <c r="C320" i="85"/>
  <c r="C1095" i="85"/>
  <c r="C1254" i="85"/>
  <c r="C562" i="85"/>
  <c r="C1677" i="85"/>
  <c r="C66" i="85"/>
  <c r="C1550" i="85"/>
  <c r="C464" i="85"/>
  <c r="C1802" i="85"/>
  <c r="C479" i="85"/>
  <c r="C972" i="85"/>
  <c r="C751" i="85"/>
  <c r="C1433" i="85"/>
  <c r="C289" i="85"/>
  <c r="C789" i="85"/>
  <c r="C1146" i="85"/>
  <c r="C309" i="85"/>
  <c r="C455" i="85"/>
  <c r="C815" i="85"/>
  <c r="C1992" i="85"/>
  <c r="C1412" i="85"/>
  <c r="C1368" i="85"/>
  <c r="C522" i="85"/>
  <c r="C1906" i="85"/>
  <c r="C1349" i="85"/>
  <c r="C420" i="85"/>
  <c r="C1027" i="85"/>
  <c r="C1353" i="85"/>
  <c r="C1366" i="85"/>
  <c r="C1795" i="85"/>
  <c r="C1658" i="85"/>
  <c r="C1333" i="85"/>
  <c r="C1742" i="85"/>
  <c r="C1171" i="85"/>
  <c r="C1190" i="85"/>
  <c r="C1608" i="85"/>
  <c r="C402" i="85"/>
  <c r="C1828" i="85"/>
  <c r="C696" i="85"/>
  <c r="C1440" i="85"/>
  <c r="C1854" i="85"/>
  <c r="C1997" i="85"/>
  <c r="C1448" i="85"/>
  <c r="C915" i="85"/>
  <c r="C1351" i="85"/>
  <c r="C327" i="85"/>
  <c r="C355" i="85"/>
  <c r="C844" i="85"/>
  <c r="C987" i="85"/>
  <c r="C297" i="85"/>
  <c r="C1091" i="85"/>
  <c r="C532" i="85"/>
  <c r="C889" i="85"/>
  <c r="C1946" i="85"/>
  <c r="C1033" i="85"/>
  <c r="C465" i="85"/>
  <c r="C1715" i="85"/>
  <c r="C1785" i="85"/>
  <c r="C1784" i="85"/>
  <c r="C1184" i="85"/>
  <c r="C1370" i="85"/>
  <c r="C627" i="85"/>
  <c r="C1879" i="85"/>
  <c r="C362" i="85"/>
  <c r="C527" i="85"/>
  <c r="C638" i="85"/>
  <c r="C528" i="85"/>
  <c r="C1797" i="85"/>
  <c r="C1923" i="85"/>
  <c r="C591" i="85"/>
  <c r="C1774" i="85"/>
  <c r="C538" i="85"/>
  <c r="C1850" i="85"/>
  <c r="C1250" i="85"/>
  <c r="C295" i="85"/>
  <c r="C1628" i="85"/>
  <c r="C282" i="85"/>
  <c r="C400" i="85"/>
  <c r="C1744" i="85"/>
  <c r="C1861" i="85"/>
  <c r="C1669" i="85"/>
  <c r="C630" i="85"/>
  <c r="C318" i="85"/>
  <c r="C1840" i="85"/>
  <c r="C717" i="85"/>
  <c r="C1617" i="85"/>
  <c r="C738" i="85"/>
  <c r="C646" i="85"/>
  <c r="C1851" i="85"/>
  <c r="C324" i="85"/>
  <c r="C1569" i="85"/>
  <c r="C43" i="85"/>
  <c r="C988" i="85"/>
  <c r="C1410" i="85"/>
  <c r="C623" i="85"/>
  <c r="C1777" i="85"/>
  <c r="C1188" i="85"/>
  <c r="C782" i="85"/>
  <c r="C1077" i="85"/>
  <c r="C856" i="85"/>
  <c r="C1131" i="85"/>
  <c r="C1902" i="85"/>
  <c r="C460" i="85"/>
  <c r="C704" i="85"/>
  <c r="C1426" i="85"/>
  <c r="C1055" i="85"/>
  <c r="C1581" i="85"/>
  <c r="C263" i="85"/>
  <c r="C795" i="85"/>
  <c r="C850" i="85"/>
  <c r="C1583" i="85"/>
  <c r="C1285" i="85"/>
  <c r="C311" i="85"/>
  <c r="C1921" i="85"/>
  <c r="C1991" i="85"/>
  <c r="C923" i="85"/>
  <c r="C1516" i="85"/>
  <c r="C186" i="85"/>
  <c r="C907" i="85"/>
  <c r="C1610" i="85"/>
  <c r="C240" i="85"/>
  <c r="C382" i="85"/>
  <c r="C991" i="85"/>
  <c r="C703" i="85"/>
  <c r="C1825" i="85"/>
  <c r="C1075" i="85"/>
  <c r="C399" i="85"/>
  <c r="C1397" i="85"/>
  <c r="C389" i="85"/>
  <c r="C1261" i="85"/>
  <c r="C1141" i="85"/>
  <c r="C1282" i="85"/>
  <c r="C594" i="85"/>
  <c r="C1220" i="85"/>
  <c r="C1666" i="85"/>
  <c r="C1988" i="85"/>
  <c r="C809" i="85"/>
  <c r="C643" i="85"/>
  <c r="C759" i="85"/>
  <c r="C1724" i="85"/>
  <c r="C779" i="85"/>
  <c r="C625" i="85"/>
  <c r="C822" i="85"/>
  <c r="C1729" i="85"/>
  <c r="C503" i="85"/>
  <c r="C1319" i="85"/>
  <c r="C1622" i="85"/>
  <c r="C913" i="85"/>
  <c r="C1121" i="85"/>
  <c r="C1003" i="85"/>
  <c r="C386" i="85"/>
  <c r="C808" i="85"/>
  <c r="C1298" i="85"/>
  <c r="C1147" i="85"/>
  <c r="C1595" i="85"/>
  <c r="C1845" i="85"/>
  <c r="C1572" i="85"/>
  <c r="C1257" i="85"/>
  <c r="C1964" i="85"/>
  <c r="C438" i="85"/>
  <c r="C284" i="85"/>
  <c r="C750" i="85"/>
  <c r="C596" i="85"/>
  <c r="C1229" i="85"/>
  <c r="C1721" i="85"/>
  <c r="C768" i="85"/>
  <c r="C1820" i="85"/>
  <c r="C508" i="85"/>
  <c r="C1476" i="85"/>
  <c r="C1132" i="85"/>
  <c r="C260" i="85"/>
  <c r="C1358" i="85"/>
  <c r="C1337" i="85"/>
  <c r="C1299" i="85"/>
  <c r="C206" i="85"/>
  <c r="C1965" i="85"/>
  <c r="C620" i="85"/>
  <c r="C1245" i="85"/>
  <c r="C1094" i="85"/>
  <c r="C1565" i="85"/>
  <c r="C246" i="85"/>
  <c r="C1983" i="85"/>
  <c r="C472" i="85"/>
  <c r="C1663" i="85"/>
  <c r="C796" i="85"/>
  <c r="C520" i="85"/>
  <c r="C1317" i="85"/>
  <c r="C1135" i="85"/>
  <c r="C979" i="85"/>
  <c r="C1832" i="85"/>
  <c r="C756" i="85"/>
  <c r="C83" i="85"/>
  <c r="C219" i="85"/>
  <c r="C298" i="85"/>
  <c r="C829" i="85"/>
  <c r="C1891" i="85"/>
  <c r="C378" i="85"/>
  <c r="C1636" i="85"/>
  <c r="C1670" i="85"/>
  <c r="C291" i="85"/>
  <c r="C1138" i="85"/>
  <c r="C285" i="85"/>
  <c r="C545" i="85"/>
  <c r="C693" i="85"/>
  <c r="C831" i="85"/>
  <c r="C1374" i="85"/>
  <c r="C1474" i="85"/>
  <c r="C1021" i="85"/>
  <c r="C409" i="85"/>
  <c r="C281" i="85"/>
  <c r="C1183" i="85"/>
  <c r="C279" i="85"/>
  <c r="C1431" i="85"/>
  <c r="C1862" i="85"/>
  <c r="C828" i="85"/>
  <c r="C1728" i="85"/>
  <c r="C983" i="85"/>
  <c r="C497" i="85"/>
  <c r="C525" i="85"/>
  <c r="C338" i="85"/>
  <c r="C515" i="85"/>
  <c r="C1287" i="85"/>
  <c r="C1937" i="85"/>
  <c r="C1725" i="85"/>
  <c r="C1202" i="85"/>
  <c r="C58" i="85"/>
  <c r="C592" i="85"/>
  <c r="C1562" i="85"/>
  <c r="C1680" i="85"/>
  <c r="C881" i="85"/>
  <c r="C963" i="85"/>
  <c r="C761" i="85"/>
  <c r="C232" i="85"/>
  <c r="C1909" i="85"/>
  <c r="C1990" i="85"/>
  <c r="C935" i="85"/>
  <c r="C1289" i="85"/>
  <c r="C807" i="85"/>
  <c r="C1737" i="85"/>
  <c r="C275" i="85"/>
  <c r="C1625" i="85"/>
  <c r="C626" i="85"/>
  <c r="C1747" i="85"/>
  <c r="C1500" i="85"/>
  <c r="C1296" i="85"/>
  <c r="C1776" i="85"/>
  <c r="C1601" i="85"/>
  <c r="C1425" i="85"/>
  <c r="C1382" i="85"/>
  <c r="C1593" i="85"/>
  <c r="C1556" i="85"/>
  <c r="C300" i="85"/>
  <c r="C169" i="85"/>
  <c r="C493" i="85"/>
  <c r="C1292" i="85"/>
  <c r="C434" i="85"/>
  <c r="C554" i="85"/>
  <c r="C864" i="85"/>
  <c r="C1181" i="85"/>
  <c r="C265" i="85"/>
  <c r="C571" i="85"/>
  <c r="C675" i="85"/>
  <c r="C1232" i="85"/>
  <c r="C312" i="85"/>
  <c r="C716" i="85"/>
  <c r="C1734" i="85"/>
  <c r="C665" i="85"/>
  <c r="C454" i="85"/>
  <c r="C172" i="85"/>
  <c r="C482" i="85"/>
  <c r="C898" i="85"/>
  <c r="C1390" i="85"/>
  <c r="C1631" i="85"/>
  <c r="C825" i="85"/>
  <c r="C654" i="85"/>
  <c r="C363" i="85"/>
  <c r="C823" i="85"/>
  <c r="C1821" i="85"/>
  <c r="C476" i="85"/>
  <c r="C819" i="85"/>
  <c r="C412" i="85"/>
  <c r="C40" i="85"/>
  <c r="C1249" i="85"/>
  <c r="C681" i="85"/>
  <c r="C1527" i="85"/>
  <c r="C1866" i="85"/>
  <c r="C817" i="85"/>
  <c r="C1949" i="85"/>
  <c r="C1585" i="85"/>
  <c r="C788" i="85"/>
  <c r="C851" i="85"/>
  <c r="C1241" i="85"/>
  <c r="C1112" i="85"/>
  <c r="C1665" i="85"/>
  <c r="C259" i="85"/>
  <c r="C598" i="85"/>
  <c r="C1761" i="85"/>
  <c r="C637" i="85"/>
  <c r="C116" i="85"/>
  <c r="C1394" i="85"/>
  <c r="C1924" i="85"/>
  <c r="C404" i="85"/>
  <c r="C537" i="85"/>
  <c r="C1428" i="85"/>
  <c r="C190" i="85"/>
  <c r="C958" i="85"/>
  <c r="C1477" i="85"/>
  <c r="C1791" i="85"/>
  <c r="C552" i="85"/>
  <c r="C337" i="85"/>
  <c r="C799" i="85"/>
  <c r="C595" i="85"/>
  <c r="C932" i="85"/>
  <c r="C470" i="85"/>
  <c r="C1364" i="85"/>
  <c r="C1031" i="85"/>
  <c r="C710" i="85"/>
  <c r="C992" i="85"/>
  <c r="C1200" i="85"/>
  <c r="C447" i="85"/>
  <c r="C1383" i="85"/>
  <c r="C588" i="85"/>
  <c r="C1523" i="85"/>
  <c r="C1446" i="85"/>
  <c r="C1645" i="85"/>
  <c r="C879" i="85"/>
  <c r="C1385" i="85"/>
  <c r="C1259" i="85"/>
  <c r="C697" i="85"/>
  <c r="C1606" i="85"/>
  <c r="C1796" i="85"/>
  <c r="C976" i="85"/>
  <c r="C467" i="85"/>
  <c r="C1529" i="85"/>
  <c r="C1235" i="85"/>
  <c r="C1327" i="85"/>
  <c r="C1040" i="85"/>
  <c r="C249" i="85"/>
  <c r="C980" i="85"/>
  <c r="C1546" i="85"/>
  <c r="C499" i="85"/>
  <c r="C348" i="85"/>
  <c r="C1838" i="85"/>
  <c r="C1805" i="85"/>
  <c r="C1699" i="85"/>
  <c r="C1552" i="85"/>
  <c r="C1668" i="85"/>
  <c r="C968" i="85"/>
  <c r="C673" i="85"/>
  <c r="C1001" i="85"/>
  <c r="C1836" i="85"/>
  <c r="C35" i="85"/>
  <c r="C949" i="85"/>
  <c r="C736" i="85"/>
  <c r="C1629" i="85"/>
  <c r="C1129" i="85"/>
  <c r="C1922" i="85"/>
  <c r="C1437" i="85"/>
  <c r="C741" i="85"/>
  <c r="C1852" i="85"/>
  <c r="C1058" i="85"/>
  <c r="C422" i="85"/>
  <c r="C1192" i="85"/>
  <c r="C1373" i="85"/>
  <c r="C863" i="85"/>
  <c r="C1084" i="85"/>
  <c r="C1718" i="85"/>
  <c r="C1695" i="85"/>
  <c r="C1745" i="85"/>
  <c r="C1566" i="85"/>
  <c r="C301" i="85"/>
  <c r="C1953" i="85"/>
  <c r="C682" i="85"/>
  <c r="C1978" i="85"/>
  <c r="C1168" i="85"/>
  <c r="C989" i="85"/>
  <c r="C1830" i="85"/>
  <c r="C1224" i="85"/>
  <c r="C981" i="85"/>
  <c r="C1690" i="85"/>
  <c r="C1671" i="85"/>
  <c r="C945" i="85"/>
  <c r="C1817" i="85"/>
  <c r="C1265" i="85"/>
  <c r="C880" i="85"/>
  <c r="C1020" i="85"/>
  <c r="C1539" i="85"/>
  <c r="C1081" i="85"/>
  <c r="C296" i="85"/>
  <c r="C268" i="85"/>
  <c r="C1519" i="85"/>
  <c r="C1648" i="85"/>
  <c r="C1452" i="85"/>
  <c r="C668" i="85"/>
  <c r="C1620" i="85"/>
  <c r="C1096" i="85"/>
  <c r="C228" i="85"/>
  <c r="C670" i="85"/>
  <c r="C302" i="85"/>
  <c r="C1542" i="85"/>
  <c r="C1430" i="85"/>
  <c r="C763" i="85"/>
  <c r="C859" i="85"/>
  <c r="C973" i="85"/>
  <c r="C1999" i="85"/>
  <c r="C1759" i="85"/>
  <c r="C1248" i="85"/>
  <c r="C1423" i="85"/>
  <c r="C550" i="85"/>
  <c r="C996" i="85"/>
  <c r="C1708" i="85"/>
  <c r="C1105" i="85"/>
  <c r="C440" i="85"/>
  <c r="C1056" i="85"/>
  <c r="C1731" i="85"/>
  <c r="C211" i="85"/>
  <c r="C1286" i="85"/>
  <c r="C1405" i="85"/>
  <c r="C403" i="85"/>
  <c r="C1057" i="85"/>
  <c r="C1247" i="85"/>
  <c r="C830" i="85"/>
  <c r="C1332" i="85"/>
  <c r="C1848" i="85"/>
  <c r="C1335" i="85"/>
  <c r="C804" i="85"/>
  <c r="C1603" i="85"/>
  <c r="C1756" i="85"/>
  <c r="C287" i="85"/>
  <c r="C852" i="85"/>
  <c r="C1582" i="85"/>
  <c r="C1340" i="85"/>
  <c r="C604" i="85"/>
  <c r="C872" i="85"/>
  <c r="C1432" i="85"/>
  <c r="C1576" i="85"/>
  <c r="C1144" i="85"/>
  <c r="C896" i="85"/>
  <c r="C1942" i="85"/>
  <c r="C1000" i="85"/>
  <c r="C1198" i="85"/>
  <c r="C173" i="85"/>
  <c r="C230" i="85"/>
  <c r="C1833" i="85"/>
  <c r="C67" i="85"/>
  <c r="C1125" i="85"/>
  <c r="C617" i="85"/>
  <c r="C1495" i="85"/>
  <c r="C705" i="85"/>
  <c r="C1489" i="85"/>
  <c r="C1736" i="85"/>
  <c r="C1398" i="85"/>
  <c r="C1413" i="85"/>
  <c r="C1461" i="85"/>
  <c r="C597" i="85"/>
  <c r="C875" i="85"/>
  <c r="C927" i="85"/>
  <c r="C1522" i="85"/>
  <c r="C877" i="85"/>
  <c r="C1783" i="85"/>
  <c r="C379" i="85"/>
  <c r="C335" i="85"/>
  <c r="C1655" i="85"/>
  <c r="C557" i="85"/>
  <c r="C1336" i="85"/>
  <c r="C1436" i="85"/>
  <c r="C811" i="85"/>
  <c r="C459" i="85"/>
  <c r="C244" i="85"/>
  <c r="C342" i="85"/>
  <c r="C1637" i="85"/>
  <c r="C270" i="85"/>
  <c r="C1816" i="85"/>
  <c r="C1230" i="85"/>
  <c r="C181" i="85"/>
  <c r="C1632" i="85"/>
  <c r="C955" i="85"/>
  <c r="C1800" i="85"/>
  <c r="C1880" i="85"/>
  <c r="C1165" i="85"/>
  <c r="C674" i="85"/>
  <c r="C1414" i="85"/>
  <c r="C813" i="85"/>
  <c r="C1587" i="85"/>
  <c r="C536" i="85"/>
  <c r="C1291" i="85"/>
  <c r="C586" i="85"/>
  <c r="C587" i="85"/>
  <c r="C921" i="85"/>
  <c r="C1794" i="85"/>
  <c r="C887" i="85"/>
  <c r="C1175" i="85"/>
  <c r="C1354" i="85"/>
  <c r="C349" i="85"/>
  <c r="C752" i="85"/>
  <c r="C266" i="85"/>
  <c r="C1911" i="85"/>
  <c r="C1326" i="85"/>
  <c r="C1441" i="85"/>
  <c r="C1251" i="85"/>
  <c r="C1917" i="85"/>
  <c r="C1674" i="85"/>
  <c r="C1042" i="85"/>
  <c r="C1305" i="85"/>
  <c r="C1162" i="85"/>
  <c r="C572" i="85"/>
  <c r="C1698" i="85"/>
  <c r="C405" i="85"/>
  <c r="C709" i="85"/>
  <c r="C1766" i="85"/>
  <c r="C120" i="85"/>
  <c r="C867" i="85"/>
  <c r="C701" i="85"/>
  <c r="C42" i="85"/>
  <c r="C1221" i="85"/>
  <c r="C1752" i="85"/>
  <c r="C1311" i="85"/>
  <c r="C1402" i="85"/>
  <c r="C1559" i="85"/>
  <c r="C1303" i="85"/>
  <c r="C911" i="85"/>
  <c r="C565" i="85"/>
  <c r="C1205" i="85"/>
  <c r="C790" i="85"/>
  <c r="C1140" i="85"/>
  <c r="C644" i="85"/>
  <c r="C271" i="85"/>
  <c r="C413" i="85"/>
  <c r="C847" i="85"/>
  <c r="C1975" i="85"/>
  <c r="C895" i="85"/>
  <c r="C1127" i="85"/>
  <c r="C1574" i="85"/>
  <c r="C1813" i="85"/>
  <c r="C258" i="85"/>
  <c r="C1493" i="85"/>
  <c r="C443" i="85"/>
  <c r="C842" i="85"/>
  <c r="C912" i="85"/>
  <c r="C1015" i="85"/>
  <c r="C1494" i="85"/>
  <c r="C294" i="85"/>
  <c r="C962" i="85"/>
  <c r="C1045" i="85"/>
  <c r="C357" i="85"/>
  <c r="C1643" i="85"/>
  <c r="C1150" i="85"/>
  <c r="C1926" i="85"/>
  <c r="C1216" i="85"/>
  <c r="C397" i="85"/>
  <c r="C1517" i="85"/>
  <c r="C1520" i="85"/>
  <c r="C744" i="85"/>
  <c r="C450" i="85"/>
  <c r="C746" i="85"/>
  <c r="C1106" i="85"/>
  <c r="C519" i="85"/>
  <c r="C860" i="85"/>
  <c r="C222" i="85"/>
  <c r="C920" i="85"/>
  <c r="C906" i="85"/>
  <c r="C474" i="85"/>
  <c r="C816" i="85"/>
  <c r="C1905" i="85"/>
  <c r="C838" i="85"/>
  <c r="C1182" i="85"/>
  <c r="C1881" i="85"/>
  <c r="C734" i="85"/>
  <c r="C1971" i="85"/>
  <c r="C849" i="85"/>
  <c r="C584" i="85"/>
  <c r="C576" i="85"/>
  <c r="C833" i="85"/>
  <c r="C1513" i="85"/>
  <c r="C1714" i="85"/>
  <c r="C1375" i="85"/>
  <c r="C1269" i="85"/>
  <c r="C1660" i="85"/>
  <c r="C218" i="85"/>
  <c r="C1466" i="85"/>
  <c r="C1646" i="85"/>
  <c r="C1228" i="85"/>
  <c r="C410" i="85"/>
  <c r="C1054" i="85"/>
  <c r="C1429" i="85"/>
  <c r="C313" i="85"/>
  <c r="C523" i="85"/>
  <c r="C387" i="85"/>
  <c r="C661" i="85"/>
  <c r="C1117" i="85"/>
  <c r="C950" i="85"/>
  <c r="C238" i="85"/>
  <c r="C1580" i="85"/>
  <c r="C1602" i="85"/>
  <c r="C1206" i="85"/>
  <c r="C1943" i="85"/>
  <c r="C688" i="85"/>
  <c r="C582" i="85"/>
  <c r="C1012" i="85"/>
  <c r="C1399" i="85"/>
  <c r="C516" i="85"/>
  <c r="C1016" i="85"/>
  <c r="C1102" i="85"/>
  <c r="C321" i="85"/>
  <c r="C1651" i="85"/>
  <c r="C1982" i="85"/>
  <c r="C1740" i="85"/>
  <c r="C1563" i="85"/>
  <c r="C1996" i="85"/>
  <c r="C428" i="85"/>
  <c r="C1912" i="85"/>
  <c r="C1697" i="85"/>
  <c r="C376" i="85"/>
  <c r="C798" i="85"/>
  <c r="C299" i="85"/>
  <c r="C343" i="85"/>
  <c r="C1726" i="85"/>
  <c r="C1179" i="85"/>
  <c r="C196" i="85"/>
  <c r="C1367" i="85"/>
  <c r="C689" i="85"/>
  <c r="C1472" i="85"/>
  <c r="C1540" i="85"/>
  <c r="C1044" i="85"/>
  <c r="C1584" i="85"/>
  <c r="C882" i="85"/>
  <c r="C1393" i="85"/>
  <c r="C319" i="85"/>
  <c r="C632" i="85"/>
  <c r="C1275" i="85"/>
  <c r="C274" i="85"/>
  <c r="C401" i="85"/>
  <c r="C361" i="85"/>
  <c r="C893" i="85"/>
  <c r="C1758" i="85"/>
  <c r="C1621" i="85"/>
  <c r="C871" i="85"/>
  <c r="C1401" i="85"/>
  <c r="C1882" i="85"/>
  <c r="C685" i="85"/>
  <c r="C641" i="85"/>
  <c r="C1151" i="85"/>
  <c r="C931" i="85"/>
  <c r="C1480" i="85"/>
  <c r="C1717" i="85"/>
  <c r="C1386" i="85"/>
  <c r="C564" i="85"/>
  <c r="C1536" i="85"/>
  <c r="C1005" i="85"/>
  <c r="C1342" i="85"/>
  <c r="C1901" i="85"/>
  <c r="C1352" i="85"/>
  <c r="C933" i="85"/>
  <c r="C1223" i="85"/>
  <c r="C495" i="85"/>
  <c r="C777" i="85"/>
  <c r="C1062" i="85"/>
  <c r="C1506" i="85"/>
  <c r="C1895" i="85"/>
  <c r="C1765" i="85"/>
  <c r="C182" i="85"/>
  <c r="C1741" i="85"/>
  <c r="C718" i="85"/>
  <c r="C498" i="85"/>
  <c r="C1011" i="85"/>
  <c r="C1950" i="85"/>
  <c r="C603" i="85"/>
  <c r="C1097" i="85"/>
  <c r="C1014" i="85"/>
  <c r="C366" i="85"/>
  <c r="C948" i="85"/>
  <c r="C1069" i="85"/>
  <c r="C1870" i="85"/>
  <c r="C942" i="85"/>
  <c r="C359" i="85"/>
  <c r="C1201" i="85"/>
  <c r="C214" i="85"/>
  <c r="C1387" i="85"/>
  <c r="C229" i="85"/>
  <c r="C1598" i="85"/>
  <c r="C1217" i="85"/>
  <c r="C187" i="85"/>
  <c r="C1885" i="85"/>
  <c r="C659" i="85"/>
  <c r="C714" i="85"/>
  <c r="C501" i="85"/>
  <c r="C1890" i="85"/>
  <c r="C1514" i="85"/>
  <c r="C448" i="85"/>
  <c r="C1618" i="85"/>
  <c r="C615" i="85"/>
  <c r="C1237" i="85"/>
  <c r="C250" i="85"/>
  <c r="C1482" i="85"/>
  <c r="C577" i="85"/>
  <c r="C1597" i="85"/>
  <c r="C1839" i="85"/>
  <c r="C902" i="85"/>
  <c r="C1381" i="85"/>
  <c r="C876" i="85"/>
  <c r="C398" i="85"/>
  <c r="C762" i="85"/>
  <c r="C1934" i="85"/>
  <c r="C652" i="85"/>
  <c r="C1575" i="85"/>
  <c r="C1654" i="85"/>
  <c r="C1420" i="85"/>
  <c r="C176" i="85"/>
  <c r="C966" i="85"/>
  <c r="C307" i="85"/>
  <c r="C1681" i="85"/>
  <c r="C1416" i="85"/>
  <c r="C241" i="85"/>
  <c r="C1768" i="85"/>
  <c r="C442" i="85"/>
  <c r="C1114" i="85"/>
  <c r="C1518" i="85"/>
  <c r="C1913" i="85"/>
  <c r="C967" i="85"/>
  <c r="C41" i="85"/>
  <c r="C210" i="85"/>
  <c r="C726" i="85"/>
  <c r="C1339" i="85"/>
  <c r="C926" i="85"/>
  <c r="C1809" i="85"/>
  <c r="C1653" i="85"/>
  <c r="C1515" i="85"/>
  <c r="C1897" i="85"/>
  <c r="C1126" i="85"/>
  <c r="C1225" i="85"/>
  <c r="C1599" i="85"/>
  <c r="C1177" i="85"/>
  <c r="C1915" i="85"/>
  <c r="C1842" i="85"/>
  <c r="C345" i="85"/>
  <c r="C784" i="85"/>
  <c r="C678" i="85"/>
  <c r="C840" i="85"/>
  <c r="C1308" i="85"/>
  <c r="C488" i="85"/>
  <c r="C801" i="85"/>
  <c r="C1640" i="85"/>
  <c r="C316" i="85"/>
  <c r="C1092" i="85"/>
  <c r="C372" i="85"/>
  <c r="C1749" i="85"/>
  <c r="C1161" i="85"/>
  <c r="C334" i="85"/>
  <c r="C1454" i="85"/>
  <c r="C1007" i="85"/>
  <c r="C383" i="85"/>
  <c r="C1657" i="85"/>
  <c r="C858" i="85"/>
  <c r="C1037" i="85"/>
  <c r="C848" i="85"/>
  <c r="C760" i="85"/>
  <c r="C712" i="85"/>
  <c r="C727" i="85"/>
  <c r="C925" i="85"/>
  <c r="C1753" i="85"/>
  <c r="C336" i="85"/>
  <c r="C1754" i="85"/>
  <c r="C421" i="85"/>
  <c r="C1799" i="85"/>
  <c r="C1019" i="85"/>
  <c r="C548" i="85"/>
  <c r="C1051" i="85"/>
  <c r="C1607" i="85"/>
  <c r="C1463" i="85"/>
  <c r="C1893" i="85"/>
  <c r="C1485" i="85"/>
  <c r="C1798" i="85"/>
  <c r="C725" i="85"/>
  <c r="C1760" i="85"/>
  <c r="C984" i="85"/>
  <c r="C360" i="85"/>
  <c r="C733" i="85"/>
  <c r="C567" i="85"/>
  <c r="C648" i="85"/>
  <c r="C1676" i="85"/>
  <c r="C1276" i="85"/>
  <c r="C1705" i="85"/>
  <c r="C1465" i="85"/>
  <c r="C204" i="85"/>
  <c r="C581" i="85"/>
  <c r="C534" i="85"/>
  <c r="C886" i="85"/>
  <c r="C1812" i="85"/>
  <c r="C905" i="85"/>
  <c r="C1064" i="85"/>
  <c r="C1635" i="85"/>
  <c r="C1471" i="85"/>
  <c r="C1960" i="85"/>
  <c r="C806" i="85"/>
  <c r="C1533" i="85"/>
  <c r="C1329" i="85"/>
  <c r="C1443" i="85"/>
  <c r="C1356" i="85"/>
  <c r="C724" i="85"/>
  <c r="C52" i="85"/>
  <c r="C1543" i="85"/>
  <c r="C1047" i="85"/>
  <c r="C1145" i="85"/>
  <c r="C1256" i="85"/>
  <c r="C1159" i="85"/>
  <c r="C1371" i="85"/>
  <c r="C1483" i="85"/>
  <c r="C202" i="85"/>
  <c r="C1456" i="85"/>
  <c r="C427" i="85"/>
  <c r="C1738" i="85"/>
  <c r="C771" i="85"/>
  <c r="C1315" i="85"/>
  <c r="C1941" i="85"/>
  <c r="C700" i="85"/>
  <c r="C220" i="85"/>
  <c r="C1107" i="85"/>
  <c r="C1541" i="85"/>
  <c r="C1700" i="85"/>
  <c r="C304" i="85"/>
  <c r="C1470" i="85"/>
  <c r="C478" i="85"/>
  <c r="C1554" i="85"/>
  <c r="C1634" i="85"/>
  <c r="C1649" i="85"/>
  <c r="C568" i="85"/>
  <c r="C1948" i="85"/>
  <c r="C837" i="85"/>
  <c r="C892" i="85"/>
  <c r="C1892" i="85"/>
  <c r="C855" i="85"/>
  <c r="C1762" i="85"/>
  <c r="C292" i="85"/>
  <c r="C730" i="85"/>
  <c r="C1511" i="85"/>
  <c r="C1857" i="85"/>
  <c r="C1678" i="85"/>
  <c r="C1281" i="85"/>
  <c r="C505" i="85"/>
  <c r="C346" i="85"/>
  <c r="C812" i="85"/>
  <c r="C1841" i="85"/>
  <c r="C177" i="85"/>
  <c r="C853" i="85"/>
  <c r="C787" i="85"/>
  <c r="C293" i="85"/>
  <c r="C1859" i="85"/>
  <c r="C226" i="85"/>
  <c r="C1209" i="85"/>
  <c r="C1696" i="85"/>
  <c r="C1246" i="85"/>
  <c r="C611" i="85"/>
  <c r="C1164" i="85"/>
  <c r="C770" i="85"/>
  <c r="C1719" i="85"/>
  <c r="C1442" i="85"/>
  <c r="C1557" i="85"/>
  <c r="C970" i="85"/>
  <c r="C1571" i="85"/>
  <c r="C1986" i="85"/>
  <c r="C642" i="85"/>
  <c r="C1806" i="85"/>
  <c r="C1623" i="85"/>
  <c r="C1238" i="85"/>
  <c r="C1278" i="85"/>
  <c r="C1227" i="85"/>
  <c r="C1920" i="85"/>
  <c r="C1952" i="85"/>
  <c r="C1417" i="85"/>
  <c r="C347" i="85"/>
  <c r="C521" i="85"/>
  <c r="C314" i="85"/>
  <c r="C1120" i="85"/>
  <c r="C599" i="85"/>
  <c r="C1735" i="85"/>
  <c r="C628" i="85"/>
  <c r="C1419" i="85"/>
  <c r="C1616" i="85"/>
  <c r="C330" i="85"/>
  <c r="C1009" i="85"/>
  <c r="C1872" i="85"/>
  <c r="C1157" i="85"/>
  <c r="C884" i="85"/>
  <c r="C607" i="85"/>
  <c r="C1751" i="85"/>
  <c r="C1110" i="85"/>
  <c r="C247" i="85"/>
  <c r="C757" i="85"/>
  <c r="C33" i="85"/>
  <c r="C1439" i="85"/>
  <c r="C1029" i="85"/>
  <c r="C1059" i="85"/>
  <c r="C276" i="85"/>
  <c r="C1961" i="85"/>
  <c r="C590" i="85"/>
  <c r="C171" i="85"/>
  <c r="C764" i="85"/>
  <c r="C960" i="85"/>
  <c r="C1829" i="85"/>
  <c r="C555" i="85"/>
  <c r="C575" i="85"/>
  <c r="C1214" i="85"/>
  <c r="C1197" i="85"/>
  <c r="C671" i="85"/>
  <c r="C175" i="85"/>
  <c r="C1451" i="85"/>
  <c r="C743" i="85"/>
  <c r="C256" i="85"/>
  <c r="C1945" i="85"/>
  <c r="C1843" i="85"/>
  <c r="C583" i="85"/>
  <c r="C1944" i="85"/>
  <c r="C616" i="85"/>
  <c r="C94" i="85"/>
  <c r="C1130" i="85"/>
  <c r="C593" i="85"/>
  <c r="C1108" i="85"/>
  <c r="C396" i="85"/>
  <c r="C1933" i="85"/>
  <c r="C305" i="85"/>
  <c r="C27" i="85"/>
  <c r="C344" i="85"/>
  <c r="C1004" i="85"/>
  <c r="C747" i="85"/>
  <c r="C1052" i="85"/>
  <c r="C317" i="85"/>
  <c r="C1267" i="85"/>
  <c r="C1384" i="85"/>
  <c r="C1236" i="85"/>
  <c r="C1590" i="85"/>
  <c r="C492" i="85"/>
  <c r="C916" i="85"/>
  <c r="C824" i="85"/>
  <c r="C1255" i="85"/>
  <c r="C1827" i="85"/>
  <c r="C1958" i="85"/>
  <c r="C457" i="85"/>
  <c r="C303" i="85"/>
  <c r="C286" i="85"/>
  <c r="C1521" i="85"/>
  <c r="C224" i="85"/>
  <c r="C622" i="85"/>
  <c r="C504" i="85"/>
  <c r="C585" i="85"/>
  <c r="C517" i="85"/>
  <c r="C1863" i="85"/>
  <c r="C1712" i="85"/>
  <c r="C1478" i="85"/>
  <c r="C676" i="85"/>
  <c r="C480" i="85"/>
  <c r="C1711" i="85"/>
  <c r="C1313" i="85"/>
  <c r="C1918" i="85"/>
  <c r="C188" i="85"/>
  <c r="C1707" i="85"/>
  <c r="C894" i="85"/>
  <c r="C1174" i="85"/>
  <c r="C1169" i="85"/>
  <c r="C791" i="85"/>
  <c r="C483" i="85"/>
  <c r="C1357" i="85"/>
  <c r="C1638" i="85"/>
  <c r="C589" i="85"/>
  <c r="C1277" i="85"/>
  <c r="C1803" i="85"/>
  <c r="C1691" i="85"/>
  <c r="C1706" i="85"/>
  <c r="C1770" i="85"/>
  <c r="C189" i="85"/>
  <c r="C502" i="85"/>
  <c r="C1938" i="85"/>
  <c r="C375" i="85"/>
  <c r="C1510" i="85"/>
  <c r="C1208" i="85"/>
  <c r="C308" i="85"/>
  <c r="C1400" i="85"/>
  <c r="C1591" i="85"/>
  <c r="C1348" i="85"/>
  <c r="C1180" i="85"/>
  <c r="C1158" i="85"/>
  <c r="C1406" i="85"/>
  <c r="C29" i="85"/>
  <c r="C780" i="85"/>
  <c r="C901" i="85"/>
  <c r="C547" i="85"/>
  <c r="C687" i="85"/>
  <c r="C1134" i="85"/>
  <c r="C385" i="85"/>
  <c r="C1143" i="85"/>
  <c r="C1101" i="85"/>
  <c r="C1868" i="85"/>
  <c r="C1976" i="85"/>
  <c r="C1023" i="85"/>
  <c r="C1467" i="85"/>
  <c r="C1538" i="85"/>
  <c r="C619" i="85"/>
  <c r="C1846" i="85"/>
  <c r="C514" i="85"/>
  <c r="C1834" i="85"/>
  <c r="C946" i="85"/>
  <c r="C1544" i="85"/>
  <c r="C1038" i="85"/>
  <c r="C1372" i="85"/>
  <c r="C749" i="85"/>
  <c r="C28" i="85"/>
  <c r="C953" i="85"/>
  <c r="C549" i="85"/>
  <c r="C941" i="85"/>
  <c r="C839" i="85"/>
  <c r="C1376" i="85"/>
  <c r="C199" i="85"/>
  <c r="C1811" i="85"/>
  <c r="C1524" i="85"/>
  <c r="C558" i="85"/>
  <c r="C1600" i="85"/>
  <c r="C729" i="85"/>
  <c r="C559" i="85"/>
  <c r="C1898" i="85"/>
  <c r="C748" i="85"/>
  <c r="C800" i="85"/>
  <c r="C655" i="85"/>
  <c r="C225" i="85"/>
  <c r="C1122" i="85"/>
  <c r="C997" i="85"/>
  <c r="C430" i="85"/>
  <c r="C1871" i="85"/>
  <c r="C834" i="85"/>
  <c r="C722" i="85"/>
  <c r="C965" i="85"/>
  <c r="C612" i="85"/>
  <c r="C417" i="85"/>
  <c r="C943" i="85"/>
  <c r="C124" i="85"/>
  <c r="C1769" i="85"/>
  <c r="C1199" i="85"/>
  <c r="C1611" i="85"/>
  <c r="C461" i="85"/>
  <c r="C1404" i="85"/>
  <c r="C1039" i="85"/>
  <c r="C845" i="85"/>
  <c r="C184" i="85"/>
  <c r="C436" i="85"/>
  <c r="C865" i="85"/>
  <c r="C415" i="85"/>
  <c r="C1469" i="85"/>
  <c r="C1139" i="85"/>
  <c r="C416" i="85"/>
  <c r="C1226" i="85"/>
  <c r="C254" i="85"/>
  <c r="C732" i="85"/>
  <c r="C273" i="85"/>
  <c r="C511" i="85"/>
  <c r="C1118" i="85"/>
  <c r="C1034" i="85"/>
  <c r="C874" i="85"/>
  <c r="C1801" i="85"/>
  <c r="C691" i="85"/>
  <c r="C1115" i="85"/>
  <c r="C574" i="85"/>
  <c r="C1240" i="85"/>
  <c r="C1347" i="85"/>
  <c r="C1884" i="85"/>
  <c r="C239" i="85"/>
  <c r="C1273" i="85"/>
  <c r="C530" i="85"/>
  <c r="C540" i="85"/>
  <c r="C1462" i="85"/>
  <c r="C556" i="85"/>
  <c r="C1346" i="85"/>
  <c r="C1149" i="85"/>
  <c r="C1558" i="85"/>
  <c r="C1993" i="85"/>
  <c r="C656" i="85"/>
  <c r="C1073" i="85"/>
  <c r="C1422" i="85"/>
  <c r="C1231" i="85"/>
  <c r="C1578" i="85"/>
  <c r="C677" i="85"/>
  <c r="C437" i="85"/>
  <c r="C1656" i="85"/>
  <c r="C213" i="85"/>
  <c r="C737" i="85"/>
  <c r="C569" i="85"/>
  <c r="C248" i="85"/>
  <c r="C1930" i="85"/>
  <c r="C1028" i="85"/>
  <c r="C251" i="85"/>
  <c r="C377" i="85"/>
  <c r="C391" i="85"/>
  <c r="C1013" i="85"/>
  <c r="C1788" i="85"/>
  <c r="C1036" i="85"/>
  <c r="C1314" i="85"/>
  <c r="C1586" i="85"/>
  <c r="C672" i="85"/>
  <c r="C1509" i="85"/>
  <c r="C639" i="85"/>
  <c r="C667" i="85"/>
  <c r="C1767" i="85"/>
  <c r="C1537" i="85"/>
  <c r="C1133" i="85"/>
  <c r="C2000" i="85"/>
  <c r="C217" i="85"/>
  <c r="C368" i="85"/>
  <c r="C1293" i="85"/>
  <c r="C954" i="85"/>
  <c r="C723" i="85"/>
  <c r="C1185" i="85"/>
  <c r="C411" i="85"/>
  <c r="C1743" i="85"/>
  <c r="C424" i="85"/>
  <c r="C323" i="85"/>
  <c r="C1155" i="85"/>
  <c r="C1263" i="85"/>
  <c r="C1468" i="85"/>
  <c r="C775" i="85"/>
  <c r="C544" i="85"/>
  <c r="C435" i="85"/>
  <c r="C629" i="85"/>
  <c r="C1409" i="85"/>
  <c r="C563" i="85"/>
  <c r="C351" i="85"/>
  <c r="C753" i="85"/>
  <c r="C1297" i="85"/>
  <c r="C1002" i="85"/>
  <c r="C458" i="85"/>
  <c r="C1723" i="85"/>
  <c r="C1886" i="85"/>
  <c r="C1908" i="85"/>
  <c r="C939" i="85"/>
  <c r="C352" i="85"/>
  <c r="C826" i="85"/>
  <c r="C1048" i="85"/>
  <c r="C1876" i="85"/>
  <c r="C1847" i="85"/>
  <c r="C1083" i="85"/>
  <c r="C1350" i="85"/>
  <c r="C47" i="85"/>
  <c r="C657" i="85"/>
  <c r="C541" i="85"/>
  <c r="C1272" i="85"/>
  <c r="C699" i="85"/>
  <c r="C86" i="85"/>
  <c r="C1066" i="85"/>
  <c r="C1156" i="85"/>
  <c r="C1239" i="85"/>
  <c r="C1792" i="85"/>
  <c r="C680" i="85"/>
  <c r="C739" i="85"/>
  <c r="C510" i="85"/>
  <c r="C500" i="85"/>
  <c r="C1896" i="85"/>
  <c r="C786" i="85"/>
  <c r="C1959" i="85"/>
  <c r="C1123" i="85"/>
  <c r="C1424" i="85"/>
  <c r="C720" i="85"/>
  <c r="C1176" i="85"/>
  <c r="C1455" i="85"/>
  <c r="C974" i="85"/>
  <c r="C477" i="85"/>
  <c r="C1672" i="85"/>
  <c r="C900" i="85"/>
  <c r="C1060" i="85"/>
  <c r="C1732" i="85"/>
  <c r="C452" i="85"/>
  <c r="C1218" i="85"/>
  <c r="C535" i="85"/>
  <c r="C1703" i="85"/>
  <c r="C1049" i="85"/>
  <c r="C978" i="85"/>
  <c r="C1781" i="85"/>
  <c r="C600" i="85"/>
  <c r="C609" i="85"/>
  <c r="C1111" i="85"/>
  <c r="C1172" i="85"/>
  <c r="C1619" i="85"/>
  <c r="C645" i="85"/>
  <c r="C810" i="85"/>
  <c r="C91" i="85"/>
  <c r="C419" i="85"/>
  <c r="C227" i="85"/>
  <c r="C543" i="85"/>
  <c r="C1701" i="85"/>
  <c r="C608" i="85"/>
  <c r="C1264" i="85"/>
  <c r="C772" i="85"/>
  <c r="C1487" i="85"/>
  <c r="C1288" i="85"/>
  <c r="C618" i="85"/>
  <c r="C1243" i="85"/>
  <c r="C684" i="85"/>
  <c r="C1070" i="85"/>
  <c r="C1716" i="85"/>
  <c r="C453" i="85"/>
  <c r="C192" i="85"/>
  <c r="C1219" i="85"/>
  <c r="C1694" i="85"/>
  <c r="C1365" i="85"/>
  <c r="C982" i="85"/>
  <c r="C262" i="85"/>
  <c r="C814" i="85"/>
  <c r="C1615" i="85"/>
  <c r="C1900" i="85"/>
  <c r="C1722" i="85"/>
  <c r="C331" i="85"/>
  <c r="C546" i="85"/>
  <c r="C707" i="85"/>
  <c r="C1234" i="85"/>
  <c r="C1017" i="85"/>
  <c r="C969" i="85"/>
  <c r="C1167" i="85"/>
  <c r="C1970" i="85"/>
  <c r="C1210" i="85"/>
  <c r="C1103" i="85"/>
  <c r="C890" i="85"/>
  <c r="C255" i="85"/>
  <c r="C1807" i="85"/>
  <c r="C1641" i="85"/>
  <c r="C1547" i="85"/>
  <c r="C1962" i="85"/>
  <c r="C715" i="85"/>
  <c r="C702" i="85"/>
  <c r="C322" i="85"/>
  <c r="C1270" i="85"/>
  <c r="C353" i="85"/>
  <c r="C371" i="85"/>
  <c r="C1936" i="85"/>
  <c r="C1345" i="85"/>
  <c r="C1445" i="85"/>
  <c r="C1050" i="85"/>
  <c r="C1078" i="85"/>
  <c r="C1389" i="85"/>
  <c r="C215" i="85"/>
  <c r="C765" i="85"/>
  <c r="C1757" i="85"/>
  <c r="C1561" i="85"/>
  <c r="C827" i="85"/>
  <c r="C1709" i="85"/>
  <c r="C451" i="85"/>
  <c r="C526" i="85"/>
  <c r="C1309" i="85"/>
  <c r="C1408" i="85"/>
  <c r="C1074" i="85"/>
  <c r="C631" i="85"/>
  <c r="C1473" i="85"/>
  <c r="C1262" i="85"/>
  <c r="C445" i="85"/>
  <c r="C614" i="85"/>
  <c r="C221" i="85"/>
  <c r="C1693" i="85"/>
  <c r="C1787" i="85"/>
  <c r="C836" i="85"/>
  <c r="C1532" i="85"/>
  <c r="C1316" i="85"/>
  <c r="C650" i="85"/>
  <c r="C1903" i="85"/>
  <c r="C692" i="85"/>
  <c r="C1835" i="85"/>
  <c r="C1279" i="85"/>
  <c r="C698" i="85"/>
  <c r="C1588" i="85"/>
  <c r="C917" i="85"/>
  <c r="C84" i="85"/>
  <c r="C1324" i="85"/>
  <c r="C315" i="85"/>
  <c r="C529" i="85"/>
  <c r="C462" i="85"/>
  <c r="C374" i="85"/>
  <c r="C509" i="85"/>
  <c r="C1211" i="85"/>
  <c r="C431" i="85"/>
  <c r="C1624" i="85"/>
  <c r="C742" i="85"/>
  <c r="C264" i="85"/>
  <c r="C1844" i="85"/>
  <c r="C580" i="85"/>
  <c r="C1032" i="85"/>
  <c r="C854" i="85"/>
  <c r="C1855" i="85"/>
  <c r="C1865" i="85"/>
  <c r="C1331" i="85"/>
  <c r="C878" i="85"/>
  <c r="C908" i="85"/>
  <c r="C1449" i="85"/>
  <c r="C1090" i="85"/>
  <c r="C731" i="85"/>
  <c r="C1464" i="85"/>
  <c r="C721" i="85"/>
  <c r="C1018" i="85"/>
  <c r="C820" i="85"/>
  <c r="C533" i="85"/>
  <c r="C1268" i="85"/>
  <c r="C267" i="85"/>
  <c r="C1659" i="85"/>
  <c r="C1260" i="85"/>
  <c r="C1266" i="85"/>
  <c r="C1488" i="85"/>
  <c r="C1244" i="85"/>
  <c r="C553" i="85"/>
  <c r="C1650" i="85"/>
  <c r="C1907" i="85"/>
  <c r="C640" i="85"/>
  <c r="C243" i="85"/>
  <c r="C924" i="85"/>
  <c r="C1856" i="85"/>
  <c r="C1322" i="85"/>
  <c r="C1193" i="85"/>
  <c r="C365" i="85"/>
  <c r="C919" i="85"/>
  <c r="C1773" i="85"/>
  <c r="C846" i="85"/>
  <c r="C1919" i="85"/>
  <c r="C1683" i="85"/>
  <c r="C952" i="85"/>
  <c r="C1642" i="85"/>
  <c r="C1925" i="85"/>
  <c r="C653" i="85"/>
  <c r="C406" i="85"/>
  <c r="C490" i="85"/>
  <c r="C1025" i="85"/>
  <c r="C843" i="85"/>
  <c r="C1170" i="85"/>
  <c r="C914" i="85"/>
  <c r="C1771" i="85"/>
  <c r="C1435" i="85"/>
  <c r="C1793" i="85"/>
  <c r="C485" i="85"/>
  <c r="C579" i="85"/>
  <c r="C1899" i="85"/>
  <c r="C1568" i="85"/>
  <c r="C253" i="85"/>
  <c r="C1875" i="85"/>
  <c r="C463" i="85"/>
  <c r="C1067" i="85"/>
  <c r="C899" i="85"/>
  <c r="C1187" i="85"/>
  <c r="C1072" i="85"/>
  <c r="C1043" i="85"/>
  <c r="C1082" i="85"/>
  <c r="C468" i="85"/>
  <c r="C1022" i="85"/>
  <c r="C1720" i="85"/>
  <c r="C118" i="85"/>
  <c r="C573" i="85"/>
  <c r="C1191" i="85"/>
  <c r="C325" i="85"/>
  <c r="C1306" i="85"/>
  <c r="C1772" i="85"/>
  <c r="C1639" i="85"/>
  <c r="C728" i="85"/>
  <c r="C835" i="85"/>
  <c r="C904" i="85"/>
  <c r="C1775" i="85"/>
  <c r="C1577" i="85"/>
  <c r="C1153" i="85"/>
  <c r="C339" i="85"/>
  <c r="C1233" i="85"/>
  <c r="C429" i="85"/>
  <c r="C272" i="85"/>
  <c r="C1647" i="85"/>
  <c r="C1163" i="85"/>
  <c r="C1035" i="85"/>
  <c r="C1786" i="85"/>
  <c r="C1304" i="85"/>
  <c r="C1355" i="85"/>
  <c r="C1867" i="85"/>
  <c r="C356" i="85"/>
  <c r="C481" i="85"/>
  <c r="C977" i="85"/>
  <c r="C713" i="85"/>
  <c r="C832" i="85"/>
  <c r="C1673" i="85"/>
  <c r="C1763" i="85"/>
  <c r="C1675" i="85"/>
  <c r="C936" i="85"/>
  <c r="C745" i="85"/>
  <c r="C277" i="85"/>
  <c r="C1627" i="85"/>
  <c r="C1294" i="85"/>
  <c r="C1242" i="85"/>
  <c r="C283" i="85"/>
  <c r="C1321" i="85"/>
  <c r="C1395" i="85"/>
  <c r="C209" i="85"/>
  <c r="C53" i="85"/>
  <c r="C1403" i="85"/>
  <c r="C1505" i="85"/>
  <c r="C207" i="85"/>
  <c r="C170" i="85"/>
  <c r="C930" i="85"/>
  <c r="C512" i="85"/>
  <c r="C938" i="85"/>
  <c r="C990" i="85"/>
  <c r="C1136" i="85"/>
  <c r="C1874" i="85"/>
  <c r="C758" i="85"/>
  <c r="C1041" i="85"/>
  <c r="C1914" i="85"/>
  <c r="C1548" i="85"/>
  <c r="C613" i="85"/>
  <c r="C957" i="85"/>
  <c r="C947" i="85"/>
  <c r="C1604" i="85"/>
  <c r="C1626" i="85"/>
  <c r="C1549" i="85"/>
  <c r="C1689" i="85"/>
  <c r="C956" i="85"/>
  <c r="C278" i="85"/>
  <c r="C326" i="85"/>
  <c r="C340" i="85"/>
  <c r="C624" i="85"/>
  <c r="C633" i="85"/>
  <c r="C1860" i="85"/>
  <c r="C1977" i="85"/>
  <c r="C1609" i="85"/>
  <c r="C128" i="85"/>
  <c r="C358" i="85"/>
  <c r="C1088" i="85"/>
  <c r="C489" i="85"/>
  <c r="C964" i="85"/>
  <c r="C439" i="85"/>
  <c r="C1323" i="85"/>
  <c r="C1974" i="85"/>
  <c r="C1927" i="85"/>
  <c r="C1459" i="85"/>
  <c r="C774" i="85"/>
  <c r="C1274" i="85"/>
  <c r="C1789" i="85"/>
  <c r="C1555" i="85"/>
  <c r="C1560" i="85"/>
  <c r="C195" i="85"/>
  <c r="C1684" i="85"/>
  <c r="C513" i="85"/>
  <c r="C456" i="85"/>
  <c r="C1391" i="85"/>
  <c r="C1341" i="85"/>
  <c r="C669" i="85"/>
  <c r="C903" i="85"/>
  <c r="C394" i="85"/>
  <c r="C1613" i="85"/>
  <c r="C367" i="85"/>
  <c r="C1046" i="85"/>
  <c r="C183" i="85"/>
  <c r="C1727" i="85"/>
  <c r="C1605" i="85"/>
  <c r="C524" i="85"/>
  <c r="C1444" i="85"/>
  <c r="C1931" i="85"/>
  <c r="C168" i="85"/>
  <c r="C1778" i="85"/>
  <c r="C212" i="85"/>
  <c r="C1984" i="85"/>
  <c r="C1877" i="85"/>
  <c r="C708" i="85"/>
  <c r="C280" i="85"/>
  <c r="C1512" i="85"/>
  <c r="C1928" i="85"/>
  <c r="C1808" i="85"/>
  <c r="C1504" i="85"/>
  <c r="C1195" i="85"/>
  <c r="C792" i="85"/>
  <c r="C841" i="85"/>
  <c r="C1284" i="85"/>
  <c r="C369" i="85"/>
  <c r="C658" i="85"/>
  <c r="C1573" i="85"/>
  <c r="C1596" i="85"/>
  <c r="C785" i="85"/>
  <c r="C469" i="85"/>
  <c r="C484" i="85"/>
  <c r="C1688" i="85"/>
  <c r="C491" i="85"/>
  <c r="C1652" i="85"/>
  <c r="C862" i="85"/>
  <c r="C635" i="85"/>
  <c r="C1534" i="85"/>
  <c r="C1987" i="85"/>
  <c r="C1702" i="85"/>
  <c r="C233" i="85"/>
  <c r="C560" i="85"/>
  <c r="C679" i="85"/>
  <c r="C1873" i="85"/>
  <c r="C1026" i="85"/>
  <c r="C242" i="85"/>
  <c r="C959" i="85"/>
  <c r="C426" i="85"/>
  <c r="C69" i="85"/>
  <c r="C414" i="85"/>
  <c r="C290" i="85"/>
  <c r="C793" i="85"/>
  <c r="C1790" i="85"/>
  <c r="C883" i="85"/>
  <c r="C566" i="85"/>
  <c r="C1755" i="85"/>
  <c r="C1119" i="85"/>
  <c r="C794" i="85"/>
  <c r="C1661" i="85"/>
  <c r="C649" i="85"/>
  <c r="C449" i="85"/>
  <c r="C1822" i="85"/>
  <c r="C1100" i="85"/>
  <c r="C1687" i="85"/>
  <c r="C1507" i="85"/>
  <c r="C1989" i="85"/>
  <c r="C193" i="85"/>
  <c r="C1065" i="85"/>
  <c r="C1447" i="85"/>
  <c r="C1438" i="85"/>
  <c r="C1068" i="85"/>
  <c r="C918" i="85"/>
  <c r="C1280" i="85"/>
  <c r="C1325" i="85"/>
  <c r="C1526" i="85"/>
  <c r="C269" i="85"/>
  <c r="C1497" i="85"/>
  <c r="C578" i="85"/>
  <c r="C570" i="85"/>
  <c r="C1579" i="85"/>
  <c r="C818" i="85"/>
  <c r="C191" i="85"/>
  <c r="C1418" i="85"/>
  <c r="C602" i="85"/>
  <c r="C1080" i="85"/>
  <c r="C755" i="85"/>
  <c r="C1499" i="85"/>
  <c r="C735" i="85"/>
  <c r="C1824" i="85"/>
  <c r="C408" i="85"/>
  <c r="C606" i="85"/>
  <c r="C1782" i="85"/>
  <c r="C664" i="85"/>
  <c r="C1378" i="85"/>
  <c r="C1748" i="85"/>
  <c r="C1589" i="85"/>
  <c r="C922" i="85"/>
  <c r="C1939" i="85"/>
  <c r="C531" i="85"/>
  <c r="C663" i="85"/>
  <c r="C54" i="85"/>
  <c r="C1361" i="85"/>
  <c r="C85" i="85"/>
  <c r="C1396" i="85"/>
  <c r="C1142" i="85"/>
  <c r="C1869" i="85"/>
  <c r="C1614" i="85"/>
  <c r="C1686" i="85"/>
  <c r="C621" i="85"/>
  <c r="C1113" i="85"/>
  <c r="C993" i="85"/>
  <c r="C1008" i="85"/>
  <c r="C1207" i="85"/>
  <c r="C1302" i="85"/>
  <c r="C1053" i="85"/>
  <c r="C1253" i="85"/>
  <c r="C418" i="85"/>
  <c r="C1380" i="85"/>
  <c r="C1490" i="85"/>
  <c r="C354" i="85"/>
  <c r="C1713" i="85"/>
  <c r="C174" i="85"/>
  <c r="C1995" i="85"/>
  <c r="C1186" i="85"/>
  <c r="C1369" i="85"/>
  <c r="C986" i="85"/>
  <c r="C1479" i="85"/>
  <c r="C1492" i="85"/>
  <c r="C1998" i="85"/>
  <c r="C1916" i="85"/>
  <c r="C1878" i="85"/>
  <c r="C257" i="85"/>
  <c r="C1592" i="85"/>
  <c r="C1212" i="85"/>
  <c r="C539" i="85"/>
  <c r="C870" i="85"/>
  <c r="C1258" i="85"/>
  <c r="C1968" i="85"/>
  <c r="C1453" i="85"/>
  <c r="C1667" i="85"/>
  <c r="C1450" i="85"/>
  <c r="C1567" i="85"/>
  <c r="C208" i="85"/>
  <c r="C179" i="85"/>
  <c r="C1283" i="85"/>
  <c r="C805" i="85"/>
  <c r="C1973" i="85"/>
  <c r="C1379" i="85"/>
  <c r="C1508" i="85"/>
  <c r="C234" i="85"/>
  <c r="C998" i="85"/>
  <c r="C766" i="85"/>
  <c r="C783" i="85"/>
  <c r="C1434" i="85"/>
  <c r="C934" i="85"/>
  <c r="C1415" i="85"/>
  <c r="C216" i="85"/>
  <c r="C1733" i="85"/>
  <c r="C1189" i="85"/>
  <c r="C971" i="85"/>
  <c r="C1222" i="85"/>
  <c r="C122" i="85"/>
  <c r="C683" i="85"/>
  <c r="C329" i="85"/>
  <c r="C1010" i="85"/>
  <c r="C1484" i="85"/>
  <c r="C1086" i="85"/>
  <c r="C441" i="85"/>
  <c r="C487" i="85"/>
  <c r="C185" i="85"/>
  <c r="C328" i="85"/>
  <c r="C392" i="85"/>
  <c r="C1310" i="85"/>
  <c r="C407" i="85"/>
  <c r="C873" i="85"/>
  <c r="C1427" i="85"/>
  <c r="C1894" i="85"/>
  <c r="C1819" i="85"/>
  <c r="C1061" i="85"/>
  <c r="C288" i="85"/>
  <c r="C869" i="85"/>
  <c r="C350" i="85"/>
  <c r="C1203" i="85"/>
  <c r="C636" i="85"/>
  <c r="C610" i="85"/>
  <c r="C466" i="85"/>
  <c r="C1154" i="85"/>
  <c r="C1904" i="85"/>
  <c r="C1692" i="85"/>
  <c r="C381" i="85"/>
  <c r="C1940" i="85"/>
  <c r="C1344" i="85"/>
  <c r="C1530" i="85"/>
  <c r="C1104" i="85"/>
  <c r="C1460" i="85"/>
  <c r="C1213" i="85"/>
  <c r="C605" i="85"/>
  <c r="C866" i="85"/>
  <c r="C1301" i="85"/>
  <c r="C205" i="85"/>
  <c r="C126" i="85"/>
  <c r="C80" i="85"/>
  <c r="C1421" i="85"/>
  <c r="C542" i="85"/>
  <c r="C937" i="85"/>
  <c r="C1360" i="85"/>
  <c r="C1116" i="85"/>
  <c r="C245" i="85"/>
  <c r="C719" i="85"/>
  <c r="C1929" i="85"/>
  <c r="C910" i="85"/>
  <c r="C1148" i="85"/>
  <c r="C1290" i="85"/>
  <c r="C1178" i="85"/>
  <c r="C929" i="85"/>
  <c r="C928" i="85"/>
  <c r="C310" i="85"/>
  <c r="C885" i="85"/>
  <c r="C1746" i="85"/>
  <c r="C1889" i="85"/>
  <c r="C1888" i="85"/>
  <c r="C1966" i="85"/>
  <c r="C1564" i="85"/>
  <c r="C1570" i="85"/>
  <c r="C1630" i="85"/>
  <c r="C1779" i="85"/>
  <c r="C1330" i="85"/>
  <c r="C1525" i="85"/>
  <c r="C1764" i="85"/>
  <c r="C994" i="85"/>
  <c r="C1955" i="85"/>
  <c r="C370" i="85"/>
  <c r="C1098" i="85"/>
  <c r="C1633" i="85"/>
  <c r="C601" i="85"/>
  <c r="C1481" i="85"/>
  <c r="C1954" i="85"/>
  <c r="C1679" i="85"/>
  <c r="C797" i="85"/>
  <c r="C891" i="85"/>
  <c r="C1363" i="85"/>
  <c r="C393" i="85"/>
  <c r="C1093" i="85"/>
  <c r="C754" i="85"/>
  <c r="C1947" i="85"/>
  <c r="C1318" i="85"/>
  <c r="C388" i="85"/>
  <c r="C694" i="85"/>
  <c r="C81" i="85"/>
  <c r="C1780" i="85"/>
  <c r="C223" i="85"/>
  <c r="C1343" i="85"/>
  <c r="C1173" i="85"/>
  <c r="C1837" i="85"/>
  <c r="C506" i="85"/>
  <c r="C802" i="85"/>
  <c r="C1388" i="85"/>
  <c r="C803" i="85"/>
  <c r="C666" i="85"/>
  <c r="C200" i="85"/>
  <c r="C1392" i="85"/>
  <c r="C944" i="85"/>
  <c r="C1006" i="85"/>
  <c r="C1486" i="85"/>
  <c r="C333" i="85"/>
  <c r="C494" i="85"/>
  <c r="C306" i="85"/>
  <c r="C1359" i="85"/>
  <c r="C496" i="85"/>
  <c r="C1804" i="85"/>
  <c r="C1956" i="85"/>
  <c r="C1849" i="85"/>
  <c r="C373" i="85"/>
  <c r="C425" i="85"/>
  <c r="C341" i="85"/>
  <c r="C1501" i="85"/>
  <c r="C695" i="85"/>
  <c r="C888" i="85"/>
  <c r="C909" i="85"/>
  <c r="C868" i="85"/>
  <c r="C767" i="85"/>
  <c r="C961" i="85"/>
  <c r="C471" i="85"/>
  <c r="C1312" i="85"/>
  <c r="C1664" i="85"/>
  <c r="C1935" i="85"/>
  <c r="C1334" i="85"/>
  <c r="C1750" i="85"/>
  <c r="C975" i="85"/>
  <c r="C380" i="85"/>
  <c r="C690" i="85"/>
  <c r="C1704" i="85"/>
  <c r="C647" i="85"/>
  <c r="C561" i="85"/>
  <c r="C1980" i="85"/>
  <c r="C384" i="85"/>
  <c r="C261" i="85"/>
  <c r="C662" i="85"/>
  <c r="C433" i="85"/>
  <c r="C1957" i="85"/>
  <c r="C1063" i="85"/>
  <c r="C237" i="85"/>
  <c r="C1963" i="85"/>
  <c r="C686" i="85"/>
  <c r="C1818" i="85"/>
  <c r="C1682" i="85"/>
  <c r="C1271" i="85"/>
  <c r="C1594" i="85"/>
  <c r="C1662" i="85"/>
  <c r="C999" i="85"/>
  <c r="C1814" i="85"/>
  <c r="C432" i="85"/>
  <c r="C203" i="85"/>
  <c r="C1071" i="85"/>
  <c r="C178" i="85"/>
  <c r="C1295" i="85"/>
  <c r="C1551" i="85"/>
  <c r="C897" i="85"/>
  <c r="C518" i="85"/>
  <c r="C995" i="85"/>
  <c r="C59" i="85"/>
  <c r="C711" i="85"/>
  <c r="C1910" i="85"/>
  <c r="C940" i="85"/>
  <c r="C1969" i="85"/>
  <c r="C444" i="85"/>
  <c r="C1883" i="85"/>
  <c r="C1535" i="85"/>
  <c r="C1030" i="85"/>
  <c r="C1109" i="85"/>
  <c r="C1932" i="85"/>
  <c r="C1491" i="85"/>
  <c r="C1085" i="85"/>
  <c r="C1503" i="85"/>
  <c r="C475" i="85"/>
  <c r="C778" i="85"/>
  <c r="C1887" i="85"/>
  <c r="C64" i="85"/>
  <c r="C1407" i="85"/>
  <c r="C1160" i="85"/>
  <c r="C201" i="85"/>
  <c r="C1810" i="85"/>
  <c r="C1826" i="85"/>
  <c r="C1496" i="85"/>
  <c r="C1300" i="85"/>
  <c r="C985" i="85"/>
  <c r="C34" i="85"/>
  <c r="C390" i="85"/>
  <c r="C769" i="85"/>
  <c r="C1528" i="85"/>
  <c r="C1089" i="85"/>
  <c r="C1457" i="85"/>
  <c r="C773" i="85"/>
  <c r="C1545" i="85"/>
  <c r="C861" i="85"/>
  <c r="C252" i="85"/>
  <c r="C1553" i="85"/>
  <c r="C1458" i="85"/>
  <c r="C1498" i="85"/>
  <c r="C776" i="85"/>
  <c r="C1979" i="85"/>
  <c r="C1252" i="85"/>
  <c r="C231" i="85"/>
  <c r="C446" i="85"/>
  <c r="C486" i="85"/>
  <c r="C1823" i="85"/>
  <c r="C1076" i="85"/>
  <c r="C1338" i="85"/>
  <c r="C1710" i="85"/>
  <c r="C1362" i="85"/>
  <c r="C1985" i="85"/>
  <c r="C1831" i="85"/>
  <c r="C1194" i="85"/>
  <c r="C1128" i="85"/>
  <c r="C1972" i="85"/>
  <c r="C1502" i="85"/>
  <c r="C1152" i="85"/>
  <c r="C1967" i="85"/>
  <c r="C1864" i="85"/>
  <c r="C1087" i="85"/>
  <c r="C1320" i="85"/>
  <c r="C1858" i="85"/>
  <c r="C1307" i="85"/>
  <c r="C1166" i="85"/>
  <c r="C1951" i="85"/>
  <c r="C1411" i="85"/>
  <c r="C1024" i="85"/>
  <c r="C197" i="85"/>
  <c r="C706" i="85"/>
  <c r="C235" i="85"/>
  <c r="C423" i="85"/>
  <c r="C194" i="85"/>
  <c r="C1124" i="85"/>
  <c r="C1685" i="85"/>
  <c r="C1739" i="85"/>
  <c r="C507" i="85"/>
  <c r="C1137" i="85"/>
  <c r="C740" i="85"/>
  <c r="C660" i="85"/>
  <c r="C821" i="85"/>
  <c r="C1730" i="85"/>
  <c r="C395" i="85"/>
  <c r="C1981" i="85"/>
  <c r="C1853" i="85"/>
  <c r="C634" i="85"/>
  <c r="C1328" i="85"/>
  <c r="C1612" i="85"/>
  <c r="C1644" i="85"/>
  <c r="C364" i="85"/>
  <c r="C198" i="85"/>
  <c r="C1377" i="85"/>
  <c r="C332" i="85"/>
  <c r="C1531" i="85"/>
  <c r="C1204" i="85"/>
  <c r="C651" i="85"/>
  <c r="F1" i="71"/>
  <c r="F2" i="71"/>
  <c r="D41" i="71"/>
  <c r="D42" i="71"/>
  <c r="D43" i="71"/>
  <c r="D44" i="71"/>
  <c r="D45" i="71"/>
  <c r="D46" i="71"/>
  <c r="D47" i="71"/>
  <c r="D48" i="71"/>
  <c r="D49" i="71"/>
  <c r="D50" i="71"/>
  <c r="D51" i="71"/>
  <c r="D52" i="71"/>
  <c r="D53" i="71"/>
  <c r="D54" i="71"/>
  <c r="D55" i="71"/>
  <c r="P6" i="49"/>
  <c r="Q6" i="49"/>
  <c r="P7" i="49"/>
  <c r="Q7" i="49"/>
  <c r="P8" i="49"/>
  <c r="Q8" i="49"/>
  <c r="P13" i="49"/>
  <c r="Q13" i="49"/>
  <c r="P31" i="49"/>
  <c r="Q31" i="49"/>
  <c r="P32" i="49"/>
  <c r="Q32" i="49"/>
  <c r="P33" i="49"/>
  <c r="Q33" i="49"/>
  <c r="P34" i="49"/>
  <c r="Q34" i="49"/>
  <c r="P35" i="49"/>
  <c r="Q35" i="49"/>
  <c r="P36" i="49"/>
  <c r="Q36" i="49"/>
  <c r="P37" i="49"/>
  <c r="Q37" i="49"/>
  <c r="P38" i="49"/>
  <c r="Q38" i="49"/>
  <c r="P39" i="49"/>
  <c r="Q39" i="49"/>
  <c r="P40" i="49"/>
  <c r="Q40" i="49"/>
  <c r="P42" i="49"/>
  <c r="Q42" i="49"/>
  <c r="P43" i="49"/>
  <c r="Q43" i="49"/>
  <c r="P44" i="49"/>
  <c r="Q44" i="49"/>
  <c r="P45" i="49"/>
  <c r="Q45" i="49"/>
  <c r="P104" i="49"/>
  <c r="Q104" i="49"/>
  <c r="P105" i="49"/>
  <c r="Q105" i="49"/>
  <c r="P137" i="49"/>
  <c r="Q137" i="49"/>
  <c r="P138" i="49"/>
  <c r="Q138" i="49"/>
  <c r="P139" i="49"/>
  <c r="Q139" i="49"/>
  <c r="P158" i="49"/>
  <c r="Q158" i="49"/>
  <c r="P159" i="49"/>
  <c r="Q159" i="49"/>
  <c r="P160" i="49"/>
  <c r="Q160" i="49"/>
  <c r="P162" i="49"/>
  <c r="Q162" i="49"/>
  <c r="P164" i="49"/>
  <c r="Q164" i="49"/>
  <c r="P165" i="49"/>
  <c r="Q165" i="49"/>
  <c r="P166" i="49"/>
  <c r="Q166" i="49"/>
  <c r="P169" i="49"/>
  <c r="Q169" i="49"/>
  <c r="P170" i="49"/>
  <c r="Q170" i="49"/>
  <c r="P171" i="49"/>
  <c r="Q171" i="49"/>
  <c r="P177" i="49"/>
  <c r="Q177" i="49"/>
  <c r="P178" i="49"/>
  <c r="Q178" i="49"/>
  <c r="P179" i="49"/>
  <c r="Q179" i="49"/>
  <c r="P224" i="49"/>
  <c r="Q224" i="49"/>
  <c r="P225" i="49"/>
  <c r="Q225" i="49"/>
  <c r="P226" i="49"/>
  <c r="Q226" i="49"/>
  <c r="P227" i="49"/>
  <c r="Q227" i="49"/>
  <c r="P228" i="49"/>
  <c r="Q228" i="49"/>
  <c r="P229" i="49"/>
  <c r="Q229" i="49"/>
  <c r="P232" i="49"/>
  <c r="Q232" i="49"/>
  <c r="P233" i="49"/>
  <c r="Q233" i="49"/>
  <c r="P234" i="49"/>
  <c r="Q234" i="49"/>
  <c r="P235" i="49"/>
  <c r="Q235" i="49"/>
  <c r="P236" i="49"/>
  <c r="Q236" i="49"/>
  <c r="P238" i="49"/>
  <c r="Q238" i="49"/>
  <c r="P239" i="49"/>
  <c r="Q239" i="49"/>
  <c r="P240" i="49"/>
  <c r="Q240" i="49"/>
  <c r="P241" i="49"/>
  <c r="Q241" i="49"/>
  <c r="P242" i="49"/>
  <c r="Q242" i="49"/>
  <c r="P268" i="49"/>
  <c r="Q268" i="49"/>
  <c r="P269" i="49"/>
  <c r="Q269" i="49"/>
  <c r="P270" i="49"/>
  <c r="Q270" i="49"/>
  <c r="P271" i="49"/>
  <c r="Q271" i="49"/>
  <c r="H1" i="78"/>
  <c r="H2" i="78"/>
  <c r="K35" i="39"/>
  <c r="K36" i="39"/>
  <c r="K42" i="39"/>
  <c r="J73" i="39"/>
  <c r="L73" i="39"/>
  <c r="M73" i="39"/>
  <c r="C99" i="39"/>
  <c r="C102" i="39"/>
  <c r="H1" i="87"/>
  <c r="H2" i="87"/>
  <c r="H1" i="61"/>
  <c r="H2" i="61"/>
  <c r="I1" i="51"/>
  <c r="I2" i="51"/>
  <c r="C6" i="51"/>
  <c r="L6" i="51"/>
  <c r="O7" i="51"/>
  <c r="L8" i="51"/>
  <c r="L9" i="51"/>
  <c r="O9" i="51"/>
  <c r="L10" i="51"/>
  <c r="O11" i="51"/>
  <c r="O12" i="51"/>
  <c r="C13" i="51"/>
  <c r="L13" i="51"/>
  <c r="O13" i="51"/>
  <c r="L14" i="51"/>
  <c r="G1" i="58"/>
  <c r="G2" i="58"/>
  <c r="C5" i="58"/>
  <c r="E6" i="58"/>
  <c r="C9" i="58"/>
  <c r="C10" i="58"/>
  <c r="C11" i="58"/>
  <c r="P11" i="58"/>
  <c r="Q11" i="58"/>
  <c r="C12" i="58"/>
  <c r="C13" i="58"/>
  <c r="M13" i="58"/>
  <c r="P13" i="58"/>
  <c r="Q13" i="58"/>
  <c r="C14" i="58"/>
  <c r="M14" i="58"/>
  <c r="M15" i="58"/>
  <c r="P15" i="58"/>
  <c r="Q15" i="58"/>
  <c r="R15" i="58"/>
  <c r="M16" i="58"/>
  <c r="P16" i="58"/>
  <c r="Q16" i="58"/>
  <c r="M17" i="58"/>
  <c r="P17" i="58"/>
  <c r="Q17" i="58"/>
  <c r="C18" i="58"/>
  <c r="F18" i="58"/>
  <c r="M18" i="58"/>
  <c r="P18" i="58"/>
  <c r="M19" i="58"/>
  <c r="C20" i="58"/>
  <c r="F20" i="58"/>
  <c r="L20" i="58"/>
  <c r="C21" i="58"/>
  <c r="F21" i="58"/>
  <c r="C22" i="58"/>
  <c r="E22" i="58"/>
  <c r="F22" i="58"/>
  <c r="C23" i="58"/>
  <c r="E23" i="58"/>
  <c r="F23" i="58"/>
  <c r="S29" i="58"/>
  <c r="T29" i="58"/>
  <c r="V29" i="58"/>
  <c r="M30" i="58"/>
  <c r="N30" i="58"/>
  <c r="T32" i="58"/>
  <c r="V32" i="58"/>
  <c r="V34" i="58"/>
  <c r="M41" i="58"/>
  <c r="N41" i="58"/>
  <c r="M42" i="58"/>
  <c r="N42" i="58"/>
  <c r="M43" i="58"/>
  <c r="N43" i="58"/>
  <c r="M44" i="58"/>
  <c r="N44" i="58"/>
  <c r="M45" i="58"/>
  <c r="N45" i="58"/>
  <c r="M46" i="58"/>
  <c r="N46" i="58"/>
  <c r="M47" i="58"/>
  <c r="N47" i="58"/>
  <c r="K48" i="58"/>
  <c r="M48" i="58"/>
  <c r="N48" i="58"/>
  <c r="V52" i="58"/>
  <c r="M53" i="58"/>
  <c r="N53" i="58"/>
  <c r="M54" i="58"/>
  <c r="N54" i="58"/>
  <c r="M55" i="58"/>
  <c r="N55" i="58"/>
  <c r="M56" i="58"/>
  <c r="N56" i="58"/>
  <c r="V56" i="58"/>
  <c r="M57" i="58"/>
  <c r="N57" i="58"/>
  <c r="M58" i="58"/>
  <c r="N58" i="58"/>
  <c r="M59" i="58"/>
  <c r="N59" i="58"/>
  <c r="K60" i="58"/>
  <c r="M60" i="58"/>
  <c r="N60" i="58"/>
  <c r="C68" i="58"/>
  <c r="H1" i="50"/>
  <c r="H2" i="50"/>
  <c r="D5" i="50"/>
  <c r="D7" i="50"/>
  <c r="E7" i="50"/>
  <c r="D32" i="50"/>
  <c r="E32" i="50"/>
  <c r="D33" i="50"/>
  <c r="E33" i="50"/>
  <c r="D57" i="50"/>
  <c r="E57" i="50"/>
  <c r="D58" i="50"/>
  <c r="E58" i="50"/>
  <c r="D59" i="50"/>
  <c r="E59" i="50"/>
  <c r="D60" i="50"/>
  <c r="E60" i="50"/>
  <c r="D61" i="50"/>
  <c r="E61" i="50"/>
  <c r="D62" i="50"/>
  <c r="E62" i="50"/>
  <c r="D65" i="50"/>
  <c r="E65" i="50"/>
  <c r="D66" i="50"/>
  <c r="E66" i="50"/>
  <c r="D67" i="50"/>
  <c r="E67" i="50"/>
  <c r="D68" i="50"/>
  <c r="E68" i="50"/>
  <c r="D69" i="50"/>
  <c r="E69" i="50"/>
  <c r="D71" i="50"/>
  <c r="E71" i="50"/>
  <c r="D72" i="50"/>
  <c r="E72" i="50"/>
  <c r="D73" i="50"/>
  <c r="E73" i="50"/>
  <c r="D74" i="50"/>
  <c r="E74" i="50"/>
  <c r="D75" i="50"/>
  <c r="E75" i="50"/>
  <c r="E82" i="50"/>
  <c r="C48" i="85"/>
  <c r="C49" i="85"/>
  <c r="C50" i="85"/>
  <c r="C56" i="85"/>
  <c r="C61" i="85"/>
  <c r="C62" i="85"/>
  <c r="C63" i="85"/>
  <c r="C65" i="85"/>
  <c r="C68" i="85"/>
  <c r="C74" i="85"/>
  <c r="C75" i="85"/>
  <c r="C76" i="85"/>
  <c r="C78" i="85"/>
  <c r="C79" i="85"/>
  <c r="C92" i="85"/>
  <c r="C93" i="85"/>
  <c r="C13" i="137"/>
  <c r="D13" i="137"/>
  <c r="E13" i="137"/>
  <c r="C14" i="137"/>
  <c r="D14" i="137"/>
  <c r="E14" i="137"/>
  <c r="H1" i="25"/>
  <c r="H2" i="25"/>
  <c r="H1" i="82"/>
  <c r="H2" i="82"/>
  <c r="C5" i="64"/>
  <c r="C7" i="64"/>
  <c r="C8" i="64"/>
  <c r="C9" i="64"/>
  <c r="C10" i="64"/>
  <c r="D10" i="64"/>
  <c r="D14" i="64"/>
  <c r="E14" i="64"/>
  <c r="F14" i="64"/>
  <c r="D17" i="64"/>
  <c r="E17" i="64"/>
  <c r="F17" i="64"/>
  <c r="D33" i="64"/>
  <c r="E33" i="64"/>
  <c r="F33" i="64"/>
  <c r="D34" i="64"/>
  <c r="E34" i="64"/>
  <c r="F34" i="64"/>
  <c r="C44" i="64"/>
  <c r="D44" i="64"/>
  <c r="E44" i="64"/>
  <c r="C74" i="64"/>
  <c r="D74" i="64"/>
  <c r="E74" i="64"/>
  <c r="C75" i="64"/>
  <c r="D75" i="64"/>
  <c r="E75" i="64"/>
  <c r="C76" i="64"/>
  <c r="D76" i="64"/>
  <c r="E76" i="64"/>
  <c r="C77" i="64"/>
  <c r="D77" i="64"/>
  <c r="E77" i="64"/>
  <c r="C78" i="64"/>
  <c r="D78" i="64"/>
  <c r="E78" i="64"/>
  <c r="C79" i="64"/>
  <c r="D79" i="64"/>
  <c r="E79" i="64"/>
  <c r="C82" i="64"/>
  <c r="D82" i="64"/>
  <c r="E82" i="64"/>
  <c r="C83" i="64"/>
  <c r="D83" i="64"/>
  <c r="E83" i="64"/>
  <c r="C84" i="64"/>
  <c r="D84" i="64"/>
  <c r="E84" i="64"/>
  <c r="C85" i="64"/>
  <c r="D85" i="64"/>
  <c r="E85" i="64"/>
  <c r="C86" i="64"/>
  <c r="D86" i="64"/>
  <c r="E86" i="64"/>
  <c r="C88" i="64"/>
  <c r="D88" i="64"/>
  <c r="E88" i="64"/>
  <c r="C89" i="64"/>
  <c r="D89" i="64"/>
  <c r="E89" i="64"/>
  <c r="C90" i="64"/>
  <c r="D90" i="64"/>
  <c r="E90" i="64"/>
  <c r="C91" i="64"/>
  <c r="D91" i="64"/>
  <c r="E91" i="64"/>
  <c r="C92" i="64"/>
  <c r="D92" i="64"/>
  <c r="E92" i="64"/>
  <c r="AC5" i="89"/>
  <c r="L8" i="89"/>
  <c r="T8" i="89"/>
  <c r="T9" i="89"/>
  <c r="U9" i="89"/>
  <c r="L10" i="89"/>
  <c r="T10" i="89"/>
  <c r="T11" i="89"/>
  <c r="U11" i="89"/>
  <c r="L12" i="89"/>
  <c r="U12" i="89"/>
  <c r="L13" i="89"/>
  <c r="U13" i="89"/>
  <c r="U14" i="89"/>
  <c r="T15" i="89"/>
  <c r="U15" i="89"/>
  <c r="AE16" i="89"/>
  <c r="AG16" i="89"/>
  <c r="T21" i="89"/>
  <c r="T22" i="89"/>
  <c r="T23" i="89"/>
  <c r="T24" i="89"/>
  <c r="T25" i="89"/>
  <c r="T26" i="89"/>
  <c r="T27" i="89"/>
  <c r="T28" i="89"/>
  <c r="T29" i="89"/>
  <c r="T30" i="89"/>
  <c r="T31" i="89"/>
  <c r="C52" i="89"/>
  <c r="C54" i="89"/>
  <c r="C55" i="89"/>
  <c r="C56" i="89"/>
  <c r="N102" i="89"/>
  <c r="O102" i="89"/>
  <c r="N109" i="89"/>
  <c r="Q112" i="89"/>
  <c r="Q113" i="89"/>
  <c r="Q114" i="89"/>
  <c r="T122" i="89"/>
  <c r="T123" i="89"/>
  <c r="U123" i="89"/>
  <c r="T124" i="89"/>
  <c r="U124" i="89"/>
  <c r="T125" i="89"/>
  <c r="AA139" i="89"/>
  <c r="AC139" i="89"/>
  <c r="AD139" i="89"/>
  <c r="AA141" i="89"/>
  <c r="AC141" i="89"/>
  <c r="AD141" i="89"/>
  <c r="AA142" i="89"/>
  <c r="AB142" i="89"/>
  <c r="AC142" i="89"/>
  <c r="AN187" i="89"/>
  <c r="AO187" i="89"/>
  <c r="AN189" i="89"/>
  <c r="AO189" i="89"/>
  <c r="AU208" i="89"/>
  <c r="AV208" i="89"/>
  <c r="AW208" i="89"/>
  <c r="AX208" i="89"/>
  <c r="AX209" i="89"/>
  <c r="AX210" i="89"/>
  <c r="AU211" i="89"/>
  <c r="AV211" i="89"/>
  <c r="AW211" i="89"/>
  <c r="AX211" i="89"/>
  <c r="AY211" i="89"/>
  <c r="AX212" i="89"/>
  <c r="AX213" i="89"/>
  <c r="AX214" i="89"/>
  <c r="AX215" i="89"/>
  <c r="AX216" i="89"/>
  <c r="AX217" i="89"/>
  <c r="AX218" i="89"/>
  <c r="AU219" i="89"/>
  <c r="AV219" i="89"/>
  <c r="AW219" i="89"/>
  <c r="AX219" i="89"/>
  <c r="AY219" i="89"/>
  <c r="AU220" i="89"/>
  <c r="AV220" i="89"/>
  <c r="AW220" i="89"/>
  <c r="AX220" i="89"/>
  <c r="AY220" i="89"/>
  <c r="AX221" i="89"/>
  <c r="AX222" i="89"/>
  <c r="AX223" i="89"/>
  <c r="AX224" i="89"/>
  <c r="AX225" i="89"/>
  <c r="AU226" i="89"/>
  <c r="AX226" i="89"/>
  <c r="AU227" i="89"/>
  <c r="AV227" i="89"/>
  <c r="AW227" i="89"/>
  <c r="AX227" i="89"/>
  <c r="AY227" i="89"/>
  <c r="AX228" i="89"/>
  <c r="AW229" i="89"/>
  <c r="AU253" i="89"/>
  <c r="AW253" i="89"/>
  <c r="AY253" i="89"/>
  <c r="AU255" i="89"/>
  <c r="AW255" i="89"/>
  <c r="AY255" i="89"/>
  <c r="AW262" i="89"/>
  <c r="AW263" i="8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Jose Roberto Xavier Manco (SGT)</author>
    <author>Administrador</author>
  </authors>
  <commentList>
    <comment ref="BQ3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Data de referência da PB
vide Despacho SGT nº 601/2018</t>
        </r>
      </text>
    </comment>
    <comment ref="K30" authorId="1" shapeId="0" xr:uid="{00000000-0006-0000-0100-000002000000}">
      <text>
        <r>
          <rPr>
            <b/>
            <sz val="9"/>
            <color indexed="81"/>
            <rFont val="Segoe UI"/>
            <family val="2"/>
          </rPr>
          <t>Despacho SGT nº 612/2021 - base dez/20 atualizado para o mês anterior ao reajuste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kenji</author>
    <author>josemanco</author>
    <author>Jose Roberto Xavier Manco (SGT)</author>
  </authors>
  <commentList>
    <comment ref="L6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A partir de jan/2013 a alíquota será de 1,0%
</t>
        </r>
      </text>
    </comment>
    <comment ref="I7" authorId="1" shapeId="0" xr:uid="{00000000-0006-0000-0600-000003000000}">
      <text>
        <r>
          <rPr>
            <b/>
            <sz val="9"/>
            <color indexed="81"/>
            <rFont val="Tahoma"/>
            <family val="2"/>
          </rPr>
          <t>ReH 2.995/2021</t>
        </r>
      </text>
    </comment>
    <comment ref="I13" authorId="2" shapeId="0" xr:uid="{00000000-0006-0000-0600-000004000000}">
      <text>
        <r>
          <rPr>
            <b/>
            <sz val="9"/>
            <color indexed="81"/>
            <rFont val="Segoe UI"/>
            <family val="2"/>
          </rPr>
          <t>https://www.aneel.gov.br/consultas-publicas?p_p_id=participacaopublica_WAR_participacaopublicaportlet&amp;p_p_lifecycle=2&amp;p_p_state=normal&amp;p_p_mode=view&amp;p_p_cacheability=cacheLevelPage&amp;p_p_col_id=column-2&amp;p_p_col_pos=1&amp;p_p_col_count=2&amp;_participacaopublica_WAR_participacaopublicaportlet_ideDocumento=45495&amp;_participacaopublica_WAR_participacaopublicaportlet_tipoFaseReuniao=fase&amp;_participacaopublica_WAR_participacaopublicaportlet_jspPage=%2Fhtml%2Fpp%2Fvisualizar.jsp</t>
        </r>
      </text>
    </comment>
    <comment ref="L60" authorId="2" shapeId="0" xr:uid="{00000000-0006-0000-0600-000005000000}">
      <text>
        <r>
          <rPr>
            <b/>
            <sz val="9"/>
            <color indexed="81"/>
            <rFont val="Segoe UI"/>
            <family val="2"/>
          </rPr>
          <t>Data da Lei 13.280/2016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tc={6A1BB4E7-D34E-437C-83FB-E767FB2BD8DE}</author>
    <author>tc={241DDB31-66E5-4F78-A554-6BBEB4AF5E21}</author>
  </authors>
  <commentList>
    <comment ref="B7" authorId="0" shapeId="0" xr:uid="{6A1BB4E7-D34E-437C-83FB-E767FB2BD8D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buscar na persas do ano anterior</t>
      </text>
    </comment>
    <comment ref="B11" authorId="1" shapeId="0" xr:uid="{241DDB31-66E5-4F78-A554-6BBEB4AF5E2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buscar na persas do ano anterior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kenji</author>
  </authors>
  <commentList>
    <comment ref="D23" authorId="0" shapeId="0" xr:uid="{A7F622E5-FE77-4134-B359-439B630615C2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Inserir o valor informado através do memorando da SFF</t>
        </r>
      </text>
    </comment>
    <comment ref="C37" authorId="0" shapeId="0" xr:uid="{D1FF7A13-65C4-4AA7-BF0B-92CAAA000606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Inserir o valor informado pelo Em atendimento ao disposto no inciso (ii) do Despacho nº 652, de 15 de março de 2016.
Preencher somente para Compra de Energia e ESS/ERR
</t>
        </r>
      </text>
    </comment>
    <comment ref="D37" authorId="0" shapeId="0" xr:uid="{086B32EB-1E00-4692-ABCA-19B249C54623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Inserir o valor do Financeiro de Reversão da RTE para a CDE uso, CDE Energia e Compra de Energia. 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1000000}" keepAlive="1" name="Faturas" type="5" refreshedVersion="7" saveData="1">
    <dbPr connection="Provider=Microsoft.Office.List.OLEDB.2.0;Data Source=&quot;&quot;;ApplicationName=Excel;Version=12.0.0.0" command="&lt;LIST&gt;&lt;VIEWGUID&gt;AA658CEC-B98F-49AB-A35D-7804F8CAEA47&lt;/VIEWGUID&gt;&lt;LISTNAME&gt;{63E497E5-6CAA-4AE0-880C-BAF9CC4BE7A5}&lt;/LISTNAME&gt;&lt;LISTWEB&gt;https://aneelbr.sharepoint.com/_vti_bin&lt;/LISTWEB&gt;&lt;LISTSUBWEB&gt;&lt;/LISTSUBWEB&gt;&lt;ROOTFOLDER&gt;undefined&lt;/ROOTFOLDER&gt;&lt;/LIST&gt;" commandType="5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<sst xmlns="http://schemas.openxmlformats.org/spreadsheetml/2006/main" count="19180" uniqueCount="2332">
  <si>
    <t>IdeSGTAg</t>
  </si>
  <si>
    <t>DataInicio</t>
  </si>
  <si>
    <t>VlrSubCFI</t>
  </si>
  <si>
    <t>VlrSubGFI</t>
  </si>
  <si>
    <t>VlrSubDist</t>
  </si>
  <si>
    <t>VlrSubAES</t>
  </si>
  <si>
    <t>VlrSubRural</t>
  </si>
  <si>
    <t>VlrSubIA</t>
  </si>
  <si>
    <t>Previsão</t>
  </si>
  <si>
    <t>Energia de revenda</t>
  </si>
  <si>
    <t>Banco de Dados Processos Anteriores</t>
  </si>
  <si>
    <t>Anexo II</t>
  </si>
  <si>
    <t>Anexo I</t>
  </si>
  <si>
    <t>Informações do ano anterior  (apenas processos ordinários)</t>
  </si>
  <si>
    <t>TUSD Suprimento</t>
  </si>
  <si>
    <t xml:space="preserve">Mercado RA0 MWh </t>
  </si>
  <si>
    <t>CONFIRMAR</t>
  </si>
  <si>
    <t>Chave</t>
  </si>
  <si>
    <t>Ano</t>
  </si>
  <si>
    <t>Nível</t>
  </si>
  <si>
    <t>Tipo</t>
  </si>
  <si>
    <t>Perm</t>
  </si>
  <si>
    <t>Cod Per</t>
  </si>
  <si>
    <t>Data supridoa</t>
  </si>
  <si>
    <t>Ultima atualiza</t>
  </si>
  <si>
    <t>Supridora</t>
  </si>
  <si>
    <t>REH</t>
  </si>
  <si>
    <t>Tarifa</t>
  </si>
  <si>
    <t>cod supridora</t>
  </si>
  <si>
    <t>Cotas</t>
  </si>
  <si>
    <t>Valor da "Cota"</t>
  </si>
  <si>
    <t>Custo Médio da Cota</t>
  </si>
  <si>
    <t>Energia MWh</t>
  </si>
  <si>
    <t>Data</t>
  </si>
  <si>
    <t>Valor Pis/Cofins Transmissora</t>
  </si>
  <si>
    <t>CVA</t>
  </si>
  <si>
    <t>Valor</t>
  </si>
  <si>
    <t>Conta Escassez</t>
  </si>
  <si>
    <t>Legislacao</t>
  </si>
  <si>
    <t>IMPORTACAO</t>
  </si>
  <si>
    <t>RGR</t>
  </si>
  <si>
    <t>BONUS_RED_VOLUNT</t>
  </si>
  <si>
    <t>CCC</t>
  </si>
  <si>
    <t>DIFERIMENTOS</t>
  </si>
  <si>
    <t>TFSEE</t>
  </si>
  <si>
    <t>REN 1010/2022</t>
  </si>
  <si>
    <t>CDE</t>
  </si>
  <si>
    <t>GSF previsto</t>
  </si>
  <si>
    <t>PLD</t>
  </si>
  <si>
    <t>MWm repactuado</t>
  </si>
  <si>
    <t>Fator de rateio</t>
  </si>
  <si>
    <t>ESS/ERR</t>
  </si>
  <si>
    <t>PROINFA</t>
  </si>
  <si>
    <t>P&amp;D</t>
  </si>
  <si>
    <t>ONS</t>
  </si>
  <si>
    <t>CDE Covid TUSD</t>
  </si>
  <si>
    <t>Proinfa</t>
  </si>
  <si>
    <t>MWh</t>
  </si>
  <si>
    <t xml:space="preserve">Transporte </t>
  </si>
  <si>
    <t xml:space="preserve">   Rede Básica Nodal</t>
  </si>
  <si>
    <t xml:space="preserve">   Rede Básica Fronteira</t>
  </si>
  <si>
    <t xml:space="preserve">   Rede Básica ONS (A2)</t>
  </si>
  <si>
    <t>CCEAR</t>
  </si>
  <si>
    <t xml:space="preserve">   Rede Básica Export. (A2)</t>
  </si>
  <si>
    <t>Leilão</t>
  </si>
  <si>
    <t>Produto</t>
  </si>
  <si>
    <t>Modalidade</t>
  </si>
  <si>
    <t>Fonte</t>
  </si>
  <si>
    <t>Montante</t>
  </si>
  <si>
    <t>Data Base</t>
  </si>
  <si>
    <t>Custo Base</t>
  </si>
  <si>
    <t xml:space="preserve">   MUST Itaipu</t>
  </si>
  <si>
    <t xml:space="preserve">   Transporte de Itaipu</t>
  </si>
  <si>
    <t>Tabela de Financeiros para o cálculo da Neutralidade</t>
  </si>
  <si>
    <t>Tabela de Financeiros para o cálculo da Neutralidade - COVID</t>
  </si>
  <si>
    <t xml:space="preserve">   Conexão</t>
  </si>
  <si>
    <t>Grupo_TARIFA</t>
  </si>
  <si>
    <t>Detalhe_Grupo_TARIFA</t>
  </si>
  <si>
    <t>valor</t>
  </si>
  <si>
    <t>Grupo Tarifa</t>
  </si>
  <si>
    <t>Detalhe Grupo</t>
  </si>
  <si>
    <t>Det3</t>
  </si>
  <si>
    <t xml:space="preserve">   Uso do sistema de distribuição</t>
  </si>
  <si>
    <t>ENCARGO</t>
  </si>
  <si>
    <t>Parcela B</t>
  </si>
  <si>
    <t>Parcela B (VPB-OR)</t>
  </si>
  <si>
    <t>Dados de perda</t>
  </si>
  <si>
    <t>Perdas RB</t>
  </si>
  <si>
    <t>Dados de Revisão</t>
  </si>
  <si>
    <t>Perdas DITs</t>
  </si>
  <si>
    <t>ENERGIA</t>
  </si>
  <si>
    <t>reservado para energia</t>
  </si>
  <si>
    <t>TRANSPORTE TERCEIROS</t>
  </si>
  <si>
    <t>EUSD</t>
  </si>
  <si>
    <t>Perdas na Distribuição (Técnicas e Não Técnicas)</t>
  </si>
  <si>
    <t>Não se Aplica</t>
  </si>
  <si>
    <t>Não se aplica</t>
  </si>
  <si>
    <t>Fator de Carga</t>
  </si>
  <si>
    <t>ver</t>
  </si>
  <si>
    <t>Limitador de Bandeira</t>
  </si>
  <si>
    <t>Subsídios</t>
  </si>
  <si>
    <t>Subsídio Carga Fonte Incentivada</t>
  </si>
  <si>
    <t>Subsídio Geração Fonte Incentivada</t>
  </si>
  <si>
    <t>Subsídio Distribuição</t>
  </si>
  <si>
    <t>Subsídio Água, Esgoto e Saneamento</t>
  </si>
  <si>
    <t>Subsídio Rural</t>
  </si>
  <si>
    <t>Subsídio Irrigante/Aquicultor</t>
  </si>
  <si>
    <t>Encargo</t>
  </si>
  <si>
    <t>DSP</t>
  </si>
  <si>
    <t>ESS/EER</t>
  </si>
  <si>
    <t>EER</t>
  </si>
  <si>
    <t>CDE Eletrobras</t>
  </si>
  <si>
    <t>CDE Covid</t>
  </si>
  <si>
    <t>CDE Covid TUSD%</t>
  </si>
  <si>
    <t>CDE Covid TE%</t>
  </si>
  <si>
    <t>Nome Conexão</t>
  </si>
  <si>
    <t>Tensão</t>
  </si>
  <si>
    <t>Posto Tarifário</t>
  </si>
  <si>
    <t>Tarifas RB - DRA</t>
  </si>
  <si>
    <t>Tarifa RB - DRP</t>
  </si>
  <si>
    <t>Tarifas RBF - DRA</t>
  </si>
  <si>
    <t>Tarifa RBF - DRP</t>
  </si>
  <si>
    <t>M01</t>
  </si>
  <si>
    <t>M02</t>
  </si>
  <si>
    <t>M03</t>
  </si>
  <si>
    <t>M04</t>
  </si>
  <si>
    <t>M05</t>
  </si>
  <si>
    <t>M06</t>
  </si>
  <si>
    <t>M07</t>
  </si>
  <si>
    <t>M08</t>
  </si>
  <si>
    <t>M09</t>
  </si>
  <si>
    <t>M10</t>
  </si>
  <si>
    <t>M11</t>
  </si>
  <si>
    <t>M12</t>
  </si>
  <si>
    <t>Transmissora</t>
  </si>
  <si>
    <t>Indice de atualização</t>
  </si>
  <si>
    <t>ENCARGO DE CONEXÃO repassável</t>
  </si>
  <si>
    <t>Instalações com Estabelecimento de RAP que entraram em operação</t>
  </si>
  <si>
    <t>PA para repasse a tarifa</t>
  </si>
  <si>
    <t>PA Qualidade DIT</t>
  </si>
  <si>
    <t>ENCARGO DE CONEXÃO ou PA não rapassável a tarifa (REN 67/2004 ou 68/2004)</t>
  </si>
  <si>
    <t>PA Empreendimento Autorizado sem estabelecimento prévio de RAP</t>
  </si>
  <si>
    <t>Estimativa</t>
  </si>
  <si>
    <t>Despacho</t>
  </si>
  <si>
    <t>Idagente</t>
  </si>
  <si>
    <t>empresa</t>
  </si>
  <si>
    <t>idrsreag</t>
  </si>
  <si>
    <t>ATIVOS SFF</t>
  </si>
  <si>
    <t>Considerado</t>
  </si>
  <si>
    <t>Diferimentos</t>
  </si>
  <si>
    <t>DataBase</t>
  </si>
  <si>
    <t>Despacho1</t>
  </si>
  <si>
    <t>Empresa</t>
  </si>
  <si>
    <t>idagente1</t>
  </si>
  <si>
    <t>CVA em constituição</t>
  </si>
  <si>
    <t>Saldo a compensar</t>
  </si>
  <si>
    <t>Sobrecontratação</t>
  </si>
  <si>
    <t>Neutralidade</t>
  </si>
  <si>
    <t>Energia</t>
  </si>
  <si>
    <t>Itaipu Energia</t>
  </si>
  <si>
    <t>RB</t>
  </si>
  <si>
    <t>TransporteItaipu</t>
  </si>
  <si>
    <t>ESS</t>
  </si>
  <si>
    <t>CFURH</t>
  </si>
  <si>
    <t>Energia1</t>
  </si>
  <si>
    <t>Itaipu Energia1</t>
  </si>
  <si>
    <t>Proinfa1</t>
  </si>
  <si>
    <t>RB1</t>
  </si>
  <si>
    <t>TransporteItaipu1</t>
  </si>
  <si>
    <t>ESS1</t>
  </si>
  <si>
    <t>CDE1</t>
  </si>
  <si>
    <t>CFURH1</t>
  </si>
  <si>
    <t>DataBase1</t>
  </si>
  <si>
    <t>referencia</t>
  </si>
  <si>
    <t>Eletroacre</t>
  </si>
  <si>
    <t/>
  </si>
  <si>
    <t>CEA</t>
  </si>
  <si>
    <t>ETO</t>
  </si>
  <si>
    <t>Cemar</t>
  </si>
  <si>
    <t>Cepisa</t>
  </si>
  <si>
    <t>Enel CE</t>
  </si>
  <si>
    <t>Cosern</t>
  </si>
  <si>
    <t>Celpe</t>
  </si>
  <si>
    <t>Ceal</t>
  </si>
  <si>
    <t>Sulgipe</t>
  </si>
  <si>
    <t>Coelba</t>
  </si>
  <si>
    <t>DMED</t>
  </si>
  <si>
    <t>CPFL Paulista</t>
  </si>
  <si>
    <t>Cocel</t>
  </si>
  <si>
    <t>Eflul</t>
  </si>
  <si>
    <t>Ienergia</t>
  </si>
  <si>
    <t>Demei</t>
  </si>
  <si>
    <t>Chesp</t>
  </si>
  <si>
    <t>Ceron</t>
  </si>
  <si>
    <t>Roraima</t>
  </si>
  <si>
    <t>Roraima Energia</t>
  </si>
  <si>
    <t>Celpa</t>
  </si>
  <si>
    <t>EDP ES</t>
  </si>
  <si>
    <t>ELFSM</t>
  </si>
  <si>
    <t>Light</t>
  </si>
  <si>
    <t>Enel RJ</t>
  </si>
  <si>
    <t>Elektro</t>
  </si>
  <si>
    <t>Enel SP</t>
  </si>
  <si>
    <t>EDP SP</t>
  </si>
  <si>
    <t>Eletrocar</t>
  </si>
  <si>
    <t>Hidropan</t>
  </si>
  <si>
    <t>Uhenpal</t>
  </si>
  <si>
    <t>MuxEnergia</t>
  </si>
  <si>
    <t xml:space="preserve">EMS </t>
  </si>
  <si>
    <t>EMS</t>
  </si>
  <si>
    <t>EMT</t>
  </si>
  <si>
    <t>Creluz</t>
  </si>
  <si>
    <t>Ceriluz</t>
  </si>
  <si>
    <t>Copel-D</t>
  </si>
  <si>
    <t>Copel-DIS</t>
  </si>
  <si>
    <t>CPFL Piratininga</t>
  </si>
  <si>
    <t>Cemig-D</t>
  </si>
  <si>
    <t>CEB</t>
  </si>
  <si>
    <t>CEB-DIS</t>
  </si>
  <si>
    <t>Ceres</t>
  </si>
  <si>
    <t>CERCI</t>
  </si>
  <si>
    <t>Ceral Anitápolis</t>
  </si>
  <si>
    <t>Cergal</t>
  </si>
  <si>
    <t>Cegero</t>
  </si>
  <si>
    <t>Cedri</t>
  </si>
  <si>
    <t>Coopera</t>
  </si>
  <si>
    <t>Celesc</t>
  </si>
  <si>
    <t>Celesc-DIS</t>
  </si>
  <si>
    <t>CEEE-D</t>
  </si>
  <si>
    <t>Enel GO</t>
  </si>
  <si>
    <t>EMG</t>
  </si>
  <si>
    <t>ESE</t>
  </si>
  <si>
    <t>EPB</t>
  </si>
  <si>
    <t>Ceral Araruama</t>
  </si>
  <si>
    <t>EBO</t>
  </si>
  <si>
    <t>ENF</t>
  </si>
  <si>
    <t>Amazonas</t>
  </si>
  <si>
    <t>AmE</t>
  </si>
  <si>
    <t>Certel</t>
  </si>
  <si>
    <t>ESS (agrupada)</t>
  </si>
  <si>
    <t>CPFL Santa Cruz (agrupada)</t>
  </si>
  <si>
    <t>CPFL Santa Cruz</t>
  </si>
  <si>
    <t>RGE (agrupada)</t>
  </si>
  <si>
    <t>RGE</t>
  </si>
  <si>
    <t>Forcel</t>
  </si>
  <si>
    <t>IdeAgenteSuprida</t>
  </si>
  <si>
    <t>NomPessoaSuprida</t>
  </si>
  <si>
    <t>IdeAgenteSupridora</t>
  </si>
  <si>
    <t>NomPessoaSupridora</t>
  </si>
  <si>
    <t>DescSubGrupoSgt</t>
  </si>
  <si>
    <t>MesAno</t>
  </si>
  <si>
    <t>Descricao</t>
  </si>
  <si>
    <t>Maior Registro</t>
  </si>
  <si>
    <t>Replicar</t>
  </si>
  <si>
    <t>DICFIC</t>
  </si>
  <si>
    <t>Dem*</t>
  </si>
  <si>
    <t>Demanda Faturada Fora de Ponta</t>
  </si>
  <si>
    <t>Energia*</t>
  </si>
  <si>
    <t>Demanda Faturada Ponta</t>
  </si>
  <si>
    <t>A4 (2,3 a 25 kV)</t>
  </si>
  <si>
    <t>Consumo*</t>
  </si>
  <si>
    <t>Proinfa*</t>
  </si>
  <si>
    <t>Data de início</t>
  </si>
  <si>
    <t>Data fim</t>
  </si>
  <si>
    <t>Energia TUSD Fora de Ponta (kWh)</t>
  </si>
  <si>
    <t>Energia TUSD Ponta (kWh)</t>
  </si>
  <si>
    <t>Proinfa (kWh)</t>
  </si>
  <si>
    <t>PisConfins</t>
  </si>
  <si>
    <t>Consumo TE Fora de Ponta (kWh)</t>
  </si>
  <si>
    <t>Consumo TE Ponta (kWh)</t>
  </si>
  <si>
    <t>ICMS</t>
  </si>
  <si>
    <t>Tabelas constantes dessa aba</t>
  </si>
  <si>
    <t>Informações Gerais</t>
  </si>
  <si>
    <t>proinfa</t>
  </si>
  <si>
    <t>Descontos TE</t>
  </si>
  <si>
    <t>cde conta covid</t>
  </si>
  <si>
    <t>Ranking B1</t>
  </si>
  <si>
    <t>Informacoes</t>
  </si>
  <si>
    <t>ok</t>
  </si>
  <si>
    <t>Sigla</t>
  </si>
  <si>
    <t>NomeSAMP</t>
  </si>
  <si>
    <t>SARI</t>
  </si>
  <si>
    <t>Área</t>
  </si>
  <si>
    <t>Tipo de Contrato</t>
  </si>
  <si>
    <t>Sede</t>
  </si>
  <si>
    <t>UF</t>
  </si>
  <si>
    <t>WACC ERD</t>
  </si>
  <si>
    <t>Supridora 1</t>
  </si>
  <si>
    <t>idsreagsupridora 1</t>
  </si>
  <si>
    <t>Supridora 2</t>
  </si>
  <si>
    <t>idsreagsupridora2</t>
  </si>
  <si>
    <t>Desconto Tusd</t>
  </si>
  <si>
    <t>Proinfa MWh</t>
  </si>
  <si>
    <t>REH Proinfa</t>
  </si>
  <si>
    <t>Beta</t>
  </si>
  <si>
    <t>Limite PB</t>
  </si>
  <si>
    <t>Data Base Limite PB</t>
  </si>
  <si>
    <t>Despacho limite Parcela B</t>
  </si>
  <si>
    <t>Contrato Permissão</t>
  </si>
  <si>
    <t>Data Contrato</t>
  </si>
  <si>
    <t>Próxima Revisão</t>
  </si>
  <si>
    <t>Última REH</t>
  </si>
  <si>
    <t xml:space="preserve">Data última REH </t>
  </si>
  <si>
    <t>Pd</t>
  </si>
  <si>
    <t>T</t>
  </si>
  <si>
    <t>Supridora para calculo da subvenção</t>
  </si>
  <si>
    <t>Densidade Cooperativa</t>
  </si>
  <si>
    <t>Densidade Principal Supridora</t>
  </si>
  <si>
    <t>Subvenção Anual (R$)</t>
  </si>
  <si>
    <t>Data Referência Subvenção</t>
  </si>
  <si>
    <t>Data de aniversarioda supridora</t>
  </si>
  <si>
    <t>Geração Própria</t>
  </si>
  <si>
    <t>Data de referência da Geração Própria</t>
  </si>
  <si>
    <t>Data da RTE</t>
  </si>
  <si>
    <t>Data original</t>
  </si>
  <si>
    <t>Regularização</t>
  </si>
  <si>
    <t>vigência das tarifas</t>
  </si>
  <si>
    <t>TUSD 2019</t>
  </si>
  <si>
    <t>CDE Conta covid</t>
  </si>
  <si>
    <t>=&gt; Lista ordem alfabetica</t>
  </si>
  <si>
    <t>Cedrap</t>
  </si>
  <si>
    <t>Cooperativa de Eletrificação e Desenvolvimento Rural do Alto Paraíba Ltda</t>
  </si>
  <si>
    <t>C01</t>
  </si>
  <si>
    <t>8.4</t>
  </si>
  <si>
    <t>Paraibuna</t>
  </si>
  <si>
    <t>SP</t>
  </si>
  <si>
    <t>EDP-SP</t>
  </si>
  <si>
    <t>ReH 2.995/2021</t>
  </si>
  <si>
    <t>Desp. 521/2022</t>
  </si>
  <si>
    <t>01/2008</t>
  </si>
  <si>
    <t>20 de junho de 2008</t>
  </si>
  <si>
    <t>23 de novembro de 2021</t>
  </si>
  <si>
    <t>Bandeirante</t>
  </si>
  <si>
    <t>Não</t>
  </si>
  <si>
    <t>Castro Dis</t>
  </si>
  <si>
    <t>Cooperativa de Energização e Desenvolvimento Rural do Vale do Itariri</t>
  </si>
  <si>
    <t>C02</t>
  </si>
  <si>
    <t>Itariri</t>
  </si>
  <si>
    <t>02/2008</t>
  </si>
  <si>
    <t>12 de junho de 2008</t>
  </si>
  <si>
    <t>28 de setembro de 2021</t>
  </si>
  <si>
    <t>Cerim</t>
  </si>
  <si>
    <t>Cooperativa de Eletrificação e Desenvolvimento da Região de Itu-Mairinque</t>
  </si>
  <si>
    <t>C05</t>
  </si>
  <si>
    <t>Mairinque</t>
  </si>
  <si>
    <t>03/2008</t>
  </si>
  <si>
    <t>Piratininga</t>
  </si>
  <si>
    <t>Ceripa</t>
  </si>
  <si>
    <t>Cooperativa de Eletrificação Rural de Itaí-Paranapanema-Avaré</t>
  </si>
  <si>
    <t>C06</t>
  </si>
  <si>
    <t>Itaí</t>
  </si>
  <si>
    <t>04/2008</t>
  </si>
  <si>
    <t>27 de abril de 2021</t>
  </si>
  <si>
    <t>Santa Cruz</t>
  </si>
  <si>
    <t>Ceris</t>
  </si>
  <si>
    <t>Cooperativa de Eletrificação da Região de Itapecerica da Serra</t>
  </si>
  <si>
    <t>C07</t>
  </si>
  <si>
    <t>São Lourenço da Serra</t>
  </si>
  <si>
    <t>Eletropaulo</t>
  </si>
  <si>
    <t>05/2008</t>
  </si>
  <si>
    <t>27 de julho de 2021</t>
  </si>
  <si>
    <t>Cejama</t>
  </si>
  <si>
    <t>CERMC</t>
  </si>
  <si>
    <t>Cooperativa de Eletrificação e Desenvolvimento da Região de Mogi das Cruzes</t>
  </si>
  <si>
    <t>C08</t>
  </si>
  <si>
    <t>Mogi das Cruzes</t>
  </si>
  <si>
    <t>06/2008</t>
  </si>
  <si>
    <t>Celetro</t>
  </si>
  <si>
    <t>Cernhe</t>
  </si>
  <si>
    <t>Cooperativa de Eletrificação e Desenvolvimento Rural da Região de Novo Horizonte</t>
  </si>
  <si>
    <t>C09</t>
  </si>
  <si>
    <t xml:space="preserve">Novo Horizonte </t>
  </si>
  <si>
    <t>12/2008</t>
  </si>
  <si>
    <t>30 de junho de 2008</t>
  </si>
  <si>
    <t>Cemirim</t>
  </si>
  <si>
    <t>Cerpro</t>
  </si>
  <si>
    <t>Cooperativa de Eletrificação Rural da Região de Promissão</t>
  </si>
  <si>
    <t>C10</t>
  </si>
  <si>
    <t xml:space="preserve">Promissão </t>
  </si>
  <si>
    <t>07/2008</t>
  </si>
  <si>
    <t>25 de maio de 2021</t>
  </si>
  <si>
    <t>Ceprag</t>
  </si>
  <si>
    <t>CERRP</t>
  </si>
  <si>
    <t>Cooperativa de Eletrificação Rural da Região de São José do Rio Preto</t>
  </si>
  <si>
    <t>C11</t>
  </si>
  <si>
    <t>São José do Rio Preto</t>
  </si>
  <si>
    <t>13/2008</t>
  </si>
  <si>
    <t>Ceraçá</t>
  </si>
  <si>
    <t>Cetril</t>
  </si>
  <si>
    <t>Cooperativa de Eletrificação de Ibiúna e Região</t>
  </si>
  <si>
    <t>C13</t>
  </si>
  <si>
    <t>Ibiúna</t>
  </si>
  <si>
    <t>08/2008</t>
  </si>
  <si>
    <t>Cooperativa de Eletricidade Jacinto Machado</t>
  </si>
  <si>
    <t>C16</t>
  </si>
  <si>
    <t>Jacinto Machado</t>
  </si>
  <si>
    <t>SC</t>
  </si>
  <si>
    <t>21/2008</t>
  </si>
  <si>
    <t>28 de novembro de 2008</t>
  </si>
  <si>
    <t>Cooperativa de Eletricidade Praia Grande</t>
  </si>
  <si>
    <t>C17</t>
  </si>
  <si>
    <t>Praia Grande</t>
  </si>
  <si>
    <t>CEEE</t>
  </si>
  <si>
    <t>19/2010</t>
  </si>
  <si>
    <t>17 de março de 2010</t>
  </si>
  <si>
    <t>14 de dezembro de 2021</t>
  </si>
  <si>
    <t>Ceral Dis</t>
  </si>
  <si>
    <t>Cooperativa Distribuidora de Energia Vale do Araçá</t>
  </si>
  <si>
    <t>C18</t>
  </si>
  <si>
    <t>Saudades</t>
  </si>
  <si>
    <t>24/2008</t>
  </si>
  <si>
    <t>Cerbranorte</t>
  </si>
  <si>
    <t>Cooperativa de Distribuição de Energia Elétrica de Anitápolis</t>
  </si>
  <si>
    <t>C19</t>
  </si>
  <si>
    <t>Anitápolis</t>
  </si>
  <si>
    <t>27/2008</t>
  </si>
  <si>
    <t>Cerci</t>
  </si>
  <si>
    <t>Cooperativa de Eletrificação Braço do Norte</t>
  </si>
  <si>
    <t>C20</t>
  </si>
  <si>
    <t>Braço do Norte</t>
  </si>
  <si>
    <t>25/2008</t>
  </si>
  <si>
    <t>Cercos</t>
  </si>
  <si>
    <t>Cerej</t>
  </si>
  <si>
    <t>Cooperativa de Prestação de Serviços Públicos de Distribuição de Energia Elétrica Senador Esteves Júnior</t>
  </si>
  <si>
    <t>C21</t>
  </si>
  <si>
    <t>Biguaçu</t>
  </si>
  <si>
    <t>28/2008</t>
  </si>
  <si>
    <t>30 de dezembro de 2008</t>
  </si>
  <si>
    <t>Cooperativa de Eletrificação Rural Anita Garibaldi Ltda</t>
  </si>
  <si>
    <t>C22</t>
  </si>
  <si>
    <t>Tubarão</t>
  </si>
  <si>
    <t>16/2008</t>
  </si>
  <si>
    <t>30 de outubro de 2008</t>
  </si>
  <si>
    <t>Cergapa</t>
  </si>
  <si>
    <t>Cooperativa de Eletricidade de Grão Pará</t>
  </si>
  <si>
    <t>C23</t>
  </si>
  <si>
    <t>Grão Pará</t>
  </si>
  <si>
    <t>38/2010</t>
  </si>
  <si>
    <t>26 de fevereiro de 2010</t>
  </si>
  <si>
    <t>Cerfox</t>
  </si>
  <si>
    <t>Cergral</t>
  </si>
  <si>
    <t>Cooperativa de Eletricidade de Gravatal</t>
  </si>
  <si>
    <t>C24</t>
  </si>
  <si>
    <t>Gravatal</t>
  </si>
  <si>
    <t>22/2008</t>
  </si>
  <si>
    <t>Cermoful</t>
  </si>
  <si>
    <t>Cooperativa Fumacense de Eletricidade</t>
  </si>
  <si>
    <t>C25</t>
  </si>
  <si>
    <t xml:space="preserve">Morro da Fumaça </t>
  </si>
  <si>
    <t>40/2010</t>
  </si>
  <si>
    <t>28 de julho de 2010</t>
  </si>
  <si>
    <t>Cerpalo</t>
  </si>
  <si>
    <t>Cooperativa de Eletricidade de Paulo Lopes</t>
  </si>
  <si>
    <t>C26</t>
  </si>
  <si>
    <t>Paulo Lopes</t>
  </si>
  <si>
    <t>23/2008</t>
  </si>
  <si>
    <t>Cersul</t>
  </si>
  <si>
    <t>Cooperativa de Eletrificação Sul Catarinense</t>
  </si>
  <si>
    <t>C28</t>
  </si>
  <si>
    <t xml:space="preserve">Turvo </t>
  </si>
  <si>
    <t>20/2008</t>
  </si>
  <si>
    <t>Certrel</t>
  </si>
  <si>
    <t>Cooperativa de Energia Treviso</t>
  </si>
  <si>
    <t>C29</t>
  </si>
  <si>
    <t>Treviso</t>
  </si>
  <si>
    <t>35/2010</t>
  </si>
  <si>
    <t>Cooperativa Pioneira de Eletrificação</t>
  </si>
  <si>
    <t>C30</t>
  </si>
  <si>
    <t>Forquilhinha</t>
  </si>
  <si>
    <t>18/2008</t>
  </si>
  <si>
    <t>Coopercocal</t>
  </si>
  <si>
    <t>Cooperativa Energética Cocal</t>
  </si>
  <si>
    <t>C31</t>
  </si>
  <si>
    <t>Cocal do Sul</t>
  </si>
  <si>
    <t>EFLUL</t>
  </si>
  <si>
    <t>34/2010</t>
  </si>
  <si>
    <t>5 de agosto de 2010</t>
  </si>
  <si>
    <t>Coopermila</t>
  </si>
  <si>
    <t>Cooperativa de Eletrificação Lauro Muller</t>
  </si>
  <si>
    <t>C32</t>
  </si>
  <si>
    <t>Lauro Müller</t>
  </si>
  <si>
    <t>17/2008</t>
  </si>
  <si>
    <t>Coorsel</t>
  </si>
  <si>
    <t>Cooperativa Regional Sul de Eletrificação Rural</t>
  </si>
  <si>
    <t>C34</t>
  </si>
  <si>
    <t>Treze de Maio</t>
  </si>
  <si>
    <t>26/2008</t>
  </si>
  <si>
    <t>Cermissões</t>
  </si>
  <si>
    <t>Cooperativa Regional de Energia e Desenvolvimento Ijuí Ltda</t>
  </si>
  <si>
    <t>C37</t>
  </si>
  <si>
    <t>Ijuí</t>
  </si>
  <si>
    <t>RS</t>
  </si>
  <si>
    <t>36/2010</t>
  </si>
  <si>
    <t>27 de maio de 2010</t>
  </si>
  <si>
    <t>Cooperativa de Distribuição e Geração de Energia das Missões</t>
  </si>
  <si>
    <t>C38</t>
  </si>
  <si>
    <t>Caibaté</t>
  </si>
  <si>
    <t>30/2010</t>
  </si>
  <si>
    <t>31 de março de 2010</t>
  </si>
  <si>
    <t>Certaja</t>
  </si>
  <si>
    <t>Cooperativa Regional de Energia Taquari Jacui</t>
  </si>
  <si>
    <t>C39</t>
  </si>
  <si>
    <t>Taquari</t>
  </si>
  <si>
    <t>15/2008</t>
  </si>
  <si>
    <t>28 de agosto de 2008</t>
  </si>
  <si>
    <t>Cooperativa de Distribuição de Energia Teutônia</t>
  </si>
  <si>
    <t>C40</t>
  </si>
  <si>
    <t>Teutônia</t>
  </si>
  <si>
    <t>33/2010</t>
  </si>
  <si>
    <t>31 de maio de 2010</t>
  </si>
  <si>
    <t>Cooperluz</t>
  </si>
  <si>
    <t>Cooperativa Distribuidora de Energia Fronteira Noroeste</t>
  </si>
  <si>
    <t>C42</t>
  </si>
  <si>
    <t>Santa Rosa</t>
  </si>
  <si>
    <t>32/2010</t>
  </si>
  <si>
    <t>Coprel</t>
  </si>
  <si>
    <t>Coprel Cooperativa de Energia</t>
  </si>
  <si>
    <t>C45</t>
  </si>
  <si>
    <t>Ibirubá</t>
  </si>
  <si>
    <t>31/2010</t>
  </si>
  <si>
    <t>28 de fevereiro de 2010</t>
  </si>
  <si>
    <t>Cersad</t>
  </si>
  <si>
    <t>Cooperativa de Distribuição de Energia</t>
  </si>
  <si>
    <t>C46</t>
  </si>
  <si>
    <t>Pinhal</t>
  </si>
  <si>
    <t>39/2010</t>
  </si>
  <si>
    <t>Creral</t>
  </si>
  <si>
    <t>Cooperativa Regional de Eletrificação Rural do Alto Uruguai</t>
  </si>
  <si>
    <t>C47</t>
  </si>
  <si>
    <t>Erechim</t>
  </si>
  <si>
    <t>41/2010</t>
  </si>
  <si>
    <t>Cooperativa de Distribuição de Energia Elétrica de Arapoti Ltda</t>
  </si>
  <si>
    <t>C48</t>
  </si>
  <si>
    <t>Arapoti</t>
  </si>
  <si>
    <t>PR</t>
  </si>
  <si>
    <t>Copel-Dis</t>
  </si>
  <si>
    <t>14/2008</t>
  </si>
  <si>
    <t>Cooperativa de Eletrificação Rural de Resende Ltda</t>
  </si>
  <si>
    <t>C52</t>
  </si>
  <si>
    <t>Resende</t>
  </si>
  <si>
    <t>RJ</t>
  </si>
  <si>
    <t>10/2008</t>
  </si>
  <si>
    <t>ENEL RJ</t>
  </si>
  <si>
    <t>Certhil</t>
  </si>
  <si>
    <t>Cooperativa de Eletrificação e Desenvolvimento Rural Centro Sul de Sergipe Ltda</t>
  </si>
  <si>
    <t>C54</t>
  </si>
  <si>
    <t>Lagarto</t>
  </si>
  <si>
    <t>SE</t>
  </si>
  <si>
    <t>Energisa SE</t>
  </si>
  <si>
    <t>09/2008</t>
  </si>
  <si>
    <t>30 de julho de 2008</t>
  </si>
  <si>
    <t xml:space="preserve">Cooperativa de Eletrificação Rural Cachoeiras do Itaboraí Ltda. </t>
  </si>
  <si>
    <t>C55</t>
  </si>
  <si>
    <t xml:space="preserve">Cachoeira do Macacu </t>
  </si>
  <si>
    <t>02/2018</t>
  </si>
  <si>
    <t>04 de julho de 2018</t>
  </si>
  <si>
    <t>-</t>
  </si>
  <si>
    <t>Sim</t>
  </si>
  <si>
    <t>Cervam</t>
  </si>
  <si>
    <t>Cooperativa de Eletrificação Rural de Araruama Ltda.</t>
  </si>
  <si>
    <t>C56</t>
  </si>
  <si>
    <t xml:space="preserve">Araruama </t>
  </si>
  <si>
    <t>03/2018</t>
  </si>
  <si>
    <t>19 de setembro de 2018</t>
  </si>
  <si>
    <t xml:space="preserve">Cooperativa de Distribuição de Energia Fontoura Xavier </t>
  </si>
  <si>
    <t>C57</t>
  </si>
  <si>
    <t xml:space="preserve">Fontoura Xavier </t>
  </si>
  <si>
    <t>04/2018</t>
  </si>
  <si>
    <t>17 de setembro de 2018</t>
  </si>
  <si>
    <t>Codesam</t>
  </si>
  <si>
    <t xml:space="preserve">Cooperativa de Distribuição de Energia Entre Rios Ltda. </t>
  </si>
  <si>
    <t>C58</t>
  </si>
  <si>
    <t>Três de Maio</t>
  </si>
  <si>
    <t>05/2018</t>
  </si>
  <si>
    <t>10 de setembro de 2018</t>
  </si>
  <si>
    <t xml:space="preserve">Cooperativa de Distribuição de Energia Elétrica de Castro </t>
  </si>
  <si>
    <t>C49</t>
  </si>
  <si>
    <t>Castro</t>
  </si>
  <si>
    <t xml:space="preserve">COPEL </t>
  </si>
  <si>
    <t>06/2018</t>
  </si>
  <si>
    <t>24 de setembro de 2018</t>
  </si>
  <si>
    <t xml:space="preserve">Cooperativa de Energização e Desenvolvimento do Vale do Mogi </t>
  </si>
  <si>
    <t>C60</t>
  </si>
  <si>
    <t>Porto Ferreira</t>
  </si>
  <si>
    <t>ELEKTRO</t>
  </si>
  <si>
    <t>CPFL PAULISTA</t>
  </si>
  <si>
    <t>11/2018</t>
  </si>
  <si>
    <t>20 de novembro de 2018</t>
  </si>
  <si>
    <t xml:space="preserve">Cooperativa de Eletricidade de São Ludgero </t>
  </si>
  <si>
    <t>C15</t>
  </si>
  <si>
    <t>São Ludgero</t>
  </si>
  <si>
    <t>CELESC</t>
  </si>
  <si>
    <t>08/2018</t>
  </si>
  <si>
    <t>23 de outubro de 2018</t>
  </si>
  <si>
    <t xml:space="preserve">Cooperativa de Distribuição de Energia Elétrica Salto Donner </t>
  </si>
  <si>
    <t>C27</t>
  </si>
  <si>
    <t>Doutor Pedrinho</t>
  </si>
  <si>
    <t>09/2018</t>
  </si>
  <si>
    <t>1º de novembro de 2018</t>
  </si>
  <si>
    <t>Coopernorte</t>
  </si>
  <si>
    <t xml:space="preserve">Cooperativa de Distribuição de Energia Elétrica Santa Maria </t>
  </si>
  <si>
    <t>C61</t>
  </si>
  <si>
    <t xml:space="preserve">Benedito Novo </t>
  </si>
  <si>
    <t>10/2018</t>
  </si>
  <si>
    <t>27 de novembro de 2018</t>
  </si>
  <si>
    <t>Coopersul</t>
  </si>
  <si>
    <t>Cooperzem</t>
  </si>
  <si>
    <t>COOPERZEM Cooperativa de Distribuição de Energia Elétrica</t>
  </si>
  <si>
    <t>C62</t>
  </si>
  <si>
    <t xml:space="preserve">Armazém </t>
  </si>
  <si>
    <t>07/2018</t>
  </si>
  <si>
    <t>26 de outubro de 2018</t>
  </si>
  <si>
    <t>COOPERZEM</t>
  </si>
  <si>
    <t>Cooperativa Regional de Eletrificação Rural Fronteira Sul Ltda. - COOPERSUL</t>
  </si>
  <si>
    <t>C63</t>
  </si>
  <si>
    <t>Bagé</t>
  </si>
  <si>
    <t>013/2018</t>
  </si>
  <si>
    <t>11 de janeiro de 2019</t>
  </si>
  <si>
    <t>Cooperativa Regional de Distribuição De Energia do Litoral Norte - COOPERNORTE</t>
  </si>
  <si>
    <t>C64</t>
  </si>
  <si>
    <t>Viamão</t>
  </si>
  <si>
    <t>012/2018</t>
  </si>
  <si>
    <t>18 de janeiro de 2019</t>
  </si>
  <si>
    <t>Cooperativa de Eletrificação e Desenvolvimento da Região de Mogi Mirim - CEMIRIM</t>
  </si>
  <si>
    <t>C03</t>
  </si>
  <si>
    <t>Mogi Mirim</t>
  </si>
  <si>
    <t>001/2019</t>
  </si>
  <si>
    <t>13 de maio de 2019</t>
  </si>
  <si>
    <t>Cooperativa de Eletrificação Centro Jacuí Ltda. - CELETRO</t>
  </si>
  <si>
    <t>C65</t>
  </si>
  <si>
    <t>Jacuí</t>
  </si>
  <si>
    <t>Nova Palma</t>
  </si>
  <si>
    <t>30 de julho de 2020</t>
  </si>
  <si>
    <t xml:space="preserve">sim </t>
  </si>
  <si>
    <t>DescontosTE</t>
  </si>
  <si>
    <t>Permissionária</t>
  </si>
  <si>
    <t>idsreag supridora</t>
  </si>
  <si>
    <t>codsariSUP</t>
  </si>
  <si>
    <t>Classe</t>
  </si>
  <si>
    <t>chave</t>
  </si>
  <si>
    <t>2015</t>
  </si>
  <si>
    <t>2016</t>
  </si>
  <si>
    <t>2017</t>
  </si>
  <si>
    <t>2018</t>
  </si>
  <si>
    <t>2019</t>
  </si>
  <si>
    <t>2020</t>
  </si>
  <si>
    <t>2021</t>
  </si>
  <si>
    <t>2022</t>
  </si>
  <si>
    <t>A4</t>
  </si>
  <si>
    <t>Ceee</t>
  </si>
  <si>
    <t>A3</t>
  </si>
  <si>
    <t>Copel</t>
  </si>
  <si>
    <t>A3a</t>
  </si>
  <si>
    <t>A2</t>
  </si>
  <si>
    <t>Energisa Se</t>
  </si>
  <si>
    <t>B</t>
  </si>
  <si>
    <t>Cermc</t>
  </si>
  <si>
    <t>Cerrp</t>
  </si>
  <si>
    <t xml:space="preserve">Copel </t>
  </si>
  <si>
    <t xml:space="preserve">Elektro </t>
  </si>
  <si>
    <t>UNHENPAL</t>
  </si>
  <si>
    <t>TarifasB1</t>
  </si>
  <si>
    <t>2012</t>
  </si>
  <si>
    <t>RTE 2013</t>
  </si>
  <si>
    <t>2013</t>
  </si>
  <si>
    <t>2014</t>
  </si>
  <si>
    <t>Coorpersul</t>
  </si>
  <si>
    <t>Ceres (Enel-RJ)</t>
  </si>
  <si>
    <t>Cergal (Celesc)</t>
  </si>
  <si>
    <t>Cergapa (Celesc)</t>
  </si>
  <si>
    <t>Cergral (Celesc)</t>
  </si>
  <si>
    <t>Ceriluz (RGE)</t>
  </si>
  <si>
    <t>Cerim (CPFL Piratininga)</t>
  </si>
  <si>
    <t>Ceripa (CPFL Santa Cruz)</t>
  </si>
  <si>
    <t>Ceris (Eletropaulo)</t>
  </si>
  <si>
    <t>CERMC (EDP-SP)</t>
  </si>
  <si>
    <t>Cermissões (RGE)</t>
  </si>
  <si>
    <t>Cermoful (Celesc)</t>
  </si>
  <si>
    <t>Cernhe (ESS)</t>
  </si>
  <si>
    <t>Cerpalo (Celesc)</t>
  </si>
  <si>
    <t>CERRP (CPFL Paulista)</t>
  </si>
  <si>
    <t>Cersul (Celesc)</t>
  </si>
  <si>
    <t>Certaja (RGE)</t>
  </si>
  <si>
    <t>Certel (RGE)</t>
  </si>
  <si>
    <t>Certrel (Celesc)</t>
  </si>
  <si>
    <t>Cetril (CPFL Piratininga)</t>
  </si>
  <si>
    <t>Coopera (Celesc)</t>
  </si>
  <si>
    <t>Coopercocal (Celesc)</t>
  </si>
  <si>
    <t>Cooperluz (RGE)</t>
  </si>
  <si>
    <t>Coopermila (Celesc)</t>
  </si>
  <si>
    <t>Coorsel (Celesc)</t>
  </si>
  <si>
    <t>Coprel (RGE)</t>
  </si>
  <si>
    <t>Creluz (RGE)</t>
  </si>
  <si>
    <t>Creral (RGE)</t>
  </si>
  <si>
    <t>Cerci (Enel-RJ)</t>
  </si>
  <si>
    <t>Ceral Araruama (Enel-RJ)</t>
  </si>
  <si>
    <t>PERSAS 124</t>
  </si>
  <si>
    <t>Não apagar</t>
  </si>
  <si>
    <t>Diretor Relator</t>
  </si>
  <si>
    <t xml:space="preserve">Tarifa B1 </t>
  </si>
  <si>
    <t>Nota Técnica Ex: 00/2022-SGT/ANEEL</t>
  </si>
  <si>
    <t>Data NT Ex: 01 de janeiro de 2022</t>
  </si>
  <si>
    <t>Nº do Processo</t>
  </si>
  <si>
    <t>DADOS DA EMPRESA E PROCESSO</t>
  </si>
  <si>
    <t>Extração de dados. Marcar apenas 1 por vez</t>
  </si>
  <si>
    <t>Dados Gerenciais</t>
  </si>
  <si>
    <t>Região</t>
  </si>
  <si>
    <t>Informações iniciais</t>
  </si>
  <si>
    <t>CÓDIGO DA EMPRESA</t>
  </si>
  <si>
    <t>Indicadores econômicos</t>
  </si>
  <si>
    <t>CÓDIGO SARI</t>
  </si>
  <si>
    <t>Dados Processo Tarifário</t>
  </si>
  <si>
    <t>Tarifas de Suprimento</t>
  </si>
  <si>
    <t>CÓDIGO SISTEMA DE FATURAS</t>
  </si>
  <si>
    <t>Ano do Processo</t>
  </si>
  <si>
    <t>Atualização Sistema de Suprimento</t>
  </si>
  <si>
    <t>Dados de Inflação</t>
  </si>
  <si>
    <t>Reajuste/Revisão Ante</t>
  </si>
  <si>
    <t>Cálculo Sistema de Suprimento</t>
  </si>
  <si>
    <t>Índice IGPM na Revisão/Reajuste</t>
  </si>
  <si>
    <t>Reajuste/Revisão Suge</t>
  </si>
  <si>
    <t>Mercado e encargo</t>
  </si>
  <si>
    <t>Índice IPCA na Revisão/Reajuste</t>
  </si>
  <si>
    <t>Rede Básica e Conexão</t>
  </si>
  <si>
    <t>IGPM período de Referência</t>
  </si>
  <si>
    <t>Energia CCGF/Angra</t>
  </si>
  <si>
    <t>IPCA período de Referência</t>
  </si>
  <si>
    <t>Tipo de processo</t>
  </si>
  <si>
    <t>CVE</t>
  </si>
  <si>
    <t>IPCA atualização PB (PRORET 8.4)</t>
  </si>
  <si>
    <t>ENTRADA DE DADOS</t>
  </si>
  <si>
    <t>METODOLOGIA 8.4 - DADOS DO PLEITO</t>
  </si>
  <si>
    <t>Carta Pleito Ex: Carta 00 de 01/01/00</t>
  </si>
  <si>
    <t>Perdas %</t>
  </si>
  <si>
    <t>Limites pleito</t>
  </si>
  <si>
    <t>Perdas técnicas (%)</t>
  </si>
  <si>
    <t>Parcela B último processo</t>
  </si>
  <si>
    <t>Perdas não técnicas (%)</t>
  </si>
  <si>
    <t>Limite Parcela B</t>
  </si>
  <si>
    <t>Composição</t>
  </si>
  <si>
    <t>Parcela B total requerida</t>
  </si>
  <si>
    <t>Data de referência original da Subvenção</t>
  </si>
  <si>
    <t>Data de aniversaio supridora</t>
  </si>
  <si>
    <t>Operação/Manutenção/Adminstração</t>
  </si>
  <si>
    <t>Perdas MWh</t>
  </si>
  <si>
    <t>Subvenção PB valor anual</t>
  </si>
  <si>
    <t>Investimentos/Reservas/Outras receitas</t>
  </si>
  <si>
    <t>Perdas técnicas (MWh)</t>
  </si>
  <si>
    <t>Subvenção PB valor mensal</t>
  </si>
  <si>
    <t>Perdas não técnicas (MWh)</t>
  </si>
  <si>
    <t>Perdas energia último processo</t>
  </si>
  <si>
    <t>Limite pleito de perdas energia</t>
  </si>
  <si>
    <t>Perdas totais requeridas</t>
  </si>
  <si>
    <t>Dados processos anteriores</t>
  </si>
  <si>
    <t>Metodologia 8.1</t>
  </si>
  <si>
    <t>Perdas regulatória e Fator X</t>
  </si>
  <si>
    <t>Mercado MWh</t>
  </si>
  <si>
    <t>Perdas regulatória</t>
  </si>
  <si>
    <t>Fator X</t>
  </si>
  <si>
    <t>PD</t>
  </si>
  <si>
    <t>preencher em caso não tenha sido alimentado automaticamente</t>
  </si>
  <si>
    <t>Rede Básica</t>
  </si>
  <si>
    <t>B1principal supridora</t>
  </si>
  <si>
    <t>Rede Básica Fronteira</t>
  </si>
  <si>
    <t>Conexão</t>
  </si>
  <si>
    <t>Uso do sistema de distribuição</t>
  </si>
  <si>
    <t>Parcela B Anterior</t>
  </si>
  <si>
    <t xml:space="preserve">Custo  de Geração Própria  </t>
  </si>
  <si>
    <t>Tarifa atualizada</t>
  </si>
  <si>
    <t xml:space="preserve">Financeiros </t>
  </si>
  <si>
    <t>Verificar financeiros do ano anterior</t>
  </si>
  <si>
    <t>Para as recém regularizadas os financeiros valem a  partir da data de aplicação das tarifas</t>
  </si>
  <si>
    <t>Mês</t>
  </si>
  <si>
    <t>Pis/Cofins</t>
  </si>
  <si>
    <t>Dic Fic</t>
  </si>
  <si>
    <t>Pis/ Cofins transmissora</t>
  </si>
  <si>
    <t>Bandeira</t>
  </si>
  <si>
    <t>processo anterior: PIS/COFINS/ICMS/DICFIC até março</t>
  </si>
  <si>
    <t>Bandeira até fevereiro/20</t>
  </si>
  <si>
    <t>Parar antes do mês</t>
  </si>
  <si>
    <t>Limite</t>
  </si>
  <si>
    <t>% atual</t>
  </si>
  <si>
    <t>Limitador</t>
  </si>
  <si>
    <t>Quadro para vínculos</t>
  </si>
  <si>
    <t xml:space="preserve">N° Processo </t>
  </si>
  <si>
    <t>Nº última REH</t>
  </si>
  <si>
    <t>Data assinatura última REH</t>
  </si>
  <si>
    <t>Efeito Eco+Fin ultima REH</t>
  </si>
  <si>
    <t>Economico ultima REH</t>
  </si>
  <si>
    <t>Financeiro ultima REH</t>
  </si>
  <si>
    <t>n° contrato de permissão</t>
  </si>
  <si>
    <t>Data de Assinatura do Contrato</t>
  </si>
  <si>
    <t>Nome Empresa</t>
  </si>
  <si>
    <t>Sigla Empresa</t>
  </si>
  <si>
    <t>Cidade Empresa EX: Brasília - DF</t>
  </si>
  <si>
    <t>Mês ano anterior</t>
  </si>
  <si>
    <t xml:space="preserve">Data de Aniversário  Ex: 31/08/14    </t>
  </si>
  <si>
    <t>Referência Subsídios</t>
  </si>
  <si>
    <t>Mês reajuste</t>
  </si>
  <si>
    <t xml:space="preserve">Período de Referência </t>
  </si>
  <si>
    <t>Perdas na Distribuição</t>
  </si>
  <si>
    <t>IPCA - Fator X</t>
  </si>
  <si>
    <t>Custo Energia</t>
  </si>
  <si>
    <t>Custo CUSD</t>
  </si>
  <si>
    <t>Custo Rede Básica</t>
  </si>
  <si>
    <t>Custo Conexão</t>
  </si>
  <si>
    <t>Unidades Consumidoras NT (mil)</t>
  </si>
  <si>
    <t>Receita NT (milhões)</t>
  </si>
  <si>
    <t>Tipo de Processo tarifário</t>
  </si>
  <si>
    <t>Tipo de Processo tarifário - Completo</t>
  </si>
  <si>
    <t>Texto sobre metodologia</t>
  </si>
  <si>
    <t>Regularizada</t>
  </si>
  <si>
    <t xml:space="preserve">Data de vigência </t>
  </si>
  <si>
    <t>Para ranking</t>
  </si>
  <si>
    <t xml:space="preserve">Resultado </t>
  </si>
  <si>
    <t>Data do envio:</t>
  </si>
  <si>
    <t xml:space="preserve">                                      Efeito Consumidor</t>
  </si>
  <si>
    <t>Resultado</t>
  </si>
  <si>
    <t>Última versão enviada:</t>
  </si>
  <si>
    <t>Efeito Grupo A - Alta tensão</t>
  </si>
  <si>
    <t>Efeito Grupo B - Baixa tensão</t>
  </si>
  <si>
    <t xml:space="preserve">RA1 </t>
  </si>
  <si>
    <t>Efeito tarifário médio AT+BT</t>
  </si>
  <si>
    <t>RA0 (Receita de Referência)</t>
  </si>
  <si>
    <t>Tarifa B1 - Residencial   (R$/MWh)</t>
  </si>
  <si>
    <t>Efeito B1</t>
  </si>
  <si>
    <t>Componentes Financeiros (%)</t>
  </si>
  <si>
    <t>Subvenção da CDE para descontos tarifários (Valores anuais)</t>
  </si>
  <si>
    <t>ano anterior</t>
  </si>
  <si>
    <t>DRP</t>
  </si>
  <si>
    <t>Retirada dos Financeiros Ano Anterior</t>
  </si>
  <si>
    <t>Parcela A</t>
  </si>
  <si>
    <t>DRA</t>
  </si>
  <si>
    <t>Part.</t>
  </si>
  <si>
    <t>Var.</t>
  </si>
  <si>
    <t>Encargos</t>
  </si>
  <si>
    <t>Reserva Global de Reversão – RGR</t>
  </si>
  <si>
    <t>Conta de Consumo de Combustíveis – CCC</t>
  </si>
  <si>
    <t>Taxa de Fisc. de Serviços de E.E. – TFSEE</t>
  </si>
  <si>
    <t>Conta de Desenvolvimento Energético – CDE</t>
  </si>
  <si>
    <t>Data de Atuliazação</t>
  </si>
  <si>
    <t xml:space="preserve"> CDE Conta Covid</t>
  </si>
  <si>
    <t>Status de Sincronização de BDL</t>
  </si>
  <si>
    <t>Encargos Serv. Sist. - ESS e Energ. Reserv. – EER</t>
  </si>
  <si>
    <t>Última Sincronização</t>
  </si>
  <si>
    <t>P&amp;D e Eficiência Energética</t>
  </si>
  <si>
    <t>Transporte</t>
  </si>
  <si>
    <t>Rede Básica ONS (A2)</t>
  </si>
  <si>
    <t>Rede Básica Export. (A2)</t>
  </si>
  <si>
    <t>MUST Itaipu</t>
  </si>
  <si>
    <t>Transporte de Itaipu</t>
  </si>
  <si>
    <t>Valor da Parcela A</t>
  </si>
  <si>
    <t>Valor da Parcela B</t>
  </si>
  <si>
    <t>Componentes Financeiros</t>
  </si>
  <si>
    <t>R$</t>
  </si>
  <si>
    <t>Colunas1</t>
  </si>
  <si>
    <t>Total Financeiros</t>
  </si>
  <si>
    <t>Neutralidade Encargos Setoriais</t>
  </si>
  <si>
    <t>Tabelas</t>
  </si>
  <si>
    <t>Gráficos</t>
  </si>
  <si>
    <t>Índice de Reposicionamento Tarifário</t>
  </si>
  <si>
    <t>Receita Anual - RA0</t>
  </si>
  <si>
    <t>Receita em DRA</t>
  </si>
  <si>
    <t>Gráfico</t>
  </si>
  <si>
    <t>Encargos Setoriais em DRP</t>
  </si>
  <si>
    <t xml:space="preserve">Item de Custo </t>
  </si>
  <si>
    <t>Part (%)</t>
  </si>
  <si>
    <t xml:space="preserve">ABERTURA DA CONTA DE ENERGIA ELÉTRICA </t>
  </si>
  <si>
    <t>Tributos</t>
  </si>
  <si>
    <t>por dentro</t>
  </si>
  <si>
    <t>por fora</t>
  </si>
  <si>
    <t>Perdas</t>
  </si>
  <si>
    <t>Encargos Setoriais</t>
  </si>
  <si>
    <t>Custo de Distribuição</t>
  </si>
  <si>
    <t>Energia Requerida</t>
  </si>
  <si>
    <t>Custo de Energia</t>
  </si>
  <si>
    <t>PIS / COFINS</t>
  </si>
  <si>
    <t>Custos de Aquisição de Energia</t>
  </si>
  <si>
    <t>Custo de Trasnmissão</t>
  </si>
  <si>
    <t>Percentual dos tributos</t>
  </si>
  <si>
    <t>Distribuição</t>
  </si>
  <si>
    <t>TUSD</t>
  </si>
  <si>
    <t>Efeito da Retirada dos Financeiros Anteriores</t>
  </si>
  <si>
    <t>PIS/COFINS</t>
  </si>
  <si>
    <t>Efeito Médio</t>
  </si>
  <si>
    <t>Efeito Médio Consumidor</t>
  </si>
  <si>
    <t>TRIBUTOS  (por dentro)</t>
  </si>
  <si>
    <t>Participação no Resultado</t>
  </si>
  <si>
    <t>TOTAL</t>
  </si>
  <si>
    <t>Reajuste Anterior</t>
  </si>
  <si>
    <t>Subsídio para repasse</t>
  </si>
  <si>
    <t>Revisão atual</t>
  </si>
  <si>
    <t>Descontos na TE</t>
  </si>
  <si>
    <t>ABERTURA DA CONTA DE ENERGIA ELÉTRICA</t>
  </si>
  <si>
    <t>B1 para empresas novas</t>
  </si>
  <si>
    <t>Empresas antigas</t>
  </si>
  <si>
    <t>Total</t>
  </si>
  <si>
    <t>Data de realização da RTE</t>
  </si>
  <si>
    <t>IGP_M</t>
  </si>
  <si>
    <t>IPCA</t>
  </si>
  <si>
    <t>Voltar</t>
  </si>
  <si>
    <t xml:space="preserve">Descrição </t>
  </si>
  <si>
    <t>Valores (R$)</t>
  </si>
  <si>
    <t>Receita Requerida</t>
  </si>
  <si>
    <t>Receita Atualizada Processo Anteriror</t>
  </si>
  <si>
    <t>Descrição</t>
  </si>
  <si>
    <t>Energia (MWh)</t>
  </si>
  <si>
    <t>Receita (R$)</t>
  </si>
  <si>
    <t>Fornecimento</t>
  </si>
  <si>
    <t>1</t>
  </si>
  <si>
    <t xml:space="preserve">     A1</t>
  </si>
  <si>
    <t xml:space="preserve">     A2</t>
  </si>
  <si>
    <t xml:space="preserve">     A3</t>
  </si>
  <si>
    <t xml:space="preserve">    A3a</t>
  </si>
  <si>
    <t xml:space="preserve">    A4 (2,3 kV a 25 kV)</t>
  </si>
  <si>
    <t xml:space="preserve">    As</t>
  </si>
  <si>
    <t xml:space="preserve">    BT (menor que 2,3 kV)</t>
  </si>
  <si>
    <t>Suprimento</t>
  </si>
  <si>
    <t>Consumidores Livres</t>
  </si>
  <si>
    <t>Processo Tarifário</t>
  </si>
  <si>
    <t>DRA (R$)</t>
  </si>
  <si>
    <t>Partic. na RA0</t>
  </si>
  <si>
    <t>Energia Comprada</t>
  </si>
  <si>
    <t xml:space="preserve">Energia  </t>
  </si>
  <si>
    <t>Transporte de Energia</t>
  </si>
  <si>
    <t>Total Parcela A</t>
  </si>
  <si>
    <t>Total Parcela B</t>
  </si>
  <si>
    <r>
      <t>RA0</t>
    </r>
    <r>
      <rPr>
        <sz val="10"/>
        <color theme="0"/>
        <rFont val="Arial Narrow"/>
        <family val="2"/>
      </rPr>
      <t xml:space="preserve"> </t>
    </r>
  </si>
  <si>
    <t xml:space="preserve">CDE Conta-COVID </t>
  </si>
  <si>
    <t>Energia Injetada</t>
  </si>
  <si>
    <t xml:space="preserve">Perdas na Rede Básica </t>
  </si>
  <si>
    <t xml:space="preserve">Energia Requerida </t>
  </si>
  <si>
    <t xml:space="preserve">Mercado Total </t>
  </si>
  <si>
    <t xml:space="preserve">Fornecimento </t>
  </si>
  <si>
    <t xml:space="preserve">Suprimento </t>
  </si>
  <si>
    <t xml:space="preserve">Perdas Totais </t>
  </si>
  <si>
    <t xml:space="preserve">Perdas Rede Básica </t>
  </si>
  <si>
    <t xml:space="preserve">Perdas na Distribuição </t>
  </si>
  <si>
    <t>Tarifas de suprimento de energia</t>
  </si>
  <si>
    <t>Tarifa (R$/MWh)</t>
  </si>
  <si>
    <t>Custo de Aquisição de Energia em DRP</t>
  </si>
  <si>
    <t>Despesa (R$)</t>
  </si>
  <si>
    <t>Sobras (-) / Exposição (+)</t>
  </si>
  <si>
    <t>Componente TUSD</t>
  </si>
  <si>
    <t xml:space="preserve">Tipo de Montante </t>
  </si>
  <si>
    <t>Tarifa com desc</t>
  </si>
  <si>
    <t>Custo de Transporte</t>
  </si>
  <si>
    <t xml:space="preserve">Componentes Financeiros </t>
  </si>
  <si>
    <t>2</t>
  </si>
  <si>
    <t>Neutralidade Financeiros e Encargos Conta Covid</t>
  </si>
  <si>
    <t>Conta Covid-19</t>
  </si>
  <si>
    <t>Crédito Pis Cofins sobre ICMS</t>
  </si>
  <si>
    <t>Diferimento Pis Cofins</t>
  </si>
  <si>
    <t>CVE Energia</t>
  </si>
  <si>
    <t>CVE Encargos</t>
  </si>
  <si>
    <t>Conta Escassez Hídrica</t>
  </si>
  <si>
    <t>Efeito médio para consumidor</t>
  </si>
  <si>
    <t>Grupo de consumo</t>
  </si>
  <si>
    <t>Variação Tarifária</t>
  </si>
  <si>
    <r>
      <t>AT - Alta Tensão     (</t>
    </r>
    <r>
      <rPr>
        <sz val="10"/>
        <rFont val="Calibri"/>
        <family val="2"/>
      </rPr>
      <t>≥</t>
    </r>
    <r>
      <rPr>
        <sz val="10"/>
        <rFont val="Arial Narrow"/>
        <family val="2"/>
      </rPr>
      <t xml:space="preserve"> 2,3 kV)</t>
    </r>
  </si>
  <si>
    <t>BT - Baixa  Tensão (&lt; 2,3 kV)</t>
  </si>
  <si>
    <t>Efeito médio geral</t>
  </si>
  <si>
    <t>Participação das Parcela A, B e financeiros no IRT</t>
  </si>
  <si>
    <t>Processo tarifário</t>
  </si>
  <si>
    <t>DRP (R$)</t>
  </si>
  <si>
    <t>Variação</t>
  </si>
  <si>
    <t>Participação no processo tarifário</t>
  </si>
  <si>
    <t xml:space="preserve">Participação na Receita </t>
  </si>
  <si>
    <t>ENCARGOS SETORIAIS</t>
  </si>
  <si>
    <t>CDE Conta-COVID</t>
  </si>
  <si>
    <t xml:space="preserve">ENERGIA COMPRADA </t>
  </si>
  <si>
    <t>TRANSPORTE DE ENERGIA</t>
  </si>
  <si>
    <t>RECEITA ANUAL</t>
  </si>
  <si>
    <t>Total de Parcela A</t>
  </si>
  <si>
    <t>Total de Parcela B</t>
  </si>
  <si>
    <t>COMPONENTES FINANCEIROS</t>
  </si>
  <si>
    <t>Participação</t>
  </si>
  <si>
    <t xml:space="preserve">Total Financeiros  </t>
  </si>
  <si>
    <t xml:space="preserve">Retirada dos componentes financeiros relativos ao processo anterior  </t>
  </si>
  <si>
    <t>Efeito da alteração dos descontos tarifários subsidiados pela CDE</t>
  </si>
  <si>
    <t xml:space="preserve">Efeito médio a ser percebido pelos Consumidores </t>
  </si>
  <si>
    <t>Valores dos Subsídios a serem repassados pela Eletrobrás</t>
  </si>
  <si>
    <t xml:space="preserve"> </t>
  </si>
  <si>
    <t>Tipo de Subsidio</t>
  </si>
  <si>
    <t>Subsidio Apurado</t>
  </si>
  <si>
    <t>Subsidio Apurado Atualizado [2]</t>
  </si>
  <si>
    <t>Diferença cobertura e apurado</t>
  </si>
  <si>
    <t>Componente</t>
  </si>
  <si>
    <t>Total Rede Básica</t>
  </si>
  <si>
    <t>Subsídio para REH</t>
  </si>
  <si>
    <t>DESCRIÇÃO</t>
  </si>
  <si>
    <t>AJUSTE – R$</t>
  </si>
  <si>
    <t>PREVISÃO – R$</t>
  </si>
  <si>
    <t>VALOR MENSAL – R$</t>
  </si>
  <si>
    <t>Subsidio Carga Fonte Incentivda</t>
  </si>
  <si>
    <t>Subsidio Geração Fonte Incentivda</t>
  </si>
  <si>
    <t>Subsidio Distribuição</t>
  </si>
  <si>
    <t>Subsidio Água, Esgoto e Saneamento</t>
  </si>
  <si>
    <t>Subsidio Rural</t>
  </si>
  <si>
    <t>Subsidio - Irrigante/Aquicultor</t>
  </si>
  <si>
    <t>Desconto Tarifário na Energia</t>
  </si>
  <si>
    <t>Desconto anterior</t>
  </si>
  <si>
    <t>Novo desconto</t>
  </si>
  <si>
    <t>Colunas2</t>
  </si>
  <si>
    <t>Componente Pd</t>
  </si>
  <si>
    <t>Componente T</t>
  </si>
  <si>
    <t>Cálculo do Mercado</t>
  </si>
  <si>
    <t>Economico</t>
  </si>
  <si>
    <t>AnoMes</t>
  </si>
  <si>
    <t>Subgrupo</t>
  </si>
  <si>
    <t>Opção</t>
  </si>
  <si>
    <t>Aplicação</t>
  </si>
  <si>
    <t>A1</t>
  </si>
  <si>
    <t>Cativo</t>
  </si>
  <si>
    <t>B*</t>
  </si>
  <si>
    <t>Receita Anual por Subgrupo Tarifário</t>
  </si>
  <si>
    <t>Receita Anual por Item de Custos</t>
  </si>
  <si>
    <t>Impostos</t>
  </si>
  <si>
    <t>Receita</t>
  </si>
  <si>
    <t>Por Dentro (%)</t>
  </si>
  <si>
    <t>Classe de consumo</t>
  </si>
  <si>
    <t xml:space="preserve">FORNECIMENTO </t>
  </si>
  <si>
    <t>PeD</t>
  </si>
  <si>
    <t>Residencial</t>
  </si>
  <si>
    <t>Industrial</t>
  </si>
  <si>
    <t>ESSERR</t>
  </si>
  <si>
    <t>Comercial, Serviços e Outras</t>
  </si>
  <si>
    <t>Ponta</t>
  </si>
  <si>
    <t>Rural</t>
  </si>
  <si>
    <t>Mercado</t>
  </si>
  <si>
    <t>Iluminação Pública</t>
  </si>
  <si>
    <t>AS</t>
  </si>
  <si>
    <t>Poder Público</t>
  </si>
  <si>
    <t>As</t>
  </si>
  <si>
    <t>MWh Ano Anterior</t>
  </si>
  <si>
    <t>Serviço Público (água, esgoto e saneamento)</t>
  </si>
  <si>
    <t>Demais</t>
  </si>
  <si>
    <t>Subclasse</t>
  </si>
  <si>
    <t>MercadoBase TOTAL BAIXA RENDA</t>
  </si>
  <si>
    <t>Transporte e parcela B</t>
  </si>
  <si>
    <t>Residencial baixa renda*</t>
  </si>
  <si>
    <t xml:space="preserve">SUPRIMENTO </t>
  </si>
  <si>
    <t>Livre</t>
  </si>
  <si>
    <t>Unidade Consumidoras</t>
  </si>
  <si>
    <t>LivreA1</t>
  </si>
  <si>
    <t>DISTRIBUIÇÃO</t>
  </si>
  <si>
    <t>Geração</t>
  </si>
  <si>
    <t>DEMAIS LIVRES</t>
  </si>
  <si>
    <t>CDE Baixa Renda</t>
  </si>
  <si>
    <t>Bolha Parcela B</t>
  </si>
  <si>
    <t>LIVRE*</t>
  </si>
  <si>
    <t>Comercial</t>
  </si>
  <si>
    <t>Rótulos de Linha</t>
  </si>
  <si>
    <t>Soma de TUSD_E</t>
  </si>
  <si>
    <t>Serviço público</t>
  </si>
  <si>
    <t>*</t>
  </si>
  <si>
    <t>Total Geral</t>
  </si>
  <si>
    <t>Arrecadação dos Encargos</t>
  </si>
  <si>
    <t>Competência</t>
  </si>
  <si>
    <t>Subs_CarFI</t>
  </si>
  <si>
    <t>Subs_GerFI</t>
  </si>
  <si>
    <t>Subs_Dist</t>
  </si>
  <si>
    <t>Subs_AguaEsgoto</t>
  </si>
  <si>
    <t>Subs_Rural</t>
  </si>
  <si>
    <t>Subs_Irrigante</t>
  </si>
  <si>
    <t>Subs_BaixaRenda</t>
  </si>
  <si>
    <t>Distribuicao</t>
  </si>
  <si>
    <t>covidTusdEco</t>
  </si>
  <si>
    <t>FinCT_ParcelaB</t>
  </si>
  <si>
    <t>FinCT_Subsidio</t>
  </si>
  <si>
    <t>Total Bruto</t>
  </si>
  <si>
    <t>Arrecadação de outras rubricas</t>
  </si>
  <si>
    <t>Base Angra III</t>
  </si>
  <si>
    <t>EnergiaRevenda</t>
  </si>
  <si>
    <t>Montante abr/17</t>
  </si>
  <si>
    <t>PerdasNT</t>
  </si>
  <si>
    <t>PerdasRB_C</t>
  </si>
  <si>
    <t>PerdasRB_D</t>
  </si>
  <si>
    <t>PerdasTec</t>
  </si>
  <si>
    <t>TUSDG_T</t>
  </si>
  <si>
    <t>TUST_CI</t>
  </si>
  <si>
    <t>TUST_FR</t>
  </si>
  <si>
    <t>TUSDG_ONS</t>
  </si>
  <si>
    <t>TUST_RB</t>
  </si>
  <si>
    <t>TUST_ITAIPU</t>
  </si>
  <si>
    <t>OUTROS</t>
  </si>
  <si>
    <t>Conexao_D</t>
  </si>
  <si>
    <t>Conexao_T</t>
  </si>
  <si>
    <t>CUSD</t>
  </si>
  <si>
    <t>DISTRIBUICAO</t>
  </si>
  <si>
    <t>Para º de consumidores</t>
  </si>
  <si>
    <t>TipoMercado</t>
  </si>
  <si>
    <t>Regular</t>
  </si>
  <si>
    <t>Mercado livre</t>
  </si>
  <si>
    <t>Código</t>
  </si>
  <si>
    <t>Detalhe</t>
  </si>
  <si>
    <t>Agente</t>
  </si>
  <si>
    <t>Posto</t>
  </si>
  <si>
    <t>OPÇÃO</t>
  </si>
  <si>
    <t>D</t>
  </si>
  <si>
    <t>Daj</t>
  </si>
  <si>
    <t>TUSD_E</t>
  </si>
  <si>
    <t>TUSD_Eaj</t>
  </si>
  <si>
    <t>TE_E</t>
  </si>
  <si>
    <t>TE_Eaj</t>
  </si>
  <si>
    <t>TUSD/KW</t>
  </si>
  <si>
    <t>TUSD/MWh</t>
  </si>
  <si>
    <t>TE</t>
  </si>
  <si>
    <t>ReceitaD</t>
  </si>
  <si>
    <t>ReceitaE</t>
  </si>
  <si>
    <t>Total com Tar de aplicação</t>
  </si>
  <si>
    <t>ITAIPU</t>
  </si>
  <si>
    <t>CVA_CCC</t>
  </si>
  <si>
    <t>CVA_CDE</t>
  </si>
  <si>
    <t>CVA_PROINFA</t>
  </si>
  <si>
    <t>CVA_TranItaipu</t>
  </si>
  <si>
    <t>CVA_ESSERR</t>
  </si>
  <si>
    <t>CVA_CFURH</t>
  </si>
  <si>
    <t>CVA_CDE_E</t>
  </si>
  <si>
    <t>CVA_Energia</t>
  </si>
  <si>
    <t>CVA_RB</t>
  </si>
  <si>
    <t>perdasnt</t>
  </si>
  <si>
    <t>perdasrb_d</t>
  </si>
  <si>
    <t>perdasrb_c</t>
  </si>
  <si>
    <t>perdastec</t>
  </si>
  <si>
    <t>RI</t>
  </si>
  <si>
    <t>PisPasep</t>
  </si>
  <si>
    <t>Cofins</t>
  </si>
  <si>
    <t>UC</t>
  </si>
  <si>
    <t>total_dummy</t>
  </si>
  <si>
    <t>CDE_E</t>
  </si>
  <si>
    <t>DespesaEnergia</t>
  </si>
  <si>
    <t>RTE_CUSD</t>
  </si>
  <si>
    <t>RTE_Energia</t>
  </si>
  <si>
    <t>RTE_CDE_USO</t>
  </si>
  <si>
    <t>RTE_CDE_E</t>
  </si>
  <si>
    <t>RTE_PeD</t>
  </si>
  <si>
    <t>Dif_Subs_Car</t>
  </si>
  <si>
    <t>Dif_Subs_Ger</t>
  </si>
  <si>
    <t>Dif_Subs_D</t>
  </si>
  <si>
    <t>Dif_Subs_Agua</t>
  </si>
  <si>
    <t>Dif_Subs_Ru</t>
  </si>
  <si>
    <t>Dif_Subs_Irr</t>
  </si>
  <si>
    <t>dif_subs_baixa</t>
  </si>
  <si>
    <t>FinTotAj</t>
  </si>
  <si>
    <t>FinAj</t>
  </si>
  <si>
    <t>RTE_CDE_E_Dec</t>
  </si>
  <si>
    <t>RTE_CDE_E_ACR</t>
  </si>
  <si>
    <t>CDE_E_Dec</t>
  </si>
  <si>
    <t>CDE_E_ACR</t>
  </si>
  <si>
    <t>FinPostTUSD</t>
  </si>
  <si>
    <t>FinPostTE</t>
  </si>
  <si>
    <t>FinPostQtddias</t>
  </si>
  <si>
    <t>FinCT_Geral</t>
  </si>
  <si>
    <t>finCT_TUST_FR</t>
  </si>
  <si>
    <t>finCT_TUST_RB</t>
  </si>
  <si>
    <t>FINCT_TUSDG_ONS</t>
  </si>
  <si>
    <t>FINCT_TUSDG_T</t>
  </si>
  <si>
    <t>FINCT_TUST_CI</t>
  </si>
  <si>
    <t>FINCT_TUST_ITAIPU</t>
  </si>
  <si>
    <t>FinCT_Itaipu</t>
  </si>
  <si>
    <t>FinCT_CUSD</t>
  </si>
  <si>
    <t>FinCT_Conexao_D</t>
  </si>
  <si>
    <t>FinCT_Conexao_T</t>
  </si>
  <si>
    <t>FinCT_EnergiaRevenda</t>
  </si>
  <si>
    <t>FINCT_perdasrb_c</t>
  </si>
  <si>
    <t>FINCT_perdasrb_d</t>
  </si>
  <si>
    <t>FinCT_perdasnt</t>
  </si>
  <si>
    <t>FinCT_perdastec</t>
  </si>
  <si>
    <t>FinCT_CCC</t>
  </si>
  <si>
    <t>FinCT_CDE</t>
  </si>
  <si>
    <t>FinCT_CDE_E</t>
  </si>
  <si>
    <t>FinCT_CFURH</t>
  </si>
  <si>
    <t>FinCT_ONS</t>
  </si>
  <si>
    <t>FinCT_ESSERR</t>
  </si>
  <si>
    <t>FinCT_Ped</t>
  </si>
  <si>
    <t>finCT_PROINFA</t>
  </si>
  <si>
    <t>finCT_TFSEE</t>
  </si>
  <si>
    <t>FINCT_Liminar</t>
  </si>
  <si>
    <t>FINCT_RGR</t>
  </si>
  <si>
    <t>Tipo_ato</t>
  </si>
  <si>
    <t>DIST_D</t>
  </si>
  <si>
    <t>DIST_E</t>
  </si>
  <si>
    <t>FIN_RI</t>
  </si>
  <si>
    <t>FINCT_RI</t>
  </si>
  <si>
    <t>Fin_TUSD</t>
  </si>
  <si>
    <t>Fin_TE</t>
  </si>
  <si>
    <t>CVA_TUSD</t>
  </si>
  <si>
    <t>CVA_TE</t>
  </si>
  <si>
    <t>CVA_EnergiaRevenda</t>
  </si>
  <si>
    <t>CVA_perdasnt</t>
  </si>
  <si>
    <t>CVA_perdasrb_d</t>
  </si>
  <si>
    <t>CVA_perdasrb_c</t>
  </si>
  <si>
    <t>CVA_perdastec</t>
  </si>
  <si>
    <t>CVA_TUST_RB</t>
  </si>
  <si>
    <t>CVA_TUST_FR</t>
  </si>
  <si>
    <t>CVA_TUSDG_ONS</t>
  </si>
  <si>
    <t>CVA_TUSDG_T</t>
  </si>
  <si>
    <t>CVA_TUST_CI</t>
  </si>
  <si>
    <t>CVA_TUST_ITAIPU</t>
  </si>
  <si>
    <t>CVA_liminar</t>
  </si>
  <si>
    <t>covidTeEco</t>
  </si>
  <si>
    <t>CVA_CovidTusd</t>
  </si>
  <si>
    <t>CVA_CovidTe_ou_CVA_CDE_E</t>
  </si>
  <si>
    <t>FinCT_CDECOVIDTUSD</t>
  </si>
  <si>
    <t>FinCT_CDECOVIDTE_ou_FinCT_CDE_E</t>
  </si>
  <si>
    <t>idsreag</t>
  </si>
  <si>
    <t>FinCTAn3En</t>
  </si>
  <si>
    <t>An3En</t>
  </si>
  <si>
    <t>CVA_An3En</t>
  </si>
  <si>
    <t>Fin_An3En</t>
  </si>
  <si>
    <t>FIN_CFURH</t>
  </si>
  <si>
    <t>TEAngra</t>
  </si>
  <si>
    <t>TUSDAngra</t>
  </si>
  <si>
    <t>teCheia</t>
  </si>
  <si>
    <t>tusdcheia</t>
  </si>
  <si>
    <t>AngraIII_TE</t>
  </si>
  <si>
    <t>AngraIII_TUSD</t>
  </si>
  <si>
    <t>AngraIII_Desc_TE</t>
  </si>
  <si>
    <t>AngraIII_Desc_TUSD</t>
  </si>
  <si>
    <t>B1</t>
  </si>
  <si>
    <t>B3</t>
  </si>
  <si>
    <t>Custo de Aquisição de Energia</t>
  </si>
  <si>
    <t>Quadro de mercado</t>
  </si>
  <si>
    <t>A) Serão reconhecidas as perdas reais, calculadas pela diferença entre o suprimento e</t>
  </si>
  <si>
    <t>fornecimento, até o limite de 13,89%, excluída a perda na Rede Básica. Para fins de estrutura tarifária, será</t>
  </si>
  <si>
    <t>Energia Requerida(Fornecimento+Suprimento(TE)+Perdas)</t>
  </si>
  <si>
    <t>considerado como custo associado às perdas técnicas;</t>
  </si>
  <si>
    <t>Fornecimento + Suprimento</t>
  </si>
  <si>
    <t>b) Para as permissionárias com perdas reais acima do limite definido no item anterior, as perdas</t>
  </si>
  <si>
    <t>Consumidor Livre</t>
  </si>
  <si>
    <t>regulatórias corresponderão a 75% das perdas reais e 25% do limite de 13,89%, que vigorarão até a primeira</t>
  </si>
  <si>
    <t>revisão tarifária periódica. Para fins de estrutura tarifária, será considerado como custo associado às perdas</t>
  </si>
  <si>
    <t>Perdas Regulatórias</t>
  </si>
  <si>
    <t>BT</t>
  </si>
  <si>
    <t>técnicas o valor de 13,89% e acima desse valor, associado às perdas não técnicas.</t>
  </si>
  <si>
    <t>Perda na Distribuição (Técnicas e Não Técnicas)</t>
  </si>
  <si>
    <t>Perda Rede Básica sobre Dist.</t>
  </si>
  <si>
    <t>Calculo de perdas na distribuição e na rede básica</t>
  </si>
  <si>
    <t>PERDAS REAIS</t>
  </si>
  <si>
    <t>Perda Rede Básica sobre mercado Cat.</t>
  </si>
  <si>
    <t>Pleito</t>
  </si>
  <si>
    <t>LIMITE REGULATÓRIO PT</t>
  </si>
  <si>
    <t>Tarifa Média</t>
  </si>
  <si>
    <t>% Não Técnica (s/ Baixa Tensão)</t>
  </si>
  <si>
    <t>PERDA REGULATÓRIAS</t>
  </si>
  <si>
    <t>Despesa Energia (Energia Req. X Custo Médio)</t>
  </si>
  <si>
    <t>% Técnica (s/ merc. injetado)</t>
  </si>
  <si>
    <t>PERDA REQUERIDA</t>
  </si>
  <si>
    <t>% Rede Básica (s/ merc. Injetado)</t>
  </si>
  <si>
    <t>Considerada</t>
  </si>
  <si>
    <t>Resumo da despesa de energia em processamento</t>
  </si>
  <si>
    <t>Perda Não Técnica</t>
  </si>
  <si>
    <t>Técnica</t>
  </si>
  <si>
    <t>Contratos</t>
  </si>
  <si>
    <t>Montante (MWh)</t>
  </si>
  <si>
    <t>Custo médio (R$/MWh)</t>
  </si>
  <si>
    <t>Despesa</t>
  </si>
  <si>
    <t>Perda Técnica</t>
  </si>
  <si>
    <t>Não técnica Injetada</t>
  </si>
  <si>
    <t>Não técnica Baixa Tensão</t>
  </si>
  <si>
    <t>Máximo de perdas</t>
  </si>
  <si>
    <t>Perdas requeridas</t>
  </si>
  <si>
    <t>Contratos Bilaterais</t>
  </si>
  <si>
    <t>Perdas Rede Básica</t>
  </si>
  <si>
    <t>Custo médio geral de energia</t>
  </si>
  <si>
    <t>Perdas DIT</t>
  </si>
  <si>
    <t>Energia CUSD -Cálculo de perdas</t>
  </si>
  <si>
    <t>Para as empresas Totalmente Supridas</t>
  </si>
  <si>
    <t>Proinfa realizado</t>
  </si>
  <si>
    <t>kWh no banco</t>
  </si>
  <si>
    <t>Desconto</t>
  </si>
  <si>
    <t>Tarifa Sup.</t>
  </si>
  <si>
    <t>Tarifa Sup. De Cobertura</t>
  </si>
  <si>
    <t>Desconto Antigo</t>
  </si>
  <si>
    <t>Glosa de Contrato</t>
  </si>
  <si>
    <t>Montante contratado</t>
  </si>
  <si>
    <t>Montante Req sem proinfa</t>
  </si>
  <si>
    <t>% considerado</t>
  </si>
  <si>
    <t>Geral</t>
  </si>
  <si>
    <t>PARA AS PERMISSIONÁRIAS QUE TEM CONTRATO NO ACL</t>
  </si>
  <si>
    <t>PRENCHER OS VALORES CONTRATADOS DE SUPRIMENTO</t>
  </si>
  <si>
    <t>Contrato</t>
  </si>
  <si>
    <t>Data Aniversario</t>
  </si>
  <si>
    <t>Mwmédio contratado</t>
  </si>
  <si>
    <t>dias de contrato</t>
  </si>
  <si>
    <t>Preço atualizado</t>
  </si>
  <si>
    <t>Custo</t>
  </si>
  <si>
    <t>Montante Considerado</t>
  </si>
  <si>
    <t>Custo com glosa</t>
  </si>
  <si>
    <t>Contratos no ACL</t>
  </si>
  <si>
    <t>somarproduto(</t>
  </si>
  <si>
    <t>Contratos Compulsórios</t>
  </si>
  <si>
    <t>Montante MWh</t>
  </si>
  <si>
    <t>Preço(R$)</t>
  </si>
  <si>
    <t>Custo(R$)</t>
  </si>
  <si>
    <t>Contrato sujeito ao Risco Hidrológico</t>
  </si>
  <si>
    <t>Angra</t>
  </si>
  <si>
    <t>CCGF</t>
  </si>
  <si>
    <t>Itaipu</t>
  </si>
  <si>
    <t>Usinas Repactuadas</t>
  </si>
  <si>
    <t>Previsão de Risco Hidrológico Total</t>
  </si>
  <si>
    <t>Geração Propria</t>
  </si>
  <si>
    <t>Geraçao propria</t>
  </si>
  <si>
    <t>não ãpagar</t>
  </si>
  <si>
    <t>REDE BÁSICA</t>
  </si>
  <si>
    <t>Quantidade</t>
  </si>
  <si>
    <t>Despesa RB</t>
  </si>
  <si>
    <t>Despesa Fronteira</t>
  </si>
  <si>
    <t>Fora de Ponta</t>
  </si>
  <si>
    <t>MW</t>
  </si>
  <si>
    <t>Pontos de Conexão</t>
  </si>
  <si>
    <t>Tensão (kV)</t>
  </si>
  <si>
    <t>Tarifas (R$/MW)</t>
  </si>
  <si>
    <t>Custo (R$)</t>
  </si>
  <si>
    <t>Montante (MW)</t>
  </si>
  <si>
    <t>RBF</t>
  </si>
  <si>
    <t>Total/Tarifas Médias</t>
  </si>
  <si>
    <t>AJUSTE CUST</t>
  </si>
  <si>
    <t>Mês de referência</t>
  </si>
  <si>
    <t>Total Ajuste CUST</t>
  </si>
  <si>
    <t>Total Ajuste CUST atualizado</t>
  </si>
  <si>
    <t>TARIFA COBERTURA</t>
  </si>
  <si>
    <t>TARIFA HOMOLOGADA</t>
  </si>
  <si>
    <t>Ponta MW</t>
  </si>
  <si>
    <t>F.Ponta MW</t>
  </si>
  <si>
    <t>P</t>
  </si>
  <si>
    <t>FP</t>
  </si>
  <si>
    <t>Ajuste CUST</t>
  </si>
  <si>
    <t>Ponto de conexão</t>
  </si>
  <si>
    <t>Ponta (R$/MW)</t>
  </si>
  <si>
    <t>F.Ponta (R$/MW)</t>
  </si>
  <si>
    <t>Ajustado</t>
  </si>
  <si>
    <t>REDE BÁSICA FRONTEIRA</t>
  </si>
  <si>
    <t>GERDAU AÇOS ESPECIAIS S/A</t>
  </si>
  <si>
    <t>GERDAU AÇOS GERDAU AÇOS ESPECIAIS S/A</t>
  </si>
  <si>
    <t>Gerdau</t>
  </si>
  <si>
    <t>GERDAU GERDAU AÇOS LONGOS S/A</t>
  </si>
  <si>
    <t>PETROFLEX</t>
  </si>
  <si>
    <t>PETROFLEX PETROFLEX INDÚSTRIA E COMÉRCIO S/A</t>
  </si>
  <si>
    <t>Conexão/DIT</t>
  </si>
  <si>
    <t>Custo Conexão/DIT</t>
  </si>
  <si>
    <t xml:space="preserve">P. A. Repassável </t>
  </si>
  <si>
    <t>P. A. Não Repassável</t>
  </si>
  <si>
    <t>Índice atualizador</t>
  </si>
  <si>
    <t>Total a ser concatenado</t>
  </si>
  <si>
    <t>IGPM</t>
  </si>
  <si>
    <t>SCHINCARIOL</t>
  </si>
  <si>
    <t>PRIMO SCHINCARIOL PRIMO SCHINCARIOL INDÚSTRIA DE CERVEJA E REFRIGERANTES S/A</t>
  </si>
  <si>
    <t>M&amp;G</t>
  </si>
  <si>
    <t>M&amp;G M&amp;G POLÍMEROS DO BRASIL S/A</t>
  </si>
  <si>
    <t>ARCELORMITTAL INOX - CEMIG</t>
  </si>
  <si>
    <t>ARCELORMITTAL INOX ARCELORMITTAL INOX BRASIL S.A.</t>
  </si>
  <si>
    <t>ARCELORMITTAL - CEMIG</t>
  </si>
  <si>
    <t>ARCELORMITTAL ARCELORMITTAL BRASIL S A</t>
  </si>
  <si>
    <t>USIMINAS - CEMIG</t>
  </si>
  <si>
    <t>USIMINAS USIMINAS</t>
  </si>
  <si>
    <t>EKA</t>
  </si>
  <si>
    <t>EKA BAHIA EKA BAHIA S.A.</t>
  </si>
  <si>
    <t>Embasa</t>
  </si>
  <si>
    <t>EMBASA - SERV. PUB. EMPRESA BAIANA DE AGUAS E SANEAMENTO S.A. (SERVIÇO PÚBLICO (ÁGUA, ESGOTO E SANEAMENTO)</t>
  </si>
  <si>
    <t>Data de Referência:</t>
  </si>
  <si>
    <t>Ford</t>
  </si>
  <si>
    <t>FORD FORD MOTOR COMPANY BRASIL LTDA</t>
  </si>
  <si>
    <t>* a preços do dia 1.º de junho</t>
  </si>
  <si>
    <t>White Martins</t>
  </si>
  <si>
    <t>WHITE MARTINS WHITE MARTINS GASES INDUSTRIAIS LTDA</t>
  </si>
  <si>
    <t>Custo não Repassável</t>
  </si>
  <si>
    <t>Custo Total para Resolução</t>
  </si>
  <si>
    <t>CITEPE</t>
  </si>
  <si>
    <t>CITEPE COMPANHIA INTEGRADA TÊXTIL DE PERNAMBUCO</t>
  </si>
  <si>
    <t>VEGA DO SUL</t>
  </si>
  <si>
    <t>ARCELORMITTAL ARCELOMITTAL BRASIL S.A.</t>
  </si>
  <si>
    <t>GMP</t>
  </si>
  <si>
    <t>GM - General Motors do Brasil LTDA</t>
  </si>
  <si>
    <t>VIPAL</t>
  </si>
  <si>
    <t>VIPAL - Borrachas Vipal S/A</t>
  </si>
  <si>
    <t>Schincariol - CEMAR</t>
  </si>
  <si>
    <t>SCHINCARIOL - Schincariol</t>
  </si>
  <si>
    <t>BRASPELCO</t>
  </si>
  <si>
    <t>BRASPELGO - BRASPELCO INDUSTRIA E COMERCIO LTDA</t>
  </si>
  <si>
    <t>JBS</t>
  </si>
  <si>
    <t>JBS - JBS S/A</t>
  </si>
  <si>
    <t>Ano Anterior</t>
  </si>
  <si>
    <t>Despesa CUSD DRP</t>
  </si>
  <si>
    <t>Atual</t>
  </si>
  <si>
    <t>id supridora</t>
  </si>
  <si>
    <t>Montante no banco</t>
  </si>
  <si>
    <t>não apagar</t>
  </si>
  <si>
    <t>Fora Ponta</t>
  </si>
  <si>
    <t>Potência</t>
  </si>
  <si>
    <t>ENCARGO EM PROCESSAMENTO (DRP)</t>
  </si>
  <si>
    <t>Cobertura Tarifária</t>
  </si>
  <si>
    <t>Dados para o cálculo do PROINFA</t>
  </si>
  <si>
    <t>Cálculo TFSEE (PRORET submódulo 5.5)</t>
  </si>
  <si>
    <t>Dados para o cálculo do P&amp;D</t>
  </si>
  <si>
    <t>MERCADO MWh sem BR + L</t>
  </si>
  <si>
    <t>Alítuota P&amp;D</t>
  </si>
  <si>
    <t>Custo Unitário PROINFA</t>
  </si>
  <si>
    <t>ONS+TSFEE+ERR+PROINFA+CFURH</t>
  </si>
  <si>
    <t>ESS e EER</t>
  </si>
  <si>
    <t>Dados para o cálculo da CDE</t>
  </si>
  <si>
    <t>Ed</t>
  </si>
  <si>
    <t>MERCADO AT MWh</t>
  </si>
  <si>
    <t>Ec + Ep</t>
  </si>
  <si>
    <t>Parcela B ajustada</t>
  </si>
  <si>
    <t>P&amp;D e PEE</t>
  </si>
  <si>
    <t xml:space="preserve">CDE Covid TUSD </t>
  </si>
  <si>
    <t>MERCADO MT MWh</t>
  </si>
  <si>
    <t>Fc</t>
  </si>
  <si>
    <t>P&amp;D s/ ROL Econômico</t>
  </si>
  <si>
    <t>MERCADO BT MWh sem BR</t>
  </si>
  <si>
    <t>Alíquota</t>
  </si>
  <si>
    <t>Financeiros</t>
  </si>
  <si>
    <t>AT N/NE</t>
  </si>
  <si>
    <t>Benefício Econômico (VPB1 + GP)</t>
  </si>
  <si>
    <t>P&amp;D s/ ROL Econômico e Financ</t>
  </si>
  <si>
    <t>MT N/NE</t>
  </si>
  <si>
    <t>BT N/NE</t>
  </si>
  <si>
    <t>AT S/SE/CO</t>
  </si>
  <si>
    <t>MT S/SE/CO</t>
  </si>
  <si>
    <t>Parcela EER</t>
  </si>
  <si>
    <t>BT S/SE/CO</t>
  </si>
  <si>
    <t>Parcela ESS</t>
  </si>
  <si>
    <t>CDE encargo</t>
  </si>
  <si>
    <t xml:space="preserve">CDE COVID TUSD </t>
  </si>
  <si>
    <t>CDE Eletrobrás</t>
  </si>
  <si>
    <t>CDE Total</t>
  </si>
  <si>
    <t>NEUTRALIDADE</t>
  </si>
  <si>
    <t>Para as empresas regularizadas em 2018 e  2019, só existe neutralidade a partir da data de vigência das tarifas iniciais</t>
  </si>
  <si>
    <t>CDE COVID</t>
  </si>
  <si>
    <t>Financeiro Covid</t>
  </si>
  <si>
    <t>Crédito Pis Cofins</t>
  </si>
  <si>
    <t>Total Neutralidade</t>
  </si>
  <si>
    <t>Neutralidade Atualizada</t>
  </si>
  <si>
    <t>CDE + P&amp;D</t>
  </si>
  <si>
    <t>Neutralidade Financeiros</t>
  </si>
  <si>
    <t>Crédito Pis Cofins sob ICMS</t>
  </si>
  <si>
    <t>Total encargos</t>
  </si>
  <si>
    <t>Valores arrecadados</t>
  </si>
  <si>
    <t>Crédito Pis cofins sob ICMS</t>
  </si>
  <si>
    <t>Base de divisão p/Financeiros</t>
  </si>
  <si>
    <t>Financeiros Estrutura</t>
  </si>
  <si>
    <t>Total dos financeiros</t>
  </si>
  <si>
    <t>Códigos para abertura</t>
  </si>
  <si>
    <t>Nome do Financeiro</t>
  </si>
  <si>
    <t>Percentual</t>
  </si>
  <si>
    <t>iddet1</t>
  </si>
  <si>
    <t>iddet2</t>
  </si>
  <si>
    <t>iddet3</t>
  </si>
  <si>
    <t>id_Grupo_TARIFA</t>
  </si>
  <si>
    <t>id_Detalhe_Grupo_TARIFA</t>
  </si>
  <si>
    <t>id_Tipo_Tarifa</t>
  </si>
  <si>
    <t>Repasse de PIS COFINS</t>
  </si>
  <si>
    <t>Repasse de PIS COFINS CUSD</t>
  </si>
  <si>
    <t>Repasse de PIS COFINS TE</t>
  </si>
  <si>
    <t>Financeiro</t>
  </si>
  <si>
    <t>Ajuste CUST RB + PIS Cofins RB</t>
  </si>
  <si>
    <t>Ajuste CUST RB Fronteira + PIS Cofins RB Fronteira</t>
  </si>
  <si>
    <t>Manual de Contabilidade do Setor Elétrico</t>
  </si>
  <si>
    <t>Financeiro CDE Eletrobras</t>
  </si>
  <si>
    <t>Ajustes Processos anteriores</t>
  </si>
  <si>
    <t>Ajuste CUST + PISCONFINS Transmissão</t>
  </si>
  <si>
    <t>Compensação DIC FIC</t>
  </si>
  <si>
    <t>Subvenção CDE</t>
  </si>
  <si>
    <t>Retenção de Adicionais de Bandeiras Tarifárias</t>
  </si>
  <si>
    <t>Multa LPT</t>
  </si>
  <si>
    <t>Repasse de ICMS</t>
  </si>
  <si>
    <t>Repasse de ICMS CUSD</t>
  </si>
  <si>
    <t>Repasse de ICMS TE</t>
  </si>
  <si>
    <t>Ressarcimento P&amp;D</t>
  </si>
  <si>
    <t>Efeito Conta COVID</t>
  </si>
  <si>
    <t>Previsão de Risco Hidrologico</t>
  </si>
  <si>
    <t>Efeito COVID da Supridora</t>
  </si>
  <si>
    <t>Crédito de Pis Cofins sobre ICMS</t>
  </si>
  <si>
    <t>Diferimento Pis Cofins TUSD</t>
  </si>
  <si>
    <t>Diferimento Pis Cofins TE</t>
  </si>
  <si>
    <t>Financeiros associados ao §7º do Art. 88 da Ren 414/2021</t>
  </si>
  <si>
    <t>CVE ccc</t>
  </si>
  <si>
    <t>CVE cde</t>
  </si>
  <si>
    <t>CVE cde energia</t>
  </si>
  <si>
    <t>CVE RB - Nodal</t>
  </si>
  <si>
    <t>CVE RB - Fronteira</t>
  </si>
  <si>
    <t>CVE RB - TUSDg EXP</t>
  </si>
  <si>
    <t>CVE RB - TUSDg ONS</t>
  </si>
  <si>
    <t>CVE RB - EUST Itaipu</t>
  </si>
  <si>
    <t>CVE- Transporte Itaipu</t>
  </si>
  <si>
    <t>CVE - Energia - Energia de Revenda</t>
  </si>
  <si>
    <t>CVE - Energia - Perda Não Técnica</t>
  </si>
  <si>
    <t>CVE - Energia - Perda Técnica</t>
  </si>
  <si>
    <t>CVE - Energia -  Perda de RB sobre a distribuição</t>
  </si>
  <si>
    <t>CVE - Energia -  Perda de RB sobre o mercado cativo</t>
  </si>
  <si>
    <t>CVE - Encargos - PROINFA</t>
  </si>
  <si>
    <t>CVE - Encargos - CFURH</t>
  </si>
  <si>
    <t>CVE - Encargos - ESS/EER</t>
  </si>
  <si>
    <t>Conta Escassez H. - Importação julho- agosto/2021 - RTA 2022 - Energia de Revenda</t>
  </si>
  <si>
    <t>Conta Escassez H. - Importação julho- agosto/2021 - RTA 2022 - Perda Não Técnica</t>
  </si>
  <si>
    <t>Conta Escassez H. - Importação julho- agosto/2021 - RTA 2022 - Perda Técnica</t>
  </si>
  <si>
    <t>Conta Escassez H. - Importação julho- agosto/2021 - RTA 2022 - Perda RB Perda RB sobre Dist.</t>
  </si>
  <si>
    <t>Conta Escassez H. - Importação julho- agosto/2021 - RTA 2022 - Perda RB sobre Merc. Cat.</t>
  </si>
  <si>
    <t>Conta Escassez H. - Bônus Redução Voluntária</t>
  </si>
  <si>
    <t>Conta Escassez H. - Diferimento de energia - RTA 2022 - Energia de Revenda</t>
  </si>
  <si>
    <t>Conta Escassez H. - Diferimento de energia - RTA 2022 - Perda Não Técnica</t>
  </si>
  <si>
    <t>Conta Escassez H. - Diferimento de energia - RTA 2022 - Perda Técnica</t>
  </si>
  <si>
    <t>Conta Escassez H. - Diferimento de energia - RTA 2022 - Perda RB Perda RB sobre Dist.</t>
  </si>
  <si>
    <t>Conta Escassez H. - Diferimento de energia - RTA 2022 - Perda RB sobre Merc. Cat.</t>
  </si>
  <si>
    <t>Reversão de Risco Hidrológico</t>
  </si>
  <si>
    <t>ICMS no suprimento</t>
  </si>
  <si>
    <t>Preencher essa planilha para as permissionárias que possuem ICMS na fatura de suprimento. Atualmente, apenas as permissionárias do Estado Rio de Janeiro possuem.</t>
  </si>
  <si>
    <t>Previsão ano anterior</t>
  </si>
  <si>
    <t>Reversão Previsão ano anterior atualizada</t>
  </si>
  <si>
    <t>ICMS Faturas</t>
  </si>
  <si>
    <t>ICMS Previsão</t>
  </si>
  <si>
    <t>Financeiros Mitigação</t>
  </si>
  <si>
    <t>Financeiro de Bandeira Escassez Hídrica</t>
  </si>
  <si>
    <t>R$ (Líquido)</t>
  </si>
  <si>
    <t>Valor Corrigido</t>
  </si>
  <si>
    <t>Atuaização Bandeira escassez Hidrica</t>
  </si>
  <si>
    <t>Importação de Energia</t>
  </si>
  <si>
    <t>Bônus de redução voluntária</t>
  </si>
  <si>
    <t>Crédito de Pis cofins sobre ICMS</t>
  </si>
  <si>
    <t>CVA em Processamento e Saldo a Compensar</t>
  </si>
  <si>
    <t xml:space="preserve"> Dados da CVE em Processamento</t>
  </si>
  <si>
    <t>Delta   (R$)</t>
  </si>
  <si>
    <t>5° Dia Útil Anterior (R$)</t>
  </si>
  <si>
    <t>12 Meses Subsequentes  (R$)</t>
  </si>
  <si>
    <t xml:space="preserve">CCC </t>
  </si>
  <si>
    <t>Sobrecontratação/exposição de energia</t>
  </si>
  <si>
    <t>Garantias financeiras  (CCEAR)</t>
  </si>
  <si>
    <t>CDE Energia</t>
  </si>
  <si>
    <t>Recálculo Sobrecontratação/Reversão</t>
  </si>
  <si>
    <t>Recálculo Exposição CCEAR entre Submercados</t>
  </si>
  <si>
    <t>Compra Energia</t>
  </si>
  <si>
    <t>Compensação ref. acordos bilaterais de CCEAR</t>
  </si>
  <si>
    <t>Previsão do Ano Anterior</t>
  </si>
  <si>
    <t>Transporte Itaipu</t>
  </si>
  <si>
    <t>Reversão da Previsão</t>
  </si>
  <si>
    <t>Cálculo da CVA Saldo a Compensar</t>
  </si>
  <si>
    <t>CVA 5° dia útil do último IRT                        (R$)</t>
  </si>
  <si>
    <t>CVA 5° dia útil Fiscalizada
  (R$)</t>
  </si>
  <si>
    <t>Delta com a fiscalização
(R$)</t>
  </si>
  <si>
    <t>CVA Faturada
Valor Bruto
(R$)</t>
  </si>
  <si>
    <t>CVA Saldo a Compensar                                        (R$)</t>
  </si>
  <si>
    <t>Ajustes para a CVA Saldo a Compensar</t>
  </si>
  <si>
    <t>CVA 5° dia útil Fiscalizada - Ajustada pela SGT
  (R$)</t>
  </si>
  <si>
    <t>RTE Reversão</t>
  </si>
  <si>
    <t>Fator Selic</t>
  </si>
  <si>
    <t>cDE_E_ACR</t>
  </si>
  <si>
    <t>Total Atualizado pelo SELIC</t>
  </si>
  <si>
    <t>Percentual Considerado</t>
  </si>
  <si>
    <t>Valores</t>
  </si>
  <si>
    <t>Valores Atualizados</t>
  </si>
  <si>
    <t>Considerados na Tarifa</t>
  </si>
  <si>
    <t>Referência</t>
  </si>
  <si>
    <t>ParcelaB</t>
  </si>
  <si>
    <t>Saldo restante</t>
  </si>
  <si>
    <t>Postergação</t>
  </si>
  <si>
    <t>Liquido</t>
  </si>
  <si>
    <t>Diferimento</t>
  </si>
  <si>
    <t>Ajuste Subsidio</t>
  </si>
  <si>
    <t>Cálculo do Ajuste, Previsão e Repasse CDE (Valores Anuais)</t>
  </si>
  <si>
    <t>Valores Mensais</t>
  </si>
  <si>
    <t>Reversao da Previsão</t>
  </si>
  <si>
    <t>Ajuste</t>
  </si>
  <si>
    <t>Repasse CDE</t>
  </si>
  <si>
    <t>Subsídio Apurado Conforme o Mercado</t>
  </si>
  <si>
    <t>Abrev</t>
  </si>
  <si>
    <t>Subsídio Carga Fonte Incentivada (R$)</t>
  </si>
  <si>
    <t>Subsídio Geração Fonte Incentivada (R$)</t>
  </si>
  <si>
    <t>Subsídio Distribuição (R$)</t>
  </si>
  <si>
    <t>Subsídio Água, Esgoto e Saneamento (R$)</t>
  </si>
  <si>
    <t>Subsídio Rural (R$)</t>
  </si>
  <si>
    <t>Subsídio Irrigante/Aquicultor (R$)</t>
  </si>
  <si>
    <t>Fator IGPM</t>
  </si>
  <si>
    <t>Total Mensal Atualizado</t>
  </si>
  <si>
    <t>* Meses em caso de Postergação</t>
  </si>
  <si>
    <t>Reversão da Previsão de Subsídio</t>
  </si>
  <si>
    <t>Meses adicionais devido a postergação</t>
  </si>
  <si>
    <t>Energia revenda ano anterior</t>
  </si>
  <si>
    <t>Indexador</t>
  </si>
  <si>
    <t>Atualizador - Legenda e Info.</t>
  </si>
  <si>
    <t>I.a - Calculadora Base Anual</t>
  </si>
  <si>
    <t>Nota Importante: Número Índice ou Competência?</t>
  </si>
  <si>
    <t>SELIC MÊS</t>
  </si>
  <si>
    <t>IGPM acumulado 1 ano</t>
  </si>
  <si>
    <t>Atualizar:</t>
  </si>
  <si>
    <t>Geração Própria 2017</t>
  </si>
  <si>
    <t>Geração Própria 2018</t>
  </si>
  <si>
    <t>Tarifa Geração Própria</t>
  </si>
  <si>
    <t>IPCA acumulado 1 ano</t>
  </si>
  <si>
    <t xml:space="preserve">Índice </t>
  </si>
  <si>
    <t xml:space="preserve">RGR </t>
  </si>
  <si>
    <t>Mês/Ano do Nº Índice Atual do IRT</t>
  </si>
  <si>
    <t>Mês/Ano do Nº Índice da Base</t>
  </si>
  <si>
    <t>índice Acumulado</t>
  </si>
  <si>
    <t>Valor Nominal</t>
  </si>
  <si>
    <t>Valor Atualizado</t>
  </si>
  <si>
    <t>% Diferido</t>
  </si>
  <si>
    <t>Valor Considerado</t>
  </si>
  <si>
    <t>I.b - Calculadora Base Mensal</t>
  </si>
  <si>
    <t>Saldo Remanescente</t>
  </si>
  <si>
    <t>Atualzação atraso 2 revisão</t>
  </si>
  <si>
    <t>Retenção Bandeira Tarifária</t>
  </si>
  <si>
    <t>Reversão subvenção</t>
  </si>
  <si>
    <t>PIS/COFINS Transmissão</t>
  </si>
  <si>
    <t>Reversão ICMS TE</t>
  </si>
  <si>
    <t>Reversão ICMS CUSD</t>
  </si>
  <si>
    <t>Atualizar por:</t>
  </si>
  <si>
    <t>previsão de 2020</t>
  </si>
  <si>
    <t>NeutralidadeCDE COVID</t>
  </si>
  <si>
    <t>Neutralidade ESS/ERR</t>
  </si>
  <si>
    <t>Neutralidade TFSEE</t>
  </si>
  <si>
    <t>Neutralidade CDE</t>
  </si>
  <si>
    <t>Neutralidade P&amp;D</t>
  </si>
  <si>
    <t>Neutralidade PROINFA</t>
  </si>
  <si>
    <t>Neutralidade Financeiro COVID</t>
  </si>
  <si>
    <t>Neutralidade Financeiro Crédito Pis cofins</t>
  </si>
  <si>
    <t xml:space="preserve">Efeito Postergação TUSD </t>
  </si>
  <si>
    <t xml:space="preserve">Efeito Postergação TE </t>
  </si>
  <si>
    <t>NomeAgente</t>
  </si>
  <si>
    <t>IdAgente</t>
  </si>
  <si>
    <t>IdAgenteDev</t>
  </si>
  <si>
    <t>EnergiaTUSD</t>
  </si>
  <si>
    <t>EnergiaTE</t>
  </si>
  <si>
    <t>Demanda</t>
  </si>
  <si>
    <t>PISCOFINS</t>
  </si>
  <si>
    <t>Previsto</t>
  </si>
  <si>
    <t>ModTar</t>
  </si>
  <si>
    <t>NomeDev</t>
  </si>
  <si>
    <t>ModReceita</t>
  </si>
  <si>
    <t>SASData</t>
  </si>
  <si>
    <t>Compentencia</t>
  </si>
  <si>
    <t>Periodo</t>
  </si>
  <si>
    <t>Faixa de Tensão</t>
  </si>
  <si>
    <t>RECEITA TE</t>
  </si>
  <si>
    <t>RECEITA MWH</t>
  </si>
  <si>
    <t>RECEITA KW</t>
  </si>
  <si>
    <t>TUSD MWh</t>
  </si>
  <si>
    <t>TUSD KW</t>
  </si>
  <si>
    <t>PISPASEP</t>
  </si>
  <si>
    <t>COFINS</t>
  </si>
  <si>
    <t>NumeroConsumidores</t>
  </si>
  <si>
    <t>competencia</t>
  </si>
  <si>
    <t>INDICADORES ECONÔMICOS</t>
  </si>
  <si>
    <t>Capa</t>
  </si>
  <si>
    <t>Mês-Ano</t>
  </si>
  <si>
    <t>IGP-M</t>
  </si>
  <si>
    <t>FATOR SELIC</t>
  </si>
  <si>
    <t>SELIC ACUM.</t>
  </si>
  <si>
    <t>Última atualização:</t>
  </si>
  <si>
    <t>DataRef</t>
  </si>
  <si>
    <t>Selic Dia</t>
  </si>
  <si>
    <t>Valor Projetado</t>
  </si>
  <si>
    <t>DIA ÚTIL</t>
  </si>
  <si>
    <t>Grupo</t>
  </si>
  <si>
    <t>id_Natureza_dado</t>
  </si>
  <si>
    <t>id_Detalhe_Natureza</t>
  </si>
  <si>
    <t>idDet1</t>
  </si>
  <si>
    <t>idDet2</t>
  </si>
  <si>
    <t>idDet3</t>
  </si>
  <si>
    <t>id_SUBGRUPO</t>
  </si>
  <si>
    <t>id_POSTO</t>
  </si>
  <si>
    <t>id_Unidade</t>
  </si>
  <si>
    <t>id_UC</t>
  </si>
  <si>
    <t>testevalor</t>
  </si>
  <si>
    <t>Índice</t>
  </si>
  <si>
    <t>Alíquota ICMS</t>
  </si>
  <si>
    <t>Alíquota PIS/COFINS</t>
  </si>
  <si>
    <t>Desconto CUSD</t>
  </si>
  <si>
    <t>CUSD Cheia</t>
  </si>
  <si>
    <t>Despesa CUSD considerada</t>
  </si>
  <si>
    <t>CONEXÃO</t>
  </si>
  <si>
    <t>REDE BÁSICA ONS (A2)</t>
  </si>
  <si>
    <t>REDE BÁSICA EXPORT. (A2)</t>
  </si>
  <si>
    <t>TRANSPORTE ITAIPU</t>
  </si>
  <si>
    <t>MUST ITAIPU</t>
  </si>
  <si>
    <t>PERDAS TÉCNICAS</t>
  </si>
  <si>
    <t>PERDAS NÃO TÉCNICAS</t>
  </si>
  <si>
    <t>PERDAS DA RB / PERDAS NA DISTRIBUIÇÃO</t>
  </si>
  <si>
    <t>PERDAS DA RB / MERCADO CATIVO</t>
  </si>
  <si>
    <t>PERDAS TÉCNICAS sobre injetada</t>
  </si>
  <si>
    <t>PERDAS NÃO TÉCNICAS sobre o BT</t>
  </si>
  <si>
    <t>Perdas da RB</t>
  </si>
  <si>
    <t>Despesa Total</t>
  </si>
  <si>
    <t>Custo Médio</t>
  </si>
  <si>
    <t>Proinfa energia</t>
  </si>
  <si>
    <t xml:space="preserve">Montante considerado do contrato </t>
  </si>
  <si>
    <t>Despesa considerado do contrato</t>
  </si>
  <si>
    <t>Montante de GP</t>
  </si>
  <si>
    <t>Despesa de GP</t>
  </si>
  <si>
    <t>Custo médio de GP</t>
  </si>
  <si>
    <t>Desconto TE</t>
  </si>
  <si>
    <t>LIVRES A1</t>
  </si>
  <si>
    <t>LIVRES (demais)</t>
  </si>
  <si>
    <t>GERADOR</t>
  </si>
  <si>
    <t>Cativo A1</t>
  </si>
  <si>
    <t>Cativo A2</t>
  </si>
  <si>
    <t>Cativo A3</t>
  </si>
  <si>
    <t>Cativo A3a</t>
  </si>
  <si>
    <t>Cativo A4</t>
  </si>
  <si>
    <t>Cativo AS</t>
  </si>
  <si>
    <t>Cativo BT</t>
  </si>
  <si>
    <t>Componente Pd do Fator X</t>
  </si>
  <si>
    <t>FATOR X</t>
  </si>
  <si>
    <t>Energia Requerida sem perdas</t>
  </si>
  <si>
    <t>VPB1</t>
  </si>
  <si>
    <t>Dummy</t>
  </si>
  <si>
    <t>Alíquota PD</t>
  </si>
  <si>
    <t>N/A</t>
  </si>
  <si>
    <t>Dados gerenciais do processo</t>
  </si>
  <si>
    <t>Processo Postergado (1-atraso, 0-normal)</t>
  </si>
  <si>
    <t>Revisão ou Reajuste (1-REVI,0-Reaj)</t>
  </si>
  <si>
    <t>ciclo</t>
  </si>
  <si>
    <t>Projeção de Mercado</t>
  </si>
  <si>
    <t>Dados Gerais</t>
  </si>
  <si>
    <t>Parcela A Total</t>
  </si>
  <si>
    <t>RA1</t>
  </si>
  <si>
    <t>Perda RB %</t>
  </si>
  <si>
    <t>Perda Rede Básica Percentual</t>
  </si>
  <si>
    <t>RA0</t>
  </si>
  <si>
    <t>Monitoramento</t>
  </si>
  <si>
    <t>RA1 com financeiro deflacionado</t>
  </si>
  <si>
    <t>Perda Total</t>
  </si>
  <si>
    <t>Soma mercado demanda</t>
  </si>
  <si>
    <t>Soma mercado energia</t>
  </si>
  <si>
    <t>REDE BÁSICA NODAL</t>
  </si>
  <si>
    <t>CONEXÃO (Repassável para tarifa)</t>
  </si>
  <si>
    <t>Soma mercado energia TE</t>
  </si>
  <si>
    <t>Parametros de abertura B</t>
  </si>
  <si>
    <t>WACC para ERD</t>
  </si>
  <si>
    <t>Taxa depreciação</t>
  </si>
  <si>
    <t>Custo operacional</t>
  </si>
  <si>
    <t>Imposto de Renda</t>
  </si>
  <si>
    <t>Remuneração Capital (valor sem efeito)</t>
  </si>
  <si>
    <t>PB Bruto</t>
  </si>
  <si>
    <t>Subsídios e CDE</t>
  </si>
  <si>
    <t>Repasse CDE Subsídio Carga Fonte Incentivada - Ajuste</t>
  </si>
  <si>
    <t>Repasse CDE Subsídio Geração Fonte Incentivada - Ajuste</t>
  </si>
  <si>
    <t>Repasse CDE Subsídio Distribuição - Ajuste</t>
  </si>
  <si>
    <t>Repasse CDE Subsídio Água, Esgoto e Saneamento - Ajuste</t>
  </si>
  <si>
    <t>Repasse CDE Subsídio Rural - Ajuste</t>
  </si>
  <si>
    <t>Repasse CDE Subsídio Irrigante/Aquicultor - Ajuste</t>
  </si>
  <si>
    <t>Repasse CDE Subsídio Carga Fonte Incentivada - Previsão</t>
  </si>
  <si>
    <t>Repasse CDE Subsídio Geração Fonte Incentivada - Previsão</t>
  </si>
  <si>
    <t>Repasse CDE Subsídio Distribuição - Previsão</t>
  </si>
  <si>
    <t>Repasse CDE Subsídio Água, Esgoto e Saneamento - Previsão</t>
  </si>
  <si>
    <t>Repasse CDE Subsídio Rural - Previsão</t>
  </si>
  <si>
    <t>Repasse CDE Subsídio Irrigante/Aquicultor - Previsão</t>
  </si>
  <si>
    <t>Repasse CDE Subsídio Carga Fonte Incentivada - Repasse</t>
  </si>
  <si>
    <t>Repasse CDE Subsídio Geração Fonte Incentivada - Repasse</t>
  </si>
  <si>
    <t>Repasse CDE Subsídio Distribuição - Repasse</t>
  </si>
  <si>
    <t>Repasse CDE Subsídio Água, Esgoto e Saneamento - Repasse</t>
  </si>
  <si>
    <t>Repasse CDE Subsídio Rural - Repasse</t>
  </si>
  <si>
    <t>Repasse CDE Subsídio Irrigante/Aquicultor - Repasse</t>
  </si>
  <si>
    <t>Conta-Covid(TUSD)</t>
  </si>
  <si>
    <t>CVArb (NODAL)</t>
  </si>
  <si>
    <t>CVAti - Transporte Itaipu</t>
  </si>
  <si>
    <t>CVAec - Energia Comprada</t>
  </si>
  <si>
    <t>CVAccc</t>
  </si>
  <si>
    <t>CVAcde</t>
  </si>
  <si>
    <t>CVAcfurh - Compensação Financeira</t>
  </si>
  <si>
    <t>CVAess/eer - Encargos Serviço do Sistema e Energia de Reserva</t>
  </si>
  <si>
    <t>CVAproinfa</t>
  </si>
  <si>
    <t>CVA cde energia</t>
  </si>
  <si>
    <t>Monitoriamento</t>
  </si>
  <si>
    <t xml:space="preserve">CVA saldo a compensar (Delta com a fiscalização): 5º dia útil CCC </t>
  </si>
  <si>
    <t>CVA saldo a compensar (Delta com a fiscalização): 5º dia útil CDE</t>
  </si>
  <si>
    <t>CVA saldo a compensar (Delta com a fiscalização): 5º dia útil CDE Energia</t>
  </si>
  <si>
    <t>CVA saldo a compensar (Delta com a fiscalização): 5º dia útil Rede Básica</t>
  </si>
  <si>
    <t>CVA saldo a compensar (Delta com a fiscalização): 5º dia útil Compra Energia</t>
  </si>
  <si>
    <t>CVA saldo a compensar (Delta com a fiscalização): 5º dia útil CFURH</t>
  </si>
  <si>
    <t>CVA saldo a compensar (Delta com a fiscalização): 5º dia útil Transporte Itaipu</t>
  </si>
  <si>
    <t>CVA saldo a compensar (Delta com a fiscalização): 5º dia útil Proinfa</t>
  </si>
  <si>
    <t>CVA saldo a compensar (Delta com a fiscalização): 5º dia útil ESS/ERR</t>
  </si>
  <si>
    <t>CDE Elet</t>
  </si>
  <si>
    <t>RB Ponta</t>
  </si>
  <si>
    <t>RB Fora de ponta</t>
  </si>
  <si>
    <t>Fr Ponta</t>
  </si>
  <si>
    <t>Fr Fora de ponta</t>
  </si>
  <si>
    <t>RB MW Ponta</t>
  </si>
  <si>
    <t>RB MW Fora de ponta</t>
  </si>
  <si>
    <t>Inicio</t>
  </si>
  <si>
    <t>supridoras</t>
  </si>
  <si>
    <t>Maximo</t>
  </si>
  <si>
    <t>Reaplicar</t>
  </si>
  <si>
    <t>Fim</t>
  </si>
  <si>
    <t>EmpresaC</t>
  </si>
  <si>
    <t>(Tudo)</t>
  </si>
  <si>
    <t>Constante FAIXA 1 BR</t>
  </si>
  <si>
    <t>Constante FAIXA 2 BR</t>
  </si>
  <si>
    <t>Constante FAIXA 3 BR</t>
  </si>
  <si>
    <t>Constante FAIXA 4 BR</t>
  </si>
  <si>
    <t>Constante B2 Rural</t>
  </si>
  <si>
    <t>Constante B2 Cooperativas</t>
  </si>
  <si>
    <t>Constante B2 SPI</t>
  </si>
  <si>
    <t>Constante B3</t>
  </si>
  <si>
    <t>Constante B4a</t>
  </si>
  <si>
    <t>Constante B4b</t>
  </si>
  <si>
    <t>Constante PUB. FAIXA 1 BR</t>
  </si>
  <si>
    <t>Constante PUB. FAIXA 2 BR</t>
  </si>
  <si>
    <t>Constante PUB. FAIXA 3 BR</t>
  </si>
  <si>
    <t>Constante PUB. FAIXA 4 BR</t>
  </si>
  <si>
    <t>Constante PUB. B2 Rural</t>
  </si>
  <si>
    <t>Constante PUB. B2 Cooperativas</t>
  </si>
  <si>
    <t>Constante PUB. B2 SPI</t>
  </si>
  <si>
    <t>SIGLA</t>
  </si>
  <si>
    <t>DATA ANIVERSÁRIO</t>
  </si>
  <si>
    <t>Dt_An_Ant</t>
  </si>
  <si>
    <t>SEGMENTO</t>
  </si>
  <si>
    <t>IdDescReg</t>
  </si>
  <si>
    <t>Id1</t>
  </si>
  <si>
    <t>NrAtReg</t>
  </si>
  <si>
    <t>ELETROACRE COMPANHIA DE ELETRICIDADE DO ACRE</t>
  </si>
  <si>
    <t>006/2001</t>
  </si>
  <si>
    <t>C</t>
  </si>
  <si>
    <t>CERR COMPANHIA ENERGÉTICA DE RORAIMA</t>
  </si>
  <si>
    <t>CERR</t>
  </si>
  <si>
    <t>CEA COMPANHIA DE ELETRICIDADE DO AMAPÁ</t>
  </si>
  <si>
    <t>CELTINS COMPANHIA DE ENERGIA ELÉTRICA DO ESTADO DO TOCANTINS</t>
  </si>
  <si>
    <t>052/1999</t>
  </si>
  <si>
    <t>CEMAR COMPANHIA ENERGÉTICA DO MARANHÃO</t>
  </si>
  <si>
    <t>060/2000</t>
  </si>
  <si>
    <t>CEPISA COMPANHIA ENERGÉTICA DO PIAUÍ</t>
  </si>
  <si>
    <t>004/2001</t>
  </si>
  <si>
    <t>COELCE COMPANHIA ENERGÉTICA DO CEARÁ</t>
  </si>
  <si>
    <t>Coelce</t>
  </si>
  <si>
    <t>001/1998</t>
  </si>
  <si>
    <t>COSERN COMPANHIA ENERGÉTICA DO RIO GRANDE DO NORTE</t>
  </si>
  <si>
    <t>008/1997</t>
  </si>
  <si>
    <t>CELPE COMPANHIA ENERGÉTICA DE PERNAMBUCO</t>
  </si>
  <si>
    <t>026/2000</t>
  </si>
  <si>
    <t>CEAL COMPANHIA ENERGÉTICA DE ALAGOAS</t>
  </si>
  <si>
    <t>007/2001</t>
  </si>
  <si>
    <t>SULGIPE COMPANHIA SUL SERGIPANA DE ELETRICIDADE</t>
  </si>
  <si>
    <t>&lt;500</t>
  </si>
  <si>
    <t>091/1999</t>
  </si>
  <si>
    <t>COELBA COMPANHIA DE ELETRICIDADE DO ESTADO DA BAHIA</t>
  </si>
  <si>
    <t>010/1997</t>
  </si>
  <si>
    <t>DEMED DME DISTRIBUIÇÃO S.A</t>
  </si>
  <si>
    <t>049/1999</t>
  </si>
  <si>
    <t>CPFL SANTA CRUZ</t>
  </si>
  <si>
    <t>CPFL AGR</t>
  </si>
  <si>
    <t>CPFL-PAULISTA COMPANHIA PAULISTA DE FORÇA E LUZ</t>
  </si>
  <si>
    <t>014/1997</t>
  </si>
  <si>
    <t>CPFL JAGUARI COMPANHIA JAGUARI DE ENERGIA</t>
  </si>
  <si>
    <t>CPFL Jaguari</t>
  </si>
  <si>
    <t>015/1999</t>
  </si>
  <si>
    <t>CPFL MOCOCA COMPANHIA LUZ E FORÇA DE MOCOCA</t>
  </si>
  <si>
    <t>CPFL Mococa</t>
  </si>
  <si>
    <t>017/1999</t>
  </si>
  <si>
    <t>CPEE COMPANHIA PAULISTA DE ENERGIA ELÉTRICA</t>
  </si>
  <si>
    <t>CPFL Leste Paulista</t>
  </si>
  <si>
    <t>018/1999</t>
  </si>
  <si>
    <t>CPFL SANTA CRUZ COMPANHIA LUZ E FORÇA SANTA CRUZ</t>
  </si>
  <si>
    <t>021/1999</t>
  </si>
  <si>
    <t>CPFL SUL PAULISTA COMPANHIA SUL PAULISTA DE ENERGIA</t>
  </si>
  <si>
    <t>CPFL Sul Paulista</t>
  </si>
  <si>
    <t>019/1999</t>
  </si>
  <si>
    <t>CNEE COMPANHIA NACIONAL DE ENERGIA ELÉTRICA</t>
  </si>
  <si>
    <t>CNEE</t>
  </si>
  <si>
    <t>016/1999</t>
  </si>
  <si>
    <t>COCEL COMPANHIA CAMPOLARGUENSE DE ENERGIA</t>
  </si>
  <si>
    <t>027/1998</t>
  </si>
  <si>
    <t>FORCEL FORÇA E LUZ CORONEL VIVIDA LTDA</t>
  </si>
  <si>
    <t>069/1999</t>
  </si>
  <si>
    <t>CFLO COMPANHIA FORÇA E LUZ DO OESTE</t>
  </si>
  <si>
    <t>CFLO</t>
  </si>
  <si>
    <t>022/1999</t>
  </si>
  <si>
    <t>EFLUL EMPRESA FORÇA E LUZ URUSSANGA LTDA</t>
  </si>
  <si>
    <t>025/1999</t>
  </si>
  <si>
    <t>IENERGIA IGUAÇU DISTRIBUIDORA DE ENERGIA ELÉTRICA LTDA</t>
  </si>
  <si>
    <t>050/1999</t>
  </si>
  <si>
    <t>EFLJC EMPRESA FORÇA E LUZ JOÃO CESA LTDA</t>
  </si>
  <si>
    <t>EFLJC</t>
  </si>
  <si>
    <t>026/1999</t>
  </si>
  <si>
    <t>DEMEI</t>
  </si>
  <si>
    <t>085/2000</t>
  </si>
  <si>
    <t>CHESP COMPANHIA HIDROELÉTRICA SÃO PATRÍCIO</t>
  </si>
  <si>
    <t>044/1999</t>
  </si>
  <si>
    <t>JARI JARI CELULOSE, PAPEL E EMBALAGENS S.A.</t>
  </si>
  <si>
    <t>Jari</t>
  </si>
  <si>
    <t>CERON CENTRAIS ELÉTRICAS DE RONDÔNIA  S/A.</t>
  </si>
  <si>
    <t>005/2001</t>
  </si>
  <si>
    <t>BOA VISTA BOA VISTA ENERGIA S/A</t>
  </si>
  <si>
    <t>Boa Vista</t>
  </si>
  <si>
    <t>021/2001</t>
  </si>
  <si>
    <t>CELPA CENTRAIS ELÉTRICAS DO PARÁ S/A.</t>
  </si>
  <si>
    <t>182/1998</t>
  </si>
  <si>
    <t>ESCELSA ESPÍRITO SANTO CENTRAIS ELÉTRICAS S/A.</t>
  </si>
  <si>
    <t>Escelsa</t>
  </si>
  <si>
    <t>001/1995</t>
  </si>
  <si>
    <t>ELFSM EMPRESA LUZ E FORÇA SANTA MARIA S/A.</t>
  </si>
  <si>
    <t>020/1999</t>
  </si>
  <si>
    <t>LIGHT LIGHT SERVIÇOS DE ELETRICIDADE S/A.</t>
  </si>
  <si>
    <t>001/1996</t>
  </si>
  <si>
    <t>AMPLA AMPLA ENERGIA E SERVIÇOS S/A</t>
  </si>
  <si>
    <t>Ampla</t>
  </si>
  <si>
    <t>005/1996</t>
  </si>
  <si>
    <t>ELEKTRO ELEKTRO ELETRICIDADE E SERVIÇOS S/A.</t>
  </si>
  <si>
    <t>187/1998</t>
  </si>
  <si>
    <t>EEB EMPRESA ELÉTRICA BRAGANTINA S/A.</t>
  </si>
  <si>
    <t>EEB</t>
  </si>
  <si>
    <t>012/1999</t>
  </si>
  <si>
    <t>ELETROPAULO ELETROPAULO METROPOLITANA ELETRICIDADE DE SÃO PAULO S/A</t>
  </si>
  <si>
    <t>162/1998</t>
  </si>
  <si>
    <t>BANDEIRANTE BANDEIRANTE ENERGIA S/A.</t>
  </si>
  <si>
    <t>202/1998</t>
  </si>
  <si>
    <t>AES-SUL AES SUL DISTRIBUIDORA GAÚCHA DE ENERGIA S/A.</t>
  </si>
  <si>
    <t>AES Sul</t>
  </si>
  <si>
    <t>012/1997</t>
  </si>
  <si>
    <t>RGE RIO GRANDE ENERGIA S/A.</t>
  </si>
  <si>
    <t>013/1997</t>
  </si>
  <si>
    <t>ELETROCAR CENTRAIS ELÉTRICAS DE CARAZINHO S/A.</t>
  </si>
  <si>
    <t>084/2000</t>
  </si>
  <si>
    <t>HIDROPAN HIDROELÉTRICA PANAMBI S/A.</t>
  </si>
  <si>
    <t>086/2000</t>
  </si>
  <si>
    <t>UHENPAL USINA HIDROELÉTRICA NOVA PALMA LTDA.</t>
  </si>
  <si>
    <t>107/2001</t>
  </si>
  <si>
    <t>MUXENERGIA- MUXFELDT MARIN &amp; CIA. LTDA</t>
  </si>
  <si>
    <t>087/2000</t>
  </si>
  <si>
    <t>ENERSUL EMPRESA ENERGÉTICA DE MATO GROSSO DO SUL S/A.</t>
  </si>
  <si>
    <t>001/1997</t>
  </si>
  <si>
    <t>CEMAT CENTRAIS ELÉTRICAS MATOGROSSENSES S/A.</t>
  </si>
  <si>
    <t>003/1997</t>
  </si>
  <si>
    <t>CRELUZ-D COOPERATIVA DE DISTRIBUIÇÃO DE ENERGIA CRELUZ-D</t>
  </si>
  <si>
    <t>Creluz-D</t>
  </si>
  <si>
    <t>039/2010</t>
  </si>
  <si>
    <t>COPREL COPREL COOPERATIVA DE ENERGIA</t>
  </si>
  <si>
    <t>031/2010</t>
  </si>
  <si>
    <t>CERMISSÕES COOPERATIVA DE DISTRIBUIÇÃO E GERAÇÃO DE ENERGIA DAS MISSÕES LTDA.</t>
  </si>
  <si>
    <t>030/2010</t>
  </si>
  <si>
    <t>DEMEEP PREFEITURA MUNICIPAL DE PUTINGA</t>
  </si>
  <si>
    <t>DEMEEP</t>
  </si>
  <si>
    <t>CERILUZ COOPERATIVA REGIONAL DE ENERGIA E DESENVOLVIMENTO IJUÍ LTDA</t>
  </si>
  <si>
    <t>036/2010</t>
  </si>
  <si>
    <t>CRERAL  COOPERATIVA REGIONAL DE ELETRIFICAÇÃO RURAL DO ALTO URUGUAI</t>
  </si>
  <si>
    <t>041/2010</t>
  </si>
  <si>
    <t>COPEL-DIS COPEL DISTRIBUIÇÃO S/A</t>
  </si>
  <si>
    <t>046/1999</t>
  </si>
  <si>
    <t>COOPERALIANÇA COOPERATIVA ALIANÇA</t>
  </si>
  <si>
    <t>Cooperaliança</t>
  </si>
  <si>
    <t>145/2002</t>
  </si>
  <si>
    <t>CPFL- PIRATININGA COMPANHIA PIRATININGA DE FORÇA E LUZ</t>
  </si>
  <si>
    <t>009/2002</t>
  </si>
  <si>
    <t>CERTAJA  COOPERATIVA REGIONAL DE ENERGIA TAQUARI JACUI</t>
  </si>
  <si>
    <t>015/2008</t>
  </si>
  <si>
    <t>COOPERLUZ COOPERATIVA DISTRIBUIDORA DE ENERGIA FRONTEIRA NOROESTE</t>
  </si>
  <si>
    <t>032/2010</t>
  </si>
  <si>
    <t>CERAL DIS COOPERATIVA DE DISTRIBUIÇÃO DE ENERGIA ELÉTRICA DE ARAPOTI</t>
  </si>
  <si>
    <t>Ceral DIS</t>
  </si>
  <si>
    <t>014/2008</t>
  </si>
  <si>
    <t>CEMIG-D CEMIG DISTRIBUIÇÃO S/A</t>
  </si>
  <si>
    <t>002/1997, 003/1997, 004/1997 e 005/1997</t>
  </si>
  <si>
    <t>CEB-DIS CEB DISTRIBUIÇÃO S/A</t>
  </si>
  <si>
    <t>066/1999</t>
  </si>
  <si>
    <t>CAIUÁ-D CAIUÁ DISTRIBUIÇÃO DE ENERGIA S/A</t>
  </si>
  <si>
    <t>Caiuá</t>
  </si>
  <si>
    <t>013/1999</t>
  </si>
  <si>
    <t>EDEVP EMPRESA DE DISTRIBUIÇÃO DE ENERGIA VALE PARANAPANEMA S/A</t>
  </si>
  <si>
    <t>EDEVP</t>
  </si>
  <si>
    <t>014/1999</t>
  </si>
  <si>
    <t>CERES COOPERATIVA DE ELETRIFICAÇÃO RURAL DE RESENDE LTDA</t>
  </si>
  <si>
    <t>010/2008</t>
  </si>
  <si>
    <t>CERAL ANITÁPOLIS  COOPERATIVA DE DISTRIBUIÇÃO DE ENERGIA ELÉTRICA DE ANITÁPOLIS</t>
  </si>
  <si>
    <t>027/2008</t>
  </si>
  <si>
    <t>CEREJ COOPERATIVA DE PRESTAÇÃO DE SERVIÇOS PÚBLICOS DE DISTRIBUIÇÃO DE ENERGIA ELÉTRICA SENADOR ESTEVES JÚNIOR</t>
  </si>
  <si>
    <t>028/2008</t>
  </si>
  <si>
    <t>CERGAL COOPERATIVA DE ELETRIFICAÇÃO  ANITA GARIBALDI LTDA</t>
  </si>
  <si>
    <t>016/2008</t>
  </si>
  <si>
    <t>CERGAPA COOPERATIVA DE ELETRICIDADE GRÃO PARÁ</t>
  </si>
  <si>
    <t>038/2010</t>
  </si>
  <si>
    <t>CERGRAL COOPERATIVA DE ELETRICIDADE DE GRAVATAL</t>
  </si>
  <si>
    <t>022/2008</t>
  </si>
  <si>
    <t>CERMOFUL COOPERATIVA FUMACENSE DE ELETRICIDADE</t>
  </si>
  <si>
    <t>040/2010</t>
  </si>
  <si>
    <t>CERPALO COOPERATIVA DE ELETRICIDADE DE PAULO LOPES</t>
  </si>
  <si>
    <t>023/2008</t>
  </si>
  <si>
    <t>CEDRI COOPERATIVA DE ENERGIZAÇÃO E DESENVOLVIMENTO RURAL DO VALE DO ITARIRI</t>
  </si>
  <si>
    <t>002/2008</t>
  </si>
  <si>
    <t>CEPRAG COOPERATIVA DE ELETRICIDADE PRAIA GRANDE</t>
  </si>
  <si>
    <t>019/2010</t>
  </si>
  <si>
    <t>CERSUL COOPERATIVA DE ELETRIFICAÇÃO SUL CATARINENSE</t>
  </si>
  <si>
    <t>020/2008</t>
  </si>
  <si>
    <t>CERTREL COOPERATIVA DE ENERGIA TREVISO</t>
  </si>
  <si>
    <t>035/2010</t>
  </si>
  <si>
    <t>COOPERA COOPERATIVA PIONEIRA DE ELETRIFICAÇÃO</t>
  </si>
  <si>
    <t>018/2008</t>
  </si>
  <si>
    <t>COOPERCOCAL COOPERATIVA ENERGÉTICA COCAL</t>
  </si>
  <si>
    <t>034/2010</t>
  </si>
  <si>
    <t>COOPERMILA COOPERATIVA DE ELETRIFICAÇÃO LAURO MULLER</t>
  </si>
  <si>
    <t>017/2008</t>
  </si>
  <si>
    <t>CERCOS COOPERATIVA DE ELETRIFICAÇÃO E DESENVOLVIMENTO RURAL CENTRO SUL DE SERGIPE LTDA</t>
  </si>
  <si>
    <t>009/2008</t>
  </si>
  <si>
    <t>CERIPA COOPERATIVA DE ELETRIFICAÇÃO RURAL DE ITAÍ-PARANAPANEMA-AVARÉ</t>
  </si>
  <si>
    <t>004/2008</t>
  </si>
  <si>
    <t>CETRIL COOPERATIVA DE ELETRIFICAÇÃO E TELEFONIA RURAIS DE IBIÚNA LTDA</t>
  </si>
  <si>
    <t>008/2008</t>
  </si>
  <si>
    <t>CEDRAP COOPERATIVA DE ELETRIFICAÇÃO E DESENVOLVIMENTO RURAL DO ALTO PARAÍBA LTDA</t>
  </si>
  <si>
    <t>001/2008</t>
  </si>
  <si>
    <t>CERIS COOPERATIVA DE ELETRIFICAÇÃO RURAL DA REGIÃO DE ITAPECERICA DA SERRA</t>
  </si>
  <si>
    <t>005/2008</t>
  </si>
  <si>
    <t>CERPRO COOPERATIVA DE ELETRIFICAÇÃO RURAL DA REGIÃO DE PROMISSÃO LTDA</t>
  </si>
  <si>
    <t>007/2008</t>
  </si>
  <si>
    <t>CERRP  COOPERATIVA DE ELETRIFICAÇÃO RURAL DA REGIÃO DE SÃO JOSÉ DO RIO PRETO LTDA</t>
  </si>
  <si>
    <t>013/2008</t>
  </si>
  <si>
    <t>CERIM COOPERATIVA DE ELETRIFICAÇÃO RURAL ITU-MAIRINQUE</t>
  </si>
  <si>
    <t>003/2008</t>
  </si>
  <si>
    <t>CELESC-DIS CELESC DISTRIBUIÇÃO S.A.</t>
  </si>
  <si>
    <t>056/1999</t>
  </si>
  <si>
    <t>CEEE-D COMPANHIA ESTADUAL DE DISTRIBUIÇÃO DE ENERGIA ELÉTRICA</t>
  </si>
  <si>
    <t>081/1999</t>
  </si>
  <si>
    <t>CELG-D CELG DISTRIBUIÇÃO S.A.</t>
  </si>
  <si>
    <t>Celg-D</t>
  </si>
  <si>
    <t>063/2000</t>
  </si>
  <si>
    <t>EMG ENERGISA MINAS GERAIS - DISTRIBUIDORA DE ENERGIA S.A.</t>
  </si>
  <si>
    <t>040/1999</t>
  </si>
  <si>
    <t>ESE ENERGISA SERGIPE - DISTRIBUIDORA DE ENERGIA S.A.</t>
  </si>
  <si>
    <t>007/1997</t>
  </si>
  <si>
    <t>EPB ENERGISA PARAÍBA - DISTRIBUIDORA DE ENERGIA</t>
  </si>
  <si>
    <t>019/2001</t>
  </si>
  <si>
    <t>CERNHE COOPERATIVA DE ELETRIFICAÇÃO E DESENVOLVIMENTO RURAL DA REGIÃO DE NOVO HORIZONTE</t>
  </si>
  <si>
    <t>012/2008</t>
  </si>
  <si>
    <t>CERMC COOPERATIVA DE ELETRIFICAÇÃO E DESENVOLVIMENTO DA REGIÃO DE MOGI DAS CRUZES</t>
  </si>
  <si>
    <t>006/2008</t>
  </si>
  <si>
    <t>EBO ENERGISA BORBOREMA – DISTRIBUIDORA DE ENERGIA S.A.</t>
  </si>
  <si>
    <t>008/2000</t>
  </si>
  <si>
    <t>ENF ENERGISA NOVA FRIBURGO - DISTRIBUIDORA DE ENERGIA S.A.</t>
  </si>
  <si>
    <t>042/1999</t>
  </si>
  <si>
    <t>CEJAMA  COOPERATIVA DE ELETRICIDADE JACINTO MACHADO</t>
  </si>
  <si>
    <t>021/2008</t>
  </si>
  <si>
    <t>CERAÇA - COOPERATIVA DE ELETRIFICAÇÃO E DESENVOLVIMENTO RURAL VALE DO ARAÇÁ</t>
  </si>
  <si>
    <t>Ceraça</t>
  </si>
  <si>
    <t>024/2008</t>
  </si>
  <si>
    <t>CERBRANORTE  COOPERATIVA DE ELETRIFICAÇÃO BRAÇO DO NORTE</t>
  </si>
  <si>
    <t>025/2008</t>
  </si>
  <si>
    <t>COORSEL COOPERATIVA REGIONAL SUL DE ELETRIFICAÇÃO RURAL</t>
  </si>
  <si>
    <t>026/2008</t>
  </si>
  <si>
    <t>AME AMAZONAS DISTRIBUIDORA DE ENERGIA S/A</t>
  </si>
  <si>
    <t>020/2001</t>
  </si>
  <si>
    <t>CERTEL ENERGIA COOPERATIVA DE DISTRIBUÇÃO DE ENERGIA TEUTÔNIA</t>
  </si>
  <si>
    <t>033/2010</t>
  </si>
  <si>
    <t>TABELA REN 473</t>
  </si>
  <si>
    <t>exemplo</t>
  </si>
  <si>
    <t>DADO</t>
  </si>
  <si>
    <t>VALOR</t>
  </si>
  <si>
    <t>RI=(beta*ReceitaFioB)/FRC</t>
  </si>
  <si>
    <t>TUSD FIO B - PONTA (R$/kW)</t>
  </si>
  <si>
    <t>FRC=[(1+i)^n*i]/[(1+i)^n-1]</t>
  </si>
  <si>
    <t>TUSD FIO B - FORA PONTA (R$/kW)</t>
  </si>
  <si>
    <t>n=ReceitaFioB/(PB*Pd)</t>
  </si>
  <si>
    <t>WACC ANTES DOS TRIBUTOS (%)</t>
  </si>
  <si>
    <t>ReceitaFioB=MUSDanual*fioB</t>
  </si>
  <si>
    <t>PARCELA B TARIFA (R$)</t>
  </si>
  <si>
    <t>PB (com ajustes)</t>
  </si>
  <si>
    <t>PD Médio</t>
  </si>
  <si>
    <t>BETA</t>
  </si>
  <si>
    <t>Auxiliar cálculo BETA</t>
  </si>
  <si>
    <t>OR distribuida</t>
  </si>
  <si>
    <t>R$ - diluida OR</t>
  </si>
  <si>
    <t>% PB</t>
  </si>
  <si>
    <t>PB com ajustes</t>
  </si>
  <si>
    <t>REM</t>
  </si>
  <si>
    <t>beta</t>
  </si>
  <si>
    <t>CO</t>
  </si>
  <si>
    <t>QRR</t>
  </si>
  <si>
    <t>OR (outras receitas)</t>
  </si>
  <si>
    <t xml:space="preserve">Dados </t>
  </si>
  <si>
    <t>Parcela B (VPB)</t>
  </si>
  <si>
    <t xml:space="preserve"> Índice de Produtividade da Parcela B</t>
  </si>
  <si>
    <t>Mecanismo de Incentivo à Qualidade</t>
  </si>
  <si>
    <t>Parcela B com ajustes</t>
  </si>
  <si>
    <t>Custo de Administração, Operação e Manutenção (CAOM)</t>
  </si>
  <si>
    <t>Custos Operacionais (CO)</t>
  </si>
  <si>
    <t>Receitas Irrecuperáveis - Encargos Setoriais (Vi)</t>
  </si>
  <si>
    <t>Demais Receitas Irrecuperáveis (Vse)</t>
  </si>
  <si>
    <t>Custo Anual dos Ativos (CAA)</t>
  </si>
  <si>
    <t>Remuneração do Capital (RC)</t>
  </si>
  <si>
    <t>Quota de Reintegração Regulatória (QRR)</t>
  </si>
  <si>
    <t>Custo anual das instalações móveis e imóveis (CAIMI)</t>
  </si>
  <si>
    <t>2. Outras Receitas (OR)</t>
  </si>
  <si>
    <t>Parcela B deduzidas as outras receitas</t>
  </si>
  <si>
    <t>TABELA ERD</t>
  </si>
  <si>
    <t>ANEXO DA REH</t>
  </si>
  <si>
    <t>OBSERVAÇÃO</t>
  </si>
  <si>
    <t>REFERÊNCIA (ORIGEM DO DADO)</t>
  </si>
  <si>
    <t>EX. CPFL PIRATININGA 2015 - REH 1972</t>
  </si>
  <si>
    <t xml:space="preserve">não tem </t>
  </si>
  <si>
    <t>K</t>
  </si>
  <si>
    <t>12*TUSDfioBfp*(1-alfa)*1/FRC</t>
  </si>
  <si>
    <t>SUBGRUPO TARIFÁRIO</t>
  </si>
  <si>
    <t>B2-RURAL</t>
  </si>
  <si>
    <t>B2-IRRIGANTE</t>
  </si>
  <si>
    <t>PCAT E BANCO TARIFAS</t>
  </si>
  <si>
    <t>WACC DEPOIS DOS TRIBUTOS (%)</t>
  </si>
  <si>
    <t>WACC real DEPOIS de impostos</t>
  </si>
  <si>
    <t>CARGA TRIBUTÁRIA (%)</t>
  </si>
  <si>
    <t>t</t>
  </si>
  <si>
    <t>PARCELA B REVISÃO (R$)</t>
  </si>
  <si>
    <t>Parcela B da RTP com ajustes</t>
  </si>
  <si>
    <t>VPB*(1-iProdutividade-iQualidade)</t>
  </si>
  <si>
    <t>TAXA DE DEPRECIAÇÃO - D (%)</t>
  </si>
  <si>
    <t>(17)Taxa de depreciação</t>
  </si>
  <si>
    <t>OPERAÇÃO E MANUTENÇÃO - O&amp;M (R$)</t>
  </si>
  <si>
    <t>Custo operacional da RTP com ajustes</t>
  </si>
  <si>
    <t>CO*(1-iProdutividade-iQualidade)</t>
  </si>
  <si>
    <t>Auxiliar</t>
  </si>
  <si>
    <t>alfa = CO/PB</t>
  </si>
  <si>
    <t>FIO B (R$/kW) PARA B1 APURADO NA RTP - PLANILHA TR, CARREGADO NO BD TARIFAS</t>
  </si>
  <si>
    <t>n=100/D</t>
  </si>
  <si>
    <t xml:space="preserve">FATOR BASE ECONÔMICA (PCAT - ABA TR TUSD - </t>
  </si>
  <si>
    <t>i=WACC/(1-carga tributária)</t>
  </si>
  <si>
    <t>FIO B (R$/kW) PARA B1</t>
  </si>
  <si>
    <t>CONSTANTE B2</t>
  </si>
  <si>
    <t>CONSTANTE B2 SPI</t>
  </si>
  <si>
    <t>CONSTANTE B3</t>
  </si>
  <si>
    <t>Base de Remuneração Bruta  e Quota de Reintegração Regulatória (QRR)</t>
  </si>
  <si>
    <t>(1) Ativo Imobilizado em Serviço (Valor Novo de Reposição)</t>
  </si>
  <si>
    <t>(2) Índice de Aproveitamento Integral</t>
  </si>
  <si>
    <t>(3) Obrigações Especiais Bruta</t>
  </si>
  <si>
    <t>(4) Bens Totalmente Depreciados</t>
  </si>
  <si>
    <t>(5) Base de Remuneração Bruta</t>
  </si>
  <si>
    <t>(17) Taxa de Depreciação</t>
  </si>
  <si>
    <t>(18) Quota de Reintegração Regulatória</t>
  </si>
  <si>
    <t>Nome</t>
  </si>
  <si>
    <t xml:space="preserve"> Conexão '!LnkTXTIPCAX</t>
  </si>
  <si>
    <t xml:space="preserve"> Conexão '!Mercado_Faturado_CVA_CDE</t>
  </si>
  <si>
    <t xml:space="preserve"> Conexão '!Mercado_Faturado_CVA_CFURH</t>
  </si>
  <si>
    <t xml:space="preserve"> Conexão '!Mercado_Faturado_CVA_Energia</t>
  </si>
  <si>
    <t xml:space="preserve"> Conexão '!Mercado_Faturado_CVA_ESSERR</t>
  </si>
  <si>
    <t xml:space="preserve"> Conexão '!Mercado_Faturado_CVA_PROINFA</t>
  </si>
  <si>
    <t xml:space="preserve"> Conexão '!Mercado_Faturado_CVA_RB</t>
  </si>
  <si>
    <t xml:space="preserve"> Conexão '!Mercado_Faturado_CVA_TranItaipu</t>
  </si>
  <si>
    <t xml:space="preserve"> Conexão '!TabFin</t>
  </si>
  <si>
    <t>Aj.Subsidio!LnkTxtEfeito</t>
  </si>
  <si>
    <t>Aj.Subsidio!TabFin</t>
  </si>
  <si>
    <t>AnoRefTar</t>
  </si>
  <si>
    <t>AnoRevRea</t>
  </si>
  <si>
    <t>DataRevRea</t>
  </si>
  <si>
    <t>FornecimentoE</t>
  </si>
  <si>
    <t>FornecimentoE_A1</t>
  </si>
  <si>
    <t>FornecimentoE_BT</t>
  </si>
  <si>
    <t>GraphRepasse</t>
  </si>
  <si>
    <t>idagente</t>
  </si>
  <si>
    <t>LinkTXTPR</t>
  </si>
  <si>
    <t>LinkTXTX</t>
  </si>
  <si>
    <t>LivreE</t>
  </si>
  <si>
    <t>LivreE_A1</t>
  </si>
  <si>
    <t>LnkTXTAtraso</t>
  </si>
  <si>
    <t>LnkTXTCDE</t>
  </si>
  <si>
    <t>LnkTXTConexao</t>
  </si>
  <si>
    <t>LnkTXTConsumidores</t>
  </si>
  <si>
    <t>LnkTXTData</t>
  </si>
  <si>
    <t>LnkTXTDataAssinatura</t>
  </si>
  <si>
    <t>LnkTXTdentro</t>
  </si>
  <si>
    <t>lnkTXTDIC_FIC</t>
  </si>
  <si>
    <t>LnkTXTDICFIC</t>
  </si>
  <si>
    <t>LnkTxtDiferencaIRT2013</t>
  </si>
  <si>
    <t>LnkTxtDiferencaRTE</t>
  </si>
  <si>
    <t>LnkTxtDiferencaRTEAtualizada</t>
  </si>
  <si>
    <t>LnkTxtDiferencaRTEfin</t>
  </si>
  <si>
    <t>LnkTXTECDE</t>
  </si>
  <si>
    <t>LnkTXTEfeito</t>
  </si>
  <si>
    <t>LnkTXTEfeitoAT</t>
  </si>
  <si>
    <t>LnkTXTEfeitoBT</t>
  </si>
  <si>
    <t>LnkTxtEfeitoCeripa</t>
  </si>
  <si>
    <t>LnkTxtEfeitoRecurso</t>
  </si>
  <si>
    <t>LnkTxtEfeitoRecursoTotal</t>
  </si>
  <si>
    <t>LnkTXTEM</t>
  </si>
  <si>
    <t>LnkTXTEnergia</t>
  </si>
  <si>
    <t>LnkTXTER</t>
  </si>
  <si>
    <t>LnkTXTERFIN</t>
  </si>
  <si>
    <t>LnkTXTEV</t>
  </si>
  <si>
    <t>LnkTXTF</t>
  </si>
  <si>
    <t>LnkTXTFatorX</t>
  </si>
  <si>
    <t>LnkTXTfora</t>
  </si>
  <si>
    <t>LnkTXTGPCU</t>
  </si>
  <si>
    <t>LnkTXTGPM</t>
  </si>
  <si>
    <t>LnkTXTICMS</t>
  </si>
  <si>
    <t>LnkTXTIPCA</t>
  </si>
  <si>
    <t>LnkTXTIPCAFatorX</t>
  </si>
  <si>
    <t>LnkTXTIPCAX</t>
  </si>
  <si>
    <t>LnkTXTIRTEC</t>
  </si>
  <si>
    <t>LnkTXTIRTEco</t>
  </si>
  <si>
    <t>LnkTXTIRTES</t>
  </si>
  <si>
    <t>LnkTXTIRTFin</t>
  </si>
  <si>
    <t>LnkTXTIRTParcelaA</t>
  </si>
  <si>
    <t>LnkTXTIRTParcelaB</t>
  </si>
  <si>
    <t>LnkTXTIRTTE</t>
  </si>
  <si>
    <t>LnkTXTIRTTotal</t>
  </si>
  <si>
    <t>LnkTXTNeutralidade</t>
  </si>
  <si>
    <t>LnkTXTNome</t>
  </si>
  <si>
    <t>LnkTxtNomeResumido</t>
  </si>
  <si>
    <t>LnkTxtNumContratoPermissao</t>
  </si>
  <si>
    <t>LnkTxtNumProcesso</t>
  </si>
  <si>
    <t>LnkTXTPartParcelaA</t>
  </si>
  <si>
    <t>LnkTXTPartParcelaB</t>
  </si>
  <si>
    <t>LnkTXTPD</t>
  </si>
  <si>
    <t>LNKTXTPercPISCOFINS</t>
  </si>
  <si>
    <t>LnkTXTPerdas</t>
  </si>
  <si>
    <t>LnkTXTPerdasDist.</t>
  </si>
  <si>
    <t>LnkTXTPIS_COFINS</t>
  </si>
  <si>
    <t>LnkTXTPISCOFINS</t>
  </si>
  <si>
    <t>LnkTXTProinfa</t>
  </si>
  <si>
    <t>LnkTXTRA0</t>
  </si>
  <si>
    <t>LnkTXTRecalculo</t>
  </si>
  <si>
    <t>LnkTXTRedeBasica</t>
  </si>
  <si>
    <t>LnkTXTReferencia</t>
  </si>
  <si>
    <t>LnkTXTSaldo</t>
  </si>
  <si>
    <t>LnkTXTSigla</t>
  </si>
  <si>
    <t>LnkTxTSubvencaoCDE</t>
  </si>
  <si>
    <t>LnkTxtTarifaDesverticalizacao</t>
  </si>
  <si>
    <t>LnkTXTTransporte</t>
  </si>
  <si>
    <t>LnkTXTVarEC</t>
  </si>
  <si>
    <t>LnkTXTVarES</t>
  </si>
  <si>
    <t>LnkTXTVarTE</t>
  </si>
  <si>
    <t>Mercado_CriterioA1</t>
  </si>
  <si>
    <t>Mercado_CriterioA2</t>
  </si>
  <si>
    <t>Mercado_CriterioA3</t>
  </si>
  <si>
    <t>Mercado_CriterioA3a</t>
  </si>
  <si>
    <t>Mercado_CriterioA4</t>
  </si>
  <si>
    <t>Mercado_CriterioAS</t>
  </si>
  <si>
    <t>Mercado_CriterioB</t>
  </si>
  <si>
    <t>Mercado_CriterioDistribuição</t>
  </si>
  <si>
    <t>Mercado_CriterioGeração</t>
  </si>
  <si>
    <t>Mercado_CriterioLivre</t>
  </si>
  <si>
    <t>Mercado_CriterioLivreA1</t>
  </si>
  <si>
    <t>Mercado_CriterioResBr</t>
  </si>
  <si>
    <t>Mercado_CriterioSuprimento</t>
  </si>
  <si>
    <t>Mercado_Faturado_CVA_CDE</t>
  </si>
  <si>
    <t>Mercado_Faturado_CVA_CFURH</t>
  </si>
  <si>
    <t>Mercado_Faturado_CVA_Energia</t>
  </si>
  <si>
    <t>Mercado_Faturado_CVA_ESSERR</t>
  </si>
  <si>
    <t>Mercado_Faturado_CVA_PROINFA</t>
  </si>
  <si>
    <t>Mercado_Faturado_CVA_RB</t>
  </si>
  <si>
    <t>Mercado_Faturado_CVA_TranItaipu</t>
  </si>
  <si>
    <t>Mercado_Faturado_Encargo_CDE</t>
  </si>
  <si>
    <t>Mercado_Faturado_Encargo_CDE_BRUTO</t>
  </si>
  <si>
    <t>Mercado_Faturado_Encargo_CFURH</t>
  </si>
  <si>
    <t>Mercado_Faturado_Encargo_CFURH_BRUTO</t>
  </si>
  <si>
    <t>Mercado_Faturado_Encargo_ESSERR</t>
  </si>
  <si>
    <t>Mercado_Faturado_Encargo_ESSERR_BRUTO</t>
  </si>
  <si>
    <t>Mercado_Faturado_Encargo_ONS</t>
  </si>
  <si>
    <t>Mercado_Faturado_Encargo_ONS_BRUTO</t>
  </si>
  <si>
    <t>Mercado_Faturado_Encargo_PeD</t>
  </si>
  <si>
    <t>Mercado_Faturado_Encargo_PeD_BRUTO</t>
  </si>
  <si>
    <t>Mercado_Faturado_Encargo_PROINFA</t>
  </si>
  <si>
    <t>Mercado_Faturado_Encargo_PROINFA_BRUTO</t>
  </si>
  <si>
    <t>Mercado_Faturado_Encargo_TFSEE</t>
  </si>
  <si>
    <t>Mercado_Faturado_Encargo_TFSEE_BRUTO</t>
  </si>
  <si>
    <t>Mercado_RA0_MWh</t>
  </si>
  <si>
    <t>Mercado_RA0_Reais</t>
  </si>
  <si>
    <t>MercadoBase</t>
  </si>
  <si>
    <t>QuadroMercado</t>
  </si>
  <si>
    <t>Rede Básica'!TabFin</t>
  </si>
  <si>
    <t>RefR</t>
  </si>
  <si>
    <t>SAS_RA0_DataFim</t>
  </si>
  <si>
    <t>SAS_RA0_DataInicio</t>
  </si>
  <si>
    <t>sd</t>
  </si>
  <si>
    <t>sem</t>
  </si>
  <si>
    <t>sf</t>
  </si>
  <si>
    <t>SuprimentoE</t>
  </si>
  <si>
    <t>TabCF</t>
  </si>
  <si>
    <t>TabCUSD</t>
  </si>
  <si>
    <t>TabCustoEnergia</t>
  </si>
  <si>
    <t>TabDRA</t>
  </si>
  <si>
    <t>Tabela4</t>
  </si>
  <si>
    <t>Tabelas e Gráficos '!Mercado_Faturado_CVA_CDE</t>
  </si>
  <si>
    <t>Tabelas e Gráficos '!Mercado_Faturado_CVA_CFURH</t>
  </si>
  <si>
    <t>Tabelas e Gráficos '!Mercado_Faturado_CVA_Energia</t>
  </si>
  <si>
    <t>Tabelas e Gráficos '!Mercado_Faturado_CVA_ESSERR</t>
  </si>
  <si>
    <t>Tabelas e Gráficos '!Mercado_Faturado_CVA_PROINFA</t>
  </si>
  <si>
    <t>Tabelas e Gráficos '!Mercado_Faturado_CVA_RB</t>
  </si>
  <si>
    <t>Tabelas e Gráficos '!Mercado_Faturado_CVA_TranItaipu</t>
  </si>
  <si>
    <t>Tabelas e Gráficos '!OLE_LINK3</t>
  </si>
  <si>
    <t>TabEM</t>
  </si>
  <si>
    <t>TabEncargos</t>
  </si>
  <si>
    <t>TabER</t>
  </si>
  <si>
    <t>TabES</t>
  </si>
  <si>
    <t>TabFin</t>
  </si>
  <si>
    <t>TabPerdas</t>
  </si>
  <si>
    <t>TabRA0</t>
  </si>
  <si>
    <t>TabResultados</t>
  </si>
  <si>
    <t>TabResultadosNT</t>
  </si>
  <si>
    <t>TabResumo</t>
  </si>
  <si>
    <t>Tabresumo2</t>
  </si>
  <si>
    <t>Tabresumo3</t>
  </si>
  <si>
    <t>TabResumoIRT</t>
  </si>
  <si>
    <t>TabVarEnergia</t>
  </si>
  <si>
    <t>ELETROPAULO</t>
  </si>
  <si>
    <t>RESOLUÇÃO HOMOLOGATÓRIA Nº 3.053, DE 28 DE JUNHO DE 2022</t>
  </si>
  <si>
    <t>Fora ponta</t>
  </si>
  <si>
    <t>Energia suprimento permissionária</t>
  </si>
  <si>
    <t>5382</t>
  </si>
  <si>
    <t>COOPERATIVA DE ELETRIFICAÇÃO DA REGIÃO DE ITAPECERICA DA SERRA</t>
  </si>
  <si>
    <t>390</t>
  </si>
  <si>
    <t>ELETROPAULO METROPOLITANA ELETRICIDADE DE SAO PAULO S.A.</t>
  </si>
  <si>
    <t>CVA RB</t>
  </si>
  <si>
    <t>CVA CCC</t>
  </si>
  <si>
    <t>CVA CDE</t>
  </si>
  <si>
    <t>CVA CFURH</t>
  </si>
  <si>
    <t>CVA ESS\ERR</t>
  </si>
  <si>
    <t>CVA PROINFA</t>
  </si>
  <si>
    <t>CVA TRANS. ITAIPU</t>
  </si>
  <si>
    <t>CVA ENERGIA</t>
  </si>
  <si>
    <t>CVA CDE E</t>
  </si>
  <si>
    <t>Convencional</t>
  </si>
  <si>
    <t>CATIVO</t>
  </si>
  <si>
    <t>Refaturamento - Regular</t>
  </si>
  <si>
    <t>Sistema de Compensação</t>
  </si>
  <si>
    <t>Residencial baixa renda – faixa 01</t>
  </si>
  <si>
    <t>Residencial baixa renda – faixa 02</t>
  </si>
  <si>
    <t>Residencial baixa renda – faixa 03</t>
  </si>
  <si>
    <t>Residencial baixa renda – faixa 04</t>
  </si>
  <si>
    <t>Branca</t>
  </si>
  <si>
    <t>Intermediário</t>
  </si>
  <si>
    <t>Verde</t>
  </si>
  <si>
    <t>B2</t>
  </si>
  <si>
    <t>Poder público</t>
  </si>
  <si>
    <t>B4</t>
  </si>
  <si>
    <t>Iluminação pública</t>
  </si>
  <si>
    <t>Iluminação pública – B4a</t>
  </si>
  <si>
    <t>Água, esgoto e saneamento</t>
  </si>
  <si>
    <t>48500.006179/2009-41</t>
  </si>
  <si>
    <t>...=C5/$C$8*$O$87</t>
  </si>
  <si>
    <t>Efrain Pereira da Cruz</t>
  </si>
  <si>
    <t>48500.004968/2021-33</t>
  </si>
  <si>
    <t>Ofício 028/2022</t>
  </si>
  <si>
    <t>PLEITO</t>
  </si>
  <si>
    <t>Pleito: -R$214.103,32</t>
  </si>
  <si>
    <t>ref: jun/2022</t>
  </si>
  <si>
    <t>DSP 529/2021</t>
  </si>
  <si>
    <t>Memo 99/2022-SRM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</si>
</sst>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0">
    <numFmt numFmtId="41" formatCode="_-* #,##0_-;\-* #,##0_-;_-* &quot;-&quot;_-;_-@_-"/>
    <numFmt numFmtId="44" formatCode="_-&quot;R$&quot;* #,##0.00_-;\-&quot;R$&quot;* #,##0.00_-;_-&quot;R$&quot;* &quot;-&quot;??_-;_-@_-"/>
    <numFmt numFmtId="43" formatCode="_-* #,##0.00_-;\-* #,##0.00_-;_-* &quot;-&quot;??_-;_-@_-"/>
    <numFmt numFmtId="164" formatCode="_-&quot;R$&quot;\ * #,##0.00_-;\-&quot;R$&quot;\ * #,##0.00_-;_-&quot;R$&quot;\ * &quot;-&quot;??_-;_-@_-"/>
    <numFmt numFmtId="165" formatCode="_(* #,##0_);_(* \(#,##0\);_(* &quot;-&quot;_);_(@_)"/>
    <numFmt numFmtId="166" formatCode="_(&quot;R$ &quot;* #,##0.00_);_(&quot;R$ &quot;* \(#,##0.00\);_(&quot;R$ &quot;* &quot;-&quot;??_);_(@_)"/>
    <numFmt numFmtId="167" formatCode="_(* #,##0.00_);_(* \(#,##0.00\);_(* &quot;-&quot;??_);_(@_)"/>
    <numFmt numFmtId="168" formatCode="&quot;$&quot;#,##0_);[Red]\(&quot;$&quot;#,##0\)"/>
    <numFmt numFmtId="169" formatCode="_(* #,##0_);_(* \(#,##0\);_(* &quot;-&quot;??_);_(@_)"/>
    <numFmt numFmtId="170" formatCode="[$-416]mmm\-yy;@"/>
    <numFmt numFmtId="171" formatCode="_(* #,##0.0000_);_(* \(#,##0.0000\);_(* &quot;-&quot;??_);_(@_)"/>
    <numFmt numFmtId="172" formatCode="0.0000"/>
    <numFmt numFmtId="173" formatCode="0.000"/>
    <numFmt numFmtId="174" formatCode="#,##0.0_);\(#,##0.0\)"/>
    <numFmt numFmtId="175" formatCode="#,##0.000"/>
    <numFmt numFmtId="176" formatCode="m\-d\-\y\y"/>
    <numFmt numFmtId="177" formatCode="General_)"/>
    <numFmt numFmtId="178" formatCode="#\ ###\ ###\ ##0\ "/>
    <numFmt numFmtId="179" formatCode="yyyy"/>
    <numFmt numFmtId="180" formatCode="&quot;\&quot;#,##0.00;[Red]&quot;\&quot;\-#,##0.00"/>
    <numFmt numFmtId="181" formatCode="&quot;$&quot;#,##0\ ;\(&quot;$&quot;#,##0\)"/>
    <numFmt numFmtId="182" formatCode="\U\S\$#,##0.00;\(\U\S\$#,##0.00\)"/>
    <numFmt numFmtId="183" formatCode="_([$€]* #,##0.00_);_([$€]* \(#,##0.00\);_([$€]* &quot;-&quot;??_);_(@_)"/>
    <numFmt numFmtId="184" formatCode="_-* #,##0.0_-;\-* #,##0.0_-;_-* &quot;-&quot;??_-;_-@_-"/>
    <numFmt numFmtId="185" formatCode="#,#00"/>
    <numFmt numFmtId="186" formatCode="0.0%;_(&quot;-&quot;_)"/>
    <numFmt numFmtId="187" formatCode="\$#,"/>
    <numFmt numFmtId="188" formatCode="0.00_)"/>
    <numFmt numFmtId="189" formatCode="0.00%;\(0.00%\)"/>
    <numFmt numFmtId="190" formatCode="#,##0.00;\(#,##0.00\)"/>
    <numFmt numFmtId="191" formatCode="#,"/>
    <numFmt numFmtId="192" formatCode="#.##000"/>
    <numFmt numFmtId="193" formatCode="#.##0,"/>
    <numFmt numFmtId="194" formatCode="[$-416]mmmm\-yy;@"/>
    <numFmt numFmtId="195" formatCode="_(* #,##0.0000000_);_(* \(#,##0.0000000\);_(* &quot;-&quot;??_);_(@_)"/>
    <numFmt numFmtId="196" formatCode="000"/>
    <numFmt numFmtId="197" formatCode="_-&quot;$&quot;* #,##0_-;\-&quot;$&quot;* #,##0_-;_-&quot;$&quot;* &quot;-&quot;_-;_-@_-"/>
    <numFmt numFmtId="198" formatCode="_-&quot;$&quot;* #,##0.00_-;\-&quot;$&quot;* #,##0.00_-;_-&quot;$&quot;* &quot;-&quot;??_-;_-@_-"/>
    <numFmt numFmtId="199" formatCode="[Blue]General"/>
    <numFmt numFmtId="200" formatCode="#,##0.00&quot; $&quot;;\-#,##0.00&quot; $&quot;"/>
    <numFmt numFmtId="201" formatCode="_ * #,##0.00_ ;_ * \-#,##0.00_ ;_ * &quot;-&quot;??_ ;_ @_ "/>
    <numFmt numFmtId="202" formatCode="_-* #,##0.00\ &quot;kr&quot;_-;\-* #,##0.00\ &quot;kr&quot;_-;_-* &quot;-&quot;??\ &quot;kr&quot;_-;_-@_-"/>
    <numFmt numFmtId="203" formatCode="mm/yy"/>
    <numFmt numFmtId="204" formatCode="dd/mm/yy"/>
    <numFmt numFmtId="205" formatCode="###0;[Blue]\(###0\)"/>
    <numFmt numFmtId="206" formatCode="#,##0;[Blue]\(#,##0\)"/>
    <numFmt numFmtId="207" formatCode="#,##0.0;[Blue]\(#,##0.0\)"/>
    <numFmt numFmtId="208" formatCode="0%;[Red]\(0%\)"/>
    <numFmt numFmtId="209" formatCode="#,##0.0%;[Blue]\(#,##0.0%\)"/>
    <numFmt numFmtId="210" formatCode="0.0%;[Blue]\(0.0%\)"/>
    <numFmt numFmtId="211" formatCode="0.00%;[Red]\(0.00%\)"/>
    <numFmt numFmtId="212" formatCode="#,##0.0_);[Red]\(#,##0.0\)"/>
    <numFmt numFmtId="213" formatCode="&quot;R$&quot;\ #,##0.00"/>
    <numFmt numFmtId="214" formatCode="_(* #,##0.0_);_(* \(#,##0.0\);_(* &quot;-&quot;??_);_(@_)"/>
    <numFmt numFmtId="215" formatCode="_(* #,##0.000_);_(* \(#,##0.000\);_(* &quot;-&quot;??_);_(@_)"/>
    <numFmt numFmtId="216" formatCode="0.0%"/>
    <numFmt numFmtId="217" formatCode="_([$€]\ * #,##0.00_);_([$€]\ * \(#,##0.00\);_([$€]\ * &quot;-&quot;??_);_(@_)"/>
    <numFmt numFmtId="218" formatCode="_(* #,##0_)&quot;MWh&quot;;_(* \(#,##0\)&quot;MWh&quot;;_(* &quot;-&quot;??_)&quot;MWh&quot;;_(@_)"/>
    <numFmt numFmtId="219" formatCode="_([$€-2]* #,##0.00_);_([$€-2]* \(#,##0.00\);_([$€-2]* &quot;-&quot;??_)"/>
    <numFmt numFmtId="220" formatCode="_([$€-2]* #,##0.0000_);_([$€-2]* \(#,##0.0000\);_([$€-2]* &quot;-&quot;??_)"/>
    <numFmt numFmtId="221" formatCode="&quot;$&quot;#,##0_);\(&quot;$&quot;#,##0\)"/>
    <numFmt numFmtId="222" formatCode="_(* #,##0.0_);_(* \(#,##0.0\);_(* &quot;-&quot;?_);_(@_)"/>
    <numFmt numFmtId="223" formatCode="#,##0.00\ &quot;m³/d&quot;"/>
    <numFmt numFmtId="224" formatCode="0.000_)"/>
    <numFmt numFmtId="225" formatCode="#,##0_);[Red]\(#,##0\);"/>
    <numFmt numFmtId="226" formatCode="#,##0.0000_);[Red]\(#,##0.00000\)"/>
    <numFmt numFmtId="227" formatCode="&quot;$&quot;#,##0_);[Red]\(&quot;$&quot;#,##0\);"/>
    <numFmt numFmtId="228" formatCode="_(* #,##0.00_);_(* \(#,##0.00\);_(* \-??_);_(@_)"/>
    <numFmt numFmtId="229" formatCode=";;;"/>
    <numFmt numFmtId="230" formatCode="#,##0.00\ &quot;Pts&quot;;\-#,##0.00\ &quot;Pts&quot;"/>
    <numFmt numFmtId="231" formatCode="0.00000000"/>
    <numFmt numFmtId="232" formatCode="#,##0.00&quot;F&quot;_);\(#,##0.00&quot;F&quot;\)"/>
    <numFmt numFmtId="233" formatCode="0\ 000\ 000\ 000"/>
    <numFmt numFmtId="234" formatCode="#,##0;\(#,##0\)"/>
    <numFmt numFmtId="235" formatCode="_-* #,##0.00\ &quot;Kč&quot;_-;\-* #,##0.00\ &quot;Kč&quot;_-;_-* &quot;-&quot;??\ &quot;Kč&quot;_-;_-@_-"/>
    <numFmt numFmtId="236" formatCode="_ * #,##0_ ;_ * \-#,##0_ ;_ * &quot;-&quot;_ ;_ @_ "/>
    <numFmt numFmtId="237" formatCode="0.0000000000"/>
    <numFmt numFmtId="238" formatCode="_(&quot;N$&quot;* #,##0_);_(&quot;N$&quot;* \(#,##0\);_(&quot;N$&quot;* &quot;-&quot;_);_(@_)"/>
    <numFmt numFmtId="239" formatCode="_(&quot;N$&quot;* #,##0.00_);_(&quot;N$&quot;* \(#,##0.00\);_(&quot;N$&quot;* &quot;-&quot;??_);_(@_)"/>
    <numFmt numFmtId="240" formatCode="&quot;$&quot;#,##0.00_);\(&quot;$&quot;#,##0.00\)"/>
    <numFmt numFmtId="241" formatCode="&quot;$&quot;#,##0.00_);[Red]\(&quot;$&quot;#,##0.00\)"/>
    <numFmt numFmtId="242" formatCode="#,##0.0%;[Red]\(#,##0.0%\)"/>
    <numFmt numFmtId="243" formatCode="0.000000000"/>
    <numFmt numFmtId="244" formatCode="0_)%;[Red]\(0\)%"/>
    <numFmt numFmtId="245" formatCode="0.0\ %;[Red]\(0.0\)%"/>
    <numFmt numFmtId="246" formatCode="0.00\ %;[Red]\(0.00\)%"/>
    <numFmt numFmtId="247" formatCode="_(&quot;$&quot;* #,##0_);_(&quot;$&quot;* \(#,##0\);_(&quot;$&quot;* &quot;-&quot;_);_(@_)"/>
    <numFmt numFmtId="248" formatCode="_(&quot;$&quot;* #,##0.00_);_(&quot;$&quot;* \(#,##0.00\);_(&quot;$&quot;* &quot;-&quot;??_);_(@_)"/>
    <numFmt numFmtId="249" formatCode="%#,#00"/>
    <numFmt numFmtId="250" formatCode="_-* #,##0.00\ _€_-;\-* #,##0.00\ _€_-;_-* &quot;-&quot;??\ _€_-;_-@_-"/>
    <numFmt numFmtId="251" formatCode="0000"/>
    <numFmt numFmtId="252" formatCode="00"/>
    <numFmt numFmtId="253" formatCode="0.0"/>
    <numFmt numFmtId="254" formatCode="_(* #,##0.00000_);_(* \(#,##0.00000\);_(* &quot;-&quot;??_);_(@_)"/>
    <numFmt numFmtId="255" formatCode="_(* #,##0.00_)&quot;MWh&quot;;_(* \(#,##0.00\)&quot;MWh&quot;;_(* &quot;-&quot;??_)&quot;MWh&quot;;_(@_)"/>
    <numFmt numFmtId="256" formatCode="dd\ &quot;de&quot;\ mmmm\ &quot;de&quot;\ yyyy"/>
    <numFmt numFmtId="257" formatCode="mmmm\ &quot;de&quot;\ yyyy"/>
    <numFmt numFmtId="258" formatCode="mmmm/yyyy"/>
    <numFmt numFmtId="259" formatCode="d&quot; de &quot;mmmm&quot; de &quot;yyyy"/>
    <numFmt numFmtId="260" formatCode="#,###.00%"/>
    <numFmt numFmtId="261" formatCode="#,##0.00%"/>
    <numFmt numFmtId="262" formatCode="dd/mm/yy\ hh:mm"/>
    <numFmt numFmtId="263" formatCode="d/m;@"/>
    <numFmt numFmtId="264" formatCode="_-* #,##0.0000_-;\-* #,##0.0000_-;_-* &quot;-&quot;??_-;_-@_-"/>
    <numFmt numFmtId="265" formatCode="_-* #,##0.00000_-;\-* #,##0.00000_-;_-* &quot;-&quot;??_-;_-@_-"/>
    <numFmt numFmtId="266" formatCode="dd\-mmm\-yy"/>
    <numFmt numFmtId="267" formatCode="0.000%"/>
    <numFmt numFmtId="268" formatCode="#,##0.00;\ \(#,##0.00\);;@"/>
    <numFmt numFmtId="269" formatCode="#,##0.00;\ \(#,##0.00\);0.00;@"/>
    <numFmt numFmtId="270" formatCode="#,##0.0000;\ \(#,##0.0000\);0.0000;@"/>
    <numFmt numFmtId="271" formatCode="_(* #,##0.000000_);_(* \(#,##0.000000\);_(* &quot;-&quot;??_);_(@_)"/>
    <numFmt numFmtId="272" formatCode="0.0000%"/>
    <numFmt numFmtId="273" formatCode="_-* #,##0_-;\-* #,##0_-;_-* &quot;-&quot;??_-;_-@_-"/>
    <numFmt numFmtId="274" formatCode="_(&quot;R$ &quot;* #,##0.0000_);_(&quot;R$ &quot;* \(#,##0.0000\);_(&quot;R$ &quot;* &quot;-&quot;??_);_(@_)"/>
    <numFmt numFmtId="275" formatCode="&quot;R$&quot;#,##0.00"/>
    <numFmt numFmtId="276" formatCode="[$-409]ddmmmyyyy"/>
    <numFmt numFmtId="277" formatCode="#,##0_ ;[Red]\-#,##0\ "/>
    <numFmt numFmtId="278" formatCode="_(&quot;R$&quot;* #,##0.00_);_(&quot;R$&quot;* \(#,##0.00\);_(&quot;R$&quot;* &quot;-&quot;??_);_(@_)"/>
    <numFmt numFmtId="279" formatCode="[$-409]dd/mm/yyyy"/>
    <numFmt numFmtId="280" formatCode="_-\ #,##0.00_-;\-\ #,##0.00_-;_-\ &quot;-&quot;??_-;_-@_-"/>
  </numFmts>
  <fonts count="325">
    <font>
      <sz val="12"/>
      <name val="Arial Narrow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Arial Narrow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indexed="56"/>
      <name val="Arial"/>
      <family val="2"/>
    </font>
    <font>
      <sz val="10"/>
      <color indexed="55"/>
      <name val="Arial"/>
      <family val="2"/>
    </font>
    <font>
      <b/>
      <sz val="12"/>
      <name val="Arial Narrow"/>
      <family val="2"/>
    </font>
    <font>
      <sz val="10"/>
      <color indexed="8"/>
      <name val="Arial"/>
      <family val="2"/>
    </font>
    <font>
      <b/>
      <sz val="10"/>
      <color indexed="9"/>
      <name val="Arial Narrow"/>
      <family val="2"/>
    </font>
    <font>
      <b/>
      <sz val="10"/>
      <color indexed="9"/>
      <name val="Arial"/>
      <family val="2"/>
    </font>
    <font>
      <b/>
      <sz val="10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name val="Arial Narrow"/>
      <family val="2"/>
    </font>
    <font>
      <sz val="8"/>
      <name val="Arial"/>
      <family val="2"/>
    </font>
    <font>
      <sz val="12"/>
      <name val="Arial"/>
      <family val="2"/>
    </font>
    <font>
      <sz val="10"/>
      <name val="Courier"/>
      <family val="3"/>
    </font>
    <font>
      <sz val="10"/>
      <name val="Courier"/>
      <family val="3"/>
    </font>
    <font>
      <sz val="10"/>
      <color indexed="8"/>
      <name val="Arial"/>
      <family val="2"/>
    </font>
    <font>
      <sz val="12"/>
      <color indexed="8"/>
      <name val="Arial"/>
      <family val="2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1"/>
      <color indexed="9"/>
      <name val="Calibri"/>
      <family val="2"/>
    </font>
    <font>
      <sz val="8"/>
      <name val="MS Sans Serif"/>
      <family val="2"/>
    </font>
    <font>
      <sz val="8"/>
      <name val="MS Sans Serif"/>
      <family val="2"/>
    </font>
    <font>
      <sz val="12"/>
      <name val="Helv"/>
    </font>
    <font>
      <sz val="12"/>
      <color indexed="8"/>
      <name val="Arial"/>
      <family val="2"/>
    </font>
    <font>
      <sz val="14"/>
      <color indexed="8"/>
      <name val="Arial"/>
      <family val="2"/>
    </font>
    <font>
      <sz val="11"/>
      <color indexed="20"/>
      <name val="Calibri"/>
      <family val="2"/>
    </font>
    <font>
      <sz val="12"/>
      <name val="Tms Rmn"/>
    </font>
    <font>
      <sz val="8"/>
      <name val="SwitzerlandLight"/>
    </font>
    <font>
      <sz val="7"/>
      <name val="SwitzerlandLight"/>
    </font>
    <font>
      <sz val="11"/>
      <color indexed="17"/>
      <name val="Calibri"/>
      <family val="2"/>
    </font>
    <font>
      <sz val="1"/>
      <color indexed="8"/>
      <name val="Courier"/>
      <family val="3"/>
    </font>
    <font>
      <b/>
      <sz val="10"/>
      <color indexed="18"/>
      <name val="Arial"/>
      <family val="2"/>
    </font>
    <font>
      <sz val="9"/>
      <name val="Times New Roman"/>
      <family val="1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8"/>
      <name val="Arial"/>
      <family val="2"/>
    </font>
    <font>
      <sz val="10"/>
      <name val="Helv"/>
    </font>
    <font>
      <sz val="10"/>
      <color indexed="24"/>
      <name val="Arial"/>
      <family val="2"/>
    </font>
    <font>
      <sz val="10"/>
      <name val="MS Sans Serif"/>
      <family val="2"/>
    </font>
    <font>
      <sz val="11"/>
      <name val="??"/>
      <family val="3"/>
      <charset val="129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8"/>
      <name val="Times New Roman"/>
      <family val="1"/>
    </font>
    <font>
      <b/>
      <sz val="48"/>
      <color indexed="12"/>
      <name val="Lucida Console"/>
      <family val="3"/>
    </font>
    <font>
      <sz val="10"/>
      <color indexed="18"/>
      <name val="Arial"/>
      <family val="2"/>
    </font>
    <font>
      <sz val="8"/>
      <name val="Arial"/>
      <family val="2"/>
    </font>
    <font>
      <b/>
      <u/>
      <sz val="11"/>
      <color indexed="37"/>
      <name val="Arial"/>
      <family val="2"/>
    </font>
    <font>
      <b/>
      <sz val="12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1"/>
      <color indexed="56"/>
      <name val="Calibri"/>
      <family val="2"/>
    </font>
    <font>
      <sz val="10"/>
      <color indexed="12"/>
      <name val="Arial"/>
      <family val="2"/>
    </font>
    <font>
      <shadow/>
      <sz val="8"/>
      <color indexed="12"/>
      <name val="Times New Roman"/>
      <family val="1"/>
    </font>
    <font>
      <b/>
      <sz val="12"/>
      <color indexed="8"/>
      <name val="Times New Roman"/>
      <family val="1"/>
    </font>
    <font>
      <sz val="11"/>
      <color indexed="60"/>
      <name val="Calibri"/>
      <family val="2"/>
    </font>
    <font>
      <sz val="7"/>
      <name val="Small Fonts"/>
      <family val="2"/>
    </font>
    <font>
      <b/>
      <i/>
      <sz val="16"/>
      <name val="Helv"/>
    </font>
    <font>
      <sz val="10"/>
      <name val="Palatino"/>
    </font>
    <font>
      <b/>
      <sz val="11"/>
      <color indexed="63"/>
      <name val="Calibri"/>
      <family val="2"/>
    </font>
    <font>
      <sz val="12"/>
      <color indexed="8"/>
      <name val="Times New Roman"/>
      <family val="1"/>
    </font>
    <font>
      <sz val="9"/>
      <name val="Arial"/>
      <family val="2"/>
    </font>
    <font>
      <sz val="1"/>
      <color indexed="18"/>
      <name val="Courier"/>
      <family val="3"/>
    </font>
    <font>
      <b/>
      <sz val="10"/>
      <color indexed="32"/>
      <name val="Arial"/>
      <family val="2"/>
    </font>
    <font>
      <sz val="12"/>
      <name val="Arial"/>
      <family val="2"/>
    </font>
    <font>
      <b/>
      <sz val="12"/>
      <name val="Univers (WN)"/>
    </font>
    <font>
      <sz val="11"/>
      <color indexed="10"/>
      <name val="Calibri"/>
      <family val="2"/>
    </font>
    <font>
      <sz val="8"/>
      <name val="CG Times (E1)"/>
    </font>
    <font>
      <b/>
      <sz val="18"/>
      <color indexed="56"/>
      <name val="Cambria"/>
      <family val="2"/>
    </font>
    <font>
      <b/>
      <u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8"/>
      <color indexed="62"/>
      <name val="Cambria"/>
      <family val="2"/>
    </font>
    <font>
      <sz val="10"/>
      <color indexed="32"/>
      <name val="Arial"/>
      <family val="2"/>
    </font>
    <font>
      <sz val="10"/>
      <name val="Univers (E1)"/>
    </font>
    <font>
      <sz val="8"/>
      <color indexed="12"/>
      <name val="Arial"/>
      <family val="2"/>
    </font>
    <font>
      <b/>
      <sz val="10"/>
      <color indexed="10"/>
      <name val="Arial"/>
      <family val="2"/>
    </font>
    <font>
      <b/>
      <sz val="10"/>
      <name val="Arial Narrow"/>
      <family val="2"/>
    </font>
    <font>
      <sz val="8"/>
      <name val="Arial Narrow"/>
      <family val="2"/>
    </font>
    <font>
      <sz val="10"/>
      <color indexed="8"/>
      <name val="Arial"/>
      <family val="2"/>
    </font>
    <font>
      <sz val="11"/>
      <name val="Calibri"/>
      <family val="2"/>
    </font>
    <font>
      <sz val="10"/>
      <name val="Arial"/>
      <family val="2"/>
    </font>
    <font>
      <u/>
      <sz val="10"/>
      <color indexed="36"/>
      <name val="Courier"/>
      <family val="3"/>
    </font>
    <font>
      <sz val="12"/>
      <color rgb="FFFF0000"/>
      <name val="Arial Narrow"/>
      <family val="2"/>
    </font>
    <font>
      <b/>
      <sz val="10"/>
      <color theme="0"/>
      <name val="Arial Narrow"/>
      <family val="2"/>
    </font>
    <font>
      <sz val="10"/>
      <name val="Palatino"/>
      <family val="1"/>
    </font>
    <font>
      <sz val="10"/>
      <name val="Century Gothic"/>
      <family val="2"/>
    </font>
    <font>
      <sz val="8"/>
      <color theme="1"/>
      <name val="Arial"/>
      <family val="2"/>
    </font>
    <font>
      <b/>
      <sz val="10"/>
      <name val="MS Sans Serif"/>
      <family val="2"/>
    </font>
    <font>
      <b/>
      <i/>
      <sz val="14"/>
      <name val="Arial"/>
      <family val="2"/>
    </font>
    <font>
      <b/>
      <sz val="11"/>
      <color indexed="8"/>
      <name val="Calibri"/>
      <family val="2"/>
    </font>
    <font>
      <sz val="10"/>
      <color theme="0"/>
      <name val="Arial"/>
      <family val="2"/>
    </font>
    <font>
      <sz val="11"/>
      <name val="Arial Narrow"/>
      <family val="2"/>
    </font>
    <font>
      <sz val="10"/>
      <name val="Tms Rmn"/>
    </font>
    <font>
      <b/>
      <sz val="10"/>
      <name val="Tms Rmn"/>
    </font>
    <font>
      <u/>
      <sz val="10"/>
      <color indexed="36"/>
      <name val="Arial"/>
      <family val="2"/>
    </font>
    <font>
      <b/>
      <sz val="10"/>
      <color indexed="37"/>
      <name val="Arial"/>
      <family val="2"/>
    </font>
    <font>
      <b/>
      <sz val="14"/>
      <color indexed="18"/>
      <name val="Times New Roman"/>
      <family val="1"/>
    </font>
    <font>
      <b/>
      <sz val="10"/>
      <color indexed="39"/>
      <name val="Arial"/>
      <family val="2"/>
    </font>
    <font>
      <b/>
      <sz val="12"/>
      <color indexed="8"/>
      <name val="Arial"/>
      <family val="2"/>
    </font>
    <font>
      <sz val="10"/>
      <color indexed="39"/>
      <name val="Arial"/>
      <family val="2"/>
    </font>
    <font>
      <b/>
      <u/>
      <sz val="12"/>
      <name val="Tms Rmn"/>
    </font>
    <font>
      <b/>
      <sz val="12"/>
      <name val="Tms Rmn"/>
    </font>
    <font>
      <b/>
      <sz val="9"/>
      <color indexed="81"/>
      <name val="Tahoma"/>
      <family val="2"/>
    </font>
    <font>
      <sz val="10"/>
      <color theme="1"/>
      <name val="Arial"/>
      <family val="2"/>
    </font>
    <font>
      <sz val="10"/>
      <color indexed="9"/>
      <name val="Arial"/>
      <family val="2"/>
    </font>
    <font>
      <sz val="11"/>
      <name val="Arial"/>
      <family val="2"/>
    </font>
    <font>
      <sz val="12"/>
      <name val="Times New Roman"/>
      <family val="1"/>
    </font>
    <font>
      <u/>
      <sz val="11"/>
      <color theme="10"/>
      <name val="Calibri"/>
      <family val="2"/>
    </font>
    <font>
      <sz val="10"/>
      <name val="Arial Unicode MS"/>
      <family val="2"/>
    </font>
    <font>
      <sz val="10"/>
      <color theme="0"/>
      <name val="Arial Narrow"/>
      <family val="2"/>
    </font>
    <font>
      <sz val="10"/>
      <color rgb="FF000000"/>
      <name val="Arial Narrow"/>
      <family val="2"/>
    </font>
    <font>
      <sz val="10"/>
      <color rgb="FFFFFFFF"/>
      <name val="Arial Narrow"/>
      <family val="2"/>
    </font>
    <font>
      <sz val="10"/>
      <name val="Times New Roman"/>
      <family val="1"/>
    </font>
    <font>
      <sz val="10"/>
      <color indexed="8"/>
      <name val="MS Sans Serif"/>
      <family val="2"/>
    </font>
    <font>
      <sz val="10"/>
      <name val="Helv"/>
      <charset val="204"/>
    </font>
    <font>
      <sz val="10"/>
      <name val="Geneva"/>
    </font>
    <font>
      <sz val="9"/>
      <color indexed="8"/>
      <name val="Calibri"/>
      <family val="2"/>
    </font>
    <font>
      <sz val="9"/>
      <color indexed="9"/>
      <name val="Calibri"/>
      <family val="2"/>
    </font>
    <font>
      <sz val="8"/>
      <color indexed="12"/>
      <name val="Helv"/>
    </font>
    <font>
      <sz val="10"/>
      <name val="FuturaA Bk BT"/>
    </font>
    <font>
      <sz val="9"/>
      <color indexed="20"/>
      <name val="Calibri"/>
      <family val="2"/>
    </font>
    <font>
      <sz val="8"/>
      <name val="Geneva"/>
    </font>
    <font>
      <b/>
      <sz val="12"/>
      <name val="Times New Roman"/>
      <family val="1"/>
    </font>
    <font>
      <sz val="7"/>
      <name val="Times New Roman"/>
      <family val="1"/>
    </font>
    <font>
      <b/>
      <sz val="10"/>
      <color indexed="12"/>
      <name val="Arial"/>
      <family val="2"/>
    </font>
    <font>
      <sz val="12"/>
      <name val="Arial MT"/>
    </font>
    <font>
      <sz val="11"/>
      <name val="Tms Rmn"/>
    </font>
    <font>
      <sz val="8"/>
      <name val="Palatino"/>
      <family val="1"/>
    </font>
    <font>
      <sz val="10"/>
      <name val="BERNHARD"/>
    </font>
    <font>
      <sz val="7.5"/>
      <color indexed="12"/>
      <name val="Arial"/>
      <family val="2"/>
    </font>
    <font>
      <b/>
      <sz val="1"/>
      <color indexed="8"/>
      <name val="Courier"/>
      <family val="3"/>
    </font>
    <font>
      <i/>
      <sz val="9"/>
      <color indexed="23"/>
      <name val="Calibri"/>
      <family val="2"/>
    </font>
    <font>
      <sz val="7"/>
      <name val="Palatino"/>
      <family val="1"/>
    </font>
    <font>
      <sz val="9"/>
      <color indexed="17"/>
      <name val="Calibri"/>
      <family val="2"/>
    </font>
    <font>
      <i/>
      <sz val="14"/>
      <name val="Palatino"/>
      <family val="1"/>
    </font>
    <font>
      <u/>
      <sz val="10"/>
      <color indexed="12"/>
      <name val="Arial Narrow"/>
      <family val="2"/>
    </font>
    <font>
      <b/>
      <sz val="9"/>
      <name val="Geneva"/>
    </font>
    <font>
      <b/>
      <sz val="10"/>
      <name val="Palatino"/>
      <family val="1"/>
    </font>
    <font>
      <sz val="9"/>
      <color indexed="52"/>
      <name val="Calibri"/>
      <family val="2"/>
    </font>
    <font>
      <sz val="8"/>
      <color indexed="8"/>
      <name val="Helv"/>
    </font>
    <font>
      <sz val="10"/>
      <name val="Arial CE"/>
      <charset val="238"/>
    </font>
    <font>
      <sz val="10"/>
      <color indexed="20"/>
      <name val="Times New Roman"/>
      <family val="1"/>
    </font>
    <font>
      <sz val="9"/>
      <color indexed="60"/>
      <name val="Calibri"/>
      <family val="2"/>
    </font>
    <font>
      <sz val="19"/>
      <name val="Helv"/>
    </font>
    <font>
      <sz val="8"/>
      <name val="Helv"/>
      <charset val="204"/>
    </font>
    <font>
      <i/>
      <sz val="10"/>
      <name val="MS Sans Serif"/>
      <family val="2"/>
    </font>
    <font>
      <b/>
      <sz val="11"/>
      <color indexed="16"/>
      <name val="Times New Roman"/>
      <family val="1"/>
    </font>
    <font>
      <sz val="10"/>
      <color indexed="16"/>
      <name val="Helvetica-Black"/>
      <family val="2"/>
    </font>
    <font>
      <sz val="22"/>
      <name val="UBSHeadline"/>
      <family val="1"/>
    </font>
    <font>
      <sz val="8"/>
      <name val="Helv"/>
    </font>
    <font>
      <i/>
      <sz val="10"/>
      <color indexed="10"/>
      <name val="Futura Bk BT"/>
      <family val="2"/>
    </font>
    <font>
      <sz val="10"/>
      <name val="Futura Bk BT"/>
    </font>
    <font>
      <sz val="10"/>
      <color indexed="10"/>
      <name val="MS Sans Serif"/>
      <family val="2"/>
    </font>
    <font>
      <b/>
      <sz val="16"/>
      <color indexed="23"/>
      <name val="Arial"/>
      <family val="2"/>
    </font>
    <font>
      <sz val="10"/>
      <color indexed="10"/>
      <name val="Arial"/>
      <family val="2"/>
    </font>
    <font>
      <b/>
      <sz val="18"/>
      <color indexed="9"/>
      <name val="Arial"/>
      <family val="2"/>
    </font>
    <font>
      <b/>
      <sz val="9"/>
      <name val="Palatino"/>
      <family val="1"/>
    </font>
    <font>
      <sz val="9"/>
      <color indexed="21"/>
      <name val="Helvetica-Black"/>
      <family val="2"/>
    </font>
    <font>
      <sz val="9"/>
      <name val="Helvetica-Black"/>
      <family val="2"/>
    </font>
    <font>
      <b/>
      <sz val="8"/>
      <name val="Times New Roman"/>
      <family val="1"/>
    </font>
    <font>
      <sz val="9"/>
      <name val="Tms Rmn"/>
    </font>
    <font>
      <b/>
      <sz val="11"/>
      <name val="Times New Roman"/>
      <family val="1"/>
    </font>
    <font>
      <b/>
      <sz val="7"/>
      <color indexed="12"/>
      <name val="Arial"/>
      <family val="2"/>
    </font>
    <font>
      <sz val="8"/>
      <color indexed="10"/>
      <name val="Arial Narrow"/>
      <family val="2"/>
    </font>
    <font>
      <sz val="12"/>
      <color indexed="14"/>
      <name val="Times New Roman"/>
      <family val="1"/>
    </font>
    <font>
      <sz val="9"/>
      <color indexed="10"/>
      <name val="Calibri"/>
      <family val="2"/>
    </font>
    <font>
      <sz val="10"/>
      <name val="Arial Cyr"/>
      <charset val="204"/>
    </font>
    <font>
      <sz val="10"/>
      <name val="NTHarmonica"/>
    </font>
    <font>
      <sz val="11"/>
      <name val="Times New Roman"/>
      <family val="1"/>
    </font>
    <font>
      <b/>
      <sz val="10"/>
      <color theme="1"/>
      <name val="Arial Narrow"/>
      <family val="2"/>
    </font>
    <font>
      <sz val="11"/>
      <name val="Calibri"/>
      <family val="2"/>
    </font>
    <font>
      <sz val="10"/>
      <name val="Microsoft New Tai Lue"/>
      <family val="2"/>
    </font>
    <font>
      <sz val="10"/>
      <color indexed="55"/>
      <name val="Microsoft New Tai Lue"/>
      <family val="2"/>
    </font>
    <font>
      <b/>
      <sz val="10"/>
      <color indexed="9"/>
      <name val="Microsoft New Tai Lue"/>
      <family val="2"/>
    </font>
    <font>
      <b/>
      <sz val="10"/>
      <name val="Microsoft New Tai Lue"/>
      <family val="2"/>
    </font>
    <font>
      <sz val="10"/>
      <color rgb="FFFF0000"/>
      <name val="Microsoft New Tai Lue"/>
      <family val="2"/>
    </font>
    <font>
      <sz val="10"/>
      <color theme="0"/>
      <name val="Microsoft New Tai Lue"/>
      <family val="2"/>
    </font>
    <font>
      <sz val="10"/>
      <color indexed="23"/>
      <name val="Microsoft New Tai Lue"/>
      <family val="2"/>
    </font>
    <font>
      <b/>
      <sz val="10"/>
      <color theme="0"/>
      <name val="Microsoft New Tai Lue"/>
      <family val="2"/>
    </font>
    <font>
      <b/>
      <sz val="10"/>
      <name val="Microsoft Tai Le"/>
      <family val="2"/>
    </font>
    <font>
      <u/>
      <sz val="10"/>
      <color indexed="12"/>
      <name val="Microsoft New Tai Lue"/>
      <family val="2"/>
    </font>
    <font>
      <sz val="10"/>
      <color indexed="8"/>
      <name val="Microsoft New Tai Lue"/>
      <family val="2"/>
    </font>
    <font>
      <b/>
      <i/>
      <sz val="10"/>
      <name val="Microsoft New Tai Lue"/>
      <family val="2"/>
    </font>
    <font>
      <b/>
      <sz val="10"/>
      <color theme="0"/>
      <name val="Microsoft Tai Le"/>
      <family val="2"/>
    </font>
    <font>
      <sz val="10"/>
      <name val="Microsoft Tai Le"/>
      <family val="2"/>
    </font>
    <font>
      <i/>
      <sz val="10"/>
      <name val="Microsoft New Tai Lue"/>
      <family val="2"/>
    </font>
    <font>
      <sz val="10"/>
      <color theme="1"/>
      <name val="Microsoft New Tai Lue"/>
      <family val="2"/>
    </font>
    <font>
      <sz val="10"/>
      <color theme="0" tint="-0.499984740745262"/>
      <name val="Microsoft New Tai Lue"/>
      <family val="2"/>
    </font>
    <font>
      <b/>
      <sz val="12"/>
      <color theme="5" tint="-0.249977111117893"/>
      <name val="Microsoft New Tai Lue"/>
      <family val="2"/>
    </font>
    <font>
      <b/>
      <sz val="10"/>
      <color indexed="56"/>
      <name val="Microsoft New Tai Lue"/>
      <family val="2"/>
    </font>
    <font>
      <sz val="10"/>
      <color rgb="FF000000"/>
      <name val="Microsoft New Tai Lue"/>
      <family val="2"/>
    </font>
    <font>
      <b/>
      <sz val="10"/>
      <color indexed="10"/>
      <name val="Microsoft New Tai Lue"/>
      <family val="2"/>
    </font>
    <font>
      <b/>
      <i/>
      <u/>
      <sz val="10"/>
      <color indexed="48"/>
      <name val="Microsoft New Tai Lue"/>
      <family val="2"/>
    </font>
    <font>
      <sz val="10"/>
      <color indexed="63"/>
      <name val="Microsoft New Tai Lue"/>
      <family val="2"/>
    </font>
    <font>
      <b/>
      <u/>
      <sz val="10"/>
      <color indexed="60"/>
      <name val="Microsoft New Tai Lue"/>
      <family val="2"/>
    </font>
    <font>
      <sz val="9"/>
      <name val="Microsoft New Tai Lue"/>
      <family val="2"/>
    </font>
    <font>
      <b/>
      <sz val="9"/>
      <name val="Microsoft New Tai Lue"/>
      <family val="2"/>
    </font>
    <font>
      <sz val="12"/>
      <color theme="9" tint="-0.499984740745262"/>
      <name val="Arial Narrow"/>
      <family val="2"/>
    </font>
    <font>
      <sz val="12"/>
      <color theme="1"/>
      <name val="Arial Narrow"/>
      <family val="2"/>
    </font>
    <font>
      <sz val="8"/>
      <name val="Microsoft New Tai Lue"/>
      <family val="2"/>
    </font>
    <font>
      <sz val="8"/>
      <color rgb="FFFF0000"/>
      <name val="Microsoft New Tai Lue"/>
      <family val="2"/>
    </font>
    <font>
      <b/>
      <sz val="14"/>
      <name val="Arial Narrow"/>
      <family val="2"/>
    </font>
    <font>
      <b/>
      <sz val="9"/>
      <color theme="0"/>
      <name val="Microsoft New Tai Lue"/>
      <family val="2"/>
    </font>
    <font>
      <sz val="11"/>
      <color rgb="FF000000"/>
      <name val="Arial Narrow"/>
      <family val="2"/>
    </font>
    <font>
      <b/>
      <sz val="10"/>
      <color theme="5" tint="-0.249977111117893"/>
      <name val="Microsoft New Tai Lue"/>
      <family val="2"/>
    </font>
    <font>
      <sz val="6"/>
      <name val="Microsoft New Tai Lue"/>
      <family val="2"/>
    </font>
    <font>
      <b/>
      <sz val="10"/>
      <color theme="3" tint="0.39997558519241921"/>
      <name val="Microsoft New Tai Lue"/>
      <family val="2"/>
    </font>
    <font>
      <b/>
      <sz val="10"/>
      <color theme="3" tint="-0.249977111117893"/>
      <name val="Microsoft New Tai Lue"/>
      <family val="2"/>
    </font>
    <font>
      <b/>
      <sz val="12"/>
      <color rgb="FFC00000"/>
      <name val="Arial Narrow"/>
      <family val="2"/>
    </font>
    <font>
      <b/>
      <sz val="10"/>
      <color rgb="FFC00000"/>
      <name val="Arial Narrow"/>
      <family val="2"/>
    </font>
    <font>
      <sz val="10"/>
      <color theme="1"/>
      <name val="Arial Narrow"/>
      <family val="2"/>
    </font>
    <font>
      <b/>
      <sz val="9"/>
      <color indexed="81"/>
      <name val="Segoe UI"/>
      <family val="2"/>
    </font>
    <font>
      <b/>
      <sz val="10"/>
      <color indexed="8"/>
      <name val="Arial Narrow"/>
      <family val="2"/>
    </font>
    <font>
      <sz val="11"/>
      <color rgb="FF000000"/>
      <name val="Calibri"/>
      <family val="2"/>
    </font>
    <font>
      <b/>
      <sz val="11"/>
      <name val="Arial Narrow"/>
      <family val="2"/>
    </font>
    <font>
      <sz val="10"/>
      <name val="Calibri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9"/>
      <color rgb="FF000000"/>
      <name val="Calibri"/>
      <family val="2"/>
      <scheme val="minor"/>
    </font>
    <font>
      <sz val="9"/>
      <color rgb="FF00000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9"/>
      <name val="Calibri"/>
      <family val="2"/>
      <scheme val="minor"/>
    </font>
    <font>
      <b/>
      <sz val="10"/>
      <color rgb="FFC00000"/>
      <name val="Calibri"/>
      <family val="2"/>
      <scheme val="minor"/>
    </font>
    <font>
      <b/>
      <sz val="10"/>
      <color indexed="9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color rgb="FFFF0000"/>
      <name val="Arial Narrow"/>
      <family val="2"/>
    </font>
    <font>
      <b/>
      <i/>
      <sz val="10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1"/>
      <color theme="1"/>
      <name val="Calibri"/>
      <family val="2"/>
      <scheme val="minor"/>
    </font>
    <font>
      <sz val="9"/>
      <name val="Arial Narrow"/>
      <family val="2"/>
    </font>
    <font>
      <sz val="9"/>
      <color indexed="81"/>
      <name val="Tahoma"/>
      <family val="2"/>
    </font>
    <font>
      <b/>
      <sz val="11"/>
      <color rgb="FFFA7D00"/>
      <name val="Calibri"/>
      <family val="2"/>
      <scheme val="minor"/>
    </font>
    <font>
      <b/>
      <sz val="20"/>
      <name val="Arial Narrow"/>
      <family val="2"/>
    </font>
    <font>
      <b/>
      <sz val="12"/>
      <color theme="0"/>
      <name val="Arial Narrow"/>
      <family val="2"/>
    </font>
    <font>
      <b/>
      <sz val="20"/>
      <color theme="7" tint="-0.249977111117893"/>
      <name val="Arial Narrow"/>
      <family val="2"/>
    </font>
    <font>
      <u/>
      <sz val="10"/>
      <name val="Arial Narrow"/>
      <family val="2"/>
    </font>
    <font>
      <sz val="10"/>
      <color rgb="FF92D050"/>
      <name val="Arial Narrow"/>
      <family val="2"/>
    </font>
    <font>
      <sz val="10"/>
      <color rgb="FFFF0000"/>
      <name val="Arial Narrow"/>
      <family val="2"/>
    </font>
    <font>
      <sz val="9"/>
      <color rgb="FFFF0000"/>
      <name val="Arial Narrow"/>
      <family val="2"/>
    </font>
    <font>
      <b/>
      <sz val="14"/>
      <color rgb="FFFF0000"/>
      <name val="Arial Narrow"/>
      <family val="2"/>
    </font>
    <font>
      <sz val="12"/>
      <color indexed="9"/>
      <name val="Arial Narrow"/>
      <family val="2"/>
    </font>
    <font>
      <b/>
      <sz val="12"/>
      <color rgb="FFFF0000"/>
      <name val="Arial Narrow"/>
      <family val="2"/>
    </font>
    <font>
      <b/>
      <sz val="16"/>
      <color theme="5" tint="-0.249977111117893"/>
      <name val="Microsoft New Tai Lue"/>
      <family val="2"/>
    </font>
    <font>
      <b/>
      <sz val="11"/>
      <name val="Microsoft New Tai Lue"/>
      <family val="2"/>
    </font>
    <font>
      <sz val="11"/>
      <name val="Microsoft New Tai Lue"/>
      <family val="2"/>
    </font>
    <font>
      <sz val="11"/>
      <color indexed="55"/>
      <name val="Microsoft New Tai Lue"/>
      <family val="2"/>
    </font>
    <font>
      <sz val="11"/>
      <color indexed="23"/>
      <name val="Microsoft New Tai Lue"/>
      <family val="2"/>
    </font>
    <font>
      <b/>
      <sz val="11"/>
      <color indexed="9"/>
      <name val="Microsoft New Tai Lue"/>
      <family val="2"/>
    </font>
    <font>
      <sz val="11"/>
      <color theme="0"/>
      <name val="Microsoft New Tai Lue"/>
      <family val="2"/>
    </font>
    <font>
      <i/>
      <u/>
      <sz val="11"/>
      <name val="Microsoft New Tai Lue"/>
      <family val="2"/>
    </font>
    <font>
      <b/>
      <sz val="11"/>
      <color theme="0"/>
      <name val="Microsoft New Tai Lue"/>
      <family val="2"/>
    </font>
    <font>
      <sz val="11"/>
      <color rgb="FFFF0000"/>
      <name val="Microsoft New Tai Lue"/>
      <family val="2"/>
    </font>
    <font>
      <b/>
      <sz val="10"/>
      <color rgb="FFFF0000"/>
      <name val="Times New Roman"/>
      <family val="1"/>
    </font>
    <font>
      <b/>
      <i/>
      <sz val="10"/>
      <name val="Arial Narrow"/>
      <family val="2"/>
    </font>
    <font>
      <b/>
      <sz val="10"/>
      <color theme="9" tint="-0.499984740745262"/>
      <name val="Arial Narrow"/>
      <family val="2"/>
    </font>
    <font>
      <b/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0"/>
      <color theme="1"/>
      <name val="Microsoft New Tai Lue"/>
      <family val="2"/>
    </font>
    <font>
      <sz val="8"/>
      <name val="Arial Narrow"/>
      <family val="2"/>
    </font>
    <font>
      <u/>
      <sz val="11"/>
      <color theme="10"/>
      <name val="Calibri"/>
      <family val="2"/>
      <scheme val="minor"/>
    </font>
    <font>
      <sz val="18"/>
      <color theme="3"/>
      <name val="Cambria"/>
      <family val="2"/>
      <scheme val="major"/>
    </font>
    <font>
      <sz val="12"/>
      <color rgb="FFFF0000"/>
      <name val="Arial Narrow"/>
      <family val="2"/>
    </font>
    <font>
      <b/>
      <sz val="10"/>
      <color rgb="FFFFFFFF"/>
      <name val="Arial Narrow"/>
      <family val="2"/>
    </font>
    <font>
      <b/>
      <sz val="10"/>
      <color rgb="FFFF0000"/>
      <name val="Microsoft New Tai Lue"/>
      <family val="2"/>
    </font>
    <font>
      <b/>
      <sz val="12"/>
      <color theme="4" tint="-0.499984740745262"/>
      <name val="Calibri"/>
      <family val="2"/>
      <scheme val="minor"/>
    </font>
    <font>
      <sz val="10"/>
      <color rgb="FF8C9105"/>
      <name val="Calibri"/>
      <family val="2"/>
      <scheme val="minor"/>
    </font>
    <font>
      <sz val="10"/>
      <color indexed="55"/>
      <name val="Calibri"/>
      <family val="2"/>
      <scheme val="minor"/>
    </font>
    <font>
      <b/>
      <sz val="10"/>
      <color indexed="60"/>
      <name val="Arial Narrow"/>
      <family val="2"/>
    </font>
    <font>
      <sz val="10"/>
      <color indexed="60"/>
      <name val="Calibri"/>
      <family val="2"/>
      <scheme val="minor"/>
    </font>
    <font>
      <sz val="10"/>
      <color indexed="60"/>
      <name val="Arial Narrow"/>
      <family val="2"/>
    </font>
    <font>
      <b/>
      <sz val="11"/>
      <color rgb="FF800000"/>
      <name val="Calibri"/>
      <family val="2"/>
      <scheme val="minor"/>
    </font>
    <font>
      <sz val="10"/>
      <color rgb="FFC00000"/>
      <name val="Calibri"/>
      <family val="2"/>
      <scheme val="minor"/>
    </font>
    <font>
      <sz val="12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000000"/>
      <name val="Calibri"/>
      <family val="2"/>
    </font>
    <font>
      <b/>
      <sz val="10"/>
      <color rgb="FF991919"/>
      <name val="Calibri"/>
      <family val="2"/>
      <scheme val="minor"/>
    </font>
    <font>
      <sz val="10"/>
      <color indexed="8"/>
      <name val="Calibri"/>
      <family val="2"/>
      <scheme val="minor"/>
    </font>
    <font>
      <b/>
      <sz val="10"/>
      <color theme="5" tint="-0.249977111117893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Microsoft New Tai Lue"/>
      <family val="2"/>
    </font>
    <font>
      <sz val="10"/>
      <color theme="0" tint="-4.9989318521683403E-2"/>
      <name val="Microsoft New Tai Lue"/>
      <family val="2"/>
    </font>
    <font>
      <b/>
      <sz val="10"/>
      <color theme="0" tint="-4.9989318521683403E-2"/>
      <name val="Microsoft New Tai Lue"/>
      <family val="2"/>
    </font>
    <font>
      <sz val="10"/>
      <color theme="0" tint="-0.249977111117893"/>
      <name val="Microsoft New Tai Lue"/>
      <family val="2"/>
    </font>
  </fonts>
  <fills count="135">
    <fill>
      <patternFill patternType="none"/>
    </fill>
    <fill>
      <patternFill patternType="gray125"/>
    </fill>
    <fill>
      <patternFill patternType="solid">
        <fgColor indexed="22"/>
        <bgColor indexed="19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22"/>
        <bgColor indexed="64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4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mediumGray">
        <fgColor indexed="22"/>
      </patternFill>
    </fill>
    <fill>
      <patternFill patternType="solid">
        <fgColor indexed="43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  <bgColor indexed="64"/>
      </patternFill>
    </fill>
    <fill>
      <patternFill patternType="solid">
        <fgColor indexed="53"/>
        <bgColor indexed="64"/>
      </patternFill>
    </fill>
    <fill>
      <patternFill patternType="gray0625"/>
    </fill>
    <fill>
      <patternFill patternType="solid">
        <fgColor indexed="9"/>
        <bgColor indexed="19"/>
      </patternFill>
    </fill>
    <fill>
      <patternFill patternType="solid">
        <fgColor indexed="9"/>
        <bgColor indexed="43"/>
      </patternFill>
    </fill>
    <fill>
      <patternFill patternType="solid">
        <fgColor indexed="56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21"/>
      </patternFill>
    </fill>
    <fill>
      <patternFill patternType="solid">
        <fgColor indexed="50"/>
      </patternFill>
    </fill>
    <fill>
      <patternFill patternType="solid">
        <fgColor indexed="54"/>
        <bgColor indexed="64"/>
      </patternFill>
    </fill>
    <fill>
      <patternFill patternType="solid">
        <fgColor indexed="40"/>
      </patternFill>
    </fill>
    <fill>
      <patternFill patternType="solid">
        <fgColor indexed="4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BFFFB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E9F7FF"/>
        <bgColor indexed="64"/>
      </patternFill>
    </fill>
    <fill>
      <patternFill patternType="solid">
        <fgColor rgb="FFFDFFFD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indexed="44"/>
        <bgColor indexed="44"/>
      </patternFill>
    </fill>
    <fill>
      <patternFill patternType="solid">
        <fgColor indexed="54"/>
        <bgColor indexed="54"/>
      </patternFill>
    </fill>
    <fill>
      <patternFill patternType="solid">
        <fgColor indexed="24"/>
        <bgColor indexed="24"/>
      </patternFill>
    </fill>
    <fill>
      <patternFill patternType="solid">
        <fgColor indexed="48"/>
        <bgColor indexed="48"/>
      </patternFill>
    </fill>
    <fill>
      <patternFill patternType="solid">
        <fgColor indexed="15"/>
        <bgColor indexed="15"/>
      </patternFill>
    </fill>
    <fill>
      <patternFill patternType="solid">
        <fgColor indexed="45"/>
        <bgColor indexed="45"/>
      </patternFill>
    </fill>
    <fill>
      <patternFill patternType="solid">
        <fgColor indexed="55"/>
        <bgColor indexed="55"/>
      </patternFill>
    </fill>
    <fill>
      <patternFill patternType="solid">
        <fgColor indexed="35"/>
      </patternFill>
    </fill>
    <fill>
      <patternFill patternType="solid">
        <fgColor indexed="25"/>
        <bgColor indexed="25"/>
      </patternFill>
    </fill>
    <fill>
      <patternFill patternType="solid">
        <fgColor indexed="41"/>
        <bgColor indexed="41"/>
      </patternFill>
    </fill>
    <fill>
      <patternFill patternType="solid">
        <fgColor indexed="40"/>
        <bgColor indexed="40"/>
      </patternFill>
    </fill>
    <fill>
      <patternFill patternType="solid">
        <fgColor indexed="22"/>
        <bgColor indexed="22"/>
      </patternFill>
    </fill>
    <fill>
      <patternFill patternType="solid">
        <fgColor indexed="33"/>
      </patternFill>
    </fill>
    <fill>
      <patternFill patternType="solid">
        <fgColor indexed="23"/>
        <bgColor indexed="23"/>
      </patternFill>
    </fill>
    <fill>
      <patternFill patternType="solid">
        <fgColor indexed="49"/>
        <bgColor indexed="49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2"/>
        <bgColor indexed="52"/>
      </patternFill>
    </fill>
    <fill>
      <patternFill patternType="solid">
        <fgColor indexed="38"/>
      </patternFill>
    </fill>
    <fill>
      <patternFill patternType="solid">
        <fgColor indexed="9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57"/>
      </patternFill>
    </fill>
    <fill>
      <patternFill patternType="gray0625">
        <fgColor indexed="11"/>
      </patternFill>
    </fill>
    <fill>
      <patternFill patternType="solid">
        <fgColor indexed="31"/>
        <bgColor indexed="64"/>
      </patternFill>
    </fill>
    <fill>
      <patternFill patternType="solid">
        <fgColor indexed="54"/>
      </patternFill>
    </fill>
    <fill>
      <patternFill patternType="solid">
        <fgColor indexed="23"/>
        <bgColor indexed="64"/>
      </patternFill>
    </fill>
    <fill>
      <patternFill patternType="solid">
        <fgColor indexed="35"/>
        <bgColor indexed="64"/>
      </patternFill>
    </fill>
    <fill>
      <patternFill patternType="gray125">
        <fgColor indexed="8"/>
      </patternFill>
    </fill>
    <fill>
      <patternFill patternType="solid">
        <fgColor indexed="16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rgb="FFB8DB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-0.2499465926084170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mediumGray"/>
    </fill>
    <fill>
      <patternFill patternType="solid">
        <fgColor theme="4" tint="-0.49998474074526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DDDD"/>
        <bgColor indexed="64"/>
      </patternFill>
    </fill>
    <fill>
      <patternFill patternType="solid">
        <fgColor rgb="FFF2F2F2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lightGray"/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lightUp">
        <bgColor indexed="9"/>
      </patternFill>
    </fill>
    <fill>
      <patternFill patternType="darkUp">
        <bgColor theme="8" tint="0.59996337778862885"/>
      </patternFill>
    </fill>
    <fill>
      <patternFill patternType="lightUp"/>
    </fill>
    <fill>
      <patternFill patternType="solid">
        <fgColor theme="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D9E1F2"/>
        <bgColor rgb="FFD9E1F2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4" tint="0.59999389629810485"/>
        <bgColor rgb="FF000000"/>
      </patternFill>
    </fill>
    <fill>
      <patternFill patternType="solid">
        <fgColor theme="4" tint="-0.499984740745262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theme="5" tint="0.39997558519241921"/>
        <bgColor rgb="FF000000"/>
      </patternFill>
    </fill>
  </fills>
  <borders count="2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/>
      <bottom/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8"/>
      </right>
      <top/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18"/>
      </left>
      <right/>
      <top style="thick">
        <color indexed="18"/>
      </top>
      <bottom style="thin">
        <color indexed="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indexed="10"/>
      </left>
      <right style="double">
        <color indexed="10"/>
      </right>
      <top style="double">
        <color indexed="10"/>
      </top>
      <bottom style="double">
        <color indexed="10"/>
      </bottom>
      <diagonal/>
    </border>
    <border>
      <left/>
      <right/>
      <top/>
      <bottom style="medium">
        <color indexed="8"/>
      </bottom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rgb="FFD0D7E5"/>
      </left>
      <right style="thin">
        <color rgb="FF000000"/>
      </right>
      <top style="medium">
        <color rgb="FFD0D7E5"/>
      </top>
      <bottom style="medium">
        <color rgb="FFD0D7E5"/>
      </bottom>
      <diagonal/>
    </border>
    <border>
      <left style="thin">
        <color rgb="FF000000"/>
      </left>
      <right style="medium">
        <color rgb="FFD0D7E5"/>
      </right>
      <top style="medium">
        <color rgb="FFD0D7E5"/>
      </top>
      <bottom style="medium">
        <color rgb="FFD0D7E5"/>
      </bottom>
      <diagonal/>
    </border>
    <border>
      <left style="medium">
        <color rgb="FFD0D7E5"/>
      </left>
      <right style="medium">
        <color rgb="FFD0D7E5"/>
      </right>
      <top style="medium">
        <color rgb="FFD0D7E5"/>
      </top>
      <bottom style="medium">
        <color rgb="FFD0D7E5"/>
      </bottom>
      <diagonal/>
    </border>
    <border>
      <left style="medium">
        <color rgb="FFD0D7E5"/>
      </left>
      <right style="thin">
        <color rgb="FF000000"/>
      </right>
      <top style="medium">
        <color rgb="FFD0D7E5"/>
      </top>
      <bottom style="thin">
        <color rgb="FF000000"/>
      </bottom>
      <diagonal/>
    </border>
    <border>
      <left style="thin">
        <color rgb="FF000000"/>
      </left>
      <right style="medium">
        <color rgb="FFD0D7E5"/>
      </right>
      <top style="medium">
        <color rgb="FFD0D7E5"/>
      </top>
      <bottom style="thin">
        <color rgb="FF000000"/>
      </bottom>
      <diagonal/>
    </border>
    <border>
      <left style="medium">
        <color rgb="FFD0D7E5"/>
      </left>
      <right style="medium">
        <color rgb="FFD0D7E5"/>
      </right>
      <top style="medium">
        <color rgb="FFD0D7E5"/>
      </top>
      <bottom style="thin">
        <color rgb="FF000000"/>
      </bottom>
      <diagonal/>
    </border>
    <border>
      <left style="medium">
        <color rgb="FFD0D7E5"/>
      </left>
      <right style="thin">
        <color rgb="FF000000"/>
      </right>
      <top/>
      <bottom style="medium">
        <color rgb="FFD0D7E5"/>
      </bottom>
      <diagonal/>
    </border>
    <border>
      <left style="thin">
        <color rgb="FF000000"/>
      </left>
      <right style="medium">
        <color rgb="FFD0D7E5"/>
      </right>
      <top/>
      <bottom style="medium">
        <color rgb="FFD0D7E5"/>
      </bottom>
      <diagonal/>
    </border>
    <border>
      <left style="medium">
        <color rgb="FFD0D7E5"/>
      </left>
      <right style="medium">
        <color rgb="FFD0D7E5"/>
      </right>
      <top/>
      <bottom style="medium">
        <color rgb="FFD0D7E5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0" tint="-0.14993743705557422"/>
      </bottom>
      <diagonal/>
    </border>
    <border>
      <left/>
      <right style="thin">
        <color theme="0" tint="-0.14996795556505021"/>
      </right>
      <top/>
      <bottom style="thin">
        <color theme="0" tint="-0.14993743705557422"/>
      </bottom>
      <diagonal/>
    </border>
    <border>
      <left style="thin">
        <color theme="0" tint="-0.14996795556505021"/>
      </left>
      <right/>
      <top/>
      <bottom/>
      <diagonal/>
    </border>
    <border>
      <left style="thin">
        <color theme="0"/>
      </left>
      <right/>
      <top/>
      <bottom/>
      <diagonal/>
    </border>
    <border>
      <left/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14996795556505021"/>
      </left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indexed="64"/>
      </bottom>
      <diagonal/>
    </border>
    <border>
      <left style="thin">
        <color theme="0" tint="-0.1499679555650502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indexed="64"/>
      </bottom>
      <diagonal/>
    </border>
    <border>
      <left/>
      <right/>
      <top/>
      <bottom style="thick">
        <color theme="0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auto="1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thin">
        <color auto="1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 style="thin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/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/>
      <diagonal/>
    </border>
    <border>
      <left/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55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/>
      <bottom style="thin">
        <color auto="1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/>
      <right/>
      <top/>
      <bottom style="thin">
        <color indexed="55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3440">
    <xf numFmtId="0" fontId="0" fillId="0" borderId="0"/>
    <xf numFmtId="0" fontId="45" fillId="0" borderId="0">
      <alignment vertical="center"/>
    </xf>
    <xf numFmtId="0" fontId="46" fillId="0" borderId="0">
      <alignment vertical="center"/>
    </xf>
    <xf numFmtId="0" fontId="45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6" fillId="0" borderId="0">
      <alignment vertical="center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6" fillId="0" borderId="0">
      <alignment vertical="center"/>
    </xf>
    <xf numFmtId="0" fontId="45" fillId="0" borderId="0">
      <alignment vertical="center"/>
    </xf>
    <xf numFmtId="0" fontId="46" fillId="0" borderId="0">
      <alignment vertical="center"/>
    </xf>
    <xf numFmtId="0" fontId="45" fillId="0" borderId="0">
      <alignment vertical="center"/>
    </xf>
    <xf numFmtId="0" fontId="46" fillId="0" borderId="0">
      <alignment vertical="center"/>
    </xf>
    <xf numFmtId="0" fontId="45" fillId="0" borderId="0">
      <alignment vertical="center"/>
    </xf>
    <xf numFmtId="0" fontId="46" fillId="0" borderId="0">
      <alignment vertical="center"/>
    </xf>
    <xf numFmtId="0" fontId="45" fillId="0" borderId="0">
      <alignment vertical="center"/>
    </xf>
    <xf numFmtId="0" fontId="46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6" fillId="0" borderId="0">
      <alignment vertical="center"/>
    </xf>
    <xf numFmtId="0" fontId="45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1" fillId="0" borderId="0"/>
    <xf numFmtId="0" fontId="31" fillId="0" borderId="0"/>
    <xf numFmtId="0" fontId="31" fillId="0" borderId="0"/>
    <xf numFmtId="0" fontId="45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6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6" fillId="0" borderId="0">
      <alignment vertical="center"/>
    </xf>
    <xf numFmtId="0" fontId="45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5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1" fillId="0" borderId="0"/>
    <xf numFmtId="0" fontId="31" fillId="0" borderId="0"/>
    <xf numFmtId="0" fontId="31" fillId="0" borderId="0"/>
    <xf numFmtId="3" fontId="48" fillId="2" borderId="0">
      <alignment horizontal="left"/>
    </xf>
    <xf numFmtId="0" fontId="49" fillId="3" borderId="0" applyNumberFormat="0" applyBorder="0" applyAlignment="0" applyProtection="0"/>
    <xf numFmtId="0" fontId="49" fillId="4" borderId="0" applyNumberFormat="0" applyBorder="0" applyAlignment="0" applyProtection="0"/>
    <xf numFmtId="0" fontId="49" fillId="5" borderId="0" applyNumberFormat="0" applyBorder="0" applyAlignment="0" applyProtection="0"/>
    <xf numFmtId="0" fontId="49" fillId="6" borderId="0" applyNumberFormat="0" applyBorder="0" applyAlignment="0" applyProtection="0"/>
    <xf numFmtId="0" fontId="49" fillId="7" borderId="0" applyNumberFormat="0" applyBorder="0" applyAlignment="0" applyProtection="0"/>
    <xf numFmtId="0" fontId="49" fillId="8" borderId="0" applyNumberFormat="0" applyBorder="0" applyAlignment="0" applyProtection="0"/>
    <xf numFmtId="0" fontId="49" fillId="3" borderId="0" applyNumberFormat="0" applyBorder="0" applyAlignment="0" applyProtection="0"/>
    <xf numFmtId="0" fontId="49" fillId="4" borderId="0" applyNumberFormat="0" applyBorder="0" applyAlignment="0" applyProtection="0"/>
    <xf numFmtId="0" fontId="49" fillId="5" borderId="0" applyNumberFormat="0" applyBorder="0" applyAlignment="0" applyProtection="0"/>
    <xf numFmtId="0" fontId="49" fillId="6" borderId="0" applyNumberFormat="0" applyBorder="0" applyAlignment="0" applyProtection="0"/>
    <xf numFmtId="0" fontId="49" fillId="7" borderId="0" applyNumberFormat="0" applyBorder="0" applyAlignment="0" applyProtection="0"/>
    <xf numFmtId="0" fontId="49" fillId="8" borderId="0" applyNumberFormat="0" applyBorder="0" applyAlignment="0" applyProtection="0"/>
    <xf numFmtId="3" fontId="50" fillId="9" borderId="0"/>
    <xf numFmtId="0" fontId="49" fillId="10" borderId="0" applyNumberFormat="0" applyBorder="0" applyAlignment="0" applyProtection="0"/>
    <xf numFmtId="0" fontId="49" fillId="11" borderId="0" applyNumberFormat="0" applyBorder="0" applyAlignment="0" applyProtection="0"/>
    <xf numFmtId="0" fontId="49" fillId="12" borderId="0" applyNumberFormat="0" applyBorder="0" applyAlignment="0" applyProtection="0"/>
    <xf numFmtId="0" fontId="49" fillId="6" borderId="0" applyNumberFormat="0" applyBorder="0" applyAlignment="0" applyProtection="0"/>
    <xf numFmtId="0" fontId="49" fillId="10" borderId="0" applyNumberFormat="0" applyBorder="0" applyAlignment="0" applyProtection="0"/>
    <xf numFmtId="0" fontId="49" fillId="13" borderId="0" applyNumberFormat="0" applyBorder="0" applyAlignment="0" applyProtection="0"/>
    <xf numFmtId="0" fontId="49" fillId="10" borderId="0" applyNumberFormat="0" applyBorder="0" applyAlignment="0" applyProtection="0"/>
    <xf numFmtId="0" fontId="49" fillId="11" borderId="0" applyNumberFormat="0" applyBorder="0" applyAlignment="0" applyProtection="0"/>
    <xf numFmtId="0" fontId="49" fillId="12" borderId="0" applyNumberFormat="0" applyBorder="0" applyAlignment="0" applyProtection="0"/>
    <xf numFmtId="0" fontId="49" fillId="6" borderId="0" applyNumberFormat="0" applyBorder="0" applyAlignment="0" applyProtection="0"/>
    <xf numFmtId="0" fontId="49" fillId="10" borderId="0" applyNumberFormat="0" applyBorder="0" applyAlignment="0" applyProtection="0"/>
    <xf numFmtId="0" fontId="49" fillId="13" borderId="0" applyNumberFormat="0" applyBorder="0" applyAlignment="0" applyProtection="0"/>
    <xf numFmtId="0" fontId="51" fillId="14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17" borderId="0" applyNumberFormat="0" applyBorder="0" applyAlignment="0" applyProtection="0"/>
    <xf numFmtId="0" fontId="51" fillId="14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17" borderId="0" applyNumberFormat="0" applyBorder="0" applyAlignment="0" applyProtection="0"/>
    <xf numFmtId="0" fontId="52" fillId="0" borderId="0"/>
    <xf numFmtId="0" fontId="53" fillId="0" borderId="0"/>
    <xf numFmtId="0" fontId="53" fillId="0" borderId="0"/>
    <xf numFmtId="37" fontId="54" fillId="0" borderId="0"/>
    <xf numFmtId="0" fontId="54" fillId="0" borderId="1" applyBorder="0"/>
    <xf numFmtId="0" fontId="51" fillId="18" borderId="0" applyNumberFormat="0" applyBorder="0" applyAlignment="0" applyProtection="0"/>
    <xf numFmtId="0" fontId="51" fillId="19" borderId="0" applyNumberFormat="0" applyBorder="0" applyAlignment="0" applyProtection="0"/>
    <xf numFmtId="0" fontId="51" fillId="20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21" borderId="0" applyNumberFormat="0" applyBorder="0" applyAlignment="0" applyProtection="0"/>
    <xf numFmtId="176" fontId="32" fillId="22" borderId="2">
      <alignment horizontal="center" vertical="center"/>
    </xf>
    <xf numFmtId="0" fontId="41" fillId="0" borderId="0"/>
    <xf numFmtId="10" fontId="31" fillId="23" borderId="0" applyFont="0" applyBorder="0" applyAlignment="0">
      <protection locked="0"/>
    </xf>
    <xf numFmtId="172" fontId="31" fillId="23" borderId="0" applyBorder="0" applyAlignment="0">
      <protection locked="0"/>
    </xf>
    <xf numFmtId="3" fontId="55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57" fillId="4" borderId="0" applyNumberFormat="0" applyBorder="0" applyAlignment="0" applyProtection="0"/>
    <xf numFmtId="0" fontId="58" fillId="0" borderId="0" applyNumberFormat="0" applyFill="0" applyBorder="0" applyAlignment="0" applyProtection="0"/>
    <xf numFmtId="0" fontId="31" fillId="0" borderId="0" applyNumberFormat="0" applyFill="0" applyBorder="0" applyAlignment="0"/>
    <xf numFmtId="177" fontId="59" fillId="0" borderId="0">
      <alignment vertical="top"/>
    </xf>
    <xf numFmtId="178" fontId="60" fillId="0" borderId="3"/>
    <xf numFmtId="0" fontId="61" fillId="5" borderId="0" applyNumberFormat="0" applyBorder="0" applyAlignment="0" applyProtection="0"/>
    <xf numFmtId="0" fontId="62" fillId="0" borderId="0">
      <protection locked="0"/>
    </xf>
    <xf numFmtId="0" fontId="62" fillId="0" borderId="0">
      <protection locked="0"/>
    </xf>
    <xf numFmtId="14" fontId="63" fillId="24" borderId="4" applyBorder="0" applyAlignment="0">
      <alignment horizontal="center" vertical="center"/>
    </xf>
    <xf numFmtId="0" fontId="63" fillId="25" borderId="4" applyNumberFormat="0" applyBorder="0" applyAlignment="0">
      <alignment horizontal="center" vertical="center"/>
    </xf>
    <xf numFmtId="179" fontId="41" fillId="0" borderId="0" applyFill="0" applyBorder="0" applyAlignment="0"/>
    <xf numFmtId="177" fontId="64" fillId="0" borderId="0" applyFill="0" applyBorder="0" applyAlignment="0"/>
    <xf numFmtId="173" fontId="64" fillId="0" borderId="0" applyFill="0" applyBorder="0" applyAlignment="0"/>
    <xf numFmtId="174" fontId="46" fillId="0" borderId="0" applyFill="0" applyBorder="0" applyAlignment="0"/>
    <xf numFmtId="180" fontId="31" fillId="0" borderId="0" applyFill="0" applyBorder="0" applyAlignment="0"/>
    <xf numFmtId="179" fontId="41" fillId="0" borderId="0" applyFill="0" applyBorder="0" applyAlignment="0"/>
    <xf numFmtId="0" fontId="41" fillId="0" borderId="0" applyFill="0" applyBorder="0" applyAlignment="0"/>
    <xf numFmtId="177" fontId="64" fillId="0" borderId="0" applyFill="0" applyBorder="0" applyAlignment="0"/>
    <xf numFmtId="0" fontId="65" fillId="26" borderId="5" applyNumberFormat="0" applyAlignment="0" applyProtection="0"/>
    <xf numFmtId="0" fontId="65" fillId="26" borderId="5" applyNumberFormat="0" applyAlignment="0" applyProtection="0"/>
    <xf numFmtId="40" fontId="64" fillId="23" borderId="6">
      <alignment vertical="center"/>
    </xf>
    <xf numFmtId="0" fontId="66" fillId="27" borderId="7" applyNumberFormat="0" applyAlignment="0" applyProtection="0"/>
    <xf numFmtId="0" fontId="67" fillId="0" borderId="8" applyNumberFormat="0" applyFill="0" applyAlignment="0" applyProtection="0"/>
    <xf numFmtId="0" fontId="66" fillId="27" borderId="7" applyNumberFormat="0" applyAlignment="0" applyProtection="0"/>
    <xf numFmtId="0" fontId="68" fillId="28" borderId="9" applyFont="0" applyFill="0" applyBorder="0"/>
    <xf numFmtId="0" fontId="43" fillId="0" borderId="10"/>
    <xf numFmtId="0" fontId="69" fillId="0" borderId="11"/>
    <xf numFmtId="41" fontId="113" fillId="0" borderId="0" applyFont="0" applyFill="0" applyBorder="0" applyAlignment="0" applyProtection="0"/>
    <xf numFmtId="179" fontId="41" fillId="0" borderId="0" applyFont="0" applyFill="0" applyBorder="0" applyAlignment="0" applyProtection="0"/>
    <xf numFmtId="167" fontId="41" fillId="0" borderId="0" applyFont="0" applyFill="0" applyBorder="0" applyAlignment="0" applyProtection="0"/>
    <xf numFmtId="43" fontId="113" fillId="0" borderId="0" applyFont="0" applyFill="0" applyBorder="0" applyAlignment="0" applyProtection="0"/>
    <xf numFmtId="3" fontId="70" fillId="0" borderId="0" applyFont="0" applyFill="0" applyBorder="0" applyAlignment="0" applyProtection="0"/>
    <xf numFmtId="167" fontId="31" fillId="29" borderId="0" applyNumberFormat="0" applyFont="0" applyBorder="0" applyAlignment="0" applyProtection="0"/>
    <xf numFmtId="0" fontId="69" fillId="0" borderId="11"/>
    <xf numFmtId="0" fontId="71" fillId="0" borderId="0" applyFont="0" applyFill="0" applyBorder="0" applyAlignment="0" applyProtection="0"/>
    <xf numFmtId="0" fontId="71" fillId="0" borderId="0" applyFont="0" applyFill="0" applyBorder="0" applyAlignment="0" applyProtection="0"/>
    <xf numFmtId="197" fontId="113" fillId="0" borderId="0" applyFont="0" applyFill="0" applyBorder="0" applyAlignment="0" applyProtection="0"/>
    <xf numFmtId="177" fontId="64" fillId="0" borderId="0" applyFont="0" applyFill="0" applyBorder="0" applyAlignment="0" applyProtection="0"/>
    <xf numFmtId="198" fontId="113" fillId="0" borderId="0" applyFont="0" applyFill="0" applyBorder="0" applyAlignment="0" applyProtection="0"/>
    <xf numFmtId="181" fontId="70" fillId="0" borderId="0" applyFont="0" applyFill="0" applyBorder="0" applyAlignment="0" applyProtection="0"/>
    <xf numFmtId="0" fontId="62" fillId="0" borderId="0">
      <protection locked="0"/>
    </xf>
    <xf numFmtId="168" fontId="72" fillId="0" borderId="0">
      <protection locked="0"/>
    </xf>
    <xf numFmtId="14" fontId="40" fillId="0" borderId="0" applyFill="0" applyBorder="0" applyAlignment="0"/>
    <xf numFmtId="0" fontId="31" fillId="0" borderId="0" applyFont="0" applyFill="0" applyBorder="0" applyProtection="0">
      <alignment horizontal="left"/>
    </xf>
    <xf numFmtId="0" fontId="31" fillId="0" borderId="0" applyFont="0" applyFill="0" applyBorder="0" applyAlignment="0" applyProtection="0">
      <protection locked="0"/>
    </xf>
    <xf numFmtId="39" fontId="69" fillId="0" borderId="0" applyFont="0" applyFill="0" applyBorder="0" applyAlignment="0" applyProtection="0"/>
    <xf numFmtId="0" fontId="71" fillId="0" borderId="0" applyFont="0" applyFill="0" applyBorder="0" applyAlignment="0"/>
    <xf numFmtId="182" fontId="41" fillId="0" borderId="12">
      <alignment vertical="center"/>
    </xf>
    <xf numFmtId="0" fontId="51" fillId="18" borderId="0" applyNumberFormat="0" applyBorder="0" applyAlignment="0" applyProtection="0"/>
    <xf numFmtId="0" fontId="51" fillId="19" borderId="0" applyNumberFormat="0" applyBorder="0" applyAlignment="0" applyProtection="0"/>
    <xf numFmtId="0" fontId="51" fillId="20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21" borderId="0" applyNumberFormat="0" applyBorder="0" applyAlignment="0" applyProtection="0"/>
    <xf numFmtId="179" fontId="41" fillId="0" borderId="0" applyFill="0" applyBorder="0" applyAlignment="0"/>
    <xf numFmtId="177" fontId="64" fillId="0" borderId="0" applyFill="0" applyBorder="0" applyAlignment="0"/>
    <xf numFmtId="179" fontId="41" fillId="0" borderId="0" applyFill="0" applyBorder="0" applyAlignment="0"/>
    <xf numFmtId="0" fontId="41" fillId="0" borderId="0" applyFill="0" applyBorder="0" applyAlignment="0"/>
    <xf numFmtId="177" fontId="64" fillId="0" borderId="0" applyFill="0" applyBorder="0" applyAlignment="0"/>
    <xf numFmtId="0" fontId="73" fillId="8" borderId="5" applyNumberFormat="0" applyAlignment="0" applyProtection="0"/>
    <xf numFmtId="0" fontId="45" fillId="0" borderId="0">
      <alignment vertical="center"/>
    </xf>
    <xf numFmtId="183" fontId="31" fillId="0" borderId="0" applyFont="0" applyFill="0" applyBorder="0" applyAlignment="0" applyProtection="0"/>
    <xf numFmtId="3" fontId="39" fillId="0" borderId="13" applyFill="0" applyBorder="0"/>
    <xf numFmtId="0" fontId="74" fillId="0" borderId="0" applyNumberFormat="0" applyFill="0" applyBorder="0" applyAlignment="0" applyProtection="0"/>
    <xf numFmtId="37" fontId="75" fillId="0" borderId="0" applyBorder="0" applyAlignment="0"/>
    <xf numFmtId="184" fontId="31" fillId="0" borderId="0">
      <protection locked="0"/>
    </xf>
    <xf numFmtId="185" fontId="62" fillId="0" borderId="0"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76" fillId="23" borderId="0" applyNumberFormat="0" applyFont="0" applyBorder="0" applyAlignment="0" applyProtection="0">
      <alignment horizontal="centerContinuous"/>
    </xf>
    <xf numFmtId="0" fontId="76" fillId="30" borderId="0" applyNumberFormat="0" applyFont="0" applyBorder="0" applyAlignment="0" applyProtection="0">
      <alignment horizontal="centerContinuous"/>
    </xf>
    <xf numFmtId="0" fontId="77" fillId="9" borderId="14" applyNumberFormat="0" applyFont="0" applyBorder="0" applyAlignment="0"/>
    <xf numFmtId="0" fontId="41" fillId="23" borderId="15" applyNumberFormat="0" applyFont="0" applyBorder="0" applyAlignment="0" applyProtection="0"/>
    <xf numFmtId="10" fontId="31" fillId="23" borderId="0" applyNumberFormat="0" applyFont="0" applyBorder="0" applyAlignment="0"/>
    <xf numFmtId="0" fontId="61" fillId="5" borderId="0" applyNumberFormat="0" applyBorder="0" applyAlignment="0" applyProtection="0"/>
    <xf numFmtId="38" fontId="78" fillId="9" borderId="0" applyNumberFormat="0" applyBorder="0" applyAlignment="0" applyProtection="0"/>
    <xf numFmtId="0" fontId="79" fillId="0" borderId="0" applyNumberFormat="0" applyFill="0" applyBorder="0" applyAlignment="0" applyProtection="0"/>
    <xf numFmtId="0" fontId="80" fillId="0" borderId="16" applyNumberFormat="0" applyAlignment="0" applyProtection="0">
      <alignment horizontal="left" vertical="center"/>
    </xf>
    <xf numFmtId="0" fontId="80" fillId="0" borderId="17">
      <alignment horizontal="left" vertical="center"/>
    </xf>
    <xf numFmtId="0" fontId="8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3" fillId="0" borderId="18" applyNumberFormat="0" applyFill="0" applyAlignment="0" applyProtection="0"/>
    <xf numFmtId="0" fontId="83" fillId="0" borderId="0" applyNumberFormat="0" applyFill="0" applyBorder="0" applyAlignment="0" applyProtection="0"/>
    <xf numFmtId="186" fontId="31" fillId="0" borderId="0">
      <protection locked="0"/>
    </xf>
    <xf numFmtId="186" fontId="31" fillId="0" borderId="0">
      <protection locked="0"/>
    </xf>
    <xf numFmtId="0" fontId="84" fillId="0" borderId="19" applyNumberFormat="0" applyFill="0" applyAlignment="0" applyProtection="0"/>
    <xf numFmtId="0" fontId="30" fillId="0" borderId="0" applyNumberFormat="0" applyFill="0" applyBorder="0" applyAlignment="0" applyProtection="0">
      <alignment vertical="top"/>
      <protection locked="0"/>
    </xf>
    <xf numFmtId="0" fontId="57" fillId="4" borderId="0" applyNumberFormat="0" applyBorder="0" applyAlignment="0" applyProtection="0"/>
    <xf numFmtId="0" fontId="45" fillId="0" borderId="0"/>
    <xf numFmtId="37" fontId="85" fillId="0" borderId="0" applyFill="0" applyBorder="0" applyAlignment="0">
      <protection locked="0"/>
    </xf>
    <xf numFmtId="0" fontId="85" fillId="0" borderId="20" applyFill="0" applyBorder="0" applyAlignment="0">
      <alignment horizontal="center"/>
      <protection locked="0"/>
    </xf>
    <xf numFmtId="10" fontId="78" fillId="23" borderId="6" applyNumberFormat="0" applyBorder="0" applyAlignment="0" applyProtection="0"/>
    <xf numFmtId="0" fontId="31" fillId="0" borderId="0" applyFill="0" applyBorder="0" applyAlignment="0">
      <protection locked="0"/>
    </xf>
    <xf numFmtId="0" fontId="71" fillId="0" borderId="0" applyFill="0" applyBorder="0" applyAlignment="0" applyProtection="0">
      <protection locked="0"/>
    </xf>
    <xf numFmtId="179" fontId="41" fillId="0" borderId="0" applyFill="0" applyBorder="0" applyAlignment="0"/>
    <xf numFmtId="177" fontId="64" fillId="0" borderId="0" applyFill="0" applyBorder="0" applyAlignment="0"/>
    <xf numFmtId="179" fontId="41" fillId="0" borderId="0" applyFill="0" applyBorder="0" applyAlignment="0"/>
    <xf numFmtId="0" fontId="41" fillId="0" borderId="0" applyFill="0" applyBorder="0" applyAlignment="0"/>
    <xf numFmtId="177" fontId="64" fillId="0" borderId="0" applyFill="0" applyBorder="0" applyAlignment="0"/>
    <xf numFmtId="0" fontId="67" fillId="0" borderId="8" applyNumberFormat="0" applyFill="0" applyAlignment="0" applyProtection="0"/>
    <xf numFmtId="166" fontId="29" fillId="0" borderId="0" applyFont="0" applyFill="0" applyBorder="0" applyAlignment="0" applyProtection="0"/>
    <xf numFmtId="187" fontId="62" fillId="0" borderId="0">
      <protection locked="0"/>
    </xf>
    <xf numFmtId="0" fontId="31" fillId="0" borderId="0" applyFont="0" applyFill="0" applyBorder="0" applyAlignment="0" applyProtection="0"/>
    <xf numFmtId="3" fontId="86" fillId="2" borderId="1">
      <alignment horizontal="center"/>
    </xf>
    <xf numFmtId="0" fontId="87" fillId="31" borderId="0" applyNumberFormat="0" applyBorder="0" applyAlignment="0" applyProtection="0"/>
    <xf numFmtId="0" fontId="87" fillId="31" borderId="0" applyNumberFormat="0" applyBorder="0" applyAlignment="0" applyProtection="0"/>
    <xf numFmtId="37" fontId="88" fillId="0" borderId="0"/>
    <xf numFmtId="188" fontId="89" fillId="0" borderId="0"/>
    <xf numFmtId="189" fontId="90" fillId="0" borderId="0"/>
    <xf numFmtId="190" fontId="90" fillId="0" borderId="0"/>
    <xf numFmtId="0" fontId="31" fillId="0" borderId="0" applyFill="0" applyBorder="0" applyAlignment="0"/>
    <xf numFmtId="0" fontId="31" fillId="0" borderId="0">
      <alignment vertical="top"/>
    </xf>
    <xf numFmtId="0" fontId="41" fillId="0" borderId="0"/>
    <xf numFmtId="0" fontId="41" fillId="0" borderId="0"/>
    <xf numFmtId="0" fontId="31" fillId="0" borderId="0"/>
    <xf numFmtId="0" fontId="41" fillId="0" borderId="0"/>
    <xf numFmtId="0" fontId="31" fillId="0" borderId="0"/>
    <xf numFmtId="0" fontId="41" fillId="0" borderId="0"/>
    <xf numFmtId="0" fontId="41" fillId="0" borderId="0"/>
    <xf numFmtId="0" fontId="31" fillId="0" borderId="0" applyProtection="0"/>
    <xf numFmtId="0" fontId="41" fillId="32" borderId="21" applyNumberFormat="0" applyFont="0" applyAlignment="0" applyProtection="0"/>
    <xf numFmtId="0" fontId="31" fillId="32" borderId="21" applyNumberFormat="0" applyFont="0" applyAlignment="0" applyProtection="0"/>
    <xf numFmtId="0" fontId="91" fillId="26" borderId="22" applyNumberFormat="0" applyAlignment="0" applyProtection="0"/>
    <xf numFmtId="0" fontId="92" fillId="33" borderId="0"/>
    <xf numFmtId="0" fontId="31" fillId="0" borderId="23" applyFont="0" applyFill="0" applyBorder="0" applyAlignment="0" applyProtection="0">
      <alignment horizontal="right"/>
    </xf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180" fontId="31" fillId="0" borderId="0" applyFont="0" applyFill="0" applyBorder="0" applyAlignment="0" applyProtection="0"/>
    <xf numFmtId="175" fontId="41" fillId="0" borderId="0" applyFont="0" applyFill="0" applyBorder="0" applyAlignment="0" applyProtection="0"/>
    <xf numFmtId="1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39" fillId="22" borderId="24" applyNumberFormat="0" applyFont="0" applyBorder="0" applyAlignment="0" applyProtection="0"/>
    <xf numFmtId="179" fontId="41" fillId="0" borderId="0" applyFill="0" applyBorder="0" applyAlignment="0"/>
    <xf numFmtId="177" fontId="64" fillId="0" borderId="0" applyFill="0" applyBorder="0" applyAlignment="0"/>
    <xf numFmtId="179" fontId="41" fillId="0" borderId="0" applyFill="0" applyBorder="0" applyAlignment="0"/>
    <xf numFmtId="0" fontId="41" fillId="0" borderId="0" applyFill="0" applyBorder="0" applyAlignment="0"/>
    <xf numFmtId="177" fontId="64" fillId="0" borderId="0" applyFill="0" applyBorder="0" applyAlignment="0"/>
    <xf numFmtId="14" fontId="63" fillId="34" borderId="19" applyNumberFormat="0" applyFont="0" applyBorder="0" applyAlignment="0" applyProtection="0">
      <alignment horizontal="center" vertical="center"/>
    </xf>
    <xf numFmtId="3" fontId="93" fillId="0" borderId="0" applyFill="0" applyBorder="0" applyAlignment="0" applyProtection="0"/>
    <xf numFmtId="3" fontId="44" fillId="0" borderId="0" applyFill="0" applyBorder="0" applyAlignment="0" applyProtection="0"/>
    <xf numFmtId="3" fontId="93" fillId="0" borderId="0" applyFill="0" applyBorder="0" applyAlignment="0" applyProtection="0"/>
    <xf numFmtId="0" fontId="91" fillId="26" borderId="22" applyNumberFormat="0" applyAlignment="0" applyProtection="0"/>
    <xf numFmtId="38" fontId="71" fillId="0" borderId="0" applyFont="0" applyFill="0" applyBorder="0" applyAlignment="0" applyProtection="0"/>
    <xf numFmtId="191" fontId="94" fillId="0" borderId="0">
      <protection locked="0"/>
    </xf>
    <xf numFmtId="167" fontId="29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41" fillId="0" borderId="0" applyFont="0" applyFill="0" applyBorder="0" applyAlignment="0" applyProtection="0"/>
    <xf numFmtId="38" fontId="71" fillId="35" borderId="0" applyNumberFormat="0" applyFont="0" applyBorder="0" applyAlignment="0" applyProtection="0"/>
    <xf numFmtId="3" fontId="95" fillId="36" borderId="0">
      <alignment horizontal="left"/>
    </xf>
    <xf numFmtId="0" fontId="47" fillId="0" borderId="0">
      <alignment vertical="top"/>
    </xf>
    <xf numFmtId="0" fontId="96" fillId="0" borderId="0"/>
    <xf numFmtId="0" fontId="96" fillId="0" borderId="0"/>
    <xf numFmtId="0" fontId="96" fillId="0" borderId="0"/>
    <xf numFmtId="0" fontId="96" fillId="0" borderId="0"/>
    <xf numFmtId="38" fontId="97" fillId="0" borderId="0" applyFill="0" applyBorder="0" applyAlignment="0" applyProtection="0"/>
    <xf numFmtId="0" fontId="31" fillId="0" borderId="0" applyFill="0" applyBorder="0" applyAlignment="0" applyProtection="0"/>
    <xf numFmtId="49" fontId="40" fillId="0" borderId="0" applyFill="0" applyBorder="0" applyAlignment="0"/>
    <xf numFmtId="0" fontId="41" fillId="0" borderId="0" applyFill="0" applyBorder="0" applyAlignment="0"/>
    <xf numFmtId="0" fontId="41" fillId="0" borderId="0" applyFill="0" applyBorder="0" applyAlignment="0"/>
    <xf numFmtId="0" fontId="98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18" fontId="99" fillId="0" borderId="0" applyFont="0" applyFill="0" applyBorder="0" applyAlignment="0" applyProtection="0">
      <alignment horizontal="left"/>
    </xf>
    <xf numFmtId="0" fontId="100" fillId="0" borderId="0" applyNumberFormat="0" applyFill="0" applyBorder="0" applyAlignment="0" applyProtection="0"/>
    <xf numFmtId="3" fontId="101" fillId="36" borderId="0">
      <alignment horizontal="center"/>
    </xf>
    <xf numFmtId="0" fontId="100" fillId="0" borderId="0" applyNumberFormat="0" applyFill="0" applyBorder="0" applyAlignment="0" applyProtection="0"/>
    <xf numFmtId="0" fontId="102" fillId="0" borderId="25" applyNumberFormat="0" applyFill="0" applyAlignment="0" applyProtection="0"/>
    <xf numFmtId="0" fontId="103" fillId="0" borderId="26" applyNumberFormat="0" applyFill="0" applyAlignment="0" applyProtection="0"/>
    <xf numFmtId="0" fontId="83" fillId="0" borderId="18" applyNumberFormat="0" applyFill="0" applyAlignment="0" applyProtection="0"/>
    <xf numFmtId="0" fontId="83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3" fontId="105" fillId="36" borderId="0">
      <alignment horizontal="left"/>
    </xf>
    <xf numFmtId="186" fontId="31" fillId="0" borderId="27">
      <protection locked="0"/>
    </xf>
    <xf numFmtId="3" fontId="50" fillId="37" borderId="0">
      <alignment horizontal="right"/>
    </xf>
    <xf numFmtId="10" fontId="106" fillId="0" borderId="28" applyNumberFormat="0" applyFont="0" applyFill="0" applyAlignment="0" applyProtection="0"/>
    <xf numFmtId="37" fontId="78" fillId="29" borderId="0" applyNumberFormat="0" applyBorder="0" applyAlignment="0" applyProtection="0"/>
    <xf numFmtId="37" fontId="43" fillId="0" borderId="0"/>
    <xf numFmtId="3" fontId="107" fillId="0" borderId="19" applyProtection="0"/>
    <xf numFmtId="192" fontId="62" fillId="0" borderId="0">
      <protection locked="0"/>
    </xf>
    <xf numFmtId="193" fontId="62" fillId="0" borderId="0">
      <protection locked="0"/>
    </xf>
    <xf numFmtId="0" fontId="98" fillId="0" borderId="0" applyNumberFormat="0" applyFill="0" applyBorder="0" applyAlignment="0" applyProtection="0"/>
    <xf numFmtId="0" fontId="31" fillId="0" borderId="17" applyFont="0" applyFill="0" applyBorder="0" applyAlignment="0" applyProtection="0"/>
    <xf numFmtId="166" fontId="31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36" fillId="0" borderId="0">
      <alignment vertical="top"/>
    </xf>
    <xf numFmtId="0" fontId="31" fillId="0" borderId="0"/>
    <xf numFmtId="9" fontId="31" fillId="0" borderId="0" applyFont="0" applyFill="0" applyBorder="0" applyAlignment="0" applyProtection="0"/>
    <xf numFmtId="0" fontId="29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9" fillId="3" borderId="0" applyNumberFormat="0" applyBorder="0" applyAlignment="0" applyProtection="0"/>
    <xf numFmtId="0" fontId="49" fillId="4" borderId="0" applyNumberFormat="0" applyBorder="0" applyAlignment="0" applyProtection="0"/>
    <xf numFmtId="0" fontId="49" fillId="5" borderId="0" applyNumberFormat="0" applyBorder="0" applyAlignment="0" applyProtection="0"/>
    <xf numFmtId="0" fontId="49" fillId="6" borderId="0" applyNumberFormat="0" applyBorder="0" applyAlignment="0" applyProtection="0"/>
    <xf numFmtId="0" fontId="49" fillId="7" borderId="0" applyNumberFormat="0" applyBorder="0" applyAlignment="0" applyProtection="0"/>
    <xf numFmtId="0" fontId="49" fillId="8" borderId="0" applyNumberFormat="0" applyBorder="0" applyAlignment="0" applyProtection="0"/>
    <xf numFmtId="0" fontId="49" fillId="3" borderId="0" applyNumberFormat="0" applyBorder="0" applyAlignment="0" applyProtection="0"/>
    <xf numFmtId="0" fontId="49" fillId="4" borderId="0" applyNumberFormat="0" applyBorder="0" applyAlignment="0" applyProtection="0"/>
    <xf numFmtId="0" fontId="49" fillId="5" borderId="0" applyNumberFormat="0" applyBorder="0" applyAlignment="0" applyProtection="0"/>
    <xf numFmtId="0" fontId="49" fillId="6" borderId="0" applyNumberFormat="0" applyBorder="0" applyAlignment="0" applyProtection="0"/>
    <xf numFmtId="0" fontId="49" fillId="7" borderId="0" applyNumberFormat="0" applyBorder="0" applyAlignment="0" applyProtection="0"/>
    <xf numFmtId="0" fontId="49" fillId="8" borderId="0" applyNumberFormat="0" applyBorder="0" applyAlignment="0" applyProtection="0"/>
    <xf numFmtId="0" fontId="49" fillId="10" borderId="0" applyNumberFormat="0" applyBorder="0" applyAlignment="0" applyProtection="0"/>
    <xf numFmtId="0" fontId="49" fillId="11" borderId="0" applyNumberFormat="0" applyBorder="0" applyAlignment="0" applyProtection="0"/>
    <xf numFmtId="0" fontId="49" fillId="12" borderId="0" applyNumberFormat="0" applyBorder="0" applyAlignment="0" applyProtection="0"/>
    <xf numFmtId="0" fontId="49" fillId="6" borderId="0" applyNumberFormat="0" applyBorder="0" applyAlignment="0" applyProtection="0"/>
    <xf numFmtId="0" fontId="49" fillId="10" borderId="0" applyNumberFormat="0" applyBorder="0" applyAlignment="0" applyProtection="0"/>
    <xf numFmtId="0" fontId="49" fillId="13" borderId="0" applyNumberFormat="0" applyBorder="0" applyAlignment="0" applyProtection="0"/>
    <xf numFmtId="0" fontId="49" fillId="10" borderId="0" applyNumberFormat="0" applyBorder="0" applyAlignment="0" applyProtection="0"/>
    <xf numFmtId="0" fontId="49" fillId="11" borderId="0" applyNumberFormat="0" applyBorder="0" applyAlignment="0" applyProtection="0"/>
    <xf numFmtId="0" fontId="49" fillId="12" borderId="0" applyNumberFormat="0" applyBorder="0" applyAlignment="0" applyProtection="0"/>
    <xf numFmtId="0" fontId="49" fillId="6" borderId="0" applyNumberFormat="0" applyBorder="0" applyAlignment="0" applyProtection="0"/>
    <xf numFmtId="0" fontId="49" fillId="10" borderId="0" applyNumberFormat="0" applyBorder="0" applyAlignment="0" applyProtection="0"/>
    <xf numFmtId="0" fontId="49" fillId="13" borderId="0" applyNumberFormat="0" applyBorder="0" applyAlignment="0" applyProtection="0"/>
    <xf numFmtId="0" fontId="51" fillId="14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17" borderId="0" applyNumberFormat="0" applyBorder="0" applyAlignment="0" applyProtection="0"/>
    <xf numFmtId="0" fontId="51" fillId="14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17" borderId="0" applyNumberFormat="0" applyBorder="0" applyAlignment="0" applyProtection="0"/>
    <xf numFmtId="0" fontId="54" fillId="0" borderId="30" applyBorder="0"/>
    <xf numFmtId="199" fontId="31" fillId="22" borderId="2">
      <alignment horizontal="center" vertical="center"/>
    </xf>
    <xf numFmtId="199" fontId="31" fillId="22" borderId="2">
      <alignment horizontal="center" vertical="center"/>
    </xf>
    <xf numFmtId="199" fontId="31" fillId="22" borderId="2">
      <alignment horizontal="center" vertical="center"/>
    </xf>
    <xf numFmtId="199" fontId="31" fillId="22" borderId="2">
      <alignment horizontal="center" vertical="center"/>
    </xf>
    <xf numFmtId="0" fontId="31" fillId="0" borderId="0"/>
    <xf numFmtId="3" fontId="48" fillId="0" borderId="0" applyNumberFormat="0" applyFill="0" applyBorder="0" applyAlignment="0" applyProtection="0"/>
    <xf numFmtId="0" fontId="61" fillId="5" borderId="0" applyNumberFormat="0" applyBorder="0" applyAlignment="0" applyProtection="0"/>
    <xf numFmtId="0" fontId="61" fillId="5" borderId="0" applyNumberFormat="0" applyBorder="0" applyAlignment="0" applyProtection="0"/>
    <xf numFmtId="179" fontId="31" fillId="0" borderId="0" applyFill="0" applyBorder="0" applyAlignment="0"/>
    <xf numFmtId="174" fontId="45" fillId="0" borderId="0" applyFill="0" applyBorder="0" applyAlignment="0"/>
    <xf numFmtId="179" fontId="31" fillId="0" borderId="0" applyFill="0" applyBorder="0" applyAlignment="0"/>
    <xf numFmtId="0" fontId="31" fillId="0" borderId="0" applyFill="0" applyBorder="0" applyAlignment="0"/>
    <xf numFmtId="0" fontId="65" fillId="26" borderId="31" applyNumberFormat="0" applyAlignment="0" applyProtection="0"/>
    <xf numFmtId="0" fontId="66" fillId="27" borderId="32" applyNumberFormat="0" applyAlignment="0" applyProtection="0"/>
    <xf numFmtId="0" fontId="67" fillId="0" borderId="8" applyNumberFormat="0" applyFill="0" applyAlignment="0" applyProtection="0"/>
    <xf numFmtId="0" fontId="66" fillId="27" borderId="32" applyNumberFormat="0" applyAlignment="0" applyProtection="0"/>
    <xf numFmtId="0" fontId="67" fillId="0" borderId="8" applyNumberFormat="0" applyFill="0" applyAlignment="0" applyProtection="0"/>
    <xf numFmtId="179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4" fontId="36" fillId="0" borderId="0" applyFill="0" applyBorder="0" applyAlignment="0"/>
    <xf numFmtId="182" fontId="31" fillId="0" borderId="12">
      <alignment vertical="center"/>
    </xf>
    <xf numFmtId="0" fontId="83" fillId="0" borderId="0" applyNumberFormat="0" applyFill="0" applyBorder="0" applyAlignment="0" applyProtection="0"/>
    <xf numFmtId="0" fontId="51" fillId="18" borderId="0" applyNumberFormat="0" applyBorder="0" applyAlignment="0" applyProtection="0"/>
    <xf numFmtId="0" fontId="51" fillId="19" borderId="0" applyNumberFormat="0" applyBorder="0" applyAlignment="0" applyProtection="0"/>
    <xf numFmtId="0" fontId="51" fillId="20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21" borderId="0" applyNumberFormat="0" applyBorder="0" applyAlignment="0" applyProtection="0"/>
    <xf numFmtId="0" fontId="51" fillId="18" borderId="0" applyNumberFormat="0" applyBorder="0" applyAlignment="0" applyProtection="0"/>
    <xf numFmtId="0" fontId="51" fillId="19" borderId="0" applyNumberFormat="0" applyBorder="0" applyAlignment="0" applyProtection="0"/>
    <xf numFmtId="0" fontId="51" fillId="20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21" borderId="0" applyNumberFormat="0" applyBorder="0" applyAlignment="0" applyProtection="0"/>
    <xf numFmtId="179" fontId="31" fillId="0" borderId="0" applyFill="0" applyBorder="0" applyAlignment="0"/>
    <xf numFmtId="179" fontId="31" fillId="0" borderId="0" applyFill="0" applyBorder="0" applyAlignment="0"/>
    <xf numFmtId="0" fontId="31" fillId="0" borderId="0" applyFill="0" applyBorder="0" applyAlignment="0"/>
    <xf numFmtId="0" fontId="73" fillId="8" borderId="31" applyNumberFormat="0" applyAlignment="0" applyProtection="0"/>
    <xf numFmtId="184" fontId="31" fillId="0" borderId="0">
      <protection locked="0"/>
    </xf>
    <xf numFmtId="184" fontId="31" fillId="0" borderId="0">
      <protection locked="0"/>
    </xf>
    <xf numFmtId="184" fontId="31" fillId="0" borderId="0">
      <protection locked="0"/>
    </xf>
    <xf numFmtId="0" fontId="31" fillId="23" borderId="33" applyNumberFormat="0" applyFont="0" applyBorder="0" applyAlignment="0" applyProtection="0"/>
    <xf numFmtId="38" fontId="43" fillId="9" borderId="0" applyNumberFormat="0" applyBorder="0" applyAlignment="0" applyProtection="0"/>
    <xf numFmtId="38" fontId="43" fillId="9" borderId="0" applyNumberFormat="0" applyBorder="0" applyAlignment="0" applyProtection="0"/>
    <xf numFmtId="38" fontId="43" fillId="9" borderId="0" applyNumberFormat="0" applyBorder="0" applyAlignment="0" applyProtection="0"/>
    <xf numFmtId="38" fontId="43" fillId="9" borderId="0" applyNumberFormat="0" applyBorder="0" applyAlignment="0" applyProtection="0"/>
    <xf numFmtId="0" fontId="102" fillId="0" borderId="25" applyNumberFormat="0" applyFill="0" applyAlignment="0" applyProtection="0"/>
    <xf numFmtId="0" fontId="103" fillId="0" borderId="26" applyNumberFormat="0" applyFill="0" applyAlignment="0" applyProtection="0"/>
    <xf numFmtId="200" fontId="31" fillId="0" borderId="0">
      <protection locked="0"/>
    </xf>
    <xf numFmtId="200" fontId="31" fillId="0" borderId="0">
      <protection locked="0"/>
    </xf>
    <xf numFmtId="200" fontId="31" fillId="0" borderId="0">
      <protection locked="0"/>
    </xf>
    <xf numFmtId="200" fontId="31" fillId="0" borderId="0">
      <protection locked="0"/>
    </xf>
    <xf numFmtId="200" fontId="31" fillId="0" borderId="0">
      <protection locked="0"/>
    </xf>
    <xf numFmtId="200" fontId="31" fillId="0" borderId="0">
      <protection locked="0"/>
    </xf>
    <xf numFmtId="200" fontId="31" fillId="0" borderId="0">
      <protection locked="0"/>
    </xf>
    <xf numFmtId="200" fontId="31" fillId="0" borderId="0">
      <protection locked="0"/>
    </xf>
    <xf numFmtId="0" fontId="57" fillId="4" borderId="0" applyNumberFormat="0" applyBorder="0" applyAlignment="0" applyProtection="0"/>
    <xf numFmtId="0" fontId="57" fillId="4" borderId="0" applyNumberFormat="0" applyBorder="0" applyAlignment="0" applyProtection="0"/>
    <xf numFmtId="10" fontId="43" fillId="23" borderId="34" applyNumberFormat="0" applyBorder="0" applyAlignment="0" applyProtection="0"/>
    <xf numFmtId="10" fontId="43" fillId="23" borderId="34" applyNumberFormat="0" applyBorder="0" applyAlignment="0" applyProtection="0"/>
    <xf numFmtId="10" fontId="43" fillId="23" borderId="34" applyNumberFormat="0" applyBorder="0" applyAlignment="0" applyProtection="0"/>
    <xf numFmtId="10" fontId="43" fillId="23" borderId="34" applyNumberFormat="0" applyBorder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179" fontId="31" fillId="0" borderId="0" applyFill="0" applyBorder="0" applyAlignment="0"/>
    <xf numFmtId="179" fontId="31" fillId="0" borderId="0" applyFill="0" applyBorder="0" applyAlignment="0"/>
    <xf numFmtId="0" fontId="31" fillId="0" borderId="0" applyFill="0" applyBorder="0" applyAlignment="0"/>
    <xf numFmtId="167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169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166" fontId="49" fillId="0" borderId="0" applyFont="0" applyFill="0" applyBorder="0" applyAlignment="0" applyProtection="0"/>
    <xf numFmtId="166" fontId="49" fillId="0" borderId="0" applyFont="0" applyFill="0" applyBorder="0" applyAlignment="0" applyProtection="0"/>
    <xf numFmtId="3" fontId="86" fillId="2" borderId="30">
      <alignment horizontal="center"/>
    </xf>
    <xf numFmtId="0" fontId="87" fillId="31" borderId="0" applyNumberFormat="0" applyBorder="0" applyAlignment="0" applyProtection="0"/>
    <xf numFmtId="202" fontId="31" fillId="0" borderId="0"/>
    <xf numFmtId="202" fontId="31" fillId="0" borderId="0"/>
    <xf numFmtId="202" fontId="31" fillId="0" borderId="0"/>
    <xf numFmtId="202" fontId="31" fillId="0" borderId="0"/>
    <xf numFmtId="189" fontId="117" fillId="0" borderId="0"/>
    <xf numFmtId="190" fontId="117" fillId="0" borderId="0"/>
    <xf numFmtId="0" fontId="71" fillId="0" borderId="0"/>
    <xf numFmtId="0" fontId="36" fillId="0" borderId="0"/>
    <xf numFmtId="0" fontId="31" fillId="0" borderId="0">
      <alignment vertical="top"/>
    </xf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28" fillId="0" borderId="0"/>
    <xf numFmtId="0" fontId="118" fillId="0" borderId="0"/>
    <xf numFmtId="0" fontId="118" fillId="0" borderId="0"/>
    <xf numFmtId="0" fontId="118" fillId="0" borderId="0"/>
    <xf numFmtId="0" fontId="31" fillId="0" borderId="0"/>
    <xf numFmtId="0" fontId="31" fillId="0" borderId="0"/>
    <xf numFmtId="183" fontId="71" fillId="0" borderId="0"/>
    <xf numFmtId="183" fontId="71" fillId="0" borderId="0"/>
    <xf numFmtId="0" fontId="31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69" fontId="31" fillId="0" borderId="0"/>
    <xf numFmtId="0" fontId="119" fillId="0" borderId="0"/>
    <xf numFmtId="0" fontId="31" fillId="0" borderId="0"/>
    <xf numFmtId="0" fontId="28" fillId="0" borderId="0"/>
    <xf numFmtId="169" fontId="31" fillId="0" borderId="0"/>
    <xf numFmtId="0" fontId="31" fillId="0" borderId="0">
      <alignment vertical="center"/>
    </xf>
    <xf numFmtId="0" fontId="31" fillId="0" borderId="0"/>
    <xf numFmtId="0" fontId="31" fillId="0" borderId="0"/>
    <xf numFmtId="0" fontId="49" fillId="0" borderId="0"/>
    <xf numFmtId="0" fontId="49" fillId="32" borderId="35" applyNumberFormat="0" applyFont="0" applyAlignment="0" applyProtection="0"/>
    <xf numFmtId="0" fontId="31" fillId="32" borderId="35" applyNumberFormat="0" applyFont="0" applyAlignment="0" applyProtection="0"/>
    <xf numFmtId="0" fontId="31" fillId="32" borderId="35" applyNumberFormat="0" applyFont="0" applyAlignment="0" applyProtection="0"/>
    <xf numFmtId="0" fontId="31" fillId="32" borderId="35" applyNumberFormat="0" applyFont="0" applyAlignment="0" applyProtection="0"/>
    <xf numFmtId="0" fontId="31" fillId="32" borderId="35" applyNumberFormat="0" applyFont="0" applyAlignment="0" applyProtection="0"/>
    <xf numFmtId="0" fontId="31" fillId="32" borderId="35" applyNumberFormat="0" applyFont="0" applyAlignment="0" applyProtection="0"/>
    <xf numFmtId="0" fontId="31" fillId="32" borderId="35" applyNumberFormat="0" applyFont="0" applyAlignment="0" applyProtection="0"/>
    <xf numFmtId="0" fontId="31" fillId="32" borderId="35" applyNumberFormat="0" applyFont="0" applyAlignment="0" applyProtection="0"/>
    <xf numFmtId="0" fontId="31" fillId="0" borderId="23" applyFont="0" applyFill="0" applyBorder="0" applyAlignment="0" applyProtection="0">
      <alignment horizontal="right"/>
    </xf>
    <xf numFmtId="175" fontId="31" fillId="0" borderId="0" applyFont="0" applyFill="0" applyBorder="0" applyAlignment="0" applyProtection="0"/>
    <xf numFmtId="10" fontId="31" fillId="0" borderId="0" applyFont="0" applyFill="0" applyBorder="0" applyAlignment="0" applyProtection="0"/>
    <xf numFmtId="10" fontId="31" fillId="0" borderId="0" applyFont="0" applyFill="0" applyBorder="0" applyAlignment="0" applyProtection="0"/>
    <xf numFmtId="10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2" fillId="22" borderId="36" applyNumberFormat="0" applyFont="0" applyBorder="0" applyAlignment="0" applyProtection="0"/>
    <xf numFmtId="179" fontId="31" fillId="0" borderId="0" applyFill="0" applyBorder="0" applyAlignment="0"/>
    <xf numFmtId="179" fontId="31" fillId="0" borderId="0" applyFill="0" applyBorder="0" applyAlignment="0"/>
    <xf numFmtId="0" fontId="31" fillId="0" borderId="0" applyFill="0" applyBorder="0" applyAlignment="0"/>
    <xf numFmtId="0" fontId="120" fillId="0" borderId="0" applyNumberFormat="0" applyFill="0" applyBorder="0" applyAlignment="0" applyProtection="0"/>
    <xf numFmtId="0" fontId="91" fillId="26" borderId="37" applyNumberFormat="0" applyAlignment="0" applyProtection="0"/>
    <xf numFmtId="0" fontId="91" fillId="26" borderId="37" applyNumberFormat="0" applyAlignment="0" applyProtection="0"/>
    <xf numFmtId="167" fontId="36" fillId="0" borderId="0" applyFont="0" applyFill="0" applyBorder="0" applyAlignment="0" applyProtection="0"/>
    <xf numFmtId="167" fontId="3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203" fontId="31" fillId="0" borderId="0" applyFont="0" applyFill="0" applyBorder="0" applyAlignment="0" applyProtection="0"/>
    <xf numFmtId="169" fontId="31" fillId="0" borderId="0" applyFont="0" applyFill="0" applyBorder="0" applyAlignment="0" applyProtection="0"/>
    <xf numFmtId="204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71" fillId="0" borderId="0" applyFont="0" applyFill="0" applyBorder="0" applyAlignment="0" applyProtection="0"/>
    <xf numFmtId="0" fontId="121" fillId="0" borderId="38" applyProtection="0">
      <alignment horizontal="centerContinuous"/>
    </xf>
    <xf numFmtId="0" fontId="44" fillId="0" borderId="0"/>
    <xf numFmtId="0" fontId="44" fillId="0" borderId="0"/>
    <xf numFmtId="0" fontId="44" fillId="0" borderId="0"/>
    <xf numFmtId="0" fontId="44" fillId="0" borderId="0"/>
    <xf numFmtId="49" fontId="36" fillId="0" borderId="0" applyFill="0" applyBorder="0" applyAlignment="0"/>
    <xf numFmtId="0" fontId="31" fillId="0" borderId="0" applyFill="0" applyBorder="0" applyAlignment="0"/>
    <xf numFmtId="0" fontId="31" fillId="0" borderId="0" applyFill="0" applyBorder="0" applyAlignment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102" fillId="0" borderId="25" applyNumberFormat="0" applyFill="0" applyAlignment="0" applyProtection="0"/>
    <xf numFmtId="0" fontId="103" fillId="0" borderId="26" applyNumberFormat="0" applyFill="0" applyAlignment="0" applyProtection="0"/>
    <xf numFmtId="0" fontId="83" fillId="0" borderId="18" applyNumberFormat="0" applyFill="0" applyAlignment="0" applyProtection="0"/>
    <xf numFmtId="0" fontId="83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22" fillId="0" borderId="39" applyNumberFormat="0" applyFill="0" applyAlignment="0" applyProtection="0"/>
    <xf numFmtId="37" fontId="43" fillId="29" borderId="0" applyNumberFormat="0" applyBorder="0" applyAlignment="0" applyProtection="0"/>
    <xf numFmtId="37" fontId="43" fillId="29" borderId="0" applyNumberFormat="0" applyBorder="0" applyAlignment="0" applyProtection="0"/>
    <xf numFmtId="37" fontId="43" fillId="29" borderId="0" applyNumberFormat="0" applyBorder="0" applyAlignment="0" applyProtection="0"/>
    <xf numFmtId="37" fontId="43" fillId="29" borderId="0" applyNumberFormat="0" applyBorder="0" applyAlignment="0" applyProtection="0"/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1" fillId="0" borderId="0"/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1" fillId="0" borderId="0"/>
    <xf numFmtId="0" fontId="52" fillId="0" borderId="0"/>
    <xf numFmtId="0" fontId="52" fillId="0" borderId="0"/>
    <xf numFmtId="0" fontId="27" fillId="0" borderId="0"/>
    <xf numFmtId="167" fontId="42" fillId="0" borderId="0" applyFont="0" applyFill="0" applyBorder="0" applyAlignment="0" applyProtection="0"/>
    <xf numFmtId="0" fontId="42" fillId="0" borderId="0"/>
    <xf numFmtId="9" fontId="42" fillId="0" borderId="0" applyFont="0" applyFill="0" applyBorder="0" applyAlignment="0" applyProtection="0"/>
    <xf numFmtId="166" fontId="42" fillId="0" borderId="0" applyFont="0" applyFill="0" applyBorder="0" applyAlignment="0" applyProtection="0"/>
    <xf numFmtId="205" fontId="125" fillId="0" borderId="0" applyFill="0" applyBorder="0" applyProtection="0">
      <alignment horizontal="right"/>
      <protection locked="0"/>
    </xf>
    <xf numFmtId="206" fontId="125" fillId="0" borderId="0" applyFill="0" applyBorder="0" applyProtection="0">
      <alignment horizontal="right"/>
      <protection locked="0"/>
    </xf>
    <xf numFmtId="207" fontId="125" fillId="0" borderId="0" applyFill="0" applyBorder="0" applyProtection="0">
      <alignment horizontal="right"/>
      <protection locked="0"/>
    </xf>
    <xf numFmtId="206" fontId="125" fillId="0" borderId="0" applyFont="0" applyFill="0" applyBorder="0" applyAlignment="0"/>
    <xf numFmtId="207" fontId="125" fillId="0" borderId="0" applyFont="0" applyFill="0" applyBorder="0" applyAlignment="0"/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1" fillId="0" borderId="0"/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208" fontId="117" fillId="0" borderId="0" applyFill="0" applyBorder="0" applyProtection="0">
      <alignment horizontal="right"/>
      <protection locked="0"/>
    </xf>
    <xf numFmtId="209" fontId="125" fillId="0" borderId="41" applyFont="0" applyFill="0" applyBorder="0" applyAlignment="0"/>
    <xf numFmtId="210" fontId="125" fillId="0" borderId="0" applyFill="0" applyBorder="0" applyProtection="0">
      <alignment horizontal="right"/>
      <protection locked="0"/>
    </xf>
    <xf numFmtId="211" fontId="117" fillId="0" borderId="0" applyFill="0" applyBorder="0" applyProtection="0">
      <alignment horizontal="right"/>
      <protection locked="0"/>
    </xf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31" fillId="0" borderId="0"/>
    <xf numFmtId="167" fontId="31" fillId="0" borderId="0" applyFont="0" applyFill="0" applyBorder="0" applyAlignment="0" applyProtection="0">
      <alignment wrapText="1"/>
    </xf>
    <xf numFmtId="17" fontId="68" fillId="0" borderId="0" applyFill="0" applyBorder="0">
      <alignment horizontal="right"/>
    </xf>
    <xf numFmtId="168" fontId="72" fillId="0" borderId="0">
      <protection locked="0"/>
    </xf>
    <xf numFmtId="0" fontId="126" fillId="47" borderId="0" applyNumberFormat="0" applyBorder="0" applyProtection="0">
      <alignment horizontal="center"/>
      <protection locked="0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127" fillId="0" borderId="0" applyNumberFormat="0" applyFill="0" applyBorder="0" applyAlignment="0" applyProtection="0">
      <alignment vertical="top"/>
      <protection locked="0"/>
    </xf>
    <xf numFmtId="0" fontId="30" fillId="0" borderId="0" applyNumberFormat="0" applyFill="0" applyBorder="0" applyAlignment="0" applyProtection="0">
      <alignment vertical="top"/>
      <protection locked="0"/>
    </xf>
    <xf numFmtId="3" fontId="128" fillId="0" borderId="42" applyFill="0" applyBorder="0" applyAlignment="0">
      <alignment horizontal="center"/>
    </xf>
    <xf numFmtId="166" fontId="26" fillId="0" borderId="0" applyFont="0" applyFill="0" applyBorder="0" applyAlignment="0" applyProtection="0"/>
    <xf numFmtId="0" fontId="45" fillId="0" borderId="0"/>
    <xf numFmtId="0" fontId="31" fillId="0" borderId="0"/>
    <xf numFmtId="0" fontId="31" fillId="0" borderId="0"/>
    <xf numFmtId="0" fontId="31" fillId="0" borderId="0">
      <alignment vertical="top"/>
    </xf>
    <xf numFmtId="0" fontId="31" fillId="0" borderId="0"/>
    <xf numFmtId="0" fontId="31" fillId="0" borderId="0"/>
    <xf numFmtId="0" fontId="31" fillId="0" borderId="0"/>
    <xf numFmtId="0" fontId="26" fillId="0" borderId="0">
      <alignment vertical="center"/>
    </xf>
    <xf numFmtId="212" fontId="68" fillId="0" borderId="0" applyNumberFormat="0" applyFill="0" applyBorder="0" applyAlignment="0" applyProtection="0"/>
    <xf numFmtId="9" fontId="42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129" fillId="40" borderId="43">
      <alignment horizontal="left"/>
    </xf>
    <xf numFmtId="4" fontId="50" fillId="0" borderId="44" applyNumberFormat="0" applyProtection="0">
      <alignment vertical="center"/>
    </xf>
    <xf numFmtId="4" fontId="130" fillId="29" borderId="44" applyNumberFormat="0" applyProtection="0">
      <alignment vertical="center"/>
    </xf>
    <xf numFmtId="4" fontId="50" fillId="0" borderId="44" applyNumberFormat="0" applyProtection="0">
      <alignment horizontal="left" vertical="center" indent="1"/>
    </xf>
    <xf numFmtId="0" fontId="50" fillId="0" borderId="44" applyNumberFormat="0" applyProtection="0">
      <alignment horizontal="left" vertical="top" indent="1"/>
    </xf>
    <xf numFmtId="4" fontId="50" fillId="0" borderId="0" applyNumberFormat="0" applyProtection="0">
      <alignment horizontal="left" vertical="center" indent="1"/>
    </xf>
    <xf numFmtId="4" fontId="36" fillId="4" borderId="44" applyNumberFormat="0" applyProtection="0">
      <alignment horizontal="right" vertical="center"/>
    </xf>
    <xf numFmtId="4" fontId="36" fillId="11" borderId="44" applyNumberFormat="0" applyProtection="0">
      <alignment horizontal="right" vertical="center"/>
    </xf>
    <xf numFmtId="4" fontId="36" fillId="19" borderId="44" applyNumberFormat="0" applyProtection="0">
      <alignment horizontal="right" vertical="center"/>
    </xf>
    <xf numFmtId="4" fontId="36" fillId="13" borderId="44" applyNumberFormat="0" applyProtection="0">
      <alignment horizontal="right" vertical="center"/>
    </xf>
    <xf numFmtId="4" fontId="36" fillId="17" borderId="44" applyNumberFormat="0" applyProtection="0">
      <alignment horizontal="right" vertical="center"/>
    </xf>
    <xf numFmtId="4" fontId="36" fillId="21" borderId="44" applyNumberFormat="0" applyProtection="0">
      <alignment horizontal="right" vertical="center"/>
    </xf>
    <xf numFmtId="4" fontId="36" fillId="20" borderId="44" applyNumberFormat="0" applyProtection="0">
      <alignment horizontal="right" vertical="center"/>
    </xf>
    <xf numFmtId="4" fontId="36" fillId="48" borderId="44" applyNumberFormat="0" applyProtection="0">
      <alignment horizontal="right" vertical="center"/>
    </xf>
    <xf numFmtId="4" fontId="36" fillId="12" borderId="44" applyNumberFormat="0" applyProtection="0">
      <alignment horizontal="right" vertical="center"/>
    </xf>
    <xf numFmtId="4" fontId="36" fillId="0" borderId="0" applyNumberFormat="0" applyProtection="0">
      <alignment horizontal="left" vertical="center" indent="1"/>
    </xf>
    <xf numFmtId="4" fontId="36" fillId="0" borderId="0" applyNumberFormat="0" applyProtection="0">
      <alignment horizontal="left" vertical="center" indent="1"/>
    </xf>
    <xf numFmtId="4" fontId="131" fillId="49" borderId="0" applyNumberFormat="0" applyProtection="0">
      <alignment horizontal="left" vertical="center" indent="1"/>
    </xf>
    <xf numFmtId="4" fontId="36" fillId="50" borderId="44" applyNumberFormat="0" applyProtection="0">
      <alignment horizontal="right" vertical="center"/>
    </xf>
    <xf numFmtId="4" fontId="36" fillId="0" borderId="0" applyNumberFormat="0" applyProtection="0">
      <alignment horizontal="left" vertical="center" indent="1"/>
    </xf>
    <xf numFmtId="4" fontId="50" fillId="0" borderId="0" applyNumberFormat="0" applyProtection="0">
      <alignment horizontal="left" vertical="center" indent="1"/>
    </xf>
    <xf numFmtId="0" fontId="31" fillId="0" borderId="41" applyNumberFormat="0" applyProtection="0">
      <alignment horizontal="left" vertical="center" indent="1"/>
    </xf>
    <xf numFmtId="0" fontId="31" fillId="49" borderId="44" applyNumberFormat="0" applyProtection="0">
      <alignment horizontal="left" vertical="top" indent="1"/>
    </xf>
    <xf numFmtId="0" fontId="31" fillId="0" borderId="41" applyNumberFormat="0" applyProtection="0">
      <alignment horizontal="left" vertical="center" indent="1"/>
    </xf>
    <xf numFmtId="0" fontId="31" fillId="51" borderId="44" applyNumberFormat="0" applyProtection="0">
      <alignment horizontal="left" vertical="top" indent="1"/>
    </xf>
    <xf numFmtId="0" fontId="31" fillId="0" borderId="41" applyNumberFormat="0" applyProtection="0">
      <alignment horizontal="left" vertical="center" indent="1"/>
    </xf>
    <xf numFmtId="0" fontId="31" fillId="22" borderId="44" applyNumberFormat="0" applyProtection="0">
      <alignment horizontal="left" vertical="top" indent="1"/>
    </xf>
    <xf numFmtId="0" fontId="31" fillId="52" borderId="44" applyNumberFormat="0" applyProtection="0">
      <alignment horizontal="left" vertical="center" indent="1"/>
    </xf>
    <xf numFmtId="0" fontId="31" fillId="52" borderId="44" applyNumberFormat="0" applyProtection="0">
      <alignment horizontal="left" vertical="top" indent="1"/>
    </xf>
    <xf numFmtId="4" fontId="36" fillId="23" borderId="44" applyNumberFormat="0" applyProtection="0">
      <alignment vertical="center"/>
    </xf>
    <xf numFmtId="4" fontId="132" fillId="23" borderId="44" applyNumberFormat="0" applyProtection="0">
      <alignment vertical="center"/>
    </xf>
    <xf numFmtId="4" fontId="36" fillId="23" borderId="44" applyNumberFormat="0" applyProtection="0">
      <alignment horizontal="left" vertical="center" indent="1"/>
    </xf>
    <xf numFmtId="0" fontId="36" fillId="23" borderId="44" applyNumberFormat="0" applyProtection="0">
      <alignment horizontal="left" vertical="top" indent="1"/>
    </xf>
    <xf numFmtId="4" fontId="36" fillId="0" borderId="41" applyNumberFormat="0" applyProtection="0">
      <alignment horizontal="right" vertical="center"/>
    </xf>
    <xf numFmtId="4" fontId="132" fillId="0" borderId="44" applyNumberFormat="0" applyProtection="0">
      <alignment horizontal="right" vertical="center"/>
    </xf>
    <xf numFmtId="4" fontId="36" fillId="0" borderId="45" applyNumberFormat="0" applyProtection="0">
      <alignment horizontal="left" vertical="center" indent="1"/>
    </xf>
    <xf numFmtId="0" fontId="50" fillId="0" borderId="41" applyNumberFormat="0" applyProtection="0">
      <alignment horizontal="left" vertical="top" indent="1"/>
    </xf>
    <xf numFmtId="4" fontId="121" fillId="0" borderId="0" applyNumberFormat="0" applyProtection="0">
      <alignment horizontal="left" vertical="center" indent="1"/>
    </xf>
    <xf numFmtId="4" fontId="31" fillId="0" borderId="44" applyNumberFormat="0" applyProtection="0">
      <alignment horizontal="right" vertical="center"/>
    </xf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212" fontId="43" fillId="53" borderId="0" applyNumberFormat="0" applyFont="0" applyBorder="0" applyAlignment="0">
      <protection hidden="1"/>
    </xf>
    <xf numFmtId="0" fontId="133" fillId="0" borderId="0" applyFill="0" applyBorder="0" applyAlignment="0" applyProtection="0">
      <protection locked="0"/>
    </xf>
    <xf numFmtId="0" fontId="134" fillId="0" borderId="0" applyBorder="0" applyAlignment="0" applyProtection="0">
      <protection locked="0"/>
    </xf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0" fontId="25" fillId="0" borderId="0"/>
    <xf numFmtId="166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45" fillId="0" borderId="0">
      <alignment vertical="center"/>
    </xf>
    <xf numFmtId="167" fontId="29" fillId="0" borderId="0" applyFont="0" applyFill="0" applyBorder="0" applyAlignment="0" applyProtection="0"/>
    <xf numFmtId="0" fontId="49" fillId="3" borderId="0" applyNumberFormat="0" applyBorder="0" applyAlignment="0" applyProtection="0"/>
    <xf numFmtId="0" fontId="49" fillId="4" borderId="0" applyNumberFormat="0" applyBorder="0" applyAlignment="0" applyProtection="0"/>
    <xf numFmtId="0" fontId="49" fillId="5" borderId="0" applyNumberFormat="0" applyBorder="0" applyAlignment="0" applyProtection="0"/>
    <xf numFmtId="0" fontId="49" fillId="6" borderId="0" applyNumberFormat="0" applyBorder="0" applyAlignment="0" applyProtection="0"/>
    <xf numFmtId="0" fontId="49" fillId="7" borderId="0" applyNumberFormat="0" applyBorder="0" applyAlignment="0" applyProtection="0"/>
    <xf numFmtId="0" fontId="49" fillId="8" borderId="0" applyNumberFormat="0" applyBorder="0" applyAlignment="0" applyProtection="0"/>
    <xf numFmtId="0" fontId="49" fillId="10" borderId="0" applyNumberFormat="0" applyBorder="0" applyAlignment="0" applyProtection="0"/>
    <xf numFmtId="0" fontId="49" fillId="11" borderId="0" applyNumberFormat="0" applyBorder="0" applyAlignment="0" applyProtection="0"/>
    <xf numFmtId="0" fontId="49" fillId="12" borderId="0" applyNumberFormat="0" applyBorder="0" applyAlignment="0" applyProtection="0"/>
    <xf numFmtId="0" fontId="49" fillId="6" borderId="0" applyNumberFormat="0" applyBorder="0" applyAlignment="0" applyProtection="0"/>
    <xf numFmtId="0" fontId="49" fillId="10" borderId="0" applyNumberFormat="0" applyBorder="0" applyAlignment="0" applyProtection="0"/>
    <xf numFmtId="0" fontId="49" fillId="13" borderId="0" applyNumberFormat="0" applyBorder="0" applyAlignment="0" applyProtection="0"/>
    <xf numFmtId="0" fontId="51" fillId="14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17" borderId="0" applyNumberFormat="0" applyBorder="0" applyAlignment="0" applyProtection="0"/>
    <xf numFmtId="3" fontId="48" fillId="0" borderId="0" applyNumberFormat="0" applyFill="0" applyBorder="0" applyAlignment="0" applyProtection="0"/>
    <xf numFmtId="0" fontId="61" fillId="5" borderId="0" applyNumberFormat="0" applyBorder="0" applyAlignment="0" applyProtection="0"/>
    <xf numFmtId="179" fontId="31" fillId="0" borderId="0" applyFill="0" applyBorder="0" applyAlignment="0"/>
    <xf numFmtId="174" fontId="45" fillId="0" borderId="0" applyFill="0" applyBorder="0" applyAlignment="0"/>
    <xf numFmtId="179" fontId="31" fillId="0" borderId="0" applyFill="0" applyBorder="0" applyAlignment="0"/>
    <xf numFmtId="0" fontId="31" fillId="0" borderId="0" applyFill="0" applyBorder="0" applyAlignment="0"/>
    <xf numFmtId="0" fontId="65" fillId="26" borderId="46" applyNumberFormat="0" applyAlignment="0" applyProtection="0"/>
    <xf numFmtId="0" fontId="66" fillId="27" borderId="32" applyNumberFormat="0" applyAlignment="0" applyProtection="0"/>
    <xf numFmtId="0" fontId="67" fillId="0" borderId="8" applyNumberFormat="0" applyFill="0" applyAlignment="0" applyProtection="0"/>
    <xf numFmtId="14" fontId="36" fillId="0" borderId="0" applyFill="0" applyBorder="0" applyAlignment="0"/>
    <xf numFmtId="182" fontId="31" fillId="0" borderId="12">
      <alignment vertical="center"/>
    </xf>
    <xf numFmtId="0" fontId="51" fillId="18" borderId="0" applyNumberFormat="0" applyBorder="0" applyAlignment="0" applyProtection="0"/>
    <xf numFmtId="0" fontId="51" fillId="19" borderId="0" applyNumberFormat="0" applyBorder="0" applyAlignment="0" applyProtection="0"/>
    <xf numFmtId="0" fontId="51" fillId="20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21" borderId="0" applyNumberFormat="0" applyBorder="0" applyAlignment="0" applyProtection="0"/>
    <xf numFmtId="179" fontId="31" fillId="0" borderId="0" applyFill="0" applyBorder="0" applyAlignment="0"/>
    <xf numFmtId="179" fontId="31" fillId="0" borderId="0" applyFill="0" applyBorder="0" applyAlignment="0"/>
    <xf numFmtId="0" fontId="31" fillId="0" borderId="0" applyFill="0" applyBorder="0" applyAlignment="0"/>
    <xf numFmtId="0" fontId="73" fillId="8" borderId="46" applyNumberFormat="0" applyAlignment="0" applyProtection="0"/>
    <xf numFmtId="0" fontId="73" fillId="8" borderId="46" applyNumberFormat="0" applyAlignment="0" applyProtection="0"/>
    <xf numFmtId="0" fontId="57" fillId="4" borderId="0" applyNumberFormat="0" applyBorder="0" applyAlignment="0" applyProtection="0"/>
    <xf numFmtId="179" fontId="31" fillId="0" borderId="0" applyFill="0" applyBorder="0" applyAlignment="0"/>
    <xf numFmtId="179" fontId="31" fillId="0" borderId="0" applyFill="0" applyBorder="0" applyAlignment="0"/>
    <xf numFmtId="0" fontId="31" fillId="0" borderId="0" applyFill="0" applyBorder="0" applyAlignment="0"/>
    <xf numFmtId="166" fontId="25" fillId="0" borderId="0" applyFont="0" applyFill="0" applyBorder="0" applyAlignment="0" applyProtection="0"/>
    <xf numFmtId="0" fontId="87" fillId="31" borderId="0" applyNumberFormat="0" applyBorder="0" applyAlignment="0" applyProtection="0"/>
    <xf numFmtId="189" fontId="117" fillId="0" borderId="0"/>
    <xf numFmtId="189" fontId="117" fillId="0" borderId="0"/>
    <xf numFmtId="190" fontId="117" fillId="0" borderId="0"/>
    <xf numFmtId="190" fontId="117" fillId="0" borderId="0"/>
    <xf numFmtId="0" fontId="31" fillId="0" borderId="0">
      <alignment vertical="top"/>
    </xf>
    <xf numFmtId="0" fontId="31" fillId="0" borderId="0">
      <alignment vertical="top"/>
    </xf>
    <xf numFmtId="0" fontId="29" fillId="0" borderId="0"/>
    <xf numFmtId="0" fontId="49" fillId="32" borderId="47" applyNumberFormat="0" applyFont="0" applyAlignment="0" applyProtection="0"/>
    <xf numFmtId="179" fontId="31" fillId="0" borderId="0" applyFill="0" applyBorder="0" applyAlignment="0"/>
    <xf numFmtId="179" fontId="31" fillId="0" borderId="0" applyFill="0" applyBorder="0" applyAlignment="0"/>
    <xf numFmtId="0" fontId="31" fillId="0" borderId="0" applyFill="0" applyBorder="0" applyAlignment="0"/>
    <xf numFmtId="0" fontId="91" fillId="26" borderId="48" applyNumberFormat="0" applyAlignment="0" applyProtection="0"/>
    <xf numFmtId="49" fontId="36" fillId="0" borderId="0" applyFill="0" applyBorder="0" applyAlignment="0"/>
    <xf numFmtId="0" fontId="31" fillId="0" borderId="0" applyFill="0" applyBorder="0" applyAlignment="0"/>
    <xf numFmtId="0" fontId="31" fillId="0" borderId="0" applyFill="0" applyBorder="0" applyAlignment="0"/>
    <xf numFmtId="0" fontId="98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102" fillId="0" borderId="25" applyNumberFormat="0" applyFill="0" applyAlignment="0" applyProtection="0"/>
    <xf numFmtId="0" fontId="102" fillId="0" borderId="25" applyNumberFormat="0" applyFill="0" applyAlignment="0" applyProtection="0"/>
    <xf numFmtId="0" fontId="103" fillId="0" borderId="26" applyNumberFormat="0" applyFill="0" applyAlignment="0" applyProtection="0"/>
    <xf numFmtId="0" fontId="103" fillId="0" borderId="26" applyNumberFormat="0" applyFill="0" applyAlignment="0" applyProtection="0"/>
    <xf numFmtId="0" fontId="83" fillId="0" borderId="18" applyNumberFormat="0" applyFill="0" applyAlignment="0" applyProtection="0"/>
    <xf numFmtId="0" fontId="83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22" fillId="0" borderId="49" applyNumberFormat="0" applyFill="0" applyAlignment="0" applyProtection="0"/>
    <xf numFmtId="0" fontId="122" fillId="0" borderId="49" applyNumberFormat="0" applyFill="0" applyAlignment="0" applyProtection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1" fillId="0" borderId="0" applyFont="0" applyFill="0" applyBorder="0" applyAlignment="0" applyProtection="0"/>
    <xf numFmtId="166" fontId="36" fillId="0" borderId="0" applyFont="0" applyFill="0" applyBorder="0" applyAlignment="0" applyProtection="0"/>
    <xf numFmtId="0" fontId="31" fillId="0" borderId="0"/>
    <xf numFmtId="0" fontId="36" fillId="0" borderId="0">
      <alignment vertical="top"/>
    </xf>
    <xf numFmtId="0" fontId="139" fillId="0" borderId="0" applyNumberFormat="0" applyFill="0" applyBorder="0" applyAlignment="0" applyProtection="0"/>
    <xf numFmtId="0" fontId="73" fillId="8" borderId="31" applyNumberFormat="0" applyAlignment="0" applyProtection="0"/>
    <xf numFmtId="0" fontId="65" fillId="26" borderId="31" applyNumberFormat="0" applyAlignment="0" applyProtection="0"/>
    <xf numFmtId="0" fontId="66" fillId="27" borderId="32" applyNumberFormat="0" applyAlignment="0" applyProtection="0"/>
    <xf numFmtId="217" fontId="43" fillId="0" borderId="0" applyFont="0" applyFill="0" applyBorder="0" applyAlignment="0" applyProtection="0"/>
    <xf numFmtId="0" fontId="140" fillId="0" borderId="0" applyNumberFormat="0" applyFill="0" applyBorder="0" applyAlignment="0" applyProtection="0">
      <alignment vertical="top"/>
      <protection locked="0"/>
    </xf>
    <xf numFmtId="0" fontId="73" fillId="8" borderId="31" applyNumberFormat="0" applyAlignment="0" applyProtection="0"/>
    <xf numFmtId="0" fontId="141" fillId="32" borderId="35" applyNumberFormat="0" applyFont="0" applyAlignment="0" applyProtection="0"/>
    <xf numFmtId="0" fontId="91" fillId="26" borderId="48" applyNumberFormat="0" applyAlignment="0" applyProtection="0"/>
    <xf numFmtId="0" fontId="24" fillId="0" borderId="0"/>
    <xf numFmtId="0" fontId="73" fillId="8" borderId="31" applyNumberFormat="0" applyAlignment="0" applyProtection="0"/>
    <xf numFmtId="0" fontId="73" fillId="8" borderId="31" applyNumberFormat="0" applyAlignment="0" applyProtection="0"/>
    <xf numFmtId="0" fontId="24" fillId="0" borderId="0"/>
    <xf numFmtId="0" fontId="24" fillId="0" borderId="0"/>
    <xf numFmtId="0" fontId="29" fillId="0" borderId="0"/>
    <xf numFmtId="0" fontId="54" fillId="0" borderId="55" applyBorder="0"/>
    <xf numFmtId="0" fontId="65" fillId="26" borderId="46" applyNumberFormat="0" applyAlignment="0" applyProtection="0"/>
    <xf numFmtId="40" fontId="64" fillId="23" borderId="56">
      <alignment vertical="center"/>
    </xf>
    <xf numFmtId="0" fontId="80" fillId="0" borderId="52">
      <alignment horizontal="left" vertical="center"/>
    </xf>
    <xf numFmtId="10" fontId="43" fillId="23" borderId="56" applyNumberFormat="0" applyBorder="0" applyAlignment="0" applyProtection="0"/>
    <xf numFmtId="3" fontId="86" fillId="2" borderId="55">
      <alignment horizontal="center"/>
    </xf>
    <xf numFmtId="0" fontId="31" fillId="32" borderId="35" applyNumberFormat="0" applyFont="0" applyAlignment="0" applyProtection="0"/>
    <xf numFmtId="0" fontId="31" fillId="0" borderId="54" applyFont="0" applyFill="0" applyBorder="0" applyAlignment="0" applyProtection="0">
      <alignment horizontal="right"/>
    </xf>
    <xf numFmtId="9" fontId="31" fillId="0" borderId="0" applyFont="0" applyFill="0" applyBorder="0" applyAlignment="0" applyProtection="0"/>
    <xf numFmtId="0" fontId="32" fillId="22" borderId="40" applyNumberFormat="0" applyFont="0" applyBorder="0" applyAlignment="0" applyProtection="0"/>
    <xf numFmtId="186" fontId="31" fillId="0" borderId="51">
      <protection locked="0"/>
    </xf>
    <xf numFmtId="0" fontId="31" fillId="0" borderId="52" applyFont="0" applyFill="0" applyBorder="0" applyAlignment="0" applyProtection="0"/>
    <xf numFmtId="0" fontId="54" fillId="0" borderId="55" applyBorder="0"/>
    <xf numFmtId="0" fontId="65" fillId="26" borderId="46" applyNumberFormat="0" applyAlignment="0" applyProtection="0"/>
    <xf numFmtId="0" fontId="66" fillId="27" borderId="57" applyNumberFormat="0" applyAlignment="0" applyProtection="0"/>
    <xf numFmtId="0" fontId="66" fillId="27" borderId="57" applyNumberFormat="0" applyAlignment="0" applyProtection="0"/>
    <xf numFmtId="0" fontId="73" fillId="8" borderId="46" applyNumberFormat="0" applyAlignment="0" applyProtection="0"/>
    <xf numFmtId="10" fontId="43" fillId="23" borderId="56" applyNumberFormat="0" applyBorder="0" applyAlignment="0" applyProtection="0"/>
    <xf numFmtId="10" fontId="43" fillId="23" borderId="56" applyNumberFormat="0" applyBorder="0" applyAlignment="0" applyProtection="0"/>
    <xf numFmtId="10" fontId="43" fillId="23" borderId="56" applyNumberFormat="0" applyBorder="0" applyAlignment="0" applyProtection="0"/>
    <xf numFmtId="10" fontId="43" fillId="23" borderId="56" applyNumberFormat="0" applyBorder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3" fontId="86" fillId="2" borderId="55">
      <alignment horizontal="center"/>
    </xf>
    <xf numFmtId="0" fontId="23" fillId="0" borderId="0"/>
    <xf numFmtId="0" fontId="23" fillId="0" borderId="0"/>
    <xf numFmtId="0" fontId="31" fillId="0" borderId="54" applyFont="0" applyFill="0" applyBorder="0" applyAlignment="0" applyProtection="0">
      <alignment horizontal="right"/>
    </xf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32" fillId="22" borderId="40" applyNumberFormat="0" applyFont="0" applyBorder="0" applyAlignment="0" applyProtection="0"/>
    <xf numFmtId="0" fontId="91" fillId="26" borderId="48" applyNumberFormat="0" applyAlignment="0" applyProtection="0"/>
    <xf numFmtId="0" fontId="91" fillId="26" borderId="48" applyNumberFormat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0" fontId="121" fillId="0" borderId="50" applyProtection="0">
      <alignment horizontal="centerContinuous"/>
    </xf>
    <xf numFmtId="0" fontId="122" fillId="0" borderId="49" applyNumberFormat="0" applyFill="0" applyAlignment="0" applyProtection="0"/>
    <xf numFmtId="0" fontId="23" fillId="0" borderId="0"/>
    <xf numFmtId="209" fontId="125" fillId="0" borderId="56" applyFont="0" applyFill="0" applyBorder="0" applyAlignment="0"/>
    <xf numFmtId="166" fontId="23" fillId="0" borderId="0" applyFont="0" applyFill="0" applyBorder="0" applyAlignment="0" applyProtection="0"/>
    <xf numFmtId="0" fontId="23" fillId="0" borderId="0">
      <alignment vertical="center"/>
    </xf>
    <xf numFmtId="0" fontId="31" fillId="0" borderId="56" applyNumberFormat="0" applyProtection="0">
      <alignment horizontal="left" vertical="center" indent="1"/>
    </xf>
    <xf numFmtId="0" fontId="31" fillId="0" borderId="56" applyNumberFormat="0" applyProtection="0">
      <alignment horizontal="left" vertical="center" indent="1"/>
    </xf>
    <xf numFmtId="0" fontId="31" fillId="0" borderId="56" applyNumberFormat="0" applyProtection="0">
      <alignment horizontal="left" vertical="center" indent="1"/>
    </xf>
    <xf numFmtId="4" fontId="36" fillId="0" borderId="56" applyNumberFormat="0" applyProtection="0">
      <alignment horizontal="right" vertical="center"/>
    </xf>
    <xf numFmtId="4" fontId="36" fillId="0" borderId="58" applyNumberFormat="0" applyProtection="0">
      <alignment horizontal="left" vertical="center" indent="1"/>
    </xf>
    <xf numFmtId="0" fontId="50" fillId="0" borderId="56" applyNumberFormat="0" applyProtection="0">
      <alignment horizontal="left" vertical="top" indent="1"/>
    </xf>
    <xf numFmtId="0" fontId="23" fillId="0" borderId="0"/>
    <xf numFmtId="0" fontId="66" fillId="27" borderId="57" applyNumberFormat="0" applyAlignment="0" applyProtection="0"/>
    <xf numFmtId="166" fontId="23" fillId="0" borderId="0" applyFont="0" applyFill="0" applyBorder="0" applyAlignment="0" applyProtection="0"/>
    <xf numFmtId="0" fontId="49" fillId="32" borderId="35" applyNumberFormat="0" applyFont="0" applyAlignment="0" applyProtection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73" fillId="8" borderId="46" applyNumberFormat="0" applyAlignment="0" applyProtection="0"/>
    <xf numFmtId="0" fontId="65" fillId="26" borderId="46" applyNumberFormat="0" applyAlignment="0" applyProtection="0"/>
    <xf numFmtId="0" fontId="66" fillId="27" borderId="57" applyNumberFormat="0" applyAlignment="0" applyProtection="0"/>
    <xf numFmtId="0" fontId="73" fillId="8" borderId="46" applyNumberFormat="0" applyAlignment="0" applyProtection="0"/>
    <xf numFmtId="0" fontId="23" fillId="0" borderId="0"/>
    <xf numFmtId="0" fontId="73" fillId="8" borderId="46" applyNumberFormat="0" applyAlignment="0" applyProtection="0"/>
    <xf numFmtId="0" fontId="73" fillId="8" borderId="46" applyNumberFormat="0" applyAlignment="0" applyProtection="0"/>
    <xf numFmtId="0" fontId="23" fillId="0" borderId="0"/>
    <xf numFmtId="0" fontId="23" fillId="0" borderId="0"/>
    <xf numFmtId="0" fontId="29" fillId="0" borderId="0"/>
    <xf numFmtId="9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0" fontId="29" fillId="0" borderId="0"/>
    <xf numFmtId="0" fontId="29" fillId="0" borderId="0"/>
    <xf numFmtId="4" fontId="31" fillId="0" borderId="72" applyNumberFormat="0" applyProtection="0">
      <alignment horizontal="right" vertical="center"/>
    </xf>
    <xf numFmtId="4" fontId="132" fillId="0" borderId="72" applyNumberFormat="0" applyProtection="0">
      <alignment horizontal="right" vertical="center"/>
    </xf>
    <xf numFmtId="4" fontId="36" fillId="23" borderId="72" applyNumberFormat="0" applyProtection="0">
      <alignment horizontal="left" vertical="center" indent="1"/>
    </xf>
    <xf numFmtId="4" fontId="36" fillId="23" borderId="72" applyNumberFormat="0" applyProtection="0">
      <alignment vertical="center"/>
    </xf>
    <xf numFmtId="0" fontId="31" fillId="52" borderId="72" applyNumberFormat="0" applyProtection="0">
      <alignment horizontal="left" vertical="top" indent="1"/>
    </xf>
    <xf numFmtId="0" fontId="31" fillId="49" borderId="72" applyNumberFormat="0" applyProtection="0">
      <alignment horizontal="left" vertical="top" indent="1"/>
    </xf>
    <xf numFmtId="4" fontId="36" fillId="12" borderId="72" applyNumberFormat="0" applyProtection="0">
      <alignment horizontal="right" vertical="center"/>
    </xf>
    <xf numFmtId="4" fontId="36" fillId="20" borderId="72" applyNumberFormat="0" applyProtection="0">
      <alignment horizontal="right" vertical="center"/>
    </xf>
    <xf numFmtId="4" fontId="36" fillId="17" borderId="72" applyNumberFormat="0" applyProtection="0">
      <alignment horizontal="right" vertical="center"/>
    </xf>
    <xf numFmtId="4" fontId="36" fillId="13" borderId="72" applyNumberFormat="0" applyProtection="0">
      <alignment horizontal="right" vertical="center"/>
    </xf>
    <xf numFmtId="0" fontId="50" fillId="0" borderId="72" applyNumberFormat="0" applyProtection="0">
      <alignment horizontal="left" vertical="top" indent="1"/>
    </xf>
    <xf numFmtId="4" fontId="50" fillId="0" borderId="72" applyNumberFormat="0" applyProtection="0">
      <alignment horizontal="left" vertical="center" indent="1"/>
    </xf>
    <xf numFmtId="4" fontId="50" fillId="0" borderId="72" applyNumberFormat="0" applyProtection="0">
      <alignment vertical="center"/>
    </xf>
    <xf numFmtId="0" fontId="65" fillId="26" borderId="65" applyNumberFormat="0" applyAlignment="0" applyProtection="0"/>
    <xf numFmtId="0" fontId="65" fillId="26" borderId="65" applyNumberFormat="0" applyAlignment="0" applyProtection="0"/>
    <xf numFmtId="40" fontId="64" fillId="23" borderId="62">
      <alignment vertical="center"/>
    </xf>
    <xf numFmtId="0" fontId="73" fillId="8" borderId="65" applyNumberFormat="0" applyAlignment="0" applyProtection="0"/>
    <xf numFmtId="0" fontId="31" fillId="23" borderId="66" applyNumberFormat="0" applyFont="0" applyBorder="0" applyAlignment="0" applyProtection="0"/>
    <xf numFmtId="0" fontId="80" fillId="0" borderId="59">
      <alignment horizontal="left" vertical="center"/>
    </xf>
    <xf numFmtId="10" fontId="43" fillId="23" borderId="62" applyNumberFormat="0" applyBorder="0" applyAlignment="0" applyProtection="0"/>
    <xf numFmtId="0" fontId="31" fillId="32" borderId="67" applyNumberFormat="0" applyFont="0" applyAlignment="0" applyProtection="0"/>
    <xf numFmtId="0" fontId="31" fillId="32" borderId="67" applyNumberFormat="0" applyFont="0" applyAlignment="0" applyProtection="0"/>
    <xf numFmtId="0" fontId="91" fillId="26" borderId="68" applyNumberFormat="0" applyAlignment="0" applyProtection="0"/>
    <xf numFmtId="0" fontId="91" fillId="26" borderId="68" applyNumberFormat="0" applyAlignment="0" applyProtection="0"/>
    <xf numFmtId="0" fontId="29" fillId="0" borderId="0"/>
    <xf numFmtId="0" fontId="31" fillId="0" borderId="59" applyFont="0" applyFill="0" applyBorder="0" applyAlignment="0" applyProtection="0"/>
    <xf numFmtId="0" fontId="65" fillId="26" borderId="65" applyNumberFormat="0" applyAlignment="0" applyProtection="0"/>
    <xf numFmtId="0" fontId="73" fillId="8" borderId="65" applyNumberFormat="0" applyAlignment="0" applyProtection="0"/>
    <xf numFmtId="0" fontId="31" fillId="23" borderId="66" applyNumberFormat="0" applyFont="0" applyBorder="0" applyAlignment="0" applyProtection="0"/>
    <xf numFmtId="10" fontId="43" fillId="23" borderId="62" applyNumberFormat="0" applyBorder="0" applyAlignment="0" applyProtection="0"/>
    <xf numFmtId="10" fontId="43" fillId="23" borderId="62" applyNumberFormat="0" applyBorder="0" applyAlignment="0" applyProtection="0"/>
    <xf numFmtId="10" fontId="43" fillId="23" borderId="62" applyNumberFormat="0" applyBorder="0" applyAlignment="0" applyProtection="0"/>
    <xf numFmtId="10" fontId="43" fillId="23" borderId="62" applyNumberFormat="0" applyBorder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22" fillId="0" borderId="0"/>
    <xf numFmtId="0" fontId="22" fillId="0" borderId="0"/>
    <xf numFmtId="0" fontId="49" fillId="32" borderId="67" applyNumberFormat="0" applyFont="0" applyAlignment="0" applyProtection="0"/>
    <xf numFmtId="0" fontId="31" fillId="32" borderId="67" applyNumberFormat="0" applyFont="0" applyAlignment="0" applyProtection="0"/>
    <xf numFmtId="0" fontId="31" fillId="32" borderId="67" applyNumberFormat="0" applyFont="0" applyAlignment="0" applyProtection="0"/>
    <xf numFmtId="0" fontId="31" fillId="32" borderId="67" applyNumberFormat="0" applyFont="0" applyAlignment="0" applyProtection="0"/>
    <xf numFmtId="0" fontId="31" fillId="32" borderId="67" applyNumberFormat="0" applyFont="0" applyAlignment="0" applyProtection="0"/>
    <xf numFmtId="0" fontId="31" fillId="32" borderId="67" applyNumberFormat="0" applyFont="0" applyAlignment="0" applyProtection="0"/>
    <xf numFmtId="0" fontId="31" fillId="32" borderId="67" applyNumberFormat="0" applyFont="0" applyAlignment="0" applyProtection="0"/>
    <xf numFmtId="0" fontId="31" fillId="32" borderId="67" applyNumberFormat="0" applyFont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91" fillId="26" borderId="68" applyNumberFormat="0" applyAlignment="0" applyProtection="0"/>
    <xf numFmtId="0" fontId="91" fillId="26" borderId="68" applyNumberFormat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0" fontId="121" fillId="0" borderId="61" applyProtection="0">
      <alignment horizontal="centerContinuous"/>
    </xf>
    <xf numFmtId="0" fontId="122" fillId="0" borderId="69" applyNumberFormat="0" applyFill="0" applyAlignment="0" applyProtection="0"/>
    <xf numFmtId="4" fontId="36" fillId="0" borderId="73" applyNumberFormat="0" applyProtection="0">
      <alignment horizontal="left" vertical="center" indent="1"/>
    </xf>
    <xf numFmtId="4" fontId="132" fillId="23" borderId="72" applyNumberFormat="0" applyProtection="0">
      <alignment vertical="center"/>
    </xf>
    <xf numFmtId="4" fontId="36" fillId="50" borderId="72" applyNumberFormat="0" applyProtection="0">
      <alignment horizontal="right" vertical="center"/>
    </xf>
    <xf numFmtId="4" fontId="36" fillId="21" borderId="72" applyNumberFormat="0" applyProtection="0">
      <alignment horizontal="right" vertical="center"/>
    </xf>
    <xf numFmtId="4" fontId="130" fillId="29" borderId="72" applyNumberFormat="0" applyProtection="0">
      <alignment vertical="center"/>
    </xf>
    <xf numFmtId="0" fontId="22" fillId="0" borderId="0"/>
    <xf numFmtId="0" fontId="36" fillId="23" borderId="72" applyNumberFormat="0" applyProtection="0">
      <alignment horizontal="left" vertical="top" indent="1"/>
    </xf>
    <xf numFmtId="0" fontId="31" fillId="52" borderId="72" applyNumberFormat="0" applyProtection="0">
      <alignment horizontal="left" vertical="center" indent="1"/>
    </xf>
    <xf numFmtId="0" fontId="31" fillId="22" borderId="72" applyNumberFormat="0" applyProtection="0">
      <alignment horizontal="left" vertical="top" indent="1"/>
    </xf>
    <xf numFmtId="0" fontId="31" fillId="51" borderId="72" applyNumberFormat="0" applyProtection="0">
      <alignment horizontal="left" vertical="top" indent="1"/>
    </xf>
    <xf numFmtId="4" fontId="36" fillId="48" borderId="72" applyNumberFormat="0" applyProtection="0">
      <alignment horizontal="right" vertical="center"/>
    </xf>
    <xf numFmtId="4" fontId="36" fillId="19" borderId="72" applyNumberFormat="0" applyProtection="0">
      <alignment horizontal="right" vertical="center"/>
    </xf>
    <xf numFmtId="4" fontId="36" fillId="11" borderId="72" applyNumberFormat="0" applyProtection="0">
      <alignment horizontal="right" vertical="center"/>
    </xf>
    <xf numFmtId="4" fontId="36" fillId="4" borderId="72" applyNumberFormat="0" applyProtection="0">
      <alignment horizontal="right" vertical="center"/>
    </xf>
    <xf numFmtId="209" fontId="125" fillId="0" borderId="62" applyFont="0" applyFill="0" applyBorder="0" applyAlignment="0"/>
    <xf numFmtId="166" fontId="22" fillId="0" borderId="0" applyFont="0" applyFill="0" applyBorder="0" applyAlignment="0" applyProtection="0"/>
    <xf numFmtId="0" fontId="22" fillId="0" borderId="0">
      <alignment vertical="center"/>
    </xf>
    <xf numFmtId="4" fontId="50" fillId="0" borderId="70" applyNumberFormat="0" applyProtection="0">
      <alignment vertical="center"/>
    </xf>
    <xf numFmtId="4" fontId="130" fillId="29" borderId="70" applyNumberFormat="0" applyProtection="0">
      <alignment vertical="center"/>
    </xf>
    <xf numFmtId="4" fontId="50" fillId="0" borderId="70" applyNumberFormat="0" applyProtection="0">
      <alignment horizontal="left" vertical="center" indent="1"/>
    </xf>
    <xf numFmtId="0" fontId="50" fillId="0" borderId="70" applyNumberFormat="0" applyProtection="0">
      <alignment horizontal="left" vertical="top" indent="1"/>
    </xf>
    <xf numFmtId="4" fontId="36" fillId="4" borderId="70" applyNumberFormat="0" applyProtection="0">
      <alignment horizontal="right" vertical="center"/>
    </xf>
    <xf numFmtId="4" fontId="36" fillId="11" borderId="70" applyNumberFormat="0" applyProtection="0">
      <alignment horizontal="right" vertical="center"/>
    </xf>
    <xf numFmtId="4" fontId="36" fillId="19" borderId="70" applyNumberFormat="0" applyProtection="0">
      <alignment horizontal="right" vertical="center"/>
    </xf>
    <xf numFmtId="4" fontId="36" fillId="13" borderId="70" applyNumberFormat="0" applyProtection="0">
      <alignment horizontal="right" vertical="center"/>
    </xf>
    <xf numFmtId="4" fontId="36" fillId="17" borderId="70" applyNumberFormat="0" applyProtection="0">
      <alignment horizontal="right" vertical="center"/>
    </xf>
    <xf numFmtId="4" fontId="36" fillId="21" borderId="70" applyNumberFormat="0" applyProtection="0">
      <alignment horizontal="right" vertical="center"/>
    </xf>
    <xf numFmtId="4" fontId="36" fillId="20" borderId="70" applyNumberFormat="0" applyProtection="0">
      <alignment horizontal="right" vertical="center"/>
    </xf>
    <xf numFmtId="4" fontId="36" fillId="48" borderId="70" applyNumberFormat="0" applyProtection="0">
      <alignment horizontal="right" vertical="center"/>
    </xf>
    <xf numFmtId="4" fontId="36" fillId="12" borderId="70" applyNumberFormat="0" applyProtection="0">
      <alignment horizontal="right" vertical="center"/>
    </xf>
    <xf numFmtId="4" fontId="36" fillId="50" borderId="70" applyNumberFormat="0" applyProtection="0">
      <alignment horizontal="right" vertical="center"/>
    </xf>
    <xf numFmtId="0" fontId="31" fillId="0" borderId="62" applyNumberFormat="0" applyProtection="0">
      <alignment horizontal="left" vertical="center" indent="1"/>
    </xf>
    <xf numFmtId="0" fontId="31" fillId="49" borderId="70" applyNumberFormat="0" applyProtection="0">
      <alignment horizontal="left" vertical="top" indent="1"/>
    </xf>
    <xf numFmtId="0" fontId="31" fillId="0" borderId="62" applyNumberFormat="0" applyProtection="0">
      <alignment horizontal="left" vertical="center" indent="1"/>
    </xf>
    <xf numFmtId="0" fontId="31" fillId="51" borderId="70" applyNumberFormat="0" applyProtection="0">
      <alignment horizontal="left" vertical="top" indent="1"/>
    </xf>
    <xf numFmtId="0" fontId="31" fillId="0" borderId="62" applyNumberFormat="0" applyProtection="0">
      <alignment horizontal="left" vertical="center" indent="1"/>
    </xf>
    <xf numFmtId="0" fontId="31" fillId="22" borderId="70" applyNumberFormat="0" applyProtection="0">
      <alignment horizontal="left" vertical="top" indent="1"/>
    </xf>
    <xf numFmtId="0" fontId="31" fillId="52" borderId="70" applyNumberFormat="0" applyProtection="0">
      <alignment horizontal="left" vertical="center" indent="1"/>
    </xf>
    <xf numFmtId="0" fontId="31" fillId="52" borderId="70" applyNumberFormat="0" applyProtection="0">
      <alignment horizontal="left" vertical="top" indent="1"/>
    </xf>
    <xf numFmtId="4" fontId="36" fillId="23" borderId="70" applyNumberFormat="0" applyProtection="0">
      <alignment vertical="center"/>
    </xf>
    <xf numFmtId="4" fontId="132" fillId="23" borderId="70" applyNumberFormat="0" applyProtection="0">
      <alignment vertical="center"/>
    </xf>
    <xf numFmtId="4" fontId="36" fillId="23" borderId="70" applyNumberFormat="0" applyProtection="0">
      <alignment horizontal="left" vertical="center" indent="1"/>
    </xf>
    <xf numFmtId="0" fontId="36" fillId="23" borderId="70" applyNumberFormat="0" applyProtection="0">
      <alignment horizontal="left" vertical="top" indent="1"/>
    </xf>
    <xf numFmtId="4" fontId="36" fillId="0" borderId="62" applyNumberFormat="0" applyProtection="0">
      <alignment horizontal="right" vertical="center"/>
    </xf>
    <xf numFmtId="4" fontId="132" fillId="0" borderId="70" applyNumberFormat="0" applyProtection="0">
      <alignment horizontal="right" vertical="center"/>
    </xf>
    <xf numFmtId="4" fontId="36" fillId="0" borderId="71" applyNumberFormat="0" applyProtection="0">
      <alignment horizontal="left" vertical="center" indent="1"/>
    </xf>
    <xf numFmtId="0" fontId="50" fillId="0" borderId="62" applyNumberFormat="0" applyProtection="0">
      <alignment horizontal="left" vertical="top" indent="1"/>
    </xf>
    <xf numFmtId="4" fontId="31" fillId="0" borderId="70" applyNumberFormat="0" applyProtection="0">
      <alignment horizontal="right" vertical="center"/>
    </xf>
    <xf numFmtId="0" fontId="22" fillId="0" borderId="0"/>
    <xf numFmtId="0" fontId="65" fillId="26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166" fontId="22" fillId="0" borderId="0" applyFont="0" applyFill="0" applyBorder="0" applyAlignment="0" applyProtection="0"/>
    <xf numFmtId="0" fontId="49" fillId="32" borderId="67" applyNumberFormat="0" applyFont="0" applyAlignment="0" applyProtection="0"/>
    <xf numFmtId="0" fontId="91" fillId="26" borderId="68" applyNumberFormat="0" applyAlignment="0" applyProtection="0"/>
    <xf numFmtId="0" fontId="122" fillId="0" borderId="69" applyNumberFormat="0" applyFill="0" applyAlignment="0" applyProtection="0"/>
    <xf numFmtId="0" fontId="122" fillId="0" borderId="69" applyNumberFormat="0" applyFill="0" applyAlignment="0" applyProtection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73" fillId="8" borderId="65" applyNumberFormat="0" applyAlignment="0" applyProtection="0"/>
    <xf numFmtId="0" fontId="65" fillId="26" borderId="65" applyNumberFormat="0" applyAlignment="0" applyProtection="0"/>
    <xf numFmtId="0" fontId="73" fillId="8" borderId="65" applyNumberFormat="0" applyAlignment="0" applyProtection="0"/>
    <xf numFmtId="0" fontId="141" fillId="32" borderId="67" applyNumberFormat="0" applyFont="0" applyAlignment="0" applyProtection="0"/>
    <xf numFmtId="0" fontId="91" fillId="26" borderId="68" applyNumberFormat="0" applyAlignment="0" applyProtection="0"/>
    <xf numFmtId="0" fontId="22" fillId="0" borderId="0"/>
    <xf numFmtId="0" fontId="73" fillId="8" borderId="65" applyNumberFormat="0" applyAlignment="0" applyProtection="0"/>
    <xf numFmtId="0" fontId="73" fillId="8" borderId="65" applyNumberFormat="0" applyAlignment="0" applyProtection="0"/>
    <xf numFmtId="0" fontId="22" fillId="0" borderId="0"/>
    <xf numFmtId="0" fontId="22" fillId="0" borderId="0"/>
    <xf numFmtId="0" fontId="65" fillId="26" borderId="65" applyNumberFormat="0" applyAlignment="0" applyProtection="0"/>
    <xf numFmtId="0" fontId="80" fillId="0" borderId="59">
      <alignment horizontal="left" vertical="center"/>
    </xf>
    <xf numFmtId="0" fontId="31" fillId="32" borderId="67" applyNumberFormat="0" applyFont="0" applyAlignment="0" applyProtection="0"/>
    <xf numFmtId="0" fontId="32" fillId="22" borderId="36" applyNumberFormat="0" applyFont="0" applyBorder="0" applyAlignment="0" applyProtection="0"/>
    <xf numFmtId="0" fontId="31" fillId="0" borderId="59" applyFont="0" applyFill="0" applyBorder="0" applyAlignment="0" applyProtection="0"/>
    <xf numFmtId="0" fontId="65" fillId="26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32" fillId="22" borderId="36" applyNumberFormat="0" applyFont="0" applyBorder="0" applyAlignment="0" applyProtection="0"/>
    <xf numFmtId="0" fontId="91" fillId="26" borderId="68" applyNumberFormat="0" applyAlignment="0" applyProtection="0"/>
    <xf numFmtId="0" fontId="91" fillId="26" borderId="68" applyNumberFormat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0" fontId="121" fillId="0" borderId="61" applyProtection="0">
      <alignment horizontal="centerContinuous"/>
    </xf>
    <xf numFmtId="0" fontId="122" fillId="0" borderId="69" applyNumberFormat="0" applyFill="0" applyAlignment="0" applyProtection="0"/>
    <xf numFmtId="0" fontId="22" fillId="0" borderId="0"/>
    <xf numFmtId="166" fontId="22" fillId="0" borderId="0" applyFont="0" applyFill="0" applyBorder="0" applyAlignment="0" applyProtection="0"/>
    <xf numFmtId="0" fontId="22" fillId="0" borderId="0">
      <alignment vertical="center"/>
    </xf>
    <xf numFmtId="4" fontId="36" fillId="0" borderId="71" applyNumberFormat="0" applyProtection="0">
      <alignment horizontal="left" vertical="center" indent="1"/>
    </xf>
    <xf numFmtId="0" fontId="22" fillId="0" borderId="0"/>
    <xf numFmtId="166" fontId="22" fillId="0" borderId="0" applyFont="0" applyFill="0" applyBorder="0" applyAlignment="0" applyProtection="0"/>
    <xf numFmtId="0" fontId="49" fillId="32" borderId="67" applyNumberFormat="0" applyFont="0" applyAlignment="0" applyProtection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73" fillId="8" borderId="65" applyNumberFormat="0" applyAlignment="0" applyProtection="0"/>
    <xf numFmtId="0" fontId="65" fillId="26" borderId="65" applyNumberFormat="0" applyAlignment="0" applyProtection="0"/>
    <xf numFmtId="0" fontId="73" fillId="8" borderId="65" applyNumberFormat="0" applyAlignment="0" applyProtection="0"/>
    <xf numFmtId="0" fontId="22" fillId="0" borderId="0"/>
    <xf numFmtId="0" fontId="73" fillId="8" borderId="65" applyNumberFormat="0" applyAlignment="0" applyProtection="0"/>
    <xf numFmtId="0" fontId="73" fillId="8" borderId="65" applyNumberFormat="0" applyAlignment="0" applyProtection="0"/>
    <xf numFmtId="0" fontId="22" fillId="0" borderId="0"/>
    <xf numFmtId="0" fontId="22" fillId="0" borderId="0"/>
    <xf numFmtId="0" fontId="65" fillId="26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49" fillId="32" borderId="76" applyNumberFormat="0" applyFont="0" applyAlignment="0" applyProtection="0"/>
    <xf numFmtId="0" fontId="91" fillId="26" borderId="77" applyNumberFormat="0" applyAlignment="0" applyProtection="0"/>
    <xf numFmtId="0" fontId="122" fillId="0" borderId="78" applyNumberFormat="0" applyFill="0" applyAlignment="0" applyProtection="0"/>
    <xf numFmtId="0" fontId="122" fillId="0" borderId="78" applyNumberFormat="0" applyFill="0" applyAlignment="0" applyProtection="0"/>
    <xf numFmtId="0" fontId="91" fillId="26" borderId="77" applyNumberFormat="0" applyAlignment="0" applyProtection="0"/>
    <xf numFmtId="0" fontId="65" fillId="26" borderId="75" applyNumberFormat="0" applyAlignment="0" applyProtection="0"/>
    <xf numFmtId="40" fontId="64" fillId="23" borderId="74">
      <alignment vertical="center"/>
    </xf>
    <xf numFmtId="0" fontId="80" fillId="0" borderId="81">
      <alignment horizontal="left" vertical="center"/>
    </xf>
    <xf numFmtId="10" fontId="43" fillId="23" borderId="74" applyNumberFormat="0" applyBorder="0" applyAlignment="0" applyProtection="0"/>
    <xf numFmtId="186" fontId="31" fillId="0" borderId="80">
      <protection locked="0"/>
    </xf>
    <xf numFmtId="0" fontId="31" fillId="0" borderId="81" applyFont="0" applyFill="0" applyBorder="0" applyAlignment="0" applyProtection="0"/>
    <xf numFmtId="0" fontId="65" fillId="26" borderId="75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73" fillId="8" borderId="75" applyNumberFormat="0" applyAlignment="0" applyProtection="0"/>
    <xf numFmtId="10" fontId="43" fillId="23" borderId="74" applyNumberFormat="0" applyBorder="0" applyAlignment="0" applyProtection="0"/>
    <xf numFmtId="10" fontId="43" fillId="23" borderId="74" applyNumberFormat="0" applyBorder="0" applyAlignment="0" applyProtection="0"/>
    <xf numFmtId="10" fontId="43" fillId="23" borderId="74" applyNumberFormat="0" applyBorder="0" applyAlignment="0" applyProtection="0"/>
    <xf numFmtId="10" fontId="43" fillId="23" borderId="74" applyNumberFormat="0" applyBorder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91" fillId="26" borderId="77" applyNumberFormat="0" applyAlignment="0" applyProtection="0"/>
    <xf numFmtId="0" fontId="91" fillId="26" borderId="77" applyNumberFormat="0" applyAlignment="0" applyProtection="0"/>
    <xf numFmtId="0" fontId="121" fillId="0" borderId="79" applyProtection="0">
      <alignment horizontal="centerContinuous"/>
    </xf>
    <xf numFmtId="0" fontId="122" fillId="0" borderId="78" applyNumberFormat="0" applyFill="0" applyAlignment="0" applyProtection="0"/>
    <xf numFmtId="209" fontId="125" fillId="0" borderId="74" applyFont="0" applyFill="0" applyBorder="0" applyAlignment="0"/>
    <xf numFmtId="0" fontId="31" fillId="0" borderId="74" applyNumberFormat="0" applyProtection="0">
      <alignment horizontal="left" vertical="center" indent="1"/>
    </xf>
    <xf numFmtId="0" fontId="31" fillId="0" borderId="74" applyNumberFormat="0" applyProtection="0">
      <alignment horizontal="left" vertical="center" indent="1"/>
    </xf>
    <xf numFmtId="0" fontId="31" fillId="0" borderId="74" applyNumberFormat="0" applyProtection="0">
      <alignment horizontal="left" vertical="center" indent="1"/>
    </xf>
    <xf numFmtId="4" fontId="36" fillId="0" borderId="74" applyNumberFormat="0" applyProtection="0">
      <alignment horizontal="right" vertical="center"/>
    </xf>
    <xf numFmtId="4" fontId="36" fillId="0" borderId="73" applyNumberFormat="0" applyProtection="0">
      <alignment horizontal="left" vertical="center" indent="1"/>
    </xf>
    <xf numFmtId="0" fontId="50" fillId="0" borderId="74" applyNumberFormat="0" applyProtection="0">
      <alignment horizontal="left" vertical="top" indent="1"/>
    </xf>
    <xf numFmtId="0" fontId="66" fillId="27" borderId="82" applyNumberFormat="0" applyAlignment="0" applyProtection="0"/>
    <xf numFmtId="0" fontId="73" fillId="8" borderId="75" applyNumberFormat="0" applyAlignment="0" applyProtection="0"/>
    <xf numFmtId="0" fontId="65" fillId="26" borderId="75" applyNumberFormat="0" applyAlignment="0" applyProtection="0"/>
    <xf numFmtId="0" fontId="66" fillId="27" borderId="82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29" fillId="0" borderId="0"/>
    <xf numFmtId="0" fontId="73" fillId="8" borderId="86" applyNumberFormat="0" applyAlignment="0" applyProtection="0"/>
    <xf numFmtId="0" fontId="65" fillId="26" borderId="86" applyNumberFormat="0" applyAlignment="0" applyProtection="0"/>
    <xf numFmtId="0" fontId="31" fillId="0" borderId="92" applyFont="0" applyFill="0" applyBorder="0" applyAlignment="0" applyProtection="0"/>
    <xf numFmtId="10" fontId="43" fillId="23" borderId="85" applyNumberFormat="0" applyBorder="0" applyAlignment="0" applyProtection="0"/>
    <xf numFmtId="0" fontId="80" fillId="0" borderId="92">
      <alignment horizontal="left" vertical="center"/>
    </xf>
    <xf numFmtId="0" fontId="50" fillId="0" borderId="94" applyNumberFormat="0" applyProtection="0">
      <alignment horizontal="left" vertical="top" indent="1"/>
    </xf>
    <xf numFmtId="0" fontId="122" fillId="0" borderId="89" applyNumberFormat="0" applyFill="0" applyAlignment="0" applyProtection="0"/>
    <xf numFmtId="0" fontId="122" fillId="0" borderId="89" applyNumberFormat="0" applyFill="0" applyAlignment="0" applyProtection="0"/>
    <xf numFmtId="0" fontId="91" fillId="26" borderId="88" applyNumberFormat="0" applyAlignment="0" applyProtection="0"/>
    <xf numFmtId="0" fontId="49" fillId="32" borderId="87" applyNumberFormat="0" applyFont="0" applyAlignment="0" applyProtection="0"/>
    <xf numFmtId="0" fontId="73" fillId="8" borderId="86" applyNumberFormat="0" applyAlignment="0" applyProtection="0"/>
    <xf numFmtId="0" fontId="91" fillId="26" borderId="98" applyNumberFormat="0" applyAlignment="0" applyProtection="0"/>
    <xf numFmtId="4" fontId="36" fillId="23" borderId="83" applyNumberFormat="0" applyProtection="0">
      <alignment horizontal="left" vertical="center" indent="1"/>
    </xf>
    <xf numFmtId="4" fontId="132" fillId="23" borderId="83" applyNumberFormat="0" applyProtection="0">
      <alignment vertical="center"/>
    </xf>
    <xf numFmtId="4" fontId="36" fillId="23" borderId="83" applyNumberFormat="0" applyProtection="0">
      <alignment vertical="center"/>
    </xf>
    <xf numFmtId="0" fontId="31" fillId="52" borderId="83" applyNumberFormat="0" applyProtection="0">
      <alignment horizontal="left" vertical="center" indent="1"/>
    </xf>
    <xf numFmtId="0" fontId="31" fillId="51" borderId="83" applyNumberFormat="0" applyProtection="0">
      <alignment horizontal="left" vertical="top" indent="1"/>
    </xf>
    <xf numFmtId="0" fontId="31" fillId="49" borderId="83" applyNumberFormat="0" applyProtection="0">
      <alignment horizontal="left" vertical="top" indent="1"/>
    </xf>
    <xf numFmtId="4" fontId="36" fillId="50" borderId="83" applyNumberFormat="0" applyProtection="0">
      <alignment horizontal="right" vertical="center"/>
    </xf>
    <xf numFmtId="4" fontId="36" fillId="12" borderId="83" applyNumberFormat="0" applyProtection="0">
      <alignment horizontal="right" vertical="center"/>
    </xf>
    <xf numFmtId="4" fontId="36" fillId="48" borderId="83" applyNumberFormat="0" applyProtection="0">
      <alignment horizontal="right" vertical="center"/>
    </xf>
    <xf numFmtId="4" fontId="36" fillId="21" borderId="83" applyNumberFormat="0" applyProtection="0">
      <alignment horizontal="right" vertical="center"/>
    </xf>
    <xf numFmtId="4" fontId="36" fillId="17" borderId="83" applyNumberFormat="0" applyProtection="0">
      <alignment horizontal="right" vertical="center"/>
    </xf>
    <xf numFmtId="4" fontId="36" fillId="13" borderId="83" applyNumberFormat="0" applyProtection="0">
      <alignment horizontal="right" vertical="center"/>
    </xf>
    <xf numFmtId="4" fontId="36" fillId="11" borderId="83" applyNumberFormat="0" applyProtection="0">
      <alignment horizontal="right" vertical="center"/>
    </xf>
    <xf numFmtId="4" fontId="36" fillId="4" borderId="83" applyNumberFormat="0" applyProtection="0">
      <alignment horizontal="right" vertical="center"/>
    </xf>
    <xf numFmtId="4" fontId="50" fillId="0" borderId="83" applyNumberFormat="0" applyProtection="0">
      <alignment horizontal="left" vertical="center" indent="1"/>
    </xf>
    <xf numFmtId="4" fontId="130" fillId="29" borderId="83" applyNumberFormat="0" applyProtection="0">
      <alignment vertical="center"/>
    </xf>
    <xf numFmtId="4" fontId="50" fillId="0" borderId="83" applyNumberFormat="0" applyProtection="0">
      <alignment vertical="center"/>
    </xf>
    <xf numFmtId="0" fontId="91" fillId="26" borderId="98" applyNumberFormat="0" applyAlignment="0" applyProtection="0"/>
    <xf numFmtId="4" fontId="36" fillId="13" borderId="102" applyNumberFormat="0" applyProtection="0">
      <alignment horizontal="right" vertical="center"/>
    </xf>
    <xf numFmtId="0" fontId="65" fillId="26" borderId="93" applyNumberFormat="0" applyAlignment="0" applyProtection="0"/>
    <xf numFmtId="0" fontId="73" fillId="8" borderId="93" applyNumberFormat="0" applyAlignment="0" applyProtection="0"/>
    <xf numFmtId="0" fontId="121" fillId="0" borderId="100" applyProtection="0">
      <alignment horizontal="centerContinuous"/>
    </xf>
    <xf numFmtId="0" fontId="31" fillId="0" borderId="94" applyNumberFormat="0" applyProtection="0">
      <alignment horizontal="left" vertical="center" indent="1"/>
    </xf>
    <xf numFmtId="4" fontId="36" fillId="0" borderId="94" applyNumberFormat="0" applyProtection="0">
      <alignment horizontal="right" vertical="center"/>
    </xf>
    <xf numFmtId="0" fontId="50" fillId="0" borderId="94" applyNumberFormat="0" applyProtection="0">
      <alignment horizontal="left" vertical="top" indent="1"/>
    </xf>
    <xf numFmtId="0" fontId="31" fillId="32" borderId="97" applyNumberFormat="0" applyFont="0" applyAlignment="0" applyProtection="0"/>
    <xf numFmtId="0" fontId="121" fillId="0" borderId="100" applyProtection="0">
      <alignment horizontal="centerContinuous"/>
    </xf>
    <xf numFmtId="0" fontId="31" fillId="0" borderId="96" applyFont="0" applyFill="0" applyBorder="0" applyAlignment="0" applyProtection="0"/>
    <xf numFmtId="10" fontId="43" fillId="23" borderId="94" applyNumberFormat="0" applyBorder="0" applyAlignment="0" applyProtection="0"/>
    <xf numFmtId="0" fontId="73" fillId="8" borderId="93" applyNumberFormat="0" applyAlignment="0" applyProtection="0"/>
    <xf numFmtId="0" fontId="73" fillId="8" borderId="93" applyNumberFormat="0" applyAlignment="0" applyProtection="0"/>
    <xf numFmtId="0" fontId="31" fillId="32" borderId="97" applyNumberFormat="0" applyFont="0" applyAlignment="0" applyProtection="0"/>
    <xf numFmtId="0" fontId="122" fillId="0" borderId="101" applyNumberFormat="0" applyFill="0" applyAlignment="0" applyProtection="0"/>
    <xf numFmtId="0" fontId="31" fillId="0" borderId="94" applyNumberFormat="0" applyProtection="0">
      <alignment horizontal="left" vertical="center" indent="1"/>
    </xf>
    <xf numFmtId="0" fontId="31" fillId="52" borderId="102" applyNumberFormat="0" applyProtection="0">
      <alignment horizontal="left" vertical="top" indent="1"/>
    </xf>
    <xf numFmtId="0" fontId="36" fillId="23" borderId="102" applyNumberFormat="0" applyProtection="0">
      <alignment horizontal="left" vertical="top" indent="1"/>
    </xf>
    <xf numFmtId="0" fontId="50" fillId="0" borderId="94" applyNumberFormat="0" applyProtection="0">
      <alignment horizontal="left" vertical="top" indent="1"/>
    </xf>
    <xf numFmtId="0" fontId="73" fillId="8" borderId="93" applyNumberFormat="0" applyAlignment="0" applyProtection="0"/>
    <xf numFmtId="0" fontId="91" fillId="26" borderId="98" applyNumberFormat="0" applyAlignment="0" applyProtection="0"/>
    <xf numFmtId="0" fontId="122" fillId="0" borderId="101" applyNumberFormat="0" applyFill="0" applyAlignment="0" applyProtection="0"/>
    <xf numFmtId="0" fontId="73" fillId="8" borderId="93" applyNumberFormat="0" applyAlignment="0" applyProtection="0"/>
    <xf numFmtId="0" fontId="91" fillId="26" borderId="98" applyNumberFormat="0" applyAlignment="0" applyProtection="0"/>
    <xf numFmtId="0" fontId="73" fillId="8" borderId="93" applyNumberFormat="0" applyAlignment="0" applyProtection="0"/>
    <xf numFmtId="10" fontId="43" fillId="23" borderId="94" applyNumberFormat="0" applyBorder="0" applyAlignment="0" applyProtection="0"/>
    <xf numFmtId="186" fontId="31" fillId="0" borderId="99">
      <protection locked="0"/>
    </xf>
    <xf numFmtId="10" fontId="43" fillId="23" borderId="94" applyNumberFormat="0" applyBorder="0" applyAlignment="0" applyProtection="0"/>
    <xf numFmtId="0" fontId="73" fillId="8" borderId="93" applyNumberFormat="0" applyAlignment="0" applyProtection="0"/>
    <xf numFmtId="0" fontId="73" fillId="8" borderId="93" applyNumberFormat="0" applyAlignment="0" applyProtection="0"/>
    <xf numFmtId="0" fontId="73" fillId="8" borderId="93" applyNumberFormat="0" applyAlignment="0" applyProtection="0"/>
    <xf numFmtId="0" fontId="80" fillId="0" borderId="96">
      <alignment horizontal="left" vertical="center"/>
    </xf>
    <xf numFmtId="10" fontId="43" fillId="23" borderId="94" applyNumberFormat="0" applyBorder="0" applyAlignment="0" applyProtection="0"/>
    <xf numFmtId="10" fontId="43" fillId="23" borderId="94" applyNumberFormat="0" applyBorder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141" fillId="32" borderId="97" applyNumberFormat="0" applyFont="0" applyAlignment="0" applyProtection="0"/>
    <xf numFmtId="0" fontId="31" fillId="0" borderId="94" applyNumberFormat="0" applyProtection="0">
      <alignment horizontal="left" vertical="center" indent="1"/>
    </xf>
    <xf numFmtId="4" fontId="36" fillId="0" borderId="94" applyNumberFormat="0" applyProtection="0">
      <alignment horizontal="right" vertical="center"/>
    </xf>
    <xf numFmtId="0" fontId="73" fillId="8" borderId="93" applyNumberFormat="0" applyAlignment="0" applyProtection="0"/>
    <xf numFmtId="0" fontId="80" fillId="0" borderId="96">
      <alignment horizontal="left" vertical="center"/>
    </xf>
    <xf numFmtId="10" fontId="43" fillId="23" borderId="94" applyNumberFormat="0" applyBorder="0" applyAlignment="0" applyProtection="0"/>
    <xf numFmtId="0" fontId="31" fillId="32" borderId="97" applyNumberFormat="0" applyFont="0" applyAlignment="0" applyProtection="0"/>
    <xf numFmtId="0" fontId="29" fillId="0" borderId="0"/>
    <xf numFmtId="40" fontId="64" fillId="23" borderId="94">
      <alignment vertical="center"/>
    </xf>
    <xf numFmtId="0" fontId="73" fillId="8" borderId="93" applyNumberFormat="0" applyAlignment="0" applyProtection="0"/>
    <xf numFmtId="0" fontId="73" fillId="8" borderId="93" applyNumberFormat="0" applyAlignment="0" applyProtection="0"/>
    <xf numFmtId="0" fontId="73" fillId="8" borderId="93" applyNumberFormat="0" applyAlignment="0" applyProtection="0"/>
    <xf numFmtId="0" fontId="49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91" fillId="26" borderId="98" applyNumberForma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4" fontId="50" fillId="0" borderId="102" applyNumberFormat="0" applyProtection="0">
      <alignment horizontal="left" vertical="center" indent="1"/>
    </xf>
    <xf numFmtId="4" fontId="36" fillId="19" borderId="102" applyNumberFormat="0" applyProtection="0">
      <alignment horizontal="right" vertical="center"/>
    </xf>
    <xf numFmtId="4" fontId="36" fillId="17" borderId="102" applyNumberFormat="0" applyProtection="0">
      <alignment horizontal="right" vertical="center"/>
    </xf>
    <xf numFmtId="4" fontId="36" fillId="12" borderId="102" applyNumberFormat="0" applyProtection="0">
      <alignment horizontal="right" vertical="center"/>
    </xf>
    <xf numFmtId="0" fontId="31" fillId="0" borderId="94" applyNumberFormat="0" applyProtection="0">
      <alignment horizontal="left" vertical="center" indent="1"/>
    </xf>
    <xf numFmtId="0" fontId="31" fillId="49" borderId="102" applyNumberFormat="0" applyProtection="0">
      <alignment horizontal="left" vertical="top" indent="1"/>
    </xf>
    <xf numFmtId="0" fontId="31" fillId="51" borderId="102" applyNumberFormat="0" applyProtection="0">
      <alignment horizontal="left" vertical="top" indent="1"/>
    </xf>
    <xf numFmtId="0" fontId="31" fillId="0" borderId="94" applyNumberFormat="0" applyProtection="0">
      <alignment horizontal="left" vertical="center" indent="1"/>
    </xf>
    <xf numFmtId="4" fontId="36" fillId="23" borderId="102" applyNumberFormat="0" applyProtection="0">
      <alignment vertical="center"/>
    </xf>
    <xf numFmtId="0" fontId="31" fillId="0" borderId="94" applyNumberFormat="0" applyProtection="0">
      <alignment horizontal="left" vertical="center" indent="1"/>
    </xf>
    <xf numFmtId="10" fontId="43" fillId="23" borderId="94" applyNumberFormat="0" applyBorder="0" applyAlignment="0" applyProtection="0"/>
    <xf numFmtId="0" fontId="73" fillId="8" borderId="93" applyNumberFormat="0" applyAlignment="0" applyProtection="0"/>
    <xf numFmtId="0" fontId="73" fillId="8" borderId="93" applyNumberFormat="0" applyAlignment="0" applyProtection="0"/>
    <xf numFmtId="0" fontId="73" fillId="8" borderId="93" applyNumberFormat="0" applyAlignment="0" applyProtection="0"/>
    <xf numFmtId="0" fontId="91" fillId="26" borderId="98" applyNumberFormat="0" applyAlignment="0" applyProtection="0"/>
    <xf numFmtId="0" fontId="65" fillId="26" borderId="93" applyNumberFormat="0" applyAlignment="0" applyProtection="0"/>
    <xf numFmtId="209" fontId="125" fillId="0" borderId="94" applyFont="0" applyFill="0" applyBorder="0" applyAlignment="0"/>
    <xf numFmtId="40" fontId="64" fillId="23" borderId="94">
      <alignment vertical="center"/>
    </xf>
    <xf numFmtId="10" fontId="43" fillId="23" borderId="94" applyNumberFormat="0" applyBorder="0" applyAlignment="0" applyProtection="0"/>
    <xf numFmtId="10" fontId="43" fillId="23" borderId="94" applyNumberFormat="0" applyBorder="0" applyAlignment="0" applyProtection="0"/>
    <xf numFmtId="0" fontId="49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0" borderId="94" applyNumberFormat="0" applyProtection="0">
      <alignment horizontal="left" vertical="center" indent="1"/>
    </xf>
    <xf numFmtId="0" fontId="31" fillId="0" borderId="94" applyNumberFormat="0" applyProtection="0">
      <alignment horizontal="left" vertical="center" indent="1"/>
    </xf>
    <xf numFmtId="0" fontId="31" fillId="0" borderId="94" applyNumberFormat="0" applyProtection="0">
      <alignment horizontal="left" vertical="center" indent="1"/>
    </xf>
    <xf numFmtId="0" fontId="121" fillId="0" borderId="100" applyProtection="0">
      <alignment horizontal="centerContinuous"/>
    </xf>
    <xf numFmtId="0" fontId="73" fillId="8" borderId="93" applyNumberFormat="0" applyAlignment="0" applyProtection="0"/>
    <xf numFmtId="0" fontId="65" fillId="26" borderId="93" applyNumberFormat="0" applyAlignment="0" applyProtection="0"/>
    <xf numFmtId="186" fontId="31" fillId="0" borderId="99">
      <protection locked="0"/>
    </xf>
    <xf numFmtId="0" fontId="73" fillId="8" borderId="93" applyNumberFormat="0" applyAlignment="0" applyProtection="0"/>
    <xf numFmtId="0" fontId="31" fillId="32" borderId="97" applyNumberFormat="0" applyFont="0" applyAlignment="0" applyProtection="0"/>
    <xf numFmtId="0" fontId="21" fillId="0" borderId="0"/>
    <xf numFmtId="0" fontId="21" fillId="0" borderId="0"/>
    <xf numFmtId="0" fontId="49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9" fontId="21" fillId="0" borderId="0" applyFont="0" applyFill="0" applyBorder="0" applyAlignment="0" applyProtection="0"/>
    <xf numFmtId="209" fontId="125" fillId="0" borderId="94" applyFont="0" applyFill="0" applyBorder="0" applyAlignment="0"/>
    <xf numFmtId="9" fontId="21" fillId="0" borderId="0" applyFont="0" applyFill="0" applyBorder="0" applyAlignment="0" applyProtection="0"/>
    <xf numFmtId="0" fontId="50" fillId="0" borderId="102" applyNumberFormat="0" applyProtection="0">
      <alignment horizontal="left" vertical="top" indent="1"/>
    </xf>
    <xf numFmtId="4" fontId="36" fillId="21" borderId="102" applyNumberFormat="0" applyProtection="0">
      <alignment horizontal="right" vertical="center"/>
    </xf>
    <xf numFmtId="0" fontId="31" fillId="52" borderId="102" applyNumberFormat="0" applyProtection="0">
      <alignment horizontal="left" vertical="center" indent="1"/>
    </xf>
    <xf numFmtId="4" fontId="132" fillId="23" borderId="102" applyNumberFormat="0" applyProtection="0">
      <alignment vertical="center"/>
    </xf>
    <xf numFmtId="4" fontId="132" fillId="0" borderId="102" applyNumberFormat="0" applyProtection="0">
      <alignment horizontal="right" vertical="center"/>
    </xf>
    <xf numFmtId="0" fontId="122" fillId="0" borderId="101" applyNumberFormat="0" applyFill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0" fontId="73" fillId="8" borderId="93" applyNumberFormat="0" applyAlignment="0" applyProtection="0"/>
    <xf numFmtId="0" fontId="141" fillId="32" borderId="97" applyNumberFormat="0" applyFont="0" applyAlignment="0" applyProtection="0"/>
    <xf numFmtId="10" fontId="43" fillId="23" borderId="94" applyNumberFormat="0" applyBorder="0" applyAlignment="0" applyProtection="0"/>
    <xf numFmtId="0" fontId="73" fillId="8" borderId="93" applyNumberFormat="0" applyAlignment="0" applyProtection="0"/>
    <xf numFmtId="4" fontId="36" fillId="0" borderId="103" applyNumberFormat="0" applyProtection="0">
      <alignment horizontal="left" vertical="center" indent="1"/>
    </xf>
    <xf numFmtId="0" fontId="73" fillId="8" borderId="93" applyNumberFormat="0" applyAlignment="0" applyProtection="0"/>
    <xf numFmtId="40" fontId="64" fillId="23" borderId="94">
      <alignment vertical="center"/>
    </xf>
    <xf numFmtId="10" fontId="43" fillId="23" borderId="94" applyNumberFormat="0" applyBorder="0" applyAlignment="0" applyProtection="0"/>
    <xf numFmtId="10" fontId="43" fillId="23" borderId="94" applyNumberFormat="0" applyBorder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186" fontId="31" fillId="0" borderId="91">
      <protection locked="0"/>
    </xf>
    <xf numFmtId="0" fontId="91" fillId="26" borderId="88" applyNumberFormat="0" applyAlignment="0" applyProtection="0"/>
    <xf numFmtId="0" fontId="73" fillId="8" borderId="86" applyNumberFormat="0" applyAlignment="0" applyProtection="0"/>
    <xf numFmtId="0" fontId="31" fillId="32" borderId="97" applyNumberFormat="0" applyFont="0" applyAlignment="0" applyProtection="0"/>
    <xf numFmtId="4" fontId="31" fillId="0" borderId="83" applyNumberFormat="0" applyProtection="0">
      <alignment horizontal="right" vertical="center"/>
    </xf>
    <xf numFmtId="0" fontId="36" fillId="23" borderId="83" applyNumberFormat="0" applyProtection="0">
      <alignment horizontal="left" vertical="top" indent="1"/>
    </xf>
    <xf numFmtId="0" fontId="31" fillId="52" borderId="83" applyNumberFormat="0" applyProtection="0">
      <alignment horizontal="left" vertical="top" indent="1"/>
    </xf>
    <xf numFmtId="0" fontId="31" fillId="22" borderId="83" applyNumberFormat="0" applyProtection="0">
      <alignment horizontal="left" vertical="top" indent="1"/>
    </xf>
    <xf numFmtId="4" fontId="36" fillId="20" borderId="83" applyNumberFormat="0" applyProtection="0">
      <alignment horizontal="right" vertical="center"/>
    </xf>
    <xf numFmtId="4" fontId="36" fillId="19" borderId="83" applyNumberFormat="0" applyProtection="0">
      <alignment horizontal="right" vertical="center"/>
    </xf>
    <xf numFmtId="0" fontId="50" fillId="0" borderId="83" applyNumberFormat="0" applyProtection="0">
      <alignment horizontal="left" vertical="top" indent="1"/>
    </xf>
    <xf numFmtId="209" fontId="125" fillId="0" borderId="94" applyFont="0" applyFill="0" applyBorder="0" applyAlignment="0"/>
    <xf numFmtId="0" fontId="31" fillId="0" borderId="94" applyNumberFormat="0" applyProtection="0">
      <alignment horizontal="left" vertical="center" indent="1"/>
    </xf>
    <xf numFmtId="0" fontId="31" fillId="0" borderId="96" applyFont="0" applyFill="0" applyBorder="0" applyAlignment="0" applyProtection="0"/>
    <xf numFmtId="10" fontId="43" fillId="23" borderId="94" applyNumberFormat="0" applyBorder="0" applyAlignment="0" applyProtection="0"/>
    <xf numFmtId="0" fontId="73" fillId="8" borderId="93" applyNumberFormat="0" applyAlignment="0" applyProtection="0"/>
    <xf numFmtId="4" fontId="36" fillId="11" borderId="102" applyNumberFormat="0" applyProtection="0">
      <alignment horizontal="right" vertical="center"/>
    </xf>
    <xf numFmtId="0" fontId="31" fillId="22" borderId="102" applyNumberFormat="0" applyProtection="0">
      <alignment horizontal="left" vertical="top" indent="1"/>
    </xf>
    <xf numFmtId="0" fontId="65" fillId="26" borderId="93" applyNumberFormat="0" applyAlignment="0" applyProtection="0"/>
    <xf numFmtId="0" fontId="31" fillId="32" borderId="97" applyNumberFormat="0" applyFont="0" applyAlignment="0" applyProtection="0"/>
    <xf numFmtId="0" fontId="73" fillId="8" borderId="93" applyNumberFormat="0" applyAlignment="0" applyProtection="0"/>
    <xf numFmtId="0" fontId="73" fillId="8" borderId="93" applyNumberFormat="0" applyAlignment="0" applyProtection="0"/>
    <xf numFmtId="0" fontId="91" fillId="26" borderId="98" applyNumberFormat="0" applyAlignment="0" applyProtection="0"/>
    <xf numFmtId="209" fontId="125" fillId="0" borderId="94" applyFont="0" applyFill="0" applyBorder="0" applyAlignment="0"/>
    <xf numFmtId="0" fontId="31" fillId="32" borderId="97" applyNumberFormat="0" applyFont="0" applyAlignment="0" applyProtection="0"/>
    <xf numFmtId="0" fontId="122" fillId="0" borderId="101" applyNumberFormat="0" applyFill="0" applyAlignment="0" applyProtection="0"/>
    <xf numFmtId="0" fontId="21" fillId="0" borderId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0" fontId="73" fillId="8" borderId="86" applyNumberFormat="0" applyAlignment="0" applyProtection="0"/>
    <xf numFmtId="40" fontId="64" fillId="23" borderId="85">
      <alignment vertical="center"/>
    </xf>
    <xf numFmtId="0" fontId="65" fillId="26" borderId="86" applyNumberFormat="0" applyAlignment="0" applyProtection="0"/>
    <xf numFmtId="0" fontId="65" fillId="26" borderId="86" applyNumberFormat="0" applyAlignment="0" applyProtection="0"/>
    <xf numFmtId="4" fontId="36" fillId="0" borderId="84" applyNumberFormat="0" applyProtection="0">
      <alignment horizontal="left" vertical="center" indent="1"/>
    </xf>
    <xf numFmtId="4" fontId="132" fillId="0" borderId="83" applyNumberFormat="0" applyProtection="0">
      <alignment horizontal="right" vertical="center"/>
    </xf>
    <xf numFmtId="0" fontId="49" fillId="32" borderId="97" applyNumberFormat="0" applyFont="0" applyAlignment="0" applyProtection="0"/>
    <xf numFmtId="0" fontId="31" fillId="0" borderId="94" applyNumberFormat="0" applyProtection="0">
      <alignment horizontal="left" vertical="center" indent="1"/>
    </xf>
    <xf numFmtId="0" fontId="31" fillId="0" borderId="96" applyFont="0" applyFill="0" applyBorder="0" applyAlignment="0" applyProtection="0"/>
    <xf numFmtId="0" fontId="65" fillId="26" borderId="93" applyNumberFormat="0" applyAlignment="0" applyProtection="0"/>
    <xf numFmtId="0" fontId="73" fillId="8" borderId="93" applyNumberFormat="0" applyAlignment="0" applyProtection="0"/>
    <xf numFmtId="0" fontId="31" fillId="32" borderId="97" applyNumberFormat="0" applyFont="0" applyAlignment="0" applyProtection="0"/>
    <xf numFmtId="4" fontId="130" fillId="29" borderId="102" applyNumberFormat="0" applyProtection="0">
      <alignment vertical="center"/>
    </xf>
    <xf numFmtId="4" fontId="36" fillId="20" borderId="102" applyNumberFormat="0" applyProtection="0">
      <alignment horizontal="right" vertical="center"/>
    </xf>
    <xf numFmtId="0" fontId="31" fillId="23" borderId="95" applyNumberFormat="0" applyFont="0" applyBorder="0" applyAlignment="0" applyProtection="0"/>
    <xf numFmtId="0" fontId="31" fillId="32" borderId="97" applyNumberFormat="0" applyFont="0" applyAlignment="0" applyProtection="0"/>
    <xf numFmtId="166" fontId="21" fillId="0" borderId="0" applyFont="0" applyFill="0" applyBorder="0" applyAlignment="0" applyProtection="0"/>
    <xf numFmtId="0" fontId="21" fillId="0" borderId="0">
      <alignment vertical="center"/>
    </xf>
    <xf numFmtId="4" fontId="31" fillId="0" borderId="102" applyNumberFormat="0" applyProtection="0">
      <alignment horizontal="right" vertical="center"/>
    </xf>
    <xf numFmtId="0" fontId="73" fillId="8" borderId="93" applyNumberFormat="0" applyAlignment="0" applyProtection="0"/>
    <xf numFmtId="0" fontId="73" fillId="8" borderId="93" applyNumberFormat="0" applyAlignment="0" applyProtection="0"/>
    <xf numFmtId="0" fontId="80" fillId="0" borderId="96">
      <alignment horizontal="left" vertical="center"/>
    </xf>
    <xf numFmtId="4" fontId="36" fillId="0" borderId="94" applyNumberFormat="0" applyProtection="0">
      <alignment horizontal="right" vertical="center"/>
    </xf>
    <xf numFmtId="0" fontId="50" fillId="0" borderId="94" applyNumberFormat="0" applyProtection="0">
      <alignment horizontal="left" vertical="top" indent="1"/>
    </xf>
    <xf numFmtId="0" fontId="21" fillId="0" borderId="0"/>
    <xf numFmtId="0" fontId="65" fillId="26" borderId="93" applyNumberFormat="0" applyAlignment="0" applyProtection="0"/>
    <xf numFmtId="0" fontId="65" fillId="26" borderId="93" applyNumberFormat="0" applyAlignment="0" applyProtection="0"/>
    <xf numFmtId="0" fontId="31" fillId="23" borderId="95" applyNumberFormat="0" applyFont="0" applyBorder="0" applyAlignment="0" applyProtection="0"/>
    <xf numFmtId="0" fontId="73" fillId="8" borderId="93" applyNumberFormat="0" applyAlignment="0" applyProtection="0"/>
    <xf numFmtId="0" fontId="31" fillId="32" borderId="97" applyNumberFormat="0" applyFont="0" applyAlignment="0" applyProtection="0"/>
    <xf numFmtId="0" fontId="91" fillId="26" borderId="98" applyNumberFormat="0" applyAlignment="0" applyProtection="0"/>
    <xf numFmtId="0" fontId="121" fillId="0" borderId="100" applyProtection="0">
      <alignment horizontal="centerContinuous"/>
    </xf>
    <xf numFmtId="166" fontId="21" fillId="0" borderId="0" applyFont="0" applyFill="0" applyBorder="0" applyAlignment="0" applyProtection="0"/>
    <xf numFmtId="4" fontId="36" fillId="4" borderId="102" applyNumberFormat="0" applyProtection="0">
      <alignment horizontal="right" vertical="center"/>
    </xf>
    <xf numFmtId="4" fontId="36" fillId="48" borderId="102" applyNumberFormat="0" applyProtection="0">
      <alignment horizontal="right" vertical="center"/>
    </xf>
    <xf numFmtId="4" fontId="36" fillId="50" borderId="102" applyNumberFormat="0" applyProtection="0">
      <alignment horizontal="right" vertical="center"/>
    </xf>
    <xf numFmtId="4" fontId="36" fillId="0" borderId="94" applyNumberFormat="0" applyProtection="0">
      <alignment horizontal="right" vertical="center"/>
    </xf>
    <xf numFmtId="0" fontId="31" fillId="0" borderId="96" applyFont="0" applyFill="0" applyBorder="0" applyAlignment="0" applyProtection="0"/>
    <xf numFmtId="10" fontId="43" fillId="23" borderId="94" applyNumberFormat="0" applyBorder="0" applyAlignment="0" applyProtection="0"/>
    <xf numFmtId="0" fontId="73" fillId="8" borderId="93" applyNumberFormat="0" applyAlignment="0" applyProtection="0"/>
    <xf numFmtId="0" fontId="73" fillId="8" borderId="93" applyNumberFormat="0" applyAlignment="0" applyProtection="0"/>
    <xf numFmtId="0" fontId="31" fillId="0" borderId="94" applyNumberFormat="0" applyProtection="0">
      <alignment horizontal="left" vertical="center" indent="1"/>
    </xf>
    <xf numFmtId="0" fontId="73" fillId="8" borderId="93" applyNumberFormat="0" applyAlignment="0" applyProtection="0"/>
    <xf numFmtId="0" fontId="73" fillId="8" borderId="93" applyNumberFormat="0" applyAlignment="0" applyProtection="0"/>
    <xf numFmtId="0" fontId="80" fillId="0" borderId="96">
      <alignment horizontal="left" vertical="center"/>
    </xf>
    <xf numFmtId="10" fontId="43" fillId="23" borderId="94" applyNumberFormat="0" applyBorder="0" applyAlignment="0" applyProtection="0"/>
    <xf numFmtId="10" fontId="43" fillId="23" borderId="94" applyNumberFormat="0" applyBorder="0" applyAlignment="0" applyProtection="0"/>
    <xf numFmtId="10" fontId="43" fillId="23" borderId="94" applyNumberFormat="0" applyBorder="0" applyAlignment="0" applyProtection="0"/>
    <xf numFmtId="10" fontId="43" fillId="23" borderId="94" applyNumberFormat="0" applyBorder="0" applyAlignment="0" applyProtection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141" fillId="32" borderId="76" applyNumberFormat="0" applyFont="0" applyAlignment="0" applyProtection="0"/>
    <xf numFmtId="0" fontId="21" fillId="0" borderId="0"/>
    <xf numFmtId="0" fontId="21" fillId="0" borderId="0"/>
    <xf numFmtId="0" fontId="21" fillId="0" borderId="0"/>
    <xf numFmtId="10" fontId="43" fillId="23" borderId="94" applyNumberFormat="0" applyBorder="0" applyAlignment="0" applyProtection="0"/>
    <xf numFmtId="0" fontId="73" fillId="8" borderId="93" applyNumberFormat="0" applyAlignment="0" applyProtection="0"/>
    <xf numFmtId="0" fontId="31" fillId="32" borderId="76" applyNumberFormat="0" applyFont="0" applyAlignment="0" applyProtection="0"/>
    <xf numFmtId="0" fontId="49" fillId="32" borderId="97" applyNumberFormat="0" applyFont="0" applyAlignment="0" applyProtection="0"/>
    <xf numFmtId="0" fontId="29" fillId="0" borderId="0"/>
    <xf numFmtId="0" fontId="73" fillId="8" borderId="93" applyNumberFormat="0" applyAlignment="0" applyProtection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" fontId="36" fillId="23" borderId="102" applyNumberFormat="0" applyProtection="0">
      <alignment horizontal="left" vertical="center" indent="1"/>
    </xf>
    <xf numFmtId="4" fontId="36" fillId="0" borderId="103" applyNumberFormat="0" applyProtection="0">
      <alignment horizontal="left" vertical="center" indent="1"/>
    </xf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40" fontId="64" fillId="23" borderId="94">
      <alignment vertical="center"/>
    </xf>
    <xf numFmtId="0" fontId="21" fillId="0" borderId="0"/>
    <xf numFmtId="166" fontId="21" fillId="0" borderId="0" applyFont="0" applyFill="0" applyBorder="0" applyAlignment="0" applyProtection="0"/>
    <xf numFmtId="0" fontId="21" fillId="0" borderId="0">
      <alignment vertical="center"/>
    </xf>
    <xf numFmtId="0" fontId="65" fillId="26" borderId="93" applyNumberFormat="0" applyAlignment="0" applyProtection="0"/>
    <xf numFmtId="0" fontId="49" fillId="32" borderId="97" applyNumberFormat="0" applyFont="0" applyAlignment="0" applyProtection="0"/>
    <xf numFmtId="0" fontId="21" fillId="0" borderId="0"/>
    <xf numFmtId="166" fontId="21" fillId="0" borderId="0" applyFont="0" applyFill="0" applyBorder="0" applyAlignment="0" applyProtection="0"/>
    <xf numFmtId="0" fontId="49" fillId="32" borderId="76" applyNumberFormat="0" applyFont="0" applyAlignment="0" applyProtection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10" fontId="43" fillId="23" borderId="94" applyNumberFormat="0" applyBorder="0" applyAlignment="0" applyProtection="0"/>
    <xf numFmtId="0" fontId="21" fillId="0" borderId="0"/>
    <xf numFmtId="0" fontId="21" fillId="0" borderId="0"/>
    <xf numFmtId="0" fontId="21" fillId="0" borderId="0"/>
    <xf numFmtId="0" fontId="29" fillId="0" borderId="0"/>
    <xf numFmtId="0" fontId="21" fillId="0" borderId="0"/>
    <xf numFmtId="209" fontId="125" fillId="0" borderId="74" applyFont="0" applyFill="0" applyBorder="0" applyAlignment="0"/>
    <xf numFmtId="40" fontId="64" fillId="23" borderId="74">
      <alignment vertical="center"/>
    </xf>
    <xf numFmtId="0" fontId="73" fillId="8" borderId="93" applyNumberFormat="0" applyAlignment="0" applyProtection="0"/>
    <xf numFmtId="0" fontId="80" fillId="0" borderId="81">
      <alignment horizontal="left" vertical="center"/>
    </xf>
    <xf numFmtId="0" fontId="80" fillId="0" borderId="81">
      <alignment horizontal="left" vertical="center"/>
    </xf>
    <xf numFmtId="10" fontId="43" fillId="23" borderId="74" applyNumberFormat="0" applyBorder="0" applyAlignment="0" applyProtection="0"/>
    <xf numFmtId="10" fontId="43" fillId="23" borderId="74" applyNumberFormat="0" applyBorder="0" applyAlignment="0" applyProtection="0"/>
    <xf numFmtId="10" fontId="43" fillId="23" borderId="74" applyNumberFormat="0" applyBorder="0" applyAlignment="0" applyProtection="0"/>
    <xf numFmtId="10" fontId="43" fillId="23" borderId="74" applyNumberFormat="0" applyBorder="0" applyAlignment="0" applyProtection="0"/>
    <xf numFmtId="10" fontId="43" fillId="23" borderId="74" applyNumberFormat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>
      <alignment vertical="center"/>
    </xf>
    <xf numFmtId="0" fontId="21" fillId="0" borderId="0">
      <alignment vertical="center"/>
    </xf>
    <xf numFmtId="0" fontId="21" fillId="0" borderId="0"/>
    <xf numFmtId="0" fontId="49" fillId="32" borderId="76" applyNumberFormat="0" applyFont="0" applyAlignment="0" applyProtection="0"/>
    <xf numFmtId="0" fontId="49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141" fillId="32" borderId="76" applyNumberFormat="0" applyFont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32" fillId="22" borderId="36" applyNumberFormat="0" applyFont="0" applyBorder="0" applyAlignment="0" applyProtection="0"/>
    <xf numFmtId="0" fontId="32" fillId="22" borderId="36" applyNumberFormat="0" applyFont="0" applyBorder="0" applyAlignment="0" applyProtection="0"/>
    <xf numFmtId="0" fontId="31" fillId="0" borderId="74" applyNumberFormat="0" applyProtection="0">
      <alignment horizontal="left" vertical="center" indent="1"/>
    </xf>
    <xf numFmtId="0" fontId="31" fillId="0" borderId="74" applyNumberFormat="0" applyProtection="0">
      <alignment horizontal="left" vertical="center" indent="1"/>
    </xf>
    <xf numFmtId="0" fontId="31" fillId="0" borderId="74" applyNumberFormat="0" applyProtection="0">
      <alignment horizontal="left" vertical="center" indent="1"/>
    </xf>
    <xf numFmtId="4" fontId="36" fillId="0" borderId="74" applyNumberFormat="0" applyProtection="0">
      <alignment horizontal="right" vertical="center"/>
    </xf>
    <xf numFmtId="0" fontId="50" fillId="0" borderId="74" applyNumberFormat="0" applyProtection="0">
      <alignment horizontal="left" vertical="top" indent="1"/>
    </xf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0" fontId="121" fillId="0" borderId="79" applyProtection="0">
      <alignment horizontal="centerContinuous"/>
    </xf>
    <xf numFmtId="0" fontId="121" fillId="0" borderId="79" applyProtection="0">
      <alignment horizontal="centerContinuous"/>
    </xf>
    <xf numFmtId="0" fontId="31" fillId="0" borderId="81" applyFont="0" applyFill="0" applyBorder="0" applyAlignment="0" applyProtection="0"/>
    <xf numFmtId="0" fontId="31" fillId="0" borderId="81" applyFont="0" applyFill="0" applyBorder="0" applyAlignment="0" applyProtection="0"/>
    <xf numFmtId="208" fontId="90" fillId="0" borderId="0" applyFill="0" applyBorder="0" applyProtection="0">
      <alignment horizontal="right"/>
      <protection locked="0"/>
    </xf>
    <xf numFmtId="211" fontId="90" fillId="0" borderId="0" applyFill="0" applyBorder="0" applyProtection="0">
      <alignment horizontal="right"/>
      <protection locked="0"/>
    </xf>
    <xf numFmtId="0" fontId="54" fillId="0" borderId="55" applyBorder="0"/>
    <xf numFmtId="0" fontId="54" fillId="0" borderId="55" applyBorder="0"/>
    <xf numFmtId="0" fontId="54" fillId="0" borderId="55" applyBorder="0"/>
    <xf numFmtId="0" fontId="54" fillId="0" borderId="55" applyBorder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166" fontId="3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3" fontId="86" fillId="2" borderId="55">
      <alignment horizontal="center"/>
    </xf>
    <xf numFmtId="3" fontId="86" fillId="2" borderId="55">
      <alignment horizontal="center"/>
    </xf>
    <xf numFmtId="3" fontId="86" fillId="2" borderId="55">
      <alignment horizontal="center"/>
    </xf>
    <xf numFmtId="3" fontId="86" fillId="2" borderId="55">
      <alignment horizontal="center"/>
    </xf>
    <xf numFmtId="0" fontId="42" fillId="0" borderId="0"/>
    <xf numFmtId="0" fontId="21" fillId="0" borderId="0"/>
    <xf numFmtId="0" fontId="21" fillId="0" borderId="0"/>
    <xf numFmtId="0" fontId="3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9" fillId="0" borderId="0"/>
    <xf numFmtId="0" fontId="29" fillId="0" borderId="0"/>
    <xf numFmtId="0" fontId="29" fillId="0" borderId="0"/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31" fillId="0" borderId="0"/>
    <xf numFmtId="0" fontId="31" fillId="0" borderId="0">
      <alignment vertical="top"/>
    </xf>
    <xf numFmtId="0" fontId="21" fillId="0" borderId="0"/>
    <xf numFmtId="0" fontId="31" fillId="0" borderId="0"/>
    <xf numFmtId="0" fontId="21" fillId="0" borderId="0"/>
    <xf numFmtId="0" fontId="21" fillId="0" borderId="0"/>
    <xf numFmtId="0" fontId="29" fillId="0" borderId="0"/>
    <xf numFmtId="0" fontId="21" fillId="0" borderId="0"/>
    <xf numFmtId="0" fontId="21" fillId="0" borderId="0"/>
    <xf numFmtId="0" fontId="31" fillId="0" borderId="0">
      <alignment vertical="top"/>
    </xf>
    <xf numFmtId="0" fontId="49" fillId="32" borderId="76" applyNumberFormat="0" applyFont="0" applyAlignment="0" applyProtection="0"/>
    <xf numFmtId="0" fontId="49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141" fillId="32" borderId="76" applyNumberFormat="0" applyFont="0" applyAlignment="0" applyProtection="0"/>
    <xf numFmtId="0" fontId="31" fillId="32" borderId="76" applyNumberFormat="0" applyFont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32" fillId="22" borderId="36" applyNumberFormat="0" applyFont="0" applyBorder="0" applyAlignment="0" applyProtection="0"/>
    <xf numFmtId="4" fontId="50" fillId="0" borderId="102" applyNumberFormat="0" applyProtection="0">
      <alignment vertical="center"/>
    </xf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7" fontId="4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86" fontId="31" fillId="0" borderId="80">
      <protection locked="0"/>
    </xf>
    <xf numFmtId="0" fontId="91" fillId="26" borderId="88" applyNumberFormat="0" applyAlignment="0" applyProtection="0"/>
    <xf numFmtId="0" fontId="91" fillId="26" borderId="88" applyNumberFormat="0" applyAlignment="0" applyProtection="0"/>
    <xf numFmtId="0" fontId="121" fillId="0" borderId="90" applyProtection="0">
      <alignment horizontal="centerContinuous"/>
    </xf>
    <xf numFmtId="0" fontId="122" fillId="0" borderId="89" applyNumberFormat="0" applyFill="0" applyAlignment="0" applyProtection="0"/>
    <xf numFmtId="209" fontId="125" fillId="0" borderId="85" applyFont="0" applyFill="0" applyBorder="0" applyAlignment="0"/>
    <xf numFmtId="0" fontId="31" fillId="0" borderId="85" applyNumberFormat="0" applyProtection="0">
      <alignment horizontal="left" vertical="center" indent="1"/>
    </xf>
    <xf numFmtId="0" fontId="31" fillId="0" borderId="85" applyNumberFormat="0" applyProtection="0">
      <alignment horizontal="left" vertical="center" indent="1"/>
    </xf>
    <xf numFmtId="0" fontId="31" fillId="0" borderId="85" applyNumberFormat="0" applyProtection="0">
      <alignment horizontal="left" vertical="center" indent="1"/>
    </xf>
    <xf numFmtId="4" fontId="36" fillId="0" borderId="85" applyNumberFormat="0" applyProtection="0">
      <alignment horizontal="right" vertical="center"/>
    </xf>
    <xf numFmtId="4" fontId="36" fillId="0" borderId="84" applyNumberFormat="0" applyProtection="0">
      <alignment horizontal="left" vertical="center" indent="1"/>
    </xf>
    <xf numFmtId="0" fontId="50" fillId="0" borderId="85" applyNumberFormat="0" applyProtection="0">
      <alignment horizontal="left" vertical="top" indent="1"/>
    </xf>
    <xf numFmtId="0" fontId="73" fillId="8" borderId="86" applyNumberFormat="0" applyAlignment="0" applyProtection="0"/>
    <xf numFmtId="0" fontId="65" fillId="26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209" fontId="125" fillId="0" borderId="85" applyFont="0" applyFill="0" applyBorder="0" applyAlignment="0"/>
    <xf numFmtId="209" fontId="125" fillId="0" borderId="85" applyFont="0" applyFill="0" applyBorder="0" applyAlignment="0"/>
    <xf numFmtId="40" fontId="64" fillId="23" borderId="85">
      <alignment vertical="center"/>
    </xf>
    <xf numFmtId="40" fontId="64" fillId="23" borderId="85">
      <alignment vertical="center"/>
    </xf>
    <xf numFmtId="0" fontId="80" fillId="0" borderId="92">
      <alignment horizontal="left" vertical="center"/>
    </xf>
    <xf numFmtId="0" fontId="80" fillId="0" borderId="92">
      <alignment horizontal="left" vertical="center"/>
    </xf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0" fontId="49" fillId="32" borderId="87" applyNumberFormat="0" applyFont="0" applyAlignment="0" applyProtection="0"/>
    <xf numFmtId="0" fontId="49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141" fillId="32" borderId="87" applyNumberFormat="0" applyFont="0" applyAlignment="0" applyProtection="0"/>
    <xf numFmtId="0" fontId="31" fillId="0" borderId="85" applyNumberFormat="0" applyProtection="0">
      <alignment horizontal="left" vertical="center" indent="1"/>
    </xf>
    <xf numFmtId="0" fontId="31" fillId="0" borderId="85" applyNumberFormat="0" applyProtection="0">
      <alignment horizontal="left" vertical="center" indent="1"/>
    </xf>
    <xf numFmtId="0" fontId="31" fillId="0" borderId="85" applyNumberFormat="0" applyProtection="0">
      <alignment horizontal="left" vertical="center" indent="1"/>
    </xf>
    <xf numFmtId="0" fontId="31" fillId="0" borderId="85" applyNumberFormat="0" applyProtection="0">
      <alignment horizontal="left" vertical="center" indent="1"/>
    </xf>
    <xf numFmtId="0" fontId="31" fillId="0" borderId="85" applyNumberFormat="0" applyProtection="0">
      <alignment horizontal="left" vertical="center" indent="1"/>
    </xf>
    <xf numFmtId="0" fontId="31" fillId="0" borderId="85" applyNumberFormat="0" applyProtection="0">
      <alignment horizontal="left" vertical="center" indent="1"/>
    </xf>
    <xf numFmtId="4" fontId="36" fillId="0" borderId="85" applyNumberFormat="0" applyProtection="0">
      <alignment horizontal="right" vertical="center"/>
    </xf>
    <xf numFmtId="4" fontId="36" fillId="0" borderId="85" applyNumberFormat="0" applyProtection="0">
      <alignment horizontal="right" vertical="center"/>
    </xf>
    <xf numFmtId="0" fontId="50" fillId="0" borderId="85" applyNumberFormat="0" applyProtection="0">
      <alignment horizontal="left" vertical="top" indent="1"/>
    </xf>
    <xf numFmtId="0" fontId="50" fillId="0" borderId="85" applyNumberFormat="0" applyProtection="0">
      <alignment horizontal="left" vertical="top" indent="1"/>
    </xf>
    <xf numFmtId="0" fontId="121" fillId="0" borderId="90" applyProtection="0">
      <alignment horizontal="centerContinuous"/>
    </xf>
    <xf numFmtId="0" fontId="121" fillId="0" borderId="90" applyProtection="0">
      <alignment horizontal="centerContinuous"/>
    </xf>
    <xf numFmtId="0" fontId="31" fillId="0" borderId="92" applyFont="0" applyFill="0" applyBorder="0" applyAlignment="0" applyProtection="0"/>
    <xf numFmtId="0" fontId="31" fillId="0" borderId="92" applyFont="0" applyFill="0" applyBorder="0" applyAlignment="0" applyProtection="0"/>
    <xf numFmtId="0" fontId="49" fillId="32" borderId="87" applyNumberFormat="0" applyFont="0" applyAlignment="0" applyProtection="0"/>
    <xf numFmtId="0" fontId="49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141" fillId="32" borderId="87" applyNumberFormat="0" applyFont="0" applyAlignment="0" applyProtection="0"/>
    <xf numFmtId="0" fontId="31" fillId="32" borderId="87" applyNumberFormat="0" applyFont="0" applyAlignment="0" applyProtection="0"/>
    <xf numFmtId="186" fontId="31" fillId="0" borderId="91">
      <protection locked="0"/>
    </xf>
    <xf numFmtId="0" fontId="49" fillId="32" borderId="97" applyNumberFormat="0" applyFont="0" applyAlignment="0" applyProtection="0"/>
    <xf numFmtId="0" fontId="49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141" fillId="32" borderId="97" applyNumberFormat="0" applyFont="0" applyAlignment="0" applyProtection="0"/>
    <xf numFmtId="0" fontId="31" fillId="32" borderId="97" applyNumberFormat="0" applyFont="0" applyAlignment="0" applyProtection="0"/>
    <xf numFmtId="186" fontId="31" fillId="0" borderId="99">
      <protection locked="0"/>
    </xf>
    <xf numFmtId="0" fontId="29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1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46" fillId="0" borderId="0" applyNumberFormat="0" applyFill="0" applyBorder="0" applyAlignment="0" applyProtection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1" fillId="0" borderId="0"/>
    <xf numFmtId="0" fontId="45" fillId="0" borderId="0">
      <alignment vertical="center"/>
    </xf>
    <xf numFmtId="0" fontId="45" fillId="0" borderId="0">
      <alignment vertical="center"/>
    </xf>
    <xf numFmtId="0" fontId="31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1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1" fillId="0" borderId="0"/>
    <xf numFmtId="0" fontId="31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1" fillId="0" borderId="0"/>
    <xf numFmtId="0" fontId="36" fillId="0" borderId="0">
      <alignment vertical="top"/>
    </xf>
    <xf numFmtId="0" fontId="31" fillId="0" borderId="0"/>
    <xf numFmtId="0" fontId="45" fillId="0" borderId="0">
      <alignment vertical="center"/>
    </xf>
    <xf numFmtId="0" fontId="45" fillId="0" borderId="0">
      <alignment vertical="center"/>
    </xf>
    <xf numFmtId="0" fontId="31" fillId="0" borderId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37" fontId="54" fillId="0" borderId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1" fillId="0" borderId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1" fillId="0" borderId="0"/>
    <xf numFmtId="0" fontId="36" fillId="0" borderId="0">
      <alignment vertical="top"/>
    </xf>
    <xf numFmtId="0" fontId="31" fillId="0" borderId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147" fillId="0" borderId="0"/>
    <xf numFmtId="0" fontId="147" fillId="0" borderId="0"/>
    <xf numFmtId="0" fontId="147" fillId="0" borderId="0"/>
    <xf numFmtId="0" fontId="147" fillId="0" borderId="0"/>
    <xf numFmtId="0" fontId="69" fillId="0" borderId="0"/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69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1" fillId="0" borderId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1" fillId="0" borderId="0"/>
    <xf numFmtId="0" fontId="36" fillId="0" borderId="0">
      <alignment vertical="top"/>
    </xf>
    <xf numFmtId="0" fontId="36" fillId="0" borderId="0">
      <alignment vertical="top"/>
    </xf>
    <xf numFmtId="0" fontId="31" fillId="0" borderId="0"/>
    <xf numFmtId="0" fontId="31" fillId="0" borderId="0"/>
    <xf numFmtId="0" fontId="31" fillId="0" borderId="0"/>
    <xf numFmtId="0" fontId="36" fillId="0" borderId="0">
      <alignment vertical="top"/>
    </xf>
    <xf numFmtId="0" fontId="139" fillId="0" borderId="0" applyFont="0" applyFill="0" applyBorder="0" applyAlignment="0" applyProtection="0"/>
    <xf numFmtId="0" fontId="139" fillId="0" borderId="0" applyFont="0" applyFill="0" applyBorder="0" applyAlignment="0" applyProtection="0"/>
    <xf numFmtId="9" fontId="31" fillId="53" borderId="0"/>
    <xf numFmtId="9" fontId="31" fillId="53" borderId="0"/>
    <xf numFmtId="9" fontId="31" fillId="53" borderId="0"/>
    <xf numFmtId="9" fontId="31" fillId="53" borderId="0"/>
    <xf numFmtId="191" fontId="62" fillId="0" borderId="0">
      <protection locked="0"/>
    </xf>
    <xf numFmtId="191" fontId="62" fillId="0" borderId="0">
      <protection locked="0"/>
    </xf>
    <xf numFmtId="191" fontId="62" fillId="0" borderId="0">
      <protection locked="0"/>
    </xf>
    <xf numFmtId="0" fontId="31" fillId="0" borderId="0"/>
    <xf numFmtId="0" fontId="31" fillId="0" borderId="0">
      <alignment horizontal="left"/>
    </xf>
    <xf numFmtId="0" fontId="31" fillId="0" borderId="0">
      <alignment horizontal="left"/>
    </xf>
    <xf numFmtId="0" fontId="31" fillId="0" borderId="0">
      <alignment horizontal="left"/>
    </xf>
    <xf numFmtId="0" fontId="31" fillId="0" borderId="0">
      <alignment horizontal="left"/>
    </xf>
    <xf numFmtId="0" fontId="148" fillId="0" borderId="0">
      <alignment horizontal="left"/>
    </xf>
    <xf numFmtId="3" fontId="48" fillId="2" borderId="0">
      <alignment horizontal="left"/>
    </xf>
    <xf numFmtId="3" fontId="48" fillId="2" borderId="0">
      <alignment horizontal="left"/>
    </xf>
    <xf numFmtId="0" fontId="149" fillId="3" borderId="0" applyNumberFormat="0" applyBorder="0" applyAlignment="0" applyProtection="0"/>
    <xf numFmtId="0" fontId="149" fillId="4" borderId="0" applyNumberFormat="0" applyBorder="0" applyAlignment="0" applyProtection="0"/>
    <xf numFmtId="0" fontId="149" fillId="5" borderId="0" applyNumberFormat="0" applyBorder="0" applyAlignment="0" applyProtection="0"/>
    <xf numFmtId="0" fontId="149" fillId="6" borderId="0" applyNumberFormat="0" applyBorder="0" applyAlignment="0" applyProtection="0"/>
    <xf numFmtId="0" fontId="149" fillId="7" borderId="0" applyNumberFormat="0" applyBorder="0" applyAlignment="0" applyProtection="0"/>
    <xf numFmtId="0" fontId="149" fillId="8" borderId="0" applyNumberFormat="0" applyBorder="0" applyAlignment="0" applyProtection="0"/>
    <xf numFmtId="219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19" fontId="49" fillId="3" borderId="0" applyNumberFormat="0" applyBorder="0" applyAlignment="0" applyProtection="0"/>
    <xf numFmtId="220" fontId="49" fillId="3" borderId="0" applyNumberFormat="0" applyBorder="0" applyAlignment="0" applyProtection="0"/>
    <xf numFmtId="219" fontId="49" fillId="3" borderId="0" applyNumberFormat="0" applyBorder="0" applyAlignment="0" applyProtection="0"/>
    <xf numFmtId="219" fontId="49" fillId="3" borderId="0" applyNumberFormat="0" applyBorder="0" applyAlignment="0" applyProtection="0"/>
    <xf numFmtId="219" fontId="49" fillId="3" borderId="0" applyNumberFormat="0" applyBorder="0" applyAlignment="0" applyProtection="0"/>
    <xf numFmtId="219" fontId="49" fillId="3" borderId="0" applyNumberFormat="0" applyBorder="0" applyAlignment="0" applyProtection="0"/>
    <xf numFmtId="219" fontId="49" fillId="3" borderId="0" applyNumberFormat="0" applyBorder="0" applyAlignment="0" applyProtection="0"/>
    <xf numFmtId="219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19" fontId="49" fillId="4" borderId="0" applyNumberFormat="0" applyBorder="0" applyAlignment="0" applyProtection="0"/>
    <xf numFmtId="220" fontId="49" fillId="4" borderId="0" applyNumberFormat="0" applyBorder="0" applyAlignment="0" applyProtection="0"/>
    <xf numFmtId="219" fontId="49" fillId="4" borderId="0" applyNumberFormat="0" applyBorder="0" applyAlignment="0" applyProtection="0"/>
    <xf numFmtId="219" fontId="49" fillId="4" borderId="0" applyNumberFormat="0" applyBorder="0" applyAlignment="0" applyProtection="0"/>
    <xf numFmtId="219" fontId="49" fillId="4" borderId="0" applyNumberFormat="0" applyBorder="0" applyAlignment="0" applyProtection="0"/>
    <xf numFmtId="219" fontId="49" fillId="4" borderId="0" applyNumberFormat="0" applyBorder="0" applyAlignment="0" applyProtection="0"/>
    <xf numFmtId="219" fontId="49" fillId="4" borderId="0" applyNumberFormat="0" applyBorder="0" applyAlignment="0" applyProtection="0"/>
    <xf numFmtId="219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19" fontId="49" fillId="5" borderId="0" applyNumberFormat="0" applyBorder="0" applyAlignment="0" applyProtection="0"/>
    <xf numFmtId="220" fontId="49" fillId="5" borderId="0" applyNumberFormat="0" applyBorder="0" applyAlignment="0" applyProtection="0"/>
    <xf numFmtId="219" fontId="49" fillId="5" borderId="0" applyNumberFormat="0" applyBorder="0" applyAlignment="0" applyProtection="0"/>
    <xf numFmtId="219" fontId="49" fillId="5" borderId="0" applyNumberFormat="0" applyBorder="0" applyAlignment="0" applyProtection="0"/>
    <xf numFmtId="219" fontId="49" fillId="5" borderId="0" applyNumberFormat="0" applyBorder="0" applyAlignment="0" applyProtection="0"/>
    <xf numFmtId="219" fontId="49" fillId="5" borderId="0" applyNumberFormat="0" applyBorder="0" applyAlignment="0" applyProtection="0"/>
    <xf numFmtId="219" fontId="49" fillId="5" borderId="0" applyNumberFormat="0" applyBorder="0" applyAlignment="0" applyProtection="0"/>
    <xf numFmtId="219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19" fontId="49" fillId="6" borderId="0" applyNumberFormat="0" applyBorder="0" applyAlignment="0" applyProtection="0"/>
    <xf numFmtId="220" fontId="49" fillId="6" borderId="0" applyNumberFormat="0" applyBorder="0" applyAlignment="0" applyProtection="0"/>
    <xf numFmtId="219" fontId="49" fillId="6" borderId="0" applyNumberFormat="0" applyBorder="0" applyAlignment="0" applyProtection="0"/>
    <xf numFmtId="219" fontId="49" fillId="6" borderId="0" applyNumberFormat="0" applyBorder="0" applyAlignment="0" applyProtection="0"/>
    <xf numFmtId="219" fontId="49" fillId="6" borderId="0" applyNumberFormat="0" applyBorder="0" applyAlignment="0" applyProtection="0"/>
    <xf numFmtId="219" fontId="49" fillId="6" borderId="0" applyNumberFormat="0" applyBorder="0" applyAlignment="0" applyProtection="0"/>
    <xf numFmtId="219" fontId="49" fillId="6" borderId="0" applyNumberFormat="0" applyBorder="0" applyAlignment="0" applyProtection="0"/>
    <xf numFmtId="219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19" fontId="49" fillId="7" borderId="0" applyNumberFormat="0" applyBorder="0" applyAlignment="0" applyProtection="0"/>
    <xf numFmtId="220" fontId="49" fillId="7" borderId="0" applyNumberFormat="0" applyBorder="0" applyAlignment="0" applyProtection="0"/>
    <xf numFmtId="219" fontId="49" fillId="7" borderId="0" applyNumberFormat="0" applyBorder="0" applyAlignment="0" applyProtection="0"/>
    <xf numFmtId="219" fontId="49" fillId="7" borderId="0" applyNumberFormat="0" applyBorder="0" applyAlignment="0" applyProtection="0"/>
    <xf numFmtId="219" fontId="49" fillId="7" borderId="0" applyNumberFormat="0" applyBorder="0" applyAlignment="0" applyProtection="0"/>
    <xf numFmtId="219" fontId="49" fillId="7" borderId="0" applyNumberFormat="0" applyBorder="0" applyAlignment="0" applyProtection="0"/>
    <xf numFmtId="219" fontId="49" fillId="7" borderId="0" applyNumberFormat="0" applyBorder="0" applyAlignment="0" applyProtection="0"/>
    <xf numFmtId="219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19" fontId="49" fillId="8" borderId="0" applyNumberFormat="0" applyBorder="0" applyAlignment="0" applyProtection="0"/>
    <xf numFmtId="220" fontId="49" fillId="8" borderId="0" applyNumberFormat="0" applyBorder="0" applyAlignment="0" applyProtection="0"/>
    <xf numFmtId="219" fontId="49" fillId="8" borderId="0" applyNumberFormat="0" applyBorder="0" applyAlignment="0" applyProtection="0"/>
    <xf numFmtId="219" fontId="49" fillId="8" borderId="0" applyNumberFormat="0" applyBorder="0" applyAlignment="0" applyProtection="0"/>
    <xf numFmtId="219" fontId="49" fillId="8" borderId="0" applyNumberFormat="0" applyBorder="0" applyAlignment="0" applyProtection="0"/>
    <xf numFmtId="219" fontId="49" fillId="8" borderId="0" applyNumberFormat="0" applyBorder="0" applyAlignment="0" applyProtection="0"/>
    <xf numFmtId="219" fontId="49" fillId="8" borderId="0" applyNumberFormat="0" applyBorder="0" applyAlignment="0" applyProtection="0"/>
    <xf numFmtId="219" fontId="49" fillId="3" borderId="0" applyNumberFormat="0" applyBorder="0" applyAlignment="0" applyProtection="0"/>
    <xf numFmtId="219" fontId="49" fillId="3" borderId="0" applyNumberFormat="0" applyBorder="0" applyAlignment="0" applyProtection="0"/>
    <xf numFmtId="219" fontId="49" fillId="3" borderId="0" applyNumberFormat="0" applyBorder="0" applyAlignment="0" applyProtection="0"/>
    <xf numFmtId="219" fontId="49" fillId="3" borderId="0" applyNumberFormat="0" applyBorder="0" applyAlignment="0" applyProtection="0"/>
    <xf numFmtId="219" fontId="49" fillId="3" borderId="0" applyNumberFormat="0" applyBorder="0" applyAlignment="0" applyProtection="0"/>
    <xf numFmtId="219" fontId="49" fillId="3" borderId="0" applyNumberFormat="0" applyBorder="0" applyAlignment="0" applyProtection="0"/>
    <xf numFmtId="219" fontId="49" fillId="3" borderId="0" applyNumberFormat="0" applyBorder="0" applyAlignment="0" applyProtection="0"/>
    <xf numFmtId="219" fontId="49" fillId="3" borderId="0" applyNumberFormat="0" applyBorder="0" applyAlignment="0" applyProtection="0"/>
    <xf numFmtId="219" fontId="49" fillId="3" borderId="0" applyNumberFormat="0" applyBorder="0" applyAlignment="0" applyProtection="0"/>
    <xf numFmtId="219" fontId="49" fillId="3" borderId="0" applyNumberFormat="0" applyBorder="0" applyAlignment="0" applyProtection="0"/>
    <xf numFmtId="219" fontId="49" fillId="3" borderId="0" applyNumberFormat="0" applyBorder="0" applyAlignment="0" applyProtection="0"/>
    <xf numFmtId="220" fontId="49" fillId="3" borderId="0" applyNumberFormat="0" applyBorder="0" applyAlignment="0" applyProtection="0"/>
    <xf numFmtId="219" fontId="49" fillId="3" borderId="0" applyNumberFormat="0" applyBorder="0" applyAlignment="0" applyProtection="0"/>
    <xf numFmtId="219" fontId="49" fillId="3" borderId="0" applyNumberFormat="0" applyBorder="0" applyAlignment="0" applyProtection="0"/>
    <xf numFmtId="220" fontId="49" fillId="3" borderId="0" applyNumberFormat="0" applyBorder="0" applyAlignment="0" applyProtection="0"/>
    <xf numFmtId="219" fontId="49" fillId="3" borderId="0" applyNumberFormat="0" applyBorder="0" applyAlignment="0" applyProtection="0"/>
    <xf numFmtId="219" fontId="49" fillId="3" borderId="0" applyNumberFormat="0" applyBorder="0" applyAlignment="0" applyProtection="0"/>
    <xf numFmtId="219" fontId="49" fillId="3" borderId="0" applyNumberFormat="0" applyBorder="0" applyAlignment="0" applyProtection="0"/>
    <xf numFmtId="219" fontId="49" fillId="3" borderId="0" applyNumberFormat="0" applyBorder="0" applyAlignment="0" applyProtection="0"/>
    <xf numFmtId="220" fontId="49" fillId="3" borderId="0" applyNumberFormat="0" applyBorder="0" applyAlignment="0" applyProtection="0"/>
    <xf numFmtId="219" fontId="49" fillId="3" borderId="0" applyNumberFormat="0" applyBorder="0" applyAlignment="0" applyProtection="0"/>
    <xf numFmtId="219" fontId="49" fillId="3" borderId="0" applyNumberFormat="0" applyBorder="0" applyAlignment="0" applyProtection="0"/>
    <xf numFmtId="219" fontId="49" fillId="3" borderId="0" applyNumberFormat="0" applyBorder="0" applyAlignment="0" applyProtection="0"/>
    <xf numFmtId="219" fontId="49" fillId="3" borderId="0" applyNumberFormat="0" applyBorder="0" applyAlignment="0" applyProtection="0"/>
    <xf numFmtId="219" fontId="49" fillId="3" borderId="0" applyNumberFormat="0" applyBorder="0" applyAlignment="0" applyProtection="0"/>
    <xf numFmtId="219" fontId="49" fillId="3" borderId="0" applyNumberFormat="0" applyBorder="0" applyAlignment="0" applyProtection="0"/>
    <xf numFmtId="219" fontId="49" fillId="4" borderId="0" applyNumberFormat="0" applyBorder="0" applyAlignment="0" applyProtection="0"/>
    <xf numFmtId="219" fontId="49" fillId="4" borderId="0" applyNumberFormat="0" applyBorder="0" applyAlignment="0" applyProtection="0"/>
    <xf numFmtId="219" fontId="49" fillId="4" borderId="0" applyNumberFormat="0" applyBorder="0" applyAlignment="0" applyProtection="0"/>
    <xf numFmtId="219" fontId="49" fillId="4" borderId="0" applyNumberFormat="0" applyBorder="0" applyAlignment="0" applyProtection="0"/>
    <xf numFmtId="219" fontId="49" fillId="4" borderId="0" applyNumberFormat="0" applyBorder="0" applyAlignment="0" applyProtection="0"/>
    <xf numFmtId="219" fontId="49" fillId="4" borderId="0" applyNumberFormat="0" applyBorder="0" applyAlignment="0" applyProtection="0"/>
    <xf numFmtId="219" fontId="49" fillId="4" borderId="0" applyNumberFormat="0" applyBorder="0" applyAlignment="0" applyProtection="0"/>
    <xf numFmtId="219" fontId="49" fillId="4" borderId="0" applyNumberFormat="0" applyBorder="0" applyAlignment="0" applyProtection="0"/>
    <xf numFmtId="219" fontId="49" fillId="4" borderId="0" applyNumberFormat="0" applyBorder="0" applyAlignment="0" applyProtection="0"/>
    <xf numFmtId="219" fontId="49" fillId="4" borderId="0" applyNumberFormat="0" applyBorder="0" applyAlignment="0" applyProtection="0"/>
    <xf numFmtId="219" fontId="49" fillId="4" borderId="0" applyNumberFormat="0" applyBorder="0" applyAlignment="0" applyProtection="0"/>
    <xf numFmtId="220" fontId="49" fillId="4" borderId="0" applyNumberFormat="0" applyBorder="0" applyAlignment="0" applyProtection="0"/>
    <xf numFmtId="219" fontId="49" fillId="4" borderId="0" applyNumberFormat="0" applyBorder="0" applyAlignment="0" applyProtection="0"/>
    <xf numFmtId="219" fontId="49" fillId="4" borderId="0" applyNumberFormat="0" applyBorder="0" applyAlignment="0" applyProtection="0"/>
    <xf numFmtId="220" fontId="49" fillId="4" borderId="0" applyNumberFormat="0" applyBorder="0" applyAlignment="0" applyProtection="0"/>
    <xf numFmtId="219" fontId="49" fillId="4" borderId="0" applyNumberFormat="0" applyBorder="0" applyAlignment="0" applyProtection="0"/>
    <xf numFmtId="219" fontId="49" fillId="4" borderId="0" applyNumberFormat="0" applyBorder="0" applyAlignment="0" applyProtection="0"/>
    <xf numFmtId="219" fontId="49" fillId="4" borderId="0" applyNumberFormat="0" applyBorder="0" applyAlignment="0" applyProtection="0"/>
    <xf numFmtId="219" fontId="49" fillId="4" borderId="0" applyNumberFormat="0" applyBorder="0" applyAlignment="0" applyProtection="0"/>
    <xf numFmtId="220" fontId="49" fillId="4" borderId="0" applyNumberFormat="0" applyBorder="0" applyAlignment="0" applyProtection="0"/>
    <xf numFmtId="219" fontId="49" fillId="4" borderId="0" applyNumberFormat="0" applyBorder="0" applyAlignment="0" applyProtection="0"/>
    <xf numFmtId="219" fontId="49" fillId="4" borderId="0" applyNumberFormat="0" applyBorder="0" applyAlignment="0" applyProtection="0"/>
    <xf numFmtId="219" fontId="49" fillId="4" borderId="0" applyNumberFormat="0" applyBorder="0" applyAlignment="0" applyProtection="0"/>
    <xf numFmtId="219" fontId="49" fillId="4" borderId="0" applyNumberFormat="0" applyBorder="0" applyAlignment="0" applyProtection="0"/>
    <xf numFmtId="219" fontId="49" fillId="4" borderId="0" applyNumberFormat="0" applyBorder="0" applyAlignment="0" applyProtection="0"/>
    <xf numFmtId="219" fontId="49" fillId="4" borderId="0" applyNumberFormat="0" applyBorder="0" applyAlignment="0" applyProtection="0"/>
    <xf numFmtId="219" fontId="49" fillId="5" borderId="0" applyNumberFormat="0" applyBorder="0" applyAlignment="0" applyProtection="0"/>
    <xf numFmtId="219" fontId="49" fillId="5" borderId="0" applyNumberFormat="0" applyBorder="0" applyAlignment="0" applyProtection="0"/>
    <xf numFmtId="219" fontId="49" fillId="5" borderId="0" applyNumberFormat="0" applyBorder="0" applyAlignment="0" applyProtection="0"/>
    <xf numFmtId="219" fontId="49" fillId="5" borderId="0" applyNumberFormat="0" applyBorder="0" applyAlignment="0" applyProtection="0"/>
    <xf numFmtId="219" fontId="49" fillId="5" borderId="0" applyNumberFormat="0" applyBorder="0" applyAlignment="0" applyProtection="0"/>
    <xf numFmtId="219" fontId="49" fillId="5" borderId="0" applyNumberFormat="0" applyBorder="0" applyAlignment="0" applyProtection="0"/>
    <xf numFmtId="219" fontId="49" fillId="5" borderId="0" applyNumberFormat="0" applyBorder="0" applyAlignment="0" applyProtection="0"/>
    <xf numFmtId="219" fontId="49" fillId="5" borderId="0" applyNumberFormat="0" applyBorder="0" applyAlignment="0" applyProtection="0"/>
    <xf numFmtId="219" fontId="49" fillId="5" borderId="0" applyNumberFormat="0" applyBorder="0" applyAlignment="0" applyProtection="0"/>
    <xf numFmtId="219" fontId="49" fillId="5" borderId="0" applyNumberFormat="0" applyBorder="0" applyAlignment="0" applyProtection="0"/>
    <xf numFmtId="219" fontId="49" fillId="5" borderId="0" applyNumberFormat="0" applyBorder="0" applyAlignment="0" applyProtection="0"/>
    <xf numFmtId="220" fontId="49" fillId="5" borderId="0" applyNumberFormat="0" applyBorder="0" applyAlignment="0" applyProtection="0"/>
    <xf numFmtId="219" fontId="49" fillId="5" borderId="0" applyNumberFormat="0" applyBorder="0" applyAlignment="0" applyProtection="0"/>
    <xf numFmtId="219" fontId="49" fillId="5" borderId="0" applyNumberFormat="0" applyBorder="0" applyAlignment="0" applyProtection="0"/>
    <xf numFmtId="220" fontId="49" fillId="5" borderId="0" applyNumberFormat="0" applyBorder="0" applyAlignment="0" applyProtection="0"/>
    <xf numFmtId="219" fontId="49" fillId="5" borderId="0" applyNumberFormat="0" applyBorder="0" applyAlignment="0" applyProtection="0"/>
    <xf numFmtId="219" fontId="49" fillId="5" borderId="0" applyNumberFormat="0" applyBorder="0" applyAlignment="0" applyProtection="0"/>
    <xf numFmtId="219" fontId="49" fillId="5" borderId="0" applyNumberFormat="0" applyBorder="0" applyAlignment="0" applyProtection="0"/>
    <xf numFmtId="219" fontId="49" fillId="5" borderId="0" applyNumberFormat="0" applyBorder="0" applyAlignment="0" applyProtection="0"/>
    <xf numFmtId="220" fontId="49" fillId="5" borderId="0" applyNumberFormat="0" applyBorder="0" applyAlignment="0" applyProtection="0"/>
    <xf numFmtId="219" fontId="49" fillId="5" borderId="0" applyNumberFormat="0" applyBorder="0" applyAlignment="0" applyProtection="0"/>
    <xf numFmtId="219" fontId="49" fillId="5" borderId="0" applyNumberFormat="0" applyBorder="0" applyAlignment="0" applyProtection="0"/>
    <xf numFmtId="219" fontId="49" fillId="5" borderId="0" applyNumberFormat="0" applyBorder="0" applyAlignment="0" applyProtection="0"/>
    <xf numFmtId="219" fontId="49" fillId="5" borderId="0" applyNumberFormat="0" applyBorder="0" applyAlignment="0" applyProtection="0"/>
    <xf numFmtId="219" fontId="49" fillId="5" borderId="0" applyNumberFormat="0" applyBorder="0" applyAlignment="0" applyProtection="0"/>
    <xf numFmtId="219" fontId="49" fillId="5" borderId="0" applyNumberFormat="0" applyBorder="0" applyAlignment="0" applyProtection="0"/>
    <xf numFmtId="219" fontId="49" fillId="6" borderId="0" applyNumberFormat="0" applyBorder="0" applyAlignment="0" applyProtection="0"/>
    <xf numFmtId="219" fontId="49" fillId="6" borderId="0" applyNumberFormat="0" applyBorder="0" applyAlignment="0" applyProtection="0"/>
    <xf numFmtId="219" fontId="49" fillId="6" borderId="0" applyNumberFormat="0" applyBorder="0" applyAlignment="0" applyProtection="0"/>
    <xf numFmtId="219" fontId="49" fillId="6" borderId="0" applyNumberFormat="0" applyBorder="0" applyAlignment="0" applyProtection="0"/>
    <xf numFmtId="219" fontId="49" fillId="6" borderId="0" applyNumberFormat="0" applyBorder="0" applyAlignment="0" applyProtection="0"/>
    <xf numFmtId="219" fontId="49" fillId="6" borderId="0" applyNumberFormat="0" applyBorder="0" applyAlignment="0" applyProtection="0"/>
    <xf numFmtId="219" fontId="49" fillId="6" borderId="0" applyNumberFormat="0" applyBorder="0" applyAlignment="0" applyProtection="0"/>
    <xf numFmtId="219" fontId="49" fillId="6" borderId="0" applyNumberFormat="0" applyBorder="0" applyAlignment="0" applyProtection="0"/>
    <xf numFmtId="219" fontId="49" fillId="6" borderId="0" applyNumberFormat="0" applyBorder="0" applyAlignment="0" applyProtection="0"/>
    <xf numFmtId="219" fontId="49" fillId="6" borderId="0" applyNumberFormat="0" applyBorder="0" applyAlignment="0" applyProtection="0"/>
    <xf numFmtId="219" fontId="49" fillId="6" borderId="0" applyNumberFormat="0" applyBorder="0" applyAlignment="0" applyProtection="0"/>
    <xf numFmtId="220" fontId="49" fillId="6" borderId="0" applyNumberFormat="0" applyBorder="0" applyAlignment="0" applyProtection="0"/>
    <xf numFmtId="219" fontId="49" fillId="6" borderId="0" applyNumberFormat="0" applyBorder="0" applyAlignment="0" applyProtection="0"/>
    <xf numFmtId="219" fontId="49" fillId="6" borderId="0" applyNumberFormat="0" applyBorder="0" applyAlignment="0" applyProtection="0"/>
    <xf numFmtId="220" fontId="49" fillId="6" borderId="0" applyNumberFormat="0" applyBorder="0" applyAlignment="0" applyProtection="0"/>
    <xf numFmtId="219" fontId="49" fillId="6" borderId="0" applyNumberFormat="0" applyBorder="0" applyAlignment="0" applyProtection="0"/>
    <xf numFmtId="219" fontId="49" fillId="6" borderId="0" applyNumberFormat="0" applyBorder="0" applyAlignment="0" applyProtection="0"/>
    <xf numFmtId="219" fontId="49" fillId="6" borderId="0" applyNumberFormat="0" applyBorder="0" applyAlignment="0" applyProtection="0"/>
    <xf numFmtId="219" fontId="49" fillId="6" borderId="0" applyNumberFormat="0" applyBorder="0" applyAlignment="0" applyProtection="0"/>
    <xf numFmtId="220" fontId="49" fillId="6" borderId="0" applyNumberFormat="0" applyBorder="0" applyAlignment="0" applyProtection="0"/>
    <xf numFmtId="219" fontId="49" fillId="6" borderId="0" applyNumberFormat="0" applyBorder="0" applyAlignment="0" applyProtection="0"/>
    <xf numFmtId="219" fontId="49" fillId="6" borderId="0" applyNumberFormat="0" applyBorder="0" applyAlignment="0" applyProtection="0"/>
    <xf numFmtId="219" fontId="49" fillId="6" borderId="0" applyNumberFormat="0" applyBorder="0" applyAlignment="0" applyProtection="0"/>
    <xf numFmtId="219" fontId="49" fillId="6" borderId="0" applyNumberFormat="0" applyBorder="0" applyAlignment="0" applyProtection="0"/>
    <xf numFmtId="219" fontId="49" fillId="6" borderId="0" applyNumberFormat="0" applyBorder="0" applyAlignment="0" applyProtection="0"/>
    <xf numFmtId="219" fontId="49" fillId="6" borderId="0" applyNumberFormat="0" applyBorder="0" applyAlignment="0" applyProtection="0"/>
    <xf numFmtId="219" fontId="49" fillId="7" borderId="0" applyNumberFormat="0" applyBorder="0" applyAlignment="0" applyProtection="0"/>
    <xf numFmtId="219" fontId="49" fillId="7" borderId="0" applyNumberFormat="0" applyBorder="0" applyAlignment="0" applyProtection="0"/>
    <xf numFmtId="219" fontId="49" fillId="7" borderId="0" applyNumberFormat="0" applyBorder="0" applyAlignment="0" applyProtection="0"/>
    <xf numFmtId="219" fontId="49" fillId="7" borderId="0" applyNumberFormat="0" applyBorder="0" applyAlignment="0" applyProtection="0"/>
    <xf numFmtId="219" fontId="49" fillId="7" borderId="0" applyNumberFormat="0" applyBorder="0" applyAlignment="0" applyProtection="0"/>
    <xf numFmtId="219" fontId="49" fillId="7" borderId="0" applyNumberFormat="0" applyBorder="0" applyAlignment="0" applyProtection="0"/>
    <xf numFmtId="219" fontId="49" fillId="7" borderId="0" applyNumberFormat="0" applyBorder="0" applyAlignment="0" applyProtection="0"/>
    <xf numFmtId="219" fontId="49" fillId="7" borderId="0" applyNumberFormat="0" applyBorder="0" applyAlignment="0" applyProtection="0"/>
    <xf numFmtId="219" fontId="49" fillId="7" borderId="0" applyNumberFormat="0" applyBorder="0" applyAlignment="0" applyProtection="0"/>
    <xf numFmtId="219" fontId="49" fillId="7" borderId="0" applyNumberFormat="0" applyBorder="0" applyAlignment="0" applyProtection="0"/>
    <xf numFmtId="219" fontId="49" fillId="7" borderId="0" applyNumberFormat="0" applyBorder="0" applyAlignment="0" applyProtection="0"/>
    <xf numFmtId="220" fontId="49" fillId="7" borderId="0" applyNumberFormat="0" applyBorder="0" applyAlignment="0" applyProtection="0"/>
    <xf numFmtId="219" fontId="49" fillId="7" borderId="0" applyNumberFormat="0" applyBorder="0" applyAlignment="0" applyProtection="0"/>
    <xf numFmtId="219" fontId="49" fillId="7" borderId="0" applyNumberFormat="0" applyBorder="0" applyAlignment="0" applyProtection="0"/>
    <xf numFmtId="220" fontId="49" fillId="7" borderId="0" applyNumberFormat="0" applyBorder="0" applyAlignment="0" applyProtection="0"/>
    <xf numFmtId="219" fontId="49" fillId="7" borderId="0" applyNumberFormat="0" applyBorder="0" applyAlignment="0" applyProtection="0"/>
    <xf numFmtId="219" fontId="49" fillId="7" borderId="0" applyNumberFormat="0" applyBorder="0" applyAlignment="0" applyProtection="0"/>
    <xf numFmtId="219" fontId="49" fillId="7" borderId="0" applyNumberFormat="0" applyBorder="0" applyAlignment="0" applyProtection="0"/>
    <xf numFmtId="219" fontId="49" fillId="7" borderId="0" applyNumberFormat="0" applyBorder="0" applyAlignment="0" applyProtection="0"/>
    <xf numFmtId="220" fontId="49" fillId="7" borderId="0" applyNumberFormat="0" applyBorder="0" applyAlignment="0" applyProtection="0"/>
    <xf numFmtId="219" fontId="49" fillId="7" borderId="0" applyNumberFormat="0" applyBorder="0" applyAlignment="0" applyProtection="0"/>
    <xf numFmtId="219" fontId="49" fillId="7" borderId="0" applyNumberFormat="0" applyBorder="0" applyAlignment="0" applyProtection="0"/>
    <xf numFmtId="219" fontId="49" fillId="7" borderId="0" applyNumberFormat="0" applyBorder="0" applyAlignment="0" applyProtection="0"/>
    <xf numFmtId="219" fontId="49" fillId="7" borderId="0" applyNumberFormat="0" applyBorder="0" applyAlignment="0" applyProtection="0"/>
    <xf numFmtId="219" fontId="49" fillId="7" borderId="0" applyNumberFormat="0" applyBorder="0" applyAlignment="0" applyProtection="0"/>
    <xf numFmtId="219" fontId="49" fillId="7" borderId="0" applyNumberFormat="0" applyBorder="0" applyAlignment="0" applyProtection="0"/>
    <xf numFmtId="219" fontId="49" fillId="8" borderId="0" applyNumberFormat="0" applyBorder="0" applyAlignment="0" applyProtection="0"/>
    <xf numFmtId="219" fontId="49" fillId="8" borderId="0" applyNumberFormat="0" applyBorder="0" applyAlignment="0" applyProtection="0"/>
    <xf numFmtId="219" fontId="49" fillId="8" borderId="0" applyNumberFormat="0" applyBorder="0" applyAlignment="0" applyProtection="0"/>
    <xf numFmtId="219" fontId="49" fillId="8" borderId="0" applyNumberFormat="0" applyBorder="0" applyAlignment="0" applyProtection="0"/>
    <xf numFmtId="219" fontId="49" fillId="8" borderId="0" applyNumberFormat="0" applyBorder="0" applyAlignment="0" applyProtection="0"/>
    <xf numFmtId="219" fontId="49" fillId="8" borderId="0" applyNumberFormat="0" applyBorder="0" applyAlignment="0" applyProtection="0"/>
    <xf numFmtId="219" fontId="49" fillId="8" borderId="0" applyNumberFormat="0" applyBorder="0" applyAlignment="0" applyProtection="0"/>
    <xf numFmtId="219" fontId="49" fillId="8" borderId="0" applyNumberFormat="0" applyBorder="0" applyAlignment="0" applyProtection="0"/>
    <xf numFmtId="219" fontId="49" fillId="8" borderId="0" applyNumberFormat="0" applyBorder="0" applyAlignment="0" applyProtection="0"/>
    <xf numFmtId="219" fontId="49" fillId="8" borderId="0" applyNumberFormat="0" applyBorder="0" applyAlignment="0" applyProtection="0"/>
    <xf numFmtId="219" fontId="49" fillId="8" borderId="0" applyNumberFormat="0" applyBorder="0" applyAlignment="0" applyProtection="0"/>
    <xf numFmtId="220" fontId="49" fillId="8" borderId="0" applyNumberFormat="0" applyBorder="0" applyAlignment="0" applyProtection="0"/>
    <xf numFmtId="219" fontId="49" fillId="8" borderId="0" applyNumberFormat="0" applyBorder="0" applyAlignment="0" applyProtection="0"/>
    <xf numFmtId="219" fontId="49" fillId="8" borderId="0" applyNumberFormat="0" applyBorder="0" applyAlignment="0" applyProtection="0"/>
    <xf numFmtId="220" fontId="49" fillId="8" borderId="0" applyNumberFormat="0" applyBorder="0" applyAlignment="0" applyProtection="0"/>
    <xf numFmtId="219" fontId="49" fillId="8" borderId="0" applyNumberFormat="0" applyBorder="0" applyAlignment="0" applyProtection="0"/>
    <xf numFmtId="219" fontId="49" fillId="8" borderId="0" applyNumberFormat="0" applyBorder="0" applyAlignment="0" applyProtection="0"/>
    <xf numFmtId="219" fontId="49" fillId="8" borderId="0" applyNumberFormat="0" applyBorder="0" applyAlignment="0" applyProtection="0"/>
    <xf numFmtId="219" fontId="49" fillId="8" borderId="0" applyNumberFormat="0" applyBorder="0" applyAlignment="0" applyProtection="0"/>
    <xf numFmtId="220" fontId="49" fillId="8" borderId="0" applyNumberFormat="0" applyBorder="0" applyAlignment="0" applyProtection="0"/>
    <xf numFmtId="219" fontId="49" fillId="8" borderId="0" applyNumberFormat="0" applyBorder="0" applyAlignment="0" applyProtection="0"/>
    <xf numFmtId="219" fontId="49" fillId="8" borderId="0" applyNumberFormat="0" applyBorder="0" applyAlignment="0" applyProtection="0"/>
    <xf numFmtId="219" fontId="49" fillId="8" borderId="0" applyNumberFormat="0" applyBorder="0" applyAlignment="0" applyProtection="0"/>
    <xf numFmtId="219" fontId="49" fillId="8" borderId="0" applyNumberFormat="0" applyBorder="0" applyAlignment="0" applyProtection="0"/>
    <xf numFmtId="219" fontId="49" fillId="8" borderId="0" applyNumberFormat="0" applyBorder="0" applyAlignment="0" applyProtection="0"/>
    <xf numFmtId="219" fontId="49" fillId="8" borderId="0" applyNumberFormat="0" applyBorder="0" applyAlignment="0" applyProtection="0"/>
    <xf numFmtId="0" fontId="149" fillId="10" borderId="0" applyNumberFormat="0" applyBorder="0" applyAlignment="0" applyProtection="0"/>
    <xf numFmtId="0" fontId="149" fillId="11" borderId="0" applyNumberFormat="0" applyBorder="0" applyAlignment="0" applyProtection="0"/>
    <xf numFmtId="0" fontId="149" fillId="12" borderId="0" applyNumberFormat="0" applyBorder="0" applyAlignment="0" applyProtection="0"/>
    <xf numFmtId="0" fontId="149" fillId="6" borderId="0" applyNumberFormat="0" applyBorder="0" applyAlignment="0" applyProtection="0"/>
    <xf numFmtId="0" fontId="149" fillId="10" borderId="0" applyNumberFormat="0" applyBorder="0" applyAlignment="0" applyProtection="0"/>
    <xf numFmtId="0" fontId="149" fillId="13" borderId="0" applyNumberFormat="0" applyBorder="0" applyAlignment="0" applyProtection="0"/>
    <xf numFmtId="219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19" fontId="49" fillId="10" borderId="0" applyNumberFormat="0" applyBorder="0" applyAlignment="0" applyProtection="0"/>
    <xf numFmtId="220" fontId="49" fillId="10" borderId="0" applyNumberFormat="0" applyBorder="0" applyAlignment="0" applyProtection="0"/>
    <xf numFmtId="219" fontId="49" fillId="10" borderId="0" applyNumberFormat="0" applyBorder="0" applyAlignment="0" applyProtection="0"/>
    <xf numFmtId="219" fontId="49" fillId="10" borderId="0" applyNumberFormat="0" applyBorder="0" applyAlignment="0" applyProtection="0"/>
    <xf numFmtId="219" fontId="49" fillId="10" borderId="0" applyNumberFormat="0" applyBorder="0" applyAlignment="0" applyProtection="0"/>
    <xf numFmtId="219" fontId="49" fillId="10" borderId="0" applyNumberFormat="0" applyBorder="0" applyAlignment="0" applyProtection="0"/>
    <xf numFmtId="219" fontId="49" fillId="10" borderId="0" applyNumberFormat="0" applyBorder="0" applyAlignment="0" applyProtection="0"/>
    <xf numFmtId="219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19" fontId="49" fillId="11" borderId="0" applyNumberFormat="0" applyBorder="0" applyAlignment="0" applyProtection="0"/>
    <xf numFmtId="220" fontId="49" fillId="11" borderId="0" applyNumberFormat="0" applyBorder="0" applyAlignment="0" applyProtection="0"/>
    <xf numFmtId="219" fontId="49" fillId="11" borderId="0" applyNumberFormat="0" applyBorder="0" applyAlignment="0" applyProtection="0"/>
    <xf numFmtId="219" fontId="49" fillId="11" borderId="0" applyNumberFormat="0" applyBorder="0" applyAlignment="0" applyProtection="0"/>
    <xf numFmtId="219" fontId="49" fillId="11" borderId="0" applyNumberFormat="0" applyBorder="0" applyAlignment="0" applyProtection="0"/>
    <xf numFmtId="219" fontId="49" fillId="11" borderId="0" applyNumberFormat="0" applyBorder="0" applyAlignment="0" applyProtection="0"/>
    <xf numFmtId="219" fontId="49" fillId="11" borderId="0" applyNumberFormat="0" applyBorder="0" applyAlignment="0" applyProtection="0"/>
    <xf numFmtId="219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19" fontId="49" fillId="12" borderId="0" applyNumberFormat="0" applyBorder="0" applyAlignment="0" applyProtection="0"/>
    <xf numFmtId="220" fontId="49" fillId="12" borderId="0" applyNumberFormat="0" applyBorder="0" applyAlignment="0" applyProtection="0"/>
    <xf numFmtId="219" fontId="49" fillId="12" borderId="0" applyNumberFormat="0" applyBorder="0" applyAlignment="0" applyProtection="0"/>
    <xf numFmtId="219" fontId="49" fillId="12" borderId="0" applyNumberFormat="0" applyBorder="0" applyAlignment="0" applyProtection="0"/>
    <xf numFmtId="219" fontId="49" fillId="12" borderId="0" applyNumberFormat="0" applyBorder="0" applyAlignment="0" applyProtection="0"/>
    <xf numFmtId="219" fontId="49" fillId="12" borderId="0" applyNumberFormat="0" applyBorder="0" applyAlignment="0" applyProtection="0"/>
    <xf numFmtId="219" fontId="49" fillId="12" borderId="0" applyNumberFormat="0" applyBorder="0" applyAlignment="0" applyProtection="0"/>
    <xf numFmtId="219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19" fontId="49" fillId="6" borderId="0" applyNumberFormat="0" applyBorder="0" applyAlignment="0" applyProtection="0"/>
    <xf numFmtId="220" fontId="49" fillId="6" borderId="0" applyNumberFormat="0" applyBorder="0" applyAlignment="0" applyProtection="0"/>
    <xf numFmtId="219" fontId="49" fillId="6" borderId="0" applyNumberFormat="0" applyBorder="0" applyAlignment="0" applyProtection="0"/>
    <xf numFmtId="219" fontId="49" fillId="6" borderId="0" applyNumberFormat="0" applyBorder="0" applyAlignment="0" applyProtection="0"/>
    <xf numFmtId="219" fontId="49" fillId="6" borderId="0" applyNumberFormat="0" applyBorder="0" applyAlignment="0" applyProtection="0"/>
    <xf numFmtId="219" fontId="49" fillId="6" borderId="0" applyNumberFormat="0" applyBorder="0" applyAlignment="0" applyProtection="0"/>
    <xf numFmtId="219" fontId="49" fillId="6" borderId="0" applyNumberFormat="0" applyBorder="0" applyAlignment="0" applyProtection="0"/>
    <xf numFmtId="219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19" fontId="49" fillId="10" borderId="0" applyNumberFormat="0" applyBorder="0" applyAlignment="0" applyProtection="0"/>
    <xf numFmtId="220" fontId="49" fillId="10" borderId="0" applyNumberFormat="0" applyBorder="0" applyAlignment="0" applyProtection="0"/>
    <xf numFmtId="219" fontId="49" fillId="10" borderId="0" applyNumberFormat="0" applyBorder="0" applyAlignment="0" applyProtection="0"/>
    <xf numFmtId="219" fontId="49" fillId="10" borderId="0" applyNumberFormat="0" applyBorder="0" applyAlignment="0" applyProtection="0"/>
    <xf numFmtId="219" fontId="49" fillId="10" borderId="0" applyNumberFormat="0" applyBorder="0" applyAlignment="0" applyProtection="0"/>
    <xf numFmtId="219" fontId="49" fillId="10" borderId="0" applyNumberFormat="0" applyBorder="0" applyAlignment="0" applyProtection="0"/>
    <xf numFmtId="219" fontId="49" fillId="10" borderId="0" applyNumberFormat="0" applyBorder="0" applyAlignment="0" applyProtection="0"/>
    <xf numFmtId="219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19" fontId="49" fillId="13" borderId="0" applyNumberFormat="0" applyBorder="0" applyAlignment="0" applyProtection="0"/>
    <xf numFmtId="220" fontId="49" fillId="13" borderId="0" applyNumberFormat="0" applyBorder="0" applyAlignment="0" applyProtection="0"/>
    <xf numFmtId="219" fontId="49" fillId="13" borderId="0" applyNumberFormat="0" applyBorder="0" applyAlignment="0" applyProtection="0"/>
    <xf numFmtId="219" fontId="49" fillId="13" borderId="0" applyNumberFormat="0" applyBorder="0" applyAlignment="0" applyProtection="0"/>
    <xf numFmtId="219" fontId="49" fillId="13" borderId="0" applyNumberFormat="0" applyBorder="0" applyAlignment="0" applyProtection="0"/>
    <xf numFmtId="219" fontId="49" fillId="13" borderId="0" applyNumberFormat="0" applyBorder="0" applyAlignment="0" applyProtection="0"/>
    <xf numFmtId="219" fontId="49" fillId="13" borderId="0" applyNumberFormat="0" applyBorder="0" applyAlignment="0" applyProtection="0"/>
    <xf numFmtId="219" fontId="49" fillId="10" borderId="0" applyNumberFormat="0" applyBorder="0" applyAlignment="0" applyProtection="0"/>
    <xf numFmtId="219" fontId="49" fillId="10" borderId="0" applyNumberFormat="0" applyBorder="0" applyAlignment="0" applyProtection="0"/>
    <xf numFmtId="219" fontId="49" fillId="10" borderId="0" applyNumberFormat="0" applyBorder="0" applyAlignment="0" applyProtection="0"/>
    <xf numFmtId="219" fontId="49" fillId="10" borderId="0" applyNumberFormat="0" applyBorder="0" applyAlignment="0" applyProtection="0"/>
    <xf numFmtId="219" fontId="49" fillId="10" borderId="0" applyNumberFormat="0" applyBorder="0" applyAlignment="0" applyProtection="0"/>
    <xf numFmtId="219" fontId="49" fillId="10" borderId="0" applyNumberFormat="0" applyBorder="0" applyAlignment="0" applyProtection="0"/>
    <xf numFmtId="219" fontId="49" fillId="10" borderId="0" applyNumberFormat="0" applyBorder="0" applyAlignment="0" applyProtection="0"/>
    <xf numFmtId="219" fontId="49" fillId="10" borderId="0" applyNumberFormat="0" applyBorder="0" applyAlignment="0" applyProtection="0"/>
    <xf numFmtId="219" fontId="49" fillId="10" borderId="0" applyNumberFormat="0" applyBorder="0" applyAlignment="0" applyProtection="0"/>
    <xf numFmtId="219" fontId="49" fillId="10" borderId="0" applyNumberFormat="0" applyBorder="0" applyAlignment="0" applyProtection="0"/>
    <xf numFmtId="219" fontId="49" fillId="10" borderId="0" applyNumberFormat="0" applyBorder="0" applyAlignment="0" applyProtection="0"/>
    <xf numFmtId="220" fontId="49" fillId="10" borderId="0" applyNumberFormat="0" applyBorder="0" applyAlignment="0" applyProtection="0"/>
    <xf numFmtId="219" fontId="49" fillId="10" borderId="0" applyNumberFormat="0" applyBorder="0" applyAlignment="0" applyProtection="0"/>
    <xf numFmtId="219" fontId="49" fillId="10" borderId="0" applyNumberFormat="0" applyBorder="0" applyAlignment="0" applyProtection="0"/>
    <xf numFmtId="220" fontId="49" fillId="10" borderId="0" applyNumberFormat="0" applyBorder="0" applyAlignment="0" applyProtection="0"/>
    <xf numFmtId="219" fontId="49" fillId="10" borderId="0" applyNumberFormat="0" applyBorder="0" applyAlignment="0" applyProtection="0"/>
    <xf numFmtId="219" fontId="49" fillId="10" borderId="0" applyNumberFormat="0" applyBorder="0" applyAlignment="0" applyProtection="0"/>
    <xf numFmtId="219" fontId="49" fillId="10" borderId="0" applyNumberFormat="0" applyBorder="0" applyAlignment="0" applyProtection="0"/>
    <xf numFmtId="219" fontId="49" fillId="10" borderId="0" applyNumberFormat="0" applyBorder="0" applyAlignment="0" applyProtection="0"/>
    <xf numFmtId="220" fontId="49" fillId="10" borderId="0" applyNumberFormat="0" applyBorder="0" applyAlignment="0" applyProtection="0"/>
    <xf numFmtId="219" fontId="49" fillId="10" borderId="0" applyNumberFormat="0" applyBorder="0" applyAlignment="0" applyProtection="0"/>
    <xf numFmtId="219" fontId="49" fillId="10" borderId="0" applyNumberFormat="0" applyBorder="0" applyAlignment="0" applyProtection="0"/>
    <xf numFmtId="219" fontId="49" fillId="10" borderId="0" applyNumberFormat="0" applyBorder="0" applyAlignment="0" applyProtection="0"/>
    <xf numFmtId="219" fontId="49" fillId="10" borderId="0" applyNumberFormat="0" applyBorder="0" applyAlignment="0" applyProtection="0"/>
    <xf numFmtId="219" fontId="49" fillId="10" borderId="0" applyNumberFormat="0" applyBorder="0" applyAlignment="0" applyProtection="0"/>
    <xf numFmtId="219" fontId="49" fillId="10" borderId="0" applyNumberFormat="0" applyBorder="0" applyAlignment="0" applyProtection="0"/>
    <xf numFmtId="219" fontId="49" fillId="11" borderId="0" applyNumberFormat="0" applyBorder="0" applyAlignment="0" applyProtection="0"/>
    <xf numFmtId="219" fontId="49" fillId="11" borderId="0" applyNumberFormat="0" applyBorder="0" applyAlignment="0" applyProtection="0"/>
    <xf numFmtId="219" fontId="49" fillId="11" borderId="0" applyNumberFormat="0" applyBorder="0" applyAlignment="0" applyProtection="0"/>
    <xf numFmtId="219" fontId="49" fillId="11" borderId="0" applyNumberFormat="0" applyBorder="0" applyAlignment="0" applyProtection="0"/>
    <xf numFmtId="219" fontId="49" fillId="11" borderId="0" applyNumberFormat="0" applyBorder="0" applyAlignment="0" applyProtection="0"/>
    <xf numFmtId="219" fontId="49" fillId="11" borderId="0" applyNumberFormat="0" applyBorder="0" applyAlignment="0" applyProtection="0"/>
    <xf numFmtId="219" fontId="49" fillId="11" borderId="0" applyNumberFormat="0" applyBorder="0" applyAlignment="0" applyProtection="0"/>
    <xf numFmtId="219" fontId="49" fillId="11" borderId="0" applyNumberFormat="0" applyBorder="0" applyAlignment="0" applyProtection="0"/>
    <xf numFmtId="219" fontId="49" fillId="11" borderId="0" applyNumberFormat="0" applyBorder="0" applyAlignment="0" applyProtection="0"/>
    <xf numFmtId="219" fontId="49" fillId="11" borderId="0" applyNumberFormat="0" applyBorder="0" applyAlignment="0" applyProtection="0"/>
    <xf numFmtId="219" fontId="49" fillId="11" borderId="0" applyNumberFormat="0" applyBorder="0" applyAlignment="0" applyProtection="0"/>
    <xf numFmtId="220" fontId="49" fillId="11" borderId="0" applyNumberFormat="0" applyBorder="0" applyAlignment="0" applyProtection="0"/>
    <xf numFmtId="219" fontId="49" fillId="11" borderId="0" applyNumberFormat="0" applyBorder="0" applyAlignment="0" applyProtection="0"/>
    <xf numFmtId="219" fontId="49" fillId="11" borderId="0" applyNumberFormat="0" applyBorder="0" applyAlignment="0" applyProtection="0"/>
    <xf numFmtId="220" fontId="49" fillId="11" borderId="0" applyNumberFormat="0" applyBorder="0" applyAlignment="0" applyProtection="0"/>
    <xf numFmtId="219" fontId="49" fillId="11" borderId="0" applyNumberFormat="0" applyBorder="0" applyAlignment="0" applyProtection="0"/>
    <xf numFmtId="219" fontId="49" fillId="11" borderId="0" applyNumberFormat="0" applyBorder="0" applyAlignment="0" applyProtection="0"/>
    <xf numFmtId="219" fontId="49" fillId="11" borderId="0" applyNumberFormat="0" applyBorder="0" applyAlignment="0" applyProtection="0"/>
    <xf numFmtId="219" fontId="49" fillId="11" borderId="0" applyNumberFormat="0" applyBorder="0" applyAlignment="0" applyProtection="0"/>
    <xf numFmtId="220" fontId="49" fillId="11" borderId="0" applyNumberFormat="0" applyBorder="0" applyAlignment="0" applyProtection="0"/>
    <xf numFmtId="219" fontId="49" fillId="11" borderId="0" applyNumberFormat="0" applyBorder="0" applyAlignment="0" applyProtection="0"/>
    <xf numFmtId="219" fontId="49" fillId="11" borderId="0" applyNumberFormat="0" applyBorder="0" applyAlignment="0" applyProtection="0"/>
    <xf numFmtId="219" fontId="49" fillId="11" borderId="0" applyNumberFormat="0" applyBorder="0" applyAlignment="0" applyProtection="0"/>
    <xf numFmtId="219" fontId="49" fillId="11" borderId="0" applyNumberFormat="0" applyBorder="0" applyAlignment="0" applyProtection="0"/>
    <xf numFmtId="219" fontId="49" fillId="11" borderId="0" applyNumberFormat="0" applyBorder="0" applyAlignment="0" applyProtection="0"/>
    <xf numFmtId="219" fontId="49" fillId="11" borderId="0" applyNumberFormat="0" applyBorder="0" applyAlignment="0" applyProtection="0"/>
    <xf numFmtId="219" fontId="49" fillId="12" borderId="0" applyNumberFormat="0" applyBorder="0" applyAlignment="0" applyProtection="0"/>
    <xf numFmtId="219" fontId="49" fillId="12" borderId="0" applyNumberFormat="0" applyBorder="0" applyAlignment="0" applyProtection="0"/>
    <xf numFmtId="219" fontId="49" fillId="12" borderId="0" applyNumberFormat="0" applyBorder="0" applyAlignment="0" applyProtection="0"/>
    <xf numFmtId="219" fontId="49" fillId="12" borderId="0" applyNumberFormat="0" applyBorder="0" applyAlignment="0" applyProtection="0"/>
    <xf numFmtId="219" fontId="49" fillId="12" borderId="0" applyNumberFormat="0" applyBorder="0" applyAlignment="0" applyProtection="0"/>
    <xf numFmtId="219" fontId="49" fillId="12" borderId="0" applyNumberFormat="0" applyBorder="0" applyAlignment="0" applyProtection="0"/>
    <xf numFmtId="219" fontId="49" fillId="12" borderId="0" applyNumberFormat="0" applyBorder="0" applyAlignment="0" applyProtection="0"/>
    <xf numFmtId="219" fontId="49" fillId="12" borderId="0" applyNumberFormat="0" applyBorder="0" applyAlignment="0" applyProtection="0"/>
    <xf numFmtId="219" fontId="49" fillId="12" borderId="0" applyNumberFormat="0" applyBorder="0" applyAlignment="0" applyProtection="0"/>
    <xf numFmtId="219" fontId="49" fillId="12" borderId="0" applyNumberFormat="0" applyBorder="0" applyAlignment="0" applyProtection="0"/>
    <xf numFmtId="219" fontId="49" fillId="12" borderId="0" applyNumberFormat="0" applyBorder="0" applyAlignment="0" applyProtection="0"/>
    <xf numFmtId="220" fontId="49" fillId="12" borderId="0" applyNumberFormat="0" applyBorder="0" applyAlignment="0" applyProtection="0"/>
    <xf numFmtId="219" fontId="49" fillId="12" borderId="0" applyNumberFormat="0" applyBorder="0" applyAlignment="0" applyProtection="0"/>
    <xf numFmtId="219" fontId="49" fillId="12" borderId="0" applyNumberFormat="0" applyBorder="0" applyAlignment="0" applyProtection="0"/>
    <xf numFmtId="220" fontId="49" fillId="12" borderId="0" applyNumberFormat="0" applyBorder="0" applyAlignment="0" applyProtection="0"/>
    <xf numFmtId="219" fontId="49" fillId="12" borderId="0" applyNumberFormat="0" applyBorder="0" applyAlignment="0" applyProtection="0"/>
    <xf numFmtId="219" fontId="49" fillId="12" borderId="0" applyNumberFormat="0" applyBorder="0" applyAlignment="0" applyProtection="0"/>
    <xf numFmtId="219" fontId="49" fillId="12" borderId="0" applyNumberFormat="0" applyBorder="0" applyAlignment="0" applyProtection="0"/>
    <xf numFmtId="219" fontId="49" fillId="12" borderId="0" applyNumberFormat="0" applyBorder="0" applyAlignment="0" applyProtection="0"/>
    <xf numFmtId="220" fontId="49" fillId="12" borderId="0" applyNumberFormat="0" applyBorder="0" applyAlignment="0" applyProtection="0"/>
    <xf numFmtId="219" fontId="49" fillId="12" borderId="0" applyNumberFormat="0" applyBorder="0" applyAlignment="0" applyProtection="0"/>
    <xf numFmtId="219" fontId="49" fillId="12" borderId="0" applyNumberFormat="0" applyBorder="0" applyAlignment="0" applyProtection="0"/>
    <xf numFmtId="219" fontId="49" fillId="12" borderId="0" applyNumberFormat="0" applyBorder="0" applyAlignment="0" applyProtection="0"/>
    <xf numFmtId="219" fontId="49" fillId="12" borderId="0" applyNumberFormat="0" applyBorder="0" applyAlignment="0" applyProtection="0"/>
    <xf numFmtId="219" fontId="49" fillId="12" borderId="0" applyNumberFormat="0" applyBorder="0" applyAlignment="0" applyProtection="0"/>
    <xf numFmtId="219" fontId="49" fillId="12" borderId="0" applyNumberFormat="0" applyBorder="0" applyAlignment="0" applyProtection="0"/>
    <xf numFmtId="219" fontId="49" fillId="6" borderId="0" applyNumberFormat="0" applyBorder="0" applyAlignment="0" applyProtection="0"/>
    <xf numFmtId="219" fontId="49" fillId="6" borderId="0" applyNumberFormat="0" applyBorder="0" applyAlignment="0" applyProtection="0"/>
    <xf numFmtId="219" fontId="49" fillId="6" borderId="0" applyNumberFormat="0" applyBorder="0" applyAlignment="0" applyProtection="0"/>
    <xf numFmtId="219" fontId="49" fillId="6" borderId="0" applyNumberFormat="0" applyBorder="0" applyAlignment="0" applyProtection="0"/>
    <xf numFmtId="219" fontId="49" fillId="6" borderId="0" applyNumberFormat="0" applyBorder="0" applyAlignment="0" applyProtection="0"/>
    <xf numFmtId="219" fontId="49" fillId="6" borderId="0" applyNumberFormat="0" applyBorder="0" applyAlignment="0" applyProtection="0"/>
    <xf numFmtId="219" fontId="49" fillId="6" borderId="0" applyNumberFormat="0" applyBorder="0" applyAlignment="0" applyProtection="0"/>
    <xf numFmtId="219" fontId="49" fillId="6" borderId="0" applyNumberFormat="0" applyBorder="0" applyAlignment="0" applyProtection="0"/>
    <xf numFmtId="219" fontId="49" fillId="6" borderId="0" applyNumberFormat="0" applyBorder="0" applyAlignment="0" applyProtection="0"/>
    <xf numFmtId="219" fontId="49" fillId="6" borderId="0" applyNumberFormat="0" applyBorder="0" applyAlignment="0" applyProtection="0"/>
    <xf numFmtId="219" fontId="49" fillId="6" borderId="0" applyNumberFormat="0" applyBorder="0" applyAlignment="0" applyProtection="0"/>
    <xf numFmtId="220" fontId="49" fillId="6" borderId="0" applyNumberFormat="0" applyBorder="0" applyAlignment="0" applyProtection="0"/>
    <xf numFmtId="219" fontId="49" fillId="6" borderId="0" applyNumberFormat="0" applyBorder="0" applyAlignment="0" applyProtection="0"/>
    <xf numFmtId="219" fontId="49" fillId="6" borderId="0" applyNumberFormat="0" applyBorder="0" applyAlignment="0" applyProtection="0"/>
    <xf numFmtId="220" fontId="49" fillId="6" borderId="0" applyNumberFormat="0" applyBorder="0" applyAlignment="0" applyProtection="0"/>
    <xf numFmtId="219" fontId="49" fillId="6" borderId="0" applyNumberFormat="0" applyBorder="0" applyAlignment="0" applyProtection="0"/>
    <xf numFmtId="219" fontId="49" fillId="6" borderId="0" applyNumberFormat="0" applyBorder="0" applyAlignment="0" applyProtection="0"/>
    <xf numFmtId="219" fontId="49" fillId="6" borderId="0" applyNumberFormat="0" applyBorder="0" applyAlignment="0" applyProtection="0"/>
    <xf numFmtId="219" fontId="49" fillId="6" borderId="0" applyNumberFormat="0" applyBorder="0" applyAlignment="0" applyProtection="0"/>
    <xf numFmtId="220" fontId="49" fillId="6" borderId="0" applyNumberFormat="0" applyBorder="0" applyAlignment="0" applyProtection="0"/>
    <xf numFmtId="219" fontId="49" fillId="6" borderId="0" applyNumberFormat="0" applyBorder="0" applyAlignment="0" applyProtection="0"/>
    <xf numFmtId="219" fontId="49" fillId="6" borderId="0" applyNumberFormat="0" applyBorder="0" applyAlignment="0" applyProtection="0"/>
    <xf numFmtId="219" fontId="49" fillId="6" borderId="0" applyNumberFormat="0" applyBorder="0" applyAlignment="0" applyProtection="0"/>
    <xf numFmtId="219" fontId="49" fillId="6" borderId="0" applyNumberFormat="0" applyBorder="0" applyAlignment="0" applyProtection="0"/>
    <xf numFmtId="219" fontId="49" fillId="6" borderId="0" applyNumberFormat="0" applyBorder="0" applyAlignment="0" applyProtection="0"/>
    <xf numFmtId="219" fontId="49" fillId="6" borderId="0" applyNumberFormat="0" applyBorder="0" applyAlignment="0" applyProtection="0"/>
    <xf numFmtId="219" fontId="49" fillId="10" borderId="0" applyNumberFormat="0" applyBorder="0" applyAlignment="0" applyProtection="0"/>
    <xf numFmtId="219" fontId="49" fillId="10" borderId="0" applyNumberFormat="0" applyBorder="0" applyAlignment="0" applyProtection="0"/>
    <xf numFmtId="219" fontId="49" fillId="10" borderId="0" applyNumberFormat="0" applyBorder="0" applyAlignment="0" applyProtection="0"/>
    <xf numFmtId="219" fontId="49" fillId="10" borderId="0" applyNumberFormat="0" applyBorder="0" applyAlignment="0" applyProtection="0"/>
    <xf numFmtId="219" fontId="49" fillId="10" borderId="0" applyNumberFormat="0" applyBorder="0" applyAlignment="0" applyProtection="0"/>
    <xf numFmtId="219" fontId="49" fillId="10" borderId="0" applyNumberFormat="0" applyBorder="0" applyAlignment="0" applyProtection="0"/>
    <xf numFmtId="219" fontId="49" fillId="10" borderId="0" applyNumberFormat="0" applyBorder="0" applyAlignment="0" applyProtection="0"/>
    <xf numFmtId="219" fontId="49" fillId="10" borderId="0" applyNumberFormat="0" applyBorder="0" applyAlignment="0" applyProtection="0"/>
    <xf numFmtId="219" fontId="49" fillId="10" borderId="0" applyNumberFormat="0" applyBorder="0" applyAlignment="0" applyProtection="0"/>
    <xf numFmtId="219" fontId="49" fillId="10" borderId="0" applyNumberFormat="0" applyBorder="0" applyAlignment="0" applyProtection="0"/>
    <xf numFmtId="219" fontId="49" fillId="10" borderId="0" applyNumberFormat="0" applyBorder="0" applyAlignment="0" applyProtection="0"/>
    <xf numFmtId="220" fontId="49" fillId="10" borderId="0" applyNumberFormat="0" applyBorder="0" applyAlignment="0" applyProtection="0"/>
    <xf numFmtId="219" fontId="49" fillId="10" borderId="0" applyNumberFormat="0" applyBorder="0" applyAlignment="0" applyProtection="0"/>
    <xf numFmtId="219" fontId="49" fillId="10" borderId="0" applyNumberFormat="0" applyBorder="0" applyAlignment="0" applyProtection="0"/>
    <xf numFmtId="220" fontId="49" fillId="10" borderId="0" applyNumberFormat="0" applyBorder="0" applyAlignment="0" applyProtection="0"/>
    <xf numFmtId="219" fontId="49" fillId="10" borderId="0" applyNumberFormat="0" applyBorder="0" applyAlignment="0" applyProtection="0"/>
    <xf numFmtId="219" fontId="49" fillId="10" borderId="0" applyNumberFormat="0" applyBorder="0" applyAlignment="0" applyProtection="0"/>
    <xf numFmtId="219" fontId="49" fillId="10" borderId="0" applyNumberFormat="0" applyBorder="0" applyAlignment="0" applyProtection="0"/>
    <xf numFmtId="219" fontId="49" fillId="10" borderId="0" applyNumberFormat="0" applyBorder="0" applyAlignment="0" applyProtection="0"/>
    <xf numFmtId="220" fontId="49" fillId="10" borderId="0" applyNumberFormat="0" applyBorder="0" applyAlignment="0" applyProtection="0"/>
    <xf numFmtId="219" fontId="49" fillId="10" borderId="0" applyNumberFormat="0" applyBorder="0" applyAlignment="0" applyProtection="0"/>
    <xf numFmtId="219" fontId="49" fillId="10" borderId="0" applyNumberFormat="0" applyBorder="0" applyAlignment="0" applyProtection="0"/>
    <xf numFmtId="219" fontId="49" fillId="10" borderId="0" applyNumberFormat="0" applyBorder="0" applyAlignment="0" applyProtection="0"/>
    <xf numFmtId="219" fontId="49" fillId="10" borderId="0" applyNumberFormat="0" applyBorder="0" applyAlignment="0" applyProtection="0"/>
    <xf numFmtId="219" fontId="49" fillId="10" borderId="0" applyNumberFormat="0" applyBorder="0" applyAlignment="0" applyProtection="0"/>
    <xf numFmtId="219" fontId="49" fillId="10" borderId="0" applyNumberFormat="0" applyBorder="0" applyAlignment="0" applyProtection="0"/>
    <xf numFmtId="219" fontId="49" fillId="13" borderId="0" applyNumberFormat="0" applyBorder="0" applyAlignment="0" applyProtection="0"/>
    <xf numFmtId="219" fontId="49" fillId="13" borderId="0" applyNumberFormat="0" applyBorder="0" applyAlignment="0" applyProtection="0"/>
    <xf numFmtId="219" fontId="49" fillId="13" borderId="0" applyNumberFormat="0" applyBorder="0" applyAlignment="0" applyProtection="0"/>
    <xf numFmtId="219" fontId="49" fillId="13" borderId="0" applyNumberFormat="0" applyBorder="0" applyAlignment="0" applyProtection="0"/>
    <xf numFmtId="219" fontId="49" fillId="13" borderId="0" applyNumberFormat="0" applyBorder="0" applyAlignment="0" applyProtection="0"/>
    <xf numFmtId="219" fontId="49" fillId="13" borderId="0" applyNumberFormat="0" applyBorder="0" applyAlignment="0" applyProtection="0"/>
    <xf numFmtId="219" fontId="49" fillId="13" borderId="0" applyNumberFormat="0" applyBorder="0" applyAlignment="0" applyProtection="0"/>
    <xf numFmtId="219" fontId="49" fillId="13" borderId="0" applyNumberFormat="0" applyBorder="0" applyAlignment="0" applyProtection="0"/>
    <xf numFmtId="219" fontId="49" fillId="13" borderId="0" applyNumberFormat="0" applyBorder="0" applyAlignment="0" applyProtection="0"/>
    <xf numFmtId="219" fontId="49" fillId="13" borderId="0" applyNumberFormat="0" applyBorder="0" applyAlignment="0" applyProtection="0"/>
    <xf numFmtId="219" fontId="49" fillId="13" borderId="0" applyNumberFormat="0" applyBorder="0" applyAlignment="0" applyProtection="0"/>
    <xf numFmtId="220" fontId="49" fillId="13" borderId="0" applyNumberFormat="0" applyBorder="0" applyAlignment="0" applyProtection="0"/>
    <xf numFmtId="219" fontId="49" fillId="13" borderId="0" applyNumberFormat="0" applyBorder="0" applyAlignment="0" applyProtection="0"/>
    <xf numFmtId="219" fontId="49" fillId="13" borderId="0" applyNumberFormat="0" applyBorder="0" applyAlignment="0" applyProtection="0"/>
    <xf numFmtId="220" fontId="49" fillId="13" borderId="0" applyNumberFormat="0" applyBorder="0" applyAlignment="0" applyProtection="0"/>
    <xf numFmtId="219" fontId="49" fillId="13" borderId="0" applyNumberFormat="0" applyBorder="0" applyAlignment="0" applyProtection="0"/>
    <xf numFmtId="219" fontId="49" fillId="13" borderId="0" applyNumberFormat="0" applyBorder="0" applyAlignment="0" applyProtection="0"/>
    <xf numFmtId="219" fontId="49" fillId="13" borderId="0" applyNumberFormat="0" applyBorder="0" applyAlignment="0" applyProtection="0"/>
    <xf numFmtId="219" fontId="49" fillId="13" borderId="0" applyNumberFormat="0" applyBorder="0" applyAlignment="0" applyProtection="0"/>
    <xf numFmtId="220" fontId="49" fillId="13" borderId="0" applyNumberFormat="0" applyBorder="0" applyAlignment="0" applyProtection="0"/>
    <xf numFmtId="219" fontId="49" fillId="13" borderId="0" applyNumberFormat="0" applyBorder="0" applyAlignment="0" applyProtection="0"/>
    <xf numFmtId="219" fontId="49" fillId="13" borderId="0" applyNumberFormat="0" applyBorder="0" applyAlignment="0" applyProtection="0"/>
    <xf numFmtId="219" fontId="49" fillId="13" borderId="0" applyNumberFormat="0" applyBorder="0" applyAlignment="0" applyProtection="0"/>
    <xf numFmtId="219" fontId="49" fillId="13" borderId="0" applyNumberFormat="0" applyBorder="0" applyAlignment="0" applyProtection="0"/>
    <xf numFmtId="219" fontId="49" fillId="13" borderId="0" applyNumberFormat="0" applyBorder="0" applyAlignment="0" applyProtection="0"/>
    <xf numFmtId="219" fontId="49" fillId="13" borderId="0" applyNumberFormat="0" applyBorder="0" applyAlignment="0" applyProtection="0"/>
    <xf numFmtId="0" fontId="150" fillId="14" borderId="0" applyNumberFormat="0" applyBorder="0" applyAlignment="0" applyProtection="0"/>
    <xf numFmtId="0" fontId="150" fillId="11" borderId="0" applyNumberFormat="0" applyBorder="0" applyAlignment="0" applyProtection="0"/>
    <xf numFmtId="0" fontId="150" fillId="12" borderId="0" applyNumberFormat="0" applyBorder="0" applyAlignment="0" applyProtection="0"/>
    <xf numFmtId="0" fontId="150" fillId="15" borderId="0" applyNumberFormat="0" applyBorder="0" applyAlignment="0" applyProtection="0"/>
    <xf numFmtId="0" fontId="150" fillId="16" borderId="0" applyNumberFormat="0" applyBorder="0" applyAlignment="0" applyProtection="0"/>
    <xf numFmtId="0" fontId="150" fillId="17" borderId="0" applyNumberFormat="0" applyBorder="0" applyAlignment="0" applyProtection="0"/>
    <xf numFmtId="219" fontId="51" fillId="14" borderId="0" applyNumberFormat="0" applyBorder="0" applyAlignment="0" applyProtection="0"/>
    <xf numFmtId="220" fontId="51" fillId="14" borderId="0" applyNumberFormat="0" applyBorder="0" applyAlignment="0" applyProtection="0"/>
    <xf numFmtId="220" fontId="51" fillId="14" borderId="0" applyNumberFormat="0" applyBorder="0" applyAlignment="0" applyProtection="0"/>
    <xf numFmtId="219" fontId="51" fillId="14" borderId="0" applyNumberFormat="0" applyBorder="0" applyAlignment="0" applyProtection="0"/>
    <xf numFmtId="220" fontId="51" fillId="14" borderId="0" applyNumberFormat="0" applyBorder="0" applyAlignment="0" applyProtection="0"/>
    <xf numFmtId="219" fontId="51" fillId="14" borderId="0" applyNumberFormat="0" applyBorder="0" applyAlignment="0" applyProtection="0"/>
    <xf numFmtId="219" fontId="51" fillId="14" borderId="0" applyNumberFormat="0" applyBorder="0" applyAlignment="0" applyProtection="0"/>
    <xf numFmtId="219" fontId="51" fillId="14" borderId="0" applyNumberFormat="0" applyBorder="0" applyAlignment="0" applyProtection="0"/>
    <xf numFmtId="219" fontId="51" fillId="14" borderId="0" applyNumberFormat="0" applyBorder="0" applyAlignment="0" applyProtection="0"/>
    <xf numFmtId="219" fontId="51" fillId="14" borderId="0" applyNumberFormat="0" applyBorder="0" applyAlignment="0" applyProtection="0"/>
    <xf numFmtId="219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19" fontId="51" fillId="11" borderId="0" applyNumberFormat="0" applyBorder="0" applyAlignment="0" applyProtection="0"/>
    <xf numFmtId="220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19" fontId="51" fillId="12" borderId="0" applyNumberFormat="0" applyBorder="0" applyAlignment="0" applyProtection="0"/>
    <xf numFmtId="220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5" borderId="0" applyNumberFormat="0" applyBorder="0" applyAlignment="0" applyProtection="0"/>
    <xf numFmtId="219" fontId="51" fillId="15" borderId="0" applyNumberFormat="0" applyBorder="0" applyAlignment="0" applyProtection="0"/>
    <xf numFmtId="220" fontId="51" fillId="15" borderId="0" applyNumberFormat="0" applyBorder="0" applyAlignment="0" applyProtection="0"/>
    <xf numFmtId="219" fontId="51" fillId="15" borderId="0" applyNumberFormat="0" applyBorder="0" applyAlignment="0" applyProtection="0"/>
    <xf numFmtId="219" fontId="51" fillId="15" borderId="0" applyNumberFormat="0" applyBorder="0" applyAlignment="0" applyProtection="0"/>
    <xf numFmtId="219" fontId="51" fillId="15" borderId="0" applyNumberFormat="0" applyBorder="0" applyAlignment="0" applyProtection="0"/>
    <xf numFmtId="219" fontId="51" fillId="15" borderId="0" applyNumberFormat="0" applyBorder="0" applyAlignment="0" applyProtection="0"/>
    <xf numFmtId="219" fontId="51" fillId="15" borderId="0" applyNumberFormat="0" applyBorder="0" applyAlignment="0" applyProtection="0"/>
    <xf numFmtId="219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6" borderId="0" applyNumberFormat="0" applyBorder="0" applyAlignment="0" applyProtection="0"/>
    <xf numFmtId="219" fontId="51" fillId="16" borderId="0" applyNumberFormat="0" applyBorder="0" applyAlignment="0" applyProtection="0"/>
    <xf numFmtId="220" fontId="51" fillId="16" borderId="0" applyNumberFormat="0" applyBorder="0" applyAlignment="0" applyProtection="0"/>
    <xf numFmtId="219" fontId="51" fillId="16" borderId="0" applyNumberFormat="0" applyBorder="0" applyAlignment="0" applyProtection="0"/>
    <xf numFmtId="219" fontId="51" fillId="16" borderId="0" applyNumberFormat="0" applyBorder="0" applyAlignment="0" applyProtection="0"/>
    <xf numFmtId="219" fontId="51" fillId="16" borderId="0" applyNumberFormat="0" applyBorder="0" applyAlignment="0" applyProtection="0"/>
    <xf numFmtId="219" fontId="51" fillId="16" borderId="0" applyNumberFormat="0" applyBorder="0" applyAlignment="0" applyProtection="0"/>
    <xf numFmtId="219" fontId="51" fillId="16" borderId="0" applyNumberFormat="0" applyBorder="0" applyAlignment="0" applyProtection="0"/>
    <xf numFmtId="219" fontId="51" fillId="17" borderId="0" applyNumberFormat="0" applyBorder="0" applyAlignment="0" applyProtection="0"/>
    <xf numFmtId="220" fontId="51" fillId="17" borderId="0" applyNumberFormat="0" applyBorder="0" applyAlignment="0" applyProtection="0"/>
    <xf numFmtId="220" fontId="51" fillId="17" borderId="0" applyNumberFormat="0" applyBorder="0" applyAlignment="0" applyProtection="0"/>
    <xf numFmtId="219" fontId="51" fillId="17" borderId="0" applyNumberFormat="0" applyBorder="0" applyAlignment="0" applyProtection="0"/>
    <xf numFmtId="220" fontId="51" fillId="17" borderId="0" applyNumberFormat="0" applyBorder="0" applyAlignment="0" applyProtection="0"/>
    <xf numFmtId="219" fontId="51" fillId="17" borderId="0" applyNumberFormat="0" applyBorder="0" applyAlignment="0" applyProtection="0"/>
    <xf numFmtId="219" fontId="51" fillId="17" borderId="0" applyNumberFormat="0" applyBorder="0" applyAlignment="0" applyProtection="0"/>
    <xf numFmtId="219" fontId="51" fillId="17" borderId="0" applyNumberFormat="0" applyBorder="0" applyAlignment="0" applyProtection="0"/>
    <xf numFmtId="219" fontId="51" fillId="17" borderId="0" applyNumberFormat="0" applyBorder="0" applyAlignment="0" applyProtection="0"/>
    <xf numFmtId="219" fontId="51" fillId="17" borderId="0" applyNumberFormat="0" applyBorder="0" applyAlignment="0" applyProtection="0"/>
    <xf numFmtId="220" fontId="51" fillId="14" borderId="0" applyNumberFormat="0" applyBorder="0" applyAlignment="0" applyProtection="0"/>
    <xf numFmtId="220" fontId="51" fillId="11" borderId="0" applyNumberFormat="0" applyBorder="0" applyAlignment="0" applyProtection="0"/>
    <xf numFmtId="220" fontId="51" fillId="12" borderId="0" applyNumberFormat="0" applyBorder="0" applyAlignment="0" applyProtection="0"/>
    <xf numFmtId="220" fontId="51" fillId="15" borderId="0" applyNumberFormat="0" applyBorder="0" applyAlignment="0" applyProtection="0"/>
    <xf numFmtId="220" fontId="51" fillId="16" borderId="0" applyNumberFormat="0" applyBorder="0" applyAlignment="0" applyProtection="0"/>
    <xf numFmtId="220" fontId="51" fillId="17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49" fillId="63" borderId="0" applyNumberFormat="0" applyBorder="0" applyAlignment="0" applyProtection="0"/>
    <xf numFmtId="0" fontId="49" fillId="64" borderId="0" applyNumberFormat="0" applyBorder="0" applyAlignment="0" applyProtection="0"/>
    <xf numFmtId="0" fontId="51" fillId="65" borderId="0" applyNumberFormat="0" applyBorder="0" applyAlignment="0" applyProtection="0"/>
    <xf numFmtId="0" fontId="150" fillId="18" borderId="0" applyNumberFormat="0" applyBorder="0" applyAlignment="0" applyProtection="0"/>
    <xf numFmtId="0" fontId="51" fillId="66" borderId="0" applyNumberFormat="0" applyBorder="0" applyAlignment="0" applyProtection="0"/>
    <xf numFmtId="0" fontId="49" fillId="67" borderId="0" applyNumberFormat="0" applyBorder="0" applyAlignment="0" applyProtection="0"/>
    <xf numFmtId="0" fontId="49" fillId="68" borderId="0" applyNumberFormat="0" applyBorder="0" applyAlignment="0" applyProtection="0"/>
    <xf numFmtId="0" fontId="51" fillId="69" borderId="0" applyNumberFormat="0" applyBorder="0" applyAlignment="0" applyProtection="0"/>
    <xf numFmtId="183" fontId="137" fillId="70" borderId="0" applyNumberFormat="0" applyBorder="0" applyAlignment="0" applyProtection="0"/>
    <xf numFmtId="0" fontId="150" fillId="19" borderId="0" applyNumberFormat="0" applyBorder="0" applyAlignment="0" applyProtection="0"/>
    <xf numFmtId="0" fontId="51" fillId="71" borderId="0" applyNumberFormat="0" applyBorder="0" applyAlignment="0" applyProtection="0"/>
    <xf numFmtId="0" fontId="49" fillId="72" borderId="0" applyNumberFormat="0" applyBorder="0" applyAlignment="0" applyProtection="0"/>
    <xf numFmtId="0" fontId="49" fillId="73" borderId="0" applyNumberFormat="0" applyBorder="0" applyAlignment="0" applyProtection="0"/>
    <xf numFmtId="0" fontId="51" fillId="74" borderId="0" applyNumberFormat="0" applyBorder="0" applyAlignment="0" applyProtection="0"/>
    <xf numFmtId="183" fontId="137" fillId="75" borderId="0" applyNumberFormat="0" applyBorder="0" applyAlignment="0" applyProtection="0"/>
    <xf numFmtId="0" fontId="150" fillId="20" borderId="0" applyNumberFormat="0" applyBorder="0" applyAlignment="0" applyProtection="0"/>
    <xf numFmtId="0" fontId="51" fillId="69" borderId="0" applyNumberFormat="0" applyBorder="0" applyAlignment="0" applyProtection="0"/>
    <xf numFmtId="0" fontId="49" fillId="73" borderId="0" applyNumberFormat="0" applyBorder="0" applyAlignment="0" applyProtection="0"/>
    <xf numFmtId="0" fontId="49" fillId="74" borderId="0" applyNumberFormat="0" applyBorder="0" applyAlignment="0" applyProtection="0"/>
    <xf numFmtId="0" fontId="51" fillId="74" borderId="0" applyNumberFormat="0" applyBorder="0" applyAlignment="0" applyProtection="0"/>
    <xf numFmtId="0" fontId="150" fillId="15" borderId="0" applyNumberFormat="0" applyBorder="0" applyAlignment="0" applyProtection="0"/>
    <xf numFmtId="0" fontId="51" fillId="76" borderId="0" applyNumberFormat="0" applyBorder="0" applyAlignment="0" applyProtection="0"/>
    <xf numFmtId="0" fontId="49" fillId="63" borderId="0" applyNumberFormat="0" applyBorder="0" applyAlignment="0" applyProtection="0"/>
    <xf numFmtId="0" fontId="49" fillId="64" borderId="0" applyNumberFormat="0" applyBorder="0" applyAlignment="0" applyProtection="0"/>
    <xf numFmtId="0" fontId="51" fillId="64" borderId="0" applyNumberFormat="0" applyBorder="0" applyAlignment="0" applyProtection="0"/>
    <xf numFmtId="0" fontId="150" fillId="16" borderId="0" applyNumberFormat="0" applyBorder="0" applyAlignment="0" applyProtection="0"/>
    <xf numFmtId="0" fontId="51" fillId="77" borderId="0" applyNumberFormat="0" applyBorder="0" applyAlignment="0" applyProtection="0"/>
    <xf numFmtId="0" fontId="49" fillId="78" borderId="0" applyNumberFormat="0" applyBorder="0" applyAlignment="0" applyProtection="0"/>
    <xf numFmtId="0" fontId="49" fillId="68" borderId="0" applyNumberFormat="0" applyBorder="0" applyAlignment="0" applyProtection="0"/>
    <xf numFmtId="0" fontId="51" fillId="79" borderId="0" applyNumberFormat="0" applyBorder="0" applyAlignment="0" applyProtection="0"/>
    <xf numFmtId="0" fontId="150" fillId="21" borderId="0" applyNumberFormat="0" applyBorder="0" applyAlignment="0" applyProtection="0"/>
    <xf numFmtId="0" fontId="51" fillId="80" borderId="0" applyNumberFormat="0" applyBorder="0" applyAlignment="0" applyProtection="0"/>
    <xf numFmtId="176" fontId="32" fillId="22" borderId="2">
      <alignment horizontal="center"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83" fontId="31" fillId="0" borderId="0"/>
    <xf numFmtId="180" fontId="31" fillId="0" borderId="0"/>
    <xf numFmtId="0" fontId="31" fillId="0" borderId="0"/>
    <xf numFmtId="10" fontId="31" fillId="23" borderId="0" applyFont="0" applyBorder="0" applyAlignment="0">
      <protection locked="0"/>
    </xf>
    <xf numFmtId="10" fontId="31" fillId="23" borderId="0" applyFont="0" applyBorder="0" applyAlignment="0">
      <protection locked="0"/>
    </xf>
    <xf numFmtId="10" fontId="31" fillId="23" borderId="0" applyFont="0" applyBorder="0" applyAlignment="0">
      <protection locked="0"/>
    </xf>
    <xf numFmtId="172" fontId="31" fillId="23" borderId="0" applyBorder="0" applyAlignment="0">
      <protection locked="0"/>
    </xf>
    <xf numFmtId="172" fontId="31" fillId="23" borderId="0" applyBorder="0" applyAlignment="0">
      <protection locked="0"/>
    </xf>
    <xf numFmtId="172" fontId="31" fillId="23" borderId="0" applyBorder="0" applyAlignment="0">
      <protection locked="0"/>
    </xf>
    <xf numFmtId="172" fontId="31" fillId="23" borderId="0" applyBorder="0" applyAlignment="0">
      <protection locked="0"/>
    </xf>
    <xf numFmtId="0" fontId="31" fillId="0" borderId="0" applyNumberFormat="0" applyFont="0" applyBorder="0" applyAlignment="0"/>
    <xf numFmtId="0" fontId="31" fillId="0" borderId="0" applyNumberFormat="0" applyFont="0" applyBorder="0" applyAlignment="0"/>
    <xf numFmtId="0" fontId="31" fillId="0" borderId="0" applyNumberFormat="0" applyFont="0" applyBorder="0" applyAlignment="0"/>
    <xf numFmtId="3" fontId="48" fillId="0" borderId="0" applyNumberFormat="0" applyFill="0" applyBorder="0" applyAlignment="0" applyProtection="0"/>
    <xf numFmtId="0" fontId="151" fillId="0" borderId="10">
      <protection hidden="1"/>
    </xf>
    <xf numFmtId="0" fontId="148" fillId="26" borderId="10" applyNumberFormat="0" applyFont="0" applyBorder="0" applyAlignment="0" applyProtection="0">
      <protection hidden="1"/>
    </xf>
    <xf numFmtId="0" fontId="151" fillId="0" borderId="10">
      <protection hidden="1"/>
    </xf>
    <xf numFmtId="0" fontId="152" fillId="81" borderId="0"/>
    <xf numFmtId="0" fontId="153" fillId="4" borderId="0" applyNumberFormat="0" applyBorder="0" applyAlignment="0" applyProtection="0"/>
    <xf numFmtId="0" fontId="154" fillId="0" borderId="0" applyFont="0" applyFill="0" applyBorder="0" applyAlignment="0" applyProtection="0">
      <alignment horizontal="right"/>
    </xf>
    <xf numFmtId="0" fontId="31" fillId="0" borderId="0" applyNumberFormat="0" applyFill="0" applyBorder="0" applyAlignment="0"/>
    <xf numFmtId="0" fontId="31" fillId="0" borderId="0" applyNumberFormat="0" applyFill="0" applyBorder="0" applyAlignment="0"/>
    <xf numFmtId="0" fontId="31" fillId="0" borderId="0" applyNumberFormat="0" applyFill="0" applyBorder="0" applyAlignment="0"/>
    <xf numFmtId="0" fontId="31" fillId="0" borderId="0" applyNumberFormat="0" applyFill="0" applyBorder="0" applyAlignment="0"/>
    <xf numFmtId="0" fontId="155" fillId="0" borderId="55" applyNumberFormat="0" applyFill="0" applyAlignment="0" applyProtection="0"/>
    <xf numFmtId="177" fontId="156" fillId="0" borderId="0">
      <alignment horizontal="right"/>
    </xf>
    <xf numFmtId="219" fontId="61" fillId="5" borderId="0" applyNumberFormat="0" applyBorder="0" applyAlignment="0" applyProtection="0"/>
    <xf numFmtId="220" fontId="61" fillId="5" borderId="0" applyNumberFormat="0" applyBorder="0" applyAlignment="0" applyProtection="0"/>
    <xf numFmtId="220" fontId="61" fillId="5" borderId="0" applyNumberFormat="0" applyBorder="0" applyAlignment="0" applyProtection="0"/>
    <xf numFmtId="219" fontId="61" fillId="5" borderId="0" applyNumberFormat="0" applyBorder="0" applyAlignment="0" applyProtection="0"/>
    <xf numFmtId="220" fontId="61" fillId="5" borderId="0" applyNumberFormat="0" applyBorder="0" applyAlignment="0" applyProtection="0"/>
    <xf numFmtId="219" fontId="61" fillId="5" borderId="0" applyNumberFormat="0" applyBorder="0" applyAlignment="0" applyProtection="0"/>
    <xf numFmtId="219" fontId="61" fillId="5" borderId="0" applyNumberFormat="0" applyBorder="0" applyAlignment="0" applyProtection="0"/>
    <xf numFmtId="219" fontId="61" fillId="5" borderId="0" applyNumberFormat="0" applyBorder="0" applyAlignment="0" applyProtection="0"/>
    <xf numFmtId="219" fontId="61" fillId="5" borderId="0" applyNumberFormat="0" applyBorder="0" applyAlignment="0" applyProtection="0"/>
    <xf numFmtId="219" fontId="61" fillId="5" borderId="0" applyNumberFormat="0" applyBorder="0" applyAlignment="0" applyProtection="0"/>
    <xf numFmtId="221" fontId="120" fillId="0" borderId="63" applyAlignment="0" applyProtection="0"/>
    <xf numFmtId="220" fontId="61" fillId="5" borderId="0" applyNumberFormat="0" applyBorder="0" applyAlignment="0" applyProtection="0"/>
    <xf numFmtId="0" fontId="139" fillId="0" borderId="0" applyFont="0" applyFill="0" applyBorder="0" applyAlignment="0" applyProtection="0"/>
    <xf numFmtId="0" fontId="62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0" fontId="8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179" fontId="31" fillId="0" borderId="0" applyFill="0" applyBorder="0" applyAlignment="0"/>
    <xf numFmtId="174" fontId="45" fillId="0" borderId="0" applyFill="0" applyBorder="0" applyAlignment="0"/>
    <xf numFmtId="180" fontId="31" fillId="0" borderId="0" applyFill="0" applyBorder="0" applyAlignment="0"/>
    <xf numFmtId="180" fontId="31" fillId="0" borderId="0" applyFill="0" applyBorder="0" applyAlignment="0"/>
    <xf numFmtId="180" fontId="31" fillId="0" borderId="0" applyFill="0" applyBorder="0" applyAlignment="0"/>
    <xf numFmtId="180" fontId="31" fillId="0" borderId="0" applyFill="0" applyBorder="0" applyAlignment="0"/>
    <xf numFmtId="179" fontId="31" fillId="0" borderId="0" applyFill="0" applyBorder="0" applyAlignment="0"/>
    <xf numFmtId="0" fontId="31" fillId="0" borderId="0" applyFill="0" applyBorder="0" applyAlignment="0"/>
    <xf numFmtId="219" fontId="65" fillId="26" borderId="93" applyNumberFormat="0" applyAlignment="0" applyProtection="0"/>
    <xf numFmtId="220" fontId="65" fillId="26" borderId="93" applyNumberFormat="0" applyAlignment="0" applyProtection="0"/>
    <xf numFmtId="219" fontId="65" fillId="26" borderId="93" applyNumberFormat="0" applyAlignment="0" applyProtection="0"/>
    <xf numFmtId="219" fontId="65" fillId="26" borderId="93" applyNumberFormat="0" applyAlignment="0" applyProtection="0"/>
    <xf numFmtId="219" fontId="65" fillId="26" borderId="93" applyNumberFormat="0" applyAlignment="0" applyProtection="0"/>
    <xf numFmtId="219" fontId="65" fillId="26" borderId="93" applyNumberFormat="0" applyAlignment="0" applyProtection="0"/>
    <xf numFmtId="222" fontId="31" fillId="0" borderId="0" applyFont="0" applyFill="0" applyBorder="0" applyAlignment="0" applyProtection="0"/>
    <xf numFmtId="223" fontId="31" fillId="0" borderId="0" applyFont="0" applyFill="0" applyBorder="0" applyAlignment="0" applyProtection="0"/>
    <xf numFmtId="0" fontId="66" fillId="27" borderId="82" applyNumberFormat="0" applyAlignment="0" applyProtection="0"/>
    <xf numFmtId="0" fontId="67" fillId="0" borderId="8" applyNumberFormat="0" applyFill="0" applyAlignment="0" applyProtection="0"/>
    <xf numFmtId="0" fontId="67" fillId="0" borderId="8" applyNumberFormat="0" applyFill="0" applyAlignment="0" applyProtection="0"/>
    <xf numFmtId="37" fontId="157" fillId="29" borderId="94" applyProtection="0">
      <alignment horizontal="center"/>
    </xf>
    <xf numFmtId="0" fontId="66" fillId="69" borderId="82" applyNumberFormat="0" applyAlignment="0" applyProtection="0"/>
    <xf numFmtId="0" fontId="68" fillId="28" borderId="9" applyFont="0" applyFill="0" applyBorder="0"/>
    <xf numFmtId="0" fontId="43" fillId="0" borderId="10"/>
    <xf numFmtId="0" fontId="43" fillId="0" borderId="10"/>
    <xf numFmtId="0" fontId="43" fillId="0" borderId="10"/>
    <xf numFmtId="0" fontId="30" fillId="0" borderId="0" applyNumberFormat="0" applyFill="0" applyBorder="0" applyAlignment="0" applyProtection="0">
      <alignment vertical="top"/>
      <protection locked="0"/>
    </xf>
    <xf numFmtId="0" fontId="158" fillId="0" borderId="0"/>
    <xf numFmtId="0" fontId="158" fillId="0" borderId="0"/>
    <xf numFmtId="0" fontId="158" fillId="0" borderId="0"/>
    <xf numFmtId="0" fontId="158" fillId="0" borderId="0"/>
    <xf numFmtId="0" fontId="158" fillId="0" borderId="0"/>
    <xf numFmtId="224" fontId="159" fillId="0" borderId="0"/>
    <xf numFmtId="224" fontId="159" fillId="0" borderId="0"/>
    <xf numFmtId="212" fontId="125" fillId="0" borderId="0" applyFill="0" applyBorder="0" applyAlignment="0" applyProtection="0"/>
    <xf numFmtId="40" fontId="125" fillId="0" borderId="0" applyFill="0" applyBorder="0" applyAlignment="0" applyProtection="0"/>
    <xf numFmtId="225" fontId="125" fillId="82" borderId="0" applyFill="0" applyBorder="0" applyAlignment="0">
      <alignment vertical="top"/>
    </xf>
    <xf numFmtId="226" fontId="125" fillId="0" borderId="0" applyFill="0" applyBorder="0" applyAlignment="0" applyProtection="0"/>
    <xf numFmtId="179" fontId="31" fillId="0" borderId="0" applyFont="0" applyFill="0" applyBorder="0" applyAlignment="0" applyProtection="0"/>
    <xf numFmtId="0" fontId="160" fillId="0" borderId="0" applyFont="0" applyFill="0" applyBorder="0" applyAlignment="0" applyProtection="0">
      <alignment horizontal="right"/>
    </xf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1" fillId="0" borderId="0" applyFont="0" applyFill="0" applyBorder="0" applyAlignment="0" applyProtection="0"/>
    <xf numFmtId="165" fontId="36" fillId="0" borderId="0" applyProtection="0"/>
    <xf numFmtId="222" fontId="36" fillId="0" borderId="0" applyProtection="0"/>
    <xf numFmtId="167" fontId="36" fillId="0" borderId="0" applyProtection="0"/>
    <xf numFmtId="165" fontId="84" fillId="0" borderId="0" applyProtection="0"/>
    <xf numFmtId="222" fontId="84" fillId="0" borderId="0" applyProtection="0"/>
    <xf numFmtId="167" fontId="84" fillId="0" borderId="0" applyProtection="0"/>
    <xf numFmtId="0" fontId="69" fillId="0" borderId="0"/>
    <xf numFmtId="0" fontId="54" fillId="0" borderId="0"/>
    <xf numFmtId="0" fontId="161" fillId="0" borderId="0"/>
    <xf numFmtId="0" fontId="69" fillId="0" borderId="0"/>
    <xf numFmtId="3" fontId="70" fillId="0" borderId="0" applyFont="0" applyFill="0" applyBorder="0" applyAlignment="0" applyProtection="0"/>
    <xf numFmtId="3" fontId="70" fillId="0" borderId="0" applyFont="0" applyFill="0" applyBorder="0" applyAlignment="0" applyProtection="0"/>
    <xf numFmtId="0" fontId="54" fillId="0" borderId="0"/>
    <xf numFmtId="0" fontId="161" fillId="0" borderId="0"/>
    <xf numFmtId="0" fontId="69" fillId="0" borderId="0"/>
    <xf numFmtId="167" fontId="31" fillId="29" borderId="0" applyNumberFormat="0" applyFont="0" applyBorder="0" applyAlignment="0" applyProtection="0"/>
    <xf numFmtId="167" fontId="31" fillId="29" borderId="0" applyNumberFormat="0" applyFont="0" applyBorder="0" applyAlignment="0" applyProtection="0"/>
    <xf numFmtId="167" fontId="31" fillId="29" borderId="0" applyNumberFormat="0" applyFont="0" applyBorder="0" applyAlignment="0" applyProtection="0"/>
    <xf numFmtId="0" fontId="71" fillId="0" borderId="0" applyFont="0" applyFill="0" applyBorder="0" applyAlignment="0" applyProtection="0"/>
    <xf numFmtId="0" fontId="71" fillId="0" borderId="0" applyFont="0" applyFill="0" applyBorder="0" applyAlignment="0" applyProtection="0"/>
    <xf numFmtId="227" fontId="125" fillId="82" borderId="99" applyFill="0" applyBorder="0" applyAlignment="0">
      <alignment horizontal="right"/>
    </xf>
    <xf numFmtId="0" fontId="160" fillId="0" borderId="0" applyFont="0" applyFill="0" applyBorder="0" applyAlignment="0" applyProtection="0">
      <alignment horizontal="right"/>
    </xf>
    <xf numFmtId="0" fontId="160" fillId="0" borderId="0" applyFont="0" applyFill="0" applyBorder="0" applyAlignment="0" applyProtection="0">
      <alignment horizontal="right"/>
    </xf>
    <xf numFmtId="181" fontId="70" fillId="0" borderId="0" applyFont="0" applyFill="0" applyBorder="0" applyAlignment="0" applyProtection="0"/>
    <xf numFmtId="181" fontId="70" fillId="0" borderId="0" applyFont="0" applyFill="0" applyBorder="0" applyAlignment="0" applyProtection="0"/>
    <xf numFmtId="0" fontId="139" fillId="0" borderId="0" applyFont="0" applyFill="0" applyBorder="0" applyAlignment="0" applyProtection="0"/>
    <xf numFmtId="0" fontId="62" fillId="0" borderId="0">
      <protection locked="0"/>
    </xf>
    <xf numFmtId="0" fontId="62" fillId="0" borderId="0">
      <protection locked="0"/>
    </xf>
    <xf numFmtId="0" fontId="160" fillId="0" borderId="0" applyFont="0" applyFill="0" applyBorder="0" applyAlignment="0" applyProtection="0"/>
    <xf numFmtId="14" fontId="36" fillId="0" borderId="0" applyFill="0" applyBorder="0" applyAlignment="0"/>
    <xf numFmtId="0" fontId="31" fillId="0" borderId="0" applyFont="0" applyFill="0" applyBorder="0" applyProtection="0">
      <alignment horizontal="left"/>
    </xf>
    <xf numFmtId="0" fontId="31" fillId="0" borderId="0" applyFont="0" applyFill="0" applyBorder="0" applyProtection="0">
      <alignment horizontal="left"/>
    </xf>
    <xf numFmtId="0" fontId="31" fillId="0" borderId="0" applyFont="0" applyFill="0" applyBorder="0" applyProtection="0">
      <alignment horizontal="left"/>
    </xf>
    <xf numFmtId="0" fontId="31" fillId="0" borderId="0" applyFont="0" applyFill="0" applyBorder="0" applyAlignment="0" applyProtection="0">
      <protection locked="0"/>
    </xf>
    <xf numFmtId="0" fontId="31" fillId="0" borderId="0" applyFont="0" applyFill="0" applyBorder="0" applyAlignment="0" applyProtection="0">
      <protection locked="0"/>
    </xf>
    <xf numFmtId="0" fontId="31" fillId="0" borderId="0" applyFont="0" applyFill="0" applyBorder="0" applyAlignment="0" applyProtection="0">
      <protection locked="0"/>
    </xf>
    <xf numFmtId="0" fontId="71" fillId="0" borderId="0" applyFont="0" applyFill="0" applyBorder="0" applyAlignment="0"/>
    <xf numFmtId="182" fontId="31" fillId="0" borderId="12">
      <alignment vertical="center"/>
    </xf>
    <xf numFmtId="0" fontId="162" fillId="9" borderId="64" applyNumberFormat="0" applyBorder="0" applyAlignment="0">
      <alignment horizontal="center"/>
    </xf>
    <xf numFmtId="37" fontId="155" fillId="35" borderId="104" applyNumberFormat="0" applyAlignment="0">
      <alignment horizontal="left"/>
    </xf>
    <xf numFmtId="37" fontId="155" fillId="35" borderId="104" applyNumberFormat="0" applyAlignment="0">
      <alignment horizontal="left"/>
    </xf>
    <xf numFmtId="37" fontId="155" fillId="35" borderId="104" applyNumberFormat="0" applyAlignment="0">
      <alignment horizontal="left"/>
    </xf>
    <xf numFmtId="37" fontId="155" fillId="35" borderId="104" applyNumberFormat="0" applyAlignment="0">
      <alignment horizontal="left"/>
    </xf>
    <xf numFmtId="0" fontId="62" fillId="0" borderId="0">
      <protection locked="0"/>
    </xf>
    <xf numFmtId="0" fontId="160" fillId="0" borderId="105" applyNumberFormat="0" applyFont="0" applyFill="0" applyAlignment="0" applyProtection="0"/>
    <xf numFmtId="0" fontId="125" fillId="0" borderId="0" applyNumberFormat="0" applyFill="0" applyBorder="0" applyAlignment="0" applyProtection="0"/>
    <xf numFmtId="0" fontId="122" fillId="83" borderId="0" applyNumberFormat="0" applyBorder="0" applyAlignment="0" applyProtection="0"/>
    <xf numFmtId="0" fontId="122" fillId="84" borderId="0" applyNumberFormat="0" applyBorder="0" applyAlignment="0" applyProtection="0"/>
    <xf numFmtId="0" fontId="122" fillId="85" borderId="0" applyNumberFormat="0" applyBorder="0" applyAlignment="0" applyProtection="0"/>
    <xf numFmtId="0" fontId="163" fillId="0" borderId="0">
      <protection locked="0"/>
    </xf>
    <xf numFmtId="0" fontId="163" fillId="0" borderId="0">
      <protection locked="0"/>
    </xf>
    <xf numFmtId="219" fontId="51" fillId="18" borderId="0" applyNumberFormat="0" applyBorder="0" applyAlignment="0" applyProtection="0"/>
    <xf numFmtId="220" fontId="51" fillId="18" borderId="0" applyNumberFormat="0" applyBorder="0" applyAlignment="0" applyProtection="0"/>
    <xf numFmtId="220" fontId="51" fillId="18" borderId="0" applyNumberFormat="0" applyBorder="0" applyAlignment="0" applyProtection="0"/>
    <xf numFmtId="219" fontId="51" fillId="18" borderId="0" applyNumberFormat="0" applyBorder="0" applyAlignment="0" applyProtection="0"/>
    <xf numFmtId="220" fontId="51" fillId="18" borderId="0" applyNumberFormat="0" applyBorder="0" applyAlignment="0" applyProtection="0"/>
    <xf numFmtId="219" fontId="51" fillId="18" borderId="0" applyNumberFormat="0" applyBorder="0" applyAlignment="0" applyProtection="0"/>
    <xf numFmtId="219" fontId="51" fillId="18" borderId="0" applyNumberFormat="0" applyBorder="0" applyAlignment="0" applyProtection="0"/>
    <xf numFmtId="219" fontId="51" fillId="18" borderId="0" applyNumberFormat="0" applyBorder="0" applyAlignment="0" applyProtection="0"/>
    <xf numFmtId="219" fontId="51" fillId="18" borderId="0" applyNumberFormat="0" applyBorder="0" applyAlignment="0" applyProtection="0"/>
    <xf numFmtId="219" fontId="51" fillId="18" borderId="0" applyNumberFormat="0" applyBorder="0" applyAlignment="0" applyProtection="0"/>
    <xf numFmtId="219" fontId="51" fillId="19" borderId="0" applyNumberFormat="0" applyBorder="0" applyAlignment="0" applyProtection="0"/>
    <xf numFmtId="220" fontId="51" fillId="19" borderId="0" applyNumberFormat="0" applyBorder="0" applyAlignment="0" applyProtection="0"/>
    <xf numFmtId="220" fontId="51" fillId="19" borderId="0" applyNumberFormat="0" applyBorder="0" applyAlignment="0" applyProtection="0"/>
    <xf numFmtId="219" fontId="51" fillId="19" borderId="0" applyNumberFormat="0" applyBorder="0" applyAlignment="0" applyProtection="0"/>
    <xf numFmtId="220" fontId="51" fillId="19" borderId="0" applyNumberFormat="0" applyBorder="0" applyAlignment="0" applyProtection="0"/>
    <xf numFmtId="219" fontId="51" fillId="19" borderId="0" applyNumberFormat="0" applyBorder="0" applyAlignment="0" applyProtection="0"/>
    <xf numFmtId="219" fontId="51" fillId="19" borderId="0" applyNumberFormat="0" applyBorder="0" applyAlignment="0" applyProtection="0"/>
    <xf numFmtId="219" fontId="51" fillId="19" borderId="0" applyNumberFormat="0" applyBorder="0" applyAlignment="0" applyProtection="0"/>
    <xf numFmtId="219" fontId="51" fillId="19" borderId="0" applyNumberFormat="0" applyBorder="0" applyAlignment="0" applyProtection="0"/>
    <xf numFmtId="219" fontId="51" fillId="19" borderId="0" applyNumberFormat="0" applyBorder="0" applyAlignment="0" applyProtection="0"/>
    <xf numFmtId="219" fontId="51" fillId="20" borderId="0" applyNumberFormat="0" applyBorder="0" applyAlignment="0" applyProtection="0"/>
    <xf numFmtId="220" fontId="51" fillId="20" borderId="0" applyNumberFormat="0" applyBorder="0" applyAlignment="0" applyProtection="0"/>
    <xf numFmtId="220" fontId="51" fillId="20" borderId="0" applyNumberFormat="0" applyBorder="0" applyAlignment="0" applyProtection="0"/>
    <xf numFmtId="219" fontId="51" fillId="20" borderId="0" applyNumberFormat="0" applyBorder="0" applyAlignment="0" applyProtection="0"/>
    <xf numFmtId="220" fontId="51" fillId="20" borderId="0" applyNumberFormat="0" applyBorder="0" applyAlignment="0" applyProtection="0"/>
    <xf numFmtId="219" fontId="51" fillId="20" borderId="0" applyNumberFormat="0" applyBorder="0" applyAlignment="0" applyProtection="0"/>
    <xf numFmtId="219" fontId="51" fillId="20" borderId="0" applyNumberFormat="0" applyBorder="0" applyAlignment="0" applyProtection="0"/>
    <xf numFmtId="219" fontId="51" fillId="20" borderId="0" applyNumberFormat="0" applyBorder="0" applyAlignment="0" applyProtection="0"/>
    <xf numFmtId="219" fontId="51" fillId="20" borderId="0" applyNumberFormat="0" applyBorder="0" applyAlignment="0" applyProtection="0"/>
    <xf numFmtId="219" fontId="51" fillId="20" borderId="0" applyNumberFormat="0" applyBorder="0" applyAlignment="0" applyProtection="0"/>
    <xf numFmtId="219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5" borderId="0" applyNumberFormat="0" applyBorder="0" applyAlignment="0" applyProtection="0"/>
    <xf numFmtId="219" fontId="51" fillId="15" borderId="0" applyNumberFormat="0" applyBorder="0" applyAlignment="0" applyProtection="0"/>
    <xf numFmtId="220" fontId="51" fillId="15" borderId="0" applyNumberFormat="0" applyBorder="0" applyAlignment="0" applyProtection="0"/>
    <xf numFmtId="219" fontId="51" fillId="15" borderId="0" applyNumberFormat="0" applyBorder="0" applyAlignment="0" applyProtection="0"/>
    <xf numFmtId="219" fontId="51" fillId="15" borderId="0" applyNumberFormat="0" applyBorder="0" applyAlignment="0" applyProtection="0"/>
    <xf numFmtId="219" fontId="51" fillId="15" borderId="0" applyNumberFormat="0" applyBorder="0" applyAlignment="0" applyProtection="0"/>
    <xf numFmtId="219" fontId="51" fillId="15" borderId="0" applyNumberFormat="0" applyBorder="0" applyAlignment="0" applyProtection="0"/>
    <xf numFmtId="219" fontId="51" fillId="15" borderId="0" applyNumberFormat="0" applyBorder="0" applyAlignment="0" applyProtection="0"/>
    <xf numFmtId="219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6" borderId="0" applyNumberFormat="0" applyBorder="0" applyAlignment="0" applyProtection="0"/>
    <xf numFmtId="219" fontId="51" fillId="16" borderId="0" applyNumberFormat="0" applyBorder="0" applyAlignment="0" applyProtection="0"/>
    <xf numFmtId="220" fontId="51" fillId="16" borderId="0" applyNumberFormat="0" applyBorder="0" applyAlignment="0" applyProtection="0"/>
    <xf numFmtId="219" fontId="51" fillId="16" borderId="0" applyNumberFormat="0" applyBorder="0" applyAlignment="0" applyProtection="0"/>
    <xf numFmtId="219" fontId="51" fillId="16" borderId="0" applyNumberFormat="0" applyBorder="0" applyAlignment="0" applyProtection="0"/>
    <xf numFmtId="219" fontId="51" fillId="16" borderId="0" applyNumberFormat="0" applyBorder="0" applyAlignment="0" applyProtection="0"/>
    <xf numFmtId="219" fontId="51" fillId="16" borderId="0" applyNumberFormat="0" applyBorder="0" applyAlignment="0" applyProtection="0"/>
    <xf numFmtId="219" fontId="51" fillId="16" borderId="0" applyNumberFormat="0" applyBorder="0" applyAlignment="0" applyProtection="0"/>
    <xf numFmtId="219" fontId="51" fillId="21" borderId="0" applyNumberFormat="0" applyBorder="0" applyAlignment="0" applyProtection="0"/>
    <xf numFmtId="220" fontId="51" fillId="21" borderId="0" applyNumberFormat="0" applyBorder="0" applyAlignment="0" applyProtection="0"/>
    <xf numFmtId="220" fontId="51" fillId="21" borderId="0" applyNumberFormat="0" applyBorder="0" applyAlignment="0" applyProtection="0"/>
    <xf numFmtId="219" fontId="51" fillId="21" borderId="0" applyNumberFormat="0" applyBorder="0" applyAlignment="0" applyProtection="0"/>
    <xf numFmtId="220" fontId="51" fillId="21" borderId="0" applyNumberFormat="0" applyBorder="0" applyAlignment="0" applyProtection="0"/>
    <xf numFmtId="219" fontId="51" fillId="21" borderId="0" applyNumberFormat="0" applyBorder="0" applyAlignment="0" applyProtection="0"/>
    <xf numFmtId="219" fontId="51" fillId="21" borderId="0" applyNumberFormat="0" applyBorder="0" applyAlignment="0" applyProtection="0"/>
    <xf numFmtId="219" fontId="51" fillId="21" borderId="0" applyNumberFormat="0" applyBorder="0" applyAlignment="0" applyProtection="0"/>
    <xf numFmtId="219" fontId="51" fillId="21" borderId="0" applyNumberFormat="0" applyBorder="0" applyAlignment="0" applyProtection="0"/>
    <xf numFmtId="219" fontId="51" fillId="21" borderId="0" applyNumberFormat="0" applyBorder="0" applyAlignment="0" applyProtection="0"/>
    <xf numFmtId="220" fontId="51" fillId="18" borderId="0" applyNumberFormat="0" applyBorder="0" applyAlignment="0" applyProtection="0"/>
    <xf numFmtId="220" fontId="51" fillId="19" borderId="0" applyNumberFormat="0" applyBorder="0" applyAlignment="0" applyProtection="0"/>
    <xf numFmtId="220" fontId="51" fillId="20" borderId="0" applyNumberFormat="0" applyBorder="0" applyAlignment="0" applyProtection="0"/>
    <xf numFmtId="220" fontId="51" fillId="15" borderId="0" applyNumberFormat="0" applyBorder="0" applyAlignment="0" applyProtection="0"/>
    <xf numFmtId="220" fontId="51" fillId="16" borderId="0" applyNumberFormat="0" applyBorder="0" applyAlignment="0" applyProtection="0"/>
    <xf numFmtId="220" fontId="51" fillId="21" borderId="0" applyNumberFormat="0" applyBorder="0" applyAlignment="0" applyProtection="0"/>
    <xf numFmtId="179" fontId="31" fillId="0" borderId="0" applyFill="0" applyBorder="0" applyAlignment="0"/>
    <xf numFmtId="179" fontId="31" fillId="0" borderId="0" applyFill="0" applyBorder="0" applyAlignment="0"/>
    <xf numFmtId="0" fontId="31" fillId="0" borderId="0" applyFill="0" applyBorder="0" applyAlignment="0"/>
    <xf numFmtId="0" fontId="8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219" fontId="73" fillId="8" borderId="93" applyNumberFormat="0" applyAlignment="0" applyProtection="0"/>
    <xf numFmtId="219" fontId="73" fillId="8" borderId="93" applyNumberFormat="0" applyAlignment="0" applyProtection="0"/>
    <xf numFmtId="219" fontId="73" fillId="8" borderId="93" applyNumberFormat="0" applyAlignment="0" applyProtection="0"/>
    <xf numFmtId="219" fontId="73" fillId="8" borderId="93" applyNumberFormat="0" applyAlignment="0" applyProtection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45" fillId="0" borderId="0">
      <alignment vertical="center"/>
    </xf>
    <xf numFmtId="183" fontId="31" fillId="0" borderId="0" applyFont="0" applyFill="0" applyBorder="0" applyAlignment="0" applyProtection="0"/>
    <xf numFmtId="219" fontId="31" fillId="0" borderId="0" applyFont="0" applyFill="0" applyBorder="0" applyAlignment="0" applyProtection="0"/>
    <xf numFmtId="183" fontId="31" fillId="0" borderId="0" applyFont="0" applyFill="0" applyBorder="0" applyAlignment="0" applyProtection="0"/>
    <xf numFmtId="183" fontId="31" fillId="0" borderId="0" applyFont="0" applyFill="0" applyBorder="0" applyAlignment="0" applyProtection="0"/>
    <xf numFmtId="228" fontId="31" fillId="0" borderId="0" applyFill="0" applyBorder="0" applyAlignment="0" applyProtection="0"/>
    <xf numFmtId="0" fontId="164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62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38" fontId="43" fillId="0" borderId="0" applyNumberFormat="0" applyFill="0" applyBorder="0" applyProtection="0">
      <alignment wrapText="1"/>
    </xf>
    <xf numFmtId="38" fontId="43" fillId="0" borderId="0" applyNumberFormat="0" applyFill="0" applyBorder="0" applyProtection="0">
      <alignment wrapText="1"/>
    </xf>
    <xf numFmtId="38" fontId="43" fillId="0" borderId="0" applyNumberFormat="0" applyFill="0" applyBorder="0" applyProtection="0">
      <alignment wrapText="1"/>
    </xf>
    <xf numFmtId="37" fontId="75" fillId="0" borderId="0" applyBorder="0" applyAlignment="0"/>
    <xf numFmtId="37" fontId="75" fillId="0" borderId="0" applyBorder="0" applyAlignment="0"/>
    <xf numFmtId="0" fontId="62" fillId="0" borderId="0">
      <protection locked="0"/>
    </xf>
    <xf numFmtId="3" fontId="70" fillId="0" borderId="0" applyFont="0" applyFill="0" applyBorder="0" applyAlignment="0" applyProtection="0"/>
    <xf numFmtId="0" fontId="62" fillId="0" borderId="0">
      <protection locked="0"/>
    </xf>
    <xf numFmtId="184" fontId="31" fillId="0" borderId="0">
      <protection locked="0"/>
    </xf>
    <xf numFmtId="184" fontId="31" fillId="0" borderId="0">
      <protection locked="0"/>
    </xf>
    <xf numFmtId="184" fontId="31" fillId="0" borderId="0">
      <protection locked="0"/>
    </xf>
    <xf numFmtId="185" fontId="62" fillId="0" borderId="0">
      <protection locked="0"/>
    </xf>
    <xf numFmtId="185" fontId="62" fillId="0" borderId="0">
      <protection locked="0"/>
    </xf>
    <xf numFmtId="0" fontId="165" fillId="0" borderId="0" applyFill="0" applyBorder="0" applyProtection="0">
      <alignment horizontal="left"/>
    </xf>
    <xf numFmtId="0" fontId="138" fillId="0" borderId="0"/>
    <xf numFmtId="38" fontId="162" fillId="0" borderId="10" applyBorder="0"/>
    <xf numFmtId="0" fontId="31" fillId="23" borderId="95" applyNumberFormat="0" applyFont="0" applyBorder="0" applyAlignment="0" applyProtection="0"/>
    <xf numFmtId="0" fontId="31" fillId="23" borderId="95" applyNumberFormat="0" applyFont="0" applyBorder="0" applyAlignment="0" applyProtection="0"/>
    <xf numFmtId="0" fontId="31" fillId="23" borderId="95" applyNumberFormat="0" applyFont="0" applyBorder="0" applyAlignment="0" applyProtection="0"/>
    <xf numFmtId="0" fontId="31" fillId="23" borderId="95" applyNumberFormat="0" applyFont="0" applyBorder="0" applyAlignment="0" applyProtection="0"/>
    <xf numFmtId="0" fontId="31" fillId="23" borderId="95" applyNumberFormat="0" applyFont="0" applyBorder="0" applyAlignment="0" applyProtection="0"/>
    <xf numFmtId="0" fontId="31" fillId="23" borderId="95" applyNumberFormat="0" applyFont="0" applyBorder="0" applyAlignment="0" applyProtection="0"/>
    <xf numFmtId="0" fontId="31" fillId="23" borderId="95" applyNumberFormat="0" applyFont="0" applyBorder="0" applyAlignment="0" applyProtection="0"/>
    <xf numFmtId="10" fontId="31" fillId="23" borderId="0" applyNumberFormat="0" applyFont="0" applyBorder="0" applyAlignment="0"/>
    <xf numFmtId="10" fontId="31" fillId="23" borderId="0" applyNumberFormat="0" applyFont="0" applyBorder="0" applyAlignment="0"/>
    <xf numFmtId="10" fontId="31" fillId="23" borderId="0" applyNumberFormat="0" applyFont="0" applyBorder="0" applyAlignment="0"/>
    <xf numFmtId="2" fontId="31" fillId="0" borderId="0"/>
    <xf numFmtId="2" fontId="31" fillId="0" borderId="0"/>
    <xf numFmtId="2" fontId="31" fillId="0" borderId="0"/>
    <xf numFmtId="2" fontId="31" fillId="0" borderId="0"/>
    <xf numFmtId="0" fontId="166" fillId="5" borderId="0" applyNumberFormat="0" applyBorder="0" applyAlignment="0" applyProtection="0"/>
    <xf numFmtId="38" fontId="43" fillId="9" borderId="0" applyNumberFormat="0" applyBorder="0" applyAlignment="0" applyProtection="0"/>
    <xf numFmtId="38" fontId="43" fillId="9" borderId="0" applyNumberFormat="0" applyBorder="0" applyAlignment="0" applyProtection="0"/>
    <xf numFmtId="38" fontId="43" fillId="9" borderId="0" applyNumberFormat="0" applyBorder="0" applyAlignment="0" applyProtection="0"/>
    <xf numFmtId="38" fontId="43" fillId="9" borderId="0" applyNumberFormat="0" applyBorder="0" applyAlignment="0" applyProtection="0"/>
    <xf numFmtId="38" fontId="43" fillId="9" borderId="0" applyNumberFormat="0" applyBorder="0" applyAlignment="0" applyProtection="0"/>
    <xf numFmtId="0" fontId="160" fillId="0" borderId="0" applyFont="0" applyFill="0" applyBorder="0" applyAlignment="0" applyProtection="0">
      <alignment horizontal="right"/>
    </xf>
    <xf numFmtId="0" fontId="80" fillId="0" borderId="16" applyNumberFormat="0" applyAlignment="0" applyProtection="0">
      <alignment horizontal="left" vertical="center"/>
    </xf>
    <xf numFmtId="0" fontId="80" fillId="0" borderId="16" applyNumberFormat="0" applyAlignment="0" applyProtection="0">
      <alignment horizontal="left" vertical="center"/>
    </xf>
    <xf numFmtId="0" fontId="80" fillId="0" borderId="16" applyNumberFormat="0" applyAlignment="0" applyProtection="0">
      <alignment horizontal="left" vertical="center"/>
    </xf>
    <xf numFmtId="0" fontId="80" fillId="0" borderId="16" applyNumberFormat="0" applyAlignment="0" applyProtection="0">
      <alignment horizontal="left" vertical="center"/>
    </xf>
    <xf numFmtId="0" fontId="80" fillId="0" borderId="16" applyNumberFormat="0" applyAlignment="0" applyProtection="0">
      <alignment horizontal="left" vertical="center"/>
    </xf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167" fillId="0" borderId="0" applyProtection="0">
      <alignment horizontal="left"/>
    </xf>
    <xf numFmtId="183" fontId="83" fillId="0" borderId="0" applyNumberFormat="0" applyFill="0" applyBorder="0" applyAlignment="0" applyProtection="0"/>
    <xf numFmtId="186" fontId="31" fillId="0" borderId="0">
      <protection locked="0"/>
    </xf>
    <xf numFmtId="186" fontId="31" fillId="0" borderId="0">
      <protection locked="0"/>
    </xf>
    <xf numFmtId="186" fontId="31" fillId="0" borderId="0">
      <protection locked="0"/>
    </xf>
    <xf numFmtId="186" fontId="31" fillId="0" borderId="0">
      <protection locked="0"/>
    </xf>
    <xf numFmtId="186" fontId="31" fillId="0" borderId="0">
      <protection locked="0"/>
    </xf>
    <xf numFmtId="186" fontId="31" fillId="0" borderId="0">
      <protection locked="0"/>
    </xf>
    <xf numFmtId="229" fontId="125" fillId="0" borderId="0" applyFill="0" applyBorder="0" applyAlignment="0" applyProtection="0"/>
    <xf numFmtId="0" fontId="84" fillId="0" borderId="19" applyNumberFormat="0" applyFill="0" applyAlignment="0" applyProtection="0"/>
    <xf numFmtId="0" fontId="84" fillId="0" borderId="19" applyNumberFormat="0" applyFill="0" applyAlignment="0" applyProtection="0"/>
    <xf numFmtId="0" fontId="168" fillId="0" borderId="0" applyNumberFormat="0" applyFill="0" applyBorder="0" applyAlignment="0" applyProtection="0">
      <alignment vertical="top"/>
      <protection locked="0"/>
    </xf>
    <xf numFmtId="0" fontId="168" fillId="0" borderId="0" applyNumberFormat="0" applyFill="0" applyBorder="0" applyAlignment="0" applyProtection="0">
      <alignment vertical="top"/>
      <protection locked="0"/>
    </xf>
    <xf numFmtId="0" fontId="30" fillId="0" borderId="0" applyNumberFormat="0" applyFill="0" applyBorder="0" applyAlignment="0" applyProtection="0">
      <alignment vertical="top"/>
      <protection locked="0"/>
    </xf>
    <xf numFmtId="0" fontId="57" fillId="4" borderId="0" applyNumberFormat="0" applyBorder="0" applyAlignment="0" applyProtection="0"/>
    <xf numFmtId="0" fontId="57" fillId="4" borderId="0" applyNumberFormat="0" applyBorder="0" applyAlignment="0" applyProtection="0"/>
    <xf numFmtId="0" fontId="45" fillId="0" borderId="0"/>
    <xf numFmtId="230" fontId="31" fillId="0" borderId="0" applyNumberFormat="0" applyFill="0" applyBorder="0" applyAlignment="0" applyProtection="0"/>
    <xf numFmtId="230" fontId="31" fillId="0" borderId="0" applyNumberFormat="0" applyFill="0" applyBorder="0" applyAlignment="0" applyProtection="0"/>
    <xf numFmtId="0" fontId="85" fillId="0" borderId="20" applyFill="0" applyBorder="0" applyAlignment="0">
      <alignment horizontal="center"/>
      <protection locked="0"/>
    </xf>
    <xf numFmtId="0" fontId="85" fillId="0" borderId="20" applyFill="0" applyBorder="0" applyAlignment="0">
      <alignment horizontal="center"/>
      <protection locked="0"/>
    </xf>
    <xf numFmtId="0" fontId="85" fillId="0" borderId="20" applyFill="0" applyBorder="0" applyAlignment="0">
      <alignment horizontal="center"/>
      <protection locked="0"/>
    </xf>
    <xf numFmtId="231" fontId="139" fillId="0" borderId="0"/>
    <xf numFmtId="231" fontId="139" fillId="0" borderId="0"/>
    <xf numFmtId="231" fontId="139" fillId="0" borderId="0"/>
    <xf numFmtId="232" fontId="139" fillId="0" borderId="0"/>
    <xf numFmtId="232" fontId="139" fillId="0" borderId="0"/>
    <xf numFmtId="232" fontId="139" fillId="0" borderId="0"/>
    <xf numFmtId="233" fontId="139" fillId="0" borderId="0"/>
    <xf numFmtId="233" fontId="139" fillId="0" borderId="0"/>
    <xf numFmtId="233" fontId="139" fillId="0" borderId="0"/>
    <xf numFmtId="10" fontId="43" fillId="23" borderId="94" applyNumberFormat="0" applyBorder="0" applyAlignment="0" applyProtection="0"/>
    <xf numFmtId="10" fontId="43" fillId="23" borderId="94" applyNumberFormat="0" applyBorder="0" applyAlignment="0" applyProtection="0"/>
    <xf numFmtId="0" fontId="31" fillId="0" borderId="0" applyFill="0" applyBorder="0" applyAlignment="0">
      <protection locked="0"/>
    </xf>
    <xf numFmtId="0" fontId="31" fillId="0" borderId="0" applyFill="0" applyBorder="0" applyAlignment="0">
      <protection locked="0"/>
    </xf>
    <xf numFmtId="0" fontId="31" fillId="0" borderId="0" applyFill="0" applyBorder="0" applyAlignment="0">
      <protection locked="0"/>
    </xf>
    <xf numFmtId="0" fontId="31" fillId="0" borderId="0" applyFill="0" applyBorder="0" applyAlignment="0">
      <protection locked="0"/>
    </xf>
    <xf numFmtId="0" fontId="71" fillId="0" borderId="0" applyFill="0" applyBorder="0" applyAlignment="0" applyProtection="0">
      <protection locked="0"/>
    </xf>
    <xf numFmtId="0" fontId="169" fillId="86" borderId="0" applyNumberFormat="0" applyBorder="0" applyAlignment="0">
      <protection locked="0"/>
    </xf>
    <xf numFmtId="0" fontId="73" fillId="8" borderId="93" applyNumberFormat="0" applyAlignment="0" applyProtection="0"/>
    <xf numFmtId="234" fontId="170" fillId="0" borderId="0"/>
    <xf numFmtId="0" fontId="30" fillId="0" borderId="0" applyNumberFormat="0" applyFill="0" applyBorder="0" applyAlignment="0" applyProtection="0">
      <alignment vertical="top"/>
      <protection locked="0"/>
    </xf>
    <xf numFmtId="179" fontId="31" fillId="0" borderId="0" applyFill="0" applyBorder="0" applyAlignment="0"/>
    <xf numFmtId="179" fontId="31" fillId="0" borderId="0" applyFill="0" applyBorder="0" applyAlignment="0"/>
    <xf numFmtId="0" fontId="31" fillId="0" borderId="0" applyFill="0" applyBorder="0" applyAlignment="0"/>
    <xf numFmtId="0" fontId="171" fillId="0" borderId="8" applyNumberFormat="0" applyFill="0" applyAlignment="0" applyProtection="0"/>
    <xf numFmtId="0" fontId="172" fillId="0" borderId="10">
      <alignment horizontal="left"/>
      <protection locked="0"/>
    </xf>
    <xf numFmtId="235" fontId="173" fillId="0" borderId="0" applyFont="0" applyFill="0" applyBorder="0" applyAlignment="0" applyProtection="0"/>
    <xf numFmtId="38" fontId="71" fillId="0" borderId="0" applyFont="0" applyFill="0" applyBorder="0" applyAlignment="0" applyProtection="0"/>
    <xf numFmtId="40" fontId="71" fillId="0" borderId="0" applyFont="0" applyFill="0" applyBorder="0" applyAlignment="0" applyProtection="0"/>
    <xf numFmtId="0" fontId="174" fillId="0" borderId="0" applyBorder="0"/>
    <xf numFmtId="236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237" fontId="20" fillId="0" borderId="0" applyFont="0" applyFill="0" applyBorder="0" applyAlignment="0" applyProtection="0"/>
    <xf numFmtId="237" fontId="20" fillId="0" borderId="0" applyFont="0" applyFill="0" applyBorder="0" applyAlignment="0" applyProtection="0"/>
    <xf numFmtId="237" fontId="20" fillId="0" borderId="0" applyFont="0" applyFill="0" applyBorder="0" applyAlignment="0" applyProtection="0"/>
    <xf numFmtId="166" fontId="29" fillId="0" borderId="0" applyFont="0" applyFill="0" applyBorder="0" applyAlignment="0" applyProtection="0"/>
    <xf numFmtId="237" fontId="20" fillId="0" borderId="0" applyFont="0" applyFill="0" applyBorder="0" applyAlignment="0" applyProtection="0"/>
    <xf numFmtId="237" fontId="20" fillId="0" borderId="0" applyFont="0" applyFill="0" applyBorder="0" applyAlignment="0" applyProtection="0"/>
    <xf numFmtId="237" fontId="20" fillId="0" borderId="0" applyFont="0" applyFill="0" applyBorder="0" applyAlignment="0" applyProtection="0"/>
    <xf numFmtId="237" fontId="20" fillId="0" borderId="0" applyFont="0" applyFill="0" applyBorder="0" applyAlignment="0" applyProtection="0"/>
    <xf numFmtId="237" fontId="20" fillId="0" borderId="0" applyFont="0" applyFill="0" applyBorder="0" applyAlignment="0" applyProtection="0"/>
    <xf numFmtId="237" fontId="20" fillId="0" borderId="0" applyFont="0" applyFill="0" applyBorder="0" applyAlignment="0" applyProtection="0"/>
    <xf numFmtId="237" fontId="20" fillId="0" borderId="0" applyFont="0" applyFill="0" applyBorder="0" applyAlignment="0" applyProtection="0"/>
    <xf numFmtId="237" fontId="20" fillId="0" borderId="0" applyFont="0" applyFill="0" applyBorder="0" applyAlignment="0" applyProtection="0"/>
    <xf numFmtId="237" fontId="20" fillId="0" borderId="0" applyFont="0" applyFill="0" applyBorder="0" applyAlignment="0" applyProtection="0"/>
    <xf numFmtId="237" fontId="20" fillId="0" borderId="0" applyFont="0" applyFill="0" applyBorder="0" applyAlignment="0" applyProtection="0"/>
    <xf numFmtId="237" fontId="20" fillId="0" borderId="0" applyFont="0" applyFill="0" applyBorder="0" applyAlignment="0" applyProtection="0"/>
    <xf numFmtId="237" fontId="20" fillId="0" borderId="0" applyFont="0" applyFill="0" applyBorder="0" applyAlignment="0" applyProtection="0"/>
    <xf numFmtId="237" fontId="20" fillId="0" borderId="0" applyFont="0" applyFill="0" applyBorder="0" applyAlignment="0" applyProtection="0"/>
    <xf numFmtId="237" fontId="20" fillId="0" borderId="0" applyFont="0" applyFill="0" applyBorder="0" applyAlignment="0" applyProtection="0"/>
    <xf numFmtId="237" fontId="20" fillId="0" borderId="0" applyFont="0" applyFill="0" applyBorder="0" applyAlignment="0" applyProtection="0"/>
    <xf numFmtId="166" fontId="29" fillId="0" borderId="0" applyFont="0" applyFill="0" applyBorder="0" applyAlignment="0" applyProtection="0"/>
    <xf numFmtId="166" fontId="31" fillId="0" borderId="0" applyFont="0" applyFill="0" applyBorder="0" applyAlignment="0" applyProtection="0"/>
    <xf numFmtId="166" fontId="49" fillId="0" borderId="0" applyFont="0" applyFill="0" applyBorder="0" applyAlignment="0" applyProtection="0"/>
    <xf numFmtId="187" fontId="62" fillId="0" borderId="0">
      <protection locked="0"/>
    </xf>
    <xf numFmtId="187" fontId="62" fillId="0" borderId="0">
      <protection locked="0"/>
    </xf>
    <xf numFmtId="238" fontId="31" fillId="0" borderId="0" applyFont="0" applyFill="0" applyBorder="0" applyAlignment="0" applyProtection="0"/>
    <xf numFmtId="239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70" fillId="0" borderId="0" applyFont="0" applyFill="0" applyBorder="0" applyAlignment="0" applyProtection="0"/>
    <xf numFmtId="0" fontId="62" fillId="0" borderId="0">
      <protection locked="0"/>
    </xf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60" fillId="0" borderId="0" applyFont="0" applyFill="0" applyBorder="0" applyAlignment="0" applyProtection="0">
      <alignment horizontal="right"/>
    </xf>
    <xf numFmtId="168" fontId="145" fillId="0" borderId="0" applyProtection="0"/>
    <xf numFmtId="240" fontId="145" fillId="0" borderId="0" applyProtection="0"/>
    <xf numFmtId="241" fontId="145" fillId="0" borderId="0" applyProtection="0"/>
    <xf numFmtId="168" fontId="145" fillId="0" borderId="0" applyProtection="0"/>
    <xf numFmtId="240" fontId="145" fillId="0" borderId="0" applyProtection="0"/>
    <xf numFmtId="241" fontId="145" fillId="0" borderId="0" applyProtection="0"/>
    <xf numFmtId="219" fontId="87" fillId="31" borderId="0" applyNumberFormat="0" applyBorder="0" applyAlignment="0" applyProtection="0"/>
    <xf numFmtId="220" fontId="87" fillId="31" borderId="0" applyNumberFormat="0" applyBorder="0" applyAlignment="0" applyProtection="0"/>
    <xf numFmtId="220" fontId="87" fillId="31" borderId="0" applyNumberFormat="0" applyBorder="0" applyAlignment="0" applyProtection="0"/>
    <xf numFmtId="219" fontId="87" fillId="31" borderId="0" applyNumberFormat="0" applyBorder="0" applyAlignment="0" applyProtection="0"/>
    <xf numFmtId="220" fontId="87" fillId="31" borderId="0" applyNumberFormat="0" applyBorder="0" applyAlignment="0" applyProtection="0"/>
    <xf numFmtId="219" fontId="87" fillId="31" borderId="0" applyNumberFormat="0" applyBorder="0" applyAlignment="0" applyProtection="0"/>
    <xf numFmtId="219" fontId="87" fillId="31" borderId="0" applyNumberFormat="0" applyBorder="0" applyAlignment="0" applyProtection="0"/>
    <xf numFmtId="219" fontId="87" fillId="31" borderId="0" applyNumberFormat="0" applyBorder="0" applyAlignment="0" applyProtection="0"/>
    <xf numFmtId="219" fontId="87" fillId="31" borderId="0" applyNumberFormat="0" applyBorder="0" applyAlignment="0" applyProtection="0"/>
    <xf numFmtId="219" fontId="87" fillId="31" borderId="0" applyNumberFormat="0" applyBorder="0" applyAlignment="0" applyProtection="0"/>
    <xf numFmtId="0" fontId="175" fillId="31" borderId="0" applyNumberFormat="0" applyBorder="0" applyAlignment="0" applyProtection="0"/>
    <xf numFmtId="0" fontId="31" fillId="0" borderId="0" applyNumberFormat="0" applyFill="0" applyBorder="0" applyAlignment="0" applyProtection="0"/>
    <xf numFmtId="37" fontId="88" fillId="0" borderId="0"/>
    <xf numFmtId="37" fontId="88" fillId="0" borderId="0"/>
    <xf numFmtId="0" fontId="45" fillId="0" borderId="0"/>
    <xf numFmtId="0" fontId="176" fillId="0" borderId="0"/>
    <xf numFmtId="0" fontId="176" fillId="0" borderId="0"/>
    <xf numFmtId="0" fontId="176" fillId="0" borderId="0"/>
    <xf numFmtId="0" fontId="176" fillId="0" borderId="0"/>
    <xf numFmtId="0" fontId="176" fillId="0" borderId="0"/>
    <xf numFmtId="0" fontId="176" fillId="0" borderId="0"/>
    <xf numFmtId="0" fontId="176" fillId="0" borderId="0"/>
    <xf numFmtId="0" fontId="176" fillId="0" borderId="0"/>
    <xf numFmtId="242" fontId="31" fillId="0" borderId="0"/>
    <xf numFmtId="242" fontId="31" fillId="0" borderId="0"/>
    <xf numFmtId="242" fontId="31" fillId="0" borderId="0"/>
    <xf numFmtId="242" fontId="31" fillId="0" borderId="0"/>
    <xf numFmtId="242" fontId="31" fillId="0" borderId="0"/>
    <xf numFmtId="232" fontId="139" fillId="0" borderId="0"/>
    <xf numFmtId="232" fontId="139" fillId="0" borderId="0"/>
    <xf numFmtId="232" fontId="139" fillId="0" borderId="0"/>
    <xf numFmtId="243" fontId="139" fillId="0" borderId="0">
      <alignment horizontal="right"/>
    </xf>
    <xf numFmtId="243" fontId="139" fillId="0" borderId="0">
      <alignment horizontal="right"/>
    </xf>
    <xf numFmtId="243" fontId="139" fillId="0" borderId="0">
      <alignment horizontal="right"/>
    </xf>
    <xf numFmtId="21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0" fontId="20" fillId="0" borderId="0"/>
    <xf numFmtId="0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0" fontId="20" fillId="0" borderId="0"/>
    <xf numFmtId="0" fontId="20" fillId="0" borderId="0"/>
    <xf numFmtId="21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0" fontId="20" fillId="0" borderId="0"/>
    <xf numFmtId="0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0" fontId="20" fillId="0" borderId="0"/>
    <xf numFmtId="0" fontId="20" fillId="0" borderId="0"/>
    <xf numFmtId="21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0" fontId="20" fillId="0" borderId="0"/>
    <xf numFmtId="0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0" fontId="20" fillId="0" borderId="0"/>
    <xf numFmtId="0" fontId="20" fillId="0" borderId="0"/>
    <xf numFmtId="21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0" fontId="20" fillId="0" borderId="0"/>
    <xf numFmtId="0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0" fontId="20" fillId="0" borderId="0"/>
    <xf numFmtId="0" fontId="20" fillId="0" borderId="0"/>
    <xf numFmtId="21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0" fontId="20" fillId="0" borderId="0"/>
    <xf numFmtId="0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0" fontId="20" fillId="0" borderId="0"/>
    <xf numFmtId="0" fontId="20" fillId="0" borderId="0"/>
    <xf numFmtId="21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0" fontId="20" fillId="0" borderId="0"/>
    <xf numFmtId="0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0" fontId="20" fillId="0" borderId="0"/>
    <xf numFmtId="0" fontId="20" fillId="0" borderId="0"/>
    <xf numFmtId="21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0" fontId="20" fillId="0" borderId="0"/>
    <xf numFmtId="0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0" fontId="20" fillId="0" borderId="0"/>
    <xf numFmtId="0" fontId="20" fillId="0" borderId="0"/>
    <xf numFmtId="21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0" fontId="20" fillId="0" borderId="0"/>
    <xf numFmtId="0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0" fontId="20" fillId="0" borderId="0"/>
    <xf numFmtId="0" fontId="20" fillId="0" borderId="0"/>
    <xf numFmtId="21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0" fontId="20" fillId="0" borderId="0"/>
    <xf numFmtId="0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0" fontId="20" fillId="0" borderId="0"/>
    <xf numFmtId="0" fontId="20" fillId="0" borderId="0"/>
    <xf numFmtId="21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0" fontId="20" fillId="0" borderId="0"/>
    <xf numFmtId="0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0" fontId="20" fillId="0" borderId="0"/>
    <xf numFmtId="0" fontId="20" fillId="0" borderId="0"/>
    <xf numFmtId="21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19" fontId="20" fillId="0" borderId="0"/>
    <xf numFmtId="219" fontId="20" fillId="0" borderId="0"/>
    <xf numFmtId="219" fontId="20" fillId="0" borderId="0"/>
    <xf numFmtId="0" fontId="29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0" fontId="20" fillId="0" borderId="0"/>
    <xf numFmtId="0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0" fontId="20" fillId="0" borderId="0"/>
    <xf numFmtId="0" fontId="20" fillId="0" borderId="0"/>
    <xf numFmtId="21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1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0" fontId="20" fillId="0" borderId="0"/>
    <xf numFmtId="0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0" fontId="20" fillId="0" borderId="0"/>
    <xf numFmtId="0" fontId="20" fillId="0" borderId="0"/>
    <xf numFmtId="21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0" fontId="20" fillId="0" borderId="0"/>
    <xf numFmtId="0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0" fontId="20" fillId="0" borderId="0"/>
    <xf numFmtId="0" fontId="20" fillId="0" borderId="0"/>
    <xf numFmtId="21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0" fontId="20" fillId="0" borderId="0"/>
    <xf numFmtId="0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0" fontId="20" fillId="0" borderId="0"/>
    <xf numFmtId="0" fontId="20" fillId="0" borderId="0"/>
    <xf numFmtId="21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0" fontId="20" fillId="0" borderId="0"/>
    <xf numFmtId="0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0" fontId="20" fillId="0" borderId="0"/>
    <xf numFmtId="0" fontId="20" fillId="0" borderId="0"/>
    <xf numFmtId="21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0" fontId="20" fillId="0" borderId="0"/>
    <xf numFmtId="0" fontId="20" fillId="0" borderId="0"/>
    <xf numFmtId="219" fontId="20" fillId="0" borderId="0"/>
    <xf numFmtId="219" fontId="20" fillId="0" borderId="0"/>
    <xf numFmtId="219" fontId="20" fillId="0" borderId="0"/>
    <xf numFmtId="219" fontId="20" fillId="0" borderId="0"/>
    <xf numFmtId="0" fontId="20" fillId="0" borderId="0"/>
    <xf numFmtId="0" fontId="20" fillId="0" borderId="0"/>
    <xf numFmtId="21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31" fillId="0" borderId="0" applyFill="0" applyBorder="0" applyAlignment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4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9" fillId="0" borderId="0"/>
    <xf numFmtId="0" fontId="29" fillId="0" borderId="0"/>
    <xf numFmtId="0" fontId="3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19" fontId="31" fillId="0" borderId="0"/>
    <xf numFmtId="22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0" fontId="31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0" fillId="0" borderId="0"/>
    <xf numFmtId="0" fontId="20" fillId="0" borderId="0"/>
    <xf numFmtId="0" fontId="3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6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6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6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6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19" fontId="31" fillId="0" borderId="0"/>
    <xf numFmtId="0" fontId="20" fillId="0" borderId="0"/>
    <xf numFmtId="0" fontId="20" fillId="0" borderId="0"/>
    <xf numFmtId="219" fontId="31" fillId="0" borderId="0"/>
    <xf numFmtId="219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19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19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19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19" fontId="71" fillId="0" borderId="0"/>
    <xf numFmtId="219" fontId="71" fillId="0" borderId="0"/>
    <xf numFmtId="219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19" fontId="71" fillId="0" borderId="0"/>
    <xf numFmtId="0" fontId="31" fillId="0" borderId="0"/>
    <xf numFmtId="219" fontId="71" fillId="0" borderId="0"/>
    <xf numFmtId="0" fontId="31" fillId="0" borderId="0"/>
    <xf numFmtId="0" fontId="31" fillId="0" borderId="0"/>
    <xf numFmtId="0" fontId="31" fillId="0" borderId="0"/>
    <xf numFmtId="219" fontId="71" fillId="0" borderId="0"/>
    <xf numFmtId="219" fontId="71" fillId="0" borderId="0"/>
    <xf numFmtId="0" fontId="31" fillId="0" borderId="0"/>
    <xf numFmtId="219" fontId="7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71" fillId="0" borderId="0"/>
    <xf numFmtId="0" fontId="31" fillId="0" borderId="0"/>
    <xf numFmtId="219" fontId="71" fillId="0" borderId="0"/>
    <xf numFmtId="219" fontId="71" fillId="0" borderId="0"/>
    <xf numFmtId="0" fontId="20" fillId="0" borderId="0"/>
    <xf numFmtId="0" fontId="20" fillId="0" borderId="0"/>
    <xf numFmtId="0" fontId="20" fillId="0" borderId="0"/>
    <xf numFmtId="219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19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19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219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19" fontId="71" fillId="0" borderId="0"/>
    <xf numFmtId="219" fontId="71" fillId="0" borderId="0"/>
    <xf numFmtId="219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19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19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19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19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19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219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219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219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19" fontId="71" fillId="0" borderId="0"/>
    <xf numFmtId="219" fontId="71" fillId="0" borderId="0"/>
    <xf numFmtId="219" fontId="71" fillId="0" borderId="0"/>
    <xf numFmtId="0" fontId="3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71" fillId="0" borderId="0"/>
    <xf numFmtId="0" fontId="31" fillId="0" borderId="0"/>
    <xf numFmtId="0" fontId="31" fillId="0" borderId="0"/>
    <xf numFmtId="0" fontId="31" fillId="0" borderId="0"/>
    <xf numFmtId="220" fontId="71" fillId="0" borderId="0"/>
    <xf numFmtId="219" fontId="71" fillId="0" borderId="0"/>
    <xf numFmtId="0" fontId="31" fillId="0" borderId="0"/>
    <xf numFmtId="0" fontId="31" fillId="0" borderId="0"/>
    <xf numFmtId="0" fontId="31" fillId="0" borderId="0"/>
    <xf numFmtId="219" fontId="71" fillId="0" borderId="0"/>
    <xf numFmtId="219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219" fontId="71" fillId="0" borderId="0"/>
    <xf numFmtId="0" fontId="31" fillId="0" borderId="0"/>
    <xf numFmtId="219" fontId="71" fillId="0" borderId="0"/>
    <xf numFmtId="219" fontId="71" fillId="0" borderId="0"/>
    <xf numFmtId="219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219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19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219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19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219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19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219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219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19" fontId="71" fillId="0" borderId="0"/>
    <xf numFmtId="0" fontId="31" fillId="0" borderId="0"/>
    <xf numFmtId="219" fontId="71" fillId="0" borderId="0"/>
    <xf numFmtId="219" fontId="71" fillId="0" borderId="0"/>
    <xf numFmtId="0" fontId="20" fillId="0" borderId="0"/>
    <xf numFmtId="0" fontId="20" fillId="0" borderId="0"/>
    <xf numFmtId="0" fontId="20" fillId="0" borderId="0"/>
    <xf numFmtId="219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19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19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22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219" fontId="71" fillId="0" borderId="0"/>
    <xf numFmtId="0" fontId="31" fillId="0" borderId="0"/>
    <xf numFmtId="219" fontId="71" fillId="0" borderId="0"/>
    <xf numFmtId="0" fontId="31" fillId="0" borderId="0"/>
    <xf numFmtId="0" fontId="31" fillId="0" borderId="0"/>
    <xf numFmtId="0" fontId="31" fillId="0" borderId="0"/>
    <xf numFmtId="219" fontId="71" fillId="0" borderId="0"/>
    <xf numFmtId="219" fontId="71" fillId="0" borderId="0"/>
    <xf numFmtId="219" fontId="71" fillId="0" borderId="0"/>
    <xf numFmtId="0" fontId="31" fillId="0" borderId="0"/>
    <xf numFmtId="0" fontId="31" fillId="0" borderId="0"/>
    <xf numFmtId="219" fontId="71" fillId="0" borderId="0"/>
    <xf numFmtId="0" fontId="31" fillId="0" borderId="0"/>
    <xf numFmtId="0" fontId="3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71" fillId="0" borderId="0"/>
    <xf numFmtId="0" fontId="31" fillId="0" borderId="0"/>
    <xf numFmtId="0" fontId="71" fillId="0" borderId="0"/>
    <xf numFmtId="0" fontId="31" fillId="0" borderId="0"/>
    <xf numFmtId="0" fontId="71" fillId="0" borderId="0"/>
    <xf numFmtId="0" fontId="31" fillId="0" borderId="0"/>
    <xf numFmtId="0" fontId="71" fillId="0" borderId="0"/>
    <xf numFmtId="0" fontId="3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3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219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19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19" fontId="7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19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19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219" fontId="71" fillId="0" borderId="0"/>
    <xf numFmtId="0" fontId="20" fillId="0" borderId="0"/>
    <xf numFmtId="0" fontId="20" fillId="0" borderId="0"/>
    <xf numFmtId="0" fontId="20" fillId="0" borderId="0"/>
    <xf numFmtId="219" fontId="71" fillId="0" borderId="0"/>
    <xf numFmtId="219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19" fontId="71" fillId="0" borderId="0"/>
    <xf numFmtId="0" fontId="31" fillId="0" borderId="0"/>
    <xf numFmtId="219" fontId="71" fillId="0" borderId="0"/>
    <xf numFmtId="219" fontId="71" fillId="0" borderId="0"/>
    <xf numFmtId="219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219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19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36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31" fillId="0" borderId="0"/>
    <xf numFmtId="219" fontId="31" fillId="0" borderId="0"/>
    <xf numFmtId="219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31" fillId="0" borderId="0"/>
    <xf numFmtId="219" fontId="31" fillId="0" borderId="0"/>
    <xf numFmtId="219" fontId="31" fillId="0" borderId="0"/>
    <xf numFmtId="219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19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219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19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19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19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19" fontId="3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19" fontId="31" fillId="0" borderId="0"/>
    <xf numFmtId="219" fontId="31" fillId="0" borderId="0"/>
    <xf numFmtId="219" fontId="31" fillId="0" borderId="0"/>
    <xf numFmtId="219" fontId="31" fillId="0" borderId="0"/>
    <xf numFmtId="219" fontId="31" fillId="0" borderId="0"/>
    <xf numFmtId="219" fontId="31" fillId="0" borderId="0"/>
    <xf numFmtId="219" fontId="31" fillId="0" borderId="0"/>
    <xf numFmtId="219" fontId="31" fillId="0" borderId="0"/>
    <xf numFmtId="219" fontId="31" fillId="0" borderId="0"/>
    <xf numFmtId="219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19" fontId="31" fillId="0" borderId="0"/>
    <xf numFmtId="219" fontId="31" fillId="0" borderId="0"/>
    <xf numFmtId="219" fontId="31" fillId="0" borderId="0"/>
    <xf numFmtId="219" fontId="31" fillId="0" borderId="0"/>
    <xf numFmtId="219" fontId="31" fillId="0" borderId="0"/>
    <xf numFmtId="220" fontId="31" fillId="0" borderId="0"/>
    <xf numFmtId="219" fontId="31" fillId="0" borderId="0"/>
    <xf numFmtId="219" fontId="31" fillId="0" borderId="0"/>
    <xf numFmtId="219" fontId="31" fillId="0" borderId="0"/>
    <xf numFmtId="0" fontId="31" fillId="0" borderId="0"/>
    <xf numFmtId="220" fontId="7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220" fontId="7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219" fontId="31" fillId="0" borderId="0"/>
    <xf numFmtId="0" fontId="31" fillId="0" borderId="0"/>
    <xf numFmtId="220" fontId="31" fillId="0" borderId="0"/>
    <xf numFmtId="0" fontId="31" fillId="0" borderId="0"/>
    <xf numFmtId="0" fontId="31" fillId="0" borderId="0"/>
    <xf numFmtId="219" fontId="31" fillId="0" borderId="0"/>
    <xf numFmtId="220" fontId="31" fillId="0" borderId="0"/>
    <xf numFmtId="219" fontId="31" fillId="0" borderId="0"/>
    <xf numFmtId="0" fontId="31" fillId="0" borderId="0"/>
    <xf numFmtId="219" fontId="31" fillId="0" borderId="0"/>
    <xf numFmtId="0" fontId="31" fillId="0" borderId="0"/>
    <xf numFmtId="219" fontId="31" fillId="0" borderId="0"/>
    <xf numFmtId="219" fontId="31" fillId="0" borderId="0"/>
    <xf numFmtId="219" fontId="31" fillId="0" borderId="0"/>
    <xf numFmtId="0" fontId="31" fillId="0" borderId="0"/>
    <xf numFmtId="219" fontId="31" fillId="0" borderId="0"/>
    <xf numFmtId="0" fontId="31" fillId="0" borderId="0"/>
    <xf numFmtId="219" fontId="31" fillId="0" borderId="0"/>
    <xf numFmtId="219" fontId="31" fillId="0" borderId="0"/>
    <xf numFmtId="219" fontId="31" fillId="0" borderId="0"/>
    <xf numFmtId="219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9" fontId="31" fillId="0" borderId="0"/>
    <xf numFmtId="219" fontId="31" fillId="0" borderId="0"/>
    <xf numFmtId="219" fontId="31" fillId="0" borderId="0"/>
    <xf numFmtId="219" fontId="31" fillId="0" borderId="0"/>
    <xf numFmtId="219" fontId="31" fillId="0" borderId="0"/>
    <xf numFmtId="219" fontId="31" fillId="0" borderId="0"/>
    <xf numFmtId="219" fontId="31" fillId="0" borderId="0"/>
    <xf numFmtId="219" fontId="31" fillId="0" borderId="0"/>
    <xf numFmtId="219" fontId="31" fillId="0" borderId="0"/>
    <xf numFmtId="219" fontId="3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31" fillId="0" borderId="0">
      <alignment vertical="top"/>
    </xf>
    <xf numFmtId="219" fontId="31" fillId="0" borderId="0"/>
    <xf numFmtId="219" fontId="31" fillId="0" borderId="0"/>
    <xf numFmtId="219" fontId="31" fillId="0" borderId="0"/>
    <xf numFmtId="219" fontId="31" fillId="0" borderId="0"/>
    <xf numFmtId="219" fontId="31" fillId="0" borderId="0"/>
    <xf numFmtId="220" fontId="31" fillId="0" borderId="0"/>
    <xf numFmtId="219" fontId="31" fillId="0" borderId="0"/>
    <xf numFmtId="219" fontId="31" fillId="0" borderId="0"/>
    <xf numFmtId="219" fontId="31" fillId="0" borderId="0"/>
    <xf numFmtId="0" fontId="20" fillId="0" borderId="0"/>
    <xf numFmtId="0" fontId="71" fillId="0" borderId="0"/>
    <xf numFmtId="220" fontId="71" fillId="0" borderId="0"/>
    <xf numFmtId="219" fontId="31" fillId="0" borderId="0"/>
    <xf numFmtId="0" fontId="31" fillId="0" borderId="0"/>
    <xf numFmtId="220" fontId="31" fillId="0" borderId="0"/>
    <xf numFmtId="219" fontId="31" fillId="0" borderId="0"/>
    <xf numFmtId="220" fontId="31" fillId="0" borderId="0"/>
    <xf numFmtId="219" fontId="31" fillId="0" borderId="0"/>
    <xf numFmtId="219" fontId="31" fillId="0" borderId="0"/>
    <xf numFmtId="219" fontId="31" fillId="0" borderId="0"/>
    <xf numFmtId="183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31" fillId="0" borderId="0"/>
    <xf numFmtId="0" fontId="3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31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77" fillId="0" borderId="0"/>
    <xf numFmtId="0" fontId="145" fillId="0" borderId="0"/>
    <xf numFmtId="0" fontId="173" fillId="0" borderId="0"/>
    <xf numFmtId="0" fontId="147" fillId="0" borderId="0"/>
    <xf numFmtId="219" fontId="31" fillId="32" borderId="97" applyNumberFormat="0" applyFont="0" applyAlignment="0" applyProtection="0"/>
    <xf numFmtId="219" fontId="31" fillId="32" borderId="97" applyNumberFormat="0" applyFont="0" applyAlignment="0" applyProtection="0"/>
    <xf numFmtId="219" fontId="31" fillId="32" borderId="97" applyNumberFormat="0" applyFont="0" applyAlignment="0" applyProtection="0"/>
    <xf numFmtId="219" fontId="31" fillId="32" borderId="97" applyNumberFormat="0" applyFont="0" applyAlignment="0" applyProtection="0"/>
    <xf numFmtId="219" fontId="31" fillId="32" borderId="97" applyNumberFormat="0" applyFont="0" applyAlignment="0" applyProtection="0"/>
    <xf numFmtId="219" fontId="31" fillId="32" borderId="97" applyNumberFormat="0" applyFont="0" applyAlignment="0" applyProtection="0"/>
    <xf numFmtId="219" fontId="31" fillId="32" borderId="97" applyNumberFormat="0" applyFont="0" applyAlignment="0" applyProtection="0"/>
    <xf numFmtId="219" fontId="31" fillId="32" borderId="97" applyNumberFormat="0" applyFont="0" applyAlignment="0" applyProtection="0"/>
    <xf numFmtId="219" fontId="31" fillId="32" borderId="97" applyNumberFormat="0" applyFont="0" applyAlignment="0" applyProtection="0"/>
    <xf numFmtId="219" fontId="31" fillId="32" borderId="97" applyNumberFormat="0" applyFont="0" applyAlignment="0" applyProtection="0"/>
    <xf numFmtId="219" fontId="31" fillId="32" borderId="97" applyNumberFormat="0" applyFont="0" applyAlignment="0" applyProtection="0"/>
    <xf numFmtId="219" fontId="31" fillId="32" borderId="97" applyNumberFormat="0" applyFont="0" applyAlignment="0" applyProtection="0"/>
    <xf numFmtId="219" fontId="31" fillId="32" borderId="97" applyNumberFormat="0" applyFont="0" applyAlignment="0" applyProtection="0"/>
    <xf numFmtId="219" fontId="31" fillId="32" borderId="97" applyNumberFormat="0" applyFont="0" applyAlignment="0" applyProtection="0"/>
    <xf numFmtId="219" fontId="31" fillId="32" borderId="97" applyNumberFormat="0" applyFont="0" applyAlignment="0" applyProtection="0"/>
    <xf numFmtId="220" fontId="31" fillId="32" borderId="97" applyNumberFormat="0" applyFont="0" applyAlignment="0" applyProtection="0"/>
    <xf numFmtId="219" fontId="31" fillId="32" borderId="97" applyNumberFormat="0" applyFont="0" applyAlignment="0" applyProtection="0"/>
    <xf numFmtId="219" fontId="31" fillId="32" borderId="97" applyNumberFormat="0" applyFont="0" applyAlignment="0" applyProtection="0"/>
    <xf numFmtId="219" fontId="31" fillId="32" borderId="97" applyNumberFormat="0" applyFont="0" applyAlignment="0" applyProtection="0"/>
    <xf numFmtId="219" fontId="31" fillId="32" borderId="97" applyNumberFormat="0" applyFont="0" applyAlignment="0" applyProtection="0"/>
    <xf numFmtId="0" fontId="178" fillId="0" borderId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9" fillId="33" borderId="29"/>
    <xf numFmtId="1" fontId="180" fillId="0" borderId="0" applyProtection="0">
      <alignment horizontal="right" vertical="center"/>
    </xf>
    <xf numFmtId="177" fontId="181" fillId="0" borderId="55">
      <alignment vertical="center"/>
    </xf>
    <xf numFmtId="0" fontId="69" fillId="0" borderId="0"/>
    <xf numFmtId="0" fontId="54" fillId="0" borderId="0"/>
    <xf numFmtId="0" fontId="31" fillId="0" borderId="54" applyFont="0" applyFill="0" applyBorder="0" applyAlignment="0" applyProtection="0">
      <alignment horizontal="right"/>
    </xf>
    <xf numFmtId="244" fontId="125" fillId="82" borderId="0" applyFill="0" applyBorder="0" applyAlignment="0" applyProtection="0">
      <protection locked="0"/>
    </xf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245" fontId="125" fillId="82" borderId="0" applyFill="0" applyBorder="0" applyAlignment="0" applyProtection="0">
      <alignment vertical="top"/>
    </xf>
    <xf numFmtId="246" fontId="125" fillId="0" borderId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180" fontId="31" fillId="0" borderId="0" applyFont="0" applyFill="0" applyBorder="0" applyAlignment="0" applyProtection="0"/>
    <xf numFmtId="180" fontId="31" fillId="0" borderId="0" applyFont="0" applyFill="0" applyBorder="0" applyAlignment="0" applyProtection="0"/>
    <xf numFmtId="180" fontId="31" fillId="0" borderId="0" applyFont="0" applyFill="0" applyBorder="0" applyAlignment="0" applyProtection="0"/>
    <xf numFmtId="175" fontId="31" fillId="0" borderId="0" applyFont="0" applyFill="0" applyBorder="0" applyAlignment="0" applyProtection="0"/>
    <xf numFmtId="10" fontId="31" fillId="0" borderId="0" applyFont="0" applyFill="0" applyBorder="0" applyAlignment="0" applyProtection="0"/>
    <xf numFmtId="1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1" fillId="0" borderId="0" applyFont="0" applyFill="0" applyBorder="0" applyAlignment="0" applyProtection="0"/>
    <xf numFmtId="247" fontId="145" fillId="0" borderId="0" applyProtection="0"/>
    <xf numFmtId="248" fontId="145" fillId="0" borderId="0" applyProtection="0"/>
    <xf numFmtId="173" fontId="145" fillId="0" borderId="0" applyProtection="0"/>
    <xf numFmtId="247" fontId="145" fillId="0" borderId="0" applyProtection="0"/>
    <xf numFmtId="248" fontId="145" fillId="0" borderId="0" applyProtection="0"/>
    <xf numFmtId="173" fontId="145" fillId="0" borderId="0" applyProtection="0"/>
    <xf numFmtId="10" fontId="70" fillId="0" borderId="0" applyFont="0" applyFill="0" applyBorder="0" applyAlignment="0" applyProtection="0"/>
    <xf numFmtId="249" fontId="62" fillId="0" borderId="0">
      <protection locked="0"/>
    </xf>
    <xf numFmtId="192" fontId="62" fillId="0" borderId="0">
      <protection locked="0"/>
    </xf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62" fillId="0" borderId="0">
      <protection locked="0"/>
    </xf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10" fontId="70" fillId="0" borderId="0" applyFont="0" applyFill="0" applyBorder="0" applyAlignment="0" applyProtection="0"/>
    <xf numFmtId="0" fontId="32" fillId="22" borderId="36" applyNumberFormat="0" applyFont="0" applyBorder="0" applyAlignment="0" applyProtection="0"/>
    <xf numFmtId="0" fontId="32" fillId="22" borderId="36" applyNumberFormat="0" applyFont="0" applyBorder="0" applyAlignment="0" applyProtection="0"/>
    <xf numFmtId="0" fontId="32" fillId="22" borderId="36" applyNumberFormat="0" applyFont="0" applyBorder="0" applyAlignment="0" applyProtection="0"/>
    <xf numFmtId="0" fontId="32" fillId="22" borderId="36" applyNumberFormat="0" applyFont="0" applyBorder="0" applyAlignment="0" applyProtection="0"/>
    <xf numFmtId="0" fontId="32" fillId="22" borderId="36" applyNumberFormat="0" applyFont="0" applyBorder="0" applyAlignment="0" applyProtection="0"/>
    <xf numFmtId="0" fontId="32" fillId="22" borderId="36" applyNumberFormat="0" applyFont="0" applyBorder="0" applyAlignment="0" applyProtection="0"/>
    <xf numFmtId="179" fontId="31" fillId="0" borderId="0" applyFill="0" applyBorder="0" applyAlignment="0"/>
    <xf numFmtId="179" fontId="31" fillId="0" borderId="0" applyFill="0" applyBorder="0" applyAlignment="0"/>
    <xf numFmtId="0" fontId="31" fillId="0" borderId="0" applyFill="0" applyBorder="0" applyAlignment="0"/>
    <xf numFmtId="0" fontId="182" fillId="0" borderId="0" applyNumberFormat="0">
      <alignment horizontal="left"/>
    </xf>
    <xf numFmtId="230" fontId="31" fillId="0" borderId="0" applyNumberFormat="0" applyAlignment="0">
      <alignment horizontal="left"/>
    </xf>
    <xf numFmtId="0" fontId="71" fillId="0" borderId="0" applyNumberFormat="0" applyFont="0" applyFill="0" applyBorder="0" applyAlignment="0" applyProtection="0">
      <alignment horizontal="left"/>
    </xf>
    <xf numFmtId="15" fontId="71" fillId="0" borderId="0" applyFont="0" applyFill="0" applyBorder="0" applyAlignment="0" applyProtection="0"/>
    <xf numFmtId="4" fontId="71" fillId="0" borderId="0" applyFont="0" applyFill="0" applyBorder="0" applyAlignment="0" applyProtection="0"/>
    <xf numFmtId="0" fontId="120" fillId="0" borderId="106">
      <alignment horizontal="center"/>
    </xf>
    <xf numFmtId="3" fontId="71" fillId="0" borderId="0" applyFont="0" applyFill="0" applyBorder="0" applyAlignment="0" applyProtection="0"/>
    <xf numFmtId="0" fontId="71" fillId="28" borderId="0" applyNumberFormat="0" applyFont="0" applyBorder="0" applyAlignment="0" applyProtection="0"/>
    <xf numFmtId="3" fontId="31" fillId="0" borderId="0" applyFont="0" applyFill="0" applyBorder="0" applyAlignment="0" applyProtection="0"/>
    <xf numFmtId="3" fontId="31" fillId="0" borderId="0" applyFont="0" applyFill="0" applyBorder="0" applyAlignment="0" applyProtection="0"/>
    <xf numFmtId="3" fontId="31" fillId="0" borderId="0" applyFont="0" applyFill="0" applyBorder="0" applyAlignment="0" applyProtection="0"/>
    <xf numFmtId="0" fontId="183" fillId="0" borderId="94">
      <alignment horizontal="center" vertical="center"/>
    </xf>
    <xf numFmtId="0" fontId="184" fillId="0" borderId="107" applyBorder="0">
      <alignment vertical="top"/>
      <protection locked="0"/>
    </xf>
    <xf numFmtId="3" fontId="44" fillId="0" borderId="0" applyFill="0" applyBorder="0" applyAlignment="0" applyProtection="0"/>
    <xf numFmtId="3" fontId="44" fillId="0" borderId="0" applyFill="0" applyBorder="0" applyAlignment="0" applyProtection="0"/>
    <xf numFmtId="0" fontId="185" fillId="0" borderId="10" applyNumberFormat="0" applyFill="0" applyBorder="0" applyAlignment="0" applyProtection="0">
      <protection hidden="1"/>
    </xf>
    <xf numFmtId="38" fontId="182" fillId="0" borderId="0"/>
    <xf numFmtId="219" fontId="91" fillId="26" borderId="98" applyNumberFormat="0" applyAlignment="0" applyProtection="0"/>
    <xf numFmtId="220" fontId="91" fillId="26" borderId="98" applyNumberFormat="0" applyAlignment="0" applyProtection="0"/>
    <xf numFmtId="219" fontId="91" fillId="26" borderId="98" applyNumberFormat="0" applyAlignment="0" applyProtection="0"/>
    <xf numFmtId="219" fontId="91" fillId="26" borderId="98" applyNumberFormat="0" applyAlignment="0" applyProtection="0"/>
    <xf numFmtId="219" fontId="91" fillId="26" borderId="98" applyNumberFormat="0" applyAlignment="0" applyProtection="0"/>
    <xf numFmtId="219" fontId="91" fillId="26" borderId="98" applyNumberFormat="0" applyAlignment="0" applyProtection="0"/>
    <xf numFmtId="4" fontId="50" fillId="0" borderId="102" applyNumberFormat="0" applyProtection="0">
      <alignment vertical="center"/>
    </xf>
    <xf numFmtId="4" fontId="130" fillId="29" borderId="102" applyNumberFormat="0" applyProtection="0">
      <alignment vertical="center"/>
    </xf>
    <xf numFmtId="4" fontId="50" fillId="0" borderId="102" applyNumberFormat="0" applyProtection="0">
      <alignment horizontal="left" vertical="center" indent="1"/>
    </xf>
    <xf numFmtId="0" fontId="50" fillId="0" borderId="102" applyNumberFormat="0" applyProtection="0">
      <alignment horizontal="left" vertical="top" indent="1"/>
    </xf>
    <xf numFmtId="0" fontId="31" fillId="87" borderId="98" applyNumberFormat="0" applyProtection="0">
      <alignment horizontal="left" vertical="center" indent="1"/>
    </xf>
    <xf numFmtId="4" fontId="50" fillId="0" borderId="0" applyNumberFormat="0" applyProtection="0">
      <alignment horizontal="left" vertical="center" indent="1"/>
    </xf>
    <xf numFmtId="4" fontId="50" fillId="50" borderId="0" applyNumberFormat="0" applyProtection="0">
      <alignment horizontal="left" vertical="center" indent="1"/>
    </xf>
    <xf numFmtId="4" fontId="36" fillId="4" borderId="102" applyNumberFormat="0" applyProtection="0">
      <alignment horizontal="right" vertical="center"/>
    </xf>
    <xf numFmtId="4" fontId="36" fillId="11" borderId="102" applyNumberFormat="0" applyProtection="0">
      <alignment horizontal="right" vertical="center"/>
    </xf>
    <xf numFmtId="4" fontId="36" fillId="19" borderId="102" applyNumberFormat="0" applyProtection="0">
      <alignment horizontal="right" vertical="center"/>
    </xf>
    <xf numFmtId="4" fontId="36" fillId="13" borderId="102" applyNumberFormat="0" applyProtection="0">
      <alignment horizontal="right" vertical="center"/>
    </xf>
    <xf numFmtId="4" fontId="36" fillId="17" borderId="102" applyNumberFormat="0" applyProtection="0">
      <alignment horizontal="right" vertical="center"/>
    </xf>
    <xf numFmtId="4" fontId="36" fillId="21" borderId="102" applyNumberFormat="0" applyProtection="0">
      <alignment horizontal="right" vertical="center"/>
    </xf>
    <xf numFmtId="4" fontId="36" fillId="20" borderId="102" applyNumberFormat="0" applyProtection="0">
      <alignment horizontal="right" vertical="center"/>
    </xf>
    <xf numFmtId="4" fontId="36" fillId="48" borderId="102" applyNumberFormat="0" applyProtection="0">
      <alignment horizontal="right" vertical="center"/>
    </xf>
    <xf numFmtId="4" fontId="36" fillId="12" borderId="102" applyNumberFormat="0" applyProtection="0">
      <alignment horizontal="right" vertical="center"/>
    </xf>
    <xf numFmtId="4" fontId="36" fillId="0" borderId="0" applyNumberFormat="0" applyProtection="0">
      <alignment horizontal="left" vertical="center" indent="1"/>
    </xf>
    <xf numFmtId="4" fontId="36" fillId="0" borderId="0" applyNumberFormat="0" applyProtection="0">
      <alignment horizontal="left" vertical="center" indent="1"/>
    </xf>
    <xf numFmtId="4" fontId="36" fillId="0" borderId="0" applyNumberFormat="0" applyProtection="0">
      <alignment horizontal="left" vertical="center" indent="1"/>
    </xf>
    <xf numFmtId="4" fontId="36" fillId="0" borderId="0" applyNumberFormat="0" applyProtection="0">
      <alignment horizontal="left" vertical="center" indent="1"/>
    </xf>
    <xf numFmtId="4" fontId="131" fillId="88" borderId="0" applyNumberFormat="0" applyProtection="0">
      <alignment horizontal="left" vertical="center" indent="1"/>
    </xf>
    <xf numFmtId="4" fontId="36" fillId="50" borderId="102" applyNumberFormat="0" applyProtection="0">
      <alignment horizontal="right" vertical="center"/>
    </xf>
    <xf numFmtId="4" fontId="36" fillId="0" borderId="0" applyNumberFormat="0" applyProtection="0">
      <alignment horizontal="left" vertical="center" indent="1"/>
    </xf>
    <xf numFmtId="4" fontId="36" fillId="0" borderId="0" applyNumberFormat="0" applyProtection="0">
      <alignment horizontal="left" vertical="center" indent="1"/>
    </xf>
    <xf numFmtId="4" fontId="36" fillId="89" borderId="98" applyNumberFormat="0" applyProtection="0">
      <alignment horizontal="left" vertical="center" indent="1"/>
    </xf>
    <xf numFmtId="4" fontId="50" fillId="0" borderId="0" applyNumberFormat="0" applyProtection="0">
      <alignment horizontal="left" vertical="center" indent="1"/>
    </xf>
    <xf numFmtId="0" fontId="31" fillId="49" borderId="102" applyNumberFormat="0" applyProtection="0">
      <alignment horizontal="left" vertical="top" indent="1"/>
    </xf>
    <xf numFmtId="0" fontId="31" fillId="51" borderId="102" applyNumberFormat="0" applyProtection="0">
      <alignment horizontal="left" vertical="top" indent="1"/>
    </xf>
    <xf numFmtId="0" fontId="31" fillId="22" borderId="102" applyNumberFormat="0" applyProtection="0">
      <alignment horizontal="left" vertical="top" indent="1"/>
    </xf>
    <xf numFmtId="0" fontId="31" fillId="52" borderId="102" applyNumberFormat="0" applyProtection="0">
      <alignment horizontal="left" vertical="center" indent="1"/>
    </xf>
    <xf numFmtId="0" fontId="31" fillId="52" borderId="102" applyNumberFormat="0" applyProtection="0">
      <alignment horizontal="left" vertical="top" indent="1"/>
    </xf>
    <xf numFmtId="0" fontId="31" fillId="82" borderId="94" applyNumberFormat="0">
      <protection locked="0"/>
    </xf>
    <xf numFmtId="4" fontId="36" fillId="23" borderId="102" applyNumberFormat="0" applyProtection="0">
      <alignment vertical="center"/>
    </xf>
    <xf numFmtId="4" fontId="132" fillId="23" borderId="102" applyNumberFormat="0" applyProtection="0">
      <alignment vertical="center"/>
    </xf>
    <xf numFmtId="4" fontId="36" fillId="23" borderId="102" applyNumberFormat="0" applyProtection="0">
      <alignment horizontal="left" vertical="center" indent="1"/>
    </xf>
    <xf numFmtId="0" fontId="36" fillId="23" borderId="102" applyNumberFormat="0" applyProtection="0">
      <alignment horizontal="left" vertical="top" indent="1"/>
    </xf>
    <xf numFmtId="4" fontId="132" fillId="0" borderId="102" applyNumberFormat="0" applyProtection="0">
      <alignment horizontal="right" vertical="center"/>
    </xf>
    <xf numFmtId="0" fontId="186" fillId="0" borderId="0"/>
    <xf numFmtId="4" fontId="121" fillId="0" borderId="0" applyNumberFormat="0" applyProtection="0">
      <alignment horizontal="left" vertical="center" indent="1"/>
    </xf>
    <xf numFmtId="4" fontId="187" fillId="90" borderId="98" applyNumberFormat="0" applyProtection="0">
      <alignment horizontal="right" vertical="center"/>
    </xf>
    <xf numFmtId="4" fontId="31" fillId="0" borderId="102" applyNumberFormat="0" applyProtection="0">
      <alignment horizontal="right" vertical="center"/>
    </xf>
    <xf numFmtId="4" fontId="31" fillId="0" borderId="102" applyNumberFormat="0" applyProtection="0">
      <alignment horizontal="right" vertical="center"/>
    </xf>
    <xf numFmtId="4" fontId="187" fillId="90" borderId="98" applyNumberFormat="0" applyProtection="0">
      <alignment horizontal="right" vertical="center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38" fontId="71" fillId="0" borderId="0" applyFont="0" applyFill="0" applyBorder="0" applyAlignment="0" applyProtection="0"/>
    <xf numFmtId="191" fontId="94" fillId="0" borderId="0">
      <protection locked="0"/>
    </xf>
    <xf numFmtId="191" fontId="94" fillId="0" borderId="0">
      <protection locked="0"/>
    </xf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67" fontId="118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29" fillId="0" borderId="0" applyFont="0" applyFill="0" applyBorder="0" applyAlignment="0" applyProtection="0"/>
    <xf numFmtId="43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201" fontId="31" fillId="0" borderId="0" applyFont="0" applyFill="0" applyBorder="0" applyAlignment="0" applyProtection="0"/>
    <xf numFmtId="14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4" fontId="3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4" fontId="31" fillId="0" borderId="0" applyFont="0" applyFill="0" applyBorder="0" applyAlignment="0" applyProtection="0"/>
    <xf numFmtId="16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16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169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14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50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167" fontId="20" fillId="0" borderId="0" applyFont="0" applyFill="0" applyBorder="0" applyAlignment="0" applyProtection="0"/>
    <xf numFmtId="14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4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4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14" fontId="3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9" fillId="0" borderId="0" applyFont="0" applyFill="0" applyBorder="0" applyAlignment="0" applyProtection="0"/>
    <xf numFmtId="201" fontId="3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201" fontId="3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201" fontId="3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201" fontId="3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201" fontId="3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67" fontId="42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31" fillId="0" borderId="0" applyFont="0" applyFill="0" applyBorder="0" applyAlignment="0" applyProtection="0"/>
    <xf numFmtId="38" fontId="71" fillId="35" borderId="0" applyNumberFormat="0" applyFont="0" applyBorder="0" applyAlignment="0" applyProtection="0"/>
    <xf numFmtId="0" fontId="104" fillId="0" borderId="0" applyNumberFormat="0" applyFill="0" applyBorder="0" applyAlignment="0" applyProtection="0"/>
    <xf numFmtId="0" fontId="31" fillId="0" borderId="108"/>
    <xf numFmtId="0" fontId="36" fillId="0" borderId="0">
      <alignment vertical="top"/>
    </xf>
    <xf numFmtId="0" fontId="36" fillId="0" borderId="0">
      <alignment vertical="top"/>
    </xf>
    <xf numFmtId="0" fontId="31" fillId="0" borderId="94" applyNumberFormat="0" applyFont="0" applyFill="0" applyProtection="0">
      <alignment horizontal="center"/>
    </xf>
    <xf numFmtId="22" fontId="31" fillId="0" borderId="94" applyFont="0" applyFill="0" applyProtection="0">
      <alignment horizontal="center"/>
    </xf>
    <xf numFmtId="0" fontId="32" fillId="9" borderId="94" applyNumberFormat="0" applyProtection="0">
      <alignment horizontal="center"/>
    </xf>
    <xf numFmtId="0" fontId="188" fillId="38" borderId="94" applyNumberFormat="0" applyProtection="0">
      <alignment horizontal="right"/>
    </xf>
    <xf numFmtId="4" fontId="31" fillId="0" borderId="94" applyFont="0" applyFill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31" fillId="91" borderId="0"/>
    <xf numFmtId="0" fontId="31" fillId="0" borderId="0" applyFill="0" applyBorder="0" applyAlignment="0" applyProtection="0"/>
    <xf numFmtId="0" fontId="31" fillId="0" borderId="0" applyFill="0" applyBorder="0" applyAlignment="0" applyProtection="0"/>
    <xf numFmtId="0" fontId="31" fillId="0" borderId="0" applyFill="0" applyBorder="0" applyAlignment="0" applyProtection="0"/>
    <xf numFmtId="0" fontId="31" fillId="0" borderId="0" applyFill="0" applyBorder="0" applyAlignment="0" applyProtection="0"/>
    <xf numFmtId="165" fontId="31" fillId="0" borderId="0"/>
    <xf numFmtId="0" fontId="31" fillId="0" borderId="109"/>
    <xf numFmtId="0" fontId="189" fillId="0" borderId="0" applyBorder="0" applyProtection="0">
      <alignment vertical="center"/>
    </xf>
    <xf numFmtId="0" fontId="145" fillId="0" borderId="53" applyBorder="0" applyProtection="0">
      <alignment horizontal="right" vertical="center"/>
    </xf>
    <xf numFmtId="0" fontId="190" fillId="92" borderId="0" applyBorder="0" applyProtection="0">
      <alignment horizontal="centerContinuous" vertical="center"/>
    </xf>
    <xf numFmtId="0" fontId="190" fillId="93" borderId="53" applyBorder="0" applyProtection="0">
      <alignment horizontal="centerContinuous" vertical="center"/>
    </xf>
    <xf numFmtId="0" fontId="191" fillId="0" borderId="0" applyFill="0" applyBorder="0" applyProtection="0">
      <alignment horizontal="left"/>
    </xf>
    <xf numFmtId="0" fontId="165" fillId="0" borderId="20" applyFill="0" applyBorder="0" applyProtection="0">
      <alignment horizontal="left" vertical="top"/>
    </xf>
    <xf numFmtId="0" fontId="192" fillId="0" borderId="0"/>
    <xf numFmtId="0" fontId="45" fillId="0" borderId="0"/>
    <xf numFmtId="0" fontId="193" fillId="0" borderId="0" applyNumberFormat="0" applyFill="0" applyBorder="0" applyAlignment="0" applyProtection="0"/>
    <xf numFmtId="49" fontId="36" fillId="0" borderId="0" applyFill="0" applyBorder="0" applyAlignment="0"/>
    <xf numFmtId="0" fontId="31" fillId="0" borderId="0" applyFill="0" applyBorder="0" applyAlignment="0"/>
    <xf numFmtId="0" fontId="31" fillId="0" borderId="0" applyFill="0" applyBorder="0" applyAlignment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219" fontId="74" fillId="0" borderId="0" applyNumberFormat="0" applyFill="0" applyBorder="0" applyAlignment="0" applyProtection="0"/>
    <xf numFmtId="220" fontId="74" fillId="0" borderId="0" applyNumberFormat="0" applyFill="0" applyBorder="0" applyAlignment="0" applyProtection="0"/>
    <xf numFmtId="220" fontId="74" fillId="0" borderId="0" applyNumberFormat="0" applyFill="0" applyBorder="0" applyAlignment="0" applyProtection="0"/>
    <xf numFmtId="219" fontId="74" fillId="0" borderId="0" applyNumberFormat="0" applyFill="0" applyBorder="0" applyAlignment="0" applyProtection="0"/>
    <xf numFmtId="220" fontId="74" fillId="0" borderId="0" applyNumberFormat="0" applyFill="0" applyBorder="0" applyAlignment="0" applyProtection="0"/>
    <xf numFmtId="219" fontId="74" fillId="0" borderId="0" applyNumberFormat="0" applyFill="0" applyBorder="0" applyAlignment="0" applyProtection="0"/>
    <xf numFmtId="219" fontId="74" fillId="0" borderId="0" applyNumberFormat="0" applyFill="0" applyBorder="0" applyAlignment="0" applyProtection="0"/>
    <xf numFmtId="219" fontId="74" fillId="0" borderId="0" applyNumberFormat="0" applyFill="0" applyBorder="0" applyAlignment="0" applyProtection="0"/>
    <xf numFmtId="219" fontId="74" fillId="0" borderId="0" applyNumberFormat="0" applyFill="0" applyBorder="0" applyAlignment="0" applyProtection="0"/>
    <xf numFmtId="219" fontId="74" fillId="0" borderId="0" applyNumberForma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40" fontId="194" fillId="0" borderId="0"/>
    <xf numFmtId="183" fontId="100" fillId="0" borderId="0" applyNumberFormat="0" applyFill="0" applyBorder="0" applyAlignment="0" applyProtection="0"/>
    <xf numFmtId="219" fontId="102" fillId="0" borderId="25" applyNumberFormat="0" applyFill="0" applyAlignment="0" applyProtection="0"/>
    <xf numFmtId="220" fontId="102" fillId="0" borderId="25" applyNumberFormat="0" applyFill="0" applyAlignment="0" applyProtection="0"/>
    <xf numFmtId="0" fontId="81" fillId="0" borderId="0" applyNumberFormat="0" applyFill="0" applyBorder="0" applyAlignment="0" applyProtection="0"/>
    <xf numFmtId="220" fontId="102" fillId="0" borderId="25" applyNumberFormat="0" applyFill="0" applyAlignment="0" applyProtection="0"/>
    <xf numFmtId="220" fontId="102" fillId="0" borderId="25" applyNumberFormat="0" applyFill="0" applyAlignment="0" applyProtection="0"/>
    <xf numFmtId="219" fontId="102" fillId="0" borderId="25" applyNumberFormat="0" applyFill="0" applyAlignment="0" applyProtection="0"/>
    <xf numFmtId="219" fontId="102" fillId="0" borderId="25" applyNumberFormat="0" applyFill="0" applyAlignment="0" applyProtection="0"/>
    <xf numFmtId="219" fontId="102" fillId="0" borderId="25" applyNumberFormat="0" applyFill="0" applyAlignment="0" applyProtection="0"/>
    <xf numFmtId="219" fontId="102" fillId="0" borderId="25" applyNumberFormat="0" applyFill="0" applyAlignment="0" applyProtection="0"/>
    <xf numFmtId="219" fontId="102" fillId="0" borderId="25" applyNumberFormat="0" applyFill="0" applyAlignment="0" applyProtection="0"/>
    <xf numFmtId="219" fontId="100" fillId="0" borderId="0" applyNumberFormat="0" applyFill="0" applyBorder="0" applyAlignment="0" applyProtection="0"/>
    <xf numFmtId="219" fontId="100" fillId="0" borderId="0" applyNumberFormat="0" applyFill="0" applyBorder="0" applyAlignment="0" applyProtection="0"/>
    <xf numFmtId="219" fontId="100" fillId="0" borderId="0" applyNumberFormat="0" applyFill="0" applyBorder="0" applyAlignment="0" applyProtection="0"/>
    <xf numFmtId="219" fontId="100" fillId="0" borderId="0" applyNumberFormat="0" applyFill="0" applyBorder="0" applyAlignment="0" applyProtection="0"/>
    <xf numFmtId="219" fontId="103" fillId="0" borderId="26" applyNumberFormat="0" applyFill="0" applyAlignment="0" applyProtection="0"/>
    <xf numFmtId="220" fontId="103" fillId="0" borderId="26" applyNumberFormat="0" applyFill="0" applyAlignment="0" applyProtection="0"/>
    <xf numFmtId="0" fontId="82" fillId="0" borderId="0" applyNumberFormat="0" applyFill="0" applyBorder="0" applyAlignment="0" applyProtection="0"/>
    <xf numFmtId="220" fontId="103" fillId="0" borderId="26" applyNumberFormat="0" applyFill="0" applyAlignment="0" applyProtection="0"/>
    <xf numFmtId="220" fontId="103" fillId="0" borderId="26" applyNumberFormat="0" applyFill="0" applyAlignment="0" applyProtection="0"/>
    <xf numFmtId="219" fontId="103" fillId="0" borderId="26" applyNumberFormat="0" applyFill="0" applyAlignment="0" applyProtection="0"/>
    <xf numFmtId="219" fontId="103" fillId="0" borderId="26" applyNumberFormat="0" applyFill="0" applyAlignment="0" applyProtection="0"/>
    <xf numFmtId="219" fontId="103" fillId="0" borderId="26" applyNumberFormat="0" applyFill="0" applyAlignment="0" applyProtection="0"/>
    <xf numFmtId="219" fontId="103" fillId="0" borderId="26" applyNumberFormat="0" applyFill="0" applyAlignment="0" applyProtection="0"/>
    <xf numFmtId="219" fontId="103" fillId="0" borderId="26" applyNumberFormat="0" applyFill="0" applyAlignment="0" applyProtection="0"/>
    <xf numFmtId="219" fontId="83" fillId="0" borderId="18" applyNumberFormat="0" applyFill="0" applyAlignment="0" applyProtection="0"/>
    <xf numFmtId="220" fontId="83" fillId="0" borderId="18" applyNumberFormat="0" applyFill="0" applyAlignment="0" applyProtection="0"/>
    <xf numFmtId="220" fontId="83" fillId="0" borderId="18" applyNumberFormat="0" applyFill="0" applyAlignment="0" applyProtection="0"/>
    <xf numFmtId="219" fontId="83" fillId="0" borderId="18" applyNumberFormat="0" applyFill="0" applyAlignment="0" applyProtection="0"/>
    <xf numFmtId="220" fontId="83" fillId="0" borderId="18" applyNumberFormat="0" applyFill="0" applyAlignment="0" applyProtection="0"/>
    <xf numFmtId="219" fontId="83" fillId="0" borderId="18" applyNumberFormat="0" applyFill="0" applyAlignment="0" applyProtection="0"/>
    <xf numFmtId="219" fontId="83" fillId="0" borderId="18" applyNumberFormat="0" applyFill="0" applyAlignment="0" applyProtection="0"/>
    <xf numFmtId="219" fontId="83" fillId="0" borderId="18" applyNumberFormat="0" applyFill="0" applyAlignment="0" applyProtection="0"/>
    <xf numFmtId="219" fontId="83" fillId="0" borderId="18" applyNumberFormat="0" applyFill="0" applyAlignment="0" applyProtection="0"/>
    <xf numFmtId="219" fontId="83" fillId="0" borderId="18" applyNumberFormat="0" applyFill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220" fontId="100" fillId="0" borderId="0" applyNumberFormat="0" applyFill="0" applyBorder="0" applyAlignment="0" applyProtection="0"/>
    <xf numFmtId="220" fontId="100" fillId="0" borderId="0" applyNumberFormat="0" applyFill="0" applyBorder="0" applyAlignment="0" applyProtection="0"/>
    <xf numFmtId="219" fontId="100" fillId="0" borderId="0" applyNumberFormat="0" applyFill="0" applyBorder="0" applyAlignment="0" applyProtection="0"/>
    <xf numFmtId="220" fontId="100" fillId="0" borderId="0" applyNumberFormat="0" applyFill="0" applyBorder="0" applyAlignment="0" applyProtection="0"/>
    <xf numFmtId="219" fontId="100" fillId="0" borderId="0" applyNumberFormat="0" applyFill="0" applyBorder="0" applyAlignment="0" applyProtection="0"/>
    <xf numFmtId="219" fontId="100" fillId="0" borderId="0" applyNumberFormat="0" applyFill="0" applyBorder="0" applyAlignment="0" applyProtection="0"/>
    <xf numFmtId="191" fontId="163" fillId="0" borderId="0">
      <protection locked="0"/>
    </xf>
    <xf numFmtId="191" fontId="163" fillId="0" borderId="0">
      <protection locked="0"/>
    </xf>
    <xf numFmtId="0" fontId="31" fillId="91" borderId="0"/>
    <xf numFmtId="0" fontId="182" fillId="26" borderId="10"/>
    <xf numFmtId="177" fontId="195" fillId="0" borderId="0">
      <alignment horizontal="left"/>
      <protection locked="0"/>
    </xf>
    <xf numFmtId="251" fontId="31" fillId="0" borderId="60" applyFont="0" applyFill="0" applyBorder="0" applyProtection="0">
      <alignment horizontal="center"/>
      <protection locked="0"/>
    </xf>
    <xf numFmtId="251" fontId="31" fillId="0" borderId="60" applyFont="0" applyFill="0" applyBorder="0" applyProtection="0">
      <alignment horizontal="center"/>
      <protection locked="0"/>
    </xf>
    <xf numFmtId="251" fontId="31" fillId="0" borderId="60" applyFont="0" applyFill="0" applyBorder="0" applyProtection="0">
      <alignment horizontal="center"/>
      <protection locked="0"/>
    </xf>
    <xf numFmtId="252" fontId="32" fillId="0" borderId="63" applyFont="0" applyFill="0" applyBorder="0" applyProtection="0">
      <alignment horizontal="center"/>
    </xf>
    <xf numFmtId="38" fontId="31" fillId="0" borderId="94" applyFont="0" applyFill="0" applyBorder="0" applyAlignment="0" applyProtection="0">
      <protection locked="0"/>
    </xf>
    <xf numFmtId="38" fontId="31" fillId="0" borderId="94" applyFont="0" applyFill="0" applyBorder="0" applyAlignment="0" applyProtection="0">
      <protection locked="0"/>
    </xf>
    <xf numFmtId="38" fontId="31" fillId="0" borderId="94" applyFont="0" applyFill="0" applyBorder="0" applyAlignment="0" applyProtection="0">
      <protection locked="0"/>
    </xf>
    <xf numFmtId="15" fontId="31" fillId="0" borderId="94" applyFont="0" applyFill="0" applyBorder="0" applyProtection="0">
      <alignment horizontal="center"/>
      <protection locked="0"/>
    </xf>
    <xf numFmtId="15" fontId="31" fillId="0" borderId="94" applyFont="0" applyFill="0" applyBorder="0" applyProtection="0">
      <alignment horizontal="center"/>
      <protection locked="0"/>
    </xf>
    <xf numFmtId="15" fontId="31" fillId="0" borderId="94" applyFont="0" applyFill="0" applyBorder="0" applyProtection="0">
      <alignment horizontal="center"/>
      <protection locked="0"/>
    </xf>
    <xf numFmtId="10" fontId="31" fillId="0" borderId="94" applyFont="0" applyFill="0" applyBorder="0" applyProtection="0">
      <alignment horizontal="center"/>
      <protection locked="0"/>
    </xf>
    <xf numFmtId="10" fontId="31" fillId="0" borderId="94" applyFont="0" applyFill="0" applyBorder="0" applyProtection="0">
      <alignment horizontal="center"/>
      <protection locked="0"/>
    </xf>
    <xf numFmtId="10" fontId="31" fillId="0" borderId="94" applyFont="0" applyFill="0" applyBorder="0" applyProtection="0">
      <alignment horizontal="center"/>
      <protection locked="0"/>
    </xf>
    <xf numFmtId="196" fontId="31" fillId="0" borderId="94" applyFont="0" applyFill="0" applyBorder="0" applyProtection="0">
      <alignment horizontal="center"/>
    </xf>
    <xf numFmtId="196" fontId="31" fillId="0" borderId="94" applyFont="0" applyFill="0" applyBorder="0" applyProtection="0">
      <alignment horizontal="center"/>
    </xf>
    <xf numFmtId="196" fontId="31" fillId="0" borderId="94" applyFont="0" applyFill="0" applyBorder="0" applyProtection="0">
      <alignment horizontal="center"/>
    </xf>
    <xf numFmtId="37" fontId="43" fillId="29" borderId="0" applyNumberFormat="0" applyBorder="0" applyAlignment="0" applyProtection="0"/>
    <xf numFmtId="37" fontId="43" fillId="29" borderId="0" applyNumberFormat="0" applyBorder="0" applyAlignment="0" applyProtection="0"/>
    <xf numFmtId="37" fontId="43" fillId="29" borderId="0" applyNumberFormat="0" applyBorder="0" applyAlignment="0" applyProtection="0"/>
    <xf numFmtId="37" fontId="43" fillId="29" borderId="0" applyNumberFormat="0" applyBorder="0" applyAlignment="0" applyProtection="0"/>
    <xf numFmtId="37" fontId="43" fillId="0" borderId="0"/>
    <xf numFmtId="37" fontId="43" fillId="0" borderId="0"/>
    <xf numFmtId="37" fontId="43" fillId="0" borderId="0"/>
    <xf numFmtId="37" fontId="43" fillId="29" borderId="0" applyNumberFormat="0" applyBorder="0" applyAlignment="0" applyProtection="0"/>
    <xf numFmtId="0" fontId="196" fillId="0" borderId="0">
      <alignment vertical="top"/>
    </xf>
    <xf numFmtId="37" fontId="197" fillId="0" borderId="0">
      <protection locked="0"/>
    </xf>
    <xf numFmtId="192" fontId="62" fillId="0" borderId="0">
      <protection locked="0"/>
    </xf>
    <xf numFmtId="192" fontId="62" fillId="0" borderId="0">
      <protection locked="0"/>
    </xf>
    <xf numFmtId="193" fontId="62" fillId="0" borderId="0">
      <protection locked="0"/>
    </xf>
    <xf numFmtId="193" fontId="62" fillId="0" borderId="0">
      <protection locked="0"/>
    </xf>
    <xf numFmtId="188" fontId="145" fillId="0" borderId="0" applyFont="0" applyFill="0" applyBorder="0" applyAlignment="0" applyProtection="0"/>
    <xf numFmtId="188" fontId="145" fillId="0" borderId="0" applyFont="0" applyFill="0" applyBorder="0" applyAlignment="0" applyProtection="0"/>
    <xf numFmtId="201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29" fillId="0" borderId="0" applyFont="0" applyFill="0" applyBorder="0" applyAlignment="0" applyProtection="0"/>
    <xf numFmtId="43" fontId="20" fillId="0" borderId="0" applyFont="0" applyFill="0" applyBorder="0" applyAlignment="0" applyProtection="0"/>
    <xf numFmtId="167" fontId="49" fillId="0" borderId="0" applyFont="0" applyFill="0" applyBorder="0" applyAlignment="0" applyProtection="0"/>
    <xf numFmtId="3" fontId="31" fillId="0" borderId="0" applyFont="0" applyFill="0" applyBorder="0" applyAlignment="0" applyProtection="0"/>
    <xf numFmtId="2" fontId="70" fillId="0" borderId="0" applyFont="0" applyFill="0" applyBorder="0" applyAlignment="0" applyProtection="0"/>
    <xf numFmtId="234" fontId="117" fillId="0" borderId="0" applyFill="0"/>
    <xf numFmtId="0" fontId="198" fillId="0" borderId="0" applyNumberFormat="0" applyFill="0" applyBorder="0" applyAlignment="0" applyProtection="0"/>
    <xf numFmtId="0" fontId="199" fillId="0" borderId="0" applyFont="0" applyFill="0" applyBorder="0" applyAlignment="0" applyProtection="0"/>
    <xf numFmtId="0" fontId="199" fillId="0" borderId="0" applyFont="0" applyFill="0" applyBorder="0" applyAlignment="0" applyProtection="0"/>
    <xf numFmtId="0" fontId="200" fillId="0" borderId="0"/>
    <xf numFmtId="0" fontId="200" fillId="0" borderId="0" applyFont="0" applyFill="0" applyBorder="0" applyAlignment="0" applyProtection="0"/>
    <xf numFmtId="0" fontId="200" fillId="0" borderId="0" applyFont="0" applyFill="0" applyBorder="0" applyAlignment="0" applyProtection="0"/>
    <xf numFmtId="0" fontId="199" fillId="0" borderId="0" applyFont="0" applyFill="0" applyBorder="0" applyAlignment="0" applyProtection="0"/>
    <xf numFmtId="0" fontId="199" fillId="0" borderId="0" applyFont="0" applyFill="0" applyBorder="0" applyAlignment="0" applyProtection="0"/>
    <xf numFmtId="43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0" fontId="201" fillId="0" borderId="0"/>
    <xf numFmtId="43" fontId="29" fillId="0" borderId="0" applyFont="0" applyFill="0" applyBorder="0" applyAlignment="0" applyProtection="0"/>
    <xf numFmtId="164" fontId="29" fillId="0" borderId="0" applyFont="0" applyFill="0" applyBorder="0" applyAlignment="0" applyProtection="0"/>
    <xf numFmtId="43" fontId="49" fillId="0" borderId="0" applyFont="0" applyFill="0" applyBorder="0" applyAlignment="0" applyProtection="0"/>
    <xf numFmtId="167" fontId="29" fillId="0" borderId="0" applyFont="0" applyFill="0" applyBorder="0" applyAlignment="0" applyProtection="0"/>
    <xf numFmtId="0" fontId="31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203" fillId="0" borderId="0"/>
    <xf numFmtId="0" fontId="18" fillId="0" borderId="0"/>
    <xf numFmtId="0" fontId="112" fillId="0" borderId="0"/>
    <xf numFmtId="0" fontId="17" fillId="0" borderId="0"/>
    <xf numFmtId="9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16" fillId="0" borderId="0"/>
    <xf numFmtId="0" fontId="29" fillId="0" borderId="0"/>
    <xf numFmtId="0" fontId="15" fillId="0" borderId="0"/>
    <xf numFmtId="209" fontId="125" fillId="0" borderId="110" applyFont="0" applyFill="0" applyBorder="0" applyAlignment="0"/>
    <xf numFmtId="209" fontId="125" fillId="0" borderId="110" applyFont="0" applyFill="0" applyBorder="0" applyAlignment="0"/>
    <xf numFmtId="0" fontId="54" fillId="0" borderId="53" applyBorder="0"/>
    <xf numFmtId="0" fontId="54" fillId="0" borderId="53" applyBorder="0"/>
    <xf numFmtId="0" fontId="54" fillId="0" borderId="53" applyBorder="0"/>
    <xf numFmtId="0" fontId="54" fillId="0" borderId="53" applyBorder="0"/>
    <xf numFmtId="40" fontId="64" fillId="23" borderId="110">
      <alignment vertical="center"/>
    </xf>
    <xf numFmtId="40" fontId="64" fillId="23" borderId="110">
      <alignment vertical="center"/>
    </xf>
    <xf numFmtId="43" fontId="31" fillId="0" borderId="0" applyFont="0" applyFill="0" applyBorder="0" applyAlignment="0" applyProtection="0">
      <alignment wrapText="1"/>
    </xf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29" borderId="0" applyNumberFormat="0" applyFont="0" applyBorder="0" applyAlignment="0" applyProtection="0"/>
    <xf numFmtId="0" fontId="80" fillId="0" borderId="112">
      <alignment horizontal="left" vertical="center"/>
    </xf>
    <xf numFmtId="0" fontId="80" fillId="0" borderId="112">
      <alignment horizontal="left" vertical="center"/>
    </xf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43" fontId="3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3" fontId="86" fillId="2" borderId="53">
      <alignment horizontal="center"/>
    </xf>
    <xf numFmtId="3" fontId="86" fillId="2" borderId="53">
      <alignment horizontal="center"/>
    </xf>
    <xf numFmtId="3" fontId="86" fillId="2" borderId="53">
      <alignment horizontal="center"/>
    </xf>
    <xf numFmtId="3" fontId="86" fillId="2" borderId="53">
      <alignment horizont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>
      <alignment vertical="center"/>
    </xf>
    <xf numFmtId="0" fontId="15" fillId="0" borderId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32" fillId="22" borderId="143" applyNumberFormat="0" applyFont="0" applyBorder="0" applyAlignment="0" applyProtection="0"/>
    <xf numFmtId="0" fontId="32" fillId="22" borderId="143" applyNumberFormat="0" applyFont="0" applyBorder="0" applyAlignment="0" applyProtection="0"/>
    <xf numFmtId="0" fontId="32" fillId="22" borderId="143" applyNumberFormat="0" applyFont="0" applyBorder="0" applyAlignment="0" applyProtection="0"/>
    <xf numFmtId="0" fontId="32" fillId="22" borderId="143" applyNumberFormat="0" applyFont="0" applyBorder="0" applyAlignment="0" applyProtection="0"/>
    <xf numFmtId="0" fontId="31" fillId="0" borderId="110" applyNumberFormat="0" applyProtection="0">
      <alignment horizontal="left" vertical="center" indent="1"/>
    </xf>
    <xf numFmtId="0" fontId="31" fillId="0" borderId="110" applyNumberFormat="0" applyProtection="0">
      <alignment horizontal="left" vertical="center" indent="1"/>
    </xf>
    <xf numFmtId="0" fontId="31" fillId="0" borderId="110" applyNumberFormat="0" applyProtection="0">
      <alignment horizontal="left" vertical="center" indent="1"/>
    </xf>
    <xf numFmtId="0" fontId="31" fillId="0" borderId="110" applyNumberFormat="0" applyProtection="0">
      <alignment horizontal="left" vertical="center" indent="1"/>
    </xf>
    <xf numFmtId="0" fontId="31" fillId="0" borderId="110" applyNumberFormat="0" applyProtection="0">
      <alignment horizontal="left" vertical="center" indent="1"/>
    </xf>
    <xf numFmtId="0" fontId="31" fillId="0" borderId="110" applyNumberFormat="0" applyProtection="0">
      <alignment horizontal="left" vertical="center" indent="1"/>
    </xf>
    <xf numFmtId="4" fontId="36" fillId="0" borderId="110" applyNumberFormat="0" applyProtection="0">
      <alignment horizontal="right" vertical="center"/>
    </xf>
    <xf numFmtId="4" fontId="36" fillId="0" borderId="110" applyNumberFormat="0" applyProtection="0">
      <alignment horizontal="right" vertical="center"/>
    </xf>
    <xf numFmtId="0" fontId="50" fillId="0" borderId="110" applyNumberFormat="0" applyProtection="0">
      <alignment horizontal="left" vertical="top" indent="1"/>
    </xf>
    <xf numFmtId="0" fontId="50" fillId="0" borderId="110" applyNumberFormat="0" applyProtection="0">
      <alignment horizontal="left" vertical="top" indent="1"/>
    </xf>
    <xf numFmtId="43" fontId="36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121" fillId="0" borderId="111" applyProtection="0">
      <alignment horizontal="centerContinuous"/>
    </xf>
    <xf numFmtId="0" fontId="121" fillId="0" borderId="111" applyProtection="0">
      <alignment horizontal="centerContinuous"/>
    </xf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0" fontId="29" fillId="0" borderId="0"/>
    <xf numFmtId="0" fontId="31" fillId="0" borderId="112" applyFont="0" applyFill="0" applyBorder="0" applyAlignment="0" applyProtection="0"/>
    <xf numFmtId="0" fontId="31" fillId="0" borderId="112" applyFont="0" applyFill="0" applyBorder="0" applyAlignment="0" applyProtection="0"/>
    <xf numFmtId="0" fontId="54" fillId="0" borderId="53" applyBorder="0"/>
    <xf numFmtId="0" fontId="54" fillId="0" borderId="53" applyBorder="0"/>
    <xf numFmtId="0" fontId="54" fillId="0" borderId="53" applyBorder="0"/>
    <xf numFmtId="0" fontId="54" fillId="0" borderId="53" applyBorder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3" fontId="86" fillId="2" borderId="53">
      <alignment horizontal="center"/>
    </xf>
    <xf numFmtId="3" fontId="86" fillId="2" borderId="53">
      <alignment horizontal="center"/>
    </xf>
    <xf numFmtId="3" fontId="86" fillId="2" borderId="53">
      <alignment horizontal="center"/>
    </xf>
    <xf numFmtId="3" fontId="86" fillId="2" borderId="53">
      <alignment horizont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32" fillId="22" borderId="143" applyNumberFormat="0" applyFont="0" applyBorder="0" applyAlignment="0" applyProtection="0"/>
    <xf numFmtId="0" fontId="32" fillId="22" borderId="143" applyNumberFormat="0" applyFont="0" applyBorder="0" applyAlignment="0" applyProtection="0"/>
    <xf numFmtId="0" fontId="32" fillId="22" borderId="143" applyNumberFormat="0" applyFont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29" fillId="0" borderId="0"/>
    <xf numFmtId="0" fontId="14" fillId="0" borderId="0"/>
    <xf numFmtId="43" fontId="14" fillId="0" borderId="0" applyFont="0" applyFill="0" applyBorder="0" applyAlignment="0" applyProtection="0"/>
    <xf numFmtId="0" fontId="13" fillId="0" borderId="0"/>
    <xf numFmtId="43" fontId="29" fillId="0" borderId="0" applyFont="0" applyFill="0" applyBorder="0" applyAlignment="0" applyProtection="0"/>
    <xf numFmtId="0" fontId="12" fillId="0" borderId="0"/>
    <xf numFmtId="0" fontId="11" fillId="0" borderId="0"/>
    <xf numFmtId="0" fontId="265" fillId="0" borderId="0"/>
    <xf numFmtId="0" fontId="10" fillId="0" borderId="0"/>
    <xf numFmtId="0" fontId="9" fillId="0" borderId="0"/>
    <xf numFmtId="0" fontId="8" fillId="0" borderId="0"/>
    <xf numFmtId="0" fontId="7" fillId="0" borderId="0"/>
    <xf numFmtId="0" fontId="6" fillId="0" borderId="0"/>
    <xf numFmtId="43" fontId="6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269" fillId="112" borderId="156" applyNumberFormat="0" applyAlignment="0" applyProtection="0"/>
    <xf numFmtId="9" fontId="4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2" fillId="0" borderId="0"/>
    <xf numFmtId="0" fontId="299" fillId="0" borderId="0" applyNumberFormat="0" applyFill="0" applyBorder="0" applyAlignment="0" applyProtection="0"/>
    <xf numFmtId="0" fontId="300" fillId="0" borderId="0" applyNumberForma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1" fillId="0" borderId="0"/>
    <xf numFmtId="43" fontId="1" fillId="0" borderId="0" applyFont="0" applyFill="0" applyBorder="0" applyAlignment="0" applyProtection="0"/>
    <xf numFmtId="0" fontId="31" fillId="0" borderId="0"/>
    <xf numFmtId="0" fontId="31" fillId="0" borderId="0"/>
    <xf numFmtId="167" fontId="31" fillId="0" borderId="0" applyFont="0" applyFill="0" applyBorder="0" applyAlignment="0" applyProtection="0"/>
  </cellStyleXfs>
  <cellXfs count="1816">
    <xf numFmtId="0" fontId="0" fillId="0" borderId="0" xfId="0"/>
    <xf numFmtId="0" fontId="31" fillId="0" borderId="0" xfId="831"/>
    <xf numFmtId="0" fontId="31" fillId="33" borderId="0" xfId="831" applyFill="1"/>
    <xf numFmtId="0" fontId="30" fillId="33" borderId="0" xfId="801" applyFill="1" applyBorder="1" applyAlignment="1" applyProtection="1">
      <alignment horizontal="right"/>
    </xf>
    <xf numFmtId="14" fontId="31" fillId="0" borderId="0" xfId="831" applyNumberFormat="1"/>
    <xf numFmtId="0" fontId="34" fillId="33" borderId="0" xfId="831" applyFont="1" applyFill="1" applyAlignment="1">
      <alignment horizontal="left"/>
    </xf>
    <xf numFmtId="0" fontId="38" fillId="39" borderId="29" xfId="831" applyFont="1" applyFill="1" applyBorder="1" applyAlignment="1">
      <alignment horizontal="center" vertical="center"/>
    </xf>
    <xf numFmtId="14" fontId="108" fillId="0" borderId="0" xfId="831" applyNumberFormat="1" applyFont="1"/>
    <xf numFmtId="14" fontId="0" fillId="0" borderId="0" xfId="0" applyNumberFormat="1"/>
    <xf numFmtId="0" fontId="29" fillId="0" borderId="0" xfId="0" applyFont="1"/>
    <xf numFmtId="167" fontId="31" fillId="0" borderId="0" xfId="863" applyFont="1"/>
    <xf numFmtId="10" fontId="31" fillId="0" borderId="0" xfId="847" applyNumberFormat="1" applyFont="1"/>
    <xf numFmtId="0" fontId="0" fillId="41" borderId="0" xfId="0" applyFill="1"/>
    <xf numFmtId="0" fontId="42" fillId="0" borderId="0" xfId="0" applyFont="1" applyAlignment="1">
      <alignment vertical="center"/>
    </xf>
    <xf numFmtId="0" fontId="124" fillId="0" borderId="0" xfId="0" applyFont="1"/>
    <xf numFmtId="0" fontId="115" fillId="41" borderId="0" xfId="0" applyFont="1" applyFill="1"/>
    <xf numFmtId="0" fontId="29" fillId="0" borderId="0" xfId="1891" applyAlignment="1">
      <alignment vertical="top"/>
    </xf>
    <xf numFmtId="14" fontId="29" fillId="0" borderId="0" xfId="0" applyNumberFormat="1" applyFont="1"/>
    <xf numFmtId="0" fontId="29" fillId="0" borderId="0" xfId="2697"/>
    <xf numFmtId="10" fontId="42" fillId="41" borderId="0" xfId="847" applyNumberFormat="1" applyFont="1" applyFill="1" applyBorder="1"/>
    <xf numFmtId="10" fontId="42" fillId="0" borderId="0" xfId="847" applyNumberFormat="1" applyFont="1"/>
    <xf numFmtId="10" fontId="143" fillId="41" borderId="0" xfId="847" applyNumberFormat="1" applyFont="1" applyFill="1" applyBorder="1" applyAlignment="1">
      <alignment horizontal="center" vertical="center"/>
    </xf>
    <xf numFmtId="3" fontId="42" fillId="41" borderId="0" xfId="907" applyNumberFormat="1" applyFont="1" applyFill="1" applyAlignment="1">
      <alignment horizontal="center"/>
    </xf>
    <xf numFmtId="0" fontId="42" fillId="41" borderId="0" xfId="907" applyFont="1" applyFill="1"/>
    <xf numFmtId="4" fontId="42" fillId="41" borderId="0" xfId="907" applyNumberFormat="1" applyFont="1" applyFill="1"/>
    <xf numFmtId="10" fontId="42" fillId="41" borderId="0" xfId="907" applyNumberFormat="1" applyFont="1" applyFill="1"/>
    <xf numFmtId="166" fontId="42" fillId="41" borderId="0" xfId="907" applyNumberFormat="1" applyFont="1" applyFill="1"/>
    <xf numFmtId="166" fontId="136" fillId="41" borderId="0" xfId="1033" applyFont="1" applyFill="1" applyBorder="1"/>
    <xf numFmtId="166" fontId="42" fillId="41" borderId="0" xfId="815" applyFont="1" applyFill="1" applyBorder="1"/>
    <xf numFmtId="0" fontId="142" fillId="41" borderId="0" xfId="907" applyFont="1" applyFill="1"/>
    <xf numFmtId="0" fontId="109" fillId="41" borderId="0" xfId="907" applyFont="1" applyFill="1"/>
    <xf numFmtId="166" fontId="42" fillId="41" borderId="0" xfId="815" applyFont="1" applyFill="1" applyBorder="1" applyAlignment="1" applyProtection="1"/>
    <xf numFmtId="166" fontId="37" fillId="41" borderId="0" xfId="907" applyNumberFormat="1" applyFont="1" applyFill="1" applyProtection="1">
      <protection hidden="1"/>
    </xf>
    <xf numFmtId="166" fontId="37" fillId="41" borderId="0" xfId="907" applyNumberFormat="1" applyFont="1" applyFill="1" applyAlignment="1" applyProtection="1">
      <alignment horizontal="center"/>
      <protection hidden="1"/>
    </xf>
    <xf numFmtId="10" fontId="37" fillId="41" borderId="0" xfId="847" applyNumberFormat="1" applyFont="1" applyFill="1" applyBorder="1" applyAlignment="1" applyProtection="1">
      <alignment horizontal="center"/>
      <protection hidden="1"/>
    </xf>
    <xf numFmtId="0" fontId="42" fillId="41" borderId="0" xfId="43187" quotePrefix="1" applyFont="1" applyFill="1" applyAlignment="1">
      <alignment horizontal="left"/>
    </xf>
    <xf numFmtId="10" fontId="42" fillId="41" borderId="0" xfId="847" applyNumberFormat="1" applyFont="1" applyFill="1" applyBorder="1" applyAlignment="1" applyProtection="1">
      <alignment horizontal="center"/>
    </xf>
    <xf numFmtId="0" fontId="42" fillId="41" borderId="0" xfId="43187" applyFont="1" applyFill="1" applyAlignment="1">
      <alignment horizontal="left"/>
    </xf>
    <xf numFmtId="0" fontId="116" fillId="41" borderId="0" xfId="907" applyFont="1" applyFill="1" applyAlignment="1">
      <alignment horizontal="center"/>
    </xf>
    <xf numFmtId="166" fontId="142" fillId="41" borderId="0" xfId="815" applyFont="1" applyFill="1" applyBorder="1"/>
    <xf numFmtId="0" fontId="202" fillId="41" borderId="0" xfId="907" applyFont="1" applyFill="1"/>
    <xf numFmtId="10" fontId="202" fillId="41" borderId="0" xfId="847" applyNumberFormat="1" applyFont="1" applyFill="1" applyBorder="1" applyAlignment="1" applyProtection="1">
      <alignment horizontal="center"/>
      <protection hidden="1"/>
    </xf>
    <xf numFmtId="166" fontId="42" fillId="41" borderId="0" xfId="815" applyFont="1" applyFill="1" applyBorder="1" applyAlignment="1">
      <alignment horizontal="left"/>
    </xf>
    <xf numFmtId="10" fontId="109" fillId="41" borderId="0" xfId="847" applyNumberFormat="1" applyFont="1" applyFill="1" applyBorder="1" applyAlignment="1">
      <alignment horizontal="center"/>
    </xf>
    <xf numFmtId="0" fontId="42" fillId="41" borderId="0" xfId="43187" applyFont="1" applyFill="1"/>
    <xf numFmtId="10" fontId="42" fillId="41" borderId="0" xfId="847" applyNumberFormat="1" applyFont="1" applyFill="1" applyBorder="1" applyAlignment="1">
      <alignment horizontal="right"/>
    </xf>
    <xf numFmtId="166" fontId="42" fillId="41" borderId="0" xfId="815" applyFont="1" applyFill="1" applyBorder="1" applyAlignment="1">
      <alignment horizontal="left" indent="1"/>
    </xf>
    <xf numFmtId="0" fontId="42" fillId="33" borderId="0" xfId="776" applyFont="1" applyFill="1" applyAlignment="1">
      <alignment wrapText="1"/>
    </xf>
    <xf numFmtId="10" fontId="42" fillId="33" borderId="0" xfId="847" applyNumberFormat="1" applyFont="1" applyFill="1" applyBorder="1" applyAlignment="1">
      <alignment horizontal="center" wrapText="1"/>
    </xf>
    <xf numFmtId="0" fontId="42" fillId="0" borderId="0" xfId="907" applyFont="1"/>
    <xf numFmtId="0" fontId="109" fillId="0" borderId="0" xfId="907" applyFont="1" applyAlignment="1">
      <alignment horizontal="center"/>
    </xf>
    <xf numFmtId="9" fontId="37" fillId="0" borderId="0" xfId="1823" applyFont="1" applyFill="1" applyBorder="1" applyAlignment="1">
      <alignment horizontal="center" vertical="center" wrapText="1"/>
    </xf>
    <xf numFmtId="9" fontId="42" fillId="41" borderId="0" xfId="1823" applyFont="1" applyFill="1" applyBorder="1" applyAlignment="1">
      <alignment horizontal="left" vertical="center" wrapText="1"/>
    </xf>
    <xf numFmtId="37" fontId="42" fillId="41" borderId="0" xfId="905" applyNumberFormat="1" applyFont="1" applyFill="1" applyAlignment="1">
      <alignment horizontal="left"/>
    </xf>
    <xf numFmtId="166" fontId="109" fillId="41" borderId="0" xfId="815" applyFont="1" applyFill="1" applyBorder="1"/>
    <xf numFmtId="216" fontId="42" fillId="33" borderId="0" xfId="1095" applyNumberFormat="1" applyFont="1" applyFill="1" applyBorder="1" applyAlignment="1">
      <alignment horizontal="center"/>
    </xf>
    <xf numFmtId="166" fontId="42" fillId="33" borderId="0" xfId="815" applyFont="1" applyFill="1" applyBorder="1"/>
    <xf numFmtId="216" fontId="42" fillId="33" borderId="0" xfId="1718" applyNumberFormat="1" applyFont="1" applyFill="1" applyBorder="1" applyAlignment="1">
      <alignment horizontal="center"/>
    </xf>
    <xf numFmtId="10" fontId="42" fillId="33" borderId="0" xfId="1718" applyNumberFormat="1" applyFont="1" applyFill="1" applyBorder="1" applyAlignment="1">
      <alignment horizontal="center"/>
    </xf>
    <xf numFmtId="0" fontId="42" fillId="0" borderId="0" xfId="2544" applyFont="1"/>
    <xf numFmtId="166" fontId="37" fillId="38" borderId="0" xfId="815" applyFont="1" applyFill="1" applyBorder="1" applyAlignment="1">
      <alignment horizontal="center" vertical="center" wrapText="1"/>
    </xf>
    <xf numFmtId="0" fontId="42" fillId="0" borderId="0" xfId="776" applyFont="1" applyAlignment="1">
      <alignment wrapText="1"/>
    </xf>
    <xf numFmtId="216" fontId="42" fillId="0" borderId="0" xfId="1718" applyNumberFormat="1" applyFont="1" applyFill="1" applyBorder="1" applyAlignment="1">
      <alignment horizontal="center"/>
    </xf>
    <xf numFmtId="0" fontId="30" fillId="0" borderId="0" xfId="801" applyAlignment="1" applyProtection="1"/>
    <xf numFmtId="0" fontId="30" fillId="0" borderId="0" xfId="801" quotePrefix="1" applyAlignment="1" applyProtection="1"/>
    <xf numFmtId="0" fontId="42" fillId="0" borderId="0" xfId="2697" applyFont="1" applyAlignment="1">
      <alignment vertical="center"/>
    </xf>
    <xf numFmtId="171" fontId="31" fillId="0" borderId="0" xfId="863" applyNumberFormat="1" applyFont="1"/>
    <xf numFmtId="254" fontId="31" fillId="0" borderId="0" xfId="863" applyNumberFormat="1" applyFont="1"/>
    <xf numFmtId="0" fontId="204" fillId="0" borderId="0" xfId="0" applyFont="1"/>
    <xf numFmtId="167" fontId="204" fillId="0" borderId="0" xfId="863" applyFont="1"/>
    <xf numFmtId="0" fontId="204" fillId="33" borderId="0" xfId="829" applyFont="1" applyFill="1"/>
    <xf numFmtId="0" fontId="207" fillId="0" borderId="0" xfId="0" applyFont="1"/>
    <xf numFmtId="0" fontId="204" fillId="41" borderId="0" xfId="0" applyFont="1" applyFill="1"/>
    <xf numFmtId="0" fontId="208" fillId="0" borderId="0" xfId="0" applyFont="1" applyAlignment="1">
      <alignment horizontal="center"/>
    </xf>
    <xf numFmtId="0" fontId="208" fillId="0" borderId="0" xfId="0" applyFont="1"/>
    <xf numFmtId="0" fontId="210" fillId="0" borderId="0" xfId="0" applyFont="1" applyAlignment="1">
      <alignment horizontal="right" vertical="center"/>
    </xf>
    <xf numFmtId="0" fontId="204" fillId="60" borderId="0" xfId="0" applyFont="1" applyFill="1" applyAlignment="1" applyProtection="1">
      <alignment horizontal="left" wrapText="1"/>
      <protection hidden="1"/>
    </xf>
    <xf numFmtId="166" fontId="204" fillId="0" borderId="0" xfId="815" applyFont="1" applyBorder="1"/>
    <xf numFmtId="0" fontId="204" fillId="0" borderId="0" xfId="0" applyFont="1" applyAlignment="1">
      <alignment horizontal="left" indent="1"/>
    </xf>
    <xf numFmtId="10" fontId="204" fillId="0" borderId="0" xfId="847" applyNumberFormat="1" applyFont="1"/>
    <xf numFmtId="166" fontId="204" fillId="0" borderId="0" xfId="815" applyFont="1" applyFill="1" applyBorder="1"/>
    <xf numFmtId="0" fontId="204" fillId="0" borderId="0" xfId="907" applyFont="1" applyAlignment="1">
      <alignment horizontal="left" indent="1"/>
    </xf>
    <xf numFmtId="37" fontId="204" fillId="0" borderId="0" xfId="0" applyNumberFormat="1" applyFont="1"/>
    <xf numFmtId="37" fontId="204" fillId="0" borderId="0" xfId="0" applyNumberFormat="1" applyFont="1" applyAlignment="1">
      <alignment horizontal="left"/>
    </xf>
    <xf numFmtId="0" fontId="205" fillId="33" borderId="0" xfId="829" applyFont="1" applyFill="1" applyAlignment="1">
      <alignment vertical="top"/>
    </xf>
    <xf numFmtId="10" fontId="210" fillId="0" borderId="0" xfId="0" applyNumberFormat="1" applyFont="1" applyAlignment="1">
      <alignment horizontal="right" vertical="top"/>
    </xf>
    <xf numFmtId="173" fontId="210" fillId="0" borderId="0" xfId="0" applyNumberFormat="1" applyFont="1" applyAlignment="1">
      <alignment horizontal="right"/>
    </xf>
    <xf numFmtId="10" fontId="210" fillId="0" borderId="0" xfId="0" applyNumberFormat="1" applyFont="1" applyAlignment="1">
      <alignment horizontal="right"/>
    </xf>
    <xf numFmtId="167" fontId="204" fillId="45" borderId="0" xfId="863" applyFont="1" applyFill="1" applyBorder="1"/>
    <xf numFmtId="167" fontId="204" fillId="41" borderId="0" xfId="863" applyFont="1" applyFill="1" applyBorder="1"/>
    <xf numFmtId="167" fontId="204" fillId="41" borderId="0" xfId="863" applyFont="1" applyFill="1" applyBorder="1" applyAlignment="1">
      <alignment horizontal="center"/>
    </xf>
    <xf numFmtId="0" fontId="208" fillId="41" borderId="0" xfId="0" applyFont="1" applyFill="1"/>
    <xf numFmtId="0" fontId="204" fillId="41" borderId="0" xfId="0" applyFont="1" applyFill="1" applyAlignment="1">
      <alignment horizontal="center"/>
    </xf>
    <xf numFmtId="167" fontId="204" fillId="0" borderId="0" xfId="0" applyNumberFormat="1" applyFont="1"/>
    <xf numFmtId="0" fontId="204" fillId="41" borderId="0" xfId="0" applyFont="1" applyFill="1" applyAlignment="1" applyProtection="1">
      <alignment horizontal="left"/>
      <protection hidden="1"/>
    </xf>
    <xf numFmtId="0" fontId="204" fillId="0" borderId="0" xfId="2697" applyFont="1"/>
    <xf numFmtId="0" fontId="213" fillId="0" borderId="0" xfId="801" applyFont="1" applyAlignment="1" applyProtection="1"/>
    <xf numFmtId="0" fontId="204" fillId="41" borderId="0" xfId="2697" applyFont="1" applyFill="1"/>
    <xf numFmtId="0" fontId="204" fillId="33" borderId="0" xfId="2697" applyFont="1" applyFill="1"/>
    <xf numFmtId="167" fontId="204" fillId="41" borderId="0" xfId="43185" applyNumberFormat="1" applyFont="1" applyFill="1" applyBorder="1" applyAlignment="1" applyProtection="1">
      <alignment horizontal="right"/>
      <protection locked="0"/>
    </xf>
    <xf numFmtId="166" fontId="204" fillId="41" borderId="29" xfId="815" applyFont="1" applyFill="1" applyBorder="1"/>
    <xf numFmtId="0" fontId="204" fillId="0" borderId="0" xfId="907" applyFont="1"/>
    <xf numFmtId="0" fontId="207" fillId="58" borderId="20" xfId="834" applyFont="1" applyFill="1" applyBorder="1" applyAlignment="1" applyProtection="1">
      <alignment horizontal="left" vertical="center"/>
    </xf>
    <xf numFmtId="0" fontId="207" fillId="58" borderId="29" xfId="834" applyFont="1" applyFill="1" applyBorder="1" applyAlignment="1" applyProtection="1">
      <alignment horizontal="left" vertical="center"/>
    </xf>
    <xf numFmtId="164" fontId="204" fillId="0" borderId="0" xfId="43184" applyFont="1" applyBorder="1"/>
    <xf numFmtId="43" fontId="204" fillId="0" borderId="0" xfId="2697" applyNumberFormat="1" applyFont="1"/>
    <xf numFmtId="164" fontId="204" fillId="0" borderId="0" xfId="2697" applyNumberFormat="1" applyFont="1"/>
    <xf numFmtId="164" fontId="208" fillId="0" borderId="0" xfId="2697" applyNumberFormat="1" applyFont="1"/>
    <xf numFmtId="166" fontId="204" fillId="0" borderId="0" xfId="815" applyFont="1"/>
    <xf numFmtId="166" fontId="204" fillId="0" borderId="0" xfId="815" applyFont="1" applyAlignment="1">
      <alignment horizontal="right"/>
    </xf>
    <xf numFmtId="10" fontId="204" fillId="0" borderId="0" xfId="847" applyNumberFormat="1" applyFont="1" applyAlignment="1">
      <alignment horizontal="right"/>
    </xf>
    <xf numFmtId="166" fontId="204" fillId="0" borderId="0" xfId="2697" applyNumberFormat="1" applyFont="1"/>
    <xf numFmtId="0" fontId="207" fillId="0" borderId="0" xfId="907" applyFont="1" applyAlignment="1">
      <alignment horizontal="left"/>
    </xf>
    <xf numFmtId="0" fontId="204" fillId="41" borderId="0" xfId="834" applyFont="1" applyFill="1" applyAlignment="1" applyProtection="1">
      <alignment horizontal="left" vertical="center" indent="2"/>
    </xf>
    <xf numFmtId="164" fontId="204" fillId="41" borderId="0" xfId="43184" applyFont="1" applyFill="1" applyBorder="1" applyAlignment="1" applyProtection="1">
      <alignment horizontal="right"/>
      <protection locked="0"/>
    </xf>
    <xf numFmtId="0" fontId="214" fillId="41" borderId="0" xfId="834" applyFont="1" applyFill="1" applyAlignment="1" applyProtection="1">
      <alignment horizontal="left" vertical="center" indent="1"/>
    </xf>
    <xf numFmtId="166" fontId="204" fillId="41" borderId="0" xfId="815" applyFont="1" applyFill="1" applyBorder="1"/>
    <xf numFmtId="10" fontId="204" fillId="0" borderId="0" xfId="847" applyNumberFormat="1" applyFont="1" applyFill="1" applyBorder="1"/>
    <xf numFmtId="0" fontId="204" fillId="97" borderId="0" xfId="0" applyFont="1" applyFill="1" applyAlignment="1" applyProtection="1">
      <alignment horizontal="left"/>
      <protection hidden="1"/>
    </xf>
    <xf numFmtId="14" fontId="204" fillId="0" borderId="0" xfId="2697" applyNumberFormat="1" applyFont="1" applyAlignment="1">
      <alignment horizontal="left"/>
    </xf>
    <xf numFmtId="164" fontId="204" fillId="45" borderId="0" xfId="863" applyNumberFormat="1" applyFont="1" applyFill="1" applyBorder="1"/>
    <xf numFmtId="0" fontId="205" fillId="33" borderId="0" xfId="829" applyFont="1" applyFill="1" applyAlignment="1">
      <alignment horizontal="right" vertical="top"/>
    </xf>
    <xf numFmtId="10" fontId="210" fillId="0" borderId="0" xfId="0" applyNumberFormat="1" applyFont="1" applyAlignment="1">
      <alignment horizontal="left" vertical="top"/>
    </xf>
    <xf numFmtId="43" fontId="204" fillId="41" borderId="0" xfId="863" applyNumberFormat="1" applyFont="1" applyFill="1" applyBorder="1" applyAlignment="1">
      <alignment horizontal="right"/>
    </xf>
    <xf numFmtId="0" fontId="204" fillId="0" borderId="0" xfId="0" applyFont="1" applyAlignment="1">
      <alignment horizontal="right"/>
    </xf>
    <xf numFmtId="0" fontId="218" fillId="0" borderId="0" xfId="0" applyFont="1"/>
    <xf numFmtId="9" fontId="206" fillId="0" borderId="0" xfId="847" applyFont="1" applyFill="1" applyBorder="1" applyAlignment="1">
      <alignment horizontal="right"/>
    </xf>
    <xf numFmtId="0" fontId="218" fillId="41" borderId="0" xfId="0" applyFont="1" applyFill="1"/>
    <xf numFmtId="43" fontId="204" fillId="41" borderId="0" xfId="0" applyNumberFormat="1" applyFont="1" applyFill="1" applyAlignment="1">
      <alignment horizontal="center"/>
    </xf>
    <xf numFmtId="10" fontId="204" fillId="41" borderId="0" xfId="847" applyNumberFormat="1" applyFont="1" applyFill="1" applyAlignment="1">
      <alignment horizontal="center"/>
    </xf>
    <xf numFmtId="0" fontId="207" fillId="0" borderId="0" xfId="907" applyFont="1"/>
    <xf numFmtId="169" fontId="204" fillId="0" borderId="0" xfId="863" applyNumberFormat="1" applyFont="1" applyBorder="1"/>
    <xf numFmtId="43" fontId="204" fillId="57" borderId="0" xfId="863" applyNumberFormat="1" applyFont="1" applyFill="1" applyBorder="1"/>
    <xf numFmtId="166" fontId="204" fillId="0" borderId="29" xfId="815" applyFont="1" applyBorder="1"/>
    <xf numFmtId="2" fontId="207" fillId="0" borderId="0" xfId="0" applyNumberFormat="1" applyFont="1"/>
    <xf numFmtId="9" fontId="204" fillId="41" borderId="0" xfId="847" applyFont="1" applyFill="1"/>
    <xf numFmtId="255" fontId="207" fillId="0" borderId="0" xfId="907" applyNumberFormat="1" applyFont="1"/>
    <xf numFmtId="167" fontId="218" fillId="0" borderId="0" xfId="0" applyNumberFormat="1" applyFont="1"/>
    <xf numFmtId="0" fontId="207" fillId="33" borderId="0" xfId="829" applyFont="1" applyFill="1" applyAlignment="1">
      <alignment horizontal="left" vertical="top"/>
    </xf>
    <xf numFmtId="0" fontId="207" fillId="0" borderId="0" xfId="0" applyFont="1" applyAlignment="1">
      <alignment horizontal="left" indent="1"/>
    </xf>
    <xf numFmtId="167" fontId="204" fillId="0" borderId="0" xfId="863" applyFont="1" applyBorder="1"/>
    <xf numFmtId="43" fontId="204" fillId="0" borderId="0" xfId="0" applyNumberFormat="1" applyFont="1"/>
    <xf numFmtId="164" fontId="204" fillId="0" borderId="0" xfId="0" applyNumberFormat="1" applyFont="1"/>
    <xf numFmtId="166" fontId="204" fillId="0" borderId="0" xfId="0" applyNumberFormat="1" applyFont="1"/>
    <xf numFmtId="0" fontId="204" fillId="0" borderId="0" xfId="907" applyFont="1" applyAlignment="1">
      <alignment horizontal="left" indent="2"/>
    </xf>
    <xf numFmtId="218" fontId="217" fillId="41" borderId="0" xfId="863" applyNumberFormat="1" applyFont="1" applyFill="1" applyBorder="1"/>
    <xf numFmtId="0" fontId="209" fillId="43" borderId="0" xfId="0" applyFont="1" applyFill="1"/>
    <xf numFmtId="10" fontId="210" fillId="0" borderId="0" xfId="0" applyNumberFormat="1" applyFont="1" applyAlignment="1">
      <alignment horizontal="center" vertical="top"/>
    </xf>
    <xf numFmtId="167" fontId="204" fillId="45" borderId="0" xfId="863" applyFont="1" applyFill="1" applyBorder="1" applyAlignment="1"/>
    <xf numFmtId="10" fontId="204" fillId="41" borderId="0" xfId="847" applyNumberFormat="1" applyFont="1" applyFill="1" applyBorder="1" applyAlignment="1">
      <alignment horizontal="center"/>
    </xf>
    <xf numFmtId="0" fontId="204" fillId="33" borderId="0" xfId="831" applyFont="1" applyFill="1" applyAlignment="1">
      <alignment vertical="center"/>
    </xf>
    <xf numFmtId="10" fontId="210" fillId="0" borderId="0" xfId="2697" applyNumberFormat="1" applyFont="1" applyAlignment="1">
      <alignment horizontal="right" vertical="top"/>
    </xf>
    <xf numFmtId="0" fontId="205" fillId="33" borderId="0" xfId="831" applyFont="1" applyFill="1" applyAlignment="1">
      <alignment horizontal="left" vertical="center"/>
    </xf>
    <xf numFmtId="169" fontId="204" fillId="33" borderId="0" xfId="863" applyNumberFormat="1" applyFont="1" applyFill="1" applyAlignment="1">
      <alignment vertical="center"/>
    </xf>
    <xf numFmtId="169" fontId="204" fillId="33" borderId="0" xfId="863" applyNumberFormat="1" applyFont="1" applyFill="1" applyBorder="1" applyAlignment="1">
      <alignment vertical="center"/>
    </xf>
    <xf numFmtId="0" fontId="222" fillId="33" borderId="0" xfId="831" applyFont="1" applyFill="1" applyAlignment="1">
      <alignment horizontal="left" vertical="center"/>
    </xf>
    <xf numFmtId="0" fontId="204" fillId="33" borderId="0" xfId="831" applyFont="1" applyFill="1" applyAlignment="1">
      <alignment vertical="center" wrapText="1"/>
    </xf>
    <xf numFmtId="0" fontId="204" fillId="0" borderId="0" xfId="831" applyFont="1" applyAlignment="1">
      <alignment vertical="center"/>
    </xf>
    <xf numFmtId="175" fontId="204" fillId="0" borderId="0" xfId="863" applyNumberFormat="1" applyFont="1" applyFill="1" applyBorder="1" applyAlignment="1">
      <alignment vertical="center"/>
    </xf>
    <xf numFmtId="167" fontId="207" fillId="33" borderId="0" xfId="831" applyNumberFormat="1" applyFont="1" applyFill="1" applyAlignment="1">
      <alignment vertical="center"/>
    </xf>
    <xf numFmtId="169" fontId="207" fillId="33" borderId="0" xfId="863" applyNumberFormat="1" applyFont="1" applyFill="1" applyBorder="1" applyAlignment="1">
      <alignment vertical="center"/>
    </xf>
    <xf numFmtId="167" fontId="207" fillId="33" borderId="0" xfId="863" applyFont="1" applyFill="1" applyBorder="1" applyAlignment="1">
      <alignment vertical="center"/>
    </xf>
    <xf numFmtId="175" fontId="204" fillId="33" borderId="0" xfId="831" applyNumberFormat="1" applyFont="1" applyFill="1" applyAlignment="1">
      <alignment vertical="center"/>
    </xf>
    <xf numFmtId="0" fontId="222" fillId="0" borderId="0" xfId="831" applyFont="1" applyAlignment="1">
      <alignment horizontal="left" vertical="center"/>
    </xf>
    <xf numFmtId="0" fontId="207" fillId="0" borderId="0" xfId="831" applyFont="1" applyAlignment="1">
      <alignment horizontal="center" vertical="center"/>
    </xf>
    <xf numFmtId="4" fontId="207" fillId="0" borderId="0" xfId="831" applyNumberFormat="1" applyFont="1" applyAlignment="1">
      <alignment horizontal="right" vertical="center"/>
    </xf>
    <xf numFmtId="0" fontId="204" fillId="41" borderId="0" xfId="831" applyFont="1" applyFill="1" applyAlignment="1">
      <alignment vertical="center"/>
    </xf>
    <xf numFmtId="169" fontId="204" fillId="41" borderId="0" xfId="863" applyNumberFormat="1" applyFont="1" applyFill="1" applyBorder="1" applyAlignment="1">
      <alignment vertical="center"/>
    </xf>
    <xf numFmtId="0" fontId="204" fillId="61" borderId="0" xfId="831" applyFont="1" applyFill="1" applyAlignment="1">
      <alignment vertical="center"/>
    </xf>
    <xf numFmtId="0" fontId="223" fillId="95" borderId="113" xfId="2697" applyFont="1" applyFill="1" applyBorder="1" applyAlignment="1">
      <alignment vertical="top"/>
    </xf>
    <xf numFmtId="0" fontId="223" fillId="95" borderId="114" xfId="2697" applyFont="1" applyFill="1" applyBorder="1" applyAlignment="1">
      <alignment horizontal="right" vertical="top"/>
    </xf>
    <xf numFmtId="0" fontId="223" fillId="95" borderId="115" xfId="2697" applyFont="1" applyFill="1" applyBorder="1" applyAlignment="1">
      <alignment vertical="top"/>
    </xf>
    <xf numFmtId="0" fontId="223" fillId="95" borderId="116" xfId="2697" applyFont="1" applyFill="1" applyBorder="1" applyAlignment="1">
      <alignment vertical="top"/>
    </xf>
    <xf numFmtId="0" fontId="223" fillId="95" borderId="117" xfId="2697" applyFont="1" applyFill="1" applyBorder="1" applyAlignment="1">
      <alignment horizontal="right" vertical="top"/>
    </xf>
    <xf numFmtId="0" fontId="223" fillId="95" borderId="118" xfId="2697" applyFont="1" applyFill="1" applyBorder="1" applyAlignment="1">
      <alignment vertical="top"/>
    </xf>
    <xf numFmtId="0" fontId="207" fillId="41" borderId="0" xfId="2697" applyFont="1" applyFill="1"/>
    <xf numFmtId="2" fontId="204" fillId="41" borderId="0" xfId="0" applyNumberFormat="1" applyFont="1" applyFill="1"/>
    <xf numFmtId="169" fontId="204" fillId="41" borderId="0" xfId="863" applyNumberFormat="1" applyFont="1" applyFill="1" applyBorder="1"/>
    <xf numFmtId="0" fontId="204" fillId="41" borderId="0" xfId="0" applyFont="1" applyFill="1" applyAlignment="1">
      <alignment vertical="center"/>
    </xf>
    <xf numFmtId="167" fontId="207" fillId="41" borderId="0" xfId="863" applyFont="1" applyFill="1" applyBorder="1"/>
    <xf numFmtId="167" fontId="204" fillId="33" borderId="0" xfId="863" applyFont="1" applyFill="1" applyBorder="1" applyAlignment="1" applyProtection="1">
      <alignment horizontal="center" vertical="center"/>
      <protection locked="0"/>
    </xf>
    <xf numFmtId="0" fontId="204" fillId="0" borderId="0" xfId="831" applyFont="1"/>
    <xf numFmtId="169" fontId="224" fillId="0" borderId="0" xfId="863" applyNumberFormat="1" applyFont="1" applyAlignment="1">
      <alignment horizontal="right"/>
    </xf>
    <xf numFmtId="0" fontId="223" fillId="95" borderId="0" xfId="2697" applyFont="1" applyFill="1" applyAlignment="1">
      <alignment vertical="top"/>
    </xf>
    <xf numFmtId="0" fontId="223" fillId="95" borderId="0" xfId="2697" applyFont="1" applyFill="1" applyAlignment="1">
      <alignment horizontal="right" vertical="top"/>
    </xf>
    <xf numFmtId="0" fontId="223" fillId="95" borderId="119" xfId="2697" applyFont="1" applyFill="1" applyBorder="1" applyAlignment="1">
      <alignment vertical="top"/>
    </xf>
    <xf numFmtId="0" fontId="223" fillId="95" borderId="120" xfId="2697" applyFont="1" applyFill="1" applyBorder="1" applyAlignment="1">
      <alignment horizontal="right" vertical="top"/>
    </xf>
    <xf numFmtId="0" fontId="223" fillId="95" borderId="121" xfId="2697" applyFont="1" applyFill="1" applyBorder="1" applyAlignment="1">
      <alignment vertical="top"/>
    </xf>
    <xf numFmtId="14" fontId="204" fillId="33" borderId="0" xfId="831" applyNumberFormat="1" applyFont="1" applyFill="1" applyAlignment="1">
      <alignment vertical="center"/>
    </xf>
    <xf numFmtId="167" fontId="207" fillId="33" borderId="0" xfId="863" applyFont="1" applyFill="1" applyBorder="1" applyAlignment="1">
      <alignment horizontal="center" vertical="center"/>
    </xf>
    <xf numFmtId="4" fontId="204" fillId="33" borderId="0" xfId="831" applyNumberFormat="1" applyFont="1" applyFill="1" applyAlignment="1">
      <alignment horizontal="center" vertical="center"/>
    </xf>
    <xf numFmtId="4" fontId="204" fillId="46" borderId="0" xfId="831" applyNumberFormat="1" applyFont="1" applyFill="1" applyAlignment="1">
      <alignment horizontal="center" vertical="center"/>
    </xf>
    <xf numFmtId="167" fontId="207" fillId="54" borderId="0" xfId="903" applyFont="1" applyFill="1" applyBorder="1" applyAlignment="1">
      <alignment horizontal="right"/>
    </xf>
    <xf numFmtId="167" fontId="207" fillId="54" borderId="0" xfId="903" applyFont="1" applyFill="1" applyBorder="1" applyAlignment="1">
      <alignment horizontal="left" vertical="top" wrapText="1"/>
    </xf>
    <xf numFmtId="0" fontId="213" fillId="0" borderId="0" xfId="801" applyFont="1" applyFill="1" applyBorder="1" applyAlignment="1" applyProtection="1">
      <alignment horizontal="right" vertical="center"/>
    </xf>
    <xf numFmtId="0" fontId="213" fillId="33" borderId="0" xfId="801" applyFont="1" applyFill="1" applyBorder="1" applyAlignment="1" applyProtection="1">
      <alignment horizontal="right" vertical="center"/>
    </xf>
    <xf numFmtId="0" fontId="204" fillId="33" borderId="0" xfId="0" applyFont="1" applyFill="1" applyAlignment="1">
      <alignment vertical="center"/>
    </xf>
    <xf numFmtId="14" fontId="204" fillId="0" borderId="0" xfId="0" applyNumberFormat="1" applyFont="1"/>
    <xf numFmtId="0" fontId="204" fillId="0" borderId="20" xfId="0" applyFont="1" applyBorder="1"/>
    <xf numFmtId="166" fontId="204" fillId="0" borderId="0" xfId="815" applyFont="1" applyFill="1"/>
    <xf numFmtId="167" fontId="204" fillId="54" borderId="0" xfId="903" applyFont="1" applyFill="1" applyBorder="1" applyAlignment="1">
      <alignment horizontal="left" vertical="top"/>
    </xf>
    <xf numFmtId="214" fontId="204" fillId="54" borderId="0" xfId="903" applyNumberFormat="1" applyFont="1" applyFill="1" applyBorder="1" applyAlignment="1">
      <alignment horizontal="right"/>
    </xf>
    <xf numFmtId="167" fontId="204" fillId="41" borderId="0" xfId="903" applyFont="1" applyFill="1" applyBorder="1" applyAlignment="1">
      <alignment horizontal="left" vertical="top" wrapText="1"/>
    </xf>
    <xf numFmtId="166" fontId="204" fillId="0" borderId="0" xfId="815" applyFont="1" applyFill="1" applyBorder="1" applyAlignment="1">
      <alignment horizontal="right"/>
    </xf>
    <xf numFmtId="166" fontId="204" fillId="41" borderId="0" xfId="815" applyFont="1" applyFill="1" applyBorder="1" applyAlignment="1">
      <alignment horizontal="right"/>
    </xf>
    <xf numFmtId="0" fontId="204" fillId="0" borderId="0" xfId="832" applyFont="1"/>
    <xf numFmtId="0" fontId="205" fillId="33" borderId="0" xfId="0" applyFont="1" applyFill="1" applyAlignment="1">
      <alignment horizontal="left"/>
    </xf>
    <xf numFmtId="166" fontId="204" fillId="0" borderId="0" xfId="815" applyFont="1" applyAlignment="1">
      <alignment vertical="center"/>
    </xf>
    <xf numFmtId="166" fontId="204" fillId="41" borderId="20" xfId="815" applyFont="1" applyFill="1" applyBorder="1"/>
    <xf numFmtId="196" fontId="204" fillId="0" borderId="0" xfId="0" applyNumberFormat="1" applyFont="1"/>
    <xf numFmtId="0" fontId="210" fillId="33" borderId="0" xfId="0" applyFont="1" applyFill="1" applyAlignment="1">
      <alignment horizontal="right"/>
    </xf>
    <xf numFmtId="9" fontId="204" fillId="0" borderId="0" xfId="847" applyFont="1"/>
    <xf numFmtId="0" fontId="204" fillId="33" borderId="0" xfId="0" applyFont="1" applyFill="1"/>
    <xf numFmtId="0" fontId="204" fillId="33" borderId="20" xfId="789" applyFont="1" applyFill="1" applyBorder="1"/>
    <xf numFmtId="0" fontId="204" fillId="33" borderId="29" xfId="789" applyFont="1" applyFill="1" applyBorder="1"/>
    <xf numFmtId="10" fontId="204" fillId="33" borderId="29" xfId="847" applyNumberFormat="1" applyFont="1" applyFill="1" applyBorder="1"/>
    <xf numFmtId="17" fontId="204" fillId="0" borderId="29" xfId="0" applyNumberFormat="1" applyFont="1" applyBorder="1"/>
    <xf numFmtId="0" fontId="210" fillId="0" borderId="0" xfId="0" applyFont="1" applyAlignment="1">
      <alignment horizontal="right"/>
    </xf>
    <xf numFmtId="167" fontId="204" fillId="41" borderId="0" xfId="863" applyFont="1" applyFill="1"/>
    <xf numFmtId="167" fontId="204" fillId="41" borderId="0" xfId="863" applyFont="1" applyFill="1" applyAlignment="1">
      <alignment vertical="center"/>
    </xf>
    <xf numFmtId="166" fontId="204" fillId="41" borderId="0" xfId="815" applyFont="1" applyFill="1"/>
    <xf numFmtId="43" fontId="204" fillId="41" borderId="0" xfId="0" applyNumberFormat="1" applyFont="1" applyFill="1"/>
    <xf numFmtId="10" fontId="204" fillId="0" borderId="20" xfId="847" applyNumberFormat="1" applyFont="1" applyBorder="1" applyAlignment="1">
      <alignment horizontal="right"/>
    </xf>
    <xf numFmtId="10" fontId="204" fillId="0" borderId="20" xfId="847" applyNumberFormat="1" applyFont="1" applyFill="1" applyBorder="1" applyAlignment="1">
      <alignment horizontal="right"/>
    </xf>
    <xf numFmtId="166" fontId="204" fillId="0" borderId="20" xfId="815" applyFont="1" applyBorder="1"/>
    <xf numFmtId="166" fontId="204" fillId="0" borderId="20" xfId="815" applyFont="1" applyFill="1" applyBorder="1"/>
    <xf numFmtId="166" fontId="204" fillId="0" borderId="29" xfId="815" applyFont="1" applyFill="1" applyBorder="1"/>
    <xf numFmtId="0" fontId="207" fillId="0" borderId="0" xfId="2697" applyFont="1"/>
    <xf numFmtId="0" fontId="228" fillId="0" borderId="0" xfId="2697" applyFont="1"/>
    <xf numFmtId="10" fontId="42" fillId="41" borderId="0" xfId="847" applyNumberFormat="1" applyFont="1" applyFill="1" applyBorder="1" applyAlignment="1">
      <alignment horizontal="center"/>
    </xf>
    <xf numFmtId="0" fontId="37" fillId="55" borderId="0" xfId="834" applyFont="1" applyFill="1" applyAlignment="1" applyProtection="1">
      <alignment horizontal="center" vertical="center"/>
    </xf>
    <xf numFmtId="0" fontId="204" fillId="46" borderId="0" xfId="2697" applyFont="1" applyFill="1"/>
    <xf numFmtId="164" fontId="204" fillId="46" borderId="0" xfId="2697" applyNumberFormat="1" applyFont="1" applyFill="1"/>
    <xf numFmtId="167" fontId="0" fillId="0" borderId="0" xfId="863" applyFont="1"/>
    <xf numFmtId="167" fontId="29" fillId="0" borderId="0" xfId="863" applyFont="1"/>
    <xf numFmtId="167" fontId="230" fillId="0" borderId="0" xfId="863" applyFont="1"/>
    <xf numFmtId="0" fontId="231" fillId="0" borderId="122" xfId="0" applyFont="1" applyBorder="1"/>
    <xf numFmtId="167" fontId="231" fillId="0" borderId="122" xfId="863" applyFont="1" applyBorder="1"/>
    <xf numFmtId="14" fontId="231" fillId="0" borderId="122" xfId="0" applyNumberFormat="1" applyFont="1" applyBorder="1"/>
    <xf numFmtId="0" fontId="231" fillId="62" borderId="122" xfId="0" applyFont="1" applyFill="1" applyBorder="1"/>
    <xf numFmtId="167" fontId="231" fillId="62" borderId="122" xfId="863" applyFont="1" applyFill="1" applyBorder="1"/>
    <xf numFmtId="14" fontId="231" fillId="62" borderId="122" xfId="0" applyNumberFormat="1" applyFont="1" applyFill="1" applyBorder="1"/>
    <xf numFmtId="167" fontId="232" fillId="0" borderId="0" xfId="863" applyFont="1"/>
    <xf numFmtId="0" fontId="232" fillId="0" borderId="0" xfId="0" applyFont="1"/>
    <xf numFmtId="0" fontId="232" fillId="41" borderId="0" xfId="0" applyFont="1" applyFill="1"/>
    <xf numFmtId="0" fontId="233" fillId="41" borderId="0" xfId="0" applyFont="1" applyFill="1"/>
    <xf numFmtId="167" fontId="232" fillId="0" borderId="0" xfId="0" applyNumberFormat="1" applyFont="1"/>
    <xf numFmtId="167" fontId="0" fillId="0" borderId="0" xfId="863" applyFont="1" applyBorder="1"/>
    <xf numFmtId="10" fontId="0" fillId="0" borderId="0" xfId="847" applyNumberFormat="1" applyFont="1"/>
    <xf numFmtId="257" fontId="204" fillId="0" borderId="0" xfId="847" applyNumberFormat="1" applyFont="1" applyAlignment="1">
      <alignment horizontal="left"/>
    </xf>
    <xf numFmtId="256" fontId="204" fillId="0" borderId="0" xfId="847" applyNumberFormat="1" applyFont="1" applyAlignment="1">
      <alignment horizontal="left"/>
    </xf>
    <xf numFmtId="169" fontId="204" fillId="0" borderId="0" xfId="863" applyNumberFormat="1" applyFont="1" applyAlignment="1">
      <alignment horizontal="left" vertical="top"/>
    </xf>
    <xf numFmtId="166" fontId="207" fillId="44" borderId="29" xfId="0" applyNumberFormat="1" applyFont="1" applyFill="1" applyBorder="1" applyProtection="1">
      <protection hidden="1"/>
    </xf>
    <xf numFmtId="167" fontId="0" fillId="46" borderId="0" xfId="863" applyFont="1" applyFill="1"/>
    <xf numFmtId="0" fontId="0" fillId="46" borderId="0" xfId="0" applyFill="1"/>
    <xf numFmtId="169" fontId="204" fillId="41" borderId="0" xfId="863" applyNumberFormat="1" applyFont="1" applyFill="1" applyBorder="1" applyAlignment="1">
      <alignment horizontal="right"/>
    </xf>
    <xf numFmtId="261" fontId="204" fillId="0" borderId="0" xfId="847" applyNumberFormat="1" applyFont="1" applyBorder="1"/>
    <xf numFmtId="261" fontId="204" fillId="0" borderId="0" xfId="847" applyNumberFormat="1" applyFont="1" applyFill="1" applyBorder="1" applyAlignment="1">
      <alignment horizontal="right"/>
    </xf>
    <xf numFmtId="261" fontId="204" fillId="0" borderId="0" xfId="847" applyNumberFormat="1" applyFont="1" applyBorder="1" applyAlignment="1">
      <alignment horizontal="right"/>
    </xf>
    <xf numFmtId="0" fontId="29" fillId="0" borderId="0" xfId="0" applyFont="1" applyAlignment="1">
      <alignment horizontal="right" vertical="center"/>
    </xf>
    <xf numFmtId="0" fontId="236" fillId="0" borderId="0" xfId="0" applyFont="1" applyAlignment="1">
      <alignment horizontal="right" vertical="center"/>
    </xf>
    <xf numFmtId="0" fontId="204" fillId="0" borderId="0" xfId="0" applyFont="1" applyAlignment="1">
      <alignment horizontal="left"/>
    </xf>
    <xf numFmtId="0" fontId="228" fillId="0" borderId="0" xfId="832" applyFont="1"/>
    <xf numFmtId="252" fontId="115" fillId="0" borderId="0" xfId="0" applyNumberFormat="1" applyFont="1"/>
    <xf numFmtId="4" fontId="115" fillId="0" borderId="0" xfId="0" applyNumberFormat="1" applyFont="1"/>
    <xf numFmtId="0" fontId="115" fillId="0" borderId="0" xfId="0" applyFont="1"/>
    <xf numFmtId="166" fontId="204" fillId="0" borderId="0" xfId="801" applyNumberFormat="1" applyFont="1" applyBorder="1" applyAlignment="1" applyProtection="1"/>
    <xf numFmtId="166" fontId="204" fillId="0" borderId="0" xfId="815" applyFont="1" applyFill="1" applyBorder="1" applyAlignment="1">
      <alignment horizontal="right" indent="2"/>
    </xf>
    <xf numFmtId="166" fontId="204" fillId="0" borderId="0" xfId="815" applyFont="1" applyFill="1" applyBorder="1" applyAlignment="1">
      <alignment horizontal="right" indent="5"/>
    </xf>
    <xf numFmtId="166" fontId="204" fillId="0" borderId="0" xfId="801" applyNumberFormat="1" applyFont="1" applyFill="1" applyBorder="1" applyAlignment="1" applyProtection="1"/>
    <xf numFmtId="0" fontId="207" fillId="0" borderId="0" xfId="0" applyFont="1" applyAlignment="1">
      <alignment horizontal="center"/>
    </xf>
    <xf numFmtId="170" fontId="204" fillId="0" borderId="0" xfId="0" applyNumberFormat="1" applyFont="1"/>
    <xf numFmtId="0" fontId="211" fillId="0" borderId="0" xfId="0" applyFont="1" applyAlignment="1">
      <alignment horizontal="center" vertical="center" wrapText="1"/>
    </xf>
    <xf numFmtId="166" fontId="207" fillId="0" borderId="0" xfId="0" applyNumberFormat="1" applyFont="1"/>
    <xf numFmtId="0" fontId="29" fillId="0" borderId="0" xfId="907"/>
    <xf numFmtId="170" fontId="29" fillId="0" borderId="10" xfId="907" applyNumberFormat="1" applyBorder="1" applyAlignment="1">
      <alignment horizontal="center"/>
    </xf>
    <xf numFmtId="167" fontId="0" fillId="9" borderId="10" xfId="863" applyFont="1" applyFill="1" applyBorder="1"/>
    <xf numFmtId="17" fontId="38" fillId="0" borderId="0" xfId="905" applyNumberFormat="1" applyFont="1" applyAlignment="1">
      <alignment horizontal="center" vertical="center" wrapText="1"/>
    </xf>
    <xf numFmtId="0" fontId="32" fillId="0" borderId="0" xfId="907" applyFont="1"/>
    <xf numFmtId="166" fontId="32" fillId="0" borderId="0" xfId="815" applyFont="1" applyFill="1" applyBorder="1" applyAlignment="1">
      <alignment horizontal="right"/>
    </xf>
    <xf numFmtId="17" fontId="38" fillId="0" borderId="0" xfId="905" applyNumberFormat="1" applyFont="1" applyAlignment="1">
      <alignment horizontal="left" vertical="center" indent="6"/>
    </xf>
    <xf numFmtId="17" fontId="38" fillId="38" borderId="29" xfId="905" applyNumberFormat="1" applyFont="1" applyFill="1" applyBorder="1" applyAlignment="1">
      <alignment horizontal="center" vertical="center" wrapText="1"/>
    </xf>
    <xf numFmtId="0" fontId="35" fillId="0" borderId="0" xfId="907" applyFont="1"/>
    <xf numFmtId="167" fontId="29" fillId="0" borderId="10" xfId="863" applyBorder="1"/>
    <xf numFmtId="0" fontId="223" fillId="0" borderId="0" xfId="2697" applyFont="1" applyAlignment="1">
      <alignment vertical="top"/>
    </xf>
    <xf numFmtId="0" fontId="223" fillId="0" borderId="0" xfId="2697" applyFont="1" applyAlignment="1">
      <alignment horizontal="right" vertical="top"/>
    </xf>
    <xf numFmtId="17" fontId="38" fillId="0" borderId="0" xfId="905" applyNumberFormat="1" applyFont="1" applyAlignment="1">
      <alignment horizontal="left" vertical="center" indent="11"/>
    </xf>
    <xf numFmtId="166" fontId="32" fillId="0" borderId="0" xfId="815" applyFont="1" applyFill="1" applyBorder="1"/>
    <xf numFmtId="170" fontId="32" fillId="0" borderId="0" xfId="907" applyNumberFormat="1" applyFont="1"/>
    <xf numFmtId="0" fontId="145" fillId="41" borderId="0" xfId="907" applyFont="1" applyFill="1"/>
    <xf numFmtId="167" fontId="115" fillId="0" borderId="0" xfId="863" applyFont="1"/>
    <xf numFmtId="167" fontId="204" fillId="0" borderId="0" xfId="863" applyFont="1" applyFill="1" applyBorder="1"/>
    <xf numFmtId="0" fontId="227" fillId="0" borderId="0" xfId="830" applyFont="1"/>
    <xf numFmtId="0" fontId="225" fillId="0" borderId="0" xfId="831" applyFont="1"/>
    <xf numFmtId="0" fontId="204" fillId="0" borderId="0" xfId="0" applyFont="1" applyAlignment="1">
      <alignment horizontal="center"/>
    </xf>
    <xf numFmtId="14" fontId="204" fillId="0" borderId="0" xfId="0" applyNumberFormat="1" applyFont="1" applyAlignment="1">
      <alignment horizontal="center"/>
    </xf>
    <xf numFmtId="0" fontId="224" fillId="0" borderId="0" xfId="0" applyFont="1"/>
    <xf numFmtId="166" fontId="204" fillId="0" borderId="10" xfId="815" applyFont="1" applyFill="1" applyBorder="1"/>
    <xf numFmtId="0" fontId="240" fillId="33" borderId="0" xfId="831" applyFont="1" applyFill="1" applyAlignment="1">
      <alignment horizontal="right" vertical="center"/>
    </xf>
    <xf numFmtId="0" fontId="109" fillId="41" borderId="0" xfId="907" applyFont="1" applyFill="1" applyAlignment="1">
      <alignment horizontal="center"/>
    </xf>
    <xf numFmtId="9" fontId="37" fillId="38" borderId="0" xfId="1823" applyFont="1" applyFill="1" applyBorder="1" applyAlignment="1">
      <alignment horizontal="center" vertical="center" wrapText="1"/>
    </xf>
    <xf numFmtId="0" fontId="42" fillId="41" borderId="0" xfId="907" applyFont="1" applyFill="1" applyAlignment="1">
      <alignment horizontal="left" indent="1"/>
    </xf>
    <xf numFmtId="0" fontId="241" fillId="41" borderId="106" xfId="831" applyFont="1" applyFill="1" applyBorder="1" applyAlignment="1">
      <alignment horizontal="left"/>
    </xf>
    <xf numFmtId="0" fontId="30" fillId="41" borderId="0" xfId="801" applyFill="1" applyBorder="1" applyAlignment="1" applyProtection="1">
      <alignment horizontal="left"/>
    </xf>
    <xf numFmtId="0" fontId="42" fillId="41" borderId="0" xfId="2697" applyFont="1" applyFill="1"/>
    <xf numFmtId="0" fontId="30" fillId="41" borderId="0" xfId="801" applyFill="1" applyBorder="1" applyAlignment="1" applyProtection="1"/>
    <xf numFmtId="0" fontId="242" fillId="41" borderId="0" xfId="907" applyFont="1" applyFill="1" applyAlignment="1">
      <alignment horizontal="left"/>
    </xf>
    <xf numFmtId="0" fontId="30" fillId="41" borderId="0" xfId="801" applyFill="1" applyBorder="1" applyAlignment="1" applyProtection="1">
      <alignment horizontal="right"/>
    </xf>
    <xf numFmtId="0" fontId="116" fillId="101" borderId="0" xfId="2697" applyFont="1" applyFill="1" applyAlignment="1">
      <alignment horizontal="center" vertical="center" wrapText="1"/>
    </xf>
    <xf numFmtId="0" fontId="42" fillId="41" borderId="0" xfId="2697" applyFont="1" applyFill="1" applyAlignment="1">
      <alignment horizontal="left" vertical="center"/>
    </xf>
    <xf numFmtId="43" fontId="42" fillId="41" borderId="0" xfId="43199" applyFont="1" applyFill="1" applyBorder="1" applyAlignment="1"/>
    <xf numFmtId="43" fontId="42" fillId="41" borderId="0" xfId="43199" applyFont="1" applyFill="1" applyBorder="1"/>
    <xf numFmtId="166" fontId="42" fillId="41" borderId="0" xfId="815" quotePrefix="1" applyFont="1" applyFill="1" applyBorder="1"/>
    <xf numFmtId="10" fontId="42" fillId="41" borderId="0" xfId="847" applyNumberFormat="1" applyFont="1" applyFill="1" applyBorder="1" applyAlignment="1">
      <alignment horizontal="right" vertical="center"/>
    </xf>
    <xf numFmtId="43" fontId="42" fillId="41" borderId="0" xfId="907" applyNumberFormat="1" applyFont="1" applyFill="1"/>
    <xf numFmtId="166" fontId="109" fillId="41" borderId="0" xfId="815" applyFont="1" applyFill="1" applyBorder="1" applyAlignment="1"/>
    <xf numFmtId="43" fontId="109" fillId="41" borderId="0" xfId="907" applyNumberFormat="1" applyFont="1" applyFill="1"/>
    <xf numFmtId="0" fontId="29" fillId="41" borderId="0" xfId="2697" applyFill="1" applyAlignment="1">
      <alignment horizontal="center"/>
    </xf>
    <xf numFmtId="166" fontId="242" fillId="41" borderId="0" xfId="815" applyFont="1" applyFill="1" applyBorder="1" applyAlignment="1"/>
    <xf numFmtId="43" fontId="42" fillId="41" borderId="0" xfId="43200" applyFont="1" applyFill="1" applyBorder="1" applyAlignment="1" applyProtection="1">
      <alignment horizontal="center"/>
    </xf>
    <xf numFmtId="43" fontId="202" fillId="41" borderId="0" xfId="43199" applyFont="1" applyFill="1" applyBorder="1"/>
    <xf numFmtId="43" fontId="109" fillId="41" borderId="0" xfId="43199" applyFont="1" applyFill="1" applyBorder="1"/>
    <xf numFmtId="0" fontId="42" fillId="41" borderId="0" xfId="907" applyFont="1" applyFill="1" applyAlignment="1">
      <alignment horizontal="center"/>
    </xf>
    <xf numFmtId="0" fontId="231" fillId="41" borderId="123" xfId="2697" applyFont="1" applyFill="1" applyBorder="1" applyAlignment="1">
      <alignment horizontal="center"/>
    </xf>
    <xf numFmtId="0" fontId="231" fillId="41" borderId="124" xfId="2697" applyFont="1" applyFill="1" applyBorder="1" applyAlignment="1">
      <alignment horizontal="center"/>
    </xf>
    <xf numFmtId="0" fontId="242" fillId="41" borderId="0" xfId="907" applyFont="1" applyFill="1"/>
    <xf numFmtId="169" fontId="42" fillId="33" borderId="0" xfId="43199" applyNumberFormat="1" applyFont="1" applyFill="1" applyBorder="1" applyAlignment="1">
      <alignment horizontal="center" wrapText="1"/>
    </xf>
    <xf numFmtId="43" fontId="42" fillId="41" borderId="0" xfId="43199" applyFont="1" applyFill="1" applyBorder="1" applyAlignment="1">
      <alignment horizontal="center"/>
    </xf>
    <xf numFmtId="0" fontId="42" fillId="41" borderId="0" xfId="2697" applyFont="1" applyFill="1" applyAlignment="1">
      <alignment horizontal="center" vertical="center"/>
    </xf>
    <xf numFmtId="2" fontId="42" fillId="41" borderId="0" xfId="2697" applyNumberFormat="1" applyFont="1" applyFill="1" applyAlignment="1">
      <alignment horizontal="center"/>
    </xf>
    <xf numFmtId="43" fontId="42" fillId="41" borderId="0" xfId="2697" applyNumberFormat="1" applyFont="1" applyFill="1" applyAlignment="1">
      <alignment horizontal="left"/>
    </xf>
    <xf numFmtId="0" fontId="42" fillId="41" borderId="0" xfId="2697" applyFont="1" applyFill="1" applyAlignment="1">
      <alignment horizontal="center"/>
    </xf>
    <xf numFmtId="0" fontId="42" fillId="41" borderId="0" xfId="2697" applyFont="1" applyFill="1" applyAlignment="1">
      <alignment horizontal="left"/>
    </xf>
    <xf numFmtId="0" fontId="142" fillId="41" borderId="125" xfId="907" applyFont="1" applyFill="1" applyBorder="1" applyAlignment="1">
      <alignment horizontal="center"/>
    </xf>
    <xf numFmtId="3" fontId="42" fillId="41" borderId="0" xfId="43199" applyNumberFormat="1" applyFont="1" applyFill="1" applyBorder="1" applyAlignment="1">
      <alignment horizontal="right"/>
    </xf>
    <xf numFmtId="43" fontId="42" fillId="41" borderId="0" xfId="43199" applyFont="1" applyFill="1" applyBorder="1" applyAlignment="1">
      <alignment horizontal="right"/>
    </xf>
    <xf numFmtId="43" fontId="42" fillId="41" borderId="0" xfId="43199" applyFont="1" applyFill="1" applyBorder="1" applyAlignment="1">
      <alignment horizontal="left"/>
    </xf>
    <xf numFmtId="0" fontId="243" fillId="41" borderId="123" xfId="907" applyFont="1" applyFill="1" applyBorder="1" applyAlignment="1">
      <alignment horizontal="center"/>
    </xf>
    <xf numFmtId="43" fontId="42" fillId="0" borderId="0" xfId="43199" applyFont="1" applyFill="1" applyBorder="1" applyAlignment="1">
      <alignment horizontal="left"/>
    </xf>
    <xf numFmtId="0" fontId="243" fillId="41" borderId="124" xfId="907" applyFont="1" applyFill="1" applyBorder="1" applyAlignment="1">
      <alignment horizontal="center"/>
    </xf>
    <xf numFmtId="43" fontId="109" fillId="0" borderId="0" xfId="43199" applyFont="1" applyFill="1" applyBorder="1" applyAlignment="1">
      <alignment horizontal="left"/>
    </xf>
    <xf numFmtId="43" fontId="42" fillId="0" borderId="0" xfId="2697" applyNumberFormat="1" applyFont="1"/>
    <xf numFmtId="43" fontId="109" fillId="0" borderId="0" xfId="2697" applyNumberFormat="1" applyFont="1" applyAlignment="1">
      <alignment horizontal="left"/>
    </xf>
    <xf numFmtId="43" fontId="109" fillId="41" borderId="0" xfId="43199" quotePrefix="1" applyFont="1" applyFill="1" applyBorder="1" applyAlignment="1">
      <alignment horizontal="left"/>
    </xf>
    <xf numFmtId="10" fontId="42" fillId="41" borderId="0" xfId="43199" applyNumberFormat="1" applyFont="1" applyFill="1" applyBorder="1"/>
    <xf numFmtId="0" fontId="144" fillId="41" borderId="0" xfId="2697" applyFont="1" applyFill="1" applyAlignment="1">
      <alignment horizontal="center" vertical="center"/>
    </xf>
    <xf numFmtId="0" fontId="144" fillId="41" borderId="0" xfId="2697" applyFont="1" applyFill="1" applyAlignment="1">
      <alignment horizontal="center" vertical="center" wrapText="1"/>
    </xf>
    <xf numFmtId="0" fontId="143" fillId="41" borderId="0" xfId="2697" applyFont="1" applyFill="1" applyAlignment="1">
      <alignment vertical="center"/>
    </xf>
    <xf numFmtId="3" fontId="143" fillId="41" borderId="0" xfId="2697" applyNumberFormat="1" applyFont="1" applyFill="1" applyAlignment="1">
      <alignment horizontal="center" vertical="center"/>
    </xf>
    <xf numFmtId="10" fontId="143" fillId="41" borderId="0" xfId="2697" applyNumberFormat="1" applyFont="1" applyFill="1" applyAlignment="1">
      <alignment horizontal="center" vertical="center"/>
    </xf>
    <xf numFmtId="0" fontId="143" fillId="41" borderId="0" xfId="2697" applyFont="1" applyFill="1" applyAlignment="1">
      <alignment horizontal="center" vertical="center"/>
    </xf>
    <xf numFmtId="3" fontId="143" fillId="41" borderId="0" xfId="2697" applyNumberFormat="1" applyFont="1" applyFill="1" applyAlignment="1">
      <alignment vertical="center"/>
    </xf>
    <xf numFmtId="10" fontId="143" fillId="41" borderId="0" xfId="2697" applyNumberFormat="1" applyFont="1" applyFill="1" applyAlignment="1">
      <alignment horizontal="right" vertical="center"/>
    </xf>
    <xf numFmtId="0" fontId="145" fillId="41" borderId="0" xfId="2697" applyFont="1" applyFill="1"/>
    <xf numFmtId="9" fontId="37" fillId="38" borderId="0" xfId="1095" applyFont="1" applyFill="1" applyBorder="1" applyAlignment="1">
      <alignment horizontal="center" vertical="center" wrapText="1"/>
    </xf>
    <xf numFmtId="0" fontId="142" fillId="41" borderId="0" xfId="2697" applyFont="1" applyFill="1" applyAlignment="1">
      <alignment horizontal="center" vertical="center"/>
    </xf>
    <xf numFmtId="43" fontId="42" fillId="0" borderId="0" xfId="43199" applyFont="1" applyAlignment="1">
      <alignment vertical="center"/>
    </xf>
    <xf numFmtId="0" fontId="42" fillId="0" borderId="0" xfId="2697" applyFont="1"/>
    <xf numFmtId="0" fontId="109" fillId="0" borderId="0" xfId="2697" applyFont="1"/>
    <xf numFmtId="43" fontId="42" fillId="0" borderId="0" xfId="43201" applyFont="1" applyFill="1" applyBorder="1" applyAlignment="1">
      <alignment horizontal="right" vertical="center"/>
    </xf>
    <xf numFmtId="0" fontId="145" fillId="0" borderId="0" xfId="2697" applyFont="1" applyAlignment="1">
      <alignment vertical="center"/>
    </xf>
    <xf numFmtId="0" fontId="145" fillId="0" borderId="0" xfId="2697" applyFont="1"/>
    <xf numFmtId="43" fontId="145" fillId="41" borderId="0" xfId="43199" applyFont="1" applyFill="1" applyBorder="1"/>
    <xf numFmtId="43" fontId="142" fillId="41" borderId="0" xfId="2697" applyNumberFormat="1" applyFont="1" applyFill="1" applyAlignment="1">
      <alignment horizontal="center" vertical="center"/>
    </xf>
    <xf numFmtId="9" fontId="42" fillId="0" borderId="0" xfId="2697" applyNumberFormat="1" applyFont="1"/>
    <xf numFmtId="10" fontId="42" fillId="0" borderId="0" xfId="2697" applyNumberFormat="1" applyFont="1"/>
    <xf numFmtId="0" fontId="42" fillId="41" borderId="0" xfId="2697" applyFont="1" applyFill="1" applyAlignment="1">
      <alignment vertical="center"/>
    </xf>
    <xf numFmtId="43" fontId="42" fillId="41" borderId="0" xfId="43199" applyFont="1" applyFill="1" applyBorder="1" applyAlignment="1">
      <alignment vertical="center"/>
    </xf>
    <xf numFmtId="216" fontId="42" fillId="33" borderId="0" xfId="2697" applyNumberFormat="1" applyFont="1" applyFill="1" applyAlignment="1">
      <alignment horizontal="center"/>
    </xf>
    <xf numFmtId="0" fontId="123" fillId="41" borderId="0" xfId="43202" applyFont="1" applyFill="1" applyAlignment="1">
      <alignment horizontal="center" wrapText="1"/>
    </xf>
    <xf numFmtId="0" fontId="123" fillId="41" borderId="0" xfId="43202" applyFont="1" applyFill="1" applyAlignment="1">
      <alignment horizontal="center"/>
    </xf>
    <xf numFmtId="0" fontId="136" fillId="41" borderId="0" xfId="43202" applyFont="1" applyFill="1"/>
    <xf numFmtId="43" fontId="136" fillId="41" borderId="0" xfId="43199" applyFont="1" applyFill="1" applyBorder="1"/>
    <xf numFmtId="166" fontId="29" fillId="0" borderId="0" xfId="815" applyFont="1" applyFill="1" applyBorder="1" applyAlignment="1">
      <alignment horizontal="left"/>
    </xf>
    <xf numFmtId="3" fontId="29" fillId="0" borderId="0" xfId="0" applyNumberFormat="1" applyFont="1"/>
    <xf numFmtId="49" fontId="29" fillId="0" borderId="0" xfId="847" applyNumberFormat="1" applyFont="1" applyFill="1" applyBorder="1" applyAlignment="1">
      <alignment horizontal="center"/>
    </xf>
    <xf numFmtId="167" fontId="204" fillId="0" borderId="0" xfId="863" applyFont="1" applyFill="1" applyBorder="1" applyAlignment="1"/>
    <xf numFmtId="167" fontId="204" fillId="0" borderId="0" xfId="863" applyFont="1" applyFill="1" applyBorder="1" applyAlignment="1">
      <alignment horizontal="left"/>
    </xf>
    <xf numFmtId="0" fontId="109" fillId="102" borderId="0" xfId="0" applyFont="1" applyFill="1"/>
    <xf numFmtId="0" fontId="31" fillId="45" borderId="0" xfId="10225" applyFill="1" applyAlignment="1"/>
    <xf numFmtId="0" fontId="42" fillId="0" borderId="0" xfId="0" applyFont="1"/>
    <xf numFmtId="173" fontId="0" fillId="0" borderId="0" xfId="0" applyNumberFormat="1"/>
    <xf numFmtId="0" fontId="109" fillId="102" borderId="0" xfId="0" applyFont="1" applyFill="1" applyAlignment="1">
      <alignment wrapText="1"/>
    </xf>
    <xf numFmtId="0" fontId="0" fillId="0" borderId="0" xfId="0" applyAlignment="1">
      <alignment wrapText="1"/>
    </xf>
    <xf numFmtId="173" fontId="0" fillId="0" borderId="0" xfId="0" applyNumberFormat="1" applyAlignment="1">
      <alignment wrapText="1"/>
    </xf>
    <xf numFmtId="0" fontId="42" fillId="0" borderId="0" xfId="0" applyFont="1" applyAlignment="1">
      <alignment wrapText="1"/>
    </xf>
    <xf numFmtId="0" fontId="42" fillId="0" borderId="0" xfId="2697" applyFont="1" applyAlignment="1">
      <alignment horizontal="center" vertical="center"/>
    </xf>
    <xf numFmtId="169" fontId="37" fillId="55" borderId="137" xfId="863" applyNumberFormat="1" applyFont="1" applyFill="1" applyBorder="1" applyAlignment="1">
      <alignment horizontal="center" vertical="center"/>
    </xf>
    <xf numFmtId="169" fontId="37" fillId="55" borderId="138" xfId="863" applyNumberFormat="1" applyFont="1" applyFill="1" applyBorder="1" applyAlignment="1">
      <alignment horizontal="center" vertical="center"/>
    </xf>
    <xf numFmtId="169" fontId="37" fillId="55" borderId="139" xfId="863" applyNumberFormat="1" applyFont="1" applyFill="1" applyBorder="1" applyAlignment="1">
      <alignment horizontal="center" vertical="center"/>
    </xf>
    <xf numFmtId="17" fontId="37" fillId="55" borderId="140" xfId="905" applyNumberFormat="1" applyFont="1" applyFill="1" applyBorder="1" applyAlignment="1">
      <alignment horizontal="center" vertical="center"/>
    </xf>
    <xf numFmtId="17" fontId="37" fillId="55" borderId="138" xfId="905" applyNumberFormat="1" applyFont="1" applyFill="1" applyBorder="1" applyAlignment="1">
      <alignment horizontal="center" vertical="center"/>
    </xf>
    <xf numFmtId="17" fontId="37" fillId="55" borderId="141" xfId="905" applyNumberFormat="1" applyFont="1" applyFill="1" applyBorder="1" applyAlignment="1">
      <alignment horizontal="center" vertical="center"/>
    </xf>
    <xf numFmtId="167" fontId="207" fillId="41" borderId="0" xfId="863" applyFont="1" applyFill="1" applyBorder="1" applyAlignment="1">
      <alignment horizontal="center" vertical="center"/>
    </xf>
    <xf numFmtId="167" fontId="204" fillId="41" borderId="0" xfId="863" applyFont="1" applyFill="1" applyBorder="1" applyAlignment="1">
      <alignment horizontal="center" vertical="center"/>
    </xf>
    <xf numFmtId="167" fontId="204" fillId="41" borderId="0" xfId="863" applyFont="1" applyFill="1" applyBorder="1" applyAlignment="1">
      <alignment vertical="center"/>
    </xf>
    <xf numFmtId="10" fontId="42" fillId="33" borderId="0" xfId="2697" applyNumberFormat="1" applyFont="1" applyFill="1" applyAlignment="1">
      <alignment horizontal="center"/>
    </xf>
    <xf numFmtId="10" fontId="204" fillId="0" borderId="0" xfId="0" applyNumberFormat="1" applyFont="1"/>
    <xf numFmtId="167" fontId="204" fillId="100" borderId="0" xfId="863" applyFont="1" applyFill="1" applyBorder="1"/>
    <xf numFmtId="49" fontId="29" fillId="0" borderId="0" xfId="847" applyNumberFormat="1" applyFont="1" applyFill="1" applyBorder="1" applyAlignment="1">
      <alignment vertical="center" wrapText="1"/>
    </xf>
    <xf numFmtId="167" fontId="0" fillId="104" borderId="0" xfId="863" applyFont="1" applyFill="1"/>
    <xf numFmtId="167" fontId="0" fillId="100" borderId="0" xfId="863" applyFont="1" applyFill="1"/>
    <xf numFmtId="10" fontId="204" fillId="104" borderId="0" xfId="847" applyNumberFormat="1" applyFont="1" applyFill="1" applyBorder="1" applyAlignment="1">
      <alignment horizontal="right"/>
    </xf>
    <xf numFmtId="166" fontId="204" fillId="100" borderId="29" xfId="815" applyFont="1" applyFill="1" applyBorder="1"/>
    <xf numFmtId="169" fontId="42" fillId="0" borderId="0" xfId="43199" applyNumberFormat="1" applyFont="1" applyFill="1" applyBorder="1" applyAlignment="1">
      <alignment horizontal="right"/>
    </xf>
    <xf numFmtId="2" fontId="42" fillId="0" borderId="0" xfId="2697" applyNumberFormat="1" applyFont="1" applyAlignment="1">
      <alignment horizontal="center"/>
    </xf>
    <xf numFmtId="0" fontId="42" fillId="0" borderId="0" xfId="907" applyFont="1" applyAlignment="1">
      <alignment horizontal="center"/>
    </xf>
    <xf numFmtId="4" fontId="0" fillId="0" borderId="0" xfId="0" applyNumberFormat="1"/>
    <xf numFmtId="9" fontId="42" fillId="41" borderId="0" xfId="847" applyFont="1" applyFill="1" applyBorder="1"/>
    <xf numFmtId="43" fontId="42" fillId="0" borderId="0" xfId="43199" applyFont="1" applyFill="1" applyBorder="1" applyAlignment="1">
      <alignment horizontal="left" vertical="center"/>
    </xf>
    <xf numFmtId="43" fontId="42" fillId="41" borderId="0" xfId="43199" applyFont="1" applyFill="1" applyBorder="1" applyAlignment="1">
      <alignment horizontal="center" vertical="center"/>
    </xf>
    <xf numFmtId="0" fontId="116" fillId="41" borderId="142" xfId="907" applyFont="1" applyFill="1" applyBorder="1" applyAlignment="1">
      <alignment horizontal="center"/>
    </xf>
    <xf numFmtId="0" fontId="145" fillId="41" borderId="0" xfId="907" applyFont="1" applyFill="1" applyProtection="1">
      <protection locked="0"/>
    </xf>
    <xf numFmtId="43" fontId="145" fillId="41" borderId="0" xfId="43199" applyFont="1" applyFill="1" applyBorder="1" applyProtection="1">
      <protection locked="0"/>
    </xf>
    <xf numFmtId="0" fontId="42" fillId="0" borderId="0" xfId="2697" applyFont="1" applyProtection="1">
      <protection locked="0"/>
    </xf>
    <xf numFmtId="166" fontId="204" fillId="44" borderId="20" xfId="815" applyFont="1" applyFill="1" applyBorder="1"/>
    <xf numFmtId="0" fontId="0" fillId="61" borderId="0" xfId="0" applyFill="1"/>
    <xf numFmtId="167" fontId="0" fillId="61" borderId="0" xfId="863" applyFont="1" applyFill="1"/>
    <xf numFmtId="10" fontId="0" fillId="61" borderId="0" xfId="847" applyNumberFormat="1" applyFont="1" applyFill="1"/>
    <xf numFmtId="0" fontId="243" fillId="41" borderId="125" xfId="907" applyFont="1" applyFill="1" applyBorder="1" applyAlignment="1">
      <alignment horizontal="center"/>
    </xf>
    <xf numFmtId="0" fontId="29" fillId="61" borderId="0" xfId="0" applyFont="1" applyFill="1"/>
    <xf numFmtId="167" fontId="42" fillId="41" borderId="0" xfId="863" applyFont="1" applyFill="1" applyBorder="1" applyAlignment="1">
      <alignment horizontal="right"/>
    </xf>
    <xf numFmtId="167" fontId="0" fillId="106" borderId="0" xfId="863" applyFont="1" applyFill="1"/>
    <xf numFmtId="0" fontId="219" fillId="0" borderId="0" xfId="0" applyFont="1"/>
    <xf numFmtId="167" fontId="42" fillId="41" borderId="0" xfId="863" applyFont="1" applyFill="1" applyBorder="1"/>
    <xf numFmtId="0" fontId="246" fillId="0" borderId="0" xfId="0" applyFont="1" applyAlignment="1">
      <alignment horizontal="right" vertical="center"/>
    </xf>
    <xf numFmtId="43" fontId="42" fillId="0" borderId="0" xfId="43185" applyFont="1" applyFill="1" applyBorder="1" applyAlignment="1" applyProtection="1">
      <alignment horizontal="right"/>
      <protection locked="0"/>
    </xf>
    <xf numFmtId="0" fontId="211" fillId="43" borderId="0" xfId="0" applyFont="1" applyFill="1" applyAlignment="1">
      <alignment horizontal="center"/>
    </xf>
    <xf numFmtId="0" fontId="116" fillId="0" borderId="0" xfId="907" applyFont="1"/>
    <xf numFmtId="0" fontId="42" fillId="0" borderId="0" xfId="2697" applyFont="1" applyAlignment="1">
      <alignment horizontal="left" vertical="center"/>
    </xf>
    <xf numFmtId="43" fontId="42" fillId="0" borderId="0" xfId="43199" applyFont="1" applyFill="1" applyBorder="1" applyAlignment="1"/>
    <xf numFmtId="10" fontId="42" fillId="41" borderId="0" xfId="43199" applyNumberFormat="1" applyFont="1" applyFill="1" applyBorder="1" applyAlignment="1"/>
    <xf numFmtId="0" fontId="243" fillId="0" borderId="0" xfId="43405" applyFont="1"/>
    <xf numFmtId="10" fontId="243" fillId="0" borderId="0" xfId="847" applyNumberFormat="1" applyFont="1" applyFill="1" applyBorder="1"/>
    <xf numFmtId="0" fontId="249" fillId="0" borderId="0" xfId="7308" applyFont="1"/>
    <xf numFmtId="0" fontId="250" fillId="0" borderId="0" xfId="7308" applyFont="1" applyAlignment="1">
      <alignment horizontal="center"/>
    </xf>
    <xf numFmtId="2" fontId="249" fillId="0" borderId="0" xfId="7308" applyNumberFormat="1" applyFont="1"/>
    <xf numFmtId="0" fontId="250" fillId="0" borderId="0" xfId="7308" applyFont="1"/>
    <xf numFmtId="0" fontId="251" fillId="0" borderId="0" xfId="7308" applyFont="1" applyAlignment="1">
      <alignment horizontal="center"/>
    </xf>
    <xf numFmtId="0" fontId="252" fillId="0" borderId="0" xfId="7308" applyFont="1"/>
    <xf numFmtId="167" fontId="251" fillId="0" borderId="0" xfId="43165" applyFont="1"/>
    <xf numFmtId="0" fontId="249" fillId="42" borderId="0" xfId="7308" applyFont="1" applyFill="1"/>
    <xf numFmtId="0" fontId="258" fillId="41" borderId="0" xfId="831" applyFont="1" applyFill="1" applyAlignment="1">
      <alignment horizontal="left"/>
    </xf>
    <xf numFmtId="0" fontId="249" fillId="0" borderId="20" xfId="7308" applyFont="1" applyBorder="1"/>
    <xf numFmtId="10" fontId="249" fillId="41" borderId="10" xfId="1095" applyNumberFormat="1" applyFont="1" applyFill="1" applyBorder="1"/>
    <xf numFmtId="0" fontId="259" fillId="55" borderId="0" xfId="834" applyFont="1" applyFill="1" applyAlignment="1" applyProtection="1">
      <alignment horizontal="left" vertical="center"/>
    </xf>
    <xf numFmtId="0" fontId="259" fillId="55" borderId="0" xfId="834" applyFont="1" applyFill="1" applyAlignment="1" applyProtection="1">
      <alignment horizontal="center" vertical="center"/>
    </xf>
    <xf numFmtId="0" fontId="249" fillId="0" borderId="0" xfId="2697" applyFont="1" applyAlignment="1">
      <alignment vertical="center"/>
    </xf>
    <xf numFmtId="190" fontId="249" fillId="0" borderId="0" xfId="1095" applyNumberFormat="1" applyFont="1" applyBorder="1" applyAlignment="1">
      <alignment horizontal="right" vertical="center"/>
    </xf>
    <xf numFmtId="166" fontId="249" fillId="41" borderId="10" xfId="902" applyFont="1" applyFill="1" applyBorder="1"/>
    <xf numFmtId="10" fontId="249" fillId="0" borderId="0" xfId="1095" applyNumberFormat="1" applyFont="1" applyBorder="1" applyAlignment="1">
      <alignment horizontal="right" vertical="center"/>
    </xf>
    <xf numFmtId="43" fontId="249" fillId="0" borderId="0" xfId="7308" applyNumberFormat="1" applyFont="1"/>
    <xf numFmtId="167" fontId="249" fillId="0" borderId="0" xfId="43165" applyFont="1" applyAlignment="1">
      <alignment horizontal="center"/>
    </xf>
    <xf numFmtId="0" fontId="263" fillId="0" borderId="0" xfId="7308" applyFont="1" applyAlignment="1">
      <alignment horizontal="center"/>
    </xf>
    <xf numFmtId="167" fontId="249" fillId="0" borderId="0" xfId="43165" applyFont="1" applyAlignment="1"/>
    <xf numFmtId="167" fontId="249" fillId="0" borderId="0" xfId="43165" applyFont="1" applyAlignment="1">
      <alignment horizontal="left" vertical="center"/>
    </xf>
    <xf numFmtId="167" fontId="250" fillId="0" borderId="0" xfId="43165" applyFont="1" applyAlignment="1"/>
    <xf numFmtId="167" fontId="250" fillId="0" borderId="0" xfId="43165" applyFont="1" applyAlignment="1">
      <alignment horizontal="center"/>
    </xf>
    <xf numFmtId="164" fontId="204" fillId="0" borderId="0" xfId="815" applyNumberFormat="1" applyFont="1" applyBorder="1"/>
    <xf numFmtId="164" fontId="204" fillId="0" borderId="0" xfId="815" applyNumberFormat="1" applyFont="1" applyBorder="1" applyAlignment="1">
      <alignment horizontal="left"/>
    </xf>
    <xf numFmtId="0" fontId="242" fillId="0" borderId="0" xfId="831" applyFont="1" applyAlignment="1">
      <alignment horizontal="left"/>
    </xf>
    <xf numFmtId="0" fontId="37" fillId="0" borderId="0" xfId="834" applyFont="1" applyAlignment="1" applyProtection="1">
      <alignment horizontal="center" vertical="center"/>
    </xf>
    <xf numFmtId="190" fontId="42" fillId="0" borderId="0" xfId="1095" applyNumberFormat="1" applyFont="1" applyFill="1" applyBorder="1" applyAlignment="1">
      <alignment horizontal="right" vertical="center"/>
    </xf>
    <xf numFmtId="0" fontId="262" fillId="0" borderId="0" xfId="7308" applyFont="1"/>
    <xf numFmtId="167" fontId="249" fillId="0" borderId="0" xfId="43165" applyFont="1" applyFill="1" applyBorder="1" applyAlignment="1">
      <alignment horizontal="center"/>
    </xf>
    <xf numFmtId="167" fontId="249" fillId="0" borderId="0" xfId="43165" applyFont="1" applyFill="1" applyBorder="1" applyAlignment="1"/>
    <xf numFmtId="0" fontId="109" fillId="0" borderId="0" xfId="2697" applyFont="1" applyAlignment="1">
      <alignment vertical="center"/>
    </xf>
    <xf numFmtId="4" fontId="109" fillId="0" borderId="0" xfId="2697" applyNumberFormat="1" applyFont="1" applyAlignment="1">
      <alignment vertical="center"/>
    </xf>
    <xf numFmtId="167" fontId="250" fillId="0" borderId="0" xfId="43165" applyFont="1" applyFill="1" applyBorder="1" applyAlignment="1"/>
    <xf numFmtId="10" fontId="260" fillId="61" borderId="150" xfId="1095" applyNumberFormat="1" applyFont="1" applyFill="1" applyBorder="1" applyAlignment="1">
      <alignment vertical="center"/>
    </xf>
    <xf numFmtId="0" fontId="250" fillId="0" borderId="151" xfId="7308" applyFont="1" applyBorder="1" applyAlignment="1">
      <alignment horizontal="center"/>
    </xf>
    <xf numFmtId="166" fontId="249" fillId="102" borderId="10" xfId="902" applyFont="1" applyFill="1" applyBorder="1"/>
    <xf numFmtId="0" fontId="209" fillId="41" borderId="0" xfId="0" applyFont="1" applyFill="1"/>
    <xf numFmtId="0" fontId="202" fillId="41" borderId="125" xfId="907" applyFont="1" applyFill="1" applyBorder="1" applyAlignment="1">
      <alignment horizontal="center"/>
    </xf>
    <xf numFmtId="10" fontId="29" fillId="0" borderId="0" xfId="847" applyNumberFormat="1" applyFont="1" applyFill="1" applyBorder="1" applyAlignment="1">
      <alignment horizontal="right"/>
    </xf>
    <xf numFmtId="10" fontId="204" fillId="108" borderId="0" xfId="847" applyNumberFormat="1" applyFont="1" applyFill="1" applyBorder="1"/>
    <xf numFmtId="167" fontId="204" fillId="108" borderId="0" xfId="863" applyFont="1" applyFill="1" applyBorder="1"/>
    <xf numFmtId="10" fontId="204" fillId="0" borderId="0" xfId="847" applyNumberFormat="1" applyFont="1" applyFill="1" applyBorder="1" applyAlignment="1">
      <alignment horizontal="right"/>
    </xf>
    <xf numFmtId="0" fontId="112" fillId="0" borderId="0" xfId="0" applyFont="1"/>
    <xf numFmtId="0" fontId="42" fillId="0" borderId="20" xfId="0" applyFont="1" applyBorder="1"/>
    <xf numFmtId="0" fontId="0" fillId="0" borderId="0" xfId="0" applyAlignment="1">
      <alignment horizontal="center"/>
    </xf>
    <xf numFmtId="0" fontId="264" fillId="0" borderId="0" xfId="43410" applyFont="1"/>
    <xf numFmtId="0" fontId="265" fillId="0" borderId="0" xfId="43411"/>
    <xf numFmtId="10" fontId="210" fillId="0" borderId="0" xfId="847" applyNumberFormat="1" applyFont="1" applyBorder="1" applyAlignment="1">
      <alignment horizontal="right" vertical="center"/>
    </xf>
    <xf numFmtId="167" fontId="29" fillId="0" borderId="0" xfId="863" applyFont="1" applyFill="1" applyBorder="1"/>
    <xf numFmtId="10" fontId="29" fillId="0" borderId="0" xfId="847" applyNumberFormat="1" applyFont="1"/>
    <xf numFmtId="0" fontId="29" fillId="0" borderId="0" xfId="0" applyFont="1" applyAlignment="1">
      <alignment horizontal="center"/>
    </xf>
    <xf numFmtId="10" fontId="29" fillId="0" borderId="0" xfId="0" applyNumberFormat="1" applyFont="1"/>
    <xf numFmtId="14" fontId="35" fillId="0" borderId="0" xfId="0" applyNumberFormat="1" applyFont="1" applyAlignment="1">
      <alignment horizontal="center"/>
    </xf>
    <xf numFmtId="259" fontId="29" fillId="0" borderId="0" xfId="0" applyNumberFormat="1" applyFont="1"/>
    <xf numFmtId="167" fontId="29" fillId="0" borderId="0" xfId="863" applyFont="1" applyFill="1"/>
    <xf numFmtId="170" fontId="29" fillId="0" borderId="0" xfId="0" applyNumberFormat="1" applyFont="1"/>
    <xf numFmtId="0" fontId="35" fillId="0" borderId="0" xfId="0" applyFont="1"/>
    <xf numFmtId="0" fontId="35" fillId="45" borderId="152" xfId="907" applyFont="1" applyFill="1" applyBorder="1" applyAlignment="1">
      <alignment horizontal="center" vertical="center" wrapText="1"/>
    </xf>
    <xf numFmtId="0" fontId="204" fillId="0" borderId="20" xfId="0" applyFont="1" applyBorder="1" applyAlignment="1">
      <alignment horizontal="right"/>
    </xf>
    <xf numFmtId="0" fontId="204" fillId="0" borderId="29" xfId="832" applyFont="1" applyBorder="1" applyAlignment="1">
      <alignment horizontal="left"/>
    </xf>
    <xf numFmtId="0" fontId="204" fillId="41" borderId="20" xfId="0" applyFont="1" applyFill="1" applyBorder="1" applyAlignment="1">
      <alignment horizontal="right"/>
    </xf>
    <xf numFmtId="14" fontId="115" fillId="0" borderId="0" xfId="0" applyNumberFormat="1" applyFont="1"/>
    <xf numFmtId="167" fontId="29" fillId="44" borderId="0" xfId="863" applyFont="1" applyFill="1" applyBorder="1" applyAlignment="1">
      <alignment horizontal="right"/>
    </xf>
    <xf numFmtId="10" fontId="210" fillId="0" borderId="0" xfId="847" applyNumberFormat="1" applyFont="1" applyFill="1" applyBorder="1" applyAlignment="1">
      <alignment horizontal="right" vertical="center"/>
    </xf>
    <xf numFmtId="10" fontId="204" fillId="0" borderId="0" xfId="847" applyNumberFormat="1" applyFont="1" applyFill="1" applyBorder="1" applyAlignment="1">
      <alignment horizontal="right" vertical="center"/>
    </xf>
    <xf numFmtId="0" fontId="29" fillId="104" borderId="0" xfId="0" applyFont="1" applyFill="1"/>
    <xf numFmtId="14" fontId="31" fillId="0" borderId="0" xfId="831" applyNumberFormat="1" applyAlignment="1">
      <alignment horizontal="center"/>
    </xf>
    <xf numFmtId="10" fontId="204" fillId="0" borderId="0" xfId="847" applyNumberFormat="1" applyFont="1" applyFill="1"/>
    <xf numFmtId="0" fontId="5" fillId="0" borderId="0" xfId="43418"/>
    <xf numFmtId="43" fontId="0" fillId="0" borderId="0" xfId="43419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distributed"/>
    </xf>
    <xf numFmtId="0" fontId="266" fillId="103" borderId="152" xfId="0" applyFont="1" applyFill="1" applyBorder="1" applyAlignment="1">
      <alignment horizontal="center"/>
    </xf>
    <xf numFmtId="10" fontId="0" fillId="0" borderId="0" xfId="847" applyNumberFormat="1" applyFont="1" applyAlignment="1">
      <alignment horizontal="center"/>
    </xf>
    <xf numFmtId="9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0" fontId="266" fillId="103" borderId="10" xfId="0" applyFont="1" applyFill="1" applyBorder="1" applyAlignment="1">
      <alignment horizontal="center"/>
    </xf>
    <xf numFmtId="167" fontId="29" fillId="61" borderId="0" xfId="863" applyFont="1" applyFill="1"/>
    <xf numFmtId="167" fontId="42" fillId="41" borderId="0" xfId="903" applyFont="1" applyFill="1" applyBorder="1" applyAlignment="1">
      <alignment horizontal="left" vertical="top" wrapText="1"/>
    </xf>
    <xf numFmtId="0" fontId="29" fillId="111" borderId="0" xfId="0" applyFont="1" applyFill="1" applyAlignment="1">
      <alignment horizontal="center"/>
    </xf>
    <xf numFmtId="0" fontId="29" fillId="111" borderId="0" xfId="0" applyFont="1" applyFill="1"/>
    <xf numFmtId="14" fontId="29" fillId="111" borderId="0" xfId="0" applyNumberFormat="1" applyFont="1" applyFill="1"/>
    <xf numFmtId="0" fontId="0" fillId="0" borderId="155" xfId="0" pivotButton="1" applyBorder="1"/>
    <xf numFmtId="0" fontId="0" fillId="0" borderId="155" xfId="0" applyBorder="1"/>
    <xf numFmtId="10" fontId="204" fillId="111" borderId="0" xfId="847" applyNumberFormat="1" applyFont="1" applyFill="1" applyBorder="1"/>
    <xf numFmtId="167" fontId="204" fillId="111" borderId="0" xfId="863" applyFont="1" applyFill="1" applyBorder="1"/>
    <xf numFmtId="167" fontId="204" fillId="111" borderId="0" xfId="0" applyNumberFormat="1" applyFont="1" applyFill="1"/>
    <xf numFmtId="2" fontId="236" fillId="0" borderId="0" xfId="0" applyNumberFormat="1" applyFont="1" applyAlignment="1">
      <alignment horizontal="center" vertical="center" wrapText="1"/>
    </xf>
    <xf numFmtId="167" fontId="236" fillId="0" borderId="0" xfId="863" applyFont="1" applyFill="1" applyBorder="1" applyAlignment="1">
      <alignment horizontal="right" vertical="center" wrapText="1"/>
    </xf>
    <xf numFmtId="167" fontId="236" fillId="0" borderId="0" xfId="863" applyFont="1" applyFill="1" applyBorder="1" applyAlignment="1">
      <alignment horizontal="center" vertical="center" wrapText="1"/>
    </xf>
    <xf numFmtId="0" fontId="247" fillId="0" borderId="0" xfId="0" applyFont="1" applyAlignment="1">
      <alignment horizontal="center" vertical="center" wrapText="1"/>
    </xf>
    <xf numFmtId="0" fontId="124" fillId="0" borderId="0" xfId="0" applyFont="1" applyAlignment="1">
      <alignment horizontal="justify" vertical="center" wrapText="1"/>
    </xf>
    <xf numFmtId="263" fontId="124" fillId="0" borderId="0" xfId="907" applyNumberFormat="1" applyFont="1" applyAlignment="1">
      <alignment horizontal="center"/>
    </xf>
    <xf numFmtId="0" fontId="124" fillId="0" borderId="0" xfId="0" applyFont="1" applyAlignment="1">
      <alignment horizontal="center" vertical="center" wrapText="1"/>
    </xf>
    <xf numFmtId="166" fontId="42" fillId="0" borderId="0" xfId="815" applyFont="1" applyFill="1" applyBorder="1" applyAlignment="1">
      <alignment horizontal="left"/>
    </xf>
    <xf numFmtId="166" fontId="42" fillId="113" borderId="16" xfId="815" applyFont="1" applyFill="1" applyBorder="1" applyAlignment="1">
      <alignment horizontal="left"/>
    </xf>
    <xf numFmtId="3" fontId="29" fillId="113" borderId="16" xfId="0" applyNumberFormat="1" applyFont="1" applyFill="1" applyBorder="1"/>
    <xf numFmtId="166" fontId="29" fillId="42" borderId="0" xfId="815" applyFont="1" applyFill="1" applyBorder="1" applyAlignment="1">
      <alignment horizontal="left"/>
    </xf>
    <xf numFmtId="4" fontId="29" fillId="0" borderId="0" xfId="0" applyNumberFormat="1" applyFont="1"/>
    <xf numFmtId="229" fontId="29" fillId="111" borderId="0" xfId="863" applyNumberFormat="1" applyFont="1" applyFill="1" applyBorder="1" applyAlignment="1">
      <alignment horizontal="left"/>
    </xf>
    <xf numFmtId="229" fontId="29" fillId="111" borderId="0" xfId="0" applyNumberFormat="1" applyFont="1" applyFill="1"/>
    <xf numFmtId="229" fontId="29" fillId="111" borderId="0" xfId="0" applyNumberFormat="1" applyFont="1" applyFill="1" applyAlignment="1">
      <alignment horizontal="left"/>
    </xf>
    <xf numFmtId="229" fontId="115" fillId="111" borderId="0" xfId="0" applyNumberFormat="1" applyFont="1" applyFill="1" applyAlignment="1">
      <alignment horizontal="left"/>
    </xf>
    <xf numFmtId="0" fontId="270" fillId="113" borderId="16" xfId="0" applyFont="1" applyFill="1" applyBorder="1"/>
    <xf numFmtId="164" fontId="29" fillId="0" borderId="0" xfId="863" applyNumberFormat="1" applyFont="1" applyFill="1" applyBorder="1"/>
    <xf numFmtId="167" fontId="29" fillId="111" borderId="0" xfId="863" applyFont="1" applyFill="1" applyBorder="1"/>
    <xf numFmtId="0" fontId="267" fillId="0" borderId="0" xfId="0" applyFont="1"/>
    <xf numFmtId="0" fontId="42" fillId="0" borderId="29" xfId="0" applyFont="1" applyBorder="1"/>
    <xf numFmtId="0" fontId="270" fillId="0" borderId="0" xfId="0" applyFont="1"/>
    <xf numFmtId="0" fontId="42" fillId="33" borderId="0" xfId="829" applyFont="1" applyFill="1"/>
    <xf numFmtId="0" fontId="273" fillId="0" borderId="0" xfId="0" applyFont="1"/>
    <xf numFmtId="0" fontId="262" fillId="0" borderId="0" xfId="0" applyFont="1"/>
    <xf numFmtId="0" fontId="124" fillId="0" borderId="20" xfId="0" applyFont="1" applyBorder="1" applyAlignment="1">
      <alignment horizontal="left"/>
    </xf>
    <xf numFmtId="0" fontId="42" fillId="113" borderId="157" xfId="0" applyFont="1" applyFill="1" applyBorder="1"/>
    <xf numFmtId="0" fontId="42" fillId="113" borderId="16" xfId="0" applyFont="1" applyFill="1" applyBorder="1"/>
    <xf numFmtId="0" fontId="42" fillId="113" borderId="16" xfId="907" applyFont="1" applyFill="1" applyBorder="1"/>
    <xf numFmtId="10" fontId="42" fillId="113" borderId="16" xfId="847" applyNumberFormat="1" applyFont="1" applyFill="1" applyBorder="1" applyAlignment="1"/>
    <xf numFmtId="14" fontId="42" fillId="113" borderId="16" xfId="0" applyNumberFormat="1" applyFont="1" applyFill="1" applyBorder="1"/>
    <xf numFmtId="0" fontId="274" fillId="113" borderId="151" xfId="0" applyFont="1" applyFill="1" applyBorder="1"/>
    <xf numFmtId="0" fontId="124" fillId="0" borderId="0" xfId="0" applyFont="1" applyAlignment="1">
      <alignment horizontal="left"/>
    </xf>
    <xf numFmtId="0" fontId="274" fillId="0" borderId="0" xfId="0" applyFont="1"/>
    <xf numFmtId="0" fontId="275" fillId="0" borderId="0" xfId="0" applyFont="1"/>
    <xf numFmtId="0" fontId="274" fillId="0" borderId="29" xfId="0" applyFont="1" applyBorder="1"/>
    <xf numFmtId="10" fontId="42" fillId="0" borderId="0" xfId="847" applyNumberFormat="1" applyFont="1" applyFill="1" applyBorder="1" applyAlignment="1"/>
    <xf numFmtId="14" fontId="42" fillId="0" borderId="0" xfId="0" applyNumberFormat="1" applyFont="1"/>
    <xf numFmtId="4" fontId="143" fillId="0" borderId="0" xfId="0" applyNumberFormat="1" applyFont="1"/>
    <xf numFmtId="0" fontId="42" fillId="0" borderId="0" xfId="0" quotePrefix="1" applyFont="1"/>
    <xf numFmtId="43" fontId="267" fillId="0" borderId="0" xfId="0" applyNumberFormat="1" applyFont="1"/>
    <xf numFmtId="167" fontId="42" fillId="0" borderId="0" xfId="863" applyFont="1"/>
    <xf numFmtId="0" fontId="29" fillId="0" borderId="29" xfId="0" applyFont="1" applyBorder="1"/>
    <xf numFmtId="0" fontId="274" fillId="0" borderId="153" xfId="0" applyFont="1" applyBorder="1"/>
    <xf numFmtId="167" fontId="42" fillId="0" borderId="0" xfId="863" applyFont="1" applyBorder="1"/>
    <xf numFmtId="0" fontId="42" fillId="0" borderId="0" xfId="0" applyFont="1" applyAlignment="1">
      <alignment horizontal="center"/>
    </xf>
    <xf numFmtId="0" fontId="42" fillId="0" borderId="20" xfId="0" applyFont="1" applyBorder="1" applyAlignment="1">
      <alignment horizontal="left"/>
    </xf>
    <xf numFmtId="167" fontId="42" fillId="0" borderId="0" xfId="863" applyFont="1" applyBorder="1" applyAlignment="1">
      <alignment horizontal="center"/>
    </xf>
    <xf numFmtId="0" fontId="236" fillId="0" borderId="0" xfId="0" applyFont="1" applyAlignment="1">
      <alignment horizontal="center" vertical="center"/>
    </xf>
    <xf numFmtId="0" fontId="236" fillId="0" borderId="20" xfId="0" applyFont="1" applyBorder="1" applyAlignment="1">
      <alignment horizontal="center" vertical="center"/>
    </xf>
    <xf numFmtId="43" fontId="42" fillId="0" borderId="0" xfId="0" applyNumberFormat="1" applyFont="1"/>
    <xf numFmtId="14" fontId="236" fillId="0" borderId="20" xfId="0" applyNumberFormat="1" applyFont="1" applyBorder="1" applyAlignment="1">
      <alignment horizontal="center" vertical="center"/>
    </xf>
    <xf numFmtId="0" fontId="270" fillId="113" borderId="157" xfId="0" applyFont="1" applyFill="1" applyBorder="1"/>
    <xf numFmtId="0" fontId="270" fillId="113" borderId="151" xfId="0" applyFont="1" applyFill="1" applyBorder="1"/>
    <xf numFmtId="14" fontId="236" fillId="0" borderId="0" xfId="0" applyNumberFormat="1" applyFont="1" applyAlignment="1">
      <alignment horizontal="center" vertical="center"/>
    </xf>
    <xf numFmtId="0" fontId="277" fillId="0" borderId="0" xfId="0" applyFont="1"/>
    <xf numFmtId="170" fontId="42" fillId="0" borderId="0" xfId="907" applyNumberFormat="1" applyFont="1"/>
    <xf numFmtId="0" fontId="29" fillId="59" borderId="0" xfId="907" applyFill="1"/>
    <xf numFmtId="43" fontId="29" fillId="0" borderId="0" xfId="0" applyNumberFormat="1" applyFont="1"/>
    <xf numFmtId="0" fontId="29" fillId="0" borderId="0" xfId="907" applyAlignment="1">
      <alignment horizontal="center"/>
    </xf>
    <xf numFmtId="0" fontId="271" fillId="43" borderId="149" xfId="0" applyFont="1" applyFill="1" applyBorder="1" applyAlignment="1">
      <alignment horizontal="center" vertical="center" wrapText="1"/>
    </xf>
    <xf numFmtId="0" fontId="271" fillId="43" borderId="148" xfId="0" applyFont="1" applyFill="1" applyBorder="1" applyAlignment="1">
      <alignment horizontal="center" vertical="center" wrapText="1"/>
    </xf>
    <xf numFmtId="0" fontId="29" fillId="59" borderId="144" xfId="907" applyFill="1" applyBorder="1"/>
    <xf numFmtId="0" fontId="271" fillId="59" borderId="144" xfId="0" applyFont="1" applyFill="1" applyBorder="1"/>
    <xf numFmtId="10" fontId="29" fillId="0" borderId="0" xfId="847" applyNumberFormat="1" applyFont="1" applyFill="1" applyBorder="1" applyAlignment="1"/>
    <xf numFmtId="0" fontId="29" fillId="0" borderId="0" xfId="907" applyAlignment="1">
      <alignment horizontal="left"/>
    </xf>
    <xf numFmtId="10" fontId="29" fillId="0" borderId="0" xfId="847" applyNumberFormat="1" applyFont="1" applyFill="1" applyBorder="1" applyAlignment="1">
      <alignment horizontal="left"/>
    </xf>
    <xf numFmtId="10" fontId="29" fillId="0" borderId="144" xfId="847" applyNumberFormat="1" applyFont="1" applyFill="1" applyBorder="1" applyAlignment="1"/>
    <xf numFmtId="0" fontId="35" fillId="42" borderId="0" xfId="0" applyFont="1" applyFill="1"/>
    <xf numFmtId="0" fontId="29" fillId="42" borderId="0" xfId="0" applyFont="1" applyFill="1"/>
    <xf numFmtId="164" fontId="29" fillId="0" borderId="0" xfId="0" applyNumberFormat="1" applyFont="1"/>
    <xf numFmtId="166" fontId="29" fillId="111" borderId="0" xfId="815" applyFont="1" applyFill="1" applyBorder="1" applyAlignment="1"/>
    <xf numFmtId="10" fontId="29" fillId="111" borderId="0" xfId="847" applyNumberFormat="1" applyFont="1" applyFill="1" applyBorder="1" applyAlignment="1">
      <alignment horizontal="right"/>
    </xf>
    <xf numFmtId="167" fontId="29" fillId="0" borderId="0" xfId="863" applyFont="1" applyFill="1" applyBorder="1" applyAlignment="1"/>
    <xf numFmtId="169" fontId="29" fillId="0" borderId="0" xfId="0" applyNumberFormat="1" applyFont="1"/>
    <xf numFmtId="0" fontId="278" fillId="96" borderId="147" xfId="0" applyFont="1" applyFill="1" applyBorder="1" applyAlignment="1">
      <alignment vertical="center"/>
    </xf>
    <xf numFmtId="0" fontId="278" fillId="96" borderId="29" xfId="0" applyFont="1" applyFill="1" applyBorder="1" applyAlignment="1">
      <alignment vertical="center"/>
    </xf>
    <xf numFmtId="14" fontId="29" fillId="0" borderId="0" xfId="0" applyNumberFormat="1" applyFont="1" applyAlignment="1">
      <alignment horizontal="right"/>
    </xf>
    <xf numFmtId="14" fontId="29" fillId="41" borderId="0" xfId="0" applyNumberFormat="1" applyFont="1" applyFill="1" applyAlignment="1">
      <alignment horizontal="right"/>
    </xf>
    <xf numFmtId="14" fontId="29" fillId="41" borderId="0" xfId="0" applyNumberFormat="1" applyFont="1" applyFill="1"/>
    <xf numFmtId="14" fontId="29" fillId="0" borderId="0" xfId="0" applyNumberFormat="1" applyFont="1" applyAlignment="1">
      <alignment horizontal="center"/>
    </xf>
    <xf numFmtId="0" fontId="115" fillId="0" borderId="0" xfId="0" applyFont="1" applyAlignment="1">
      <alignment horizontal="center"/>
    </xf>
    <xf numFmtId="14" fontId="29" fillId="0" borderId="10" xfId="0" applyNumberFormat="1" applyFont="1" applyBorder="1" applyAlignment="1">
      <alignment horizontal="center"/>
    </xf>
    <xf numFmtId="14" fontId="115" fillId="0" borderId="0" xfId="0" applyNumberFormat="1" applyFont="1" applyAlignment="1">
      <alignment horizontal="center"/>
    </xf>
    <xf numFmtId="0" fontId="115" fillId="98" borderId="152" xfId="0" applyFont="1" applyFill="1" applyBorder="1"/>
    <xf numFmtId="0" fontId="29" fillId="98" borderId="152" xfId="0" applyFont="1" applyFill="1" applyBorder="1"/>
    <xf numFmtId="262" fontId="115" fillId="98" borderId="152" xfId="0" applyNumberFormat="1" applyFont="1" applyFill="1" applyBorder="1"/>
    <xf numFmtId="0" fontId="29" fillId="0" borderId="10" xfId="0" applyFont="1" applyBorder="1"/>
    <xf numFmtId="1" fontId="29" fillId="0" borderId="0" xfId="815" applyNumberFormat="1" applyFont="1" applyFill="1" applyBorder="1" applyAlignment="1"/>
    <xf numFmtId="3" fontId="29" fillId="42" borderId="144" xfId="0" applyNumberFormat="1" applyFont="1" applyFill="1" applyBorder="1"/>
    <xf numFmtId="10" fontId="204" fillId="44" borderId="0" xfId="847" applyNumberFormat="1" applyFont="1" applyFill="1" applyBorder="1"/>
    <xf numFmtId="0" fontId="29" fillId="111" borderId="0" xfId="863" applyNumberFormat="1" applyFont="1" applyFill="1" applyBorder="1" applyAlignment="1">
      <alignment horizontal="left"/>
    </xf>
    <xf numFmtId="10" fontId="29" fillId="111" borderId="0" xfId="847" applyNumberFormat="1" applyFont="1" applyFill="1" applyBorder="1" applyAlignment="1">
      <alignment horizontal="left"/>
    </xf>
    <xf numFmtId="259" fontId="29" fillId="111" borderId="0" xfId="0" applyNumberFormat="1" applyFont="1" applyFill="1" applyAlignment="1">
      <alignment horizontal="left"/>
    </xf>
    <xf numFmtId="259" fontId="29" fillId="111" borderId="0" xfId="0" applyNumberFormat="1" applyFont="1" applyFill="1"/>
    <xf numFmtId="256" fontId="29" fillId="111" borderId="0" xfId="863" applyNumberFormat="1" applyFont="1" applyFill="1" applyBorder="1" applyAlignment="1">
      <alignment horizontal="left"/>
    </xf>
    <xf numFmtId="257" fontId="29" fillId="111" borderId="0" xfId="847" applyNumberFormat="1" applyFont="1" applyFill="1" applyBorder="1" applyAlignment="1">
      <alignment horizontal="left"/>
    </xf>
    <xf numFmtId="258" fontId="29" fillId="111" borderId="0" xfId="0" applyNumberFormat="1" applyFont="1" applyFill="1" applyAlignment="1">
      <alignment horizontal="left"/>
    </xf>
    <xf numFmtId="229" fontId="29" fillId="111" borderId="0" xfId="2697" applyNumberFormat="1" applyFill="1"/>
    <xf numFmtId="256" fontId="29" fillId="111" borderId="0" xfId="847" applyNumberFormat="1" applyFont="1" applyFill="1" applyBorder="1" applyAlignment="1">
      <alignment horizontal="left"/>
    </xf>
    <xf numFmtId="4" fontId="29" fillId="111" borderId="0" xfId="863" applyNumberFormat="1" applyFont="1" applyFill="1" applyBorder="1" applyAlignment="1">
      <alignment horizontal="left"/>
    </xf>
    <xf numFmtId="0" fontId="29" fillId="111" borderId="0" xfId="0" applyFont="1" applyFill="1" applyAlignment="1">
      <alignment horizontal="left"/>
    </xf>
    <xf numFmtId="0" fontId="274" fillId="0" borderId="158" xfId="0" applyFont="1" applyBorder="1"/>
    <xf numFmtId="0" fontId="29" fillId="0" borderId="0" xfId="0" applyFont="1" applyAlignment="1">
      <alignment horizontal="center" vertical="distributed"/>
    </xf>
    <xf numFmtId="0" fontId="211" fillId="0" borderId="0" xfId="0" applyFont="1" applyAlignment="1">
      <alignment horizontal="center"/>
    </xf>
    <xf numFmtId="0" fontId="204" fillId="0" borderId="0" xfId="908" applyFont="1">
      <alignment vertical="top"/>
    </xf>
    <xf numFmtId="0" fontId="211" fillId="0" borderId="0" xfId="0" applyFont="1" applyAlignment="1">
      <alignment horizontal="left"/>
    </xf>
    <xf numFmtId="0" fontId="204" fillId="0" borderId="0" xfId="0" applyFont="1" applyAlignment="1" applyProtection="1">
      <alignment horizontal="left"/>
      <protection hidden="1"/>
    </xf>
    <xf numFmtId="167" fontId="204" fillId="0" borderId="0" xfId="43185" applyNumberFormat="1" applyFont="1" applyFill="1" applyBorder="1" applyAlignment="1" applyProtection="1">
      <alignment horizontal="right"/>
      <protection locked="0"/>
    </xf>
    <xf numFmtId="167" fontId="207" fillId="0" borderId="0" xfId="43183" applyNumberFormat="1" applyFont="1" applyFill="1" applyBorder="1" applyAlignment="1" applyProtection="1">
      <alignment vertical="center"/>
    </xf>
    <xf numFmtId="0" fontId="281" fillId="33" borderId="0" xfId="829" applyFont="1" applyFill="1" applyAlignment="1">
      <alignment horizontal="left" vertical="top"/>
    </xf>
    <xf numFmtId="0" fontId="275" fillId="33" borderId="0" xfId="829" applyFont="1" applyFill="1"/>
    <xf numFmtId="0" fontId="282" fillId="33" borderId="0" xfId="829" applyFont="1" applyFill="1"/>
    <xf numFmtId="0" fontId="282" fillId="0" borderId="0" xfId="0" applyFont="1"/>
    <xf numFmtId="0" fontId="283" fillId="33" borderId="0" xfId="829" applyFont="1" applyFill="1" applyAlignment="1">
      <alignment horizontal="right" vertical="top"/>
    </xf>
    <xf numFmtId="10" fontId="284" fillId="0" borderId="0" xfId="0" applyNumberFormat="1" applyFont="1" applyAlignment="1">
      <alignment horizontal="left" vertical="top"/>
    </xf>
    <xf numFmtId="0" fontId="283" fillId="33" borderId="0" xfId="829" applyFont="1" applyFill="1" applyAlignment="1">
      <alignment horizontal="left" vertical="top"/>
    </xf>
    <xf numFmtId="167" fontId="282" fillId="0" borderId="0" xfId="863" applyFont="1"/>
    <xf numFmtId="167" fontId="282" fillId="0" borderId="0" xfId="0" applyNumberFormat="1" applyFont="1"/>
    <xf numFmtId="0" fontId="287" fillId="0" borderId="0" xfId="0" applyFont="1"/>
    <xf numFmtId="0" fontId="282" fillId="117" borderId="0" xfId="0" applyFont="1" applyFill="1"/>
    <xf numFmtId="164" fontId="282" fillId="117" borderId="0" xfId="815" applyNumberFormat="1" applyFont="1" applyFill="1" applyBorder="1"/>
    <xf numFmtId="166" fontId="288" fillId="43" borderId="0" xfId="0" applyNumberFormat="1" applyFont="1" applyFill="1"/>
    <xf numFmtId="10" fontId="288" fillId="43" borderId="0" xfId="0" applyNumberFormat="1" applyFont="1" applyFill="1"/>
    <xf numFmtId="0" fontId="289" fillId="0" borderId="0" xfId="0" applyFont="1"/>
    <xf numFmtId="0" fontId="282" fillId="1" borderId="0" xfId="0" applyFont="1" applyFill="1"/>
    <xf numFmtId="0" fontId="282" fillId="42" borderId="0" xfId="0" applyFont="1" applyFill="1"/>
    <xf numFmtId="166" fontId="282" fillId="42" borderId="0" xfId="815" applyFont="1" applyFill="1" applyBorder="1"/>
    <xf numFmtId="166" fontId="281" fillId="42" borderId="0" xfId="815" applyFont="1" applyFill="1" applyBorder="1"/>
    <xf numFmtId="0" fontId="279" fillId="0" borderId="0" xfId="0" applyFont="1"/>
    <xf numFmtId="0" fontId="29" fillId="0" borderId="0" xfId="0" applyFont="1" applyAlignment="1">
      <alignment horizontal="center" vertical="center"/>
    </xf>
    <xf numFmtId="0" fontId="29" fillId="115" borderId="159" xfId="0" applyFont="1" applyFill="1" applyBorder="1" applyAlignment="1">
      <alignment horizontal="center" vertical="distributed"/>
    </xf>
    <xf numFmtId="0" fontId="29" fillId="116" borderId="159" xfId="0" applyFont="1" applyFill="1" applyBorder="1" applyAlignment="1">
      <alignment horizontal="center" vertical="distributed"/>
    </xf>
    <xf numFmtId="0" fontId="29" fillId="116" borderId="160" xfId="0" applyFont="1" applyFill="1" applyBorder="1" applyAlignment="1">
      <alignment horizontal="center" vertical="distributed"/>
    </xf>
    <xf numFmtId="2" fontId="0" fillId="0" borderId="0" xfId="0" applyNumberFormat="1"/>
    <xf numFmtId="10" fontId="29" fillId="42" borderId="0" xfId="847" applyNumberFormat="1" applyFont="1" applyFill="1" applyBorder="1" applyAlignment="1">
      <alignment horizontal="left"/>
    </xf>
    <xf numFmtId="229" fontId="29" fillId="42" borderId="0" xfId="863" applyNumberFormat="1" applyFont="1" applyFill="1" applyBorder="1" applyAlignment="1">
      <alignment horizontal="left"/>
    </xf>
    <xf numFmtId="0" fontId="115" fillId="99" borderId="0" xfId="907" applyFont="1" applyFill="1" applyAlignment="1">
      <alignment horizontal="center"/>
    </xf>
    <xf numFmtId="166" fontId="109" fillId="94" borderId="0" xfId="815" applyFont="1" applyFill="1" applyBorder="1" applyAlignment="1">
      <alignment horizontal="center" vertical="center" wrapText="1"/>
    </xf>
    <xf numFmtId="0" fontId="116" fillId="0" borderId="0" xfId="2697" applyFont="1" applyAlignment="1">
      <alignment horizontal="center" vertical="center" wrapText="1"/>
    </xf>
    <xf numFmtId="166" fontId="37" fillId="0" borderId="0" xfId="815" applyFont="1" applyFill="1" applyBorder="1" applyAlignment="1">
      <alignment horizontal="center" vertical="center" wrapText="1"/>
    </xf>
    <xf numFmtId="166" fontId="42" fillId="0" borderId="0" xfId="815" applyFont="1" applyFill="1" applyBorder="1" applyAlignment="1">
      <alignment wrapText="1"/>
    </xf>
    <xf numFmtId="166" fontId="42" fillId="0" borderId="0" xfId="815" applyFont="1" applyFill="1" applyBorder="1" applyAlignment="1"/>
    <xf numFmtId="9" fontId="109" fillId="0" borderId="0" xfId="1823" applyFont="1" applyFill="1" applyBorder="1" applyAlignment="1">
      <alignment horizontal="left" vertical="center" wrapText="1"/>
    </xf>
    <xf numFmtId="216" fontId="109" fillId="0" borderId="0" xfId="1823" applyNumberFormat="1" applyFont="1" applyFill="1" applyBorder="1" applyAlignment="1">
      <alignment horizontal="center" vertical="center" wrapText="1"/>
    </xf>
    <xf numFmtId="166" fontId="109" fillId="0" borderId="0" xfId="815" applyFont="1" applyFill="1" applyBorder="1" applyAlignment="1">
      <alignment horizontal="center" vertical="center" wrapText="1"/>
    </xf>
    <xf numFmtId="166" fontId="109" fillId="0" borderId="0" xfId="815" applyFont="1" applyFill="1" applyBorder="1" applyAlignment="1">
      <alignment wrapText="1"/>
    </xf>
    <xf numFmtId="9" fontId="109" fillId="0" borderId="0" xfId="1823" applyFont="1" applyFill="1" applyBorder="1" applyAlignment="1">
      <alignment horizontal="center" vertical="center" wrapText="1"/>
    </xf>
    <xf numFmtId="0" fontId="42" fillId="41" borderId="106" xfId="907" applyFont="1" applyFill="1" applyBorder="1"/>
    <xf numFmtId="0" fontId="42" fillId="41" borderId="106" xfId="2697" applyFont="1" applyFill="1" applyBorder="1"/>
    <xf numFmtId="0" fontId="42" fillId="0" borderId="106" xfId="907" applyFont="1" applyBorder="1"/>
    <xf numFmtId="43" fontId="42" fillId="41" borderId="106" xfId="907" applyNumberFormat="1" applyFont="1" applyFill="1" applyBorder="1"/>
    <xf numFmtId="0" fontId="262" fillId="0" borderId="0" xfId="2697" applyFont="1"/>
    <xf numFmtId="0" fontId="145" fillId="41" borderId="0" xfId="36379" applyFont="1" applyFill="1" applyProtection="1">
      <protection locked="0"/>
    </xf>
    <xf numFmtId="0" fontId="42" fillId="41" borderId="0" xfId="36379" applyFont="1" applyFill="1"/>
    <xf numFmtId="0" fontId="290" fillId="41" borderId="0" xfId="36379" applyFont="1" applyFill="1" applyProtection="1">
      <protection locked="0"/>
    </xf>
    <xf numFmtId="10" fontId="29" fillId="0" borderId="0" xfId="847" applyNumberFormat="1" applyFont="1" applyAlignment="1">
      <alignment horizontal="center"/>
    </xf>
    <xf numFmtId="0" fontId="211" fillId="43" borderId="0" xfId="0" applyFont="1" applyFill="1" applyAlignment="1">
      <alignment horizontal="left"/>
    </xf>
    <xf numFmtId="10" fontId="204" fillId="45" borderId="0" xfId="847" applyNumberFormat="1" applyFont="1" applyFill="1" applyBorder="1"/>
    <xf numFmtId="22" fontId="42" fillId="0" borderId="0" xfId="0" applyNumberFormat="1" applyFont="1" applyAlignment="1">
      <alignment horizontal="right"/>
    </xf>
    <xf numFmtId="0" fontId="42" fillId="0" borderId="144" xfId="907" applyFont="1" applyBorder="1"/>
    <xf numFmtId="0" fontId="204" fillId="0" borderId="152" xfId="0" applyFont="1" applyBorder="1" applyAlignment="1">
      <alignment horizontal="center"/>
    </xf>
    <xf numFmtId="0" fontId="211" fillId="43" borderId="144" xfId="0" applyFont="1" applyFill="1" applyBorder="1" applyAlignment="1">
      <alignment horizontal="center"/>
    </xf>
    <xf numFmtId="0" fontId="207" fillId="56" borderId="154" xfId="834" applyFont="1" applyFill="1" applyBorder="1" applyAlignment="1" applyProtection="1">
      <alignment horizontal="left" vertical="center"/>
    </xf>
    <xf numFmtId="0" fontId="241" fillId="41" borderId="0" xfId="831" applyFont="1" applyFill="1" applyAlignment="1">
      <alignment horizontal="left"/>
    </xf>
    <xf numFmtId="0" fontId="247" fillId="41" borderId="106" xfId="831" applyFont="1" applyFill="1" applyBorder="1" applyAlignment="1">
      <alignment horizontal="left"/>
    </xf>
    <xf numFmtId="0" fontId="242" fillId="41" borderId="0" xfId="831" applyFont="1" applyFill="1" applyAlignment="1">
      <alignment horizontal="left"/>
    </xf>
    <xf numFmtId="0" fontId="42" fillId="0" borderId="0" xfId="2697" applyFont="1" applyAlignment="1">
      <alignment horizontal="center"/>
    </xf>
    <xf numFmtId="0" fontId="116" fillId="55" borderId="161" xfId="2697" applyFont="1" applyFill="1" applyBorder="1" applyAlignment="1">
      <alignment horizontal="center" vertical="center" wrapText="1"/>
    </xf>
    <xf numFmtId="0" fontId="116" fillId="55" borderId="162" xfId="2697" applyFont="1" applyFill="1" applyBorder="1" applyAlignment="1">
      <alignment horizontal="center" vertical="center" wrapText="1"/>
    </xf>
    <xf numFmtId="268" fontId="42" fillId="0" borderId="20" xfId="43183" applyNumberFormat="1" applyFont="1" applyBorder="1" applyAlignment="1">
      <alignment vertical="center"/>
    </xf>
    <xf numFmtId="0" fontId="42" fillId="0" borderId="29" xfId="2697" applyFont="1" applyBorder="1" applyAlignment="1">
      <alignment vertical="center"/>
    </xf>
    <xf numFmtId="268" fontId="42" fillId="0" borderId="20" xfId="2697" applyNumberFormat="1" applyFont="1" applyBorder="1" applyAlignment="1">
      <alignment vertical="center"/>
    </xf>
    <xf numFmtId="268" fontId="42" fillId="0" borderId="10" xfId="2697" applyNumberFormat="1" applyFont="1" applyBorder="1" applyAlignment="1">
      <alignment vertical="center"/>
    </xf>
    <xf numFmtId="0" fontId="42" fillId="0" borderId="154" xfId="2697" applyFont="1" applyBorder="1" applyAlignment="1">
      <alignment vertical="center"/>
    </xf>
    <xf numFmtId="0" fontId="116" fillId="55" borderId="0" xfId="2697" applyFont="1" applyFill="1" applyAlignment="1">
      <alignment horizontal="center" vertical="center" wrapText="1"/>
    </xf>
    <xf numFmtId="170" fontId="116" fillId="43" borderId="0" xfId="2697" applyNumberFormat="1" applyFont="1" applyFill="1" applyAlignment="1">
      <alignment horizontal="center" vertical="center" wrapText="1"/>
    </xf>
    <xf numFmtId="170" fontId="116" fillId="55" borderId="0" xfId="2697" applyNumberFormat="1" applyFont="1" applyFill="1" applyAlignment="1">
      <alignment horizontal="center" vertical="center" wrapText="1"/>
    </xf>
    <xf numFmtId="0" fontId="42" fillId="0" borderId="29" xfId="2697" applyFont="1" applyBorder="1"/>
    <xf numFmtId="0" fontId="42" fillId="0" borderId="10" xfId="2697" applyFont="1" applyBorder="1" applyAlignment="1">
      <alignment vertical="center"/>
    </xf>
    <xf numFmtId="269" fontId="42" fillId="0" borderId="0" xfId="2697" applyNumberFormat="1" applyFont="1" applyAlignment="1">
      <alignment vertical="center"/>
    </xf>
    <xf numFmtId="0" fontId="42" fillId="0" borderId="154" xfId="2697" applyFont="1" applyBorder="1"/>
    <xf numFmtId="0" fontId="42" fillId="0" borderId="20" xfId="2697" applyFont="1" applyBorder="1" applyAlignment="1">
      <alignment vertical="center"/>
    </xf>
    <xf numFmtId="269" fontId="42" fillId="118" borderId="20" xfId="2697" applyNumberFormat="1" applyFont="1" applyFill="1" applyBorder="1" applyAlignment="1">
      <alignment vertical="center"/>
    </xf>
    <xf numFmtId="269" fontId="42" fillId="118" borderId="0" xfId="2697" applyNumberFormat="1" applyFont="1" applyFill="1" applyAlignment="1">
      <alignment vertical="center"/>
    </xf>
    <xf numFmtId="0" fontId="42" fillId="0" borderId="152" xfId="0" applyFont="1" applyBorder="1"/>
    <xf numFmtId="0" fontId="267" fillId="0" borderId="152" xfId="0" applyFont="1" applyBorder="1"/>
    <xf numFmtId="0" fontId="267" fillId="99" borderId="152" xfId="0" applyFont="1" applyFill="1" applyBorder="1"/>
    <xf numFmtId="14" fontId="29" fillId="111" borderId="0" xfId="0" applyNumberFormat="1" applyFont="1" applyFill="1" applyAlignment="1">
      <alignment horizontal="right"/>
    </xf>
    <xf numFmtId="167" fontId="42" fillId="0" borderId="10" xfId="863" applyFont="1" applyBorder="1" applyAlignment="1">
      <alignment vertical="center"/>
    </xf>
    <xf numFmtId="0" fontId="291" fillId="0" borderId="152" xfId="907" applyFont="1" applyBorder="1" applyAlignment="1">
      <alignment horizontal="left"/>
    </xf>
    <xf numFmtId="10" fontId="42" fillId="0" borderId="152" xfId="907" applyNumberFormat="1" applyFont="1" applyBorder="1"/>
    <xf numFmtId="0" fontId="42" fillId="0" borderId="152" xfId="907" applyFont="1" applyBorder="1"/>
    <xf numFmtId="0" fontId="109" fillId="0" borderId="152" xfId="907" applyFont="1" applyBorder="1" applyAlignment="1">
      <alignment horizontal="left"/>
    </xf>
    <xf numFmtId="0" fontId="292" fillId="0" borderId="152" xfId="907" applyFont="1" applyBorder="1"/>
    <xf numFmtId="0" fontId="42" fillId="41" borderId="152" xfId="907" applyFont="1" applyFill="1" applyBorder="1"/>
    <xf numFmtId="0" fontId="42" fillId="0" borderId="152" xfId="907" applyFont="1" applyBorder="1" applyAlignment="1">
      <alignment horizontal="center"/>
    </xf>
    <xf numFmtId="4" fontId="42" fillId="0" borderId="152" xfId="815" applyNumberFormat="1" applyFont="1" applyFill="1" applyBorder="1"/>
    <xf numFmtId="22" fontId="42" fillId="0" borderId="152" xfId="907" applyNumberFormat="1" applyFont="1" applyBorder="1"/>
    <xf numFmtId="167" fontId="210" fillId="0" borderId="0" xfId="863" applyFont="1" applyBorder="1" applyAlignment="1">
      <alignment horizontal="right" vertical="center"/>
    </xf>
    <xf numFmtId="43" fontId="282" fillId="0" borderId="0" xfId="0" applyNumberFormat="1" applyFont="1"/>
    <xf numFmtId="0" fontId="204" fillId="0" borderId="164" xfId="0" applyFont="1" applyBorder="1"/>
    <xf numFmtId="0" fontId="211" fillId="0" borderId="164" xfId="0" applyFont="1" applyBorder="1" applyAlignment="1">
      <alignment horizontal="center"/>
    </xf>
    <xf numFmtId="166" fontId="207" fillId="0" borderId="164" xfId="0" applyNumberFormat="1" applyFont="1" applyBorder="1" applyProtection="1">
      <protection hidden="1"/>
    </xf>
    <xf numFmtId="0" fontId="239" fillId="0" borderId="0" xfId="831" applyFont="1" applyAlignment="1">
      <alignment horizontal="right" vertical="center"/>
    </xf>
    <xf numFmtId="267" fontId="0" fillId="0" borderId="0" xfId="0" applyNumberFormat="1" applyAlignment="1">
      <alignment horizontal="center"/>
    </xf>
    <xf numFmtId="14" fontId="29" fillId="0" borderId="0" xfId="0" applyNumberFormat="1" applyFont="1" applyAlignment="1">
      <alignment horizontal="center" vertical="distributed"/>
    </xf>
    <xf numFmtId="0" fontId="234" fillId="42" borderId="0" xfId="0" applyFont="1" applyFill="1"/>
    <xf numFmtId="170" fontId="29" fillId="110" borderId="165" xfId="907" applyNumberFormat="1" applyFill="1" applyBorder="1"/>
    <xf numFmtId="170" fontId="29" fillId="110" borderId="168" xfId="907" applyNumberFormat="1" applyFill="1" applyBorder="1"/>
    <xf numFmtId="170" fontId="29" fillId="59" borderId="168" xfId="907" applyNumberFormat="1" applyFill="1" applyBorder="1"/>
    <xf numFmtId="170" fontId="29" fillId="59" borderId="170" xfId="907" applyNumberFormat="1" applyFill="1" applyBorder="1"/>
    <xf numFmtId="0" fontId="271" fillId="43" borderId="165" xfId="0" applyFont="1" applyFill="1" applyBorder="1" applyAlignment="1">
      <alignment horizontal="center" vertical="center" wrapText="1"/>
    </xf>
    <xf numFmtId="0" fontId="271" fillId="43" borderId="172" xfId="0" applyFont="1" applyFill="1" applyBorder="1" applyAlignment="1">
      <alignment horizontal="center" vertical="center" wrapText="1"/>
    </xf>
    <xf numFmtId="0" fontId="271" fillId="43" borderId="167" xfId="0" applyFont="1" applyFill="1" applyBorder="1" applyAlignment="1">
      <alignment vertical="center" wrapText="1"/>
    </xf>
    <xf numFmtId="170" fontId="29" fillId="110" borderId="170" xfId="907" applyNumberFormat="1" applyFill="1" applyBorder="1"/>
    <xf numFmtId="166" fontId="29" fillId="111" borderId="169" xfId="815" applyFont="1" applyFill="1" applyBorder="1" applyAlignment="1">
      <alignment horizontal="center" vertical="center"/>
    </xf>
    <xf numFmtId="167" fontId="232" fillId="0" borderId="0" xfId="863" quotePrefix="1" applyFont="1"/>
    <xf numFmtId="0" fontId="35" fillId="0" borderId="152" xfId="0" applyFont="1" applyBorder="1" applyAlignment="1">
      <alignment horizontal="center" vertical="center"/>
    </xf>
    <xf numFmtId="0" fontId="0" fillId="0" borderId="152" xfId="0" applyBorder="1" applyAlignment="1">
      <alignment horizontal="center" vertical="center"/>
    </xf>
    <xf numFmtId="0" fontId="0" fillId="0" borderId="152" xfId="0" applyBorder="1"/>
    <xf numFmtId="0" fontId="0" fillId="0" borderId="152" xfId="0" applyBorder="1" applyAlignment="1">
      <alignment horizontal="center"/>
    </xf>
    <xf numFmtId="167" fontId="207" fillId="41" borderId="176" xfId="863" applyFont="1" applyFill="1" applyBorder="1"/>
    <xf numFmtId="271" fontId="207" fillId="41" borderId="176" xfId="863" applyNumberFormat="1" applyFont="1" applyFill="1" applyBorder="1"/>
    <xf numFmtId="166" fontId="29" fillId="44" borderId="171" xfId="815" applyFont="1" applyFill="1" applyBorder="1" applyAlignment="1">
      <alignment horizontal="center" vertical="center"/>
    </xf>
    <xf numFmtId="166" fontId="29" fillId="44" borderId="174" xfId="815" applyFont="1" applyFill="1" applyBorder="1" applyAlignment="1">
      <alignment horizontal="center" vertical="center"/>
    </xf>
    <xf numFmtId="0" fontId="207" fillId="41" borderId="176" xfId="0" applyFont="1" applyFill="1" applyBorder="1" applyAlignment="1">
      <alignment horizontal="right"/>
    </xf>
    <xf numFmtId="0" fontId="207" fillId="41" borderId="176" xfId="0" applyFont="1" applyFill="1" applyBorder="1" applyAlignment="1">
      <alignment horizontal="left"/>
    </xf>
    <xf numFmtId="0" fontId="204" fillId="41" borderId="176" xfId="0" applyFont="1" applyFill="1" applyBorder="1" applyAlignment="1">
      <alignment horizontal="right"/>
    </xf>
    <xf numFmtId="167" fontId="207" fillId="41" borderId="176" xfId="0" applyNumberFormat="1" applyFont="1" applyFill="1" applyBorder="1"/>
    <xf numFmtId="166" fontId="29" fillId="44" borderId="177" xfId="815" applyFont="1" applyFill="1" applyBorder="1" applyAlignment="1">
      <alignment horizontal="center" vertical="center"/>
    </xf>
    <xf numFmtId="166" fontId="29" fillId="44" borderId="178" xfId="815" applyFont="1" applyFill="1" applyBorder="1" applyAlignment="1">
      <alignment horizontal="center" vertical="center"/>
    </xf>
    <xf numFmtId="166" fontId="29" fillId="59" borderId="177" xfId="815" applyFont="1" applyFill="1" applyBorder="1" applyAlignment="1">
      <alignment horizontal="center" vertical="center"/>
    </xf>
    <xf numFmtId="166" fontId="29" fillId="59" borderId="171" xfId="815" applyFont="1" applyFill="1" applyBorder="1" applyAlignment="1">
      <alignment horizontal="center" vertical="center"/>
    </xf>
    <xf numFmtId="166" fontId="29" fillId="59" borderId="178" xfId="815" applyFont="1" applyFill="1" applyBorder="1" applyAlignment="1">
      <alignment horizontal="center" vertical="center"/>
    </xf>
    <xf numFmtId="0" fontId="204" fillId="0" borderId="0" xfId="847" applyNumberFormat="1" applyFont="1" applyFill="1" applyBorder="1" applyAlignment="1">
      <alignment horizontal="right"/>
    </xf>
    <xf numFmtId="0" fontId="42" fillId="0" borderId="158" xfId="0" applyFont="1" applyBorder="1"/>
    <xf numFmtId="0" fontId="42" fillId="0" borderId="153" xfId="0" applyFont="1" applyBorder="1"/>
    <xf numFmtId="4" fontId="236" fillId="0" borderId="20" xfId="0" applyNumberFormat="1" applyFont="1" applyBorder="1" applyAlignment="1">
      <alignment horizontal="right" vertical="center"/>
    </xf>
    <xf numFmtId="166" fontId="29" fillId="111" borderId="178" xfId="815" applyFont="1" applyFill="1" applyBorder="1" applyAlignment="1">
      <alignment horizontal="center" vertical="center"/>
    </xf>
    <xf numFmtId="0" fontId="29" fillId="59" borderId="164" xfId="907" applyFill="1" applyBorder="1"/>
    <xf numFmtId="0" fontId="29" fillId="59" borderId="176" xfId="907" applyFill="1" applyBorder="1"/>
    <xf numFmtId="216" fontId="42" fillId="41" borderId="0" xfId="847" applyNumberFormat="1" applyFont="1" applyFill="1" applyBorder="1" applyAlignment="1">
      <alignment horizontal="center"/>
    </xf>
    <xf numFmtId="0" fontId="29" fillId="111" borderId="164" xfId="0" applyFont="1" applyFill="1" applyBorder="1" applyAlignment="1">
      <alignment horizontal="left" wrapText="1"/>
    </xf>
    <xf numFmtId="14" fontId="29" fillId="111" borderId="176" xfId="0" applyNumberFormat="1" applyFont="1" applyFill="1" applyBorder="1" applyAlignment="1">
      <alignment horizontal="left" wrapText="1"/>
    </xf>
    <xf numFmtId="0" fontId="29" fillId="111" borderId="144" xfId="0" applyFont="1" applyFill="1" applyBorder="1" applyAlignment="1">
      <alignment horizontal="left" wrapText="1"/>
    </xf>
    <xf numFmtId="0" fontId="204" fillId="0" borderId="0" xfId="863" applyNumberFormat="1" applyFont="1" applyFill="1" applyBorder="1"/>
    <xf numFmtId="0" fontId="204" fillId="0" borderId="0" xfId="815" applyNumberFormat="1" applyFont="1" applyFill="1" applyBorder="1"/>
    <xf numFmtId="272" fontId="204" fillId="119" borderId="0" xfId="847" applyNumberFormat="1" applyFont="1" applyFill="1"/>
    <xf numFmtId="167" fontId="0" fillId="0" borderId="0" xfId="0" applyNumberFormat="1"/>
    <xf numFmtId="0" fontId="194" fillId="0" borderId="0" xfId="0" applyFont="1" applyAlignment="1">
      <alignment vertical="center"/>
    </xf>
    <xf numFmtId="0" fontId="29" fillId="0" borderId="176" xfId="0" applyFont="1" applyBorder="1"/>
    <xf numFmtId="166" fontId="29" fillId="42" borderId="176" xfId="815" applyFont="1" applyFill="1" applyBorder="1" applyAlignment="1">
      <alignment horizontal="left"/>
    </xf>
    <xf numFmtId="167" fontId="42" fillId="0" borderId="0" xfId="0" applyNumberFormat="1" applyFont="1"/>
    <xf numFmtId="0" fontId="29" fillId="0" borderId="0" xfId="0" applyFont="1" applyAlignment="1">
      <alignment horizontal="right"/>
    </xf>
    <xf numFmtId="167" fontId="42" fillId="41" borderId="0" xfId="863" applyFont="1" applyFill="1" applyBorder="1" applyAlignment="1"/>
    <xf numFmtId="14" fontId="29" fillId="0" borderId="106" xfId="0" applyNumberFormat="1" applyFont="1" applyBorder="1"/>
    <xf numFmtId="14" fontId="42" fillId="0" borderId="0" xfId="847" applyNumberFormat="1" applyFont="1"/>
    <xf numFmtId="14" fontId="274" fillId="113" borderId="16" xfId="0" applyNumberFormat="1" applyFont="1" applyFill="1" applyBorder="1"/>
    <xf numFmtId="14" fontId="236" fillId="0" borderId="0" xfId="863" applyNumberFormat="1" applyFont="1" applyFill="1" applyBorder="1" applyAlignment="1">
      <alignment horizontal="center" vertical="center" wrapText="1"/>
    </xf>
    <xf numFmtId="14" fontId="245" fillId="0" borderId="0" xfId="43183" applyNumberFormat="1" applyFont="1" applyFill="1" applyBorder="1"/>
    <xf numFmtId="9" fontId="282" fillId="0" borderId="0" xfId="847" applyFont="1"/>
    <xf numFmtId="4" fontId="0" fillId="0" borderId="0" xfId="0" applyNumberFormat="1" applyAlignment="1">
      <alignment horizontal="center" vertical="center"/>
    </xf>
    <xf numFmtId="273" fontId="204" fillId="41" borderId="0" xfId="863" applyNumberFormat="1" applyFont="1" applyFill="1" applyBorder="1" applyAlignment="1">
      <alignment horizontal="right"/>
    </xf>
    <xf numFmtId="167" fontId="215" fillId="0" borderId="0" xfId="863" applyFont="1"/>
    <xf numFmtId="167" fontId="218" fillId="0" borderId="0" xfId="863" applyFont="1"/>
    <xf numFmtId="10" fontId="207" fillId="0" borderId="0" xfId="847" applyNumberFormat="1" applyFont="1"/>
    <xf numFmtId="0" fontId="0" fillId="0" borderId="179" xfId="0" applyBorder="1"/>
    <xf numFmtId="0" fontId="0" fillId="0" borderId="180" xfId="0" applyBorder="1"/>
    <xf numFmtId="14" fontId="29" fillId="42" borderId="176" xfId="815" applyNumberFormat="1" applyFont="1" applyFill="1" applyBorder="1" applyAlignment="1">
      <alignment horizontal="left"/>
    </xf>
    <xf numFmtId="43" fontId="0" fillId="103" borderId="152" xfId="0" applyNumberFormat="1" applyFill="1" applyBorder="1"/>
    <xf numFmtId="267" fontId="42" fillId="41" borderId="0" xfId="847" applyNumberFormat="1" applyFont="1" applyFill="1" applyBorder="1"/>
    <xf numFmtId="167" fontId="209" fillId="0" borderId="0" xfId="831" applyNumberFormat="1" applyFont="1" applyAlignment="1">
      <alignment vertical="center"/>
    </xf>
    <xf numFmtId="10" fontId="42" fillId="103" borderId="0" xfId="907" applyNumberFormat="1" applyFont="1" applyFill="1"/>
    <xf numFmtId="0" fontId="271" fillId="0" borderId="144" xfId="0" applyFont="1" applyBorder="1" applyAlignment="1">
      <alignment horizontal="center" vertical="center" wrapText="1"/>
    </xf>
    <xf numFmtId="0" fontId="115" fillId="0" borderId="0" xfId="0" applyFont="1" applyAlignment="1">
      <alignment horizontal="center" vertical="distributed"/>
    </xf>
    <xf numFmtId="10" fontId="115" fillId="0" borderId="0" xfId="847" applyNumberFormat="1" applyFont="1" applyAlignment="1">
      <alignment horizontal="center"/>
    </xf>
    <xf numFmtId="0" fontId="266" fillId="103" borderId="152" xfId="0" applyFont="1" applyFill="1" applyBorder="1" applyAlignment="1">
      <alignment horizontal="center" vertical="distributed"/>
    </xf>
    <xf numFmtId="167" fontId="115" fillId="0" borderId="0" xfId="863" quotePrefix="1" applyFont="1"/>
    <xf numFmtId="2" fontId="29" fillId="0" borderId="0" xfId="0" applyNumberFormat="1" applyFont="1" applyAlignment="1">
      <alignment horizontal="center"/>
    </xf>
    <xf numFmtId="10" fontId="29" fillId="0" borderId="0" xfId="847" applyNumberFormat="1" applyFont="1" applyAlignment="1">
      <alignment horizontal="center" vertical="distributed"/>
    </xf>
    <xf numFmtId="10" fontId="29" fillId="0" borderId="0" xfId="0" applyNumberFormat="1" applyFont="1" applyAlignment="1">
      <alignment horizontal="center"/>
    </xf>
    <xf numFmtId="10" fontId="29" fillId="0" borderId="0" xfId="847" applyNumberFormat="1" applyFont="1" applyBorder="1" applyAlignment="1">
      <alignment horizontal="center" vertical="distributed"/>
    </xf>
    <xf numFmtId="0" fontId="29" fillId="0" borderId="152" xfId="0" applyFont="1" applyBorder="1" applyAlignment="1">
      <alignment horizontal="center" vertical="distributed"/>
    </xf>
    <xf numFmtId="0" fontId="29" fillId="0" borderId="0" xfId="0" quotePrefix="1" applyFont="1"/>
    <xf numFmtId="167" fontId="29" fillId="61" borderId="144" xfId="863" applyFont="1" applyFill="1" applyBorder="1" applyAlignment="1">
      <alignment horizontal="right"/>
    </xf>
    <xf numFmtId="167" fontId="29" fillId="61" borderId="0" xfId="863" applyFont="1" applyFill="1" applyBorder="1" applyAlignment="1">
      <alignment horizontal="right"/>
    </xf>
    <xf numFmtId="167" fontId="29" fillId="0" borderId="0" xfId="0" applyNumberFormat="1" applyFont="1"/>
    <xf numFmtId="0" fontId="35" fillId="0" borderId="176" xfId="0" applyFont="1" applyBorder="1"/>
    <xf numFmtId="0" fontId="204" fillId="0" borderId="176" xfId="0" applyFont="1" applyBorder="1"/>
    <xf numFmtId="0" fontId="295" fillId="59" borderId="0" xfId="0" applyFont="1" applyFill="1" applyAlignment="1">
      <alignment horizontal="left"/>
    </xf>
    <xf numFmtId="43" fontId="294" fillId="118" borderId="0" xfId="43408" applyFont="1" applyFill="1"/>
    <xf numFmtId="204" fontId="0" fillId="0" borderId="0" xfId="0" applyNumberFormat="1"/>
    <xf numFmtId="167" fontId="204" fillId="42" borderId="0" xfId="863" applyFont="1" applyFill="1"/>
    <xf numFmtId="166" fontId="204" fillId="111" borderId="0" xfId="815" applyFont="1" applyFill="1"/>
    <xf numFmtId="167" fontId="207" fillId="59" borderId="0" xfId="863" applyFont="1" applyFill="1"/>
    <xf numFmtId="0" fontId="294" fillId="0" borderId="0" xfId="907" applyFont="1"/>
    <xf numFmtId="43" fontId="295" fillId="0" borderId="0" xfId="43408" applyFont="1" applyFill="1" applyBorder="1"/>
    <xf numFmtId="43" fontId="294" fillId="0" borderId="0" xfId="43408" applyFont="1" applyFill="1" applyBorder="1"/>
    <xf numFmtId="166" fontId="295" fillId="0" borderId="0" xfId="815" applyFont="1" applyFill="1" applyBorder="1"/>
    <xf numFmtId="0" fontId="295" fillId="0" borderId="0" xfId="0" applyFont="1"/>
    <xf numFmtId="0" fontId="295" fillId="0" borderId="0" xfId="0" applyFont="1" applyAlignment="1">
      <alignment horizontal="left"/>
    </xf>
    <xf numFmtId="274" fontId="295" fillId="0" borderId="0" xfId="815" applyNumberFormat="1" applyFont="1" applyFill="1" applyBorder="1"/>
    <xf numFmtId="167" fontId="204" fillId="111" borderId="0" xfId="863" applyFont="1" applyFill="1"/>
    <xf numFmtId="0" fontId="294" fillId="0" borderId="20" xfId="907" applyFont="1" applyBorder="1"/>
    <xf numFmtId="216" fontId="295" fillId="0" borderId="0" xfId="847" applyNumberFormat="1" applyFont="1" applyFill="1"/>
    <xf numFmtId="43" fontId="294" fillId="0" borderId="0" xfId="43408" applyFont="1" applyFill="1"/>
    <xf numFmtId="43" fontId="294" fillId="0" borderId="29" xfId="43408" applyFont="1" applyFill="1" applyBorder="1"/>
    <xf numFmtId="43" fontId="204" fillId="0" borderId="0" xfId="907" applyNumberFormat="1" applyFont="1"/>
    <xf numFmtId="169" fontId="204" fillId="42" borderId="0" xfId="863" applyNumberFormat="1" applyFont="1" applyFill="1" applyBorder="1" applyAlignment="1">
      <alignment horizontal="right"/>
    </xf>
    <xf numFmtId="43" fontId="204" fillId="42" borderId="0" xfId="863" applyNumberFormat="1" applyFont="1" applyFill="1" applyAlignment="1">
      <alignment horizontal="right"/>
    </xf>
    <xf numFmtId="274" fontId="295" fillId="42" borderId="0" xfId="815" applyNumberFormat="1" applyFont="1" applyFill="1"/>
    <xf numFmtId="167" fontId="207" fillId="0" borderId="0" xfId="863" applyFont="1"/>
    <xf numFmtId="14" fontId="29" fillId="0" borderId="29" xfId="0" applyNumberFormat="1" applyFont="1" applyBorder="1"/>
    <xf numFmtId="166" fontId="204" fillId="42" borderId="0" xfId="815" applyFont="1" applyFill="1" applyBorder="1"/>
    <xf numFmtId="40" fontId="119" fillId="0" borderId="152" xfId="0" applyNumberFormat="1" applyFont="1" applyBorder="1" applyAlignment="1">
      <alignment horizontal="center" vertical="center"/>
    </xf>
    <xf numFmtId="0" fontId="42" fillId="0" borderId="152" xfId="43433" quotePrefix="1" applyFont="1" applyBorder="1"/>
    <xf numFmtId="43" fontId="243" fillId="0" borderId="152" xfId="43431" applyFont="1" applyBorder="1"/>
    <xf numFmtId="43" fontId="243" fillId="113" borderId="152" xfId="43431" applyFont="1" applyFill="1" applyBorder="1"/>
    <xf numFmtId="4" fontId="42" fillId="42" borderId="152" xfId="815" applyNumberFormat="1" applyFont="1" applyFill="1" applyBorder="1"/>
    <xf numFmtId="166" fontId="204" fillId="111" borderId="0" xfId="815" applyFont="1" applyFill="1" applyBorder="1"/>
    <xf numFmtId="167" fontId="0" fillId="0" borderId="0" xfId="863" applyFont="1" applyFill="1"/>
    <xf numFmtId="167" fontId="0" fillId="111" borderId="0" xfId="863" applyFont="1" applyFill="1"/>
    <xf numFmtId="0" fontId="301" fillId="0" borderId="0" xfId="0" applyFont="1"/>
    <xf numFmtId="167" fontId="29" fillId="111" borderId="176" xfId="863" applyFont="1" applyFill="1" applyBorder="1"/>
    <xf numFmtId="167" fontId="29" fillId="111" borderId="164" xfId="863" applyFont="1" applyFill="1" applyBorder="1"/>
    <xf numFmtId="167" fontId="0" fillId="0" borderId="0" xfId="863" applyFont="1" applyFill="1" applyAlignment="1">
      <alignment horizontal="center" vertical="distributed"/>
    </xf>
    <xf numFmtId="10" fontId="0" fillId="0" borderId="0" xfId="847" applyNumberFormat="1" applyFont="1" applyFill="1" applyBorder="1" applyAlignment="1">
      <alignment horizontal="center" vertical="distributed"/>
    </xf>
    <xf numFmtId="14" fontId="0" fillId="0" borderId="0" xfId="0" applyNumberFormat="1" applyAlignment="1">
      <alignment horizontal="center" vertical="distributed"/>
    </xf>
    <xf numFmtId="10" fontId="29" fillId="0" borderId="0" xfId="847" applyNumberFormat="1" applyFont="1" applyFill="1" applyAlignment="1">
      <alignment horizontal="center"/>
    </xf>
    <xf numFmtId="10" fontId="0" fillId="0" borderId="0" xfId="847" applyNumberFormat="1" applyFont="1" applyFill="1" applyAlignment="1">
      <alignment horizontal="center"/>
    </xf>
    <xf numFmtId="43" fontId="243" fillId="0" borderId="152" xfId="43431" applyFont="1" applyFill="1" applyBorder="1"/>
    <xf numFmtId="166" fontId="29" fillId="111" borderId="181" xfId="815" applyFont="1" applyFill="1" applyBorder="1" applyAlignment="1">
      <alignment horizontal="center" vertical="center"/>
    </xf>
    <xf numFmtId="167" fontId="282" fillId="0" borderId="0" xfId="863" applyFont="1" applyFill="1" applyBorder="1"/>
    <xf numFmtId="167" fontId="282" fillId="117" borderId="0" xfId="863" applyFont="1" applyFill="1" applyBorder="1"/>
    <xf numFmtId="167" fontId="282" fillId="44" borderId="0" xfId="863" applyFont="1" applyFill="1" applyBorder="1"/>
    <xf numFmtId="196" fontId="204" fillId="61" borderId="0" xfId="0" applyNumberFormat="1" applyFont="1" applyFill="1"/>
    <xf numFmtId="170" fontId="204" fillId="61" borderId="0" xfId="0" applyNumberFormat="1" applyFont="1" applyFill="1"/>
    <xf numFmtId="166" fontId="204" fillId="61" borderId="10" xfId="815" applyFont="1" applyFill="1" applyBorder="1"/>
    <xf numFmtId="166" fontId="204" fillId="61" borderId="29" xfId="815" applyFont="1" applyFill="1" applyBorder="1"/>
    <xf numFmtId="166" fontId="204" fillId="61" borderId="20" xfId="815" applyFont="1" applyFill="1" applyBorder="1"/>
    <xf numFmtId="166" fontId="204" fillId="61" borderId="0" xfId="815" applyFont="1" applyFill="1" applyBorder="1"/>
    <xf numFmtId="0" fontId="204" fillId="61" borderId="0" xfId="0" applyFont="1" applyFill="1"/>
    <xf numFmtId="166" fontId="29" fillId="59" borderId="181" xfId="815" applyFont="1" applyFill="1" applyBorder="1" applyAlignment="1">
      <alignment horizontal="center" vertical="center"/>
    </xf>
    <xf numFmtId="0" fontId="35" fillId="0" borderId="0" xfId="2697" applyFont="1"/>
    <xf numFmtId="9" fontId="35" fillId="103" borderId="0" xfId="2697" applyNumberFormat="1" applyFont="1" applyFill="1"/>
    <xf numFmtId="0" fontId="271" fillId="101" borderId="0" xfId="2697" applyFont="1" applyFill="1"/>
    <xf numFmtId="167" fontId="29" fillId="0" borderId="0" xfId="2697" applyNumberFormat="1"/>
    <xf numFmtId="0" fontId="1" fillId="0" borderId="0" xfId="43435"/>
    <xf numFmtId="43" fontId="0" fillId="0" borderId="0" xfId="43436" applyFont="1"/>
    <xf numFmtId="276" fontId="1" fillId="0" borderId="0" xfId="43435" applyNumberFormat="1"/>
    <xf numFmtId="166" fontId="282" fillId="0" borderId="0" xfId="815" applyFont="1" applyFill="1" applyBorder="1"/>
    <xf numFmtId="167" fontId="42" fillId="41" borderId="0" xfId="863" applyFont="1" applyFill="1" applyBorder="1" applyAlignment="1">
      <alignment horizontal="right" vertical="center" wrapText="1"/>
    </xf>
    <xf numFmtId="167" fontId="42" fillId="0" borderId="0" xfId="863" applyFont="1" applyFill="1" applyBorder="1" applyAlignment="1">
      <alignment horizontal="right" vertical="center" wrapText="1"/>
    </xf>
    <xf numFmtId="0" fontId="29" fillId="0" borderId="152" xfId="0" applyFont="1" applyBorder="1"/>
    <xf numFmtId="276" fontId="0" fillId="0" borderId="0" xfId="0" applyNumberFormat="1"/>
    <xf numFmtId="167" fontId="0" fillId="0" borderId="0" xfId="863" applyFont="1" applyFill="1" applyBorder="1" applyAlignment="1">
      <alignment horizontal="center" vertical="center"/>
    </xf>
    <xf numFmtId="254" fontId="42" fillId="41" borderId="0" xfId="863" applyNumberFormat="1" applyFont="1" applyFill="1" applyBorder="1"/>
    <xf numFmtId="4" fontId="204" fillId="0" borderId="0" xfId="0" applyNumberFormat="1" applyFont="1"/>
    <xf numFmtId="170" fontId="116" fillId="0" borderId="0" xfId="2697" applyNumberFormat="1" applyFont="1" applyAlignment="1">
      <alignment horizontal="center" vertical="center" wrapText="1"/>
    </xf>
    <xf numFmtId="0" fontId="303" fillId="0" borderId="0" xfId="0" applyFont="1"/>
    <xf numFmtId="269" fontId="42" fillId="118" borderId="176" xfId="2697" applyNumberFormat="1" applyFont="1" applyFill="1" applyBorder="1" applyAlignment="1">
      <alignment vertical="center"/>
    </xf>
    <xf numFmtId="0" fontId="302" fillId="0" borderId="0" xfId="2697" applyFont="1" applyAlignment="1">
      <alignment horizontal="center" vertical="center" wrapText="1"/>
    </xf>
    <xf numFmtId="167" fontId="42" fillId="0" borderId="0" xfId="863" applyFont="1" applyFill="1" applyBorder="1"/>
    <xf numFmtId="268" fontId="42" fillId="0" borderId="0" xfId="2697" applyNumberFormat="1" applyFont="1" applyAlignment="1">
      <alignment vertical="center"/>
    </xf>
    <xf numFmtId="270" fontId="42" fillId="0" borderId="0" xfId="2697" applyNumberFormat="1" applyFont="1" applyAlignment="1">
      <alignment vertical="center"/>
    </xf>
    <xf numFmtId="269" fontId="109" fillId="0" borderId="0" xfId="43183" applyNumberFormat="1" applyFont="1" applyFill="1" applyBorder="1" applyAlignment="1">
      <alignment vertical="center"/>
    </xf>
    <xf numFmtId="0" fontId="249" fillId="0" borderId="0" xfId="0" applyFont="1"/>
    <xf numFmtId="0" fontId="249" fillId="0" borderId="0" xfId="0" applyFont="1" applyAlignment="1">
      <alignment vertical="center"/>
    </xf>
    <xf numFmtId="0" fontId="249" fillId="118" borderId="0" xfId="0" applyFont="1" applyFill="1" applyAlignment="1">
      <alignment vertical="center"/>
    </xf>
    <xf numFmtId="173" fontId="249" fillId="118" borderId="0" xfId="0" applyNumberFormat="1" applyFont="1" applyFill="1" applyAlignment="1">
      <alignment vertical="center"/>
    </xf>
    <xf numFmtId="0" fontId="249" fillId="0" borderId="0" xfId="907" applyFont="1"/>
    <xf numFmtId="167" fontId="249" fillId="0" borderId="0" xfId="863" applyFont="1"/>
    <xf numFmtId="0" fontId="250" fillId="0" borderId="0" xfId="907" applyFont="1"/>
    <xf numFmtId="0" fontId="204" fillId="0" borderId="0" xfId="0" applyFont="1" applyAlignment="1">
      <alignment vertical="center"/>
    </xf>
    <xf numFmtId="14" fontId="249" fillId="118" borderId="0" xfId="0" applyNumberFormat="1" applyFont="1" applyFill="1" applyAlignment="1">
      <alignment vertical="center"/>
    </xf>
    <xf numFmtId="0" fontId="42" fillId="33" borderId="0" xfId="43437" applyFont="1" applyFill="1" applyAlignment="1">
      <alignment vertical="center"/>
    </xf>
    <xf numFmtId="0" fontId="42" fillId="33" borderId="0" xfId="43437" applyFont="1" applyFill="1" applyAlignment="1">
      <alignment vertical="center" wrapText="1"/>
    </xf>
    <xf numFmtId="0" fontId="304" fillId="33" borderId="176" xfId="43437" applyFont="1" applyFill="1" applyBorder="1" applyAlignment="1">
      <alignment horizontal="left" vertical="center"/>
    </xf>
    <xf numFmtId="0" fontId="249" fillId="33" borderId="176" xfId="43437" applyFont="1" applyFill="1" applyBorder="1" applyAlignment="1">
      <alignment vertical="center" wrapText="1"/>
    </xf>
    <xf numFmtId="0" fontId="42" fillId="33" borderId="176" xfId="43437" applyFont="1" applyFill="1" applyBorder="1" applyAlignment="1">
      <alignment vertical="center"/>
    </xf>
    <xf numFmtId="0" fontId="249" fillId="33" borderId="176" xfId="43437" applyFont="1" applyFill="1" applyBorder="1" applyAlignment="1">
      <alignment horizontal="right" vertical="center"/>
    </xf>
    <xf numFmtId="10" fontId="249" fillId="33" borderId="176" xfId="847" applyNumberFormat="1" applyFont="1" applyFill="1" applyBorder="1" applyAlignment="1">
      <alignment vertical="center"/>
    </xf>
    <xf numFmtId="0" fontId="249" fillId="33" borderId="0" xfId="43437" applyFont="1" applyFill="1" applyAlignment="1">
      <alignment vertical="center"/>
    </xf>
    <xf numFmtId="0" fontId="305" fillId="0" borderId="0" xfId="2697" applyFont="1" applyAlignment="1">
      <alignment vertical="center"/>
    </xf>
    <xf numFmtId="0" fontId="249" fillId="33" borderId="0" xfId="43437" applyFont="1" applyFill="1" applyAlignment="1">
      <alignment vertical="center" wrapText="1"/>
    </xf>
    <xf numFmtId="0" fontId="249" fillId="33" borderId="0" xfId="43437" applyFont="1" applyFill="1" applyAlignment="1">
      <alignment horizontal="right" vertical="center"/>
    </xf>
    <xf numFmtId="10" fontId="249" fillId="33" borderId="0" xfId="847" applyNumberFormat="1" applyFont="1" applyFill="1" applyAlignment="1">
      <alignment vertical="center"/>
    </xf>
    <xf numFmtId="0" fontId="306" fillId="33" borderId="0" xfId="43437" applyFont="1" applyFill="1" applyAlignment="1">
      <alignment horizontal="right" vertical="center"/>
    </xf>
    <xf numFmtId="167" fontId="249" fillId="33" borderId="0" xfId="43437" applyNumberFormat="1" applyFont="1" applyFill="1" applyAlignment="1">
      <alignment vertical="center" wrapText="1"/>
    </xf>
    <xf numFmtId="0" fontId="307" fillId="33" borderId="0" xfId="43437" applyFont="1" applyFill="1" applyAlignment="1">
      <alignment horizontal="right" vertical="center"/>
    </xf>
    <xf numFmtId="0" fontId="308" fillId="33" borderId="0" xfId="43437" applyFont="1" applyFill="1" applyAlignment="1">
      <alignment vertical="center"/>
    </xf>
    <xf numFmtId="0" fontId="308" fillId="33" borderId="0" xfId="43437" applyFont="1" applyFill="1" applyAlignment="1">
      <alignment vertical="center" wrapText="1"/>
    </xf>
    <xf numFmtId="0" fontId="309" fillId="33" borderId="0" xfId="43437" applyFont="1" applyFill="1" applyAlignment="1">
      <alignment vertical="center"/>
    </xf>
    <xf numFmtId="0" fontId="310" fillId="33" borderId="0" xfId="43437" applyFont="1" applyFill="1" applyAlignment="1">
      <alignment vertical="center"/>
    </xf>
    <xf numFmtId="0" fontId="308" fillId="33" borderId="0" xfId="43437" applyFont="1" applyFill="1" applyAlignment="1">
      <alignment horizontal="center" vertical="center" wrapText="1"/>
    </xf>
    <xf numFmtId="0" fontId="308" fillId="33" borderId="0" xfId="43437" applyFont="1" applyFill="1" applyAlignment="1">
      <alignment horizontal="right" vertical="center"/>
    </xf>
    <xf numFmtId="0" fontId="259" fillId="101" borderId="176" xfId="43438" applyFont="1" applyFill="1" applyBorder="1" applyAlignment="1">
      <alignment horizontal="center" vertical="center" wrapText="1"/>
    </xf>
    <xf numFmtId="169" fontId="249" fillId="33" borderId="0" xfId="863" applyNumberFormat="1" applyFont="1" applyFill="1" applyAlignment="1">
      <alignment vertical="center"/>
    </xf>
    <xf numFmtId="0" fontId="249" fillId="0" borderId="0" xfId="43437" quotePrefix="1" applyFont="1" applyAlignment="1">
      <alignment horizontal="left" vertical="center"/>
    </xf>
    <xf numFmtId="277" fontId="249" fillId="41" borderId="0" xfId="43439" applyNumberFormat="1" applyFont="1" applyFill="1" applyBorder="1" applyAlignment="1">
      <alignment vertical="center" wrapText="1"/>
    </xf>
    <xf numFmtId="0" fontId="249" fillId="0" borderId="10" xfId="43437" quotePrefix="1" applyFont="1" applyBorder="1" applyAlignment="1">
      <alignment horizontal="left" vertical="center"/>
    </xf>
    <xf numFmtId="169" fontId="249" fillId="41" borderId="10" xfId="863" applyNumberFormat="1" applyFont="1" applyFill="1" applyBorder="1" applyAlignment="1">
      <alignment vertical="center"/>
    </xf>
    <xf numFmtId="169" fontId="249" fillId="42" borderId="10" xfId="863" applyNumberFormat="1" applyFont="1" applyFill="1" applyBorder="1" applyAlignment="1">
      <alignment vertical="center"/>
    </xf>
    <xf numFmtId="0" fontId="250" fillId="60" borderId="176" xfId="43437" quotePrefix="1" applyFont="1" applyFill="1" applyBorder="1" applyAlignment="1">
      <alignment horizontal="left" vertical="center"/>
    </xf>
    <xf numFmtId="277" fontId="250" fillId="60" borderId="176" xfId="43439" applyNumberFormat="1" applyFont="1" applyFill="1" applyBorder="1" applyAlignment="1">
      <alignment vertical="center" wrapText="1"/>
    </xf>
    <xf numFmtId="169" fontId="256" fillId="9" borderId="0" xfId="863" applyNumberFormat="1" applyFont="1" applyFill="1" applyBorder="1" applyAlignment="1">
      <alignment vertical="center" wrapText="1"/>
    </xf>
    <xf numFmtId="0" fontId="249" fillId="0" borderId="126" xfId="43437" quotePrefix="1" applyFont="1" applyBorder="1" applyAlignment="1">
      <alignment horizontal="left" vertical="center"/>
    </xf>
    <xf numFmtId="169" fontId="249" fillId="41" borderId="163" xfId="863" applyNumberFormat="1" applyFont="1" applyFill="1" applyBorder="1" applyAlignment="1">
      <alignment vertical="center" wrapText="1"/>
    </xf>
    <xf numFmtId="169" fontId="311" fillId="9" borderId="0" xfId="863" applyNumberFormat="1" applyFont="1" applyFill="1" applyBorder="1" applyAlignment="1">
      <alignment vertical="center" wrapText="1"/>
    </xf>
    <xf numFmtId="169" fontId="249" fillId="41" borderId="0" xfId="863" applyNumberFormat="1" applyFont="1" applyFill="1" applyBorder="1" applyAlignment="1">
      <alignment vertical="center" wrapText="1"/>
    </xf>
    <xf numFmtId="169" fontId="249" fillId="41" borderId="0" xfId="863" applyNumberFormat="1" applyFont="1" applyFill="1" applyBorder="1" applyAlignment="1">
      <alignment vertical="center"/>
    </xf>
    <xf numFmtId="169" fontId="249" fillId="0" borderId="0" xfId="863" applyNumberFormat="1" applyFont="1" applyFill="1" applyBorder="1" applyAlignment="1">
      <alignment vertical="center" wrapText="1"/>
    </xf>
    <xf numFmtId="169" fontId="249" fillId="0" borderId="0" xfId="863" applyNumberFormat="1" applyFont="1" applyFill="1" applyBorder="1" applyAlignment="1">
      <alignment vertical="center"/>
    </xf>
    <xf numFmtId="169" fontId="249" fillId="41" borderId="182" xfId="863" applyNumberFormat="1" applyFont="1" applyFill="1" applyBorder="1" applyAlignment="1">
      <alignment vertical="center" wrapText="1"/>
    </xf>
    <xf numFmtId="169" fontId="249" fillId="0" borderId="176" xfId="863" applyNumberFormat="1" applyFont="1" applyFill="1" applyBorder="1" applyAlignment="1">
      <alignment vertical="center" wrapText="1"/>
    </xf>
    <xf numFmtId="169" fontId="249" fillId="0" borderId="176" xfId="863" applyNumberFormat="1" applyFont="1" applyFill="1" applyBorder="1" applyAlignment="1">
      <alignment vertical="center"/>
    </xf>
    <xf numFmtId="169" fontId="250" fillId="60" borderId="176" xfId="863" applyNumberFormat="1" applyFont="1" applyFill="1" applyBorder="1" applyAlignment="1">
      <alignment vertical="center" wrapText="1"/>
    </xf>
    <xf numFmtId="169" fontId="250" fillId="60" borderId="176" xfId="863" applyNumberFormat="1" applyFont="1" applyFill="1" applyBorder="1" applyAlignment="1">
      <alignment vertical="center"/>
    </xf>
    <xf numFmtId="167" fontId="249" fillId="33" borderId="0" xfId="43186" applyFont="1" applyFill="1" applyAlignment="1">
      <alignment vertical="center" wrapText="1"/>
    </xf>
    <xf numFmtId="39" fontId="249" fillId="33" borderId="0" xfId="43437" applyNumberFormat="1" applyFont="1" applyFill="1" applyAlignment="1">
      <alignment vertical="center"/>
    </xf>
    <xf numFmtId="0" fontId="249" fillId="0" borderId="0" xfId="2697" applyFont="1" applyAlignment="1">
      <alignment vertical="center" wrapText="1"/>
    </xf>
    <xf numFmtId="0" fontId="249" fillId="123" borderId="0" xfId="2697" applyFont="1" applyFill="1" applyAlignment="1">
      <alignment vertical="center" wrapText="1"/>
    </xf>
    <xf numFmtId="0" fontId="249" fillId="122" borderId="0" xfId="43437" applyFont="1" applyFill="1" applyAlignment="1">
      <alignment vertical="center" wrapText="1"/>
    </xf>
    <xf numFmtId="43" fontId="249" fillId="41" borderId="0" xfId="43408" applyFont="1" applyFill="1" applyBorder="1" applyAlignment="1">
      <alignment vertical="center" wrapText="1"/>
    </xf>
    <xf numFmtId="0" fontId="249" fillId="124" borderId="0" xfId="2697" applyFont="1" applyFill="1" applyAlignment="1">
      <alignment vertical="center" wrapText="1"/>
    </xf>
    <xf numFmtId="43" fontId="249" fillId="123" borderId="0" xfId="43408" applyFont="1" applyFill="1" applyBorder="1" applyAlignment="1">
      <alignment vertical="center" wrapText="1"/>
    </xf>
    <xf numFmtId="167" fontId="249" fillId="44" borderId="0" xfId="863" applyFont="1" applyFill="1" applyBorder="1" applyAlignment="1">
      <alignment vertical="center" wrapText="1"/>
    </xf>
    <xf numFmtId="0" fontId="249" fillId="122" borderId="0" xfId="2697" applyFont="1" applyFill="1" applyAlignment="1">
      <alignment vertical="center" wrapText="1"/>
    </xf>
    <xf numFmtId="0" fontId="249" fillId="44" borderId="176" xfId="2697" applyFont="1" applyFill="1" applyBorder="1" applyAlignment="1">
      <alignment vertical="center" wrapText="1"/>
    </xf>
    <xf numFmtId="0" fontId="249" fillId="123" borderId="176" xfId="2697" applyFont="1" applyFill="1" applyBorder="1" applyAlignment="1">
      <alignment vertical="center" wrapText="1"/>
    </xf>
    <xf numFmtId="0" fontId="42" fillId="0" borderId="0" xfId="2697" applyFont="1" applyAlignment="1">
      <alignment vertical="center" wrapText="1"/>
    </xf>
    <xf numFmtId="0" fontId="312" fillId="0" borderId="0" xfId="0" applyFont="1"/>
    <xf numFmtId="0" fontId="313" fillId="55" borderId="183" xfId="0" applyFont="1" applyFill="1" applyBorder="1" applyAlignment="1">
      <alignment vertical="center"/>
    </xf>
    <xf numFmtId="14" fontId="249" fillId="0" borderId="20" xfId="0" applyNumberFormat="1" applyFont="1" applyBorder="1" applyAlignment="1">
      <alignment horizontal="left" vertical="center"/>
    </xf>
    <xf numFmtId="166" fontId="249" fillId="0" borderId="0" xfId="815" applyFont="1" applyBorder="1" applyAlignment="1">
      <alignment vertical="center"/>
    </xf>
    <xf numFmtId="169" fontId="249" fillId="0" borderId="10" xfId="863" applyNumberFormat="1" applyFont="1" applyBorder="1" applyAlignment="1">
      <alignment vertical="center"/>
    </xf>
    <xf numFmtId="271" fontId="249" fillId="0" borderId="10" xfId="863" applyNumberFormat="1" applyFont="1" applyBorder="1" applyAlignment="1">
      <alignment vertical="center"/>
    </xf>
    <xf numFmtId="169" fontId="250" fillId="41" borderId="0" xfId="863" applyNumberFormat="1" applyFont="1" applyFill="1" applyBorder="1" applyAlignment="1">
      <alignment vertical="center"/>
    </xf>
    <xf numFmtId="169" fontId="249" fillId="33" borderId="0" xfId="863" applyNumberFormat="1" applyFont="1" applyFill="1" applyBorder="1" applyAlignment="1">
      <alignment vertical="center"/>
    </xf>
    <xf numFmtId="0" fontId="249" fillId="41" borderId="0" xfId="863" applyNumberFormat="1" applyFont="1" applyFill="1" applyBorder="1" applyAlignment="1">
      <alignment vertical="center"/>
    </xf>
    <xf numFmtId="0" fontId="249" fillId="0" borderId="0" xfId="863" applyNumberFormat="1" applyFont="1" applyFill="1" applyBorder="1" applyAlignment="1">
      <alignment vertical="center"/>
    </xf>
    <xf numFmtId="0" fontId="249" fillId="0" borderId="176" xfId="863" applyNumberFormat="1" applyFont="1" applyFill="1" applyBorder="1" applyAlignment="1">
      <alignment vertical="center"/>
    </xf>
    <xf numFmtId="169" fontId="249" fillId="0" borderId="20" xfId="863" applyNumberFormat="1" applyFont="1" applyBorder="1" applyAlignment="1">
      <alignment vertical="center"/>
    </xf>
    <xf numFmtId="169" fontId="249" fillId="0" borderId="29" xfId="863" applyNumberFormat="1" applyFont="1" applyBorder="1" applyAlignment="1">
      <alignment vertical="center"/>
    </xf>
    <xf numFmtId="271" fontId="249" fillId="0" borderId="0" xfId="863" applyNumberFormat="1" applyFont="1" applyBorder="1" applyAlignment="1">
      <alignment vertical="center"/>
    </xf>
    <xf numFmtId="14" fontId="312" fillId="118" borderId="0" xfId="0" applyNumberFormat="1" applyFont="1" applyFill="1" applyAlignment="1">
      <alignment vertical="center"/>
    </xf>
    <xf numFmtId="173" fontId="312" fillId="118" borderId="0" xfId="0" applyNumberFormat="1" applyFont="1" applyFill="1" applyAlignment="1">
      <alignment vertical="center"/>
    </xf>
    <xf numFmtId="0" fontId="248" fillId="0" borderId="0" xfId="0" applyFont="1"/>
    <xf numFmtId="14" fontId="248" fillId="118" borderId="0" xfId="0" applyNumberFormat="1" applyFont="1" applyFill="1" applyAlignment="1">
      <alignment vertical="center"/>
    </xf>
    <xf numFmtId="173" fontId="248" fillId="118" borderId="0" xfId="0" applyNumberFormat="1" applyFont="1" applyFill="1" applyAlignment="1">
      <alignment vertical="center"/>
    </xf>
    <xf numFmtId="43" fontId="295" fillId="59" borderId="0" xfId="0" applyNumberFormat="1" applyFont="1" applyFill="1"/>
    <xf numFmtId="0" fontId="211" fillId="125" borderId="0" xfId="0" applyFont="1" applyFill="1"/>
    <xf numFmtId="3" fontId="0" fillId="0" borderId="0" xfId="43169" applyFont="1"/>
    <xf numFmtId="0" fontId="29" fillId="0" borderId="152" xfId="0" applyFont="1" applyBorder="1" applyAlignment="1">
      <alignment horizontal="center" vertical="center"/>
    </xf>
    <xf numFmtId="169" fontId="249" fillId="0" borderId="0" xfId="863" applyNumberFormat="1" applyFont="1" applyAlignment="1">
      <alignment vertical="center"/>
    </xf>
    <xf numFmtId="169" fontId="249" fillId="0" borderId="0" xfId="863" applyNumberFormat="1" applyFont="1" applyBorder="1" applyAlignment="1">
      <alignment vertical="center"/>
    </xf>
    <xf numFmtId="0" fontId="282" fillId="33" borderId="0" xfId="829" applyFont="1" applyFill="1" applyAlignment="1">
      <alignment horizontal="center"/>
    </xf>
    <xf numFmtId="167" fontId="282" fillId="0" borderId="0" xfId="863" applyFont="1" applyAlignment="1">
      <alignment horizontal="center"/>
    </xf>
    <xf numFmtId="10" fontId="282" fillId="0" borderId="0" xfId="847" applyNumberFormat="1" applyFont="1" applyAlignment="1">
      <alignment horizontal="center"/>
    </xf>
    <xf numFmtId="0" fontId="282" fillId="0" borderId="0" xfId="0" applyFont="1" applyAlignment="1">
      <alignment horizontal="center"/>
    </xf>
    <xf numFmtId="10" fontId="282" fillId="117" borderId="0" xfId="847" applyNumberFormat="1" applyFont="1" applyFill="1" applyBorder="1" applyAlignment="1">
      <alignment horizontal="center"/>
    </xf>
    <xf numFmtId="10" fontId="282" fillId="0" borderId="0" xfId="847" applyNumberFormat="1" applyFont="1" applyFill="1" applyBorder="1" applyAlignment="1">
      <alignment horizontal="center"/>
    </xf>
    <xf numFmtId="10" fontId="204" fillId="0" borderId="0" xfId="847" applyNumberFormat="1" applyFont="1" applyAlignment="1">
      <alignment horizontal="center"/>
    </xf>
    <xf numFmtId="166" fontId="281" fillId="126" borderId="0" xfId="5583" applyNumberFormat="1" applyFont="1" applyFill="1" applyBorder="1" applyAlignment="1">
      <alignment vertical="center"/>
    </xf>
    <xf numFmtId="166" fontId="281" fillId="0" borderId="0" xfId="5583" applyNumberFormat="1" applyFont="1" applyFill="1" applyBorder="1" applyAlignment="1">
      <alignment vertical="center"/>
    </xf>
    <xf numFmtId="3" fontId="249" fillId="0" borderId="0" xfId="43169" applyFont="1"/>
    <xf numFmtId="173" fontId="249" fillId="0" borderId="0" xfId="0" applyNumberFormat="1" applyFont="1" applyAlignment="1">
      <alignment vertical="center"/>
    </xf>
    <xf numFmtId="279" fontId="0" fillId="0" borderId="0" xfId="0" applyNumberFormat="1"/>
    <xf numFmtId="43" fontId="0" fillId="0" borderId="0" xfId="0" applyNumberFormat="1"/>
    <xf numFmtId="43" fontId="0" fillId="127" borderId="0" xfId="0" applyNumberFormat="1" applyFill="1"/>
    <xf numFmtId="0" fontId="29" fillId="0" borderId="0" xfId="0" applyFont="1" applyAlignment="1">
      <alignment horizontal="center" vertical="center" wrapText="1"/>
    </xf>
    <xf numFmtId="280" fontId="314" fillId="0" borderId="184" xfId="863" applyNumberFormat="1" applyFont="1" applyFill="1" applyBorder="1" applyAlignment="1">
      <alignment vertical="center"/>
    </xf>
    <xf numFmtId="0" fontId="42" fillId="41" borderId="0" xfId="36379" applyFont="1" applyFill="1" applyAlignment="1">
      <alignment horizontal="center"/>
    </xf>
    <xf numFmtId="9" fontId="42" fillId="0" borderId="0" xfId="847" applyFont="1" applyFill="1"/>
    <xf numFmtId="164" fontId="204" fillId="0" borderId="176" xfId="815" applyNumberFormat="1" applyFont="1" applyBorder="1" applyAlignment="1">
      <alignment horizontal="left"/>
    </xf>
    <xf numFmtId="10" fontId="204" fillId="0" borderId="176" xfId="847" applyNumberFormat="1" applyFont="1" applyFill="1" applyBorder="1" applyAlignment="1">
      <alignment horizontal="right"/>
    </xf>
    <xf numFmtId="164" fontId="204" fillId="0" borderId="164" xfId="815" applyNumberFormat="1" applyFont="1" applyBorder="1" applyAlignment="1">
      <alignment horizontal="left"/>
    </xf>
    <xf numFmtId="10" fontId="204" fillId="0" borderId="164" xfId="847" applyNumberFormat="1" applyFont="1" applyFill="1" applyBorder="1" applyAlignment="1">
      <alignment horizontal="right"/>
    </xf>
    <xf numFmtId="9" fontId="259" fillId="38" borderId="0" xfId="1823" applyFont="1" applyFill="1" applyBorder="1" applyAlignment="1">
      <alignment horizontal="center" vertical="center" wrapText="1"/>
    </xf>
    <xf numFmtId="9" fontId="249" fillId="41" borderId="0" xfId="1823" applyFont="1" applyFill="1" applyBorder="1" applyAlignment="1">
      <alignment horizontal="left" vertical="center" wrapText="1"/>
    </xf>
    <xf numFmtId="43" fontId="249" fillId="41" borderId="0" xfId="43199" applyFont="1" applyFill="1" applyBorder="1" applyAlignment="1">
      <alignment horizontal="center" vertical="center" wrapText="1"/>
    </xf>
    <xf numFmtId="261" fontId="249" fillId="41" borderId="0" xfId="1823" applyNumberFormat="1" applyFont="1" applyFill="1" applyBorder="1" applyAlignment="1">
      <alignment horizontal="center" vertical="center" wrapText="1"/>
    </xf>
    <xf numFmtId="0" fontId="249" fillId="33" borderId="0" xfId="905" applyFont="1" applyFill="1"/>
    <xf numFmtId="261" fontId="249" fillId="41" borderId="0" xfId="907" applyNumberFormat="1" applyFont="1" applyFill="1"/>
    <xf numFmtId="261" fontId="249" fillId="33" borderId="0" xfId="905" applyNumberFormat="1" applyFont="1" applyFill="1"/>
    <xf numFmtId="37" fontId="249" fillId="41" borderId="0" xfId="905" applyNumberFormat="1" applyFont="1" applyFill="1" applyAlignment="1">
      <alignment horizontal="left"/>
    </xf>
    <xf numFmtId="167" fontId="249" fillId="41" borderId="0" xfId="863" applyFont="1" applyFill="1" applyBorder="1" applyAlignment="1">
      <alignment horizontal="center" vertical="center" wrapText="1"/>
    </xf>
    <xf numFmtId="261" fontId="249" fillId="41" borderId="0" xfId="847" applyNumberFormat="1" applyFont="1" applyFill="1" applyBorder="1" applyAlignment="1">
      <alignment horizontal="center" vertical="center" wrapText="1"/>
    </xf>
    <xf numFmtId="0" fontId="249" fillId="41" borderId="0" xfId="907" applyFont="1" applyFill="1"/>
    <xf numFmtId="167" fontId="249" fillId="41" borderId="0" xfId="863" applyFont="1" applyFill="1" applyBorder="1"/>
    <xf numFmtId="9" fontId="259" fillId="38" borderId="0" xfId="1095" applyFont="1" applyFill="1" applyBorder="1" applyAlignment="1">
      <alignment horizontal="center" vertical="center" wrapText="1"/>
    </xf>
    <xf numFmtId="43" fontId="249" fillId="0" borderId="0" xfId="43199" applyFont="1" applyAlignment="1">
      <alignment vertical="center"/>
    </xf>
    <xf numFmtId="167" fontId="249" fillId="0" borderId="0" xfId="863" applyFont="1" applyAlignment="1">
      <alignment vertical="center"/>
    </xf>
    <xf numFmtId="269" fontId="42" fillId="61" borderId="0" xfId="2697" applyNumberFormat="1" applyFont="1" applyFill="1" applyAlignment="1">
      <alignment vertical="center"/>
    </xf>
    <xf numFmtId="0" fontId="0" fillId="104" borderId="0" xfId="863" applyNumberFormat="1" applyFont="1" applyFill="1"/>
    <xf numFmtId="0" fontId="221" fillId="0" borderId="176" xfId="907" applyFont="1" applyBorder="1" applyAlignment="1">
      <alignment horizontal="left"/>
    </xf>
    <xf numFmtId="0" fontId="204" fillId="33" borderId="176" xfId="829" applyFont="1" applyFill="1" applyBorder="1"/>
    <xf numFmtId="173" fontId="210" fillId="0" borderId="176" xfId="0" applyNumberFormat="1" applyFont="1" applyBorder="1" applyAlignment="1">
      <alignment horizontal="left"/>
    </xf>
    <xf numFmtId="10" fontId="210" fillId="0" borderId="176" xfId="0" applyNumberFormat="1" applyFont="1" applyBorder="1" applyAlignment="1">
      <alignment horizontal="right"/>
    </xf>
    <xf numFmtId="0" fontId="207" fillId="0" borderId="176" xfId="0" applyFont="1" applyBorder="1"/>
    <xf numFmtId="0" fontId="211" fillId="43" borderId="144" xfId="0" applyFont="1" applyFill="1" applyBorder="1" applyAlignment="1">
      <alignment horizontal="left"/>
    </xf>
    <xf numFmtId="167" fontId="207" fillId="45" borderId="144" xfId="863" applyFont="1" applyFill="1" applyBorder="1"/>
    <xf numFmtId="0" fontId="29" fillId="111" borderId="164" xfId="0" applyFont="1" applyFill="1" applyBorder="1" applyAlignment="1">
      <alignment horizontal="center"/>
    </xf>
    <xf numFmtId="0" fontId="29" fillId="111" borderId="164" xfId="0" applyFont="1" applyFill="1" applyBorder="1"/>
    <xf numFmtId="14" fontId="29" fillId="111" borderId="164" xfId="0" applyNumberFormat="1" applyFont="1" applyFill="1" applyBorder="1"/>
    <xf numFmtId="0" fontId="204" fillId="41" borderId="164" xfId="0" applyFont="1" applyFill="1" applyBorder="1" applyAlignment="1" applyProtection="1">
      <alignment horizontal="left"/>
      <protection hidden="1"/>
    </xf>
    <xf numFmtId="164" fontId="204" fillId="45" borderId="164" xfId="863" applyNumberFormat="1" applyFont="1" applyFill="1" applyBorder="1"/>
    <xf numFmtId="0" fontId="204" fillId="41" borderId="176" xfId="0" applyFont="1" applyFill="1" applyBorder="1" applyAlignment="1" applyProtection="1">
      <alignment horizontal="left"/>
      <protection hidden="1"/>
    </xf>
    <xf numFmtId="164" fontId="204" fillId="45" borderId="176" xfId="863" applyNumberFormat="1" applyFont="1" applyFill="1" applyBorder="1"/>
    <xf numFmtId="164" fontId="211" fillId="43" borderId="144" xfId="863" applyNumberFormat="1" applyFont="1" applyFill="1" applyBorder="1"/>
    <xf numFmtId="164" fontId="207" fillId="45" borderId="144" xfId="863" applyNumberFormat="1" applyFont="1" applyFill="1" applyBorder="1"/>
    <xf numFmtId="167" fontId="207" fillId="0" borderId="176" xfId="863" applyFont="1" applyBorder="1"/>
    <xf numFmtId="0" fontId="211" fillId="43" borderId="164" xfId="0" applyFont="1" applyFill="1" applyBorder="1" applyAlignment="1">
      <alignment horizontal="left"/>
    </xf>
    <xf numFmtId="10" fontId="204" fillId="45" borderId="164" xfId="847" applyNumberFormat="1" applyFont="1" applyFill="1" applyBorder="1"/>
    <xf numFmtId="0" fontId="211" fillId="43" borderId="176" xfId="0" applyFont="1" applyFill="1" applyBorder="1" applyAlignment="1">
      <alignment horizontal="left"/>
    </xf>
    <xf numFmtId="10" fontId="204" fillId="61" borderId="176" xfId="847" applyNumberFormat="1" applyFont="1" applyFill="1" applyBorder="1"/>
    <xf numFmtId="167" fontId="204" fillId="45" borderId="164" xfId="863" applyFont="1" applyFill="1" applyBorder="1"/>
    <xf numFmtId="167" fontId="204" fillId="45" borderId="176" xfId="863" applyFont="1" applyFill="1" applyBorder="1"/>
    <xf numFmtId="14" fontId="29" fillId="0" borderId="164" xfId="0" applyNumberFormat="1" applyFont="1" applyBorder="1"/>
    <xf numFmtId="14" fontId="29" fillId="111" borderId="176" xfId="0" applyNumberFormat="1" applyFont="1" applyFill="1" applyBorder="1"/>
    <xf numFmtId="0" fontId="29" fillId="111" borderId="176" xfId="0" applyFont="1" applyFill="1" applyBorder="1" applyAlignment="1">
      <alignment horizontal="center"/>
    </xf>
    <xf numFmtId="0" fontId="29" fillId="111" borderId="176" xfId="0" applyFont="1" applyFill="1" applyBorder="1"/>
    <xf numFmtId="14" fontId="29" fillId="111" borderId="164" xfId="0" applyNumberFormat="1" applyFont="1" applyFill="1" applyBorder="1" applyAlignment="1">
      <alignment horizontal="right"/>
    </xf>
    <xf numFmtId="14" fontId="29" fillId="111" borderId="176" xfId="0" applyNumberFormat="1" applyFont="1" applyFill="1" applyBorder="1" applyAlignment="1">
      <alignment horizontal="right"/>
    </xf>
    <xf numFmtId="0" fontId="272" fillId="0" borderId="176" xfId="907" applyFont="1" applyBorder="1" applyAlignment="1">
      <alignment horizontal="left"/>
    </xf>
    <xf numFmtId="0" fontId="42" fillId="33" borderId="176" xfId="829" applyFont="1" applyFill="1" applyBorder="1"/>
    <xf numFmtId="0" fontId="35" fillId="33" borderId="152" xfId="834" applyFont="1" applyFill="1" applyBorder="1" applyAlignment="1" applyProtection="1">
      <alignment horizontal="center" vertical="center" wrapText="1"/>
    </xf>
    <xf numFmtId="170" fontId="29" fillId="0" borderId="152" xfId="863" applyNumberFormat="1" applyFont="1" applyFill="1" applyBorder="1" applyAlignment="1">
      <alignment horizontal="center"/>
    </xf>
    <xf numFmtId="170" fontId="29" fillId="0" borderId="152" xfId="863" applyNumberFormat="1" applyFont="1" applyBorder="1" applyAlignment="1">
      <alignment horizontal="center"/>
    </xf>
    <xf numFmtId="170" fontId="29" fillId="103" borderId="152" xfId="863" applyNumberFormat="1" applyFont="1" applyFill="1" applyBorder="1" applyAlignment="1">
      <alignment horizontal="center"/>
    </xf>
    <xf numFmtId="0" fontId="35" fillId="61" borderId="152" xfId="907" applyFont="1" applyFill="1" applyBorder="1" applyAlignment="1">
      <alignment horizontal="center" vertical="center"/>
    </xf>
    <xf numFmtId="0" fontId="35" fillId="61" borderId="152" xfId="907" applyFont="1" applyFill="1" applyBorder="1" applyAlignment="1">
      <alignment horizontal="center" vertical="center" wrapText="1"/>
    </xf>
    <xf numFmtId="0" fontId="29" fillId="60" borderId="164" xfId="0" applyFont="1" applyFill="1" applyBorder="1" applyAlignment="1">
      <alignment horizontal="right"/>
    </xf>
    <xf numFmtId="0" fontId="278" fillId="96" borderId="154" xfId="0" applyFont="1" applyFill="1" applyBorder="1" applyAlignment="1">
      <alignment vertical="center"/>
    </xf>
    <xf numFmtId="14" fontId="29" fillId="0" borderId="176" xfId="0" applyNumberFormat="1" applyFont="1" applyBorder="1" applyAlignment="1">
      <alignment horizontal="right"/>
    </xf>
    <xf numFmtId="0" fontId="29" fillId="0" borderId="146" xfId="0" applyFont="1" applyBorder="1" applyAlignment="1">
      <alignment horizontal="center"/>
    </xf>
    <xf numFmtId="1" fontId="29" fillId="0" borderId="164" xfId="815" applyNumberFormat="1" applyFont="1" applyFill="1" applyBorder="1" applyAlignment="1"/>
    <xf numFmtId="169" fontId="29" fillId="0" borderId="164" xfId="863" applyNumberFormat="1" applyFont="1" applyFill="1" applyBorder="1" applyAlignment="1">
      <alignment horizontal="left"/>
    </xf>
    <xf numFmtId="10" fontId="29" fillId="0" borderId="176" xfId="847" applyNumberFormat="1" applyFont="1" applyFill="1" applyBorder="1" applyAlignment="1"/>
    <xf numFmtId="0" fontId="275" fillId="0" borderId="176" xfId="0" applyFont="1" applyBorder="1"/>
    <xf numFmtId="0" fontId="42" fillId="0" borderId="176" xfId="0" applyFont="1" applyBorder="1"/>
    <xf numFmtId="43" fontId="42" fillId="0" borderId="176" xfId="0" applyNumberFormat="1" applyFont="1" applyBorder="1"/>
    <xf numFmtId="43" fontId="276" fillId="0" borderId="176" xfId="0" applyNumberFormat="1" applyFont="1" applyBorder="1"/>
    <xf numFmtId="2" fontId="275" fillId="0" borderId="176" xfId="0" applyNumberFormat="1" applyFont="1" applyBorder="1"/>
    <xf numFmtId="14" fontId="275" fillId="0" borderId="176" xfId="0" applyNumberFormat="1" applyFont="1" applyBorder="1"/>
    <xf numFmtId="10" fontId="29" fillId="61" borderId="164" xfId="847" applyNumberFormat="1" applyFont="1" applyFill="1" applyBorder="1" applyAlignment="1">
      <alignment horizontal="right"/>
    </xf>
    <xf numFmtId="166" fontId="29" fillId="111" borderId="164" xfId="815" applyFont="1" applyFill="1" applyBorder="1" applyAlignment="1"/>
    <xf numFmtId="10" fontId="29" fillId="44" borderId="176" xfId="847" applyNumberFormat="1" applyFont="1" applyFill="1" applyBorder="1" applyAlignment="1">
      <alignment horizontal="right"/>
    </xf>
    <xf numFmtId="0" fontId="29" fillId="42" borderId="164" xfId="907" applyFill="1" applyBorder="1"/>
    <xf numFmtId="10" fontId="29" fillId="42" borderId="164" xfId="847" applyNumberFormat="1" applyFont="1" applyFill="1" applyBorder="1" applyAlignment="1">
      <alignment horizontal="right"/>
    </xf>
    <xf numFmtId="166" fontId="29" fillId="111" borderId="176" xfId="815" applyFont="1" applyFill="1" applyBorder="1" applyAlignment="1"/>
    <xf numFmtId="0" fontId="29" fillId="0" borderId="164" xfId="0" applyFont="1" applyBorder="1" applyAlignment="1">
      <alignment horizontal="left"/>
    </xf>
    <xf numFmtId="0" fontId="35" fillId="42" borderId="176" xfId="0" applyFont="1" applyFill="1" applyBorder="1"/>
    <xf numFmtId="0" fontId="29" fillId="42" borderId="176" xfId="0" applyFont="1" applyFill="1" applyBorder="1"/>
    <xf numFmtId="167" fontId="29" fillId="41" borderId="164" xfId="863" applyFont="1" applyFill="1" applyBorder="1" applyAlignment="1"/>
    <xf numFmtId="167" fontId="29" fillId="41" borderId="176" xfId="863" applyFont="1" applyFill="1" applyBorder="1" applyAlignment="1"/>
    <xf numFmtId="0" fontId="29" fillId="0" borderId="176" xfId="0" applyFont="1" applyBorder="1" applyAlignment="1">
      <alignment horizontal="left"/>
    </xf>
    <xf numFmtId="167" fontId="29" fillId="0" borderId="176" xfId="863" applyFont="1" applyFill="1" applyBorder="1" applyAlignment="1"/>
    <xf numFmtId="167" fontId="29" fillId="44" borderId="176" xfId="863" applyFont="1" applyFill="1" applyBorder="1" applyAlignment="1">
      <alignment horizontal="right"/>
    </xf>
    <xf numFmtId="10" fontId="29" fillId="111" borderId="164" xfId="847" applyNumberFormat="1" applyFont="1" applyFill="1" applyBorder="1" applyAlignment="1">
      <alignment horizontal="right"/>
    </xf>
    <xf numFmtId="169" fontId="29" fillId="0" borderId="164" xfId="0" applyNumberFormat="1" applyFont="1" applyBorder="1"/>
    <xf numFmtId="167" fontId="29" fillId="0" borderId="164" xfId="863" applyFont="1" applyFill="1" applyBorder="1" applyAlignment="1"/>
    <xf numFmtId="10" fontId="29" fillId="111" borderId="176" xfId="847" applyNumberFormat="1" applyFont="1" applyFill="1" applyBorder="1" applyAlignment="1">
      <alignment horizontal="right"/>
    </xf>
    <xf numFmtId="167" fontId="29" fillId="0" borderId="144" xfId="863" applyFont="1" applyFill="1" applyBorder="1" applyAlignment="1">
      <alignment horizontal="left"/>
    </xf>
    <xf numFmtId="267" fontId="29" fillId="0" borderId="164" xfId="847" applyNumberFormat="1" applyFont="1" applyFill="1" applyBorder="1" applyAlignment="1">
      <alignment horizontal="left"/>
    </xf>
    <xf numFmtId="10" fontId="29" fillId="0" borderId="164" xfId="847" applyNumberFormat="1" applyFont="1" applyFill="1" applyBorder="1" applyAlignment="1"/>
    <xf numFmtId="10" fontId="29" fillId="0" borderId="176" xfId="847" applyNumberFormat="1" applyFont="1" applyFill="1" applyBorder="1" applyAlignment="1">
      <alignment horizontal="left"/>
    </xf>
    <xf numFmtId="166" fontId="29" fillId="0" borderId="164" xfId="815" applyFont="1" applyFill="1" applyBorder="1" applyAlignment="1">
      <alignment horizontal="left"/>
    </xf>
    <xf numFmtId="166" fontId="29" fillId="0" borderId="176" xfId="815" applyFont="1" applyFill="1" applyBorder="1" applyAlignment="1">
      <alignment horizontal="left"/>
    </xf>
    <xf numFmtId="164" fontId="29" fillId="0" borderId="144" xfId="863" applyNumberFormat="1" applyFont="1" applyFill="1" applyBorder="1"/>
    <xf numFmtId="0" fontId="271" fillId="43" borderId="152" xfId="0" applyFont="1" applyFill="1" applyBorder="1" applyAlignment="1">
      <alignment horizontal="center" vertical="center" wrapText="1"/>
    </xf>
    <xf numFmtId="0" fontId="35" fillId="59" borderId="144" xfId="907" applyFont="1" applyFill="1" applyBorder="1"/>
    <xf numFmtId="0" fontId="29" fillId="59" borderId="144" xfId="907" applyFill="1" applyBorder="1" applyAlignment="1">
      <alignment horizontal="center"/>
    </xf>
    <xf numFmtId="170" fontId="29" fillId="111" borderId="144" xfId="907" applyNumberFormat="1" applyFill="1" applyBorder="1" applyAlignment="1">
      <alignment horizontal="left"/>
    </xf>
    <xf numFmtId="167" fontId="35" fillId="59" borderId="149" xfId="863" applyFont="1" applyFill="1" applyBorder="1"/>
    <xf numFmtId="14" fontId="29" fillId="59" borderId="152" xfId="863" applyNumberFormat="1" applyFont="1" applyFill="1" applyBorder="1"/>
    <xf numFmtId="14" fontId="29" fillId="59" borderId="152" xfId="847" applyNumberFormat="1" applyFont="1" applyFill="1" applyBorder="1" applyAlignment="1">
      <alignment horizontal="center"/>
    </xf>
    <xf numFmtId="167" fontId="29" fillId="111" borderId="144" xfId="863" applyFont="1" applyFill="1" applyBorder="1" applyAlignment="1">
      <alignment horizontal="left"/>
    </xf>
    <xf numFmtId="229" fontId="29" fillId="111" borderId="144" xfId="863" applyNumberFormat="1" applyFont="1" applyFill="1" applyBorder="1" applyAlignment="1">
      <alignment horizontal="left"/>
    </xf>
    <xf numFmtId="3" fontId="29" fillId="111" borderId="164" xfId="863" applyNumberFormat="1" applyFont="1" applyFill="1" applyBorder="1" applyAlignment="1">
      <alignment horizontal="left"/>
    </xf>
    <xf numFmtId="229" fontId="29" fillId="111" borderId="164" xfId="0" applyNumberFormat="1" applyFont="1" applyFill="1" applyBorder="1"/>
    <xf numFmtId="10" fontId="29" fillId="42" borderId="164" xfId="847" applyNumberFormat="1" applyFont="1" applyFill="1" applyBorder="1" applyAlignment="1">
      <alignment horizontal="left"/>
    </xf>
    <xf numFmtId="229" fontId="29" fillId="42" borderId="164" xfId="863" applyNumberFormat="1" applyFont="1" applyFill="1" applyBorder="1" applyAlignment="1">
      <alignment horizontal="left"/>
    </xf>
    <xf numFmtId="10" fontId="29" fillId="42" borderId="176" xfId="847" applyNumberFormat="1" applyFont="1" applyFill="1" applyBorder="1" applyAlignment="1">
      <alignment horizontal="left"/>
    </xf>
    <xf numFmtId="229" fontId="29" fillId="42" borderId="176" xfId="863" applyNumberFormat="1" applyFont="1" applyFill="1" applyBorder="1" applyAlignment="1">
      <alignment horizontal="left"/>
    </xf>
    <xf numFmtId="0" fontId="29" fillId="111" borderId="176" xfId="0" applyFont="1" applyFill="1" applyBorder="1" applyAlignment="1">
      <alignment horizontal="left"/>
    </xf>
    <xf numFmtId="229" fontId="29" fillId="111" borderId="176" xfId="0" applyNumberFormat="1" applyFont="1" applyFill="1" applyBorder="1"/>
    <xf numFmtId="0" fontId="109" fillId="58" borderId="149" xfId="834" applyFont="1" applyFill="1" applyBorder="1" applyAlignment="1" applyProtection="1">
      <alignment horizontal="left" vertical="center"/>
    </xf>
    <xf numFmtId="0" fontId="109" fillId="56" borderId="149" xfId="834" applyFont="1" applyFill="1" applyBorder="1" applyAlignment="1" applyProtection="1">
      <alignment horizontal="left" vertical="center"/>
    </xf>
    <xf numFmtId="14" fontId="109" fillId="56" borderId="148" xfId="834" applyNumberFormat="1" applyFont="1" applyFill="1" applyBorder="1" applyAlignment="1" applyProtection="1">
      <alignment horizontal="left" vertical="center"/>
    </xf>
    <xf numFmtId="0" fontId="280" fillId="0" borderId="176" xfId="907" applyFont="1" applyBorder="1" applyAlignment="1">
      <alignment horizontal="left"/>
    </xf>
    <xf numFmtId="0" fontId="228" fillId="33" borderId="176" xfId="829" applyFont="1" applyFill="1" applyBorder="1"/>
    <xf numFmtId="0" fontId="204" fillId="60" borderId="164" xfId="0" applyFont="1" applyFill="1" applyBorder="1" applyAlignment="1" applyProtection="1">
      <alignment horizontal="left" wrapText="1"/>
      <protection hidden="1"/>
    </xf>
    <xf numFmtId="166" fontId="204" fillId="0" borderId="164" xfId="815" applyFont="1" applyBorder="1"/>
    <xf numFmtId="0" fontId="207" fillId="114" borderId="176" xfId="0" applyFont="1" applyFill="1" applyBorder="1" applyAlignment="1" applyProtection="1">
      <alignment horizontal="left" wrapText="1"/>
      <protection hidden="1"/>
    </xf>
    <xf numFmtId="261" fontId="207" fillId="0" borderId="176" xfId="847" applyNumberFormat="1" applyFont="1" applyBorder="1"/>
    <xf numFmtId="0" fontId="207" fillId="114" borderId="144" xfId="0" applyFont="1" applyFill="1" applyBorder="1" applyAlignment="1" applyProtection="1">
      <alignment horizontal="left" wrapText="1"/>
      <protection hidden="1"/>
    </xf>
    <xf numFmtId="261" fontId="207" fillId="0" borderId="144" xfId="847" applyNumberFormat="1" applyFont="1" applyBorder="1"/>
    <xf numFmtId="0" fontId="210" fillId="0" borderId="176" xfId="0" applyFont="1" applyBorder="1" applyAlignment="1">
      <alignment horizontal="right" vertical="center"/>
    </xf>
    <xf numFmtId="0" fontId="210" fillId="0" borderId="164" xfId="0" applyFont="1" applyBorder="1" applyAlignment="1">
      <alignment horizontal="right" vertical="center"/>
    </xf>
    <xf numFmtId="0" fontId="211" fillId="43" borderId="164" xfId="0" applyFont="1" applyFill="1" applyBorder="1" applyAlignment="1">
      <alignment horizontal="center"/>
    </xf>
    <xf numFmtId="0" fontId="211" fillId="43" borderId="145" xfId="0" applyFont="1" applyFill="1" applyBorder="1" applyAlignment="1">
      <alignment horizontal="center"/>
    </xf>
    <xf numFmtId="0" fontId="211" fillId="43" borderId="147" xfId="0" applyFont="1" applyFill="1" applyBorder="1" applyAlignment="1">
      <alignment horizontal="center"/>
    </xf>
    <xf numFmtId="0" fontId="212" fillId="59" borderId="144" xfId="907" applyFont="1" applyFill="1" applyBorder="1"/>
    <xf numFmtId="166" fontId="207" fillId="59" borderId="149" xfId="0" applyNumberFormat="1" applyFont="1" applyFill="1" applyBorder="1" applyProtection="1">
      <protection hidden="1"/>
    </xf>
    <xf numFmtId="166" fontId="207" fillId="59" borderId="148" xfId="0" applyNumberFormat="1" applyFont="1" applyFill="1" applyBorder="1" applyProtection="1">
      <protection hidden="1"/>
    </xf>
    <xf numFmtId="10" fontId="207" fillId="59" borderId="149" xfId="847" applyNumberFormat="1" applyFont="1" applyFill="1" applyBorder="1" applyAlignment="1" applyProtection="1">
      <alignment horizontal="right"/>
      <protection hidden="1"/>
    </xf>
    <xf numFmtId="261" fontId="207" fillId="59" borderId="144" xfId="847" applyNumberFormat="1" applyFont="1" applyFill="1" applyBorder="1" applyAlignment="1" applyProtection="1">
      <alignment horizontal="right"/>
      <protection hidden="1"/>
    </xf>
    <xf numFmtId="0" fontId="207" fillId="59" borderId="144" xfId="0" applyFont="1" applyFill="1" applyBorder="1" applyAlignment="1" applyProtection="1">
      <alignment horizontal="left"/>
      <protection hidden="1"/>
    </xf>
    <xf numFmtId="0" fontId="207" fillId="59" borderId="176" xfId="0" applyFont="1" applyFill="1" applyBorder="1" applyAlignment="1">
      <alignment horizontal="left"/>
    </xf>
    <xf numFmtId="166" fontId="207" fillId="59" borderId="154" xfId="0" applyNumberFormat="1" applyFont="1" applyFill="1" applyBorder="1" applyProtection="1">
      <protection hidden="1"/>
    </xf>
    <xf numFmtId="261" fontId="207" fillId="59" borderId="176" xfId="847" applyNumberFormat="1" applyFont="1" applyFill="1" applyBorder="1" applyAlignment="1" applyProtection="1">
      <alignment horizontal="right"/>
      <protection hidden="1"/>
    </xf>
    <xf numFmtId="0" fontId="211" fillId="43" borderId="149" xfId="0" applyFont="1" applyFill="1" applyBorder="1" applyAlignment="1">
      <alignment horizontal="center"/>
    </xf>
    <xf numFmtId="0" fontId="207" fillId="59" borderId="176" xfId="0" applyFont="1" applyFill="1" applyBorder="1" applyAlignment="1" applyProtection="1">
      <alignment horizontal="left"/>
      <protection hidden="1"/>
    </xf>
    <xf numFmtId="166" fontId="207" fillId="59" borderId="176" xfId="0" applyNumberFormat="1" applyFont="1" applyFill="1" applyBorder="1" applyProtection="1">
      <protection hidden="1"/>
    </xf>
    <xf numFmtId="166" fontId="207" fillId="114" borderId="176" xfId="0" applyNumberFormat="1" applyFont="1" applyFill="1" applyBorder="1" applyProtection="1">
      <protection hidden="1"/>
    </xf>
    <xf numFmtId="261" fontId="207" fillId="59" borderId="176" xfId="847" applyNumberFormat="1" applyFont="1" applyFill="1" applyBorder="1" applyAlignment="1" applyProtection="1">
      <alignment horizontal="center"/>
      <protection hidden="1"/>
    </xf>
    <xf numFmtId="0" fontId="207" fillId="59" borderId="164" xfId="0" applyFont="1" applyFill="1" applyBorder="1" applyProtection="1">
      <protection hidden="1"/>
    </xf>
    <xf numFmtId="166" fontId="207" fillId="59" borderId="164" xfId="815" applyFont="1" applyFill="1" applyBorder="1" applyAlignment="1" applyProtection="1">
      <protection hidden="1"/>
    </xf>
    <xf numFmtId="10" fontId="207" fillId="59" borderId="164" xfId="847" applyNumberFormat="1" applyFont="1" applyFill="1" applyBorder="1" applyAlignment="1" applyProtection="1">
      <alignment horizontal="right"/>
      <protection hidden="1"/>
    </xf>
    <xf numFmtId="9" fontId="37" fillId="38" borderId="149" xfId="1823" applyFont="1" applyFill="1" applyBorder="1" applyAlignment="1">
      <alignment horizontal="center" vertical="center" wrapText="1"/>
    </xf>
    <xf numFmtId="9" fontId="109" fillId="94" borderId="144" xfId="1823" applyFont="1" applyFill="1" applyBorder="1" applyAlignment="1">
      <alignment horizontal="center" vertical="center" wrapText="1"/>
    </xf>
    <xf numFmtId="10" fontId="109" fillId="94" borderId="144" xfId="1823" applyNumberFormat="1" applyFont="1" applyFill="1" applyBorder="1" applyAlignment="1">
      <alignment horizontal="center" vertical="center" wrapText="1"/>
    </xf>
    <xf numFmtId="0" fontId="42" fillId="33" borderId="176" xfId="776" applyFont="1" applyFill="1" applyBorder="1" applyAlignment="1">
      <alignment wrapText="1"/>
    </xf>
    <xf numFmtId="216" fontId="42" fillId="33" borderId="176" xfId="2697" applyNumberFormat="1" applyFont="1" applyFill="1" applyBorder="1" applyAlignment="1">
      <alignment horizontal="center"/>
    </xf>
    <xf numFmtId="166" fontId="42" fillId="33" borderId="176" xfId="815" applyFont="1" applyFill="1" applyBorder="1"/>
    <xf numFmtId="216" fontId="109" fillId="94" borderId="144" xfId="1823" applyNumberFormat="1" applyFont="1" applyFill="1" applyBorder="1" applyAlignment="1">
      <alignment horizontal="center" vertical="center" wrapText="1"/>
    </xf>
    <xf numFmtId="166" fontId="109" fillId="94" borderId="144" xfId="815" applyFont="1" applyFill="1" applyBorder="1" applyAlignment="1">
      <alignment horizontal="center" vertical="center" wrapText="1"/>
    </xf>
    <xf numFmtId="0" fontId="42" fillId="94" borderId="144" xfId="776" applyFont="1" applyFill="1" applyBorder="1" applyAlignment="1">
      <alignment wrapText="1"/>
    </xf>
    <xf numFmtId="216" fontId="42" fillId="94" borderId="144" xfId="2697" applyNumberFormat="1" applyFont="1" applyFill="1" applyBorder="1" applyAlignment="1">
      <alignment horizontal="center"/>
    </xf>
    <xf numFmtId="170" fontId="29" fillId="0" borderId="152" xfId="907" applyNumberFormat="1" applyBorder="1" applyAlignment="1">
      <alignment horizontal="center"/>
    </xf>
    <xf numFmtId="14" fontId="29" fillId="41" borderId="152" xfId="907" applyNumberFormat="1" applyFill="1" applyBorder="1"/>
    <xf numFmtId="9" fontId="37" fillId="38" borderId="144" xfId="1823" applyFont="1" applyFill="1" applyBorder="1" applyAlignment="1">
      <alignment horizontal="center" vertical="center" wrapText="1"/>
    </xf>
    <xf numFmtId="170" fontId="37" fillId="38" borderId="144" xfId="847" applyNumberFormat="1" applyFont="1" applyFill="1" applyBorder="1" applyAlignment="1">
      <alignment horizontal="center" vertical="center" wrapText="1"/>
    </xf>
    <xf numFmtId="0" fontId="42" fillId="0" borderId="176" xfId="2697" applyFont="1" applyBorder="1" applyAlignment="1">
      <alignment vertical="center"/>
    </xf>
    <xf numFmtId="43" fontId="42" fillId="41" borderId="176" xfId="43199" applyFont="1" applyFill="1" applyBorder="1" applyAlignment="1">
      <alignment vertical="center"/>
    </xf>
    <xf numFmtId="43" fontId="42" fillId="41" borderId="176" xfId="43199" applyFont="1" applyFill="1" applyBorder="1" applyAlignment="1">
      <alignment horizontal="center" vertical="center"/>
    </xf>
    <xf numFmtId="0" fontId="109" fillId="59" borderId="144" xfId="2697" applyFont="1" applyFill="1" applyBorder="1" applyAlignment="1">
      <alignment vertical="center"/>
    </xf>
    <xf numFmtId="10" fontId="109" fillId="59" borderId="144" xfId="847" applyNumberFormat="1" applyFont="1" applyFill="1" applyBorder="1" applyAlignment="1">
      <alignment vertical="center"/>
    </xf>
    <xf numFmtId="43" fontId="109" fillId="59" borderId="144" xfId="43199" applyFont="1" applyFill="1" applyBorder="1" applyAlignment="1">
      <alignment vertical="center"/>
    </xf>
    <xf numFmtId="0" fontId="109" fillId="42" borderId="144" xfId="2697" applyFont="1" applyFill="1" applyBorder="1" applyAlignment="1">
      <alignment vertical="center"/>
    </xf>
    <xf numFmtId="43" fontId="109" fillId="42" borderId="144" xfId="43199" applyFont="1" applyFill="1" applyBorder="1" applyAlignment="1">
      <alignment vertical="center"/>
    </xf>
    <xf numFmtId="10" fontId="109" fillId="42" borderId="144" xfId="847" applyNumberFormat="1" applyFont="1" applyFill="1" applyBorder="1" applyAlignment="1">
      <alignment horizontal="center" vertical="center"/>
    </xf>
    <xf numFmtId="10" fontId="109" fillId="59" borderId="144" xfId="847" applyNumberFormat="1" applyFont="1" applyFill="1" applyBorder="1" applyAlignment="1">
      <alignment horizontal="center" vertical="center"/>
    </xf>
    <xf numFmtId="10" fontId="42" fillId="41" borderId="176" xfId="847" applyNumberFormat="1" applyFont="1" applyFill="1" applyBorder="1" applyAlignment="1">
      <alignment horizontal="center"/>
    </xf>
    <xf numFmtId="0" fontId="42" fillId="42" borderId="144" xfId="776" applyFont="1" applyFill="1" applyBorder="1" applyAlignment="1">
      <alignment wrapText="1"/>
    </xf>
    <xf numFmtId="169" fontId="42" fillId="42" borderId="144" xfId="43199" applyNumberFormat="1" applyFont="1" applyFill="1" applyBorder="1" applyAlignment="1">
      <alignment horizontal="center" wrapText="1"/>
    </xf>
    <xf numFmtId="169" fontId="42" fillId="42" borderId="144" xfId="847" applyNumberFormat="1" applyFont="1" applyFill="1" applyBorder="1" applyAlignment="1">
      <alignment horizontal="center" wrapText="1"/>
    </xf>
    <xf numFmtId="169" fontId="109" fillId="59" borderId="144" xfId="863" applyNumberFormat="1" applyFont="1" applyFill="1" applyBorder="1" applyAlignment="1">
      <alignment vertical="center"/>
    </xf>
    <xf numFmtId="0" fontId="242" fillId="41" borderId="176" xfId="907" applyFont="1" applyFill="1" applyBorder="1" applyAlignment="1">
      <alignment horizontal="left"/>
    </xf>
    <xf numFmtId="9" fontId="37" fillId="38" borderId="144" xfId="1823" applyFont="1" applyFill="1" applyBorder="1" applyAlignment="1">
      <alignment horizontal="left" vertical="center" wrapText="1"/>
    </xf>
    <xf numFmtId="0" fontId="42" fillId="41" borderId="176" xfId="2697" applyFont="1" applyFill="1" applyBorder="1" applyAlignment="1">
      <alignment horizontal="center" vertical="center"/>
    </xf>
    <xf numFmtId="0" fontId="42" fillId="41" borderId="164" xfId="2697" applyFont="1" applyFill="1" applyBorder="1" applyAlignment="1">
      <alignment horizontal="center"/>
    </xf>
    <xf numFmtId="0" fontId="42" fillId="41" borderId="164" xfId="2697" applyFont="1" applyFill="1" applyBorder="1" applyAlignment="1">
      <alignment horizontal="left"/>
    </xf>
    <xf numFmtId="2" fontId="42" fillId="41" borderId="164" xfId="2697" applyNumberFormat="1" applyFont="1" applyFill="1" applyBorder="1" applyAlignment="1">
      <alignment horizontal="center"/>
    </xf>
    <xf numFmtId="3" fontId="42" fillId="41" borderId="176" xfId="43199" applyNumberFormat="1" applyFont="1" applyFill="1" applyBorder="1" applyAlignment="1">
      <alignment horizontal="right"/>
    </xf>
    <xf numFmtId="43" fontId="42" fillId="41" borderId="176" xfId="43199" applyFont="1" applyFill="1" applyBorder="1" applyAlignment="1">
      <alignment horizontal="right"/>
    </xf>
    <xf numFmtId="43" fontId="42" fillId="41" borderId="176" xfId="43199" applyFont="1" applyFill="1" applyBorder="1" applyAlignment="1">
      <alignment horizontal="left"/>
    </xf>
    <xf numFmtId="3" fontId="42" fillId="42" borderId="144" xfId="847" applyNumberFormat="1" applyFont="1" applyFill="1" applyBorder="1" applyAlignment="1">
      <alignment horizontal="right" wrapText="1"/>
    </xf>
    <xf numFmtId="43" fontId="42" fillId="42" borderId="176" xfId="43199" applyFont="1" applyFill="1" applyBorder="1" applyAlignment="1">
      <alignment horizontal="right"/>
    </xf>
    <xf numFmtId="3" fontId="109" fillId="59" borderId="144" xfId="2697" applyNumberFormat="1" applyFont="1" applyFill="1" applyBorder="1" applyAlignment="1">
      <alignment horizontal="right" vertical="center"/>
    </xf>
    <xf numFmtId="43" fontId="109" fillId="59" borderId="144" xfId="43199" applyFont="1" applyFill="1" applyBorder="1" applyAlignment="1">
      <alignment horizontal="right" vertical="center"/>
    </xf>
    <xf numFmtId="0" fontId="242" fillId="0" borderId="176" xfId="907" applyFont="1" applyBorder="1" applyAlignment="1">
      <alignment horizontal="left"/>
    </xf>
    <xf numFmtId="169" fontId="109" fillId="59" borderId="144" xfId="43199" applyNumberFormat="1" applyFont="1" applyFill="1" applyBorder="1" applyAlignment="1">
      <alignment horizontal="right"/>
    </xf>
    <xf numFmtId="9" fontId="37" fillId="38" borderId="144" xfId="1823" applyFont="1" applyFill="1" applyBorder="1" applyAlignment="1">
      <alignment vertical="center" wrapText="1"/>
    </xf>
    <xf numFmtId="167" fontId="109" fillId="59" borderId="144" xfId="863" applyFont="1" applyFill="1" applyBorder="1" applyAlignment="1">
      <alignment vertical="center"/>
    </xf>
    <xf numFmtId="9" fontId="249" fillId="42" borderId="144" xfId="1823" applyFont="1" applyFill="1" applyBorder="1" applyAlignment="1">
      <alignment horizontal="left" vertical="center" wrapText="1"/>
    </xf>
    <xf numFmtId="43" fontId="249" fillId="42" borderId="144" xfId="43199" applyFont="1" applyFill="1" applyBorder="1" applyAlignment="1">
      <alignment horizontal="center" vertical="center" wrapText="1"/>
    </xf>
    <xf numFmtId="261" fontId="249" fillId="42" borderId="144" xfId="1823" applyNumberFormat="1" applyFont="1" applyFill="1" applyBorder="1" applyAlignment="1">
      <alignment horizontal="center" vertical="center" wrapText="1"/>
    </xf>
    <xf numFmtId="261" fontId="249" fillId="42" borderId="144" xfId="1823" applyNumberFormat="1" applyFont="1" applyFill="1" applyBorder="1" applyAlignment="1">
      <alignment horizontal="left" vertical="center" wrapText="1"/>
    </xf>
    <xf numFmtId="37" fontId="249" fillId="42" borderId="144" xfId="905" quotePrefix="1" applyNumberFormat="1" applyFont="1" applyFill="1" applyBorder="1" applyAlignment="1">
      <alignment horizontal="left"/>
    </xf>
    <xf numFmtId="43" fontId="249" fillId="42" borderId="144" xfId="43199" applyFont="1" applyFill="1" applyBorder="1" applyAlignment="1">
      <alignment horizontal="center"/>
    </xf>
    <xf numFmtId="261" fontId="249" fillId="42" borderId="144" xfId="1823" applyNumberFormat="1" applyFont="1" applyFill="1" applyBorder="1" applyAlignment="1">
      <alignment horizontal="center"/>
    </xf>
    <xf numFmtId="0" fontId="250" fillId="59" borderId="144" xfId="905" applyFont="1" applyFill="1" applyBorder="1" applyAlignment="1">
      <alignment horizontal="left"/>
    </xf>
    <xf numFmtId="261" fontId="250" fillId="59" borderId="144" xfId="905" applyNumberFormat="1" applyFont="1" applyFill="1" applyBorder="1" applyAlignment="1">
      <alignment horizontal="left"/>
    </xf>
    <xf numFmtId="261" fontId="250" fillId="59" borderId="144" xfId="847" applyNumberFormat="1" applyFont="1" applyFill="1" applyBorder="1" applyAlignment="1">
      <alignment horizontal="center"/>
    </xf>
    <xf numFmtId="9" fontId="250" fillId="42" borderId="144" xfId="1823" applyFont="1" applyFill="1" applyBorder="1" applyAlignment="1">
      <alignment horizontal="left" vertical="center" wrapText="1"/>
    </xf>
    <xf numFmtId="261" fontId="250" fillId="42" borderId="144" xfId="1823" applyNumberFormat="1" applyFont="1" applyFill="1" applyBorder="1" applyAlignment="1">
      <alignment horizontal="center" vertical="center" wrapText="1"/>
    </xf>
    <xf numFmtId="43" fontId="250" fillId="59" borderId="144" xfId="905" applyNumberFormat="1" applyFont="1" applyFill="1" applyBorder="1" applyAlignment="1">
      <alignment horizontal="left"/>
    </xf>
    <xf numFmtId="261" fontId="250" fillId="59" borderId="144" xfId="43200" applyNumberFormat="1" applyFont="1" applyFill="1" applyBorder="1" applyAlignment="1">
      <alignment horizontal="center"/>
    </xf>
    <xf numFmtId="9" fontId="315" fillId="55" borderId="144" xfId="1823" applyFont="1" applyFill="1" applyBorder="1" applyAlignment="1">
      <alignment horizontal="left" vertical="center" wrapText="1"/>
    </xf>
    <xf numFmtId="261" fontId="315" fillId="55" borderId="144" xfId="1823" applyNumberFormat="1" applyFont="1" applyFill="1" applyBorder="1" applyAlignment="1">
      <alignment horizontal="center" vertical="center" wrapText="1"/>
    </xf>
    <xf numFmtId="261" fontId="250" fillId="59" borderId="144" xfId="905" applyNumberFormat="1" applyFont="1" applyFill="1" applyBorder="1" applyAlignment="1">
      <alignment horizontal="center" vertical="center" wrapText="1"/>
    </xf>
    <xf numFmtId="0" fontId="250" fillId="59" borderId="144" xfId="905" applyFont="1" applyFill="1" applyBorder="1" applyAlignment="1">
      <alignment wrapText="1"/>
    </xf>
    <xf numFmtId="10" fontId="250" fillId="59" borderId="144" xfId="847" applyNumberFormat="1" applyFont="1" applyFill="1" applyBorder="1" applyAlignment="1">
      <alignment horizontal="center" vertical="center" wrapText="1"/>
    </xf>
    <xf numFmtId="260" fontId="250" fillId="59" borderId="144" xfId="905" applyNumberFormat="1" applyFont="1" applyFill="1" applyBorder="1" applyAlignment="1">
      <alignment horizontal="center" vertical="center" wrapText="1"/>
    </xf>
    <xf numFmtId="171" fontId="250" fillId="59" borderId="144" xfId="43199" applyNumberFormat="1" applyFont="1" applyFill="1" applyBorder="1" applyAlignment="1">
      <alignment vertical="center"/>
    </xf>
    <xf numFmtId="167" fontId="250" fillId="59" borderId="144" xfId="863" applyFont="1" applyFill="1" applyBorder="1" applyAlignment="1">
      <alignment vertical="center"/>
    </xf>
    <xf numFmtId="171" fontId="109" fillId="59" borderId="144" xfId="43199" applyNumberFormat="1" applyFont="1" applyFill="1" applyBorder="1" applyAlignment="1">
      <alignment vertical="center"/>
    </xf>
    <xf numFmtId="0" fontId="116" fillId="101" borderId="185" xfId="2697" applyFont="1" applyFill="1" applyBorder="1" applyAlignment="1">
      <alignment horizontal="center" vertical="center" wrapText="1"/>
    </xf>
    <xf numFmtId="0" fontId="145" fillId="0" borderId="187" xfId="2697" applyFont="1" applyBorder="1" applyAlignment="1">
      <alignment horizontal="center" vertical="center" wrapText="1"/>
    </xf>
    <xf numFmtId="0" fontId="145" fillId="0" borderId="188" xfId="2697" applyFont="1" applyBorder="1" applyAlignment="1">
      <alignment horizontal="center" vertical="center" wrapText="1"/>
    </xf>
    <xf numFmtId="0" fontId="145" fillId="0" borderId="187" xfId="2697" applyFont="1" applyBorder="1" applyAlignment="1">
      <alignment vertical="center"/>
    </xf>
    <xf numFmtId="4" fontId="145" fillId="0" borderId="187" xfId="43199" applyNumberFormat="1" applyFont="1" applyBorder="1" applyAlignment="1">
      <alignment horizontal="right" vertical="center" wrapText="1"/>
    </xf>
    <xf numFmtId="4" fontId="145" fillId="0" borderId="188" xfId="43199" applyNumberFormat="1" applyFont="1" applyBorder="1" applyAlignment="1">
      <alignment horizontal="right" vertical="center" wrapText="1"/>
    </xf>
    <xf numFmtId="0" fontId="145" fillId="41" borderId="187" xfId="907" applyFont="1" applyFill="1" applyBorder="1"/>
    <xf numFmtId="0" fontId="142" fillId="43" borderId="164" xfId="43405" applyFont="1" applyFill="1" applyBorder="1" applyAlignment="1">
      <alignment horizontal="left" wrapText="1"/>
    </xf>
    <xf numFmtId="10" fontId="142" fillId="43" borderId="164" xfId="847" applyNumberFormat="1" applyFont="1" applyFill="1" applyBorder="1" applyAlignment="1">
      <alignment horizontal="right"/>
    </xf>
    <xf numFmtId="0" fontId="243" fillId="0" borderId="176" xfId="43405" applyFont="1" applyBorder="1"/>
    <xf numFmtId="10" fontId="243" fillId="0" borderId="176" xfId="847" applyNumberFormat="1" applyFont="1" applyFill="1" applyBorder="1"/>
    <xf numFmtId="173" fontId="210" fillId="0" borderId="176" xfId="0" applyNumberFormat="1" applyFont="1" applyBorder="1" applyAlignment="1">
      <alignment horizontal="right"/>
    </xf>
    <xf numFmtId="10" fontId="210" fillId="0" borderId="176" xfId="0" applyNumberFormat="1" applyFont="1" applyBorder="1" applyAlignment="1">
      <alignment horizontal="left"/>
    </xf>
    <xf numFmtId="0" fontId="207" fillId="58" borderId="189" xfId="834" applyFont="1" applyFill="1" applyBorder="1" applyAlignment="1" applyProtection="1">
      <alignment horizontal="left" vertical="center"/>
    </xf>
    <xf numFmtId="0" fontId="207" fillId="58" borderId="190" xfId="834" applyFont="1" applyFill="1" applyBorder="1" applyAlignment="1" applyProtection="1">
      <alignment horizontal="left" vertical="center"/>
    </xf>
    <xf numFmtId="4" fontId="207" fillId="58" borderId="189" xfId="834" applyNumberFormat="1" applyFont="1" applyFill="1" applyBorder="1" applyAlignment="1" applyProtection="1">
      <alignment horizontal="left" vertical="center"/>
    </xf>
    <xf numFmtId="0" fontId="211" fillId="43" borderId="186" xfId="0" applyFont="1" applyFill="1" applyBorder="1" applyAlignment="1">
      <alignment horizontal="center"/>
    </xf>
    <xf numFmtId="0" fontId="207" fillId="41" borderId="186" xfId="0" applyFont="1" applyFill="1" applyBorder="1" applyAlignment="1" applyProtection="1">
      <alignment horizontal="left"/>
      <protection hidden="1"/>
    </xf>
    <xf numFmtId="169" fontId="207" fillId="41" borderId="186" xfId="43183" applyNumberFormat="1" applyFont="1" applyFill="1" applyBorder="1" applyAlignment="1" applyProtection="1">
      <alignment horizontal="center" vertical="center"/>
    </xf>
    <xf numFmtId="164" fontId="207" fillId="41" borderId="186" xfId="43184" applyFont="1" applyFill="1" applyBorder="1" applyAlignment="1" applyProtection="1">
      <alignment horizontal="center" vertical="center"/>
    </xf>
    <xf numFmtId="0" fontId="228" fillId="0" borderId="176" xfId="2697" applyFont="1" applyBorder="1"/>
    <xf numFmtId="10" fontId="204" fillId="0" borderId="176" xfId="847" applyNumberFormat="1" applyFont="1" applyFill="1" applyBorder="1"/>
    <xf numFmtId="0" fontId="229" fillId="0" borderId="176" xfId="2697" applyFont="1" applyBorder="1"/>
    <xf numFmtId="10" fontId="207" fillId="0" borderId="176" xfId="2697" applyNumberFormat="1" applyFont="1" applyBorder="1"/>
    <xf numFmtId="0" fontId="204" fillId="41" borderId="176" xfId="2697" applyFont="1" applyFill="1" applyBorder="1"/>
    <xf numFmtId="43" fontId="42" fillId="0" borderId="176" xfId="43185" applyFont="1" applyFill="1" applyBorder="1" applyAlignment="1" applyProtection="1">
      <alignment horizontal="right"/>
      <protection locked="0"/>
    </xf>
    <xf numFmtId="166" fontId="204" fillId="41" borderId="176" xfId="815" applyFont="1" applyFill="1" applyBorder="1"/>
    <xf numFmtId="167" fontId="207" fillId="41" borderId="186" xfId="43185" applyNumberFormat="1" applyFont="1" applyFill="1" applyBorder="1" applyAlignment="1" applyProtection="1">
      <alignment horizontal="right"/>
      <protection locked="0"/>
    </xf>
    <xf numFmtId="164" fontId="207" fillId="41" borderId="186" xfId="43184" applyFont="1" applyFill="1" applyBorder="1" applyAlignment="1" applyProtection="1">
      <alignment horizontal="right"/>
      <protection locked="0"/>
    </xf>
    <xf numFmtId="0" fontId="207" fillId="97" borderId="186" xfId="2697" applyFont="1" applyFill="1" applyBorder="1"/>
    <xf numFmtId="166" fontId="207" fillId="97" borderId="186" xfId="2697" applyNumberFormat="1" applyFont="1" applyFill="1" applyBorder="1"/>
    <xf numFmtId="0" fontId="229" fillId="0" borderId="186" xfId="2697" applyFont="1" applyBorder="1"/>
    <xf numFmtId="169" fontId="204" fillId="0" borderId="186" xfId="43183" applyNumberFormat="1" applyFont="1" applyFill="1" applyBorder="1" applyAlignment="1">
      <alignment vertical="center" wrapText="1"/>
    </xf>
    <xf numFmtId="169" fontId="207" fillId="41" borderId="186" xfId="43183" applyNumberFormat="1" applyFont="1" applyFill="1" applyBorder="1" applyAlignment="1" applyProtection="1">
      <alignment vertical="center"/>
    </xf>
    <xf numFmtId="164" fontId="207" fillId="0" borderId="186" xfId="43184" applyFont="1" applyFill="1" applyBorder="1" applyAlignment="1" applyProtection="1">
      <alignment vertical="center"/>
    </xf>
    <xf numFmtId="0" fontId="207" fillId="97" borderId="186" xfId="0" applyFont="1" applyFill="1" applyBorder="1" applyAlignment="1" applyProtection="1">
      <alignment horizontal="left"/>
      <protection hidden="1"/>
    </xf>
    <xf numFmtId="43" fontId="207" fillId="97" borderId="186" xfId="43183" applyFont="1" applyFill="1" applyBorder="1" applyAlignment="1" applyProtection="1">
      <alignment vertical="center"/>
    </xf>
    <xf numFmtId="164" fontId="207" fillId="97" borderId="186" xfId="43184" applyFont="1" applyFill="1" applyBorder="1" applyAlignment="1" applyProtection="1">
      <alignment vertical="center"/>
    </xf>
    <xf numFmtId="0" fontId="109" fillId="58" borderId="188" xfId="834" applyFont="1" applyFill="1" applyBorder="1" applyAlignment="1" applyProtection="1">
      <alignment horizontal="left" vertical="center"/>
    </xf>
    <xf numFmtId="0" fontId="109" fillId="58" borderId="192" xfId="834" applyFont="1" applyFill="1" applyBorder="1" applyAlignment="1" applyProtection="1">
      <alignment horizontal="left" vertical="center"/>
    </xf>
    <xf numFmtId="0" fontId="109" fillId="56" borderId="188" xfId="834" applyFont="1" applyFill="1" applyBorder="1" applyAlignment="1" applyProtection="1">
      <alignment horizontal="left" vertical="center"/>
    </xf>
    <xf numFmtId="0" fontId="109" fillId="56" borderId="192" xfId="834" applyFont="1" applyFill="1" applyBorder="1" applyAlignment="1" applyProtection="1">
      <alignment horizontal="left" vertical="center"/>
    </xf>
    <xf numFmtId="0" fontId="207" fillId="0" borderId="186" xfId="2697" applyFont="1" applyBorder="1" applyAlignment="1">
      <alignment horizontal="left"/>
    </xf>
    <xf numFmtId="164" fontId="207" fillId="0" borderId="186" xfId="2697" applyNumberFormat="1" applyFont="1" applyBorder="1"/>
    <xf numFmtId="167" fontId="204" fillId="0" borderId="193" xfId="863" applyFont="1" applyBorder="1"/>
    <xf numFmtId="167" fontId="204" fillId="0" borderId="187" xfId="863" applyFont="1" applyBorder="1"/>
    <xf numFmtId="0" fontId="204" fillId="97" borderId="176" xfId="0" applyFont="1" applyFill="1" applyBorder="1" applyAlignment="1" applyProtection="1">
      <alignment horizontal="left"/>
      <protection hidden="1"/>
    </xf>
    <xf numFmtId="164" fontId="204" fillId="0" borderId="176" xfId="43184" applyFont="1" applyBorder="1"/>
    <xf numFmtId="14" fontId="109" fillId="56" borderId="192" xfId="834" applyNumberFormat="1" applyFont="1" applyFill="1" applyBorder="1" applyAlignment="1" applyProtection="1">
      <alignment horizontal="left" vertical="center"/>
    </xf>
    <xf numFmtId="0" fontId="216" fillId="43" borderId="186" xfId="0" applyFont="1" applyFill="1" applyBorder="1" applyAlignment="1">
      <alignment horizontal="center"/>
    </xf>
    <xf numFmtId="0" fontId="212" fillId="59" borderId="186" xfId="907" applyFont="1" applyFill="1" applyBorder="1"/>
    <xf numFmtId="218" fontId="212" fillId="59" borderId="186" xfId="863" applyNumberFormat="1" applyFont="1" applyFill="1" applyBorder="1"/>
    <xf numFmtId="0" fontId="204" fillId="0" borderId="186" xfId="907" applyFont="1" applyBorder="1" applyAlignment="1">
      <alignment horizontal="left" indent="1"/>
    </xf>
    <xf numFmtId="218" fontId="217" fillId="41" borderId="186" xfId="863" applyNumberFormat="1" applyFont="1" applyFill="1" applyBorder="1"/>
    <xf numFmtId="167" fontId="204" fillId="0" borderId="176" xfId="863" applyFont="1" applyBorder="1"/>
    <xf numFmtId="0" fontId="209" fillId="43" borderId="176" xfId="0" applyFont="1" applyFill="1" applyBorder="1"/>
    <xf numFmtId="0" fontId="209" fillId="43" borderId="176" xfId="0" applyFont="1" applyFill="1" applyBorder="1" applyAlignment="1">
      <alignment horizontal="center"/>
    </xf>
    <xf numFmtId="0" fontId="207" fillId="0" borderId="176" xfId="907" applyFont="1" applyBorder="1"/>
    <xf numFmtId="213" fontId="207" fillId="0" borderId="176" xfId="0" applyNumberFormat="1" applyFont="1" applyBorder="1"/>
    <xf numFmtId="167" fontId="204" fillId="100" borderId="176" xfId="863" applyFont="1" applyFill="1" applyBorder="1"/>
    <xf numFmtId="0" fontId="207" fillId="59" borderId="186" xfId="907" applyFont="1" applyFill="1" applyBorder="1"/>
    <xf numFmtId="169" fontId="207" fillId="59" borderId="186" xfId="907" applyNumberFormat="1" applyFont="1" applyFill="1" applyBorder="1"/>
    <xf numFmtId="167" fontId="207" fillId="59" borderId="186" xfId="863" applyFont="1" applyFill="1" applyBorder="1"/>
    <xf numFmtId="166" fontId="207" fillId="59" borderId="186" xfId="907" applyNumberFormat="1" applyFont="1" applyFill="1" applyBorder="1"/>
    <xf numFmtId="0" fontId="216" fillId="43" borderId="186" xfId="0" applyFont="1" applyFill="1" applyBorder="1" applyAlignment="1">
      <alignment horizontal="center" vertical="center" wrapText="1"/>
    </xf>
    <xf numFmtId="0" fontId="296" fillId="43" borderId="189" xfId="907" applyFont="1" applyFill="1" applyBorder="1"/>
    <xf numFmtId="0" fontId="296" fillId="43" borderId="190" xfId="907" applyFont="1" applyFill="1" applyBorder="1"/>
    <xf numFmtId="0" fontId="293" fillId="43" borderId="188" xfId="907" applyFont="1" applyFill="1" applyBorder="1"/>
    <xf numFmtId="0" fontId="293" fillId="43" borderId="186" xfId="907" applyFont="1" applyFill="1" applyBorder="1"/>
    <xf numFmtId="0" fontId="293" fillId="43" borderId="187" xfId="907" applyFont="1" applyFill="1" applyBorder="1"/>
    <xf numFmtId="0" fontId="207" fillId="97" borderId="186" xfId="0" applyFont="1" applyFill="1" applyBorder="1"/>
    <xf numFmtId="0" fontId="297" fillId="97" borderId="186" xfId="0" applyFont="1" applyFill="1" applyBorder="1"/>
    <xf numFmtId="0" fontId="215" fillId="97" borderId="186" xfId="0" applyFont="1" applyFill="1" applyBorder="1"/>
    <xf numFmtId="167" fontId="207" fillId="97" borderId="186" xfId="0" applyNumberFormat="1" applyFont="1" applyFill="1" applyBorder="1"/>
    <xf numFmtId="271" fontId="207" fillId="97" borderId="186" xfId="863" applyNumberFormat="1" applyFont="1" applyFill="1" applyBorder="1"/>
    <xf numFmtId="43" fontId="207" fillId="97" borderId="186" xfId="0" applyNumberFormat="1" applyFont="1" applyFill="1" applyBorder="1"/>
    <xf numFmtId="0" fontId="293" fillId="43" borderId="188" xfId="907" applyFont="1" applyFill="1" applyBorder="1" applyAlignment="1">
      <alignment vertical="center"/>
    </xf>
    <xf numFmtId="0" fontId="293" fillId="43" borderId="186" xfId="907" applyFont="1" applyFill="1" applyBorder="1" applyAlignment="1">
      <alignment horizontal="center" vertical="center"/>
    </xf>
    <xf numFmtId="0" fontId="293" fillId="43" borderId="187" xfId="907" applyFont="1" applyFill="1" applyBorder="1" applyAlignment="1">
      <alignment vertical="center"/>
    </xf>
    <xf numFmtId="0" fontId="293" fillId="43" borderId="186" xfId="907" applyFont="1" applyFill="1" applyBorder="1" applyAlignment="1">
      <alignment vertical="center"/>
    </xf>
    <xf numFmtId="0" fontId="293" fillId="120" borderId="189" xfId="907" applyFont="1" applyFill="1" applyBorder="1"/>
    <xf numFmtId="0" fontId="293" fillId="120" borderId="190" xfId="907" applyFont="1" applyFill="1" applyBorder="1" applyAlignment="1">
      <alignment horizontal="center"/>
    </xf>
    <xf numFmtId="0" fontId="294" fillId="0" borderId="189" xfId="907" applyFont="1" applyBorder="1"/>
    <xf numFmtId="43" fontId="294" fillId="0" borderId="190" xfId="43408" applyFont="1" applyFill="1" applyBorder="1"/>
    <xf numFmtId="218" fontId="294" fillId="121" borderId="186" xfId="43408" applyNumberFormat="1" applyFont="1" applyFill="1" applyBorder="1"/>
    <xf numFmtId="43" fontId="295" fillId="121" borderId="186" xfId="43408" applyFont="1" applyFill="1" applyBorder="1"/>
    <xf numFmtId="166" fontId="295" fillId="121" borderId="192" xfId="815" applyFont="1" applyFill="1" applyBorder="1"/>
    <xf numFmtId="0" fontId="237" fillId="0" borderId="176" xfId="907" applyFont="1" applyBorder="1" applyAlignment="1">
      <alignment horizontal="left"/>
    </xf>
    <xf numFmtId="0" fontId="232" fillId="33" borderId="176" xfId="829" applyFont="1" applyFill="1" applyBorder="1"/>
    <xf numFmtId="0" fontId="204" fillId="33" borderId="176" xfId="831" applyFont="1" applyFill="1" applyBorder="1" applyAlignment="1">
      <alignment vertical="center"/>
    </xf>
    <xf numFmtId="169" fontId="204" fillId="33" borderId="176" xfId="863" applyNumberFormat="1" applyFont="1" applyFill="1" applyBorder="1" applyAlignment="1">
      <alignment vertical="center"/>
    </xf>
    <xf numFmtId="10" fontId="210" fillId="0" borderId="176" xfId="0" applyNumberFormat="1" applyFont="1" applyBorder="1" applyAlignment="1">
      <alignment horizontal="center"/>
    </xf>
    <xf numFmtId="0" fontId="222" fillId="33" borderId="194" xfId="831" applyFont="1" applyFill="1" applyBorder="1" applyAlignment="1">
      <alignment horizontal="left" vertical="center"/>
    </xf>
    <xf numFmtId="0" fontId="211" fillId="43" borderId="186" xfId="0" applyFont="1" applyFill="1" applyBorder="1" applyAlignment="1">
      <alignment horizontal="center" vertical="center" wrapText="1"/>
    </xf>
    <xf numFmtId="0" fontId="204" fillId="0" borderId="176" xfId="831" applyFont="1" applyBorder="1" applyAlignment="1">
      <alignment vertical="center"/>
    </xf>
    <xf numFmtId="167" fontId="204" fillId="33" borderId="176" xfId="863" applyFont="1" applyFill="1" applyBorder="1" applyAlignment="1" applyProtection="1">
      <alignment horizontal="center" vertical="center"/>
      <protection locked="0"/>
    </xf>
    <xf numFmtId="0" fontId="206" fillId="38" borderId="188" xfId="905" applyFont="1" applyFill="1" applyBorder="1" applyAlignment="1">
      <alignment horizontal="center" vertical="center"/>
    </xf>
    <xf numFmtId="0" fontId="206" fillId="38" borderId="186" xfId="905" applyFont="1" applyFill="1" applyBorder="1" applyAlignment="1">
      <alignment vertical="center"/>
    </xf>
    <xf numFmtId="0" fontId="206" fillId="38" borderId="192" xfId="905" applyFont="1" applyFill="1" applyBorder="1" applyAlignment="1">
      <alignment vertical="center"/>
    </xf>
    <xf numFmtId="175" fontId="204" fillId="0" borderId="187" xfId="863" applyNumberFormat="1" applyFont="1" applyFill="1" applyBorder="1" applyAlignment="1">
      <alignment vertical="center"/>
    </xf>
    <xf numFmtId="167" fontId="207" fillId="33" borderId="187" xfId="831" applyNumberFormat="1" applyFont="1" applyFill="1" applyBorder="1" applyAlignment="1">
      <alignment vertical="center"/>
    </xf>
    <xf numFmtId="167" fontId="207" fillId="33" borderId="187" xfId="863" applyFont="1" applyFill="1" applyBorder="1" applyAlignment="1">
      <alignment vertical="center"/>
    </xf>
    <xf numFmtId="167" fontId="211" fillId="0" borderId="176" xfId="863" applyFont="1" applyFill="1" applyBorder="1" applyAlignment="1">
      <alignment horizontal="center" vertical="center"/>
    </xf>
    <xf numFmtId="17" fontId="206" fillId="38" borderId="187" xfId="905" applyNumberFormat="1" applyFont="1" applyFill="1" applyBorder="1" applyAlignment="1">
      <alignment horizontal="center" vertical="center"/>
    </xf>
    <xf numFmtId="0" fontId="32" fillId="33" borderId="187" xfId="907" applyFont="1" applyFill="1" applyBorder="1" applyAlignment="1">
      <alignment horizontal="center" vertical="center"/>
    </xf>
    <xf numFmtId="4" fontId="207" fillId="33" borderId="187" xfId="831" applyNumberFormat="1" applyFont="1" applyFill="1" applyBorder="1" applyAlignment="1">
      <alignment horizontal="right" vertical="center"/>
    </xf>
    <xf numFmtId="4" fontId="204" fillId="33" borderId="187" xfId="863" applyNumberFormat="1" applyFont="1" applyFill="1" applyBorder="1" applyAlignment="1">
      <alignment horizontal="right" vertical="center"/>
    </xf>
    <xf numFmtId="17" fontId="38" fillId="38" borderId="187" xfId="905" applyNumberFormat="1" applyFont="1" applyFill="1" applyBorder="1" applyAlignment="1">
      <alignment horizontal="center" vertical="center"/>
    </xf>
    <xf numFmtId="17" fontId="38" fillId="38" borderId="187" xfId="905" applyNumberFormat="1" applyFont="1" applyFill="1" applyBorder="1" applyAlignment="1">
      <alignment horizontal="center" vertical="center" wrapText="1"/>
    </xf>
    <xf numFmtId="175" fontId="32" fillId="0" borderId="187" xfId="907" applyNumberFormat="1" applyFont="1" applyBorder="1" applyAlignment="1">
      <alignment horizontal="center" vertical="center"/>
    </xf>
    <xf numFmtId="170" fontId="29" fillId="0" borderId="193" xfId="907" applyNumberFormat="1" applyBorder="1" applyAlignment="1">
      <alignment horizontal="center"/>
    </xf>
    <xf numFmtId="167" fontId="0" fillId="9" borderId="193" xfId="863" applyFont="1" applyFill="1" applyBorder="1"/>
    <xf numFmtId="167" fontId="29" fillId="0" borderId="193" xfId="863" applyBorder="1"/>
    <xf numFmtId="17" fontId="37" fillId="38" borderId="192" xfId="905" applyNumberFormat="1" applyFont="1" applyFill="1" applyBorder="1" applyAlignment="1">
      <alignment horizontal="center" vertical="center" wrapText="1"/>
    </xf>
    <xf numFmtId="17" fontId="37" fillId="38" borderId="187" xfId="905" applyNumberFormat="1" applyFont="1" applyFill="1" applyBorder="1" applyAlignment="1">
      <alignment horizontal="center" vertical="center" wrapText="1"/>
    </xf>
    <xf numFmtId="0" fontId="29" fillId="0" borderId="187" xfId="907" applyBorder="1"/>
    <xf numFmtId="167" fontId="29" fillId="0" borderId="187" xfId="863" applyFont="1" applyFill="1" applyBorder="1" applyAlignment="1"/>
    <xf numFmtId="0" fontId="32" fillId="0" borderId="187" xfId="907" applyFont="1" applyBorder="1" applyAlignment="1">
      <alignment horizontal="center" vertical="center"/>
    </xf>
    <xf numFmtId="0" fontId="207" fillId="97" borderId="186" xfId="831" applyFont="1" applyFill="1" applyBorder="1" applyAlignment="1">
      <alignment horizontal="center"/>
    </xf>
    <xf numFmtId="4" fontId="207" fillId="97" borderId="186" xfId="831" applyNumberFormat="1" applyFont="1" applyFill="1" applyBorder="1" applyAlignment="1">
      <alignment horizontal="right"/>
    </xf>
    <xf numFmtId="169" fontId="207" fillId="97" borderId="186" xfId="863" applyNumberFormat="1" applyFont="1" applyFill="1" applyBorder="1" applyAlignment="1">
      <alignment horizontal="right"/>
    </xf>
    <xf numFmtId="0" fontId="204" fillId="33" borderId="186" xfId="831" applyFont="1" applyFill="1" applyBorder="1" applyAlignment="1">
      <alignment vertical="center"/>
    </xf>
    <xf numFmtId="169" fontId="207" fillId="97" borderId="186" xfId="863" applyNumberFormat="1" applyFont="1" applyFill="1" applyBorder="1" applyAlignment="1">
      <alignment horizontal="center"/>
    </xf>
    <xf numFmtId="4" fontId="207" fillId="0" borderId="186" xfId="831" applyNumberFormat="1" applyFont="1" applyBorder="1" applyAlignment="1">
      <alignment vertical="center"/>
    </xf>
    <xf numFmtId="14" fontId="207" fillId="42" borderId="186" xfId="863" applyNumberFormat="1" applyFont="1" applyFill="1" applyBorder="1" applyAlignment="1">
      <alignment horizontal="center" vertical="top" wrapText="1"/>
    </xf>
    <xf numFmtId="215" fontId="207" fillId="97" borderId="186" xfId="863" applyNumberFormat="1" applyFont="1" applyFill="1" applyBorder="1" applyAlignment="1">
      <alignment horizontal="center"/>
    </xf>
    <xf numFmtId="0" fontId="238" fillId="33" borderId="176" xfId="829" applyFont="1" applyFill="1" applyBorder="1"/>
    <xf numFmtId="0" fontId="0" fillId="0" borderId="176" xfId="0" applyBorder="1"/>
    <xf numFmtId="0" fontId="211" fillId="43" borderId="186" xfId="0" applyFont="1" applyFill="1" applyBorder="1"/>
    <xf numFmtId="166" fontId="207" fillId="0" borderId="186" xfId="815" applyFont="1" applyBorder="1"/>
    <xf numFmtId="10" fontId="204" fillId="44" borderId="186" xfId="847" applyNumberFormat="1" applyFont="1" applyFill="1" applyBorder="1" applyAlignment="1">
      <alignment horizontal="right"/>
    </xf>
    <xf numFmtId="10" fontId="204" fillId="45" borderId="186" xfId="847" applyNumberFormat="1" applyFont="1" applyFill="1" applyBorder="1" applyAlignment="1">
      <alignment horizontal="right"/>
    </xf>
    <xf numFmtId="0" fontId="235" fillId="43" borderId="186" xfId="0" applyFont="1" applyFill="1" applyBorder="1" applyAlignment="1">
      <alignment horizontal="center" vertical="center" wrapText="1"/>
    </xf>
    <xf numFmtId="167" fontId="204" fillId="54" borderId="176" xfId="903" applyFont="1" applyFill="1" applyBorder="1" applyAlignment="1">
      <alignment horizontal="left" vertical="top" wrapText="1"/>
    </xf>
    <xf numFmtId="275" fontId="204" fillId="111" borderId="176" xfId="863" applyNumberFormat="1" applyFont="1" applyFill="1" applyBorder="1" applyAlignment="1">
      <alignment horizontal="right"/>
    </xf>
    <xf numFmtId="0" fontId="207" fillId="0" borderId="186" xfId="0" applyFont="1" applyBorder="1"/>
    <xf numFmtId="166" fontId="207" fillId="0" borderId="186" xfId="0" applyNumberFormat="1" applyFont="1" applyBorder="1"/>
    <xf numFmtId="167" fontId="42" fillId="41" borderId="176" xfId="903" applyFont="1" applyFill="1" applyBorder="1" applyAlignment="1">
      <alignment horizontal="left" vertical="top" wrapText="1"/>
    </xf>
    <xf numFmtId="167" fontId="42" fillId="41" borderId="176" xfId="863" applyFont="1" applyFill="1" applyBorder="1" applyAlignment="1">
      <alignment horizontal="right"/>
    </xf>
    <xf numFmtId="167" fontId="204" fillId="41" borderId="176" xfId="903" applyFont="1" applyFill="1" applyBorder="1" applyAlignment="1">
      <alignment horizontal="left" vertical="top" wrapText="1"/>
    </xf>
    <xf numFmtId="166" fontId="204" fillId="41" borderId="176" xfId="815" applyFont="1" applyFill="1" applyBorder="1" applyAlignment="1">
      <alignment horizontal="right"/>
    </xf>
    <xf numFmtId="167" fontId="109" fillId="41" borderId="176" xfId="903" applyFont="1" applyFill="1" applyBorder="1" applyAlignment="1">
      <alignment horizontal="left" vertical="top" wrapText="1"/>
    </xf>
    <xf numFmtId="166" fontId="109" fillId="41" borderId="176" xfId="815" applyFont="1" applyFill="1" applyBorder="1" applyAlignment="1">
      <alignment horizontal="right"/>
    </xf>
    <xf numFmtId="0" fontId="204" fillId="0" borderId="176" xfId="0" applyFont="1" applyBorder="1" applyAlignment="1">
      <alignment horizontal="left"/>
    </xf>
    <xf numFmtId="166" fontId="204" fillId="111" borderId="176" xfId="815" applyFont="1" applyFill="1" applyBorder="1"/>
    <xf numFmtId="166" fontId="204" fillId="0" borderId="176" xfId="815" applyFont="1" applyFill="1" applyBorder="1"/>
    <xf numFmtId="0" fontId="204" fillId="0" borderId="186" xfId="0" applyFont="1" applyBorder="1"/>
    <xf numFmtId="4" fontId="204" fillId="0" borderId="186" xfId="0" applyNumberFormat="1" applyFont="1" applyBorder="1"/>
    <xf numFmtId="43" fontId="204" fillId="0" borderId="176" xfId="0" applyNumberFormat="1" applyFont="1" applyBorder="1"/>
    <xf numFmtId="166" fontId="204" fillId="0" borderId="176" xfId="0" applyNumberFormat="1" applyFont="1" applyBorder="1"/>
    <xf numFmtId="164" fontId="204" fillId="0" borderId="176" xfId="0" applyNumberFormat="1" applyFont="1" applyBorder="1"/>
    <xf numFmtId="10" fontId="232" fillId="0" borderId="176" xfId="0" applyNumberFormat="1" applyFont="1" applyBorder="1" applyAlignment="1">
      <alignment horizontal="left"/>
    </xf>
    <xf numFmtId="0" fontId="204" fillId="33" borderId="176" xfId="829" applyFont="1" applyFill="1" applyBorder="1" applyAlignment="1">
      <alignment horizontal="center"/>
    </xf>
    <xf numFmtId="0" fontId="285" fillId="43" borderId="176" xfId="832" applyFont="1" applyFill="1" applyBorder="1" applyAlignment="1">
      <alignment horizontal="center"/>
    </xf>
    <xf numFmtId="166" fontId="281" fillId="0" borderId="176" xfId="815" applyFont="1" applyFill="1" applyBorder="1"/>
    <xf numFmtId="4" fontId="109" fillId="0" borderId="186" xfId="43199" applyNumberFormat="1" applyFont="1" applyFill="1" applyBorder="1" applyAlignment="1">
      <alignment vertical="center"/>
    </xf>
    <xf numFmtId="0" fontId="286" fillId="43" borderId="189" xfId="0" applyFont="1" applyFill="1" applyBorder="1"/>
    <xf numFmtId="10" fontId="281" fillId="0" borderId="190" xfId="847" applyNumberFormat="1" applyFont="1" applyFill="1" applyBorder="1" applyAlignment="1">
      <alignment horizontal="center"/>
    </xf>
    <xf numFmtId="0" fontId="286" fillId="43" borderId="186" xfId="0" applyFont="1" applyFill="1" applyBorder="1"/>
    <xf numFmtId="40" fontId="288" fillId="43" borderId="186" xfId="0" applyNumberFormat="1" applyFont="1" applyFill="1" applyBorder="1"/>
    <xf numFmtId="10" fontId="288" fillId="43" borderId="186" xfId="0" applyNumberFormat="1" applyFont="1" applyFill="1" applyBorder="1" applyAlignment="1">
      <alignment horizontal="center"/>
    </xf>
    <xf numFmtId="0" fontId="204" fillId="0" borderId="187" xfId="0" applyFont="1" applyBorder="1"/>
    <xf numFmtId="10" fontId="282" fillId="0" borderId="0" xfId="2578" applyNumberFormat="1" applyFont="1" applyFill="1" applyBorder="1" applyAlignment="1">
      <alignment horizontal="center" vertical="center"/>
    </xf>
    <xf numFmtId="169" fontId="282" fillId="0" borderId="0" xfId="863" applyNumberFormat="1" applyFont="1" applyBorder="1" applyAlignment="1">
      <alignment vertical="center"/>
    </xf>
    <xf numFmtId="0" fontId="250" fillId="58" borderId="189" xfId="834" applyFont="1" applyFill="1" applyBorder="1" applyAlignment="1" applyProtection="1">
      <alignment horizontal="left" vertical="center"/>
    </xf>
    <xf numFmtId="0" fontId="249" fillId="0" borderId="193" xfId="43437" quotePrefix="1" applyFont="1" applyBorder="1" applyAlignment="1">
      <alignment horizontal="left" vertical="center"/>
    </xf>
    <xf numFmtId="169" fontId="311" fillId="42" borderId="193" xfId="863" applyNumberFormat="1" applyFont="1" applyFill="1" applyBorder="1" applyAlignment="1">
      <alignment vertical="center"/>
    </xf>
    <xf numFmtId="169" fontId="249" fillId="42" borderId="193" xfId="863" applyNumberFormat="1" applyFont="1" applyFill="1" applyBorder="1" applyAlignment="1">
      <alignment vertical="center"/>
    </xf>
    <xf numFmtId="0" fontId="259" fillId="101" borderId="186" xfId="43438" applyFont="1" applyFill="1" applyBorder="1" applyAlignment="1">
      <alignment horizontal="center" vertical="center" wrapText="1"/>
    </xf>
    <xf numFmtId="0" fontId="249" fillId="0" borderId="196" xfId="43437" quotePrefix="1" applyFont="1" applyBorder="1" applyAlignment="1">
      <alignment horizontal="left" vertical="center"/>
    </xf>
    <xf numFmtId="169" fontId="249" fillId="41" borderId="197" xfId="863" applyNumberFormat="1" applyFont="1" applyFill="1" applyBorder="1" applyAlignment="1">
      <alignment vertical="center" wrapText="1"/>
    </xf>
    <xf numFmtId="169" fontId="250" fillId="60" borderId="186" xfId="863" applyNumberFormat="1" applyFont="1" applyFill="1" applyBorder="1" applyAlignment="1">
      <alignment vertical="center" wrapText="1"/>
    </xf>
    <xf numFmtId="0" fontId="259" fillId="38" borderId="186" xfId="43438" applyFont="1" applyFill="1" applyBorder="1" applyAlignment="1">
      <alignment horizontal="center" vertical="center" wrapText="1"/>
    </xf>
    <xf numFmtId="0" fontId="313" fillId="55" borderId="189" xfId="0" applyFont="1" applyFill="1" applyBorder="1" applyAlignment="1">
      <alignment vertical="center"/>
    </xf>
    <xf numFmtId="0" fontId="313" fillId="55" borderId="198" xfId="0" applyFont="1" applyFill="1" applyBorder="1" applyAlignment="1">
      <alignment vertical="center"/>
    </xf>
    <xf numFmtId="169" fontId="249" fillId="0" borderId="193" xfId="863" applyNumberFormat="1" applyFont="1" applyBorder="1" applyAlignment="1">
      <alignment vertical="center"/>
    </xf>
    <xf numFmtId="169" fontId="249" fillId="0" borderId="189" xfId="863" applyNumberFormat="1" applyFont="1" applyBorder="1" applyAlignment="1">
      <alignment vertical="center"/>
    </xf>
    <xf numFmtId="271" fontId="249" fillId="0" borderId="193" xfId="863" applyNumberFormat="1" applyFont="1" applyBorder="1" applyAlignment="1">
      <alignment vertical="center"/>
    </xf>
    <xf numFmtId="169" fontId="249" fillId="0" borderId="190" xfId="863" applyNumberFormat="1" applyFont="1" applyBorder="1" applyAlignment="1">
      <alignment vertical="center"/>
    </xf>
    <xf numFmtId="0" fontId="249" fillId="0" borderId="188" xfId="0" applyFont="1" applyBorder="1" applyAlignment="1">
      <alignment horizontal="left" vertical="center"/>
    </xf>
    <xf numFmtId="278" fontId="249" fillId="0" borderId="186" xfId="0" applyNumberFormat="1" applyFont="1" applyBorder="1" applyAlignment="1">
      <alignment vertical="center"/>
    </xf>
    <xf numFmtId="169" fontId="249" fillId="0" borderId="187" xfId="863" applyNumberFormat="1" applyFont="1" applyBorder="1" applyAlignment="1">
      <alignment vertical="center"/>
    </xf>
    <xf numFmtId="0" fontId="250" fillId="0" borderId="188" xfId="0" applyFont="1" applyBorder="1" applyAlignment="1">
      <alignment vertical="center"/>
    </xf>
    <xf numFmtId="0" fontId="250" fillId="0" borderId="186" xfId="0" applyFont="1" applyBorder="1" applyAlignment="1">
      <alignment vertical="center"/>
    </xf>
    <xf numFmtId="169" fontId="250" fillId="0" borderId="187" xfId="863" applyNumberFormat="1" applyFont="1" applyFill="1" applyBorder="1" applyAlignment="1">
      <alignment vertical="center"/>
    </xf>
    <xf numFmtId="169" fontId="250" fillId="0" borderId="192" xfId="863" applyNumberFormat="1" applyFont="1" applyFill="1" applyBorder="1" applyAlignment="1">
      <alignment vertical="center"/>
    </xf>
    <xf numFmtId="0" fontId="271" fillId="101" borderId="187" xfId="2697" applyFont="1" applyFill="1" applyBorder="1"/>
    <xf numFmtId="14" fontId="29" fillId="0" borderId="187" xfId="2697" applyNumberFormat="1" applyBorder="1"/>
    <xf numFmtId="0" fontId="29" fillId="0" borderId="187" xfId="2697" applyBorder="1"/>
    <xf numFmtId="43" fontId="29" fillId="0" borderId="187" xfId="2697" applyNumberFormat="1" applyBorder="1"/>
    <xf numFmtId="167" fontId="0" fillId="0" borderId="187" xfId="863" applyFont="1" applyBorder="1"/>
    <xf numFmtId="0" fontId="271" fillId="97" borderId="187" xfId="2697" applyFont="1" applyFill="1" applyBorder="1"/>
    <xf numFmtId="167" fontId="271" fillId="97" borderId="187" xfId="863" applyFont="1" applyFill="1" applyBorder="1"/>
    <xf numFmtId="0" fontId="116" fillId="55" borderId="186" xfId="2697" applyFont="1" applyFill="1" applyBorder="1" applyAlignment="1">
      <alignment horizontal="left" vertical="center" wrapText="1"/>
    </xf>
    <xf numFmtId="0" fontId="116" fillId="55" borderId="199" xfId="2697" applyFont="1" applyFill="1" applyBorder="1" applyAlignment="1">
      <alignment horizontal="center" vertical="center" wrapText="1"/>
    </xf>
    <xf numFmtId="0" fontId="42" fillId="0" borderId="190" xfId="2697" applyFont="1" applyBorder="1" applyAlignment="1">
      <alignment vertical="center"/>
    </xf>
    <xf numFmtId="268" fontId="42" fillId="0" borderId="189" xfId="2697" applyNumberFormat="1" applyFont="1" applyBorder="1" applyAlignment="1">
      <alignment vertical="center"/>
    </xf>
    <xf numFmtId="167" fontId="42" fillId="0" borderId="193" xfId="863" applyFont="1" applyBorder="1" applyAlignment="1">
      <alignment vertical="center"/>
    </xf>
    <xf numFmtId="268" fontId="42" fillId="0" borderId="193" xfId="2697" applyNumberFormat="1" applyFont="1" applyBorder="1" applyAlignment="1">
      <alignment vertical="center"/>
    </xf>
    <xf numFmtId="0" fontId="109" fillId="59" borderId="176" xfId="2697" applyFont="1" applyFill="1" applyBorder="1" applyAlignment="1">
      <alignment vertical="center"/>
    </xf>
    <xf numFmtId="269" fontId="109" fillId="59" borderId="187" xfId="43183" applyNumberFormat="1" applyFont="1" applyFill="1" applyBorder="1" applyAlignment="1">
      <alignment vertical="center"/>
    </xf>
    <xf numFmtId="269" fontId="109" fillId="59" borderId="188" xfId="43183" applyNumberFormat="1" applyFont="1" applyFill="1" applyBorder="1" applyAlignment="1">
      <alignment vertical="center"/>
    </xf>
    <xf numFmtId="0" fontId="42" fillId="60" borderId="192" xfId="905" applyFont="1" applyFill="1" applyBorder="1" applyAlignment="1">
      <alignment horizontal="left" vertical="center"/>
    </xf>
    <xf numFmtId="0" fontId="42" fillId="98" borderId="187" xfId="2697" applyFont="1" applyFill="1" applyBorder="1" applyAlignment="1">
      <alignment vertical="center"/>
    </xf>
    <xf numFmtId="270" fontId="42" fillId="60" borderId="186" xfId="2697" applyNumberFormat="1" applyFont="1" applyFill="1" applyBorder="1" applyAlignment="1">
      <alignment vertical="center"/>
    </xf>
    <xf numFmtId="0" fontId="109" fillId="60" borderId="192" xfId="905" applyFont="1" applyFill="1" applyBorder="1" applyAlignment="1">
      <alignment horizontal="left" vertical="center"/>
    </xf>
    <xf numFmtId="0" fontId="42" fillId="98" borderId="187" xfId="2697" applyFont="1" applyFill="1" applyBorder="1"/>
    <xf numFmtId="269" fontId="109" fillId="98" borderId="186" xfId="2697" applyNumberFormat="1" applyFont="1" applyFill="1" applyBorder="1" applyAlignment="1">
      <alignment vertical="center"/>
    </xf>
    <xf numFmtId="269" fontId="109" fillId="60" borderId="186" xfId="2697" applyNumberFormat="1" applyFont="1" applyFill="1" applyBorder="1" applyAlignment="1">
      <alignment vertical="center"/>
    </xf>
    <xf numFmtId="270" fontId="42" fillId="98" borderId="186" xfId="2697" applyNumberFormat="1" applyFont="1" applyFill="1" applyBorder="1" applyAlignment="1">
      <alignment vertical="center"/>
    </xf>
    <xf numFmtId="170" fontId="116" fillId="43" borderId="189" xfId="2697" applyNumberFormat="1" applyFont="1" applyFill="1" applyBorder="1" applyAlignment="1">
      <alignment horizontal="center" vertical="center" wrapText="1"/>
    </xf>
    <xf numFmtId="0" fontId="29" fillId="0" borderId="187" xfId="0" applyFont="1" applyBorder="1"/>
    <xf numFmtId="0" fontId="0" fillId="0" borderId="187" xfId="0" applyBorder="1"/>
    <xf numFmtId="170" fontId="116" fillId="55" borderId="189" xfId="2697" applyNumberFormat="1" applyFont="1" applyFill="1" applyBorder="1" applyAlignment="1">
      <alignment horizontal="center" vertical="center" wrapText="1"/>
    </xf>
    <xf numFmtId="170" fontId="116" fillId="55" borderId="190" xfId="2697" applyNumberFormat="1" applyFont="1" applyFill="1" applyBorder="1" applyAlignment="1">
      <alignment horizontal="center" vertical="center" wrapText="1"/>
    </xf>
    <xf numFmtId="0" fontId="220" fillId="0" borderId="176" xfId="0" applyFont="1" applyBorder="1" applyAlignment="1">
      <alignment horizontal="right"/>
    </xf>
    <xf numFmtId="0" fontId="204" fillId="0" borderId="200" xfId="832" applyFont="1" applyBorder="1"/>
    <xf numFmtId="0" fontId="204" fillId="33" borderId="200" xfId="0" applyFont="1" applyFill="1" applyBorder="1"/>
    <xf numFmtId="0" fontId="207" fillId="33" borderId="188" xfId="831" applyFont="1" applyFill="1" applyBorder="1" applyAlignment="1">
      <alignment vertical="center"/>
    </xf>
    <xf numFmtId="0" fontId="207" fillId="33" borderId="192" xfId="831" applyFont="1" applyFill="1" applyBorder="1" applyAlignment="1">
      <alignment vertical="center"/>
    </xf>
    <xf numFmtId="0" fontId="207" fillId="0" borderId="187" xfId="832" applyFont="1" applyBorder="1" applyAlignment="1">
      <alignment horizontal="center"/>
    </xf>
    <xf numFmtId="0" fontId="207" fillId="44" borderId="187" xfId="832" applyFont="1" applyFill="1" applyBorder="1" applyAlignment="1">
      <alignment horizontal="center"/>
    </xf>
    <xf numFmtId="0" fontId="207" fillId="44" borderId="187" xfId="0" applyFont="1" applyFill="1" applyBorder="1"/>
    <xf numFmtId="0" fontId="204" fillId="0" borderId="187" xfId="832" applyFont="1" applyBorder="1" applyAlignment="1">
      <alignment horizontal="center"/>
    </xf>
    <xf numFmtId="0" fontId="204" fillId="33" borderId="189" xfId="789" applyFont="1" applyFill="1" applyBorder="1"/>
    <xf numFmtId="17" fontId="204" fillId="0" borderId="190" xfId="0" applyNumberFormat="1" applyFont="1" applyBorder="1"/>
    <xf numFmtId="194" fontId="204" fillId="0" borderId="187" xfId="832" applyNumberFormat="1" applyFont="1" applyBorder="1"/>
    <xf numFmtId="17" fontId="204" fillId="0" borderId="154" xfId="0" applyNumberFormat="1" applyFont="1" applyBorder="1"/>
    <xf numFmtId="171" fontId="214" fillId="0" borderId="187" xfId="863" applyNumberFormat="1" applyFont="1" applyFill="1" applyBorder="1" applyAlignment="1">
      <alignment vertical="top"/>
    </xf>
    <xf numFmtId="164" fontId="226" fillId="44" borderId="187" xfId="863" applyNumberFormat="1" applyFont="1" applyFill="1" applyBorder="1" applyAlignment="1">
      <alignment vertical="top"/>
    </xf>
    <xf numFmtId="164" fontId="214" fillId="0" borderId="187" xfId="863" applyNumberFormat="1" applyFont="1" applyFill="1" applyBorder="1" applyAlignment="1">
      <alignment vertical="top"/>
    </xf>
    <xf numFmtId="0" fontId="206" fillId="0" borderId="186" xfId="832" applyFont="1" applyBorder="1"/>
    <xf numFmtId="0" fontId="204" fillId="0" borderId="186" xfId="832" applyFont="1" applyBorder="1"/>
    <xf numFmtId="0" fontId="204" fillId="0" borderId="188" xfId="0" applyFont="1" applyBorder="1" applyAlignment="1">
      <alignment horizontal="right"/>
    </xf>
    <xf numFmtId="0" fontId="204" fillId="0" borderId="192" xfId="832" applyFont="1" applyBorder="1" applyAlignment="1">
      <alignment horizontal="left"/>
    </xf>
    <xf numFmtId="0" fontId="204" fillId="41" borderId="188" xfId="0" applyFont="1" applyFill="1" applyBorder="1" applyAlignment="1">
      <alignment horizontal="right"/>
    </xf>
    <xf numFmtId="0" fontId="204" fillId="41" borderId="192" xfId="832" applyFont="1" applyFill="1" applyBorder="1" applyAlignment="1">
      <alignment horizontal="left"/>
    </xf>
    <xf numFmtId="170" fontId="204" fillId="0" borderId="191" xfId="0" applyNumberFormat="1" applyFont="1" applyBorder="1"/>
    <xf numFmtId="170" fontId="204" fillId="0" borderId="176" xfId="0" applyNumberFormat="1" applyFont="1" applyBorder="1"/>
    <xf numFmtId="166" fontId="207" fillId="0" borderId="188" xfId="815" applyFont="1" applyFill="1" applyBorder="1"/>
    <xf numFmtId="166" fontId="207" fillId="0" borderId="192" xfId="815" applyFont="1" applyFill="1" applyBorder="1"/>
    <xf numFmtId="166" fontId="207" fillId="0" borderId="186" xfId="815" applyFont="1" applyFill="1" applyBorder="1"/>
    <xf numFmtId="166" fontId="204" fillId="0" borderId="188" xfId="815" applyFont="1" applyFill="1" applyBorder="1"/>
    <xf numFmtId="166" fontId="204" fillId="0" borderId="192" xfId="815" applyFont="1" applyFill="1" applyBorder="1"/>
    <xf numFmtId="166" fontId="207" fillId="0" borderId="188" xfId="815" applyFont="1" applyBorder="1"/>
    <xf numFmtId="166" fontId="207" fillId="0" borderId="192" xfId="815" applyFont="1" applyBorder="1"/>
    <xf numFmtId="0" fontId="204" fillId="41" borderId="192" xfId="832" applyFont="1" applyFill="1" applyBorder="1" applyAlignment="1">
      <alignment horizontal="center"/>
    </xf>
    <xf numFmtId="166" fontId="207" fillId="0" borderId="187" xfId="815" applyFont="1" applyBorder="1"/>
    <xf numFmtId="0" fontId="38" fillId="39" borderId="187" xfId="831" applyFont="1" applyFill="1" applyBorder="1" applyAlignment="1">
      <alignment horizontal="center" vertical="center"/>
    </xf>
    <xf numFmtId="14" fontId="32" fillId="0" borderId="0" xfId="831" applyNumberFormat="1" applyFont="1"/>
    <xf numFmtId="17" fontId="42" fillId="0" borderId="187" xfId="831" applyNumberFormat="1" applyFont="1" applyBorder="1" applyAlignment="1">
      <alignment horizontal="center"/>
    </xf>
    <xf numFmtId="171" fontId="42" fillId="0" borderId="187" xfId="863" applyNumberFormat="1" applyFont="1" applyBorder="1" applyAlignment="1">
      <alignment horizontal="center"/>
    </xf>
    <xf numFmtId="195" fontId="42" fillId="0" borderId="187" xfId="863" applyNumberFormat="1" applyFont="1" applyBorder="1" applyAlignment="1">
      <alignment horizontal="center"/>
    </xf>
    <xf numFmtId="0" fontId="1" fillId="0" borderId="0" xfId="43418" applyFont="1"/>
    <xf numFmtId="0" fontId="1" fillId="0" borderId="0" xfId="43418" quotePrefix="1" applyFont="1"/>
    <xf numFmtId="0" fontId="1" fillId="0" borderId="0" xfId="43418" applyFont="1" applyAlignment="1">
      <alignment horizontal="center" vertical="center"/>
    </xf>
    <xf numFmtId="40" fontId="119" fillId="0" borderId="187" xfId="43410" applyNumberFormat="1" applyFont="1" applyBorder="1" applyAlignment="1">
      <alignment vertical="center"/>
    </xf>
    <xf numFmtId="40" fontId="119" fillId="42" borderId="187" xfId="43410" applyNumberFormat="1" applyFont="1" applyFill="1" applyBorder="1" applyAlignment="1">
      <alignment vertical="center"/>
    </xf>
    <xf numFmtId="0" fontId="49" fillId="109" borderId="201" xfId="43411" applyFont="1" applyFill="1" applyBorder="1" applyAlignment="1">
      <alignment horizontal="center"/>
    </xf>
    <xf numFmtId="0" fontId="49" fillId="0" borderId="202" xfId="43411" applyFont="1" applyBorder="1" applyAlignment="1">
      <alignment horizontal="right" wrapText="1"/>
    </xf>
    <xf numFmtId="0" fontId="49" fillId="0" borderId="202" xfId="43411" applyFont="1" applyBorder="1" applyAlignment="1">
      <alignment wrapText="1"/>
    </xf>
    <xf numFmtId="14" fontId="49" fillId="0" borderId="202" xfId="43411" applyNumberFormat="1" applyFont="1" applyBorder="1" applyAlignment="1">
      <alignment horizontal="right" wrapText="1"/>
    </xf>
    <xf numFmtId="266" fontId="49" fillId="0" borderId="202" xfId="43411" applyNumberFormat="1" applyFont="1" applyBorder="1" applyAlignment="1">
      <alignment horizontal="right" wrapText="1"/>
    </xf>
    <xf numFmtId="0" fontId="250" fillId="0" borderId="187" xfId="7308" applyFont="1" applyBorder="1"/>
    <xf numFmtId="213" fontId="249" fillId="0" borderId="187" xfId="7308" applyNumberFormat="1" applyFont="1" applyBorder="1"/>
    <xf numFmtId="0" fontId="260" fillId="0" borderId="187" xfId="7308" applyFont="1" applyBorder="1" applyAlignment="1">
      <alignment vertical="center"/>
    </xf>
    <xf numFmtId="0" fontId="249" fillId="42" borderId="187" xfId="7308" applyFont="1" applyFill="1" applyBorder="1" applyAlignment="1">
      <alignment horizontal="center"/>
    </xf>
    <xf numFmtId="0" fontId="249" fillId="0" borderId="187" xfId="7308" applyFont="1" applyBorder="1"/>
    <xf numFmtId="173" fontId="249" fillId="0" borderId="187" xfId="7308" applyNumberFormat="1" applyFont="1" applyBorder="1"/>
    <xf numFmtId="265" fontId="249" fillId="0" borderId="187" xfId="7308" applyNumberFormat="1" applyFont="1" applyBorder="1"/>
    <xf numFmtId="10" fontId="254" fillId="0" borderId="187" xfId="7308" applyNumberFormat="1" applyFont="1" applyBorder="1" applyAlignment="1">
      <alignment horizontal="right" vertical="center"/>
    </xf>
    <xf numFmtId="213" fontId="249" fillId="0" borderId="187" xfId="43165" applyNumberFormat="1" applyFont="1" applyBorder="1"/>
    <xf numFmtId="166" fontId="257" fillId="41" borderId="187" xfId="902" applyFont="1" applyFill="1" applyBorder="1" applyAlignment="1">
      <alignment horizontal="center"/>
    </xf>
    <xf numFmtId="0" fontId="249" fillId="0" borderId="187" xfId="7308" applyFont="1" applyBorder="1" applyAlignment="1">
      <alignment horizontal="right"/>
    </xf>
    <xf numFmtId="0" fontId="249" fillId="0" borderId="187" xfId="7308" applyFont="1" applyBorder="1" applyAlignment="1">
      <alignment horizontal="center"/>
    </xf>
    <xf numFmtId="10" fontId="256" fillId="0" borderId="187" xfId="7308" applyNumberFormat="1" applyFont="1" applyBorder="1" applyAlignment="1">
      <alignment horizontal="center"/>
    </xf>
    <xf numFmtId="166" fontId="260" fillId="0" borderId="187" xfId="7308" applyNumberFormat="1" applyFont="1" applyBorder="1" applyAlignment="1">
      <alignment vertical="center"/>
    </xf>
    <xf numFmtId="0" fontId="260" fillId="0" borderId="193" xfId="7308" applyFont="1" applyBorder="1" applyAlignment="1">
      <alignment vertical="center"/>
    </xf>
    <xf numFmtId="43" fontId="260" fillId="0" borderId="187" xfId="7308" applyNumberFormat="1" applyFont="1" applyBorder="1" applyAlignment="1">
      <alignment vertical="center"/>
    </xf>
    <xf numFmtId="43" fontId="260" fillId="0" borderId="188" xfId="7308" applyNumberFormat="1" applyFont="1" applyBorder="1" applyAlignment="1">
      <alignment vertical="center"/>
    </xf>
    <xf numFmtId="10" fontId="261" fillId="0" borderId="187" xfId="1095" applyNumberFormat="1" applyFont="1" applyFill="1" applyBorder="1" applyAlignment="1">
      <alignment vertical="center"/>
    </xf>
    <xf numFmtId="10" fontId="261" fillId="0" borderId="187" xfId="1095" applyNumberFormat="1" applyFont="1" applyBorder="1" applyAlignment="1">
      <alignment vertical="center"/>
    </xf>
    <xf numFmtId="10" fontId="260" fillId="0" borderId="187" xfId="7308" applyNumberFormat="1" applyFont="1" applyBorder="1" applyAlignment="1">
      <alignment vertical="center"/>
    </xf>
    <xf numFmtId="0" fontId="250" fillId="107" borderId="188" xfId="7308" applyFont="1" applyFill="1" applyBorder="1"/>
    <xf numFmtId="166" fontId="250" fillId="41" borderId="187" xfId="902" applyFont="1" applyFill="1" applyBorder="1"/>
    <xf numFmtId="0" fontId="253" fillId="0" borderId="187" xfId="7308" applyFont="1" applyBorder="1" applyAlignment="1">
      <alignment horizontal="center" vertical="center"/>
    </xf>
    <xf numFmtId="0" fontId="250" fillId="0" borderId="187" xfId="7308" applyFont="1" applyBorder="1" applyAlignment="1">
      <alignment horizontal="center"/>
    </xf>
    <xf numFmtId="0" fontId="253" fillId="0" borderId="187" xfId="7308" applyFont="1" applyBorder="1" applyAlignment="1">
      <alignment vertical="center"/>
    </xf>
    <xf numFmtId="2" fontId="254" fillId="0" borderId="187" xfId="7308" applyNumberFormat="1" applyFont="1" applyBorder="1" applyAlignment="1">
      <alignment horizontal="center" vertical="center"/>
    </xf>
    <xf numFmtId="0" fontId="255" fillId="42" borderId="187" xfId="7308" applyFont="1" applyFill="1" applyBorder="1" applyAlignment="1">
      <alignment horizontal="center" vertical="center"/>
    </xf>
    <xf numFmtId="10" fontId="254" fillId="42" borderId="187" xfId="7308" applyNumberFormat="1" applyFont="1" applyFill="1" applyBorder="1" applyAlignment="1">
      <alignment horizontal="center" vertical="center"/>
    </xf>
    <xf numFmtId="0" fontId="256" fillId="61" borderId="187" xfId="7308" applyFont="1" applyFill="1" applyBorder="1"/>
    <xf numFmtId="2" fontId="249" fillId="42" borderId="187" xfId="7308" applyNumberFormat="1" applyFont="1" applyFill="1" applyBorder="1" applyAlignment="1">
      <alignment horizontal="center"/>
    </xf>
    <xf numFmtId="2" fontId="254" fillId="42" borderId="187" xfId="7308" applyNumberFormat="1" applyFont="1" applyFill="1" applyBorder="1" applyAlignment="1">
      <alignment horizontal="center" vertical="center"/>
    </xf>
    <xf numFmtId="166" fontId="257" fillId="42" borderId="187" xfId="902" applyFont="1" applyFill="1" applyBorder="1"/>
    <xf numFmtId="0" fontId="249" fillId="46" borderId="187" xfId="7308" applyFont="1" applyFill="1" applyBorder="1"/>
    <xf numFmtId="264" fontId="249" fillId="0" borderId="187" xfId="7308" applyNumberFormat="1" applyFont="1" applyBorder="1"/>
    <xf numFmtId="2" fontId="249" fillId="0" borderId="187" xfId="7308" applyNumberFormat="1" applyFont="1" applyBorder="1"/>
    <xf numFmtId="10" fontId="249" fillId="0" borderId="187" xfId="7308" applyNumberFormat="1" applyFont="1" applyBorder="1"/>
    <xf numFmtId="172" fontId="249" fillId="0" borderId="187" xfId="7308" applyNumberFormat="1" applyFont="1" applyBorder="1"/>
    <xf numFmtId="166" fontId="250" fillId="102" borderId="187" xfId="902" applyFont="1" applyFill="1" applyBorder="1"/>
    <xf numFmtId="0" fontId="250" fillId="59" borderId="186" xfId="2697" applyFont="1" applyFill="1" applyBorder="1" applyAlignment="1">
      <alignment vertical="center"/>
    </xf>
    <xf numFmtId="4" fontId="250" fillId="59" borderId="186" xfId="2697" applyNumberFormat="1" applyFont="1" applyFill="1" applyBorder="1" applyAlignment="1">
      <alignment vertical="center"/>
    </xf>
    <xf numFmtId="9" fontId="0" fillId="0" borderId="0" xfId="847" applyFont="1" applyAlignment="1">
      <alignment horizontal="center"/>
    </xf>
    <xf numFmtId="10" fontId="0" fillId="61" borderId="0" xfId="847" applyNumberFormat="1" applyFont="1" applyFill="1" applyAlignment="1">
      <alignment horizontal="center"/>
    </xf>
    <xf numFmtId="10" fontId="0" fillId="61" borderId="0" xfId="0" applyNumberFormat="1" applyFill="1" applyAlignment="1">
      <alignment horizontal="center"/>
    </xf>
    <xf numFmtId="167" fontId="282" fillId="42" borderId="0" xfId="863" applyFont="1" applyFill="1" applyBorder="1"/>
    <xf numFmtId="0" fontId="112" fillId="42" borderId="0" xfId="0" applyFont="1" applyFill="1"/>
    <xf numFmtId="166" fontId="204" fillId="41" borderId="164" xfId="815" applyFont="1" applyFill="1" applyBorder="1"/>
    <xf numFmtId="0" fontId="211" fillId="43" borderId="164" xfId="0" applyFont="1" applyFill="1" applyBorder="1" applyAlignment="1">
      <alignment horizontal="center" vertical="center" wrapText="1"/>
    </xf>
    <xf numFmtId="0" fontId="204" fillId="0" borderId="0" xfId="847" applyNumberFormat="1" applyFont="1"/>
    <xf numFmtId="167" fontId="204" fillId="44" borderId="0" xfId="863" applyFont="1" applyFill="1"/>
    <xf numFmtId="2" fontId="204" fillId="44" borderId="0" xfId="863" applyNumberFormat="1" applyFont="1" applyFill="1"/>
    <xf numFmtId="14" fontId="204" fillId="44" borderId="0" xfId="847" applyNumberFormat="1" applyFont="1" applyFill="1"/>
    <xf numFmtId="14" fontId="204" fillId="44" borderId="0" xfId="0" applyNumberFormat="1" applyFont="1" applyFill="1"/>
    <xf numFmtId="2" fontId="204" fillId="44" borderId="0" xfId="0" applyNumberFormat="1" applyFont="1" applyFill="1"/>
    <xf numFmtId="166" fontId="204" fillId="44" borderId="0" xfId="815" applyFont="1" applyFill="1"/>
    <xf numFmtId="2" fontId="204" fillId="44" borderId="0" xfId="847" applyNumberFormat="1" applyFont="1" applyFill="1"/>
    <xf numFmtId="0" fontId="204" fillId="44" borderId="0" xfId="0" applyFont="1" applyFill="1"/>
    <xf numFmtId="10" fontId="204" fillId="108" borderId="176" xfId="0" applyNumberFormat="1" applyFont="1" applyFill="1" applyBorder="1"/>
    <xf numFmtId="0" fontId="204" fillId="108" borderId="176" xfId="847" applyNumberFormat="1" applyFont="1" applyFill="1" applyBorder="1"/>
    <xf numFmtId="167" fontId="204" fillId="108" borderId="176" xfId="863" applyFont="1" applyFill="1" applyBorder="1"/>
    <xf numFmtId="3" fontId="29" fillId="0" borderId="0" xfId="0" applyNumberFormat="1" applyFont="1" applyAlignment="1">
      <alignment horizontal="center" vertical="distributed"/>
    </xf>
    <xf numFmtId="256" fontId="29" fillId="0" borderId="0" xfId="0" applyNumberFormat="1" applyFont="1" applyAlignment="1">
      <alignment horizontal="center" vertical="distributed"/>
    </xf>
    <xf numFmtId="10" fontId="29" fillId="0" borderId="0" xfId="0" applyNumberFormat="1" applyFont="1" applyAlignment="1">
      <alignment horizontal="center" vertical="distributed"/>
    </xf>
    <xf numFmtId="9" fontId="29" fillId="0" borderId="0" xfId="0" applyNumberFormat="1" applyFont="1"/>
    <xf numFmtId="14" fontId="29" fillId="0" borderId="0" xfId="863" applyNumberFormat="1" applyFont="1" applyFill="1" applyAlignment="1">
      <alignment horizontal="center"/>
    </xf>
    <xf numFmtId="167" fontId="29" fillId="0" borderId="0" xfId="863" applyFont="1" applyFill="1" applyAlignment="1">
      <alignment horizontal="center" vertical="distributed"/>
    </xf>
    <xf numFmtId="167" fontId="29" fillId="0" borderId="0" xfId="0" applyNumberFormat="1" applyFont="1" applyAlignment="1">
      <alignment horizontal="center" vertical="distributed"/>
    </xf>
    <xf numFmtId="167" fontId="29" fillId="0" borderId="0" xfId="863" applyFont="1" applyFill="1" applyBorder="1" applyAlignment="1">
      <alignment horizontal="center" vertical="distributed"/>
    </xf>
    <xf numFmtId="9" fontId="29" fillId="0" borderId="0" xfId="847" applyFont="1" applyFill="1" applyAlignment="1">
      <alignment horizontal="center" vertical="distributed"/>
    </xf>
    <xf numFmtId="9" fontId="29" fillId="0" borderId="0" xfId="0" applyNumberFormat="1" applyFont="1" applyAlignment="1">
      <alignment horizontal="center" vertical="distributed"/>
    </xf>
    <xf numFmtId="3" fontId="0" fillId="0" borderId="0" xfId="0" applyNumberFormat="1" applyAlignment="1">
      <alignment horizontal="center" vertical="distributed"/>
    </xf>
    <xf numFmtId="9" fontId="0" fillId="0" borderId="0" xfId="0" applyNumberFormat="1"/>
    <xf numFmtId="167" fontId="0" fillId="0" borderId="0" xfId="0" applyNumberFormat="1" applyAlignment="1">
      <alignment horizontal="center" vertical="distributed"/>
    </xf>
    <xf numFmtId="14" fontId="29" fillId="0" borderId="0" xfId="863" applyNumberFormat="1" applyFont="1" applyFill="1" applyAlignment="1">
      <alignment horizontal="center" vertical="distributed"/>
    </xf>
    <xf numFmtId="10" fontId="29" fillId="0" borderId="0" xfId="847" applyNumberFormat="1" applyFont="1" applyFill="1" applyAlignment="1">
      <alignment horizontal="center" vertical="distributed"/>
    </xf>
    <xf numFmtId="4" fontId="29" fillId="0" borderId="0" xfId="0" applyNumberFormat="1" applyFont="1" applyAlignment="1">
      <alignment vertical="center"/>
    </xf>
    <xf numFmtId="49" fontId="29" fillId="0" borderId="0" xfId="0" applyNumberFormat="1" applyFont="1" applyAlignment="1">
      <alignment horizontal="center" vertical="distributed"/>
    </xf>
    <xf numFmtId="10" fontId="0" fillId="0" borderId="0" xfId="0" applyNumberFormat="1" applyAlignment="1">
      <alignment horizontal="center" vertical="distributed"/>
    </xf>
    <xf numFmtId="0" fontId="316" fillId="128" borderId="203" xfId="0" applyFont="1" applyFill="1" applyBorder="1"/>
    <xf numFmtId="0" fontId="316" fillId="128" borderId="204" xfId="0" applyFont="1" applyFill="1" applyBorder="1"/>
    <xf numFmtId="0" fontId="316" fillId="128" borderId="0" xfId="0" applyFont="1" applyFill="1"/>
    <xf numFmtId="167" fontId="211" fillId="43" borderId="186" xfId="0" applyNumberFormat="1" applyFont="1" applyFill="1" applyBorder="1" applyAlignment="1">
      <alignment horizontal="center" vertical="center" wrapText="1"/>
    </xf>
    <xf numFmtId="0" fontId="249" fillId="0" borderId="0" xfId="0" applyFont="1" applyAlignment="1">
      <alignment horizontal="left" vertical="center"/>
    </xf>
    <xf numFmtId="0" fontId="249" fillId="0" borderId="0" xfId="0" applyFont="1" applyAlignment="1">
      <alignment horizontal="right" vertical="center"/>
    </xf>
    <xf numFmtId="167" fontId="249" fillId="118" borderId="0" xfId="863" applyFont="1" applyFill="1" applyBorder="1" applyAlignment="1">
      <alignment vertical="center"/>
    </xf>
    <xf numFmtId="167" fontId="204" fillId="129" borderId="0" xfId="863" applyFont="1" applyFill="1"/>
    <xf numFmtId="0" fontId="204" fillId="129" borderId="0" xfId="0" applyFont="1" applyFill="1" applyAlignment="1">
      <alignment horizontal="left"/>
    </xf>
    <xf numFmtId="0" fontId="0" fillId="0" borderId="0" xfId="863" applyNumberFormat="1" applyFont="1" applyFill="1"/>
    <xf numFmtId="166" fontId="204" fillId="0" borderId="164" xfId="815" applyFont="1" applyFill="1" applyBorder="1"/>
    <xf numFmtId="10" fontId="282" fillId="0" borderId="0" xfId="2578" applyNumberFormat="1" applyFont="1" applyFill="1" applyBorder="1" applyAlignment="1">
      <alignment horizontal="center"/>
    </xf>
    <xf numFmtId="166" fontId="281" fillId="114" borderId="0" xfId="5583" applyNumberFormat="1" applyFont="1" applyFill="1" applyBorder="1" applyAlignment="1">
      <alignment vertical="center"/>
    </xf>
    <xf numFmtId="0" fontId="249" fillId="42" borderId="205" xfId="0" applyFont="1" applyFill="1" applyBorder="1" applyAlignment="1">
      <alignment vertical="center"/>
    </xf>
    <xf numFmtId="0" fontId="259" fillId="39" borderId="183" xfId="831" applyFont="1" applyFill="1" applyBorder="1" applyAlignment="1">
      <alignment horizontal="left" vertical="center"/>
    </xf>
    <xf numFmtId="167" fontId="259" fillId="39" borderId="183" xfId="863" applyFont="1" applyFill="1" applyBorder="1" applyAlignment="1">
      <alignment horizontal="left" vertical="center"/>
    </xf>
    <xf numFmtId="0" fontId="249" fillId="0" borderId="0" xfId="831" applyFont="1"/>
    <xf numFmtId="0" fontId="317" fillId="0" borderId="0" xfId="0" applyFont="1"/>
    <xf numFmtId="0" fontId="315" fillId="0" borderId="0" xfId="43418" applyFont="1" applyAlignment="1">
      <alignment horizontal="center" vertical="center" wrapText="1"/>
    </xf>
    <xf numFmtId="213" fontId="249" fillId="0" borderId="0" xfId="0" applyNumberFormat="1" applyFont="1" applyAlignment="1">
      <alignment horizontal="center"/>
    </xf>
    <xf numFmtId="213" fontId="250" fillId="0" borderId="0" xfId="0" applyNumberFormat="1" applyFont="1" applyAlignment="1">
      <alignment horizontal="center"/>
    </xf>
    <xf numFmtId="43" fontId="204" fillId="108" borderId="0" xfId="863" applyNumberFormat="1" applyFont="1" applyFill="1" applyBorder="1"/>
    <xf numFmtId="43" fontId="204" fillId="108" borderId="176" xfId="863" applyNumberFormat="1" applyFont="1" applyFill="1" applyBorder="1"/>
    <xf numFmtId="0" fontId="315" fillId="101" borderId="176" xfId="0" applyFont="1" applyFill="1" applyBorder="1" applyAlignment="1">
      <alignment horizontal="center"/>
    </xf>
    <xf numFmtId="213" fontId="261" fillId="0" borderId="0" xfId="863" applyNumberFormat="1" applyFont="1" applyFill="1" applyBorder="1" applyAlignment="1">
      <alignment horizontal="center"/>
    </xf>
    <xf numFmtId="0" fontId="315" fillId="0" borderId="0" xfId="0" applyFont="1" applyAlignment="1">
      <alignment horizontal="center"/>
    </xf>
    <xf numFmtId="17" fontId="314" fillId="0" borderId="0" xfId="0" applyNumberFormat="1" applyFont="1" applyAlignment="1">
      <alignment horizontal="center"/>
    </xf>
    <xf numFmtId="0" fontId="320" fillId="0" borderId="0" xfId="0" applyFont="1"/>
    <xf numFmtId="166" fontId="249" fillId="0" borderId="0" xfId="815" applyFont="1"/>
    <xf numFmtId="0" fontId="315" fillId="0" borderId="0" xfId="43418" applyFont="1" applyAlignment="1">
      <alignment horizontal="center" vertical="center"/>
    </xf>
    <xf numFmtId="17" fontId="318" fillId="0" borderId="0" xfId="43418" applyNumberFormat="1" applyFont="1" applyAlignment="1">
      <alignment horizontal="center"/>
    </xf>
    <xf numFmtId="0" fontId="318" fillId="0" borderId="0" xfId="43418" applyFont="1" applyAlignment="1">
      <alignment horizontal="center"/>
    </xf>
    <xf numFmtId="0" fontId="318" fillId="0" borderId="0" xfId="43418" applyFont="1" applyAlignment="1">
      <alignment horizontal="center" vertical="center"/>
    </xf>
    <xf numFmtId="213" fontId="318" fillId="0" borderId="0" xfId="43418" applyNumberFormat="1" applyFont="1" applyAlignment="1">
      <alignment horizontal="center"/>
    </xf>
    <xf numFmtId="17" fontId="256" fillId="0" borderId="0" xfId="43418" applyNumberFormat="1" applyFont="1" applyAlignment="1">
      <alignment horizontal="center"/>
    </xf>
    <xf numFmtId="0" fontId="256" fillId="0" borderId="0" xfId="43418" applyFont="1" applyAlignment="1">
      <alignment horizontal="center"/>
    </xf>
    <xf numFmtId="0" fontId="250" fillId="0" borderId="0" xfId="0" applyFont="1" applyAlignment="1">
      <alignment horizontal="center"/>
    </xf>
    <xf numFmtId="166" fontId="281" fillId="42" borderId="0" xfId="5583" applyNumberFormat="1" applyFont="1" applyFill="1" applyBorder="1"/>
    <xf numFmtId="0" fontId="266" fillId="103" borderId="206" xfId="0" applyFont="1" applyFill="1" applyBorder="1" applyAlignment="1">
      <alignment horizontal="center" vertical="distributed"/>
    </xf>
    <xf numFmtId="14" fontId="266" fillId="103" borderId="206" xfId="0" applyNumberFormat="1" applyFont="1" applyFill="1" applyBorder="1" applyAlignment="1">
      <alignment horizontal="center" vertical="distributed"/>
    </xf>
    <xf numFmtId="0" fontId="29" fillId="0" borderId="206" xfId="0" applyFont="1" applyBorder="1"/>
    <xf numFmtId="0" fontId="109" fillId="59" borderId="144" xfId="905" applyFont="1" applyFill="1" applyBorder="1" applyAlignment="1">
      <alignment horizontal="left"/>
    </xf>
    <xf numFmtId="0" fontId="204" fillId="41" borderId="164" xfId="2697" applyFont="1" applyFill="1" applyBorder="1"/>
    <xf numFmtId="43" fontId="109" fillId="0" borderId="164" xfId="43185" applyFont="1" applyFill="1" applyBorder="1" applyAlignment="1" applyProtection="1">
      <alignment vertical="center"/>
    </xf>
    <xf numFmtId="0" fontId="228" fillId="41" borderId="164" xfId="2697" applyFont="1" applyFill="1" applyBorder="1" applyAlignment="1">
      <alignment vertical="center" wrapText="1"/>
    </xf>
    <xf numFmtId="169" fontId="204" fillId="0" borderId="164" xfId="43183" applyNumberFormat="1" applyFont="1" applyFill="1" applyBorder="1" applyAlignment="1">
      <alignment vertical="center" wrapText="1"/>
    </xf>
    <xf numFmtId="0" fontId="207" fillId="97" borderId="164" xfId="0" applyFont="1" applyFill="1" applyBorder="1" applyAlignment="1" applyProtection="1">
      <alignment horizontal="left"/>
      <protection hidden="1"/>
    </xf>
    <xf numFmtId="0" fontId="204" fillId="97" borderId="164" xfId="0" applyFont="1" applyFill="1" applyBorder="1" applyAlignment="1" applyProtection="1">
      <alignment horizontal="left"/>
      <protection hidden="1"/>
    </xf>
    <xf numFmtId="164" fontId="204" fillId="0" borderId="164" xfId="43184" applyFont="1" applyBorder="1"/>
    <xf numFmtId="44" fontId="204" fillId="0" borderId="164" xfId="863" applyNumberFormat="1" applyFont="1" applyBorder="1"/>
    <xf numFmtId="167" fontId="204" fillId="0" borderId="164" xfId="863" applyFont="1" applyBorder="1"/>
    <xf numFmtId="0" fontId="204" fillId="0" borderId="164" xfId="907" applyFont="1" applyBorder="1"/>
    <xf numFmtId="167" fontId="204" fillId="61" borderId="164" xfId="863" applyFont="1" applyFill="1" applyBorder="1"/>
    <xf numFmtId="167" fontId="204" fillId="0" borderId="164" xfId="863" applyFont="1" applyFill="1" applyBorder="1"/>
    <xf numFmtId="167" fontId="204" fillId="44" borderId="164" xfId="863" applyFont="1" applyFill="1" applyBorder="1"/>
    <xf numFmtId="0" fontId="216" fillId="43" borderId="164" xfId="0" applyFont="1" applyFill="1" applyBorder="1" applyAlignment="1">
      <alignment horizontal="center" vertical="center" wrapText="1"/>
    </xf>
    <xf numFmtId="0" fontId="296" fillId="43" borderId="164" xfId="907" applyFont="1" applyFill="1" applyBorder="1"/>
    <xf numFmtId="0" fontId="293" fillId="120" borderId="164" xfId="907" applyFont="1" applyFill="1" applyBorder="1" applyAlignment="1">
      <alignment horizontal="center" wrapText="1"/>
    </xf>
    <xf numFmtId="0" fontId="293" fillId="120" borderId="164" xfId="907" applyFont="1" applyFill="1" applyBorder="1" applyAlignment="1">
      <alignment horizontal="center"/>
    </xf>
    <xf numFmtId="216" fontId="295" fillId="0" borderId="164" xfId="847" applyNumberFormat="1" applyFont="1" applyFill="1" applyBorder="1"/>
    <xf numFmtId="43" fontId="295" fillId="0" borderId="164" xfId="43408" applyFont="1" applyFill="1" applyBorder="1"/>
    <xf numFmtId="0" fontId="295" fillId="0" borderId="164" xfId="0" applyFont="1" applyBorder="1"/>
    <xf numFmtId="167" fontId="204" fillId="54" borderId="164" xfId="903" applyFont="1" applyFill="1" applyBorder="1" applyAlignment="1">
      <alignment horizontal="left" vertical="top"/>
    </xf>
    <xf numFmtId="167" fontId="204" fillId="54" borderId="164" xfId="903" applyFont="1" applyFill="1" applyBorder="1" applyAlignment="1">
      <alignment horizontal="right"/>
    </xf>
    <xf numFmtId="0" fontId="204" fillId="0" borderId="164" xfId="0" applyFont="1" applyBorder="1" applyAlignment="1">
      <alignment horizontal="left"/>
    </xf>
    <xf numFmtId="166" fontId="204" fillId="111" borderId="164" xfId="815" applyFont="1" applyFill="1" applyBorder="1"/>
    <xf numFmtId="43" fontId="204" fillId="0" borderId="164" xfId="0" applyNumberFormat="1" applyFont="1" applyBorder="1"/>
    <xf numFmtId="166" fontId="204" fillId="0" borderId="164" xfId="0" applyNumberFormat="1" applyFont="1" applyBorder="1"/>
    <xf numFmtId="164" fontId="204" fillId="0" borderId="164" xfId="0" applyNumberFormat="1" applyFont="1" applyBorder="1"/>
    <xf numFmtId="0" fontId="285" fillId="43" borderId="164" xfId="832" applyFont="1" applyFill="1" applyBorder="1" applyAlignment="1">
      <alignment horizontal="center"/>
    </xf>
    <xf numFmtId="166" fontId="281" fillId="0" borderId="164" xfId="815" applyFont="1" applyBorder="1"/>
    <xf numFmtId="166" fontId="281" fillId="0" borderId="164" xfId="815" applyFont="1" applyFill="1" applyBorder="1"/>
    <xf numFmtId="0" fontId="0" fillId="44" borderId="187" xfId="0" applyFill="1" applyBorder="1"/>
    <xf numFmtId="0" fontId="35" fillId="97" borderId="187" xfId="0" applyFont="1" applyFill="1" applyBorder="1" applyAlignment="1">
      <alignment vertical="center"/>
    </xf>
    <xf numFmtId="0" fontId="35" fillId="97" borderId="187" xfId="0" applyFont="1" applyFill="1" applyBorder="1" applyAlignment="1">
      <alignment horizontal="center" vertical="center" wrapText="1"/>
    </xf>
    <xf numFmtId="0" fontId="35" fillId="97" borderId="187" xfId="0" applyFont="1" applyFill="1" applyBorder="1" applyAlignment="1">
      <alignment horizontal="center" vertical="center"/>
    </xf>
    <xf numFmtId="0" fontId="315" fillId="132" borderId="186" xfId="0" applyFont="1" applyFill="1" applyBorder="1"/>
    <xf numFmtId="0" fontId="315" fillId="101" borderId="186" xfId="0" applyFont="1" applyFill="1" applyBorder="1" applyAlignment="1">
      <alignment horizontal="center"/>
    </xf>
    <xf numFmtId="0" fontId="250" fillId="131" borderId="186" xfId="0" applyFont="1" applyFill="1" applyBorder="1"/>
    <xf numFmtId="166" fontId="249" fillId="59" borderId="186" xfId="815" applyFont="1" applyFill="1" applyBorder="1"/>
    <xf numFmtId="0" fontId="250" fillId="0" borderId="188" xfId="0" applyFont="1" applyBorder="1"/>
    <xf numFmtId="17" fontId="314" fillId="130" borderId="186" xfId="0" applyNumberFormat="1" applyFont="1" applyFill="1" applyBorder="1" applyAlignment="1">
      <alignment horizontal="center"/>
    </xf>
    <xf numFmtId="213" fontId="319" fillId="133" borderId="192" xfId="863" applyNumberFormat="1" applyFont="1" applyFill="1" applyBorder="1" applyAlignment="1">
      <alignment horizontal="center"/>
    </xf>
    <xf numFmtId="0" fontId="249" fillId="0" borderId="164" xfId="43437" quotePrefix="1" applyFont="1" applyBorder="1" applyAlignment="1">
      <alignment horizontal="left" vertical="center"/>
    </xf>
    <xf numFmtId="277" fontId="249" fillId="41" borderId="164" xfId="43439" applyNumberFormat="1" applyFont="1" applyFill="1" applyBorder="1" applyAlignment="1">
      <alignment vertical="center" wrapText="1"/>
    </xf>
    <xf numFmtId="169" fontId="249" fillId="41" borderId="164" xfId="863" applyNumberFormat="1" applyFont="1" applyFill="1" applyBorder="1" applyAlignment="1">
      <alignment vertical="center" wrapText="1"/>
    </xf>
    <xf numFmtId="169" fontId="249" fillId="41" borderId="164" xfId="863" applyNumberFormat="1" applyFont="1" applyFill="1" applyBorder="1" applyAlignment="1">
      <alignment vertical="center"/>
    </xf>
    <xf numFmtId="0" fontId="249" fillId="122" borderId="164" xfId="43437" applyFont="1" applyFill="1" applyBorder="1" applyAlignment="1">
      <alignment vertical="center" wrapText="1"/>
    </xf>
    <xf numFmtId="0" fontId="42" fillId="0" borderId="164" xfId="2697" applyFont="1" applyBorder="1" applyAlignment="1">
      <alignment vertical="center"/>
    </xf>
    <xf numFmtId="0" fontId="42" fillId="0" borderId="164" xfId="2697" applyFont="1" applyBorder="1"/>
    <xf numFmtId="170" fontId="116" fillId="55" borderId="164" xfId="2697" applyNumberFormat="1" applyFont="1" applyFill="1" applyBorder="1" applyAlignment="1">
      <alignment horizontal="center" vertical="center" wrapText="1"/>
    </xf>
    <xf numFmtId="0" fontId="259" fillId="39" borderId="188" xfId="831" applyFont="1" applyFill="1" applyBorder="1" applyAlignment="1">
      <alignment horizontal="left" vertical="center"/>
    </xf>
    <xf numFmtId="0" fontId="259" fillId="39" borderId="192" xfId="831" applyFont="1" applyFill="1" applyBorder="1" applyAlignment="1">
      <alignment horizontal="left" vertical="center"/>
    </xf>
    <xf numFmtId="14" fontId="249" fillId="0" borderId="187" xfId="831" applyNumberFormat="1" applyFont="1" applyBorder="1" applyAlignment="1">
      <alignment horizontal="center" vertical="center"/>
    </xf>
    <xf numFmtId="0" fontId="249" fillId="0" borderId="187" xfId="831" applyFont="1" applyBorder="1" applyAlignment="1">
      <alignment vertical="center"/>
    </xf>
    <xf numFmtId="167" fontId="249" fillId="0" borderId="187" xfId="863" applyFont="1" applyBorder="1" applyAlignment="1">
      <alignment vertical="center"/>
    </xf>
    <xf numFmtId="271" fontId="249" fillId="0" borderId="187" xfId="863" applyNumberFormat="1" applyFont="1" applyBorder="1" applyAlignment="1">
      <alignment vertical="center"/>
    </xf>
    <xf numFmtId="0" fontId="29" fillId="0" borderId="207" xfId="0" applyFont="1" applyBorder="1" applyAlignment="1">
      <alignment horizontal="right"/>
    </xf>
    <xf numFmtId="166" fontId="207" fillId="59" borderId="207" xfId="0" applyNumberFormat="1" applyFont="1" applyFill="1" applyBorder="1" applyProtection="1">
      <protection hidden="1"/>
    </xf>
    <xf numFmtId="10" fontId="207" fillId="59" borderId="207" xfId="847" applyNumberFormat="1" applyFont="1" applyFill="1" applyBorder="1" applyAlignment="1" applyProtection="1">
      <alignment horizontal="right"/>
      <protection hidden="1"/>
    </xf>
    <xf numFmtId="261" fontId="207" fillId="59" borderId="207" xfId="847" applyNumberFormat="1" applyFont="1" applyFill="1" applyBorder="1" applyAlignment="1" applyProtection="1">
      <alignment horizontal="center"/>
      <protection hidden="1"/>
    </xf>
    <xf numFmtId="14" fontId="207" fillId="56" borderId="207" xfId="834" applyNumberFormat="1" applyFont="1" applyFill="1" applyBorder="1" applyAlignment="1" applyProtection="1">
      <alignment horizontal="left" vertical="center"/>
    </xf>
    <xf numFmtId="0" fontId="207" fillId="56" borderId="207" xfId="834" applyFont="1" applyFill="1" applyBorder="1" applyAlignment="1" applyProtection="1">
      <alignment horizontal="left" vertical="center"/>
    </xf>
    <xf numFmtId="0" fontId="294" fillId="0" borderId="207" xfId="907" applyFont="1" applyBorder="1"/>
    <xf numFmtId="0" fontId="294" fillId="121" borderId="207" xfId="907" applyFont="1" applyFill="1" applyBorder="1"/>
    <xf numFmtId="175" fontId="42" fillId="41" borderId="206" xfId="863" applyNumberFormat="1" applyFont="1" applyFill="1" applyBorder="1" applyAlignment="1">
      <alignment vertical="center"/>
    </xf>
    <xf numFmtId="17" fontId="38" fillId="38" borderId="206" xfId="905" applyNumberFormat="1" applyFont="1" applyFill="1" applyBorder="1" applyAlignment="1">
      <alignment horizontal="center" vertical="center" wrapText="1"/>
    </xf>
    <xf numFmtId="170" fontId="29" fillId="0" borderId="206" xfId="907" applyNumberFormat="1" applyBorder="1" applyAlignment="1">
      <alignment horizontal="center"/>
    </xf>
    <xf numFmtId="167" fontId="0" fillId="9" borderId="206" xfId="863" applyFont="1" applyFill="1" applyBorder="1"/>
    <xf numFmtId="167" fontId="29" fillId="0" borderId="206" xfId="863" applyBorder="1"/>
    <xf numFmtId="14" fontId="250" fillId="56" borderId="207" xfId="834" applyNumberFormat="1" applyFont="1" applyFill="1" applyBorder="1" applyAlignment="1" applyProtection="1">
      <alignment horizontal="left" vertical="center"/>
    </xf>
    <xf numFmtId="169" fontId="308" fillId="42" borderId="206" xfId="863" applyNumberFormat="1" applyFont="1" applyFill="1" applyBorder="1" applyAlignment="1">
      <alignment vertical="center"/>
    </xf>
    <xf numFmtId="0" fontId="249" fillId="0" borderId="206" xfId="43437" quotePrefix="1" applyFont="1" applyBorder="1" applyAlignment="1">
      <alignment horizontal="left" vertical="center"/>
    </xf>
    <xf numFmtId="169" fontId="249" fillId="33" borderId="206" xfId="863" applyNumberFormat="1" applyFont="1" applyFill="1" applyBorder="1" applyAlignment="1">
      <alignment vertical="center"/>
    </xf>
    <xf numFmtId="0" fontId="249" fillId="0" borderId="208" xfId="43437" quotePrefix="1" applyFont="1" applyBorder="1" applyAlignment="1">
      <alignment horizontal="left" vertical="center"/>
    </xf>
    <xf numFmtId="169" fontId="249" fillId="0" borderId="206" xfId="863" applyNumberFormat="1" applyFont="1" applyBorder="1" applyAlignment="1">
      <alignment vertical="center"/>
    </xf>
    <xf numFmtId="169" fontId="249" fillId="0" borderId="207" xfId="863" applyNumberFormat="1" applyFont="1" applyBorder="1" applyAlignment="1">
      <alignment vertical="center"/>
    </xf>
    <xf numFmtId="271" fontId="249" fillId="0" borderId="206" xfId="863" applyNumberFormat="1" applyFont="1" applyBorder="1" applyAlignment="1">
      <alignment vertical="center"/>
    </xf>
    <xf numFmtId="169" fontId="250" fillId="0" borderId="206" xfId="863" applyNumberFormat="1" applyFont="1" applyFill="1" applyBorder="1" applyAlignment="1">
      <alignment vertical="center"/>
    </xf>
    <xf numFmtId="167" fontId="42" fillId="0" borderId="206" xfId="863" applyFont="1" applyBorder="1" applyAlignment="1">
      <alignment vertical="center"/>
    </xf>
    <xf numFmtId="268" fontId="42" fillId="0" borderId="206" xfId="2697" applyNumberFormat="1" applyFont="1" applyBorder="1" applyAlignment="1">
      <alignment vertical="center"/>
    </xf>
    <xf numFmtId="268" fontId="42" fillId="0" borderId="207" xfId="2697" applyNumberFormat="1" applyFont="1" applyBorder="1" applyAlignment="1">
      <alignment vertical="center"/>
    </xf>
    <xf numFmtId="269" fontId="42" fillId="118" borderId="207" xfId="2697" applyNumberFormat="1" applyFont="1" applyFill="1" applyBorder="1" applyAlignment="1">
      <alignment vertical="center"/>
    </xf>
    <xf numFmtId="0" fontId="204" fillId="0" borderId="207" xfId="0" applyFont="1" applyBorder="1"/>
    <xf numFmtId="0" fontId="33" fillId="33" borderId="209" xfId="831" applyFont="1" applyFill="1" applyBorder="1" applyAlignment="1">
      <alignment horizontal="left"/>
    </xf>
    <xf numFmtId="10" fontId="261" fillId="0" borderId="210" xfId="1095" applyNumberFormat="1" applyFont="1" applyFill="1" applyBorder="1" applyAlignment="1">
      <alignment vertical="center"/>
    </xf>
    <xf numFmtId="0" fontId="249" fillId="0" borderId="211" xfId="7308" applyFont="1" applyBorder="1"/>
    <xf numFmtId="166" fontId="249" fillId="41" borderId="210" xfId="902" applyFont="1" applyFill="1" applyBorder="1"/>
    <xf numFmtId="166" fontId="249" fillId="102" borderId="210" xfId="902" applyFont="1" applyFill="1" applyBorder="1"/>
    <xf numFmtId="0" fontId="204" fillId="42" borderId="0" xfId="0" applyFont="1" applyFill="1"/>
    <xf numFmtId="166" fontId="29" fillId="61" borderId="171" xfId="815" applyFont="1" applyFill="1" applyBorder="1" applyAlignment="1">
      <alignment horizontal="center" vertical="center"/>
    </xf>
    <xf numFmtId="166" fontId="29" fillId="61" borderId="177" xfId="815" applyFont="1" applyFill="1" applyBorder="1" applyAlignment="1">
      <alignment horizontal="center" vertical="center"/>
    </xf>
    <xf numFmtId="166" fontId="29" fillId="61" borderId="178" xfId="815" applyFont="1" applyFill="1" applyBorder="1" applyAlignment="1">
      <alignment horizontal="center" vertical="center"/>
    </xf>
    <xf numFmtId="0" fontId="321" fillId="0" borderId="0" xfId="0" pivotButton="1" applyFont="1"/>
    <xf numFmtId="0" fontId="321" fillId="0" borderId="0" xfId="0" applyFont="1"/>
    <xf numFmtId="204" fontId="321" fillId="0" borderId="0" xfId="0" applyNumberFormat="1" applyFont="1" applyAlignment="1">
      <alignment horizontal="left"/>
    </xf>
    <xf numFmtId="167" fontId="321" fillId="0" borderId="0" xfId="0" applyNumberFormat="1" applyFont="1"/>
    <xf numFmtId="0" fontId="204" fillId="99" borderId="0" xfId="0" applyFont="1" applyFill="1"/>
    <xf numFmtId="261" fontId="204" fillId="99" borderId="152" xfId="847" applyNumberFormat="1" applyFont="1" applyFill="1" applyBorder="1"/>
    <xf numFmtId="10" fontId="204" fillId="99" borderId="152" xfId="847" applyNumberFormat="1" applyFont="1" applyFill="1" applyBorder="1"/>
    <xf numFmtId="167" fontId="292" fillId="99" borderId="152" xfId="863" applyFont="1" applyFill="1" applyBorder="1"/>
    <xf numFmtId="167" fontId="322" fillId="0" borderId="0" xfId="863" applyFont="1"/>
    <xf numFmtId="167" fontId="323" fillId="0" borderId="0" xfId="863" applyFont="1"/>
    <xf numFmtId="0" fontId="209" fillId="61" borderId="0" xfId="0" applyFont="1" applyFill="1"/>
    <xf numFmtId="169" fontId="249" fillId="0" borderId="0" xfId="43408" applyNumberFormat="1" applyFont="1" applyAlignment="1">
      <alignment vertical="center"/>
    </xf>
    <xf numFmtId="0" fontId="249" fillId="41" borderId="0" xfId="2697" applyFont="1" applyFill="1" applyAlignment="1">
      <alignment vertical="center"/>
    </xf>
    <xf numFmtId="43" fontId="249" fillId="41" borderId="0" xfId="43199" applyFont="1" applyFill="1" applyAlignment="1">
      <alignment vertical="center"/>
    </xf>
    <xf numFmtId="167" fontId="249" fillId="41" borderId="0" xfId="863" applyFont="1" applyFill="1" applyAlignment="1">
      <alignment vertical="center"/>
    </xf>
    <xf numFmtId="213" fontId="250" fillId="134" borderId="176" xfId="0" applyNumberFormat="1" applyFont="1" applyFill="1" applyBorder="1" applyAlignment="1">
      <alignment horizontal="left" vertical="top"/>
    </xf>
    <xf numFmtId="167" fontId="282" fillId="103" borderId="0" xfId="863" applyFont="1" applyFill="1" applyBorder="1"/>
    <xf numFmtId="0" fontId="282" fillId="103" borderId="0" xfId="0" applyFont="1" applyFill="1"/>
    <xf numFmtId="166" fontId="282" fillId="103" borderId="0" xfId="815" applyFont="1" applyFill="1" applyBorder="1"/>
    <xf numFmtId="0" fontId="221" fillId="41" borderId="176" xfId="907" applyFont="1" applyFill="1" applyBorder="1" applyAlignment="1">
      <alignment horizontal="left"/>
    </xf>
    <xf numFmtId="0" fontId="228" fillId="41" borderId="176" xfId="829" applyFont="1" applyFill="1" applyBorder="1"/>
    <xf numFmtId="22" fontId="42" fillId="99" borderId="0" xfId="907" applyNumberFormat="1" applyFont="1" applyFill="1"/>
    <xf numFmtId="44" fontId="324" fillId="0" borderId="0" xfId="0" applyNumberFormat="1" applyFont="1"/>
    <xf numFmtId="167" fontId="324" fillId="41" borderId="0" xfId="863" applyFont="1" applyFill="1"/>
    <xf numFmtId="0" fontId="324" fillId="41" borderId="0" xfId="0" applyFont="1" applyFill="1"/>
    <xf numFmtId="0" fontId="207" fillId="44" borderId="146" xfId="0" applyFont="1" applyFill="1" applyBorder="1" applyAlignment="1">
      <alignment horizontal="center" vertical="center" textRotation="90"/>
    </xf>
    <xf numFmtId="0" fontId="207" fillId="44" borderId="10" xfId="0" applyFont="1" applyFill="1" applyBorder="1" applyAlignment="1">
      <alignment horizontal="center" vertical="center" textRotation="90"/>
    </xf>
    <xf numFmtId="0" fontId="207" fillId="44" borderId="206" xfId="0" applyFont="1" applyFill="1" applyBorder="1" applyAlignment="1">
      <alignment horizontal="center" vertical="center" textRotation="90"/>
    </xf>
    <xf numFmtId="166" fontId="29" fillId="42" borderId="144" xfId="815" applyFont="1" applyFill="1" applyBorder="1" applyAlignment="1">
      <alignment horizontal="center"/>
    </xf>
    <xf numFmtId="0" fontId="271" fillId="43" borderId="166" xfId="0" applyFont="1" applyFill="1" applyBorder="1" applyAlignment="1">
      <alignment horizontal="center" vertical="center" wrapText="1"/>
    </xf>
    <xf numFmtId="0" fontId="271" fillId="43" borderId="158" xfId="0" applyFont="1" applyFill="1" applyBorder="1" applyAlignment="1">
      <alignment horizontal="center" vertical="center" wrapText="1"/>
    </xf>
    <xf numFmtId="166" fontId="29" fillId="59" borderId="168" xfId="815" applyFont="1" applyFill="1" applyBorder="1" applyAlignment="1">
      <alignment horizontal="center" vertical="center"/>
    </xf>
    <xf numFmtId="166" fontId="29" fillId="59" borderId="173" xfId="815" applyFont="1" applyFill="1" applyBorder="1" applyAlignment="1">
      <alignment horizontal="center" vertical="center"/>
    </xf>
    <xf numFmtId="0" fontId="271" fillId="0" borderId="144" xfId="0" applyFont="1" applyBorder="1" applyAlignment="1">
      <alignment horizontal="center" vertical="center" wrapText="1"/>
    </xf>
    <xf numFmtId="166" fontId="29" fillId="59" borderId="170" xfId="815" applyFont="1" applyFill="1" applyBorder="1" applyAlignment="1">
      <alignment horizontal="center" vertical="center"/>
    </xf>
    <xf numFmtId="166" fontId="29" fillId="59" borderId="175" xfId="815" applyFont="1" applyFill="1" applyBorder="1" applyAlignment="1">
      <alignment horizontal="center" vertical="center"/>
    </xf>
    <xf numFmtId="167" fontId="115" fillId="103" borderId="144" xfId="863" applyFont="1" applyFill="1" applyBorder="1" applyAlignment="1">
      <alignment horizontal="center" vertical="top" wrapText="1"/>
    </xf>
    <xf numFmtId="0" fontId="29" fillId="0" borderId="20" xfId="0" applyFont="1" applyBorder="1" applyAlignment="1">
      <alignment horizontal="center"/>
    </xf>
    <xf numFmtId="0" fontId="29" fillId="0" borderId="0" xfId="0" applyFont="1" applyAlignment="1">
      <alignment horizontal="center"/>
    </xf>
    <xf numFmtId="0" fontId="278" fillId="96" borderId="20" xfId="0" applyFont="1" applyFill="1" applyBorder="1" applyAlignment="1">
      <alignment horizontal="center" vertical="center"/>
    </xf>
    <xf numFmtId="0" fontId="278" fillId="96" borderId="0" xfId="0" applyFont="1" applyFill="1" applyAlignment="1">
      <alignment horizontal="center" vertical="center"/>
    </xf>
    <xf numFmtId="0" fontId="35" fillId="0" borderId="176" xfId="0" applyFont="1" applyBorder="1" applyAlignment="1">
      <alignment horizontal="left"/>
    </xf>
    <xf numFmtId="0" fontId="29" fillId="59" borderId="176" xfId="907" applyFill="1" applyBorder="1" applyAlignment="1">
      <alignment horizontal="left"/>
    </xf>
    <xf numFmtId="166" fontId="29" fillId="59" borderId="165" xfId="815" applyFont="1" applyFill="1" applyBorder="1" applyAlignment="1">
      <alignment horizontal="center" vertical="center"/>
    </xf>
    <xf numFmtId="166" fontId="29" fillId="59" borderId="174" xfId="815" applyFont="1" applyFill="1" applyBorder="1" applyAlignment="1">
      <alignment horizontal="center" vertical="center"/>
    </xf>
    <xf numFmtId="0" fontId="29" fillId="59" borderId="164" xfId="907" applyFill="1" applyBorder="1" applyAlignment="1">
      <alignment horizontal="left"/>
    </xf>
    <xf numFmtId="0" fontId="29" fillId="59" borderId="0" xfId="907" applyFill="1" applyAlignment="1">
      <alignment horizontal="left"/>
    </xf>
    <xf numFmtId="166" fontId="29" fillId="44" borderId="165" xfId="815" applyFont="1" applyFill="1" applyBorder="1" applyAlignment="1">
      <alignment horizontal="center" vertical="center"/>
    </xf>
    <xf numFmtId="166" fontId="29" fillId="44" borderId="174" xfId="815" applyFont="1" applyFill="1" applyBorder="1" applyAlignment="1">
      <alignment horizontal="center" vertical="center"/>
    </xf>
    <xf numFmtId="166" fontId="29" fillId="44" borderId="168" xfId="815" applyFont="1" applyFill="1" applyBorder="1" applyAlignment="1">
      <alignment horizontal="center" vertical="center"/>
    </xf>
    <xf numFmtId="166" fontId="29" fillId="44" borderId="173" xfId="815" applyFont="1" applyFill="1" applyBorder="1" applyAlignment="1">
      <alignment horizontal="center" vertical="center"/>
    </xf>
    <xf numFmtId="166" fontId="29" fillId="44" borderId="170" xfId="815" applyFont="1" applyFill="1" applyBorder="1" applyAlignment="1">
      <alignment horizontal="center" vertical="center"/>
    </xf>
    <xf numFmtId="166" fontId="29" fillId="44" borderId="175" xfId="815" applyFont="1" applyFill="1" applyBorder="1" applyAlignment="1">
      <alignment horizontal="center" vertical="center"/>
    </xf>
    <xf numFmtId="0" fontId="234" fillId="0" borderId="164" xfId="907" applyFont="1" applyBorder="1" applyAlignment="1">
      <alignment horizontal="left"/>
    </xf>
    <xf numFmtId="0" fontId="35" fillId="0" borderId="164" xfId="907" applyFont="1" applyBorder="1" applyAlignment="1">
      <alignment horizontal="left"/>
    </xf>
    <xf numFmtId="9" fontId="37" fillId="38" borderId="0" xfId="1823" applyFont="1" applyFill="1" applyBorder="1" applyAlignment="1">
      <alignment horizontal="center" vertical="center" wrapText="1"/>
    </xf>
    <xf numFmtId="166" fontId="109" fillId="41" borderId="0" xfId="907" applyNumberFormat="1" applyFont="1" applyFill="1" applyAlignment="1">
      <alignment horizontal="center"/>
    </xf>
    <xf numFmtId="0" fontId="142" fillId="41" borderId="0" xfId="907" applyFont="1" applyFill="1" applyAlignment="1">
      <alignment horizontal="center"/>
    </xf>
    <xf numFmtId="9" fontId="315" fillId="55" borderId="144" xfId="1823" applyFont="1" applyFill="1" applyBorder="1" applyAlignment="1">
      <alignment horizontal="left" vertical="center"/>
    </xf>
    <xf numFmtId="0" fontId="116" fillId="55" borderId="144" xfId="954" applyFont="1" applyFill="1" applyBorder="1" applyAlignment="1">
      <alignment horizontal="center" vertical="center"/>
    </xf>
    <xf numFmtId="9" fontId="37" fillId="0" borderId="0" xfId="1823" applyFont="1" applyFill="1" applyBorder="1" applyAlignment="1">
      <alignment horizontal="center" vertical="center" wrapText="1"/>
    </xf>
    <xf numFmtId="0" fontId="109" fillId="41" borderId="0" xfId="2697" applyFont="1" applyFill="1" applyAlignment="1">
      <alignment horizontal="center" vertical="center"/>
    </xf>
    <xf numFmtId="0" fontId="42" fillId="41" borderId="0" xfId="907" applyFont="1" applyFill="1" applyAlignment="1">
      <alignment horizontal="left" indent="1"/>
    </xf>
    <xf numFmtId="0" fontId="116" fillId="41" borderId="0" xfId="907" applyFont="1" applyFill="1" applyAlignment="1">
      <alignment horizontal="left"/>
    </xf>
    <xf numFmtId="9" fontId="37" fillId="0" borderId="0" xfId="1823" applyFont="1" applyFill="1" applyBorder="1" applyAlignment="1">
      <alignment horizontal="left" vertical="center" wrapText="1"/>
    </xf>
    <xf numFmtId="9" fontId="42" fillId="0" borderId="0" xfId="1823" applyFont="1" applyFill="1" applyBorder="1" applyAlignment="1">
      <alignment horizontal="left" vertical="center" wrapText="1"/>
    </xf>
    <xf numFmtId="0" fontId="295" fillId="0" borderId="0" xfId="0" applyFont="1" applyAlignment="1">
      <alignment horizontal="center"/>
    </xf>
    <xf numFmtId="0" fontId="295" fillId="0" borderId="164" xfId="0" applyFont="1" applyBorder="1" applyAlignment="1">
      <alignment horizontal="center"/>
    </xf>
    <xf numFmtId="0" fontId="324" fillId="99" borderId="212" xfId="0" applyFont="1" applyFill="1" applyBorder="1" applyAlignment="1">
      <alignment horizontal="center"/>
    </xf>
    <xf numFmtId="0" fontId="35" fillId="0" borderId="187" xfId="907" applyFont="1" applyBorder="1" applyAlignment="1">
      <alignment horizontal="center"/>
    </xf>
    <xf numFmtId="0" fontId="35" fillId="0" borderId="189" xfId="907" applyFont="1" applyBorder="1" applyAlignment="1">
      <alignment horizontal="center"/>
    </xf>
    <xf numFmtId="0" fontId="35" fillId="0" borderId="164" xfId="907" applyFont="1" applyBorder="1" applyAlignment="1">
      <alignment horizontal="center"/>
    </xf>
    <xf numFmtId="0" fontId="204" fillId="33" borderId="188" xfId="831" applyFont="1" applyFill="1" applyBorder="1" applyAlignment="1">
      <alignment horizontal="center" vertical="center"/>
    </xf>
    <xf numFmtId="0" fontId="204" fillId="33" borderId="192" xfId="831" applyFont="1" applyFill="1" applyBorder="1" applyAlignment="1">
      <alignment horizontal="center" vertical="center"/>
    </xf>
    <xf numFmtId="17" fontId="37" fillId="55" borderId="126" xfId="905" applyNumberFormat="1" applyFont="1" applyFill="1" applyBorder="1" applyAlignment="1">
      <alignment horizontal="center" vertical="center" wrapText="1"/>
    </xf>
    <xf numFmtId="253" fontId="37" fillId="55" borderId="195" xfId="863" applyNumberFormat="1" applyFont="1" applyFill="1" applyBorder="1" applyAlignment="1">
      <alignment horizontal="center" vertical="center" wrapText="1"/>
    </xf>
    <xf numFmtId="17" fontId="37" fillId="55" borderId="127" xfId="905" applyNumberFormat="1" applyFont="1" applyFill="1" applyBorder="1" applyAlignment="1">
      <alignment horizontal="center" vertical="center" wrapText="1"/>
    </xf>
    <xf numFmtId="169" fontId="37" fillId="55" borderId="128" xfId="863" applyNumberFormat="1" applyFont="1" applyFill="1" applyBorder="1" applyAlignment="1">
      <alignment horizontal="center" vertical="center"/>
    </xf>
    <xf numFmtId="169" fontId="37" fillId="55" borderId="129" xfId="863" applyNumberFormat="1" applyFont="1" applyFill="1" applyBorder="1" applyAlignment="1">
      <alignment horizontal="center" vertical="center"/>
    </xf>
    <xf numFmtId="0" fontId="37" fillId="55" borderId="130" xfId="905" applyFont="1" applyFill="1" applyBorder="1" applyAlignment="1">
      <alignment horizontal="center" vertical="center"/>
    </xf>
    <xf numFmtId="0" fontId="37" fillId="55" borderId="0" xfId="905" applyFont="1" applyFill="1" applyAlignment="1">
      <alignment horizontal="center" vertical="center"/>
    </xf>
    <xf numFmtId="0" fontId="116" fillId="55" borderId="131" xfId="2697" applyFont="1" applyFill="1" applyBorder="1" applyAlignment="1">
      <alignment horizontal="center" vertical="center"/>
    </xf>
    <xf numFmtId="0" fontId="116" fillId="55" borderId="0" xfId="2697" applyFont="1" applyFill="1" applyAlignment="1">
      <alignment horizontal="center" vertical="center"/>
    </xf>
    <xf numFmtId="0" fontId="116" fillId="55" borderId="136" xfId="2697" applyFont="1" applyFill="1" applyBorder="1" applyAlignment="1">
      <alignment horizontal="center" vertical="center"/>
    </xf>
    <xf numFmtId="0" fontId="116" fillId="55" borderId="125" xfId="2697" applyFont="1" applyFill="1" applyBorder="1" applyAlignment="1">
      <alignment horizontal="center" vertical="center"/>
    </xf>
    <xf numFmtId="169" fontId="116" fillId="55" borderId="132" xfId="863" applyNumberFormat="1" applyFont="1" applyFill="1" applyBorder="1" applyAlignment="1">
      <alignment horizontal="center" vertical="center" wrapText="1"/>
    </xf>
    <xf numFmtId="169" fontId="116" fillId="55" borderId="133" xfId="863" applyNumberFormat="1" applyFont="1" applyFill="1" applyBorder="1" applyAlignment="1">
      <alignment horizontal="center" vertical="center" wrapText="1"/>
    </xf>
    <xf numFmtId="169" fontId="116" fillId="55" borderId="134" xfId="863" applyNumberFormat="1" applyFont="1" applyFill="1" applyBorder="1" applyAlignment="1">
      <alignment horizontal="center" vertical="center" wrapText="1"/>
    </xf>
    <xf numFmtId="0" fontId="116" fillId="55" borderId="135" xfId="2697" applyFont="1" applyFill="1" applyBorder="1" applyAlignment="1">
      <alignment horizontal="center" vertical="center" wrapText="1"/>
    </xf>
    <xf numFmtId="0" fontId="116" fillId="55" borderId="133" xfId="2697" applyFont="1" applyFill="1" applyBorder="1" applyAlignment="1">
      <alignment horizontal="center" vertical="center" wrapText="1"/>
    </xf>
    <xf numFmtId="0" fontId="116" fillId="55" borderId="134" xfId="2697" applyFont="1" applyFill="1" applyBorder="1" applyAlignment="1">
      <alignment horizontal="center" vertical="center" wrapText="1"/>
    </xf>
    <xf numFmtId="0" fontId="211" fillId="43" borderId="186" xfId="0" applyFont="1" applyFill="1" applyBorder="1" applyAlignment="1">
      <alignment horizontal="center" vertical="center" wrapText="1"/>
    </xf>
    <xf numFmtId="0" fontId="207" fillId="97" borderId="186" xfId="0" applyFont="1" applyFill="1" applyBorder="1" applyAlignment="1">
      <alignment horizontal="center" vertical="center" wrapText="1"/>
    </xf>
    <xf numFmtId="0" fontId="271" fillId="101" borderId="187" xfId="2697" applyFont="1" applyFill="1" applyBorder="1" applyAlignment="1">
      <alignment horizontal="center"/>
    </xf>
    <xf numFmtId="0" fontId="116" fillId="55" borderId="126" xfId="2697" applyFont="1" applyFill="1" applyBorder="1" applyAlignment="1">
      <alignment horizontal="left" vertical="center" wrapText="1"/>
    </xf>
    <xf numFmtId="0" fontId="116" fillId="55" borderId="163" xfId="2697" applyFont="1" applyFill="1" applyBorder="1" applyAlignment="1">
      <alignment horizontal="left" vertical="center" wrapText="1"/>
    </xf>
    <xf numFmtId="0" fontId="116" fillId="55" borderId="131" xfId="2697" applyFont="1" applyFill="1" applyBorder="1" applyAlignment="1">
      <alignment horizontal="left" vertical="center" wrapText="1"/>
    </xf>
    <xf numFmtId="0" fontId="207" fillId="41" borderId="189" xfId="832" applyFont="1" applyFill="1" applyBorder="1" applyAlignment="1">
      <alignment horizontal="center" vertical="center" wrapText="1"/>
    </xf>
    <xf numFmtId="0" fontId="207" fillId="41" borderId="190" xfId="0" applyFont="1" applyFill="1" applyBorder="1" applyAlignment="1">
      <alignment horizontal="center" vertical="center" wrapText="1"/>
    </xf>
    <xf numFmtId="0" fontId="207" fillId="0" borderId="189" xfId="0" applyFont="1" applyBorder="1" applyAlignment="1">
      <alignment horizontal="center" vertical="center"/>
    </xf>
    <xf numFmtId="0" fontId="207" fillId="0" borderId="190" xfId="0" applyFont="1" applyBorder="1" applyAlignment="1">
      <alignment horizontal="center" vertical="center"/>
    </xf>
    <xf numFmtId="0" fontId="207" fillId="0" borderId="188" xfId="0" applyFont="1" applyBorder="1" applyAlignment="1">
      <alignment horizontal="center" vertical="center"/>
    </xf>
    <xf numFmtId="0" fontId="207" fillId="0" borderId="192" xfId="0" applyFont="1" applyBorder="1" applyAlignment="1">
      <alignment horizontal="center" vertical="center"/>
    </xf>
    <xf numFmtId="0" fontId="207" fillId="41" borderId="189" xfId="0" applyFont="1" applyFill="1" applyBorder="1" applyAlignment="1">
      <alignment horizontal="center" vertical="center"/>
    </xf>
    <xf numFmtId="0" fontId="207" fillId="41" borderId="190" xfId="0" applyFont="1" applyFill="1" applyBorder="1" applyAlignment="1">
      <alignment horizontal="center" vertical="center"/>
    </xf>
    <xf numFmtId="0" fontId="207" fillId="0" borderId="0" xfId="0" applyFont="1" applyAlignment="1">
      <alignment horizontal="center"/>
    </xf>
    <xf numFmtId="0" fontId="214" fillId="0" borderId="0" xfId="836" applyFont="1" applyFill="1" applyBorder="1" applyAlignment="1">
      <alignment horizontal="left" vertical="center" wrapText="1"/>
    </xf>
    <xf numFmtId="0" fontId="204" fillId="0" borderId="0" xfId="0" applyFont="1" applyAlignment="1">
      <alignment horizontal="left" vertical="center" wrapText="1"/>
    </xf>
    <xf numFmtId="0" fontId="206" fillId="0" borderId="186" xfId="833" applyFont="1" applyBorder="1" applyAlignment="1">
      <alignment horizontal="left" vertical="center" wrapText="1"/>
    </xf>
    <xf numFmtId="0" fontId="204" fillId="0" borderId="186" xfId="0" applyFont="1" applyBorder="1" applyAlignment="1">
      <alignment horizontal="left" vertical="center" wrapText="1"/>
    </xf>
    <xf numFmtId="0" fontId="207" fillId="0" borderId="188" xfId="0" applyFont="1" applyBorder="1" applyAlignment="1">
      <alignment horizontal="left" vertical="center"/>
    </xf>
    <xf numFmtId="0" fontId="207" fillId="0" borderId="192" xfId="0" applyFont="1" applyBorder="1" applyAlignment="1">
      <alignment horizontal="left" vertical="center"/>
    </xf>
    <xf numFmtId="0" fontId="214" fillId="0" borderId="176" xfId="836" applyFont="1" applyFill="1" applyBorder="1" applyAlignment="1">
      <alignment horizontal="left" vertical="center" wrapText="1"/>
    </xf>
    <xf numFmtId="0" fontId="204" fillId="0" borderId="176" xfId="0" applyFont="1" applyBorder="1" applyAlignment="1">
      <alignment horizontal="left" vertical="center" wrapText="1"/>
    </xf>
    <xf numFmtId="0" fontId="214" fillId="0" borderId="186" xfId="836" applyFont="1" applyFill="1" applyBorder="1" applyAlignment="1">
      <alignment horizontal="left" vertical="center" wrapText="1"/>
    </xf>
    <xf numFmtId="0" fontId="214" fillId="0" borderId="191" xfId="836" applyFont="1" applyFill="1" applyBorder="1" applyAlignment="1">
      <alignment horizontal="left" vertical="center" wrapText="1"/>
    </xf>
    <xf numFmtId="0" fontId="204" fillId="0" borderId="191" xfId="0" applyFont="1" applyBorder="1" applyAlignment="1">
      <alignment horizontal="left" vertical="center" wrapText="1"/>
    </xf>
    <xf numFmtId="0" fontId="207" fillId="0" borderId="189" xfId="0" applyFont="1" applyBorder="1" applyAlignment="1">
      <alignment horizontal="center" vertical="center" wrapText="1"/>
    </xf>
    <xf numFmtId="0" fontId="207" fillId="0" borderId="190" xfId="0" applyFont="1" applyBorder="1" applyAlignment="1">
      <alignment horizontal="center" vertical="center" wrapText="1"/>
    </xf>
    <xf numFmtId="0" fontId="207" fillId="105" borderId="188" xfId="0" applyFont="1" applyFill="1" applyBorder="1" applyAlignment="1">
      <alignment horizontal="center" vertical="center"/>
    </xf>
    <xf numFmtId="0" fontId="207" fillId="105" borderId="192" xfId="0" applyFont="1" applyFill="1" applyBorder="1" applyAlignment="1">
      <alignment horizontal="center" vertical="center"/>
    </xf>
    <xf numFmtId="10" fontId="249" fillId="0" borderId="188" xfId="7308" applyNumberFormat="1" applyFont="1" applyBorder="1" applyAlignment="1">
      <alignment horizontal="center"/>
    </xf>
    <xf numFmtId="0" fontId="249" fillId="0" borderId="186" xfId="7308" applyFont="1" applyBorder="1" applyAlignment="1">
      <alignment horizontal="center"/>
    </xf>
    <xf numFmtId="0" fontId="249" fillId="0" borderId="192" xfId="7308" applyFont="1" applyBorder="1" applyAlignment="1">
      <alignment horizontal="center"/>
    </xf>
    <xf numFmtId="213" fontId="249" fillId="0" borderId="188" xfId="43165" applyNumberFormat="1" applyFont="1" applyBorder="1" applyAlignment="1">
      <alignment horizontal="center"/>
    </xf>
    <xf numFmtId="213" fontId="249" fillId="0" borderId="186" xfId="43165" applyNumberFormat="1" applyFont="1" applyBorder="1" applyAlignment="1">
      <alignment horizontal="center"/>
    </xf>
    <xf numFmtId="213" fontId="249" fillId="0" borderId="192" xfId="43165" applyNumberFormat="1" applyFont="1" applyBorder="1" applyAlignment="1">
      <alignment horizontal="center"/>
    </xf>
    <xf numFmtId="213" fontId="249" fillId="0" borderId="188" xfId="7308" applyNumberFormat="1" applyFont="1" applyBorder="1" applyAlignment="1">
      <alignment horizontal="center"/>
    </xf>
    <xf numFmtId="213" fontId="249" fillId="0" borderId="186" xfId="7308" applyNumberFormat="1" applyFont="1" applyBorder="1" applyAlignment="1">
      <alignment horizontal="center"/>
    </xf>
    <xf numFmtId="213" fontId="249" fillId="0" borderId="192" xfId="7308" applyNumberFormat="1" applyFont="1" applyBorder="1" applyAlignment="1">
      <alignment horizontal="center"/>
    </xf>
  </cellXfs>
  <cellStyles count="43440">
    <cellStyle name="###0" xfId="1475" xr:uid="{00000000-0005-0000-0000-000000000000}"/>
    <cellStyle name="#,##0" xfId="1476" xr:uid="{00000000-0005-0000-0000-000001000000}"/>
    <cellStyle name="#,##0.0" xfId="1477" xr:uid="{00000000-0005-0000-0000-000002000000}"/>
    <cellStyle name="#.##0" xfId="1478" xr:uid="{00000000-0005-0000-0000-000003000000}"/>
    <cellStyle name="#.##0,0" xfId="1479" xr:uid="{00000000-0005-0000-0000-000004000000}"/>
    <cellStyle name="_~3339090" xfId="2698" xr:uid="{00000000-0005-0000-0000-000005000000}"/>
    <cellStyle name="_0 -Preenchido_CPFL-PIRATININGA_2_CICLO_DADOS_INICIAIS_Of" xfId="2699" xr:uid="{00000000-0005-0000-0000-000006000000}"/>
    <cellStyle name="_0 -Preenchido_CPFL-PIRATININGA_2_CICLO_DADOS_INICIAIS_Of.037_270207" xfId="2700" xr:uid="{00000000-0005-0000-0000-000007000000}"/>
    <cellStyle name="_0 -Preenchido_CPFL-PIRATININGA_2_CICLO_DADOS_INICIAIS_Of.037_270207 (V 170407)" xfId="2701" xr:uid="{00000000-0005-0000-0000-000008000000}"/>
    <cellStyle name="_0 -Preenchido_CPFL-PIRATININGA_2_CICLO_DADOS_INICIAIS_Of.037_270207(V 09-04-07)" xfId="2702" xr:uid="{00000000-0005-0000-0000-000009000000}"/>
    <cellStyle name="_0 -Preenchido_CPFL-PIRATININGA_2_CICLO_DADOS_INICIAIS_Of.037_270207(V 09-04-07)_2009.04.09 EEB IRT2009 Conexao CEMIG C Financeiro" xfId="2703" xr:uid="{00000000-0005-0000-0000-00000A000000}"/>
    <cellStyle name="_0 -Preenchido_CPFL-PIRATININGA_2_CICLO_DADOS_INICIAIS_Of.037_270207(V 09-04-07)_Base Mercado_EMG" xfId="2704" xr:uid="{00000000-0005-0000-0000-00000B000000}"/>
    <cellStyle name="_0 -Preenchido_CPFL-PIRATININGA_2_CICLO_DADOS_INICIAIS_Of.037_270207(V 09-04-07)_IF - Autoprodutores 2" xfId="2705" xr:uid="{00000000-0005-0000-0000-00000C000000}"/>
    <cellStyle name="_0 -Preenchido_CPFL-PIRATININGA_2_CICLO_DADOS_INICIAIS_Of.037_270207(V 09-04-07)_IF_Consumidores livres e geradoras_2010" xfId="2706" xr:uid="{00000000-0005-0000-0000-00000D000000}"/>
    <cellStyle name="_0 -Preenchido_CPFL-PIRATININGA_2_CICLO_DADOS_INICIAIS_Of.037_270207(V 09-04-07)_Pleito_IRT_ESE_2010_Envio_ANEEL_Final_atualizado_05_04" xfId="2707" xr:uid="{00000000-0005-0000-0000-00000E000000}"/>
    <cellStyle name="_0 -Preenchido_CPFL-PIRATININGA_2_CICLO_DADOS_INICIAIS_Of.037_270207(V 09-04-07)_Sheet1" xfId="2708" xr:uid="{00000000-0005-0000-0000-00000F000000}"/>
    <cellStyle name="_0 -Preenchido_CPFL-PIRATININGA_2_CICLO_DADOS_INICIAIS_Of.037_270207(VF)" xfId="2709" xr:uid="{00000000-0005-0000-0000-000010000000}"/>
    <cellStyle name="_0 -Preenchido_CPFL-PIRATININGA_2_CICLO_DADOS_INICIAIS_Of.037_270207(VF)_2009.04.09 EEB IRT2009 Conexao CEMIG C Financeiro" xfId="2710" xr:uid="{00000000-0005-0000-0000-000011000000}"/>
    <cellStyle name="_0 -Preenchido_CPFL-PIRATININGA_2_CICLO_DADOS_INICIAIS_Of.037_270207(VF)_Base Mercado_EMG" xfId="2711" xr:uid="{00000000-0005-0000-0000-000012000000}"/>
    <cellStyle name="_0 -Preenchido_CPFL-PIRATININGA_2_CICLO_DADOS_INICIAIS_Of.037_270207(VF)_IF - Autoprodutores 2" xfId="2712" xr:uid="{00000000-0005-0000-0000-000013000000}"/>
    <cellStyle name="_0 -Preenchido_CPFL-PIRATININGA_2_CICLO_DADOS_INICIAIS_Of.037_270207(VF)_IF_Consumidores livres e geradoras_2010" xfId="2713" xr:uid="{00000000-0005-0000-0000-000014000000}"/>
    <cellStyle name="_0 -Preenchido_CPFL-PIRATININGA_2_CICLO_DADOS_INICIAIS_Of.037_270207(VF)_Pleito_IRT_ESE_2010_Envio_ANEEL_Final_atualizado_05_04" xfId="2714" xr:uid="{00000000-0005-0000-0000-000015000000}"/>
    <cellStyle name="_0 -Preenchido_CPFL-PIRATININGA_2_CICLO_DADOS_INICIAIS_Of.037_270207(VF)_Sheet1" xfId="2715" xr:uid="{00000000-0005-0000-0000-000016000000}"/>
    <cellStyle name="_0 -Preenchido_CPFL-PIRATININGA_2_CICLO_DADOS_INICIAIS_Of.037_270207_2009.04.09 EEB IRT2009 Conexao CEMIG C Financeiro" xfId="2716" xr:uid="{00000000-0005-0000-0000-000017000000}"/>
    <cellStyle name="_0 -Preenchido_CPFL-PIRATININGA_2_CICLO_DADOS_INICIAIS_Of.037_270207_Base Mercado_EMG" xfId="2717" xr:uid="{00000000-0005-0000-0000-000018000000}"/>
    <cellStyle name="_0 -Preenchido_CPFL-PIRATININGA_2_CICLO_DADOS_INICIAIS_Of.037_270207_IF - Autoprodutores 2" xfId="2718" xr:uid="{00000000-0005-0000-0000-000019000000}"/>
    <cellStyle name="_0 -Preenchido_CPFL-PIRATININGA_2_CICLO_DADOS_INICIAIS_Of.037_270207_IF_Consumidores livres e geradoras_2010" xfId="2719" xr:uid="{00000000-0005-0000-0000-00001A000000}"/>
    <cellStyle name="_0 -Preenchido_CPFL-PIRATININGA_2_CICLO_DADOS_INICIAIS_Of.037_270207_Pleito_IRT_ESE_2010_Envio_ANEEL_Final_atualizado_05_04" xfId="2720" xr:uid="{00000000-0005-0000-0000-00001B000000}"/>
    <cellStyle name="_0 -Preenchido_CPFL-PIRATININGA_2_CICLO_DADOS_INICIAIS_Of.037_270207_Sheet1" xfId="2721" xr:uid="{00000000-0005-0000-0000-00001C000000}"/>
    <cellStyle name="_0 -Preenchido_CPFL-PIRATININGA_2_CICLO_DADOS_INICIAIS_Of.037_270207-EV 17abril" xfId="2722" xr:uid="{00000000-0005-0000-0000-00001D000000}"/>
    <cellStyle name="_0 -Preenchido_CPFL-PIRATININGA_2_CICLO_DADOS_INICIAIS_Of.037_270207-EV 17abril_2009.04.09 EEB IRT2009 Conexao CEMIG C Financeiro" xfId="2723" xr:uid="{00000000-0005-0000-0000-00001E000000}"/>
    <cellStyle name="_0 -Preenchido_CPFL-PIRATININGA_2_CICLO_DADOS_INICIAIS_Of.037_270207-EV 17abril_Base Mercado_EMG" xfId="2724" xr:uid="{00000000-0005-0000-0000-00001F000000}"/>
    <cellStyle name="_0 -Preenchido_CPFL-PIRATININGA_2_CICLO_DADOS_INICIAIS_Of.037_270207-EV 17abril_IF - Autoprodutores 2" xfId="2725" xr:uid="{00000000-0005-0000-0000-000020000000}"/>
    <cellStyle name="_0 -Preenchido_CPFL-PIRATININGA_2_CICLO_DADOS_INICIAIS_Of.037_270207-EV 17abril_IF_Consumidores livres e geradoras_2010" xfId="2726" xr:uid="{00000000-0005-0000-0000-000021000000}"/>
    <cellStyle name="_0 -Preenchido_CPFL-PIRATININGA_2_CICLO_DADOS_INICIAIS_Of.037_270207-EV 17abril_Pleito_IRT_ESE_2010_Envio_ANEEL_Final_atualizado_05_04" xfId="2727" xr:uid="{00000000-0005-0000-0000-000022000000}"/>
    <cellStyle name="_0 -Preenchido_CPFL-PIRATININGA_2_CICLO_DADOS_INICIAIS_Of.037_270207-EV 17abril_Sheet1" xfId="2728" xr:uid="{00000000-0005-0000-0000-000023000000}"/>
    <cellStyle name="_0 -Preenchido_CPFL-PIRATININGA_2_CICLO_DADOS_INICIAIS_Of_2009.04.09 EEB IRT2009 Conexao CEMIG C Financeiro" xfId="2729" xr:uid="{00000000-0005-0000-0000-000024000000}"/>
    <cellStyle name="_0 -Preenchido_CPFL-PIRATININGA_2_CICLO_DADOS_INICIAIS_Of_Base Mercado_EMG" xfId="2730" xr:uid="{00000000-0005-0000-0000-000025000000}"/>
    <cellStyle name="_0 -Preenchido_CPFL-PIRATININGA_2_CICLO_DADOS_INICIAIS_Of_IF - Autoprodutores 2" xfId="2731" xr:uid="{00000000-0005-0000-0000-000026000000}"/>
    <cellStyle name="_0 -Preenchido_CPFL-PIRATININGA_2_CICLO_DADOS_INICIAIS_Of_IF_Consumidores livres e geradoras_2010" xfId="2732" xr:uid="{00000000-0005-0000-0000-000027000000}"/>
    <cellStyle name="_0 -Preenchido_CPFL-PIRATININGA_2_CICLO_DADOS_INICIAIS_Of_Pleito_IRT_ESE_2010_Envio_ANEEL_Final_atualizado_05_04" xfId="2733" xr:uid="{00000000-0005-0000-0000-000028000000}"/>
    <cellStyle name="_0 -Preenchido_CPFL-PIRATININGA_2_CICLO_DADOS_INICIAIS_Of_Sheet1" xfId="2734" xr:uid="{00000000-0005-0000-0000-000029000000}"/>
    <cellStyle name="_02 IRT Bandeirante 2009" xfId="2735" xr:uid="{00000000-0005-0000-0000-00002A000000}"/>
    <cellStyle name="_02 IRT COSERN 2009" xfId="1480" xr:uid="{00000000-0005-0000-0000-00002B000000}"/>
    <cellStyle name="_10 ICMS FCC-Valdeci - OK" xfId="2736" xr:uid="{00000000-0005-0000-0000-00002C000000}"/>
    <cellStyle name="_11 PIS COFINS - FCC-Roger-OK" xfId="2737" xr:uid="{00000000-0005-0000-0000-00002D000000}"/>
    <cellStyle name="_15. Custos Operacionais versão FINAL (FC 160507)" xfId="2738" xr:uid="{00000000-0005-0000-0000-00002E000000}"/>
    <cellStyle name="_15. Custos Operacionais versão FINAL (FC 160507)_2009.04.09 EEB IRT2009 Conexao CEMIG C Financeiro" xfId="2739" xr:uid="{00000000-0005-0000-0000-00002F000000}"/>
    <cellStyle name="_15. Custos Operacionais versão FINAL (FC 160507)_IF - Autoprodutores 2" xfId="2740" xr:uid="{00000000-0005-0000-0000-000030000000}"/>
    <cellStyle name="_15. Custos Operacionais versão FINAL (FC 160507)_IF_Consumidores livres e geradoras_2010" xfId="2741" xr:uid="{00000000-0005-0000-0000-000031000000}"/>
    <cellStyle name="_15. Custos Operacionais versão FINAL (FC 160507)_Sheet1" xfId="2742" xr:uid="{00000000-0005-0000-0000-000032000000}"/>
    <cellStyle name="_2006.07.04 CELTINS IRT 2006 homologado" xfId="1481" xr:uid="{00000000-0005-0000-0000-000033000000}"/>
    <cellStyle name="_2006.07.04 CELTINS IRT 2006 homologado 2" xfId="2743" xr:uid="{00000000-0005-0000-0000-000034000000}"/>
    <cellStyle name="_2006.07.04 CELTINS IRT 2006 homologado_COELCE - RTO 2011 - PLPT_PLANILHA_CÁLCULO_DÉFICIT" xfId="2744" xr:uid="{00000000-0005-0000-0000-000035000000}"/>
    <cellStyle name="_2006.08.07 CELPA IRT 2006 pleito" xfId="1482" xr:uid="{00000000-0005-0000-0000-000036000000}"/>
    <cellStyle name="_2006.08.07 CELPA IRT 2006 pleito 2" xfId="2745" xr:uid="{00000000-0005-0000-0000-000037000000}"/>
    <cellStyle name="_2006.08.07 CELPA IRT 2006 pleito_COELCE - RTO 2011 - PLPT_PLANILHA_CÁLCULO_DÉFICIT" xfId="2746" xr:uid="{00000000-0005-0000-0000-000038000000}"/>
    <cellStyle name="_2007.04.08 CEMAT CVAvIRT 2007" xfId="2747" xr:uid="{00000000-0005-0000-0000-000039000000}"/>
    <cellStyle name="_2007.04.08 CEMAT IRT 2007 Pleito" xfId="2748" xr:uid="{00000000-0005-0000-0000-00003A000000}"/>
    <cellStyle name="_2008.05.10 CAIUA CVAvIRT 2008" xfId="2749" xr:uid="{00000000-0005-0000-0000-00003B000000}"/>
    <cellStyle name="_21 LPT - M3 DCC FCC - 29_06" xfId="2750" xr:uid="{00000000-0005-0000-0000-00003C000000}"/>
    <cellStyle name="_4 Outras Receitas - FCC-Roger" xfId="2751" xr:uid="{00000000-0005-0000-0000-00003D000000}"/>
    <cellStyle name="_5114722684(1).EXCEL" xfId="2752" xr:uid="{00000000-0005-0000-0000-00003E000000}"/>
    <cellStyle name="_5114722684(1).EXCEL_2009.04.09 EEB IRT2009 Conexao CEMIG C Financeiro" xfId="2753" xr:uid="{00000000-0005-0000-0000-00003F000000}"/>
    <cellStyle name="_5114722684(1).EXCEL_IF - Autoprodutores 2" xfId="2754" xr:uid="{00000000-0005-0000-0000-000040000000}"/>
    <cellStyle name="_5114722684(1).EXCEL_IF_Consumidores livres e geradoras_2010" xfId="2755" xr:uid="{00000000-0005-0000-0000-000041000000}"/>
    <cellStyle name="_5114722684(1).EXCEL_Sheet1" xfId="2756" xr:uid="{00000000-0005-0000-0000-000042000000}"/>
    <cellStyle name="_Abertura - ELETROPAULO 2008 - REAJUSTE Estrutura 2º Ciclo" xfId="2757" xr:uid="{00000000-0005-0000-0000-000043000000}"/>
    <cellStyle name="_Abertura RE-REVISÃO ELETROPAULO Base para Reajuste 2008" xfId="2758" xr:uid="{00000000-0005-0000-0000-000044000000}"/>
    <cellStyle name="_Abertura Tarifária CEB RTP 2008" xfId="2759" xr:uid="{00000000-0005-0000-0000-000045000000}"/>
    <cellStyle name="_Abertura Tarifária LIGHT RTP 2008" xfId="2760" xr:uid="{00000000-0005-0000-0000-000046000000}"/>
    <cellStyle name="_ABERTURA_TUSDg_v02_COPEL_14052010" xfId="1483" xr:uid="{00000000-0005-0000-0000-000047000000}"/>
    <cellStyle name="_Abertura-ATUAL2 - REAJUSTE" xfId="2761" xr:uid="{00000000-0005-0000-0000-000048000000}"/>
    <cellStyle name="_Abertura-ATUAL-REVISÃO2" xfId="2762" xr:uid="{00000000-0005-0000-0000-000049000000}"/>
    <cellStyle name="_ADIANTAMENTO SOBRECONTRATAÇÃO" xfId="1" xr:uid="{00000000-0005-0000-0000-00004A000000}"/>
    <cellStyle name="_ADIANTAMENTO SOBRECONTRATAÇÃO_Cálculo do Financeiro do Baixa Renda" xfId="2763" xr:uid="{00000000-0005-0000-0000-00004B000000}"/>
    <cellStyle name="_ADIANTAMENTO SOBRECONTRATAÇÃO_Cálculo do Financeiro do Baixa Renda_IRT-cálculo" xfId="2764" xr:uid="{00000000-0005-0000-0000-00004C000000}"/>
    <cellStyle name="_ADIANTAMENTO SOBRECONTRATAÇÃO_Cálculo do Financeiro do Baixa Renda_IRT-cálculo CAPA NEUTRALIDADE" xfId="2765" xr:uid="{00000000-0005-0000-0000-00004D000000}"/>
    <cellStyle name="_ADIANTAMENTO SOBRECONTRATAÇÃO_Calculo_Subsidio_ELFSM_26_06_08_Modelo_ANEEL" xfId="2766" xr:uid="{00000000-0005-0000-0000-00004E000000}"/>
    <cellStyle name="_ADIANTAMENTO SOBRECONTRATAÇÃO_Calculo_Subsidio_ELFSM_26_06_08_Modelo_ANEEL_IRT_Revisão A-1" xfId="2767" xr:uid="{00000000-0005-0000-0000-00004F000000}"/>
    <cellStyle name="_ADIANTAMENTO SOBRECONTRATAÇÃO_Calculo_Subsidio_ELFSM_26_06_08_Modelo_ANEEL_IRT-cálculo" xfId="2768" xr:uid="{00000000-0005-0000-0000-000050000000}"/>
    <cellStyle name="_ADIANTAMENTO SOBRECONTRATAÇÃO_Calculo_Subsidio_ELFSM_26_06_08_Modelo_ANEEL_IRT-cálculo CAPA NEUTRALIDADE" xfId="2769" xr:uid="{00000000-0005-0000-0000-000051000000}"/>
    <cellStyle name="_ADIANTAMENTO SOBRECONTRATAÇÃO_Custo com Avaliação de Ativos para Base de Remuneração" xfId="2770" xr:uid="{00000000-0005-0000-0000-000052000000}"/>
    <cellStyle name="_ADIANTAMENTO SOBRECONTRATAÇÃO_Custo com Avaliação de Ativos para Base de Remuneração_IRT-cálculo" xfId="2771" xr:uid="{00000000-0005-0000-0000-000053000000}"/>
    <cellStyle name="_ADIANTAMENTO SOBRECONTRATAÇÃO_Custo com Avaliação de Ativos para Base de Remuneração_IRT-cálculo CAPA NEUTRALIDADE" xfId="2772" xr:uid="{00000000-0005-0000-0000-000054000000}"/>
    <cellStyle name="_ADIANTAMENTO SOBRECONTRATAÇÃO_Energia Comprada" xfId="2773" xr:uid="{00000000-0005-0000-0000-000055000000}"/>
    <cellStyle name="_ADIANTAMENTO SOBRECONTRATAÇÃO_Energia Comprada_Dados Gerais" xfId="2774" xr:uid="{00000000-0005-0000-0000-000056000000}"/>
    <cellStyle name="_ADIANTAMENTO SOBRECONTRATAÇÃO_Energia Comprada_IRT_Revisão A-1" xfId="2775" xr:uid="{00000000-0005-0000-0000-000057000000}"/>
    <cellStyle name="_ADIANTAMENTO SOBRECONTRATAÇÃO_Energia Comprada_IRT-cálculo" xfId="2776" xr:uid="{00000000-0005-0000-0000-000058000000}"/>
    <cellStyle name="_ADIANTAMENTO SOBRECONTRATAÇÃO_Energia Comprada_IRT-cálculo CAPA NEUTRALIDADE" xfId="2777" xr:uid="{00000000-0005-0000-0000-000059000000}"/>
    <cellStyle name="_ADIANTAMENTO SOBRECONTRATAÇÃO_Fator X" xfId="1484" xr:uid="{00000000-0005-0000-0000-00005A000000}"/>
    <cellStyle name="_ADIANTAMENTO SOBRECONTRATAÇÃO_Fator X_Dados Gerais" xfId="2778" xr:uid="{00000000-0005-0000-0000-00005B000000}"/>
    <cellStyle name="_ADIANTAMENTO SOBRECONTRATAÇÃO_Fator X_IRT_Revisão A-1" xfId="2779" xr:uid="{00000000-0005-0000-0000-00005C000000}"/>
    <cellStyle name="_ADIANTAMENTO SOBRECONTRATAÇÃO_Fator X_IRT-cálculo" xfId="2780" xr:uid="{00000000-0005-0000-0000-00005D000000}"/>
    <cellStyle name="_ADIANTAMENTO SOBRECONTRATAÇÃO_Fator X_IRT-cálculo CAPA NEUTRALIDADE" xfId="2781" xr:uid="{00000000-0005-0000-0000-00005E000000}"/>
    <cellStyle name="_ADIANTAMENTO SOBRECONTRATAÇÃO_Fator X_SOBRECONTRATAÇÃO E CVA" xfId="2782" xr:uid="{00000000-0005-0000-0000-00005F000000}"/>
    <cellStyle name="_ADIANTAMENTO SOBRECONTRATAÇÃO_IF - Autoprodutores 2" xfId="2783" xr:uid="{00000000-0005-0000-0000-000060000000}"/>
    <cellStyle name="_ADIANTAMENTO SOBRECONTRATAÇÃO_IF_Consumidores livres e geradoras_2010" xfId="2784" xr:uid="{00000000-0005-0000-0000-000061000000}"/>
    <cellStyle name="_ADIANTAMENTO SOBRECONTRATAÇÃO_IRT (2)" xfId="1485" xr:uid="{00000000-0005-0000-0000-000062000000}"/>
    <cellStyle name="_ADIANTAMENTO SOBRECONTRATAÇÃO_IRT (2) 2" xfId="2785" xr:uid="{00000000-0005-0000-0000-000063000000}"/>
    <cellStyle name="_ADIANTAMENTO SOBRECONTRATAÇÃO_IRT_1" xfId="1486" xr:uid="{00000000-0005-0000-0000-000064000000}"/>
    <cellStyle name="_ADIANTAMENTO SOBRECONTRATAÇÃO_IRT_1_Dados Gerais" xfId="2786" xr:uid="{00000000-0005-0000-0000-000065000000}"/>
    <cellStyle name="_ADIANTAMENTO SOBRECONTRATAÇÃO_IRT_1_IRT_Revisão A-1" xfId="2787" xr:uid="{00000000-0005-0000-0000-000066000000}"/>
    <cellStyle name="_ADIANTAMENTO SOBRECONTRATAÇÃO_IRT_1_IRT-cálculo" xfId="2788" xr:uid="{00000000-0005-0000-0000-000067000000}"/>
    <cellStyle name="_ADIANTAMENTO SOBRECONTRATAÇÃO_IRT_1_IRT-cálculo CAPA NEUTRALIDADE" xfId="2789" xr:uid="{00000000-0005-0000-0000-000068000000}"/>
    <cellStyle name="_ADIANTAMENTO SOBRECONTRATAÇÃO_IRT_1_SOBRECONTRATAÇÃO E CVA" xfId="2790" xr:uid="{00000000-0005-0000-0000-000069000000}"/>
    <cellStyle name="_ADIANTAMENTO SOBRECONTRATAÇÃO_IRT_Pleito" xfId="2791" xr:uid="{00000000-0005-0000-0000-00006A000000}"/>
    <cellStyle name="_ADIANTAMENTO SOBRECONTRATAÇÃO_IRT_Pleito_Dados Gerais" xfId="2792" xr:uid="{00000000-0005-0000-0000-00006B000000}"/>
    <cellStyle name="_ADIANTAMENTO SOBRECONTRATAÇÃO_IRT_Pleito_IRT_Revisão A-1" xfId="2793" xr:uid="{00000000-0005-0000-0000-00006C000000}"/>
    <cellStyle name="_ADIANTAMENTO SOBRECONTRATAÇÃO_IRT_Pleito_IRT-cálculo" xfId="2794" xr:uid="{00000000-0005-0000-0000-00006D000000}"/>
    <cellStyle name="_ADIANTAMENTO SOBRECONTRATAÇÃO_IRT_Pleito_IRT-cálculo CAPA NEUTRALIDADE" xfId="2795" xr:uid="{00000000-0005-0000-0000-00006E000000}"/>
    <cellStyle name="_ADIANTAMENTO SOBRECONTRATAÇÃO_IRT_Revisão A-1" xfId="2796" xr:uid="{00000000-0005-0000-0000-00006F000000}"/>
    <cellStyle name="_ADIANTAMENTO SOBRECONTRATAÇÃO_IRT-cálculo" xfId="2797" xr:uid="{00000000-0005-0000-0000-000070000000}"/>
    <cellStyle name="_ADIANTAMENTO SOBRECONTRATAÇÃO_IRT-cálculo CAPA NEUTRALIDADE" xfId="2798" xr:uid="{00000000-0005-0000-0000-000071000000}"/>
    <cellStyle name="_ADIANTAMENTO SOBRECONTRATAÇÃO_Pasta1" xfId="1487" xr:uid="{00000000-0005-0000-0000-000072000000}"/>
    <cellStyle name="_ADIANTAMENTO SOBRECONTRATAÇÃO_Pasta1_Dados Gerais" xfId="2799" xr:uid="{00000000-0005-0000-0000-000073000000}"/>
    <cellStyle name="_ADIANTAMENTO SOBRECONTRATAÇÃO_Pasta1_IRT_Revisão A-1" xfId="2800" xr:uid="{00000000-0005-0000-0000-000074000000}"/>
    <cellStyle name="_ADIANTAMENTO SOBRECONTRATAÇÃO_Pasta1_IRT-cálculo" xfId="2801" xr:uid="{00000000-0005-0000-0000-000075000000}"/>
    <cellStyle name="_ADIANTAMENTO SOBRECONTRATAÇÃO_Pasta1_IRT-cálculo CAPA NEUTRALIDADE" xfId="2802" xr:uid="{00000000-0005-0000-0000-000076000000}"/>
    <cellStyle name="_ADIANTAMENTO SOBRECONTRATAÇÃO_Pasta1_SOBRECONTRATAÇÃO E CVA" xfId="2803" xr:uid="{00000000-0005-0000-0000-000077000000}"/>
    <cellStyle name="_ADIANTAMENTO SOBRECONTRATAÇÃO_Sheet1" xfId="2804" xr:uid="{00000000-0005-0000-0000-000078000000}"/>
    <cellStyle name="_ADIANTAMENTO SOBRECONTRATAÇÃO_Sheet2" xfId="2805" xr:uid="{00000000-0005-0000-0000-000079000000}"/>
    <cellStyle name="_ADIANTAMENTO SOBRECONTRATAÇÃO_SOBRECONTRATAÇÃO E CVA" xfId="2806" xr:uid="{00000000-0005-0000-0000-00007A000000}"/>
    <cellStyle name="_Ajustes REAJUSTE 2008 ELETROPAULO" xfId="2807" xr:uid="{00000000-0005-0000-0000-00007B000000}"/>
    <cellStyle name="_Ajustes REVISÃO 2007 ELETROPAULO" xfId="2808" xr:uid="{00000000-0005-0000-0000-00007C000000}"/>
    <cellStyle name="_Alocação Financeiros" xfId="1488" xr:uid="{00000000-0005-0000-0000-00007D000000}"/>
    <cellStyle name="_Alocação Financeiros 2" xfId="2809" xr:uid="{00000000-0005-0000-0000-00007E000000}"/>
    <cellStyle name="_Alocação Financeiros_Energia Comprada" xfId="2810" xr:uid="{00000000-0005-0000-0000-00007F000000}"/>
    <cellStyle name="_Alocação Financeiros_Energia Comprada_Dados Gerais" xfId="2811" xr:uid="{00000000-0005-0000-0000-000080000000}"/>
    <cellStyle name="_Alocação Financeiros_Energia Comprada_IRT_Revisão A-1" xfId="2812" xr:uid="{00000000-0005-0000-0000-000081000000}"/>
    <cellStyle name="_Alocação Financeiros_Energia Comprada_IRT-cálculo" xfId="2813" xr:uid="{00000000-0005-0000-0000-000082000000}"/>
    <cellStyle name="_Alocação Financeiros_Energia Comprada_IRT-cálculo CAPA NEUTRALIDADE" xfId="2814" xr:uid="{00000000-0005-0000-0000-000083000000}"/>
    <cellStyle name="_Alocação Financeiros_Fator X" xfId="1489" xr:uid="{00000000-0005-0000-0000-000084000000}"/>
    <cellStyle name="_Alocação Financeiros_Fator X 2" xfId="2815" xr:uid="{00000000-0005-0000-0000-000085000000}"/>
    <cellStyle name="_Alocação Financeiros_Fator X_Dados Gerais" xfId="2816" xr:uid="{00000000-0005-0000-0000-000086000000}"/>
    <cellStyle name="_Alocação Financeiros_Fator X_IRT_Revisão A-1" xfId="2817" xr:uid="{00000000-0005-0000-0000-000087000000}"/>
    <cellStyle name="_Alocação Financeiros_Fator X_IRT-cálculo" xfId="2818" xr:uid="{00000000-0005-0000-0000-000088000000}"/>
    <cellStyle name="_Alocação Financeiros_Fator X_IRT-cálculo CAPA NEUTRALIDADE" xfId="2819" xr:uid="{00000000-0005-0000-0000-000089000000}"/>
    <cellStyle name="_Alocação Financeiros_Fator X_SOBRECONTRATAÇÃO E CVA" xfId="2820" xr:uid="{00000000-0005-0000-0000-00008A000000}"/>
    <cellStyle name="_Alocação Financeiros_IRT (2)" xfId="1490" xr:uid="{00000000-0005-0000-0000-00008B000000}"/>
    <cellStyle name="_Alocação Financeiros_IRT_1" xfId="1491" xr:uid="{00000000-0005-0000-0000-00008C000000}"/>
    <cellStyle name="_Alocação Financeiros_IRT_1 2" xfId="2821" xr:uid="{00000000-0005-0000-0000-00008D000000}"/>
    <cellStyle name="_Alocação Financeiros_IRT_1_Dados Gerais" xfId="2822" xr:uid="{00000000-0005-0000-0000-00008E000000}"/>
    <cellStyle name="_Alocação Financeiros_IRT_1_IRT_Revisão A-1" xfId="2823" xr:uid="{00000000-0005-0000-0000-00008F000000}"/>
    <cellStyle name="_Alocação Financeiros_IRT_1_IRT-cálculo" xfId="2824" xr:uid="{00000000-0005-0000-0000-000090000000}"/>
    <cellStyle name="_Alocação Financeiros_IRT_1_IRT-cálculo CAPA NEUTRALIDADE" xfId="2825" xr:uid="{00000000-0005-0000-0000-000091000000}"/>
    <cellStyle name="_Alocação Financeiros_IRT_1_SOBRECONTRATAÇÃO E CVA" xfId="2826" xr:uid="{00000000-0005-0000-0000-000092000000}"/>
    <cellStyle name="_Alocação Financeiros_IRT_Revisão A-1" xfId="2827" xr:uid="{00000000-0005-0000-0000-000093000000}"/>
    <cellStyle name="_Alocação Financeiros_IRT-cálculo" xfId="2828" xr:uid="{00000000-0005-0000-0000-000094000000}"/>
    <cellStyle name="_Alocação Financeiros_IRT-cálculo CAPA NEUTRALIDADE" xfId="2829" xr:uid="{00000000-0005-0000-0000-000095000000}"/>
    <cellStyle name="_Alocação Financeiros_Pasta1" xfId="1492" xr:uid="{00000000-0005-0000-0000-000096000000}"/>
    <cellStyle name="_Alocação Financeiros_Pasta1 2" xfId="2830" xr:uid="{00000000-0005-0000-0000-000097000000}"/>
    <cellStyle name="_Alocação Financeiros_Pasta1_IRT-cálculo" xfId="2831" xr:uid="{00000000-0005-0000-0000-000098000000}"/>
    <cellStyle name="_Alocação Financeiros_Pasta1_IRT-cálculo CAPA NEUTRALIDADE" xfId="2832" xr:uid="{00000000-0005-0000-0000-000099000000}"/>
    <cellStyle name="_Alocação Financeiros_Pasta1_SOBRECONTRATAÇÃO E CVA" xfId="2833" xr:uid="{00000000-0005-0000-0000-00009A000000}"/>
    <cellStyle name="_Alocação Financeiros_SOBRECONTRATAÇÃO E CVA" xfId="2834" xr:uid="{00000000-0005-0000-0000-00009B000000}"/>
    <cellStyle name="_AMPLA_Repasse sobrecontratação" xfId="2" xr:uid="{00000000-0005-0000-0000-00009C000000}"/>
    <cellStyle name="_AMPLA_Repasse sobrecontratação 2" xfId="1165" xr:uid="{00000000-0005-0000-0000-00009D000000}"/>
    <cellStyle name="_AMPLA_Repasse sobrecontratação 3" xfId="2835" xr:uid="{00000000-0005-0000-0000-00009E000000}"/>
    <cellStyle name="_AMPLA_Repasse sobrecontratação_Exposição_Agosto 2" xfId="2836" xr:uid="{00000000-0005-0000-0000-00009F000000}"/>
    <cellStyle name="_AMPLA_Repasse sobrecontratação_IRT_Revisão A-2" xfId="2837" xr:uid="{00000000-0005-0000-0000-0000A0000000}"/>
    <cellStyle name="_Análise Coteminas" xfId="2838" xr:uid="{00000000-0005-0000-0000-0000A1000000}"/>
    <cellStyle name="_Análise empresas SCL_ws" xfId="2839" xr:uid="{00000000-0005-0000-0000-0000A2000000}"/>
    <cellStyle name="_Análise Pleitos ER ENERGIPE" xfId="2840" xr:uid="{00000000-0005-0000-0000-0000A3000000}"/>
    <cellStyle name="_ANEEL_FINAL_4ªRTP_ESCELSA_Planilhas" xfId="2841" xr:uid="{00000000-0005-0000-0000-0000A4000000}"/>
    <cellStyle name="_ANEEL_FINAL_4ªRTP_ESCELSA_Planilhas_IRT-cálculo" xfId="2842" xr:uid="{00000000-0005-0000-0000-0000A5000000}"/>
    <cellStyle name="_ANEEL_FINAL_4ªRTP_ESCELSA_Planilhas_IRT-cálculo CAPA NEUTRALIDADE" xfId="2843" xr:uid="{00000000-0005-0000-0000-0000A6000000}"/>
    <cellStyle name="_ANEXO II_Carta_CT_DP_3_06_Memória" xfId="3" xr:uid="{00000000-0005-0000-0000-0000A7000000}"/>
    <cellStyle name="_ANEXO II_Carta_CT_DP_3_06_Memória_IF - Autoprodutores 2" xfId="2844" xr:uid="{00000000-0005-0000-0000-0000A8000000}"/>
    <cellStyle name="_ANEXO II_Carta_CT_DP_3_06_Memória_IF_Consumidores livres e geradoras_2010" xfId="2845" xr:uid="{00000000-0005-0000-0000-0000A9000000}"/>
    <cellStyle name="_ANEXO II_Carta_CT_DP_3_06_Memória_IRT_Revisão A-1" xfId="2846" xr:uid="{00000000-0005-0000-0000-0000AA000000}"/>
    <cellStyle name="_ANEXO II_Carta_CT_DP_3_06_Memória_IRT-cálculo" xfId="2847" xr:uid="{00000000-0005-0000-0000-0000AB000000}"/>
    <cellStyle name="_ANEXO II_Carta_CT_DP_3_06_Memória_IRT-cálculo CAPA NEUTRALIDADE" xfId="2848" xr:uid="{00000000-0005-0000-0000-0000AC000000}"/>
    <cellStyle name="_ANEXO II_Carta_CT_DP_3_06_Memória_Sheet1" xfId="2849" xr:uid="{00000000-0005-0000-0000-0000AD000000}"/>
    <cellStyle name="_Autoprodução - mai09" xfId="2850" xr:uid="{00000000-0005-0000-0000-0000AE000000}"/>
    <cellStyle name="_BALANCO" xfId="2851" xr:uid="{00000000-0005-0000-0000-0000AF000000}"/>
    <cellStyle name="_BALANÇO" xfId="2852" xr:uid="{00000000-0005-0000-0000-0000B0000000}"/>
    <cellStyle name="_Balanço_Energetico" xfId="2853" xr:uid="{00000000-0005-0000-0000-0000B1000000}"/>
    <cellStyle name="_Balanço_Energetico_IRT-cálculo" xfId="2854" xr:uid="{00000000-0005-0000-0000-0000B2000000}"/>
    <cellStyle name="_Balanço_Energetico_IRT-cálculo CAPA NEUTRALIDADE" xfId="2855" xr:uid="{00000000-0005-0000-0000-0000B3000000}"/>
    <cellStyle name="_BALANÇO_IF - Autoprodutores 2" xfId="2856" xr:uid="{00000000-0005-0000-0000-0000B4000000}"/>
    <cellStyle name="_BALANÇO_IF_Consumidores livres e geradoras_2010" xfId="2857" xr:uid="{00000000-0005-0000-0000-0000B5000000}"/>
    <cellStyle name="_BALANÇO_Sheet1" xfId="2858" xr:uid="{00000000-0005-0000-0000-0000B6000000}"/>
    <cellStyle name="_BANCO DE DADOS_2010" xfId="2859" xr:uid="{00000000-0005-0000-0000-0000B7000000}"/>
    <cellStyle name="_Base de Dados - Ofício" xfId="1799" xr:uid="{00000000-0005-0000-0000-0000B8000000}"/>
    <cellStyle name="_Bragantina-SobrasExposição1" xfId="4" xr:uid="{00000000-0005-0000-0000-0000B9000000}"/>
    <cellStyle name="_Bragantina-SobrasExposição1 2" xfId="1166" xr:uid="{00000000-0005-0000-0000-0000BA000000}"/>
    <cellStyle name="_Bragantina-SobrasExposição1_Balanço" xfId="5" xr:uid="{00000000-0005-0000-0000-0000BB000000}"/>
    <cellStyle name="_Bragantina-SobrasExposição1_casulo 15" xfId="6" xr:uid="{00000000-0005-0000-0000-0000BC000000}"/>
    <cellStyle name="_Bragantina-SobrasExposição1_Energia Comprada" xfId="2860" xr:uid="{00000000-0005-0000-0000-0000BD000000}"/>
    <cellStyle name="_Bragantina-SobrasExposição1_Energia Comprada_IRT-cálculo" xfId="2861" xr:uid="{00000000-0005-0000-0000-0000BE000000}"/>
    <cellStyle name="_Bragantina-SobrasExposição1_Energia Comprada_IRT-cálculo CAPA NEUTRALIDADE" xfId="2862" xr:uid="{00000000-0005-0000-0000-0000BF000000}"/>
    <cellStyle name="_Bragantina-SobrasExposição1_Exposição_Agosto 2" xfId="2863" xr:uid="{00000000-0005-0000-0000-0000C0000000}"/>
    <cellStyle name="_Bragantina-SobrasExposição1_Fator X" xfId="1493" xr:uid="{00000000-0005-0000-0000-0000C1000000}"/>
    <cellStyle name="_Bragantina-SobrasExposição1_Fator X 2" xfId="2864" xr:uid="{00000000-0005-0000-0000-0000C2000000}"/>
    <cellStyle name="_Bragantina-SobrasExposição1_Fator X_IRT-cálculo" xfId="2865" xr:uid="{00000000-0005-0000-0000-0000C3000000}"/>
    <cellStyle name="_Bragantina-SobrasExposição1_Fator X_IRT-cálculo CAPA NEUTRALIDADE" xfId="2866" xr:uid="{00000000-0005-0000-0000-0000C4000000}"/>
    <cellStyle name="_Bragantina-SobrasExposição1_Fator X_SOBRECONTRATAÇÃO E CVA" xfId="2867" xr:uid="{00000000-0005-0000-0000-0000C5000000}"/>
    <cellStyle name="_Bragantina-SobrasExposição1_IMPACTO RECEITA" xfId="7" xr:uid="{00000000-0005-0000-0000-0000C6000000}"/>
    <cellStyle name="_Bragantina-SobrasExposição1_IMPACTO RECEITA 2" xfId="1167" xr:uid="{00000000-0005-0000-0000-0000C7000000}"/>
    <cellStyle name="_Bragantina-SobrasExposição1_IMPACTO RECEITA_Balanço" xfId="8" xr:uid="{00000000-0005-0000-0000-0000C8000000}"/>
    <cellStyle name="_Bragantina-SobrasExposição1_IMPACTO RECEITA_casulo 15" xfId="9" xr:uid="{00000000-0005-0000-0000-0000C9000000}"/>
    <cellStyle name="_Bragantina-SobrasExposição1_IMPACTO RECEITA_IRT EEB 2010" xfId="2868" xr:uid="{00000000-0005-0000-0000-0000CA000000}"/>
    <cellStyle name="_Bragantina-SobrasExposição1_IRT (2)" xfId="1494" xr:uid="{00000000-0005-0000-0000-0000CB000000}"/>
    <cellStyle name="_Bragantina-SobrasExposição1_IRT EEB 2010" xfId="2869" xr:uid="{00000000-0005-0000-0000-0000CC000000}"/>
    <cellStyle name="_Bragantina-SobrasExposição1_IRT_1" xfId="1495" xr:uid="{00000000-0005-0000-0000-0000CD000000}"/>
    <cellStyle name="_Bragantina-SobrasExposição1_IRT_1 2" xfId="2870" xr:uid="{00000000-0005-0000-0000-0000CE000000}"/>
    <cellStyle name="_Bragantina-SobrasExposição1_IRT_1_IRT-cálculo" xfId="2871" xr:uid="{00000000-0005-0000-0000-0000CF000000}"/>
    <cellStyle name="_Bragantina-SobrasExposição1_IRT_1_IRT-cálculo CAPA NEUTRALIDADE" xfId="2872" xr:uid="{00000000-0005-0000-0000-0000D0000000}"/>
    <cellStyle name="_Bragantina-SobrasExposição1_IRT_1_SOBRECONTRATAÇÃO E CVA" xfId="2873" xr:uid="{00000000-0005-0000-0000-0000D1000000}"/>
    <cellStyle name="_Bragantina-SobrasExposição1_IRT_Revisão A-2" xfId="2874" xr:uid="{00000000-0005-0000-0000-0000D2000000}"/>
    <cellStyle name="_Bragantina-SobrasExposição1_IRT-cálculo" xfId="2875" xr:uid="{00000000-0005-0000-0000-0000D3000000}"/>
    <cellStyle name="_Bragantina-SobrasExposição1_IRT-cálculo CAPA NEUTRALIDADE" xfId="2876" xr:uid="{00000000-0005-0000-0000-0000D4000000}"/>
    <cellStyle name="_Bragantina-SobrasExposição1_Pasta1" xfId="1496" xr:uid="{00000000-0005-0000-0000-0000D5000000}"/>
    <cellStyle name="_Bragantina-SobrasExposição1_Pasta1 2" xfId="2877" xr:uid="{00000000-0005-0000-0000-0000D6000000}"/>
    <cellStyle name="_Bragantina-SobrasExposição1_Pasta1_IRT-cálculo" xfId="2878" xr:uid="{00000000-0005-0000-0000-0000D7000000}"/>
    <cellStyle name="_Bragantina-SobrasExposição1_Pasta1_IRT-cálculo CAPA NEUTRALIDADE" xfId="2879" xr:uid="{00000000-0005-0000-0000-0000D8000000}"/>
    <cellStyle name="_Bragantina-SobrasExposição1_Pasta1_SOBRECONTRATAÇÃO E CVA" xfId="2880" xr:uid="{00000000-0005-0000-0000-0000D9000000}"/>
    <cellStyle name="_Bragantina-SobrasExposição1_Simulação CEPISA XX_08_07" xfId="1497" xr:uid="{00000000-0005-0000-0000-0000DA000000}"/>
    <cellStyle name="_Bragantina-SobrasExposição1_SOBRECONTRATAÇÃO E CVA" xfId="2881" xr:uid="{00000000-0005-0000-0000-0000DB000000}"/>
    <cellStyle name="_C_CVA_Rede Básica_2008" xfId="2882" xr:uid="{00000000-0005-0000-0000-0000DC000000}"/>
    <cellStyle name="_Calculo Tarifa" xfId="2883" xr:uid="{00000000-0005-0000-0000-0000DD000000}"/>
    <cellStyle name="_Calculo_Subsidio_ELFSM_26_06_08_Modelo_ANEEL" xfId="2884" xr:uid="{00000000-0005-0000-0000-0000DE000000}"/>
    <cellStyle name="_Calculo_Subsidio_ELFSM_26_06_08_Modelo_ANEEL_IRT-cálculo" xfId="2885" xr:uid="{00000000-0005-0000-0000-0000DF000000}"/>
    <cellStyle name="_Calculo_Subsidio_ELFSM_26_06_08_Modelo_ANEEL_IRT-cálculo CAPA NEUTRALIDADE" xfId="2886" xr:uid="{00000000-0005-0000-0000-0000E0000000}"/>
    <cellStyle name="_Cartilha CEB" xfId="2887" xr:uid="{00000000-0005-0000-0000-0000E1000000}"/>
    <cellStyle name="_CELPE - Repasse sobrecontratação" xfId="10" xr:uid="{00000000-0005-0000-0000-0000E2000000}"/>
    <cellStyle name="_CELPE - Repasse sobrecontratação 2" xfId="11" xr:uid="{00000000-0005-0000-0000-0000E3000000}"/>
    <cellStyle name="_CELPE - Repasse sobrecontratação 2 2" xfId="1168" xr:uid="{00000000-0005-0000-0000-0000E4000000}"/>
    <cellStyle name="_CELPE - Repasse sobrecontratação 2 3" xfId="2888" xr:uid="{00000000-0005-0000-0000-0000E5000000}"/>
    <cellStyle name="_CELPE - Repasse sobrecontratação 2_Exposição_Agosto 2" xfId="2889" xr:uid="{00000000-0005-0000-0000-0000E6000000}"/>
    <cellStyle name="_CELPE - Repasse sobrecontratação 2_IRT_Revisão A-2" xfId="2890" xr:uid="{00000000-0005-0000-0000-0000E7000000}"/>
    <cellStyle name="_CELPE - Repasse sobrecontratação 3" xfId="1169" xr:uid="{00000000-0005-0000-0000-0000E8000000}"/>
    <cellStyle name="_CELPE - Repasse sobrecontratação 4" xfId="2891" xr:uid="{00000000-0005-0000-0000-0000E9000000}"/>
    <cellStyle name="_CELPE - Repasse sobrecontratação_Exposição_Agosto 2" xfId="2892" xr:uid="{00000000-0005-0000-0000-0000EA000000}"/>
    <cellStyle name="_CELPE - Repasse sobrecontratação_IRT_Revisão A-2" xfId="2893" xr:uid="{00000000-0005-0000-0000-0000EB000000}"/>
    <cellStyle name="_CEMAT - Repasse sobrecontratação" xfId="2894" xr:uid="{00000000-0005-0000-0000-0000EC000000}"/>
    <cellStyle name="_CEMIG - Repasse sobrecontratação" xfId="12" xr:uid="{00000000-0005-0000-0000-0000ED000000}"/>
    <cellStyle name="_CEMIG - Repasse sobrecontratação 2" xfId="1170" xr:uid="{00000000-0005-0000-0000-0000EE000000}"/>
    <cellStyle name="_CEMIG - Repasse sobrecontratação 3" xfId="2895" xr:uid="{00000000-0005-0000-0000-0000EF000000}"/>
    <cellStyle name="_CEMIG - Repasse sobrecontratação_Exposição_Agosto 2" xfId="2896" xr:uid="{00000000-0005-0000-0000-0000F0000000}"/>
    <cellStyle name="_CEMIG - Repasse sobrecontratação_IRT_Revisão A-2" xfId="2897" xr:uid="{00000000-0005-0000-0000-0000F1000000}"/>
    <cellStyle name="_Comprovação_Itens_Financeiros" xfId="2898" xr:uid="{00000000-0005-0000-0000-0000F2000000}"/>
    <cellStyle name="_Comprovação_Itens_Financeiros_IRT-cálculo" xfId="2899" xr:uid="{00000000-0005-0000-0000-0000F3000000}"/>
    <cellStyle name="_Comprovação_Itens_Financeiros_IRT-cálculo CAPA NEUTRALIDADE" xfId="2900" xr:uid="{00000000-0005-0000-0000-0000F4000000}"/>
    <cellStyle name="_Conferido Calculo_Subsídios_ENERGISA_MG" xfId="2901" xr:uid="{00000000-0005-0000-0000-0000F5000000}"/>
    <cellStyle name="_Consumidor livre - EPB - mai09" xfId="2902" xr:uid="{00000000-0005-0000-0000-0000F6000000}"/>
    <cellStyle name="_Controle RT EMG" xfId="2903" xr:uid="{00000000-0005-0000-0000-0000F7000000}"/>
    <cellStyle name="_Cooperativas - ESE 2010" xfId="2904" xr:uid="{00000000-0005-0000-0000-0000F8000000}"/>
    <cellStyle name="_Cópia (2) de PLPT_PLANILHA_CÁLCULO_DÉFICIT_RESOLUÇÃO_294_2007" xfId="2905" xr:uid="{00000000-0005-0000-0000-0000F9000000}"/>
    <cellStyle name="_Cópia de 2006.05.10 EEB IRT 2006 pleito" xfId="13" xr:uid="{00000000-0005-0000-0000-0000FA000000}"/>
    <cellStyle name="_Cópia de 2006.05.10 EEB IRT 2006 pleito 2" xfId="1171" xr:uid="{00000000-0005-0000-0000-0000FB000000}"/>
    <cellStyle name="_Cópia de 2006.05.10 EEB IRT 2006 pleito_Balanço" xfId="14" xr:uid="{00000000-0005-0000-0000-0000FC000000}"/>
    <cellStyle name="_Cópia de 2006.05.10 EEB IRT 2006 pleito_casulo 15" xfId="15" xr:uid="{00000000-0005-0000-0000-0000FD000000}"/>
    <cellStyle name="_Cópia de 2006.05.10 EEB IRT 2006 pleito_Energia Comprada" xfId="2906" xr:uid="{00000000-0005-0000-0000-0000FE000000}"/>
    <cellStyle name="_Cópia de 2006.05.10 EEB IRT 2006 pleito_Energia Comprada_IRT-cálculo" xfId="2907" xr:uid="{00000000-0005-0000-0000-0000FF000000}"/>
    <cellStyle name="_Cópia de 2006.05.10 EEB IRT 2006 pleito_Energia Comprada_IRT-cálculo CAPA NEUTRALIDADE" xfId="2908" xr:uid="{00000000-0005-0000-0000-000000010000}"/>
    <cellStyle name="_Cópia de 2006.05.10 EEB IRT 2006 pleito_Exposição_Agosto 2" xfId="2909" xr:uid="{00000000-0005-0000-0000-000001010000}"/>
    <cellStyle name="_Cópia de 2006.05.10 EEB IRT 2006 pleito_Fator X" xfId="1498" xr:uid="{00000000-0005-0000-0000-000002010000}"/>
    <cellStyle name="_Cópia de 2006.05.10 EEB IRT 2006 pleito_Fator X 2" xfId="2910" xr:uid="{00000000-0005-0000-0000-000003010000}"/>
    <cellStyle name="_Cópia de 2006.05.10 EEB IRT 2006 pleito_Fator X_IRT-cálculo" xfId="2911" xr:uid="{00000000-0005-0000-0000-000004010000}"/>
    <cellStyle name="_Cópia de 2006.05.10 EEB IRT 2006 pleito_Fator X_IRT-cálculo CAPA NEUTRALIDADE" xfId="2912" xr:uid="{00000000-0005-0000-0000-000005010000}"/>
    <cellStyle name="_Cópia de 2006.05.10 EEB IRT 2006 pleito_Fator X_SOBRECONTRATAÇÃO E CVA" xfId="2913" xr:uid="{00000000-0005-0000-0000-000006010000}"/>
    <cellStyle name="_Cópia de 2006.05.10 EEB IRT 2006 pleito_IMPACTO RECEITA" xfId="16" xr:uid="{00000000-0005-0000-0000-000007010000}"/>
    <cellStyle name="_Cópia de 2006.05.10 EEB IRT 2006 pleito_IMPACTO RECEITA 2" xfId="1172" xr:uid="{00000000-0005-0000-0000-000008010000}"/>
    <cellStyle name="_Cópia de 2006.05.10 EEB IRT 2006 pleito_IMPACTO RECEITA_Balanço" xfId="17" xr:uid="{00000000-0005-0000-0000-000009010000}"/>
    <cellStyle name="_Cópia de 2006.05.10 EEB IRT 2006 pleito_IMPACTO RECEITA_casulo 15" xfId="18" xr:uid="{00000000-0005-0000-0000-00000A010000}"/>
    <cellStyle name="_Cópia de 2006.05.10 EEB IRT 2006 pleito_IMPACTO RECEITA_IRT EEB 2010" xfId="2914" xr:uid="{00000000-0005-0000-0000-00000B010000}"/>
    <cellStyle name="_Cópia de 2006.05.10 EEB IRT 2006 pleito_IRT (2)" xfId="1499" xr:uid="{00000000-0005-0000-0000-00000C010000}"/>
    <cellStyle name="_Cópia de 2006.05.10 EEB IRT 2006 pleito_IRT EEB 2010" xfId="2915" xr:uid="{00000000-0005-0000-0000-00000D010000}"/>
    <cellStyle name="_Cópia de 2006.05.10 EEB IRT 2006 pleito_IRT_1" xfId="1500" xr:uid="{00000000-0005-0000-0000-00000E010000}"/>
    <cellStyle name="_Cópia de 2006.05.10 EEB IRT 2006 pleito_IRT_1 2" xfId="2916" xr:uid="{00000000-0005-0000-0000-00000F010000}"/>
    <cellStyle name="_Cópia de 2006.05.10 EEB IRT 2006 pleito_IRT_1_IRT-cálculo" xfId="2917" xr:uid="{00000000-0005-0000-0000-000010010000}"/>
    <cellStyle name="_Cópia de 2006.05.10 EEB IRT 2006 pleito_IRT_1_IRT-cálculo CAPA NEUTRALIDADE" xfId="2918" xr:uid="{00000000-0005-0000-0000-000011010000}"/>
    <cellStyle name="_Cópia de 2006.05.10 EEB IRT 2006 pleito_IRT_1_SOBRECONTRATAÇÃO E CVA" xfId="2919" xr:uid="{00000000-0005-0000-0000-000012010000}"/>
    <cellStyle name="_Cópia de 2006.05.10 EEB IRT 2006 pleito_IRT_Revisão A-2" xfId="2920" xr:uid="{00000000-0005-0000-0000-000013010000}"/>
    <cellStyle name="_Cópia de 2006.05.10 EEB IRT 2006 pleito_IRT-cálculo" xfId="2921" xr:uid="{00000000-0005-0000-0000-000014010000}"/>
    <cellStyle name="_Cópia de 2006.05.10 EEB IRT 2006 pleito_IRT-cálculo CAPA NEUTRALIDADE" xfId="2922" xr:uid="{00000000-0005-0000-0000-000015010000}"/>
    <cellStyle name="_Cópia de 2006.05.10 EEB IRT 2006 pleito_Pasta1" xfId="1501" xr:uid="{00000000-0005-0000-0000-000016010000}"/>
    <cellStyle name="_Cópia de 2006.05.10 EEB IRT 2006 pleito_Pasta1 2" xfId="2923" xr:uid="{00000000-0005-0000-0000-000017010000}"/>
    <cellStyle name="_Cópia de 2006.05.10 EEB IRT 2006 pleito_Pasta1_IRT-cálculo" xfId="2924" xr:uid="{00000000-0005-0000-0000-000018010000}"/>
    <cellStyle name="_Cópia de 2006.05.10 EEB IRT 2006 pleito_Pasta1_IRT-cálculo CAPA NEUTRALIDADE" xfId="2925" xr:uid="{00000000-0005-0000-0000-000019010000}"/>
    <cellStyle name="_Cópia de 2006.05.10 EEB IRT 2006 pleito_Pasta1_SOBRECONTRATAÇÃO E CVA" xfId="2926" xr:uid="{00000000-0005-0000-0000-00001A010000}"/>
    <cellStyle name="_Cópia de 2006.05.10 EEB IRT 2006 pleito_Simulação CEPISA XX_08_07" xfId="1502" xr:uid="{00000000-0005-0000-0000-00001B010000}"/>
    <cellStyle name="_Cópia de 2006.05.10 EEB IRT 2006 pleito_SOBRECONTRATAÇÃO E CVA" xfId="2927" xr:uid="{00000000-0005-0000-0000-00001C010000}"/>
    <cellStyle name="_Cópia de IRT_CPFL_LESTE_PAULISTA(CPEE)_fev2009-COM_PREVISÃO_BR_da_Diretoria_pos_IGPM" xfId="19" xr:uid="{00000000-0005-0000-0000-00001D010000}"/>
    <cellStyle name="_Cópia de IRT2006_CEB_Final" xfId="20" xr:uid="{00000000-0005-0000-0000-00001E010000}"/>
    <cellStyle name="_Cópia de IRT2006_CEB_Final 2" xfId="1173" xr:uid="{00000000-0005-0000-0000-00001F010000}"/>
    <cellStyle name="_Cópia de IRT2006_CEB_Final 3" xfId="2928" xr:uid="{00000000-0005-0000-0000-000020010000}"/>
    <cellStyle name="_Cópia de IRT2006_CEB_Final_Balanço" xfId="21" xr:uid="{00000000-0005-0000-0000-000021010000}"/>
    <cellStyle name="_Cópia de IRT2006_CEB_Final_casulo 15" xfId="22" xr:uid="{00000000-0005-0000-0000-000022010000}"/>
    <cellStyle name="_Cópia de IRT2006_CEB_Final_Exposição_Agosto 2" xfId="2929" xr:uid="{00000000-0005-0000-0000-000023010000}"/>
    <cellStyle name="_Cópia de IRT2006_CEB_Final_IRT EEB 2010" xfId="2930" xr:uid="{00000000-0005-0000-0000-000024010000}"/>
    <cellStyle name="_Cópia de IRT2006_CEB_Final_IRT_Revisão A-2" xfId="2931" xr:uid="{00000000-0005-0000-0000-000025010000}"/>
    <cellStyle name="_Cópia de IRT2006_CEB_Final_Simulação AES SUL 03_04_07" xfId="23" xr:uid="{00000000-0005-0000-0000-000026010000}"/>
    <cellStyle name="_Cópia de IRT2006_CEB_Final_Simulação AES SUL 03_04_07 2" xfId="1174" xr:uid="{00000000-0005-0000-0000-000027010000}"/>
    <cellStyle name="_Cópia de IRT2006_CEB_Final_Simulação AES SUL 03_04_07 3" xfId="2932" xr:uid="{00000000-0005-0000-0000-000028010000}"/>
    <cellStyle name="_Cópia de IRT2006_CEB_Final_Simulação AES SUL 03_04_07_Balanço" xfId="24" xr:uid="{00000000-0005-0000-0000-000029010000}"/>
    <cellStyle name="_Cópia de IRT2006_CEB_Final_Simulação AES SUL 03_04_07_casulo 15" xfId="25" xr:uid="{00000000-0005-0000-0000-00002A010000}"/>
    <cellStyle name="_Cópia de IRT2006_CEB_Final_Simulação AES SUL 03_04_07_IRT EEB 2010" xfId="2933" xr:uid="{00000000-0005-0000-0000-00002B010000}"/>
    <cellStyle name="_Cópia de IRT2006_CEB_Final_Sobrecontratação AES (2)" xfId="26" xr:uid="{00000000-0005-0000-0000-00002C010000}"/>
    <cellStyle name="_Cópia de IRT2006_CEB_Final_Sobrecontratação AES (2) 2" xfId="1175" xr:uid="{00000000-0005-0000-0000-00002D010000}"/>
    <cellStyle name="_Cópia de IRT2006_CEB_Final_Sobrecontratação AES (2) 3" xfId="2934" xr:uid="{00000000-0005-0000-0000-00002E010000}"/>
    <cellStyle name="_Cópia de IRT2006_CEB_Final_Sobrecontratação AES (2)_Balanço" xfId="27" xr:uid="{00000000-0005-0000-0000-00002F010000}"/>
    <cellStyle name="_Cópia de IRT2006_CEB_Final_Sobrecontratação AES (2)_casulo 15" xfId="28" xr:uid="{00000000-0005-0000-0000-000030010000}"/>
    <cellStyle name="_Cópia de IRT2006_CEB_Final_Sobrecontratação AES (2)_IRT EEB 2010" xfId="2935" xr:uid="{00000000-0005-0000-0000-000031010000}"/>
    <cellStyle name="_Cópia de PRTP v9" xfId="29" xr:uid="{00000000-0005-0000-0000-000032010000}"/>
    <cellStyle name="_Cópia de PRTP v9 2" xfId="1176" xr:uid="{00000000-0005-0000-0000-000033010000}"/>
    <cellStyle name="_Cópia de PRTP v9_02 IRT Bandeirante 2009" xfId="2936" xr:uid="{00000000-0005-0000-0000-000034010000}"/>
    <cellStyle name="_Cópia de PRTP v9_Balanço" xfId="30" xr:uid="{00000000-0005-0000-0000-000035010000}"/>
    <cellStyle name="_Cópia de PRTP v9_Balanço 2" xfId="1177" xr:uid="{00000000-0005-0000-0000-000036010000}"/>
    <cellStyle name="_Cópia de PRTP v9_casulo 15" xfId="31" xr:uid="{00000000-0005-0000-0000-000037010000}"/>
    <cellStyle name="_Cópia de PRTP v9_casulo 5" xfId="32" xr:uid="{00000000-0005-0000-0000-000038010000}"/>
    <cellStyle name="_Cópia de PRTP v9_casulo 5 2" xfId="1178" xr:uid="{00000000-0005-0000-0000-000039010000}"/>
    <cellStyle name="_Cópia de PRTP v9_casulo 5_Balanço" xfId="33" xr:uid="{00000000-0005-0000-0000-00003A010000}"/>
    <cellStyle name="_Cópia de PRTP v9_casulo 5_casulo 15" xfId="34" xr:uid="{00000000-0005-0000-0000-00003B010000}"/>
    <cellStyle name="_Cópia de PRTP v9_casulo 5_IRT EEB 2010" xfId="2937" xr:uid="{00000000-0005-0000-0000-00003C010000}"/>
    <cellStyle name="_Cópia de PRTP v9_IRT EEB 2010" xfId="2938" xr:uid="{00000000-0005-0000-0000-00003D010000}"/>
    <cellStyle name="_Cópia de PRTP v9_IRT Piratininga 2009" xfId="35" xr:uid="{00000000-0005-0000-0000-00003E010000}"/>
    <cellStyle name="_Cópia de PRTP v9_IRT Piratininga 2009 2" xfId="1179" xr:uid="{00000000-0005-0000-0000-00003F010000}"/>
    <cellStyle name="_Cópia de PRTP v9_IRT Piratininga 2009_Balanço" xfId="36" xr:uid="{00000000-0005-0000-0000-000040010000}"/>
    <cellStyle name="_Cópia de PRTP v9_IRT Piratininga 2009_casulo 15" xfId="37" xr:uid="{00000000-0005-0000-0000-000041010000}"/>
    <cellStyle name="_Cópia de PRTP v9_IRT Piratininga 2009_IRT EEB 2010" xfId="2939" xr:uid="{00000000-0005-0000-0000-000042010000}"/>
    <cellStyle name="_Cópia de PRTP v9_IRT_EBB_mai2010d" xfId="2940" xr:uid="{00000000-0005-0000-0000-000043010000}"/>
    <cellStyle name="_Cópia de PRTP v9_IRT_Planilha Básica_ CETRIL" xfId="38" xr:uid="{00000000-0005-0000-0000-000044010000}"/>
    <cellStyle name="_Cópia de PRTP v9_IRT_Planilha Básica_ CETRIL 2" xfId="1180" xr:uid="{00000000-0005-0000-0000-000045010000}"/>
    <cellStyle name="_Cópia de PRTP v9_IRT_Planilha Básica_ CETRIL_Balanço" xfId="39" xr:uid="{00000000-0005-0000-0000-000046010000}"/>
    <cellStyle name="_Cópia de PRTP v9_IRT_Planilha Básica_ CETRIL_casulo 15" xfId="40" xr:uid="{00000000-0005-0000-0000-000047010000}"/>
    <cellStyle name="_Cópia de PRTP v9_IRT_Planilha Básica_ CETRIL_IRT EEB 2010" xfId="2941" xr:uid="{00000000-0005-0000-0000-000048010000}"/>
    <cellStyle name="_Cópia de PRTP v9_IRT_Planilha Básica_DIRETORIA" xfId="2942" xr:uid="{00000000-0005-0000-0000-000049010000}"/>
    <cellStyle name="_Cópia de PRTP v9_IRT_Planilha Básica_fev2010" xfId="2943" xr:uid="{00000000-0005-0000-0000-00004A010000}"/>
    <cellStyle name="_Cópia de PRTP v9_IRT_Planilha Básica_fev2010a" xfId="41" xr:uid="{00000000-0005-0000-0000-00004B010000}"/>
    <cellStyle name="_Cópia de PRTP v9_IRT_Planilha Básica_fev2010a 2" xfId="1181" xr:uid="{00000000-0005-0000-0000-00004C010000}"/>
    <cellStyle name="_Cópia de PRTP v9_IRT_Planilha Básica_fev2010a_Balanço" xfId="42" xr:uid="{00000000-0005-0000-0000-00004D010000}"/>
    <cellStyle name="_Cópia de PRTP v9_IRT_Planilha Básica_fev2010a_Balanço 2" xfId="1182" xr:uid="{00000000-0005-0000-0000-00004E010000}"/>
    <cellStyle name="_Cópia de PRTP v9_IRT_Planilha Básica_fev2010a_casulo 15" xfId="43" xr:uid="{00000000-0005-0000-0000-00004F010000}"/>
    <cellStyle name="_Cópia de PRTP v9_IRT_Planilha Básica_fev2010a_casulo 5" xfId="44" xr:uid="{00000000-0005-0000-0000-000050010000}"/>
    <cellStyle name="_Cópia de PRTP v9_IRT_Planilha Básica_fev2010a_casulo 5 2" xfId="1183" xr:uid="{00000000-0005-0000-0000-000051010000}"/>
    <cellStyle name="_Cópia de PRTP v9_IRT_Planilha Básica_fev2010a_casulo 5_Balanço" xfId="45" xr:uid="{00000000-0005-0000-0000-000052010000}"/>
    <cellStyle name="_Cópia de PRTP v9_IRT_Planilha Básica_fev2010a_casulo 5_casulo 15" xfId="46" xr:uid="{00000000-0005-0000-0000-000053010000}"/>
    <cellStyle name="_Cópia de PRTP v9_IRT_Planilha Básica_fev2010a_casulo 5_IRT EEB 2010" xfId="2944" xr:uid="{00000000-0005-0000-0000-000054010000}"/>
    <cellStyle name="_Cópia de PRTP v9_IRT_Planilha Básica_fev2010a_IRT EEB 2010" xfId="2945" xr:uid="{00000000-0005-0000-0000-000055010000}"/>
    <cellStyle name="_Cópia de PRTP v9_IRT_Planilha Básica_jan2010" xfId="2946" xr:uid="{00000000-0005-0000-0000-000056010000}"/>
    <cellStyle name="_Cópia de PRTP v9_IRT_Planilha Básica_mar2010b" xfId="2947" xr:uid="{00000000-0005-0000-0000-000057010000}"/>
    <cellStyle name="_Cópia de PRTP v9_IRT_Planilha Básica_mar2010d" xfId="47" xr:uid="{00000000-0005-0000-0000-000058010000}"/>
    <cellStyle name="_Cópia de PRTP v9_IRT_Planilha Básica_mar2010d 2" xfId="1184" xr:uid="{00000000-0005-0000-0000-000059010000}"/>
    <cellStyle name="_Cópia de PRTP v9_IRT_Planilha Básica_NOVA METODOLOGIA" xfId="2948" xr:uid="{00000000-0005-0000-0000-00005A010000}"/>
    <cellStyle name="_Cópia de PRTP v9_IRT_Santa 2010" xfId="2949" xr:uid="{00000000-0005-0000-0000-00005B010000}"/>
    <cellStyle name="_Cópia de PRTP v9_IRT-cálculo" xfId="2950" xr:uid="{00000000-0005-0000-0000-00005C010000}"/>
    <cellStyle name="_Cópia de PRTP v9_IRT-cálculo CAPA NEUTRALIDADE" xfId="2951" xr:uid="{00000000-0005-0000-0000-00005D010000}"/>
    <cellStyle name="_Cópia de PRTP v9_Resultados_DEA_RND_QUAL_PERDAS" xfId="2952" xr:uid="{00000000-0005-0000-0000-00005E010000}"/>
    <cellStyle name="_Cópia de PRTP v9_teste ampla" xfId="48" xr:uid="{00000000-0005-0000-0000-00005F010000}"/>
    <cellStyle name="_Cópia de PRTP v9_teste ampla 2" xfId="1185" xr:uid="{00000000-0005-0000-0000-000060010000}"/>
    <cellStyle name="_Cópia de PRTP v9_teste ampla_Balanço" xfId="49" xr:uid="{00000000-0005-0000-0000-000061010000}"/>
    <cellStyle name="_Cópia de PRTP v9_teste ampla_Balanço 2" xfId="1186" xr:uid="{00000000-0005-0000-0000-000062010000}"/>
    <cellStyle name="_Cópia de PRTP v9_teste ampla_casulo 15" xfId="50" xr:uid="{00000000-0005-0000-0000-000063010000}"/>
    <cellStyle name="_Cópia de PRTP v9_teste ampla_casulo 5" xfId="51" xr:uid="{00000000-0005-0000-0000-000064010000}"/>
    <cellStyle name="_Cópia de PRTP v9_teste ampla_casulo 5 2" xfId="1187" xr:uid="{00000000-0005-0000-0000-000065010000}"/>
    <cellStyle name="_Cópia de PRTP v9_teste ampla_casulo 5_Balanço" xfId="52" xr:uid="{00000000-0005-0000-0000-000066010000}"/>
    <cellStyle name="_Cópia de PRTP v9_teste ampla_casulo 5_casulo 15" xfId="53" xr:uid="{00000000-0005-0000-0000-000067010000}"/>
    <cellStyle name="_Cópia de PRTP v9_teste ampla_casulo 5_IRT EEB 2010" xfId="2953" xr:uid="{00000000-0005-0000-0000-000068010000}"/>
    <cellStyle name="_Cópia de PRTP v9_teste ampla_IRT EEB 2010" xfId="2954" xr:uid="{00000000-0005-0000-0000-000069010000}"/>
    <cellStyle name="_Cópia de PRTP_v6-Elektro" xfId="2955" xr:uid="{00000000-0005-0000-0000-00006A010000}"/>
    <cellStyle name="_Cópia de SOBRECONTRATAÇÃO - RES  255-2007 ENERGIPE - FINAL" xfId="1503" xr:uid="{00000000-0005-0000-0000-00006B010000}"/>
    <cellStyle name="_Cópia de SOBRECONTRATAÇÃO - RES  255-2007 ENERGIPE - FINAL 2" xfId="2956" xr:uid="{00000000-0005-0000-0000-00006C010000}"/>
    <cellStyle name="_Cópia de SOBRECONTRATAÇÃO - RES  255-2007 ENERGIPE - FINAL_CVA Borborema 2010 - Fiscalizada Final" xfId="2957" xr:uid="{00000000-0005-0000-0000-00006D010000}"/>
    <cellStyle name="_Cópia de SOBRECONTRATAÇÃO - RES  255-2007 ENERGIPE - FINAL_Energia Comprada" xfId="2958" xr:uid="{00000000-0005-0000-0000-00006E010000}"/>
    <cellStyle name="_Cópia de SOBRECONTRATAÇÃO - RES  255-2007 ENERGIPE - FINAL_Energia Comprada_IRT-cálculo" xfId="2959" xr:uid="{00000000-0005-0000-0000-00006F010000}"/>
    <cellStyle name="_Cópia de SOBRECONTRATAÇÃO - RES  255-2007 ENERGIPE - FINAL_Energia Comprada_IRT-cálculo CAPA NEUTRALIDADE" xfId="2960" xr:uid="{00000000-0005-0000-0000-000070010000}"/>
    <cellStyle name="_Cópia de SOBRECONTRATAÇÃO - RES  255-2007 ENERGIPE - FINAL_Fator X" xfId="1504" xr:uid="{00000000-0005-0000-0000-000071010000}"/>
    <cellStyle name="_Cópia de SOBRECONTRATAÇÃO - RES  255-2007 ENERGIPE - FINAL_Fator X 2" xfId="2961" xr:uid="{00000000-0005-0000-0000-000072010000}"/>
    <cellStyle name="_Cópia de SOBRECONTRATAÇÃO - RES  255-2007 ENERGIPE - FINAL_Fator X_IRT-cálculo" xfId="2962" xr:uid="{00000000-0005-0000-0000-000073010000}"/>
    <cellStyle name="_Cópia de SOBRECONTRATAÇÃO - RES  255-2007 ENERGIPE - FINAL_Fator X_IRT-cálculo CAPA NEUTRALIDADE" xfId="2963" xr:uid="{00000000-0005-0000-0000-000074010000}"/>
    <cellStyle name="_Cópia de SOBRECONTRATAÇÃO - RES  255-2007 ENERGIPE - FINAL_Fator X_SOBRECONTRATAÇÃO E CVA" xfId="2964" xr:uid="{00000000-0005-0000-0000-000075010000}"/>
    <cellStyle name="_Cópia de SOBRECONTRATAÇÃO - RES  255-2007 ENERGIPE - FINAL_IRT (2)" xfId="1505" xr:uid="{00000000-0005-0000-0000-000076010000}"/>
    <cellStyle name="_Cópia de SOBRECONTRATAÇÃO - RES  255-2007 ENERGIPE - FINAL_IRT_1" xfId="1506" xr:uid="{00000000-0005-0000-0000-000077010000}"/>
    <cellStyle name="_Cópia de SOBRECONTRATAÇÃO - RES  255-2007 ENERGIPE - FINAL_IRT_1 2" xfId="2965" xr:uid="{00000000-0005-0000-0000-000078010000}"/>
    <cellStyle name="_Cópia de SOBRECONTRATAÇÃO - RES  255-2007 ENERGIPE - FINAL_IRT_1_IRT-cálculo" xfId="2966" xr:uid="{00000000-0005-0000-0000-000079010000}"/>
    <cellStyle name="_Cópia de SOBRECONTRATAÇÃO - RES  255-2007 ENERGIPE - FINAL_IRT_1_IRT-cálculo CAPA NEUTRALIDADE" xfId="2967" xr:uid="{00000000-0005-0000-0000-00007A010000}"/>
    <cellStyle name="_Cópia de SOBRECONTRATAÇÃO - RES  255-2007 ENERGIPE - FINAL_IRT_1_SOBRECONTRATAÇÃO E CVA" xfId="2968" xr:uid="{00000000-0005-0000-0000-00007B010000}"/>
    <cellStyle name="_Cópia de SOBRECONTRATAÇÃO - RES  255-2007 ENERGIPE - FINAL_IRT-cálculo" xfId="2969" xr:uid="{00000000-0005-0000-0000-00007C010000}"/>
    <cellStyle name="_Cópia de SOBRECONTRATAÇÃO - RES  255-2007 ENERGIPE - FINAL_IRT-cálculo CAPA NEUTRALIDADE" xfId="2970" xr:uid="{00000000-0005-0000-0000-00007D010000}"/>
    <cellStyle name="_Cópia de SOBRECONTRATAÇÃO - RES  255-2007 ENERGIPE - FINAL_Pasta1" xfId="1507" xr:uid="{00000000-0005-0000-0000-00007E010000}"/>
    <cellStyle name="_Cópia de SOBRECONTRATAÇÃO - RES  255-2007 ENERGIPE - FINAL_Pasta1 2" xfId="2971" xr:uid="{00000000-0005-0000-0000-00007F010000}"/>
    <cellStyle name="_Cópia de SOBRECONTRATAÇÃO - RES  255-2007 ENERGIPE - FINAL_Pasta1_IRT-cálculo" xfId="2972" xr:uid="{00000000-0005-0000-0000-000080010000}"/>
    <cellStyle name="_Cópia de SOBRECONTRATAÇÃO - RES  255-2007 ENERGIPE - FINAL_Pasta1_IRT-cálculo CAPA NEUTRALIDADE" xfId="2973" xr:uid="{00000000-0005-0000-0000-000081010000}"/>
    <cellStyle name="_Cópia de SOBRECONTRATAÇÃO - RES  255-2007 ENERGIPE - FINAL_Pasta1_SOBRECONTRATAÇÃO E CVA" xfId="2974" xr:uid="{00000000-0005-0000-0000-000082010000}"/>
    <cellStyle name="_Cópia de SOBRECONTRATAÇÃO - RES  255-2007 ENERGIPE - FINAL_SOBRECONTRATAÇÃO E CVA" xfId="2975" xr:uid="{00000000-0005-0000-0000-000083010000}"/>
    <cellStyle name="_Correção e apuração PIS COFINS 26-08-2005_CEB" xfId="54" xr:uid="{00000000-0005-0000-0000-000084010000}"/>
    <cellStyle name="_Correção e apuração PIS COFINS 26-08-2005_CEB_Calculo_Subsidio_ELFSM_26_06_08_Modelo_ANEEL" xfId="2976" xr:uid="{00000000-0005-0000-0000-000085010000}"/>
    <cellStyle name="_Correção e apuração PIS COFINS 26-08-2005_CEB_Calculo_Subsidio_ELFSM_26_06_08_Modelo_ANEEL_IRT-cálculo" xfId="2977" xr:uid="{00000000-0005-0000-0000-000086010000}"/>
    <cellStyle name="_Correção e apuração PIS COFINS 26-08-2005_CEB_Calculo_Subsidio_ELFSM_26_06_08_Modelo_ANEEL_IRT-cálculo CAPA NEUTRALIDADE" xfId="2978" xr:uid="{00000000-0005-0000-0000-000087010000}"/>
    <cellStyle name="_Correção e apuração PIS COFINS 26-08-2005_CEB_CVA_Projetada até dez-2008_Setembro" xfId="2979" xr:uid="{00000000-0005-0000-0000-000088010000}"/>
    <cellStyle name="_Correção e apuração PIS COFINS 26-08-2005_CEB_CVA_Projetada até dez-2008_Setembro_CVA Outros Componentes PROVISÃO" xfId="2980" xr:uid="{00000000-0005-0000-0000-000089010000}"/>
    <cellStyle name="_Correção e apuração PIS COFINS 26-08-2005_CEB_CVA_Projetada até dez-2008_Setembro_PROVISÃO" xfId="2981" xr:uid="{00000000-0005-0000-0000-00008A010000}"/>
    <cellStyle name="_Correção e apuração PIS COFINS 26-08-2005_CEB_Energia Comprada" xfId="2982" xr:uid="{00000000-0005-0000-0000-00008B010000}"/>
    <cellStyle name="_Correção e apuração PIS COFINS 26-08-2005_CEB_Energia Comprada_IRT-cálculo" xfId="2983" xr:uid="{00000000-0005-0000-0000-00008C010000}"/>
    <cellStyle name="_Correção e apuração PIS COFINS 26-08-2005_CEB_Energia Comprada_IRT-cálculo CAPA NEUTRALIDADE" xfId="2984" xr:uid="{00000000-0005-0000-0000-00008D010000}"/>
    <cellStyle name="_Correção e apuração PIS COFINS 26-08-2005_CEB_Fator X" xfId="1508" xr:uid="{00000000-0005-0000-0000-00008E010000}"/>
    <cellStyle name="_Correção e apuração PIS COFINS 26-08-2005_CEB_Fator X_IRT-cálculo" xfId="2985" xr:uid="{00000000-0005-0000-0000-00008F010000}"/>
    <cellStyle name="_Correção e apuração PIS COFINS 26-08-2005_CEB_Fator X_IRT-cálculo CAPA NEUTRALIDADE" xfId="2986" xr:uid="{00000000-0005-0000-0000-000090010000}"/>
    <cellStyle name="_Correção e apuração PIS COFINS 26-08-2005_CEB_Fator X_SOBRECONTRATAÇÃO E CVA" xfId="2987" xr:uid="{00000000-0005-0000-0000-000091010000}"/>
    <cellStyle name="_Correção e apuração PIS COFINS 26-08-2005_CEB_IF - Autoprodutores 2" xfId="2988" xr:uid="{00000000-0005-0000-0000-000092010000}"/>
    <cellStyle name="_Correção e apuração PIS COFINS 26-08-2005_CEB_IF_Consumidores livres e geradoras_2010" xfId="2989" xr:uid="{00000000-0005-0000-0000-000093010000}"/>
    <cellStyle name="_Correção e apuração PIS COFINS 26-08-2005_CEB_IRT (2)" xfId="1509" xr:uid="{00000000-0005-0000-0000-000094010000}"/>
    <cellStyle name="_Correção e apuração PIS COFINS 26-08-2005_CEB_IRT (2) 2" xfId="2990" xr:uid="{00000000-0005-0000-0000-000095010000}"/>
    <cellStyle name="_Correção e apuração PIS COFINS 26-08-2005_CEB_IRT_1" xfId="1510" xr:uid="{00000000-0005-0000-0000-000096010000}"/>
    <cellStyle name="_Correção e apuração PIS COFINS 26-08-2005_CEB_IRT_1_IRT-cálculo" xfId="2991" xr:uid="{00000000-0005-0000-0000-000097010000}"/>
    <cellStyle name="_Correção e apuração PIS COFINS 26-08-2005_CEB_IRT_1_IRT-cálculo CAPA NEUTRALIDADE" xfId="2992" xr:uid="{00000000-0005-0000-0000-000098010000}"/>
    <cellStyle name="_Correção e apuração PIS COFINS 26-08-2005_CEB_IRT_1_SOBRECONTRATAÇÃO E CVA" xfId="2993" xr:uid="{00000000-0005-0000-0000-000099010000}"/>
    <cellStyle name="_Correção e apuração PIS COFINS 26-08-2005_CEB_IRT_Planilha Básica_ CETRIL" xfId="55" xr:uid="{00000000-0005-0000-0000-00009A010000}"/>
    <cellStyle name="_Correção e apuração PIS COFINS 26-08-2005_CEB_IRT_Planilha Básica_ CETRIL 2" xfId="1188" xr:uid="{00000000-0005-0000-0000-00009B010000}"/>
    <cellStyle name="_Correção e apuração PIS COFINS 26-08-2005_CEB_IRT_Pleito" xfId="2994" xr:uid="{00000000-0005-0000-0000-00009C010000}"/>
    <cellStyle name="_Correção e apuração PIS COFINS 26-08-2005_CEB_IRT_Pleito_IRT-cálculo" xfId="2995" xr:uid="{00000000-0005-0000-0000-00009D010000}"/>
    <cellStyle name="_Correção e apuração PIS COFINS 26-08-2005_CEB_IRT_Pleito_IRT-cálculo CAPA NEUTRALIDADE" xfId="2996" xr:uid="{00000000-0005-0000-0000-00009E010000}"/>
    <cellStyle name="_Correção e apuração PIS COFINS 26-08-2005_CEB_IRT_Revisão A-1" xfId="2997" xr:uid="{00000000-0005-0000-0000-00009F010000}"/>
    <cellStyle name="_Correção e apuração PIS COFINS 26-08-2005_CEB_IRT-cálculo" xfId="2998" xr:uid="{00000000-0005-0000-0000-0000A0010000}"/>
    <cellStyle name="_Correção e apuração PIS COFINS 26-08-2005_CEB_IRT-cálculo CAPA NEUTRALIDADE" xfId="2999" xr:uid="{00000000-0005-0000-0000-0000A1010000}"/>
    <cellStyle name="_Correção e apuração PIS COFINS 26-08-2005_CEB_Pasta1" xfId="1511" xr:uid="{00000000-0005-0000-0000-0000A2010000}"/>
    <cellStyle name="_Correção e apuração PIS COFINS 26-08-2005_CEB_Pasta1_IRT-cálculo" xfId="3000" xr:uid="{00000000-0005-0000-0000-0000A3010000}"/>
    <cellStyle name="_Correção e apuração PIS COFINS 26-08-2005_CEB_Pasta1_IRT-cálculo CAPA NEUTRALIDADE" xfId="3001" xr:uid="{00000000-0005-0000-0000-0000A4010000}"/>
    <cellStyle name="_Correção e apuração PIS COFINS 26-08-2005_CEB_Pasta1_SOBRECONTRATAÇÃO E CVA" xfId="3002" xr:uid="{00000000-0005-0000-0000-0000A5010000}"/>
    <cellStyle name="_Correção e apuração PIS COFINS 26-08-2005_CEB_Sheet1" xfId="3003" xr:uid="{00000000-0005-0000-0000-0000A6010000}"/>
    <cellStyle name="_Correção e apuração PIS COFINS 26-08-2005_CEB_SOBRECONTRATAÇÃO E CVA" xfId="3004" xr:uid="{00000000-0005-0000-0000-0000A7010000}"/>
    <cellStyle name="_Correção e apuração PIS COFINS 26-08-2005_CEB_SOBRECONTRATAÇÃO E CVA A-1" xfId="3005" xr:uid="{00000000-0005-0000-0000-0000A8010000}"/>
    <cellStyle name="_Correção e apuração PIS COFINS 26-08-2005_CEB_SOBRECONTRATAÇÃO E CVA A-1_IRT-cálculo" xfId="3006" xr:uid="{00000000-0005-0000-0000-0000A9010000}"/>
    <cellStyle name="_Correção e apuração PIS COFINS 26-08-2005_CEB_SOBRECONTRATAÇÃO E CVA A-1_IRT-cálculo CAPA NEUTRALIDADE" xfId="3007" xr:uid="{00000000-0005-0000-0000-0000AA010000}"/>
    <cellStyle name="_COSERN_IRT_2007_SIMULADOR" xfId="1512" xr:uid="{00000000-0005-0000-0000-0000AB010000}"/>
    <cellStyle name="_COSERN_IRT_2007_SIMULADOR 2" xfId="3008" xr:uid="{00000000-0005-0000-0000-0000AC010000}"/>
    <cellStyle name="_CPFL PAULISTA - Repasse sobrecontratação" xfId="3009" xr:uid="{00000000-0005-0000-0000-0000AD010000}"/>
    <cellStyle name="_CPFL-SobrasExposiçãoSubmercados" xfId="56" xr:uid="{00000000-0005-0000-0000-0000AE010000}"/>
    <cellStyle name="_CPFL-SobrasExposiçãoSubmercados 2" xfId="909" xr:uid="{00000000-0005-0000-0000-0000AF010000}"/>
    <cellStyle name="_CPFL-SobrasExposiçãoSubmercados 3" xfId="3010" xr:uid="{00000000-0005-0000-0000-0000B0010000}"/>
    <cellStyle name="_CPFL-SobrasExposiçãoSubmercados_02 IRT COSERN 2009" xfId="1513" xr:uid="{00000000-0005-0000-0000-0000B1010000}"/>
    <cellStyle name="_CPFL-SobrasExposiçãoSubmercados_2008.08.07 CELPA IRT2008 Homologado" xfId="3011" xr:uid="{00000000-0005-0000-0000-0000B2010000}"/>
    <cellStyle name="_CPFL-SobrasExposiçãoSubmercados_2009.04.09 EEB IRT2009 Conexao CEMIG C Financeiro" xfId="3012" xr:uid="{00000000-0005-0000-0000-0000B3010000}"/>
    <cellStyle name="_CPFL-SobrasExposiçãoSubmercados_Ajuste SALDO CVA ANO ANTERIOR PÓS-REVISÃOx" xfId="3013" xr:uid="{00000000-0005-0000-0000-0000B4010000}"/>
    <cellStyle name="_CPFL-SobrasExposiçãoSubmercados_Ajustes REAJUSTE 2008 ELETROPAULO" xfId="3014" xr:uid="{00000000-0005-0000-0000-0000B5010000}"/>
    <cellStyle name="_CPFL-SobrasExposiçãoSubmercados_Ajustes REAJUSTE 2008 ELETROPAULO_IRT-cálculo" xfId="3015" xr:uid="{00000000-0005-0000-0000-0000B6010000}"/>
    <cellStyle name="_CPFL-SobrasExposiçãoSubmercados_Ajustes REAJUSTE 2008 ELETROPAULO_IRT-cálculo CAPA NEUTRALIDADE" xfId="3016" xr:uid="{00000000-0005-0000-0000-0000B7010000}"/>
    <cellStyle name="_CPFL-SobrasExposiçãoSubmercados_Ajustes REVISÃO 2007 ELETROPAULO" xfId="3017" xr:uid="{00000000-0005-0000-0000-0000B8010000}"/>
    <cellStyle name="_CPFL-SobrasExposiçãoSubmercados_Ajustes REVISÃO 2007 ELETROPAULO_IRT-cálculo" xfId="3018" xr:uid="{00000000-0005-0000-0000-0000B9010000}"/>
    <cellStyle name="_CPFL-SobrasExposiçãoSubmercados_Ajustes REVISÃO 2007 ELETROPAULO_IRT-cálculo CAPA NEUTRALIDADE" xfId="3019" xr:uid="{00000000-0005-0000-0000-0000BA010000}"/>
    <cellStyle name="_CPFL-SobrasExposiçãoSubmercados_Balanço" xfId="57" xr:uid="{00000000-0005-0000-0000-0000BB010000}"/>
    <cellStyle name="_CPFL-SobrasExposiçãoSubmercados_Balanço 2" xfId="1189" xr:uid="{00000000-0005-0000-0000-0000BC010000}"/>
    <cellStyle name="_CPFL-SobrasExposiçãoSubmercados_Cálculo do Financeiro do Baixa Renda" xfId="3020" xr:uid="{00000000-0005-0000-0000-0000BD010000}"/>
    <cellStyle name="_CPFL-SobrasExposiçãoSubmercados_Cálculo do Financeiro do Baixa Renda_IRT-cálculo" xfId="3021" xr:uid="{00000000-0005-0000-0000-0000BE010000}"/>
    <cellStyle name="_CPFL-SobrasExposiçãoSubmercados_Cálculo do Financeiro do Baixa Renda_IRT-cálculo CAPA NEUTRALIDADE" xfId="3022" xr:uid="{00000000-0005-0000-0000-0000BF010000}"/>
    <cellStyle name="_CPFL-SobrasExposiçãoSubmercados_Calculo_Subsidio_ELFSM_26_06_08_Modelo_ANEEL" xfId="3023" xr:uid="{00000000-0005-0000-0000-0000C0010000}"/>
    <cellStyle name="_CPFL-SobrasExposiçãoSubmercados_Calculo_Subsidio_ELFSM_26_06_08_Modelo_ANEEL_IRT-cálculo" xfId="3024" xr:uid="{00000000-0005-0000-0000-0000C1010000}"/>
    <cellStyle name="_CPFL-SobrasExposiçãoSubmercados_Calculo_Subsidio_ELFSM_26_06_08_Modelo_ANEEL_IRT-cálculo CAPA NEUTRALIDADE" xfId="3025" xr:uid="{00000000-0005-0000-0000-0000C2010000}"/>
    <cellStyle name="_CPFL-SobrasExposiçãoSubmercados_casulo 15" xfId="58" xr:uid="{00000000-0005-0000-0000-0000C3010000}"/>
    <cellStyle name="_CPFL-SobrasExposiçãoSubmercados_casulo 5" xfId="59" xr:uid="{00000000-0005-0000-0000-0000C4010000}"/>
    <cellStyle name="_CPFL-SobrasExposiçãoSubmercados_casulo 5 2" xfId="1190" xr:uid="{00000000-0005-0000-0000-0000C5010000}"/>
    <cellStyle name="_CPFL-SobrasExposiçãoSubmercados_casulo 5_Balanço" xfId="60" xr:uid="{00000000-0005-0000-0000-0000C6010000}"/>
    <cellStyle name="_CPFL-SobrasExposiçãoSubmercados_casulo 5_casulo 15" xfId="61" xr:uid="{00000000-0005-0000-0000-0000C7010000}"/>
    <cellStyle name="_CPFL-SobrasExposiçãoSubmercados_casulo 5_IRT EEB 2010" xfId="3026" xr:uid="{00000000-0005-0000-0000-0000C8010000}"/>
    <cellStyle name="_CPFL-SobrasExposiçãoSubmercados_Cópia de IRT_CPFL_LESTE_PAULISTA(CPEE)_fev2009-COM_PREVISÃO_BR_da_Diretoria_pos_IGPM" xfId="62" xr:uid="{00000000-0005-0000-0000-0000C9010000}"/>
    <cellStyle name="_CPFL-SobrasExposiçãoSubmercados_Cópia de IRT_CPFL_LESTE_PAULISTA(CPEE)_fev2009-COM_PREVISÃO_BR_da_Diretoria_pos_IGPM 2" xfId="1191" xr:uid="{00000000-0005-0000-0000-0000CA010000}"/>
    <cellStyle name="_CPFL-SobrasExposiçãoSubmercados_Cópia de IRT_CPFL_LESTE_PAULISTA(CPEE)_fev2009-COM_PREVISÃO_BR_da_Diretoria_pos_IGPM_Balanço" xfId="63" xr:uid="{00000000-0005-0000-0000-0000CB010000}"/>
    <cellStyle name="_CPFL-SobrasExposiçãoSubmercados_Cópia de IRT_CPFL_LESTE_PAULISTA(CPEE)_fev2009-COM_PREVISÃO_BR_da_Diretoria_pos_IGPM_Balanço 2" xfId="1192" xr:uid="{00000000-0005-0000-0000-0000CC010000}"/>
    <cellStyle name="_CPFL-SobrasExposiçãoSubmercados_Cópia de IRT_CPFL_LESTE_PAULISTA(CPEE)_fev2009-COM_PREVISÃO_BR_da_Diretoria_pos_IGPM_casulo 15" xfId="64" xr:uid="{00000000-0005-0000-0000-0000CD010000}"/>
    <cellStyle name="_CPFL-SobrasExposiçãoSubmercados_Cópia de IRT_CPFL_LESTE_PAULISTA(CPEE)_fev2009-COM_PREVISÃO_BR_da_Diretoria_pos_IGPM_casulo 5" xfId="65" xr:uid="{00000000-0005-0000-0000-0000CE010000}"/>
    <cellStyle name="_CPFL-SobrasExposiçãoSubmercados_Cópia de IRT_CPFL_LESTE_PAULISTA(CPEE)_fev2009-COM_PREVISÃO_BR_da_Diretoria_pos_IGPM_casulo 5 2" xfId="1193" xr:uid="{00000000-0005-0000-0000-0000CF010000}"/>
    <cellStyle name="_CPFL-SobrasExposiçãoSubmercados_Cópia de IRT_CPFL_LESTE_PAULISTA(CPEE)_fev2009-COM_PREVISÃO_BR_da_Diretoria_pos_IGPM_casulo 5_Balanço" xfId="66" xr:uid="{00000000-0005-0000-0000-0000D0010000}"/>
    <cellStyle name="_CPFL-SobrasExposiçãoSubmercados_Cópia de IRT_CPFL_LESTE_PAULISTA(CPEE)_fev2009-COM_PREVISÃO_BR_da_Diretoria_pos_IGPM_casulo 5_casulo 15" xfId="67" xr:uid="{00000000-0005-0000-0000-0000D1010000}"/>
    <cellStyle name="_CPFL-SobrasExposiçãoSubmercados_Cópia de IRT_CPFL_LESTE_PAULISTA(CPEE)_fev2009-COM_PREVISÃO_BR_da_Diretoria_pos_IGPM_casulo 5_IRT EEB 2010" xfId="3027" xr:uid="{00000000-0005-0000-0000-0000D2010000}"/>
    <cellStyle name="_CPFL-SobrasExposiçãoSubmercados_Cópia de IRT_CPFL_LESTE_PAULISTA(CPEE)_fev2009-COM_PREVISÃO_BR_da_Diretoria_pos_IGPM_IRT EEB 2010" xfId="3028" xr:uid="{00000000-0005-0000-0000-0000D3010000}"/>
    <cellStyle name="_CPFL-SobrasExposiçãoSubmercados_Custo com Avaliação de Ativos para Base de Remuneração" xfId="3029" xr:uid="{00000000-0005-0000-0000-0000D4010000}"/>
    <cellStyle name="_CPFL-SobrasExposiçãoSubmercados_Custo com Avaliação de Ativos para Base de Remuneração_IRT-cálculo" xfId="3030" xr:uid="{00000000-0005-0000-0000-0000D5010000}"/>
    <cellStyle name="_CPFL-SobrasExposiçãoSubmercados_Custo com Avaliação de Ativos para Base de Remuneração_IRT-cálculo CAPA NEUTRALIDADE" xfId="3031" xr:uid="{00000000-0005-0000-0000-0000D6010000}"/>
    <cellStyle name="_CPFL-SobrasExposiçãoSubmercados_CVA e Subsídios fiscalização ESCELSA_08_07_2009 v3 SRE" xfId="3032" xr:uid="{00000000-0005-0000-0000-0000D7010000}"/>
    <cellStyle name="_CPFL-SobrasExposiçãoSubmercados_CVA Outros Componentes PROVISÃO" xfId="3033" xr:uid="{00000000-0005-0000-0000-0000D8010000}"/>
    <cellStyle name="_CPFL-SobrasExposiçãoSubmercados_CVA_Projetada até dez-2008_Setembro" xfId="3034" xr:uid="{00000000-0005-0000-0000-0000D9010000}"/>
    <cellStyle name="_CPFL-SobrasExposiçãoSubmercados_Descontos CCC_CDE_PROINFA Nov_07_Out_08" xfId="3035" xr:uid="{00000000-0005-0000-0000-0000DA010000}"/>
    <cellStyle name="_CPFL-SobrasExposiçãoSubmercados_Descontos CCC_CDE_PROINFA Nov_07_Out_08_IRT-cálculo" xfId="3036" xr:uid="{00000000-0005-0000-0000-0000DB010000}"/>
    <cellStyle name="_CPFL-SobrasExposiçãoSubmercados_Descontos CCC_CDE_PROINFA Nov_07_Out_08_IRT-cálculo CAPA NEUTRALIDADE" xfId="3037" xr:uid="{00000000-0005-0000-0000-0000DC010000}"/>
    <cellStyle name="_CPFL-SobrasExposiçãoSubmercados_Energia Comprada" xfId="3038" xr:uid="{00000000-0005-0000-0000-0000DD010000}"/>
    <cellStyle name="_CPFL-SobrasExposiçãoSubmercados_Energia Comprada_IRT-cálculo" xfId="3039" xr:uid="{00000000-0005-0000-0000-0000DE010000}"/>
    <cellStyle name="_CPFL-SobrasExposiçãoSubmercados_Energia Comprada_IRT-cálculo CAPA NEUTRALIDADE" xfId="3040" xr:uid="{00000000-0005-0000-0000-0000DF010000}"/>
    <cellStyle name="_CPFL-SobrasExposiçãoSubmercados_Fator Novo e Antigo 4 anos" xfId="3041" xr:uid="{00000000-0005-0000-0000-0000E0010000}"/>
    <cellStyle name="_CPFL-SobrasExposiçãoSubmercados_Fator X" xfId="1514" xr:uid="{00000000-0005-0000-0000-0000E1010000}"/>
    <cellStyle name="_CPFL-SobrasExposiçãoSubmercados_Fator X 2" xfId="3042" xr:uid="{00000000-0005-0000-0000-0000E2010000}"/>
    <cellStyle name="_CPFL-SobrasExposiçãoSubmercados_Fator X_IRT-cálculo" xfId="3043" xr:uid="{00000000-0005-0000-0000-0000E3010000}"/>
    <cellStyle name="_CPFL-SobrasExposiçãoSubmercados_Fator X_IRT-cálculo CAPA NEUTRALIDADE" xfId="3044" xr:uid="{00000000-0005-0000-0000-0000E4010000}"/>
    <cellStyle name="_CPFL-SobrasExposiçãoSubmercados_Fator X_SOBRECONTRATAÇÃO E CVA" xfId="3045" xr:uid="{00000000-0005-0000-0000-0000E5010000}"/>
    <cellStyle name="_CPFL-SobrasExposiçãoSubmercados_IF - Autoprodutores 2" xfId="3046" xr:uid="{00000000-0005-0000-0000-0000E6010000}"/>
    <cellStyle name="_CPFL-SobrasExposiçãoSubmercados_IF_Consumidores livres e geradoras_2010" xfId="3047" xr:uid="{00000000-0005-0000-0000-0000E7010000}"/>
    <cellStyle name="_CPFL-SobrasExposiçãoSubmercados_IRT" xfId="3048" xr:uid="{00000000-0005-0000-0000-0000E8010000}"/>
    <cellStyle name="_CPFL-SobrasExposiçãoSubmercados_IRT (2)" xfId="1515" xr:uid="{00000000-0005-0000-0000-0000E9010000}"/>
    <cellStyle name="_CPFL-SobrasExposiçãoSubmercados_IRT CELTINS 2009 versão 5" xfId="3049" xr:uid="{00000000-0005-0000-0000-0000EA010000}"/>
    <cellStyle name="_CPFL-SobrasExposiçãoSubmercados_IRT EEB 2010" xfId="3050" xr:uid="{00000000-0005-0000-0000-0000EB010000}"/>
    <cellStyle name="_CPFL-SobrasExposiçãoSubmercados_IRT Piratininga 2009" xfId="68" xr:uid="{00000000-0005-0000-0000-0000EC010000}"/>
    <cellStyle name="_CPFL-SobrasExposiçãoSubmercados_IRT Piratininga 2009 2" xfId="1194" xr:uid="{00000000-0005-0000-0000-0000ED010000}"/>
    <cellStyle name="_CPFL-SobrasExposiçãoSubmercados_IRT Piratininga 2009_Balanço" xfId="69" xr:uid="{00000000-0005-0000-0000-0000EE010000}"/>
    <cellStyle name="_CPFL-SobrasExposiçãoSubmercados_IRT Piratininga 2009_casulo 15" xfId="70" xr:uid="{00000000-0005-0000-0000-0000EF010000}"/>
    <cellStyle name="_CPFL-SobrasExposiçãoSubmercados_IRT Piratininga 2009_IRT EEB 2010" xfId="3051" xr:uid="{00000000-0005-0000-0000-0000F0010000}"/>
    <cellStyle name="_CPFL-SobrasExposiçãoSubmercados_IRT Reloaded" xfId="71" xr:uid="{00000000-0005-0000-0000-0000F1010000}"/>
    <cellStyle name="_CPFL-SobrasExposiçãoSubmercados_IRT Reloaded 2" xfId="1195" xr:uid="{00000000-0005-0000-0000-0000F2010000}"/>
    <cellStyle name="_CPFL-SobrasExposiçãoSubmercados_IRT Reloaded_Balanço" xfId="72" xr:uid="{00000000-0005-0000-0000-0000F3010000}"/>
    <cellStyle name="_CPFL-SobrasExposiçãoSubmercados_IRT Reloaded_Balanço 2" xfId="1196" xr:uid="{00000000-0005-0000-0000-0000F4010000}"/>
    <cellStyle name="_CPFL-SobrasExposiçãoSubmercados_IRT Reloaded_casulo 15" xfId="73" xr:uid="{00000000-0005-0000-0000-0000F5010000}"/>
    <cellStyle name="_CPFL-SobrasExposiçãoSubmercados_IRT Reloaded_casulo 5" xfId="74" xr:uid="{00000000-0005-0000-0000-0000F6010000}"/>
    <cellStyle name="_CPFL-SobrasExposiçãoSubmercados_IRT Reloaded_casulo 5 2" xfId="1197" xr:uid="{00000000-0005-0000-0000-0000F7010000}"/>
    <cellStyle name="_CPFL-SobrasExposiçãoSubmercados_IRT Reloaded_casulo 5_Balanço" xfId="75" xr:uid="{00000000-0005-0000-0000-0000F8010000}"/>
    <cellStyle name="_CPFL-SobrasExposiçãoSubmercados_IRT Reloaded_casulo 5_casulo 15" xfId="76" xr:uid="{00000000-0005-0000-0000-0000F9010000}"/>
    <cellStyle name="_CPFL-SobrasExposiçãoSubmercados_IRT Reloaded_casulo 5_IRT EEB 2010" xfId="3052" xr:uid="{00000000-0005-0000-0000-0000FA010000}"/>
    <cellStyle name="_CPFL-SobrasExposiçãoSubmercados_IRT Reloaded_IRT EEB 2010" xfId="3053" xr:uid="{00000000-0005-0000-0000-0000FB010000}"/>
    <cellStyle name="_CPFL-SobrasExposiçãoSubmercados_IRT_1" xfId="1516" xr:uid="{00000000-0005-0000-0000-0000FC010000}"/>
    <cellStyle name="_CPFL-SobrasExposiçãoSubmercados_IRT_1 2" xfId="3054" xr:uid="{00000000-0005-0000-0000-0000FD010000}"/>
    <cellStyle name="_CPFL-SobrasExposiçãoSubmercados_IRT_1_IRT-cálculo" xfId="3055" xr:uid="{00000000-0005-0000-0000-0000FE010000}"/>
    <cellStyle name="_CPFL-SobrasExposiçãoSubmercados_IRT_1_IRT-cálculo CAPA NEUTRALIDADE" xfId="3056" xr:uid="{00000000-0005-0000-0000-0000FF010000}"/>
    <cellStyle name="_CPFL-SobrasExposiçãoSubmercados_IRT_1_SOBRECONTRATAÇÃO E CVA" xfId="3057" xr:uid="{00000000-0005-0000-0000-000000020000}"/>
    <cellStyle name="_CPFL-SobrasExposiçãoSubmercados_IRT_Bragantina_maio_2009" xfId="3058" xr:uid="{00000000-0005-0000-0000-000001020000}"/>
    <cellStyle name="_CPFL-SobrasExposiçãoSubmercados_IRT_CEMAT_2009" xfId="3059" xr:uid="{00000000-0005-0000-0000-000002020000}"/>
    <cellStyle name="_CPFL-SobrasExposiçãoSubmercados_IRT_EBB_mai2010d" xfId="3060" xr:uid="{00000000-0005-0000-0000-000003020000}"/>
    <cellStyle name="_CPFL-SobrasExposiçãoSubmercados_IRT_ENERGISA_SE_abr2009" xfId="3061" xr:uid="{00000000-0005-0000-0000-000004020000}"/>
    <cellStyle name="_CPFL-SobrasExposiçãoSubmercados_IRT_ENF" xfId="3062" xr:uid="{00000000-0005-0000-0000-000005020000}"/>
    <cellStyle name="_CPFL-SobrasExposiçãoSubmercados_IRT_Escelsa" xfId="3063" xr:uid="{00000000-0005-0000-0000-000006020000}"/>
    <cellStyle name="_CPFL-SobrasExposiçãoSubmercados_IRT_LIGHT_nov2007" xfId="1517" xr:uid="{00000000-0005-0000-0000-000007020000}"/>
    <cellStyle name="_CPFL-SobrasExposiçãoSubmercados_IRT_LIGHT_nov2007 2" xfId="3064" xr:uid="{00000000-0005-0000-0000-000008020000}"/>
    <cellStyle name="_CPFL-SobrasExposiçãoSubmercados_IRT_LIGHT_nov2007_IRT-cálculo" xfId="3065" xr:uid="{00000000-0005-0000-0000-000009020000}"/>
    <cellStyle name="_CPFL-SobrasExposiçãoSubmercados_IRT_LIGHT_nov2007_IRT-cálculo CAPA NEUTRALIDADE" xfId="3066" xr:uid="{00000000-0005-0000-0000-00000A020000}"/>
    <cellStyle name="_CPFL-SobrasExposiçãoSubmercados_IRT_LIGHT_nov2007_SOBRECONTRATAÇÃO E CVA" xfId="3067" xr:uid="{00000000-0005-0000-0000-00000B020000}"/>
    <cellStyle name="_CPFL-SobrasExposiçãoSubmercados_IRT_Planilha Básica_ CETRIL" xfId="77" xr:uid="{00000000-0005-0000-0000-00000C020000}"/>
    <cellStyle name="_CPFL-SobrasExposiçãoSubmercados_IRT_Planilha Básica_ CETRIL 2" xfId="1198" xr:uid="{00000000-0005-0000-0000-00000D020000}"/>
    <cellStyle name="_CPFL-SobrasExposiçãoSubmercados_IRT_Planilha Básica_ CETRIL_Balanço" xfId="78" xr:uid="{00000000-0005-0000-0000-00000E020000}"/>
    <cellStyle name="_CPFL-SobrasExposiçãoSubmercados_IRT_Planilha Básica_ CETRIL_casulo 15" xfId="79" xr:uid="{00000000-0005-0000-0000-00000F020000}"/>
    <cellStyle name="_CPFL-SobrasExposiçãoSubmercados_IRT_Planilha Básica_ CETRIL_IRT EEB 2010" xfId="3068" xr:uid="{00000000-0005-0000-0000-000010020000}"/>
    <cellStyle name="_CPFL-SobrasExposiçãoSubmercados_IRT_Planilha Básica_30jun2009" xfId="3069" xr:uid="{00000000-0005-0000-0000-000011020000}"/>
    <cellStyle name="_CPFL-SobrasExposiçãoSubmercados_IRT_Planilha Básica_DIRETORIA" xfId="3070" xr:uid="{00000000-0005-0000-0000-000012020000}"/>
    <cellStyle name="_CPFL-SobrasExposiçãoSubmercados_IRT_Planilha Básica_fev2010" xfId="3071" xr:uid="{00000000-0005-0000-0000-000013020000}"/>
    <cellStyle name="_CPFL-SobrasExposiçãoSubmercados_IRT_Planilha Básica_fev2010a" xfId="80" xr:uid="{00000000-0005-0000-0000-000014020000}"/>
    <cellStyle name="_CPFL-SobrasExposiçãoSubmercados_IRT_Planilha Básica_fev2010a 2" xfId="1199" xr:uid="{00000000-0005-0000-0000-000015020000}"/>
    <cellStyle name="_CPFL-SobrasExposiçãoSubmercados_IRT_Planilha Básica_fev2010a_Balanço" xfId="81" xr:uid="{00000000-0005-0000-0000-000016020000}"/>
    <cellStyle name="_CPFL-SobrasExposiçãoSubmercados_IRT_Planilha Básica_fev2010a_Balanço 2" xfId="1200" xr:uid="{00000000-0005-0000-0000-000017020000}"/>
    <cellStyle name="_CPFL-SobrasExposiçãoSubmercados_IRT_Planilha Básica_fev2010a_casulo 15" xfId="82" xr:uid="{00000000-0005-0000-0000-000018020000}"/>
    <cellStyle name="_CPFL-SobrasExposiçãoSubmercados_IRT_Planilha Básica_fev2010a_casulo 5" xfId="83" xr:uid="{00000000-0005-0000-0000-000019020000}"/>
    <cellStyle name="_CPFL-SobrasExposiçãoSubmercados_IRT_Planilha Básica_fev2010a_casulo 5 2" xfId="1201" xr:uid="{00000000-0005-0000-0000-00001A020000}"/>
    <cellStyle name="_CPFL-SobrasExposiçãoSubmercados_IRT_Planilha Básica_fev2010a_casulo 5_Balanço" xfId="84" xr:uid="{00000000-0005-0000-0000-00001B020000}"/>
    <cellStyle name="_CPFL-SobrasExposiçãoSubmercados_IRT_Planilha Básica_fev2010a_casulo 5_casulo 15" xfId="85" xr:uid="{00000000-0005-0000-0000-00001C020000}"/>
    <cellStyle name="_CPFL-SobrasExposiçãoSubmercados_IRT_Planilha Básica_fev2010a_casulo 5_IRT EEB 2010" xfId="3072" xr:uid="{00000000-0005-0000-0000-00001D020000}"/>
    <cellStyle name="_CPFL-SobrasExposiçãoSubmercados_IRT_Planilha Básica_fev2010a_IRT EEB 2010" xfId="3073" xr:uid="{00000000-0005-0000-0000-00001E020000}"/>
    <cellStyle name="_CPFL-SobrasExposiçãoSubmercados_IRT_Planilha Básica_jun2009" xfId="3074" xr:uid="{00000000-0005-0000-0000-00001F020000}"/>
    <cellStyle name="_CPFL-SobrasExposiçãoSubmercados_IRT_Planilha Básica_mar2010b" xfId="3075" xr:uid="{00000000-0005-0000-0000-000020020000}"/>
    <cellStyle name="_CPFL-SobrasExposiçãoSubmercados_IRT_Planilha Básica_mar2010d" xfId="86" xr:uid="{00000000-0005-0000-0000-000021020000}"/>
    <cellStyle name="_CPFL-SobrasExposiçãoSubmercados_IRT_Planilha Básica_mar2010d 2" xfId="1202" xr:uid="{00000000-0005-0000-0000-000022020000}"/>
    <cellStyle name="_CPFL-SobrasExposiçãoSubmercados_IRT_Planilha Básica_março2009" xfId="87" xr:uid="{00000000-0005-0000-0000-000023020000}"/>
    <cellStyle name="_CPFL-SobrasExposiçãoSubmercados_IRT_Planilha Básica_março2009 2" xfId="1203" xr:uid="{00000000-0005-0000-0000-000024020000}"/>
    <cellStyle name="_CPFL-SobrasExposiçãoSubmercados_IRT_Planilha Básica_março2009_02 IRT Bandeirante 2009" xfId="3076" xr:uid="{00000000-0005-0000-0000-000025020000}"/>
    <cellStyle name="_CPFL-SobrasExposiçãoSubmercados_IRT_Planilha Básica_março2009_Balanço" xfId="88" xr:uid="{00000000-0005-0000-0000-000026020000}"/>
    <cellStyle name="_CPFL-SobrasExposiçãoSubmercados_IRT_Planilha Básica_março2009_Balanço 2" xfId="1204" xr:uid="{00000000-0005-0000-0000-000027020000}"/>
    <cellStyle name="_CPFL-SobrasExposiçãoSubmercados_IRT_Planilha Básica_março2009_casulo 15" xfId="89" xr:uid="{00000000-0005-0000-0000-000028020000}"/>
    <cellStyle name="_CPFL-SobrasExposiçãoSubmercados_IRT_Planilha Básica_março2009_casulo 5" xfId="90" xr:uid="{00000000-0005-0000-0000-000029020000}"/>
    <cellStyle name="_CPFL-SobrasExposiçãoSubmercados_IRT_Planilha Básica_março2009_casulo 5 2" xfId="1205" xr:uid="{00000000-0005-0000-0000-00002A020000}"/>
    <cellStyle name="_CPFL-SobrasExposiçãoSubmercados_IRT_Planilha Básica_março2009_casulo 5_Balanço" xfId="91" xr:uid="{00000000-0005-0000-0000-00002B020000}"/>
    <cellStyle name="_CPFL-SobrasExposiçãoSubmercados_IRT_Planilha Básica_março2009_casulo 5_casulo 15" xfId="92" xr:uid="{00000000-0005-0000-0000-00002C020000}"/>
    <cellStyle name="_CPFL-SobrasExposiçãoSubmercados_IRT_Planilha Básica_março2009_casulo 5_IRT EEB 2010" xfId="3077" xr:uid="{00000000-0005-0000-0000-00002D020000}"/>
    <cellStyle name="_CPFL-SobrasExposiçãoSubmercados_IRT_Planilha Básica_março2009_COELCE  ICMS Não Compensado RTO 2012 281211" xfId="3078" xr:uid="{00000000-0005-0000-0000-00002E020000}"/>
    <cellStyle name="_CPFL-SobrasExposiçãoSubmercados_IRT_Planilha Básica_março2009_COELCE - RTO 2011 - PLPT_PLANILHA_CÁLCULO_DÉFICIT" xfId="3079" xr:uid="{00000000-0005-0000-0000-00002F020000}"/>
    <cellStyle name="_CPFL-SobrasExposiçãoSubmercados_IRT_Planilha Básica_março2009_IRT EEB 2010" xfId="3080" xr:uid="{00000000-0005-0000-0000-000030020000}"/>
    <cellStyle name="_CPFL-SobrasExposiçãoSubmercados_IRT_Planilha Básica_março2009_IRT Piratininga 2009" xfId="93" xr:uid="{00000000-0005-0000-0000-000031020000}"/>
    <cellStyle name="_CPFL-SobrasExposiçãoSubmercados_IRT_Planilha Básica_março2009_IRT Piratininga 2009 2" xfId="1206" xr:uid="{00000000-0005-0000-0000-000032020000}"/>
    <cellStyle name="_CPFL-SobrasExposiçãoSubmercados_IRT_Planilha Básica_março2009_IRT Piratininga 2009_Balanço" xfId="94" xr:uid="{00000000-0005-0000-0000-000033020000}"/>
    <cellStyle name="_CPFL-SobrasExposiçãoSubmercados_IRT_Planilha Básica_março2009_IRT Piratininga 2009_casulo 15" xfId="95" xr:uid="{00000000-0005-0000-0000-000034020000}"/>
    <cellStyle name="_CPFL-SobrasExposiçãoSubmercados_IRT_Planilha Básica_março2009_IRT Piratininga 2009_IRT EEB 2010" xfId="3081" xr:uid="{00000000-0005-0000-0000-000035020000}"/>
    <cellStyle name="_CPFL-SobrasExposiçãoSubmercados_IRT_Planilha Básica_março2009_IRT_EBB_mai2010d" xfId="3082" xr:uid="{00000000-0005-0000-0000-000036020000}"/>
    <cellStyle name="_CPFL-SobrasExposiçãoSubmercados_IRT_Planilha Básica_março2009_IRT_Planilha Básica_ CETRIL" xfId="96" xr:uid="{00000000-0005-0000-0000-000037020000}"/>
    <cellStyle name="_CPFL-SobrasExposiçãoSubmercados_IRT_Planilha Básica_março2009_IRT_Planilha Básica_ CETRIL 2" xfId="1207" xr:uid="{00000000-0005-0000-0000-000038020000}"/>
    <cellStyle name="_CPFL-SobrasExposiçãoSubmercados_IRT_Planilha Básica_março2009_IRT_Planilha Básica_ CETRIL_Balanço" xfId="97" xr:uid="{00000000-0005-0000-0000-000039020000}"/>
    <cellStyle name="_CPFL-SobrasExposiçãoSubmercados_IRT_Planilha Básica_março2009_IRT_Planilha Básica_ CETRIL_casulo 15" xfId="98" xr:uid="{00000000-0005-0000-0000-00003A020000}"/>
    <cellStyle name="_CPFL-SobrasExposiçãoSubmercados_IRT_Planilha Básica_março2009_IRT_Planilha Básica_ CETRIL_IRT EEB 2010" xfId="3083" xr:uid="{00000000-0005-0000-0000-00003B020000}"/>
    <cellStyle name="_CPFL-SobrasExposiçãoSubmercados_IRT_Planilha Básica_março2009_IRT_Planilha Básica_DIRETORIA" xfId="3084" xr:uid="{00000000-0005-0000-0000-00003C020000}"/>
    <cellStyle name="_CPFL-SobrasExposiçãoSubmercados_IRT_Planilha Básica_março2009_IRT_Planilha Básica_fev2010" xfId="3085" xr:uid="{00000000-0005-0000-0000-00003D020000}"/>
    <cellStyle name="_CPFL-SobrasExposiçãoSubmercados_IRT_Planilha Básica_março2009_IRT_Planilha Básica_fev2010a" xfId="99" xr:uid="{00000000-0005-0000-0000-00003E020000}"/>
    <cellStyle name="_CPFL-SobrasExposiçãoSubmercados_IRT_Planilha Básica_março2009_IRT_Planilha Básica_fev2010a 2" xfId="1208" xr:uid="{00000000-0005-0000-0000-00003F020000}"/>
    <cellStyle name="_CPFL-SobrasExposiçãoSubmercados_IRT_Planilha Básica_março2009_IRT_Planilha Básica_fev2010a_Balanço" xfId="100" xr:uid="{00000000-0005-0000-0000-000040020000}"/>
    <cellStyle name="_CPFL-SobrasExposiçãoSubmercados_IRT_Planilha Básica_março2009_IRT_Planilha Básica_fev2010a_Balanço 2" xfId="1209" xr:uid="{00000000-0005-0000-0000-000041020000}"/>
    <cellStyle name="_CPFL-SobrasExposiçãoSubmercados_IRT_Planilha Básica_março2009_IRT_Planilha Básica_fev2010a_casulo 15" xfId="101" xr:uid="{00000000-0005-0000-0000-000042020000}"/>
    <cellStyle name="_CPFL-SobrasExposiçãoSubmercados_IRT_Planilha Básica_março2009_IRT_Planilha Básica_fev2010a_casulo 5" xfId="102" xr:uid="{00000000-0005-0000-0000-000043020000}"/>
    <cellStyle name="_CPFL-SobrasExposiçãoSubmercados_IRT_Planilha Básica_março2009_IRT_Planilha Básica_fev2010a_casulo 5 2" xfId="1210" xr:uid="{00000000-0005-0000-0000-000044020000}"/>
    <cellStyle name="_CPFL-SobrasExposiçãoSubmercados_IRT_Planilha Básica_março2009_IRT_Planilha Básica_fev2010a_casulo 5_Balanço" xfId="103" xr:uid="{00000000-0005-0000-0000-000045020000}"/>
    <cellStyle name="_CPFL-SobrasExposiçãoSubmercados_IRT_Planilha Básica_março2009_IRT_Planilha Básica_fev2010a_casulo 5_casulo 15" xfId="104" xr:uid="{00000000-0005-0000-0000-000046020000}"/>
    <cellStyle name="_CPFL-SobrasExposiçãoSubmercados_IRT_Planilha Básica_março2009_IRT_Planilha Básica_fev2010a_casulo 5_IRT EEB 2010" xfId="3086" xr:uid="{00000000-0005-0000-0000-000047020000}"/>
    <cellStyle name="_CPFL-SobrasExposiçãoSubmercados_IRT_Planilha Básica_março2009_IRT_Planilha Básica_fev2010a_IRT EEB 2010" xfId="3087" xr:uid="{00000000-0005-0000-0000-000048020000}"/>
    <cellStyle name="_CPFL-SobrasExposiçãoSubmercados_IRT_Planilha Básica_março2009_IRT_Planilha Básica_jan2010" xfId="3088" xr:uid="{00000000-0005-0000-0000-000049020000}"/>
    <cellStyle name="_CPFL-SobrasExposiçãoSubmercados_IRT_Planilha Básica_março2009_IRT_Planilha Básica_mar2010d" xfId="105" xr:uid="{00000000-0005-0000-0000-00004A020000}"/>
    <cellStyle name="_CPFL-SobrasExposiçãoSubmercados_IRT_Planilha Básica_março2009_IRT_Planilha Básica_mar2010d 2" xfId="1211" xr:uid="{00000000-0005-0000-0000-00004B020000}"/>
    <cellStyle name="_CPFL-SobrasExposiçãoSubmercados_IRT_Planilha Básica_março2009_IRT_Planilha Básica_NOVA METODOLOGIA" xfId="3089" xr:uid="{00000000-0005-0000-0000-00004C020000}"/>
    <cellStyle name="_CPFL-SobrasExposiçãoSubmercados_IRT_Planilha Básica_março2009_IRT_Santa 2010" xfId="3090" xr:uid="{00000000-0005-0000-0000-00004D020000}"/>
    <cellStyle name="_CPFL-SobrasExposiçãoSubmercados_IRT_Planilha Básica_março2009_Resultados_DEA_RND_QUAL_PERDAS" xfId="3091" xr:uid="{00000000-0005-0000-0000-00004E020000}"/>
    <cellStyle name="_CPFL-SobrasExposiçãoSubmercados_IRT_Planilha Básica_março2009_Simulação congelamento COELCE 2011 - Propostas 3ª Fase AP040 (20.12.2011)" xfId="3092" xr:uid="{00000000-0005-0000-0000-00004F020000}"/>
    <cellStyle name="_CPFL-SobrasExposiçãoSubmercados_IRT_Planilha Básica_março2009_teste ampla" xfId="106" xr:uid="{00000000-0005-0000-0000-000050020000}"/>
    <cellStyle name="_CPFL-SobrasExposiçãoSubmercados_IRT_Planilha Básica_março2009_teste ampla 2" xfId="1212" xr:uid="{00000000-0005-0000-0000-000051020000}"/>
    <cellStyle name="_CPFL-SobrasExposiçãoSubmercados_IRT_Planilha Básica_março2009_teste ampla_Balanço" xfId="107" xr:uid="{00000000-0005-0000-0000-000052020000}"/>
    <cellStyle name="_CPFL-SobrasExposiçãoSubmercados_IRT_Planilha Básica_março2009_teste ampla_Balanço 2" xfId="1213" xr:uid="{00000000-0005-0000-0000-000053020000}"/>
    <cellStyle name="_CPFL-SobrasExposiçãoSubmercados_IRT_Planilha Básica_março2009_teste ampla_casulo 15" xfId="108" xr:uid="{00000000-0005-0000-0000-000054020000}"/>
    <cellStyle name="_CPFL-SobrasExposiçãoSubmercados_IRT_Planilha Básica_março2009_teste ampla_casulo 5" xfId="109" xr:uid="{00000000-0005-0000-0000-000055020000}"/>
    <cellStyle name="_CPFL-SobrasExposiçãoSubmercados_IRT_Planilha Básica_março2009_teste ampla_casulo 5 2" xfId="1214" xr:uid="{00000000-0005-0000-0000-000056020000}"/>
    <cellStyle name="_CPFL-SobrasExposiçãoSubmercados_IRT_Planilha Básica_março2009_teste ampla_casulo 5_Balanço" xfId="110" xr:uid="{00000000-0005-0000-0000-000057020000}"/>
    <cellStyle name="_CPFL-SobrasExposiçãoSubmercados_IRT_Planilha Básica_março2009_teste ampla_casulo 5_casulo 15" xfId="111" xr:uid="{00000000-0005-0000-0000-000058020000}"/>
    <cellStyle name="_CPFL-SobrasExposiçãoSubmercados_IRT_Planilha Básica_março2009_teste ampla_casulo 5_IRT EEB 2010" xfId="3093" xr:uid="{00000000-0005-0000-0000-000059020000}"/>
    <cellStyle name="_CPFL-SobrasExposiçãoSubmercados_IRT_Planilha Básica_março2009_teste ampla_IRT EEB 2010" xfId="3094" xr:uid="{00000000-0005-0000-0000-00005A020000}"/>
    <cellStyle name="_CPFL-SobrasExposiçãoSubmercados_IRT_Planilha Básica_NOVA METODOLOGIA" xfId="3095" xr:uid="{00000000-0005-0000-0000-00005B020000}"/>
    <cellStyle name="_CPFL-SobrasExposiçãoSubmercados_IRT_Planilha Básica_out2009" xfId="112" xr:uid="{00000000-0005-0000-0000-00005C020000}"/>
    <cellStyle name="_CPFL-SobrasExposiçãoSubmercados_IRT_Planilha Básica_out2009 2" xfId="1215" xr:uid="{00000000-0005-0000-0000-00005D020000}"/>
    <cellStyle name="_CPFL-SobrasExposiçãoSubmercados_IRT_Planilha Básica_out2009_Balanço" xfId="113" xr:uid="{00000000-0005-0000-0000-00005E020000}"/>
    <cellStyle name="_CPFL-SobrasExposiçãoSubmercados_IRT_Planilha Básica_out2009_Balanço 2" xfId="1216" xr:uid="{00000000-0005-0000-0000-00005F020000}"/>
    <cellStyle name="_CPFL-SobrasExposiçãoSubmercados_IRT_Planilha Básica_out2009_casulo 15" xfId="114" xr:uid="{00000000-0005-0000-0000-000060020000}"/>
    <cellStyle name="_CPFL-SobrasExposiçãoSubmercados_IRT_Planilha Básica_out2009_casulo 5" xfId="115" xr:uid="{00000000-0005-0000-0000-000061020000}"/>
    <cellStyle name="_CPFL-SobrasExposiçãoSubmercados_IRT_Planilha Básica_out2009_casulo 5 2" xfId="1217" xr:uid="{00000000-0005-0000-0000-000062020000}"/>
    <cellStyle name="_CPFL-SobrasExposiçãoSubmercados_IRT_Planilha Básica_out2009_casulo 5_Balanço" xfId="116" xr:uid="{00000000-0005-0000-0000-000063020000}"/>
    <cellStyle name="_CPFL-SobrasExposiçãoSubmercados_IRT_Planilha Básica_out2009_casulo 5_casulo 15" xfId="117" xr:uid="{00000000-0005-0000-0000-000064020000}"/>
    <cellStyle name="_CPFL-SobrasExposiçãoSubmercados_IRT_Planilha Básica_out2009_casulo 5_IRT EEB 2010" xfId="3096" xr:uid="{00000000-0005-0000-0000-000065020000}"/>
    <cellStyle name="_CPFL-SobrasExposiçãoSubmercados_IRT_Planilha Básica_out2009_IRT EEB 2010" xfId="3097" xr:uid="{00000000-0005-0000-0000-000066020000}"/>
    <cellStyle name="_CPFL-SobrasExposiçãoSubmercados_IRT_Pleito" xfId="3098" xr:uid="{00000000-0005-0000-0000-000067020000}"/>
    <cellStyle name="_CPFL-SobrasExposiçãoSubmercados_IRT_Pleito_IRT-cálculo" xfId="3099" xr:uid="{00000000-0005-0000-0000-000068020000}"/>
    <cellStyle name="_CPFL-SobrasExposiçãoSubmercados_IRT_Pleito_IRT-cálculo CAPA NEUTRALIDADE" xfId="3100" xr:uid="{00000000-0005-0000-0000-000069020000}"/>
    <cellStyle name="_CPFL-SobrasExposiçãoSubmercados_IRT_Revisão A-1" xfId="3101" xr:uid="{00000000-0005-0000-0000-00006A020000}"/>
    <cellStyle name="_CPFL-SobrasExposiçãoSubmercados_IRT_Revisão A-1_IRT-cálculo" xfId="3102" xr:uid="{00000000-0005-0000-0000-00006B020000}"/>
    <cellStyle name="_CPFL-SobrasExposiçãoSubmercados_IRT_Revisão A-1_IRT-cálculo CAPA NEUTRALIDADE" xfId="3103" xr:uid="{00000000-0005-0000-0000-00006C020000}"/>
    <cellStyle name="_CPFL-SobrasExposiçãoSubmercados_IRT_SantaCruzpós IGPM" xfId="3104" xr:uid="{00000000-0005-0000-0000-00006D020000}"/>
    <cellStyle name="_CPFL-SobrasExposiçãoSubmercados_IRT1" xfId="3105" xr:uid="{00000000-0005-0000-0000-00006E020000}"/>
    <cellStyle name="_CPFL-SobrasExposiçãoSubmercados_IRT1_IRT-cálculo" xfId="3106" xr:uid="{00000000-0005-0000-0000-00006F020000}"/>
    <cellStyle name="_CPFL-SobrasExposiçãoSubmercados_IRT1_IRT-cálculo CAPA NEUTRALIDADE" xfId="3107" xr:uid="{00000000-0005-0000-0000-000070020000}"/>
    <cellStyle name="_CPFL-SobrasExposiçãoSubmercados_IRT-2010_COPEL_SOBRECONTRATAÇÃOeCVAenergia" xfId="1518" xr:uid="{00000000-0005-0000-0000-000071020000}"/>
    <cellStyle name="_CPFL-SobrasExposiçãoSubmercados_IRT-cálculo" xfId="3108" xr:uid="{00000000-0005-0000-0000-000072020000}"/>
    <cellStyle name="_CPFL-SobrasExposiçãoSubmercados_IRT-cálculo CAPA NEUTRALIDADE" xfId="3109" xr:uid="{00000000-0005-0000-0000-000073020000}"/>
    <cellStyle name="_CPFL-SobrasExposiçãoSubmercados_Pasta1" xfId="1519" xr:uid="{00000000-0005-0000-0000-000074020000}"/>
    <cellStyle name="_CPFL-SobrasExposiçãoSubmercados_Pasta1 2" xfId="3110" xr:uid="{00000000-0005-0000-0000-000075020000}"/>
    <cellStyle name="_CPFL-SobrasExposiçãoSubmercados_Pasta1_IRT-cálculo" xfId="3111" xr:uid="{00000000-0005-0000-0000-000076020000}"/>
    <cellStyle name="_CPFL-SobrasExposiçãoSubmercados_Pasta1_IRT-cálculo CAPA NEUTRALIDADE" xfId="3112" xr:uid="{00000000-0005-0000-0000-000077020000}"/>
    <cellStyle name="_CPFL-SobrasExposiçãoSubmercados_Pasta1_SOBRECONTRATAÇÃO E CVA" xfId="3113" xr:uid="{00000000-0005-0000-0000-000078020000}"/>
    <cellStyle name="_CPFL-SobrasExposiçãoSubmercados_Pasta2" xfId="118" xr:uid="{00000000-0005-0000-0000-000079020000}"/>
    <cellStyle name="_CPFL-SobrasExposiçãoSubmercados_Pasta2 2" xfId="1218" xr:uid="{00000000-0005-0000-0000-00007A020000}"/>
    <cellStyle name="_CPFL-SobrasExposiçãoSubmercados_Pasta2_02 IRT Bandeirante 2009" xfId="3114" xr:uid="{00000000-0005-0000-0000-00007B020000}"/>
    <cellStyle name="_CPFL-SobrasExposiçãoSubmercados_Pasta2_Balanço" xfId="119" xr:uid="{00000000-0005-0000-0000-00007C020000}"/>
    <cellStyle name="_CPFL-SobrasExposiçãoSubmercados_Pasta2_Balanço 2" xfId="1219" xr:uid="{00000000-0005-0000-0000-00007D020000}"/>
    <cellStyle name="_CPFL-SobrasExposiçãoSubmercados_Pasta2_casulo 15" xfId="120" xr:uid="{00000000-0005-0000-0000-00007E020000}"/>
    <cellStyle name="_CPFL-SobrasExposiçãoSubmercados_Pasta2_casulo 5" xfId="121" xr:uid="{00000000-0005-0000-0000-00007F020000}"/>
    <cellStyle name="_CPFL-SobrasExposiçãoSubmercados_Pasta2_casulo 5 2" xfId="1220" xr:uid="{00000000-0005-0000-0000-000080020000}"/>
    <cellStyle name="_CPFL-SobrasExposiçãoSubmercados_Pasta2_casulo 5_Balanço" xfId="122" xr:uid="{00000000-0005-0000-0000-000081020000}"/>
    <cellStyle name="_CPFL-SobrasExposiçãoSubmercados_Pasta2_casulo 5_casulo 15" xfId="123" xr:uid="{00000000-0005-0000-0000-000082020000}"/>
    <cellStyle name="_CPFL-SobrasExposiçãoSubmercados_Pasta2_casulo 5_IRT EEB 2010" xfId="3115" xr:uid="{00000000-0005-0000-0000-000083020000}"/>
    <cellStyle name="_CPFL-SobrasExposiçãoSubmercados_Pasta2_IRT EEB 2010" xfId="3116" xr:uid="{00000000-0005-0000-0000-000084020000}"/>
    <cellStyle name="_CPFL-SobrasExposiçãoSubmercados_Pasta2_IRT Piratininga 2009" xfId="124" xr:uid="{00000000-0005-0000-0000-000085020000}"/>
    <cellStyle name="_CPFL-SobrasExposiçãoSubmercados_Pasta2_IRT Piratininga 2009 2" xfId="1221" xr:uid="{00000000-0005-0000-0000-000086020000}"/>
    <cellStyle name="_CPFL-SobrasExposiçãoSubmercados_Pasta2_IRT Piratininga 2009_Balanço" xfId="125" xr:uid="{00000000-0005-0000-0000-000087020000}"/>
    <cellStyle name="_CPFL-SobrasExposiçãoSubmercados_Pasta2_IRT Piratininga 2009_casulo 15" xfId="126" xr:uid="{00000000-0005-0000-0000-000088020000}"/>
    <cellStyle name="_CPFL-SobrasExposiçãoSubmercados_Pasta2_IRT Piratininga 2009_IRT EEB 2010" xfId="3117" xr:uid="{00000000-0005-0000-0000-000089020000}"/>
    <cellStyle name="_CPFL-SobrasExposiçãoSubmercados_Pasta2_IRT_EBB_mai2010d" xfId="3118" xr:uid="{00000000-0005-0000-0000-00008A020000}"/>
    <cellStyle name="_CPFL-SobrasExposiçãoSubmercados_Pasta2_IRT_Planilha Básica_ CETRIL" xfId="127" xr:uid="{00000000-0005-0000-0000-00008B020000}"/>
    <cellStyle name="_CPFL-SobrasExposiçãoSubmercados_Pasta2_IRT_Planilha Básica_ CETRIL 2" xfId="1222" xr:uid="{00000000-0005-0000-0000-00008C020000}"/>
    <cellStyle name="_CPFL-SobrasExposiçãoSubmercados_Pasta2_IRT_Planilha Básica_ CETRIL_Balanço" xfId="128" xr:uid="{00000000-0005-0000-0000-00008D020000}"/>
    <cellStyle name="_CPFL-SobrasExposiçãoSubmercados_Pasta2_IRT_Planilha Básica_ CETRIL_casulo 15" xfId="129" xr:uid="{00000000-0005-0000-0000-00008E020000}"/>
    <cellStyle name="_CPFL-SobrasExposiçãoSubmercados_Pasta2_IRT_Planilha Básica_ CETRIL_IRT EEB 2010" xfId="3119" xr:uid="{00000000-0005-0000-0000-00008F020000}"/>
    <cellStyle name="_CPFL-SobrasExposiçãoSubmercados_Pasta2_IRT_Planilha Básica_DIRETORIA" xfId="3120" xr:uid="{00000000-0005-0000-0000-000090020000}"/>
    <cellStyle name="_CPFL-SobrasExposiçãoSubmercados_Pasta2_IRT_Planilha Básica_fev2010" xfId="3121" xr:uid="{00000000-0005-0000-0000-000091020000}"/>
    <cellStyle name="_CPFL-SobrasExposiçãoSubmercados_Pasta2_IRT_Planilha Básica_fev2010a" xfId="130" xr:uid="{00000000-0005-0000-0000-000092020000}"/>
    <cellStyle name="_CPFL-SobrasExposiçãoSubmercados_Pasta2_IRT_Planilha Básica_fev2010a 2" xfId="1223" xr:uid="{00000000-0005-0000-0000-000093020000}"/>
    <cellStyle name="_CPFL-SobrasExposiçãoSubmercados_Pasta2_IRT_Planilha Básica_fev2010a_Balanço" xfId="131" xr:uid="{00000000-0005-0000-0000-000094020000}"/>
    <cellStyle name="_CPFL-SobrasExposiçãoSubmercados_Pasta2_IRT_Planilha Básica_fev2010a_Balanço 2" xfId="1224" xr:uid="{00000000-0005-0000-0000-000095020000}"/>
    <cellStyle name="_CPFL-SobrasExposiçãoSubmercados_Pasta2_IRT_Planilha Básica_fev2010a_casulo 15" xfId="132" xr:uid="{00000000-0005-0000-0000-000096020000}"/>
    <cellStyle name="_CPFL-SobrasExposiçãoSubmercados_Pasta2_IRT_Planilha Básica_fev2010a_casulo 5" xfId="133" xr:uid="{00000000-0005-0000-0000-000097020000}"/>
    <cellStyle name="_CPFL-SobrasExposiçãoSubmercados_Pasta2_IRT_Planilha Básica_fev2010a_casulo 5 2" xfId="1225" xr:uid="{00000000-0005-0000-0000-000098020000}"/>
    <cellStyle name="_CPFL-SobrasExposiçãoSubmercados_Pasta2_IRT_Planilha Básica_fev2010a_casulo 5_Balanço" xfId="134" xr:uid="{00000000-0005-0000-0000-000099020000}"/>
    <cellStyle name="_CPFL-SobrasExposiçãoSubmercados_Pasta2_IRT_Planilha Básica_fev2010a_casulo 5_casulo 15" xfId="135" xr:uid="{00000000-0005-0000-0000-00009A020000}"/>
    <cellStyle name="_CPFL-SobrasExposiçãoSubmercados_Pasta2_IRT_Planilha Básica_fev2010a_casulo 5_IRT EEB 2010" xfId="3122" xr:uid="{00000000-0005-0000-0000-00009B020000}"/>
    <cellStyle name="_CPFL-SobrasExposiçãoSubmercados_Pasta2_IRT_Planilha Básica_fev2010a_IRT EEB 2010" xfId="3123" xr:uid="{00000000-0005-0000-0000-00009C020000}"/>
    <cellStyle name="_CPFL-SobrasExposiçãoSubmercados_Pasta2_IRT_Planilha Básica_jan2010" xfId="3124" xr:uid="{00000000-0005-0000-0000-00009D020000}"/>
    <cellStyle name="_CPFL-SobrasExposiçãoSubmercados_Pasta2_IRT_Planilha Básica_mar2010b" xfId="3125" xr:uid="{00000000-0005-0000-0000-00009E020000}"/>
    <cellStyle name="_CPFL-SobrasExposiçãoSubmercados_Pasta2_IRT_Planilha Básica_mar2010d" xfId="136" xr:uid="{00000000-0005-0000-0000-00009F020000}"/>
    <cellStyle name="_CPFL-SobrasExposiçãoSubmercados_Pasta2_IRT_Planilha Básica_mar2010d 2" xfId="1226" xr:uid="{00000000-0005-0000-0000-0000A0020000}"/>
    <cellStyle name="_CPFL-SobrasExposiçãoSubmercados_Pasta2_IRT_Planilha Básica_NOVA METODOLOGIA" xfId="3126" xr:uid="{00000000-0005-0000-0000-0000A1020000}"/>
    <cellStyle name="_CPFL-SobrasExposiçãoSubmercados_Pasta2_IRT_Santa 2010" xfId="3127" xr:uid="{00000000-0005-0000-0000-0000A2020000}"/>
    <cellStyle name="_CPFL-SobrasExposiçãoSubmercados_Pasta2_IRT-cálculo" xfId="3128" xr:uid="{00000000-0005-0000-0000-0000A3020000}"/>
    <cellStyle name="_CPFL-SobrasExposiçãoSubmercados_Pasta2_IRT-cálculo CAPA NEUTRALIDADE" xfId="3129" xr:uid="{00000000-0005-0000-0000-0000A4020000}"/>
    <cellStyle name="_CPFL-SobrasExposiçãoSubmercados_Pasta2_Resultados_DEA_RND_QUAL_PERDAS" xfId="3130" xr:uid="{00000000-0005-0000-0000-0000A5020000}"/>
    <cellStyle name="_CPFL-SobrasExposiçãoSubmercados_Pasta2_teste ampla" xfId="137" xr:uid="{00000000-0005-0000-0000-0000A6020000}"/>
    <cellStyle name="_CPFL-SobrasExposiçãoSubmercados_Pasta2_teste ampla 2" xfId="1227" xr:uid="{00000000-0005-0000-0000-0000A7020000}"/>
    <cellStyle name="_CPFL-SobrasExposiçãoSubmercados_Pasta2_teste ampla_Balanço" xfId="138" xr:uid="{00000000-0005-0000-0000-0000A8020000}"/>
    <cellStyle name="_CPFL-SobrasExposiçãoSubmercados_Pasta2_teste ampla_Balanço 2" xfId="1228" xr:uid="{00000000-0005-0000-0000-0000A9020000}"/>
    <cellStyle name="_CPFL-SobrasExposiçãoSubmercados_Pasta2_teste ampla_casulo 15" xfId="139" xr:uid="{00000000-0005-0000-0000-0000AA020000}"/>
    <cellStyle name="_CPFL-SobrasExposiçãoSubmercados_Pasta2_teste ampla_casulo 5" xfId="140" xr:uid="{00000000-0005-0000-0000-0000AB020000}"/>
    <cellStyle name="_CPFL-SobrasExposiçãoSubmercados_Pasta2_teste ampla_casulo 5 2" xfId="1229" xr:uid="{00000000-0005-0000-0000-0000AC020000}"/>
    <cellStyle name="_CPFL-SobrasExposiçãoSubmercados_Pasta2_teste ampla_casulo 5_Balanço" xfId="141" xr:uid="{00000000-0005-0000-0000-0000AD020000}"/>
    <cellStyle name="_CPFL-SobrasExposiçãoSubmercados_Pasta2_teste ampla_casulo 5_casulo 15" xfId="142" xr:uid="{00000000-0005-0000-0000-0000AE020000}"/>
    <cellStyle name="_CPFL-SobrasExposiçãoSubmercados_Pasta2_teste ampla_casulo 5_IRT EEB 2010" xfId="3131" xr:uid="{00000000-0005-0000-0000-0000AF020000}"/>
    <cellStyle name="_CPFL-SobrasExposiçãoSubmercados_Pasta2_teste ampla_IRT EEB 2010" xfId="3132" xr:uid="{00000000-0005-0000-0000-0000B0020000}"/>
    <cellStyle name="_CPFL-SobrasExposiçãoSubmercados_Plan1" xfId="3133" xr:uid="{00000000-0005-0000-0000-0000B1020000}"/>
    <cellStyle name="_CPFL-SobrasExposiçãoSubmercados_Pleito_IRT_EBO_2010_FINAL_ENVIO_ANEEL" xfId="3134" xr:uid="{00000000-0005-0000-0000-0000B2020000}"/>
    <cellStyle name="_CPFL-SobrasExposiçãoSubmercados_PROVISÃO" xfId="3135" xr:uid="{00000000-0005-0000-0000-0000B3020000}"/>
    <cellStyle name="_CPFL-SobrasExposiçãoSubmercados_Receita de Venda Leilão Nova Térmico" xfId="3136" xr:uid="{00000000-0005-0000-0000-0000B4020000}"/>
    <cellStyle name="_CPFL-SobrasExposiçãoSubmercados_Receita de Venda Leilão Nova Térmico_IRT-cálculo" xfId="3137" xr:uid="{00000000-0005-0000-0000-0000B5020000}"/>
    <cellStyle name="_CPFL-SobrasExposiçãoSubmercados_Receita de Venda Leilão Nova Térmico_IRT-cálculo CAPA NEUTRALIDADE" xfId="3138" xr:uid="{00000000-0005-0000-0000-0000B6020000}"/>
    <cellStyle name="_CPFL-SobrasExposiçãoSubmercados_Resultados_DEA_RND_QUAL_PERDAS" xfId="3139" xr:uid="{00000000-0005-0000-0000-0000B7020000}"/>
    <cellStyle name="_CPFL-SobrasExposiçãoSubmercados_Sheet1" xfId="3140" xr:uid="{00000000-0005-0000-0000-0000B8020000}"/>
    <cellStyle name="_CPFL-SobrasExposiçãoSubmercados_Sheet2" xfId="3141" xr:uid="{00000000-0005-0000-0000-0000B9020000}"/>
    <cellStyle name="_CPFL-SobrasExposiçãoSubmercados_Simulação AES SUL 03_04_07" xfId="143" xr:uid="{00000000-0005-0000-0000-0000BA020000}"/>
    <cellStyle name="_CPFL-SobrasExposiçãoSubmercados_Simulação AES SUL 03_04_07 2" xfId="1230" xr:uid="{00000000-0005-0000-0000-0000BB020000}"/>
    <cellStyle name="_CPFL-SobrasExposiçãoSubmercados_Simulação AES SUL 03_04_07_Balanço" xfId="144" xr:uid="{00000000-0005-0000-0000-0000BC020000}"/>
    <cellStyle name="_CPFL-SobrasExposiçãoSubmercados_Simulação AES SUL 03_04_07_casulo 15" xfId="145" xr:uid="{00000000-0005-0000-0000-0000BD020000}"/>
    <cellStyle name="_CPFL-SobrasExposiçãoSubmercados_Simulação AES SUL 03_04_07_IRT EEB 2010" xfId="3142" xr:uid="{00000000-0005-0000-0000-0000BE020000}"/>
    <cellStyle name="_CPFL-SobrasExposiçãoSubmercados_Simulação CEPISA XX_08_07" xfId="1520" xr:uid="{00000000-0005-0000-0000-0000BF020000}"/>
    <cellStyle name="_CPFL-SobrasExposiçãoSubmercados_Simulação Nova Carga Coteminas RT EBO" xfId="3143" xr:uid="{00000000-0005-0000-0000-0000C0020000}"/>
    <cellStyle name="_CPFL-SobrasExposiçãoSubmercados_Simulador modelo" xfId="146" xr:uid="{00000000-0005-0000-0000-0000C1020000}"/>
    <cellStyle name="_CPFL-SobrasExposiçãoSubmercados_Simulador modelo 2" xfId="1231" xr:uid="{00000000-0005-0000-0000-0000C2020000}"/>
    <cellStyle name="_CPFL-SobrasExposiçãoSubmercados_Simulador modelo_Balanço" xfId="147" xr:uid="{00000000-0005-0000-0000-0000C3020000}"/>
    <cellStyle name="_CPFL-SobrasExposiçãoSubmercados_Simulador modelo_Balanço 2" xfId="1232" xr:uid="{00000000-0005-0000-0000-0000C4020000}"/>
    <cellStyle name="_CPFL-SobrasExposiçãoSubmercados_Simulador modelo_casulo 15" xfId="148" xr:uid="{00000000-0005-0000-0000-0000C5020000}"/>
    <cellStyle name="_CPFL-SobrasExposiçãoSubmercados_Simulador modelo_casulo 5" xfId="149" xr:uid="{00000000-0005-0000-0000-0000C6020000}"/>
    <cellStyle name="_CPFL-SobrasExposiçãoSubmercados_Simulador modelo_casulo 5 2" xfId="1233" xr:uid="{00000000-0005-0000-0000-0000C7020000}"/>
    <cellStyle name="_CPFL-SobrasExposiçãoSubmercados_Simulador modelo_casulo 5_Balanço" xfId="150" xr:uid="{00000000-0005-0000-0000-0000C8020000}"/>
    <cellStyle name="_CPFL-SobrasExposiçãoSubmercados_Simulador modelo_casulo 5_casulo 15" xfId="151" xr:uid="{00000000-0005-0000-0000-0000C9020000}"/>
    <cellStyle name="_CPFL-SobrasExposiçãoSubmercados_Simulador modelo_casulo 5_IRT EEB 2010" xfId="3144" xr:uid="{00000000-0005-0000-0000-0000CA020000}"/>
    <cellStyle name="_CPFL-SobrasExposiçãoSubmercados_Simulador modelo_IRT EEB 2010" xfId="3145" xr:uid="{00000000-0005-0000-0000-0000CB020000}"/>
    <cellStyle name="_CPFL-SobrasExposiçãoSubmercados_Sobrecontratação AES (2)" xfId="152" xr:uid="{00000000-0005-0000-0000-0000CC020000}"/>
    <cellStyle name="_CPFL-SobrasExposiçãoSubmercados_Sobrecontratação AES (2) 2" xfId="1234" xr:uid="{00000000-0005-0000-0000-0000CD020000}"/>
    <cellStyle name="_CPFL-SobrasExposiçãoSubmercados_Sobrecontratação AES (2)_Balanço" xfId="153" xr:uid="{00000000-0005-0000-0000-0000CE020000}"/>
    <cellStyle name="_CPFL-SobrasExposiçãoSubmercados_Sobrecontratação AES (2)_casulo 15" xfId="154" xr:uid="{00000000-0005-0000-0000-0000CF020000}"/>
    <cellStyle name="_CPFL-SobrasExposiçãoSubmercados_Sobrecontratação AES (2)_IRT EEB 2010" xfId="3146" xr:uid="{00000000-0005-0000-0000-0000D0020000}"/>
    <cellStyle name="_CPFL-SobrasExposiçãoSubmercados_SOBRECONTRATAÇÃO E CVA" xfId="3147" xr:uid="{00000000-0005-0000-0000-0000D1020000}"/>
    <cellStyle name="_CPFL-SobrasExposiçãoSubmercados_SOBRECONTRATAÇÃO E CVA A-1" xfId="3148" xr:uid="{00000000-0005-0000-0000-0000D2020000}"/>
    <cellStyle name="_CPFL-SobrasExposiçãoSubmercados_SOBRECONTRATAÇÃO E CVA A-1_IRT-cálculo" xfId="3149" xr:uid="{00000000-0005-0000-0000-0000D3020000}"/>
    <cellStyle name="_CPFL-SobrasExposiçãoSubmercados_SOBRECONTRATAÇÃO E CVA A-1_IRT-cálculo CAPA NEUTRALIDADE" xfId="3150" xr:uid="{00000000-0005-0000-0000-0000D4020000}"/>
    <cellStyle name="_CPFL-SobrasExposiçãoSubmercados_SOBRECONTRATAÇÃO E CVA Energisa Paraíba" xfId="3151" xr:uid="{00000000-0005-0000-0000-0000D5020000}"/>
    <cellStyle name="_CPFL-SobrasExposiçãoSubmercados_SOBRECONTRATAÇÃO-RES 255-2007-ap038-07-CPFL07" xfId="3152" xr:uid="{00000000-0005-0000-0000-0000D6020000}"/>
    <cellStyle name="_CPFL-SobrasExposiçãoSubmercados_Subsídios para análise da SRE" xfId="155" xr:uid="{00000000-0005-0000-0000-0000D7020000}"/>
    <cellStyle name="_CPFL-SobrasExposiçãoSubmercados_Subsídios para análise da SRE 2" xfId="1235" xr:uid="{00000000-0005-0000-0000-0000D8020000}"/>
    <cellStyle name="_CPFL-SobrasExposiçãoSubmercados_Subsídios para análise da SRE_02 IRT Bandeirante 2009" xfId="3153" xr:uid="{00000000-0005-0000-0000-0000D9020000}"/>
    <cellStyle name="_CPFL-SobrasExposiçãoSubmercados_Subsídios para análise da SRE_1" xfId="3154" xr:uid="{00000000-0005-0000-0000-0000DA020000}"/>
    <cellStyle name="_CPFL-SobrasExposiçãoSubmercados_Subsídios para análise da SRE_Balanço" xfId="156" xr:uid="{00000000-0005-0000-0000-0000DB020000}"/>
    <cellStyle name="_CPFL-SobrasExposiçãoSubmercados_Subsídios para análise da SRE_Balanço 2" xfId="1236" xr:uid="{00000000-0005-0000-0000-0000DC020000}"/>
    <cellStyle name="_CPFL-SobrasExposiçãoSubmercados_Subsídios para análise da SRE_casulo 15" xfId="157" xr:uid="{00000000-0005-0000-0000-0000DD020000}"/>
    <cellStyle name="_CPFL-SobrasExposiçãoSubmercados_Subsídios para análise da SRE_casulo 5" xfId="158" xr:uid="{00000000-0005-0000-0000-0000DE020000}"/>
    <cellStyle name="_CPFL-SobrasExposiçãoSubmercados_Subsídios para análise da SRE_casulo 5 2" xfId="1237" xr:uid="{00000000-0005-0000-0000-0000DF020000}"/>
    <cellStyle name="_CPFL-SobrasExposiçãoSubmercados_Subsídios para análise da SRE_casulo 5_Balanço" xfId="159" xr:uid="{00000000-0005-0000-0000-0000E0020000}"/>
    <cellStyle name="_CPFL-SobrasExposiçãoSubmercados_Subsídios para análise da SRE_casulo 5_casulo 15" xfId="160" xr:uid="{00000000-0005-0000-0000-0000E1020000}"/>
    <cellStyle name="_CPFL-SobrasExposiçãoSubmercados_Subsídios para análise da SRE_casulo 5_IRT EEB 2010" xfId="3155" xr:uid="{00000000-0005-0000-0000-0000E2020000}"/>
    <cellStyle name="_CPFL-SobrasExposiçãoSubmercados_Subsídios para análise da SRE_IRT EEB 2010" xfId="3156" xr:uid="{00000000-0005-0000-0000-0000E3020000}"/>
    <cellStyle name="_CPFL-SobrasExposiçãoSubmercados_Subsídios para análise da SRE_IRT Piratininga 2009" xfId="161" xr:uid="{00000000-0005-0000-0000-0000E4020000}"/>
    <cellStyle name="_CPFL-SobrasExposiçãoSubmercados_Subsídios para análise da SRE_IRT Piratininga 2009 2" xfId="1238" xr:uid="{00000000-0005-0000-0000-0000E5020000}"/>
    <cellStyle name="_CPFL-SobrasExposiçãoSubmercados_Subsídios para análise da SRE_IRT Piratininga 2009_Balanço" xfId="162" xr:uid="{00000000-0005-0000-0000-0000E6020000}"/>
    <cellStyle name="_CPFL-SobrasExposiçãoSubmercados_Subsídios para análise da SRE_IRT Piratininga 2009_casulo 15" xfId="163" xr:uid="{00000000-0005-0000-0000-0000E7020000}"/>
    <cellStyle name="_CPFL-SobrasExposiçãoSubmercados_Subsídios para análise da SRE_IRT Piratininga 2009_IRT EEB 2010" xfId="3157" xr:uid="{00000000-0005-0000-0000-0000E8020000}"/>
    <cellStyle name="_CPFL-SobrasExposiçãoSubmercados_Subsídios para análise da SRE_IRT_EBB_mai2010d" xfId="3158" xr:uid="{00000000-0005-0000-0000-0000E9020000}"/>
    <cellStyle name="_CPFL-SobrasExposiçãoSubmercados_Subsídios para análise da SRE_IRT_Planilha Básica_ CETRIL" xfId="164" xr:uid="{00000000-0005-0000-0000-0000EA020000}"/>
    <cellStyle name="_CPFL-SobrasExposiçãoSubmercados_Subsídios para análise da SRE_IRT_Planilha Básica_ CETRIL 2" xfId="1239" xr:uid="{00000000-0005-0000-0000-0000EB020000}"/>
    <cellStyle name="_CPFL-SobrasExposiçãoSubmercados_Subsídios para análise da SRE_IRT_Planilha Básica_ CETRIL_Balanço" xfId="165" xr:uid="{00000000-0005-0000-0000-0000EC020000}"/>
    <cellStyle name="_CPFL-SobrasExposiçãoSubmercados_Subsídios para análise da SRE_IRT_Planilha Básica_ CETRIL_casulo 15" xfId="166" xr:uid="{00000000-0005-0000-0000-0000ED020000}"/>
    <cellStyle name="_CPFL-SobrasExposiçãoSubmercados_Subsídios para análise da SRE_IRT_Planilha Básica_ CETRIL_IRT EEB 2010" xfId="3159" xr:uid="{00000000-0005-0000-0000-0000EE020000}"/>
    <cellStyle name="_CPFL-SobrasExposiçãoSubmercados_Subsídios para análise da SRE_IRT_Planilha Básica_DIRETORIA" xfId="3160" xr:uid="{00000000-0005-0000-0000-0000EF020000}"/>
    <cellStyle name="_CPFL-SobrasExposiçãoSubmercados_Subsídios para análise da SRE_IRT_Planilha Básica_fev2010" xfId="3161" xr:uid="{00000000-0005-0000-0000-0000F0020000}"/>
    <cellStyle name="_CPFL-SobrasExposiçãoSubmercados_Subsídios para análise da SRE_IRT_Planilha Básica_fev2010a" xfId="167" xr:uid="{00000000-0005-0000-0000-0000F1020000}"/>
    <cellStyle name="_CPFL-SobrasExposiçãoSubmercados_Subsídios para análise da SRE_IRT_Planilha Básica_fev2010a 2" xfId="1240" xr:uid="{00000000-0005-0000-0000-0000F2020000}"/>
    <cellStyle name="_CPFL-SobrasExposiçãoSubmercados_Subsídios para análise da SRE_IRT_Planilha Básica_fev2010a_Balanço" xfId="168" xr:uid="{00000000-0005-0000-0000-0000F3020000}"/>
    <cellStyle name="_CPFL-SobrasExposiçãoSubmercados_Subsídios para análise da SRE_IRT_Planilha Básica_fev2010a_Balanço 2" xfId="1241" xr:uid="{00000000-0005-0000-0000-0000F4020000}"/>
    <cellStyle name="_CPFL-SobrasExposiçãoSubmercados_Subsídios para análise da SRE_IRT_Planilha Básica_fev2010a_casulo 15" xfId="169" xr:uid="{00000000-0005-0000-0000-0000F5020000}"/>
    <cellStyle name="_CPFL-SobrasExposiçãoSubmercados_Subsídios para análise da SRE_IRT_Planilha Básica_fev2010a_casulo 5" xfId="170" xr:uid="{00000000-0005-0000-0000-0000F6020000}"/>
    <cellStyle name="_CPFL-SobrasExposiçãoSubmercados_Subsídios para análise da SRE_IRT_Planilha Básica_fev2010a_casulo 5 2" xfId="1242" xr:uid="{00000000-0005-0000-0000-0000F7020000}"/>
    <cellStyle name="_CPFL-SobrasExposiçãoSubmercados_Subsídios para análise da SRE_IRT_Planilha Básica_fev2010a_casulo 5_Balanço" xfId="171" xr:uid="{00000000-0005-0000-0000-0000F8020000}"/>
    <cellStyle name="_CPFL-SobrasExposiçãoSubmercados_Subsídios para análise da SRE_IRT_Planilha Básica_fev2010a_casulo 5_casulo 15" xfId="172" xr:uid="{00000000-0005-0000-0000-0000F9020000}"/>
    <cellStyle name="_CPFL-SobrasExposiçãoSubmercados_Subsídios para análise da SRE_IRT_Planilha Básica_fev2010a_casulo 5_IRT EEB 2010" xfId="3162" xr:uid="{00000000-0005-0000-0000-0000FA020000}"/>
    <cellStyle name="_CPFL-SobrasExposiçãoSubmercados_Subsídios para análise da SRE_IRT_Planilha Básica_fev2010a_IRT EEB 2010" xfId="3163" xr:uid="{00000000-0005-0000-0000-0000FB020000}"/>
    <cellStyle name="_CPFL-SobrasExposiçãoSubmercados_Subsídios para análise da SRE_IRT_Planilha Básica_jan2010" xfId="3164" xr:uid="{00000000-0005-0000-0000-0000FC020000}"/>
    <cellStyle name="_CPFL-SobrasExposiçãoSubmercados_Subsídios para análise da SRE_IRT_Planilha Básica_mar2010b" xfId="3165" xr:uid="{00000000-0005-0000-0000-0000FD020000}"/>
    <cellStyle name="_CPFL-SobrasExposiçãoSubmercados_Subsídios para análise da SRE_IRT_Planilha Básica_mar2010d" xfId="173" xr:uid="{00000000-0005-0000-0000-0000FE020000}"/>
    <cellStyle name="_CPFL-SobrasExposiçãoSubmercados_Subsídios para análise da SRE_IRT_Planilha Básica_mar2010d 2" xfId="1243" xr:uid="{00000000-0005-0000-0000-0000FF020000}"/>
    <cellStyle name="_CPFL-SobrasExposiçãoSubmercados_Subsídios para análise da SRE_IRT_Planilha Básica_NOVA METODOLOGIA" xfId="3166" xr:uid="{00000000-0005-0000-0000-000000030000}"/>
    <cellStyle name="_CPFL-SobrasExposiçãoSubmercados_Subsídios para análise da SRE_IRT_Santa 2010" xfId="3167" xr:uid="{00000000-0005-0000-0000-000001030000}"/>
    <cellStyle name="_CPFL-SobrasExposiçãoSubmercados_Subsídios para análise da SRE_IRT-cálculo" xfId="3168" xr:uid="{00000000-0005-0000-0000-000002030000}"/>
    <cellStyle name="_CPFL-SobrasExposiçãoSubmercados_Subsídios para análise da SRE_IRT-cálculo CAPA NEUTRALIDADE" xfId="3169" xr:uid="{00000000-0005-0000-0000-000003030000}"/>
    <cellStyle name="_CPFL-SobrasExposiçãoSubmercados_Subsídios para análise da SRE_Resultados_DEA_RND_QUAL_PERDAS" xfId="3170" xr:uid="{00000000-0005-0000-0000-000004030000}"/>
    <cellStyle name="_CPFL-SobrasExposiçãoSubmercados_Subsídios para análise da SRE_teste ampla" xfId="174" xr:uid="{00000000-0005-0000-0000-000005030000}"/>
    <cellStyle name="_CPFL-SobrasExposiçãoSubmercados_Subsídios para análise da SRE_teste ampla 2" xfId="1244" xr:uid="{00000000-0005-0000-0000-000006030000}"/>
    <cellStyle name="_CPFL-SobrasExposiçãoSubmercados_Subsídios para análise da SRE_teste ampla_Balanço" xfId="175" xr:uid="{00000000-0005-0000-0000-000007030000}"/>
    <cellStyle name="_CPFL-SobrasExposiçãoSubmercados_Subsídios para análise da SRE_teste ampla_Balanço 2" xfId="1245" xr:uid="{00000000-0005-0000-0000-000008030000}"/>
    <cellStyle name="_CPFL-SobrasExposiçãoSubmercados_Subsídios para análise da SRE_teste ampla_casulo 15" xfId="176" xr:uid="{00000000-0005-0000-0000-000009030000}"/>
    <cellStyle name="_CPFL-SobrasExposiçãoSubmercados_Subsídios para análise da SRE_teste ampla_casulo 5" xfId="177" xr:uid="{00000000-0005-0000-0000-00000A030000}"/>
    <cellStyle name="_CPFL-SobrasExposiçãoSubmercados_Subsídios para análise da SRE_teste ampla_casulo 5 2" xfId="1246" xr:uid="{00000000-0005-0000-0000-00000B030000}"/>
    <cellStyle name="_CPFL-SobrasExposiçãoSubmercados_Subsídios para análise da SRE_teste ampla_casulo 5_Balanço" xfId="178" xr:uid="{00000000-0005-0000-0000-00000C030000}"/>
    <cellStyle name="_CPFL-SobrasExposiçãoSubmercados_Subsídios para análise da SRE_teste ampla_casulo 5_casulo 15" xfId="179" xr:uid="{00000000-0005-0000-0000-00000D030000}"/>
    <cellStyle name="_CPFL-SobrasExposiçãoSubmercados_Subsídios para análise da SRE_teste ampla_casulo 5_IRT EEB 2010" xfId="3171" xr:uid="{00000000-0005-0000-0000-00000E030000}"/>
    <cellStyle name="_CPFL-SobrasExposiçãoSubmercados_Subsídios para análise da SRE_teste ampla_IRT EEB 2010" xfId="3172" xr:uid="{00000000-0005-0000-0000-00000F030000}"/>
    <cellStyle name="_CPFL-SobrasExposiçãoSubmercados_SubsídiosAnáliseSRE_COSERN_IRT-2010" xfId="1521" xr:uid="{00000000-0005-0000-0000-000010030000}"/>
    <cellStyle name="_CPFL-SobrasExposiçãoSubmercados_teste ampla" xfId="180" xr:uid="{00000000-0005-0000-0000-000011030000}"/>
    <cellStyle name="_CPFL-SobrasExposiçãoSubmercados_teste ampla 2" xfId="1247" xr:uid="{00000000-0005-0000-0000-000012030000}"/>
    <cellStyle name="_CPFL-SobrasExposiçãoSubmercados_teste ampla_Balanço" xfId="181" xr:uid="{00000000-0005-0000-0000-000013030000}"/>
    <cellStyle name="_CPFL-SobrasExposiçãoSubmercados_teste ampla_Balanço 2" xfId="1248" xr:uid="{00000000-0005-0000-0000-000014030000}"/>
    <cellStyle name="_CPFL-SobrasExposiçãoSubmercados_teste ampla_casulo 15" xfId="182" xr:uid="{00000000-0005-0000-0000-000015030000}"/>
    <cellStyle name="_CPFL-SobrasExposiçãoSubmercados_teste ampla_casulo 5" xfId="183" xr:uid="{00000000-0005-0000-0000-000016030000}"/>
    <cellStyle name="_CPFL-SobrasExposiçãoSubmercados_teste ampla_casulo 5 2" xfId="1249" xr:uid="{00000000-0005-0000-0000-000017030000}"/>
    <cellStyle name="_CPFL-SobrasExposiçãoSubmercados_teste ampla_casulo 5_Balanço" xfId="184" xr:uid="{00000000-0005-0000-0000-000018030000}"/>
    <cellStyle name="_CPFL-SobrasExposiçãoSubmercados_teste ampla_casulo 5_casulo 15" xfId="185" xr:uid="{00000000-0005-0000-0000-000019030000}"/>
    <cellStyle name="_CPFL-SobrasExposiçãoSubmercados_teste ampla_casulo 5_IRT EEB 2010" xfId="3173" xr:uid="{00000000-0005-0000-0000-00001A030000}"/>
    <cellStyle name="_CPFL-SobrasExposiçãoSubmercados_teste ampla_IRT EEB 2010" xfId="3174" xr:uid="{00000000-0005-0000-0000-00001B030000}"/>
    <cellStyle name="_CVA e Subsídios para Fiscalizaçao SFF" xfId="3175" xr:uid="{00000000-0005-0000-0000-00001C030000}"/>
    <cellStyle name="_CVA_Celpe_final_tarifa média" xfId="1522" xr:uid="{00000000-0005-0000-0000-00001D030000}"/>
    <cellStyle name="_CVA_Energia_Sobrecontratacao_23_06_2009" xfId="3176" xr:uid="{00000000-0005-0000-0000-00001E030000}"/>
    <cellStyle name="_CVA_SFF_CELPA_AGO2006" xfId="1523" xr:uid="{00000000-0005-0000-0000-00001F030000}"/>
    <cellStyle name="_CVA_SFF_CELPA_AGO2006 2" xfId="3177" xr:uid="{00000000-0005-0000-0000-000020030000}"/>
    <cellStyle name="_CVA_SFF_CELPA_AGO2006_COELCE - RTO 2011 - PLPT_PLANILHA_CÁLCULO_DÉFICIT" xfId="3178" xr:uid="{00000000-0005-0000-0000-000021030000}"/>
    <cellStyle name="_CVAacompensar_ESCELSA_ago-07_jul-08" xfId="3179" xr:uid="{00000000-0005-0000-0000-000022030000}"/>
    <cellStyle name="_CVAacompensar_ESCELSA_ago-07_jul-08_IRT-cálculo" xfId="3180" xr:uid="{00000000-0005-0000-0000-000023030000}"/>
    <cellStyle name="_CVAacompensar_ESCELSA_ago-07_jul-08_IRT-cálculo CAPA NEUTRALIDADE" xfId="3181" xr:uid="{00000000-0005-0000-0000-000024030000}"/>
    <cellStyle name="_Dados 2 ciclo Revisão Tarifaria Santa Cruz Base de Dados" xfId="3182" xr:uid="{00000000-0005-0000-0000-000025030000}"/>
    <cellStyle name="_Dados_Rede_Basica_Compra_ESC_IRT_2008" xfId="3183" xr:uid="{00000000-0005-0000-0000-000026030000}"/>
    <cellStyle name="_Dados_Rede_Basica_Compra_ESC_IRT_2008_IRT-cálculo" xfId="3184" xr:uid="{00000000-0005-0000-0000-000027030000}"/>
    <cellStyle name="_Dados_Rede_Basica_Compra_ESC_IRT_2008_IRT-cálculo CAPA NEUTRALIDADE" xfId="3185" xr:uid="{00000000-0005-0000-0000-000028030000}"/>
    <cellStyle name="_Desverticalização EDEVP" xfId="3186" xr:uid="{00000000-0005-0000-0000-000029030000}"/>
    <cellStyle name="_Desverticalização EDEVP_2009.04.09 EEB IRT2009 Conexao CEMIG C Financeiro" xfId="3187" xr:uid="{00000000-0005-0000-0000-00002A030000}"/>
    <cellStyle name="_Desverticalização EDEVP_IF - Autoprodutores 2" xfId="3188" xr:uid="{00000000-0005-0000-0000-00002B030000}"/>
    <cellStyle name="_Desverticalização EDEVP_IF_Consumidores livres e geradoras_2010" xfId="3189" xr:uid="{00000000-0005-0000-0000-00002C030000}"/>
    <cellStyle name="_Desverticalização EDEVP_Sheet1" xfId="3190" xr:uid="{00000000-0005-0000-0000-00002D030000}"/>
    <cellStyle name="_EBO 2009 Subsídio Irrigantes - Final" xfId="3191" xr:uid="{00000000-0005-0000-0000-00002E030000}"/>
    <cellStyle name="_EBOSubsídio Fontes Alternativas Cons Livre - final" xfId="3192" xr:uid="{00000000-0005-0000-0000-00002F030000}"/>
    <cellStyle name="_EDVP-SobrasExposiçãoSubmercados" xfId="3193" xr:uid="{00000000-0005-0000-0000-000030030000}"/>
    <cellStyle name="_EDVP-SobrasExposiçãoSubmercados_2009.04.09 EEB IRT2009 Conexao CEMIG C Financeiro" xfId="3194" xr:uid="{00000000-0005-0000-0000-000031030000}"/>
    <cellStyle name="_EDVP-SobrasExposiçãoSubmercados_IF - Autoprodutores 2" xfId="3195" xr:uid="{00000000-0005-0000-0000-000032030000}"/>
    <cellStyle name="_EDVP-SobrasExposiçãoSubmercados_IF_Consumidores livres e geradoras_2010" xfId="3196" xr:uid="{00000000-0005-0000-0000-000033030000}"/>
    <cellStyle name="_EDVP-SobrasExposiçãoSubmercados_Sheet1" xfId="3197" xr:uid="{00000000-0005-0000-0000-000034030000}"/>
    <cellStyle name="_EEVP_Repasse-Sobrecontratação" xfId="3198" xr:uid="{00000000-0005-0000-0000-000035030000}"/>
    <cellStyle name="_EEVP_Repasse-Sobrecontratação_IF - Autoprodutores 2" xfId="3199" xr:uid="{00000000-0005-0000-0000-000036030000}"/>
    <cellStyle name="_EEVP_Repasse-Sobrecontratação_IF_Consumidores livres e geradoras_2010" xfId="3200" xr:uid="{00000000-0005-0000-0000-000037030000}"/>
    <cellStyle name="_EEVP_Repasse-Sobrecontratação_Sheet1" xfId="3201" xr:uid="{00000000-0005-0000-0000-000038030000}"/>
    <cellStyle name="_ELEKTRO - Dados Repasse sobrecontratação" xfId="186" xr:uid="{00000000-0005-0000-0000-000039030000}"/>
    <cellStyle name="_ELEKTRO - Dados Repasse sobrecontratação 2" xfId="1250" xr:uid="{00000000-0005-0000-0000-00003A030000}"/>
    <cellStyle name="_ELEKTRO - Dados Repasse sobrecontratação 3" xfId="3202" xr:uid="{00000000-0005-0000-0000-00003B030000}"/>
    <cellStyle name="_ELEKTRO - Dados Repasse sobrecontratação_Exposição_Agosto 2" xfId="3203" xr:uid="{00000000-0005-0000-0000-00003C030000}"/>
    <cellStyle name="_ELEKTRO - Dados Repasse sobrecontratação_IRT_Revisão A-2" xfId="3204" xr:uid="{00000000-0005-0000-0000-00003D030000}"/>
    <cellStyle name="_ELEKTRO_Repasse-sobrecontratação" xfId="187" xr:uid="{00000000-0005-0000-0000-00003E030000}"/>
    <cellStyle name="_ELEKTRO_Repasse-sobrecontratação 2" xfId="1251" xr:uid="{00000000-0005-0000-0000-00003F030000}"/>
    <cellStyle name="_ELEKTRO_Repasse-sobrecontratação 3" xfId="3205" xr:uid="{00000000-0005-0000-0000-000040030000}"/>
    <cellStyle name="_ELEKTRO_Repasse-sobrecontratação_Exposição_Agosto 2" xfId="3206" xr:uid="{00000000-0005-0000-0000-000041030000}"/>
    <cellStyle name="_ELEKTRO_Repasse-sobrecontratação_IRT_Revisão A-2" xfId="3207" xr:uid="{00000000-0005-0000-0000-000042030000}"/>
    <cellStyle name="_ELEKTRO-tarifa media - para CVA" xfId="188" xr:uid="{00000000-0005-0000-0000-000043030000}"/>
    <cellStyle name="_ELEKTRO-tarifa media - para CVA 2" xfId="1252" xr:uid="{00000000-0005-0000-0000-000044030000}"/>
    <cellStyle name="_ELEKTRO-tarifa media - para CVA_Calculo_Subsidio_ELFSM_26_06_08_Modelo_ANEEL" xfId="3208" xr:uid="{00000000-0005-0000-0000-000045030000}"/>
    <cellStyle name="_ELEKTRO-tarifa media - para CVA_Calculo_Subsidio_ELFSM_26_06_08_Modelo_ANEEL_IRT-cálculo" xfId="3209" xr:uid="{00000000-0005-0000-0000-000046030000}"/>
    <cellStyle name="_ELEKTRO-tarifa media - para CVA_Calculo_Subsidio_ELFSM_26_06_08_Modelo_ANEEL_IRT-cálculo CAPA NEUTRALIDADE" xfId="3210" xr:uid="{00000000-0005-0000-0000-000047030000}"/>
    <cellStyle name="_ELEKTRO-tarifa media - para CVA_CVA_Projetada até dez-2008_Setembro" xfId="3211" xr:uid="{00000000-0005-0000-0000-000048030000}"/>
    <cellStyle name="_ELEKTRO-tarifa media - para CVA_CVA_Projetada até dez-2008_Setembro_CVA Outros Componentes PROVISÃO" xfId="3212" xr:uid="{00000000-0005-0000-0000-000049030000}"/>
    <cellStyle name="_ELEKTRO-tarifa media - para CVA_CVA_Projetada até dez-2008_Setembro_PROVISÃO" xfId="3213" xr:uid="{00000000-0005-0000-0000-00004A030000}"/>
    <cellStyle name="_ELEKTRO-tarifa media - para CVA_Energia Comprada" xfId="3214" xr:uid="{00000000-0005-0000-0000-00004B030000}"/>
    <cellStyle name="_ELEKTRO-tarifa media - para CVA_Energia Comprada_IRT-cálculo" xfId="3215" xr:uid="{00000000-0005-0000-0000-00004C030000}"/>
    <cellStyle name="_ELEKTRO-tarifa media - para CVA_Energia Comprada_IRT-cálculo CAPA NEUTRALIDADE" xfId="3216" xr:uid="{00000000-0005-0000-0000-00004D030000}"/>
    <cellStyle name="_ELEKTRO-tarifa media - para CVA_Fator X" xfId="1524" xr:uid="{00000000-0005-0000-0000-00004E030000}"/>
    <cellStyle name="_ELEKTRO-tarifa media - para CVA_Fator X_IRT-cálculo" xfId="3217" xr:uid="{00000000-0005-0000-0000-00004F030000}"/>
    <cellStyle name="_ELEKTRO-tarifa media - para CVA_Fator X_IRT-cálculo CAPA NEUTRALIDADE" xfId="3218" xr:uid="{00000000-0005-0000-0000-000050030000}"/>
    <cellStyle name="_ELEKTRO-tarifa media - para CVA_Fator X_SOBRECONTRATAÇÃO E CVA" xfId="3219" xr:uid="{00000000-0005-0000-0000-000051030000}"/>
    <cellStyle name="_ELEKTRO-tarifa media - para CVA_IRT (2)" xfId="1525" xr:uid="{00000000-0005-0000-0000-000052030000}"/>
    <cellStyle name="_ELEKTRO-tarifa media - para CVA_IRT (2) 2" xfId="3220" xr:uid="{00000000-0005-0000-0000-000053030000}"/>
    <cellStyle name="_ELEKTRO-tarifa media - para CVA_IRT_1" xfId="1526" xr:uid="{00000000-0005-0000-0000-000054030000}"/>
    <cellStyle name="_ELEKTRO-tarifa media - para CVA_IRT_1_IRT-cálculo" xfId="3221" xr:uid="{00000000-0005-0000-0000-000055030000}"/>
    <cellStyle name="_ELEKTRO-tarifa media - para CVA_IRT_1_IRT-cálculo CAPA NEUTRALIDADE" xfId="3222" xr:uid="{00000000-0005-0000-0000-000056030000}"/>
    <cellStyle name="_ELEKTRO-tarifa media - para CVA_IRT_1_SOBRECONTRATAÇÃO E CVA" xfId="3223" xr:uid="{00000000-0005-0000-0000-000057030000}"/>
    <cellStyle name="_ELEKTRO-tarifa media - para CVA_IRT_Planilha Básica_DIRETORIA" xfId="3224" xr:uid="{00000000-0005-0000-0000-000058030000}"/>
    <cellStyle name="_ELEKTRO-tarifa media - para CVA_IRT_Pleito" xfId="3225" xr:uid="{00000000-0005-0000-0000-000059030000}"/>
    <cellStyle name="_ELEKTRO-tarifa media - para CVA_IRT_Pleito_IRT-cálculo" xfId="3226" xr:uid="{00000000-0005-0000-0000-00005A030000}"/>
    <cellStyle name="_ELEKTRO-tarifa media - para CVA_IRT_Pleito_IRT-cálculo CAPA NEUTRALIDADE" xfId="3227" xr:uid="{00000000-0005-0000-0000-00005B030000}"/>
    <cellStyle name="_ELEKTRO-tarifa media - para CVA_IRT-cálculo" xfId="3228" xr:uid="{00000000-0005-0000-0000-00005C030000}"/>
    <cellStyle name="_ELEKTRO-tarifa media - para CVA_IRT-cálculo CAPA NEUTRALIDADE" xfId="3229" xr:uid="{00000000-0005-0000-0000-00005D030000}"/>
    <cellStyle name="_ELEKTRO-tarifa media - para CVA_Pasta1" xfId="1527" xr:uid="{00000000-0005-0000-0000-00005E030000}"/>
    <cellStyle name="_ELEKTRO-tarifa media - para CVA_Pasta1_IRT-cálculo" xfId="3230" xr:uid="{00000000-0005-0000-0000-00005F030000}"/>
    <cellStyle name="_ELEKTRO-tarifa media - para CVA_Pasta1_IRT-cálculo CAPA NEUTRALIDADE" xfId="3231" xr:uid="{00000000-0005-0000-0000-000060030000}"/>
    <cellStyle name="_ELEKTRO-tarifa media - para CVA_Pasta1_SOBRECONTRATAÇÃO E CVA" xfId="3232" xr:uid="{00000000-0005-0000-0000-000061030000}"/>
    <cellStyle name="_ELEKTRO-tarifa media - para CVA_SOBRECONTRATAÇÃO E CVA" xfId="3233" xr:uid="{00000000-0005-0000-0000-000062030000}"/>
    <cellStyle name="_ELEKTRO-tarifa media - para CVA_SOBRECONTRATAÇÃO E CVA A-1" xfId="3234" xr:uid="{00000000-0005-0000-0000-000063030000}"/>
    <cellStyle name="_ELEKTRO-tarifa media - para CVA_SOBRECONTRATAÇÃO E CVA A-1_IRT-cálculo" xfId="3235" xr:uid="{00000000-0005-0000-0000-000064030000}"/>
    <cellStyle name="_ELEKTRO-tarifa media - para CVA_SOBRECONTRATAÇÃO E CVA A-1_IRT-cálculo CAPA NEUTRALIDADE" xfId="3236" xr:uid="{00000000-0005-0000-0000-000065030000}"/>
    <cellStyle name="_ELETROPAULO - IRT_julho2006_PÓS IGPM" xfId="1528" xr:uid="{00000000-0005-0000-0000-000066030000}"/>
    <cellStyle name="_ELETROPAULO - IRT_julho2006_PÓS IGPM_COELCE - RTO 2011 - PLPT_PLANILHA_CÁLCULO_DÉFICIT" xfId="3237" xr:uid="{00000000-0005-0000-0000-000067030000}"/>
    <cellStyle name="_ELETROPAULO 2007 - Repasse sobrecontratação" xfId="189" xr:uid="{00000000-0005-0000-0000-000068030000}"/>
    <cellStyle name="_ELETROPAULO 2007 - Repasse sobrecontratação 2" xfId="1253" xr:uid="{00000000-0005-0000-0000-000069030000}"/>
    <cellStyle name="_ELETROPAULO 2007 - Repasse sobrecontratação 3" xfId="3238" xr:uid="{00000000-0005-0000-0000-00006A030000}"/>
    <cellStyle name="_ELETROPAULO 2007 - Repasse sobrecontratação_Exposição_Agosto 2" xfId="3239" xr:uid="{00000000-0005-0000-0000-00006B030000}"/>
    <cellStyle name="_ELETROPAULO 2007 - Repasse sobrecontratação_IRT_Revisão A-2" xfId="3240" xr:uid="{00000000-0005-0000-0000-00006C030000}"/>
    <cellStyle name="_ENERGIA-RESUMO" xfId="3241" xr:uid="{00000000-0005-0000-0000-00006D030000}"/>
    <cellStyle name="_ENERGIA-RESUMO_IF - Autoprodutores 2" xfId="3242" xr:uid="{00000000-0005-0000-0000-00006E030000}"/>
    <cellStyle name="_ENERGIA-RESUMO_IF_Consumidores livres e geradoras_2010" xfId="3243" xr:uid="{00000000-0005-0000-0000-00006F030000}"/>
    <cellStyle name="_ENERGIA-RESUMO_Sheet1" xfId="3244" xr:uid="{00000000-0005-0000-0000-000070030000}"/>
    <cellStyle name="_ENERGIPE_Análise 1ª Proposta ANEEL_13 fev 2008" xfId="3245" xr:uid="{00000000-0005-0000-0000-000071030000}"/>
    <cellStyle name="_Energipe-SobrasExposiçãoSubmercados" xfId="190" xr:uid="{00000000-0005-0000-0000-000072030000}"/>
    <cellStyle name="_Energipe-SobrasExposiçãoSubmercados 2" xfId="1254" xr:uid="{00000000-0005-0000-0000-000073030000}"/>
    <cellStyle name="_Energipe-SobrasExposiçãoSubmercados 3" xfId="3246" xr:uid="{00000000-0005-0000-0000-000074030000}"/>
    <cellStyle name="_Energipe-SobrasExposiçãoSubmercados_Balanço" xfId="191" xr:uid="{00000000-0005-0000-0000-000075030000}"/>
    <cellStyle name="_Energipe-SobrasExposiçãoSubmercados_casulo 15" xfId="192" xr:uid="{00000000-0005-0000-0000-000076030000}"/>
    <cellStyle name="_Energipe-SobrasExposiçãoSubmercados_CELPA CVA 2007 corrigida" xfId="1529" xr:uid="{00000000-0005-0000-0000-000077030000}"/>
    <cellStyle name="_Energipe-SobrasExposiçãoSubmercados_CELPA CVA 2007 corrigida 2" xfId="3247" xr:uid="{00000000-0005-0000-0000-000078030000}"/>
    <cellStyle name="_Energipe-SobrasExposiçãoSubmercados_CELPA CVA 2007 corrigida_COELCE - RTO 2011 - PLPT_PLANILHA_CÁLCULO_DÉFICIT" xfId="3248" xr:uid="{00000000-0005-0000-0000-000079030000}"/>
    <cellStyle name="_Energipe-SobrasExposiçãoSubmercados_Exposição_Agosto 2" xfId="3249" xr:uid="{00000000-0005-0000-0000-00007A030000}"/>
    <cellStyle name="_Energipe-SobrasExposiçãoSubmercados_IRT EEB 2010" xfId="3250" xr:uid="{00000000-0005-0000-0000-00007B030000}"/>
    <cellStyle name="_Energipe-SobrasExposiçãoSubmercados_IRT_Revisão A-2" xfId="3251" xr:uid="{00000000-0005-0000-0000-00007C030000}"/>
    <cellStyle name="_Energipe-SobrasExposiçãoSubmercados_Simulação AES SUL 03_04_07" xfId="193" xr:uid="{00000000-0005-0000-0000-00007D030000}"/>
    <cellStyle name="_Energipe-SobrasExposiçãoSubmercados_Simulação AES SUL 03_04_07 2" xfId="1255" xr:uid="{00000000-0005-0000-0000-00007E030000}"/>
    <cellStyle name="_Energipe-SobrasExposiçãoSubmercados_Simulação AES SUL 03_04_07 3" xfId="3252" xr:uid="{00000000-0005-0000-0000-00007F030000}"/>
    <cellStyle name="_Energipe-SobrasExposiçãoSubmercados_Simulação AES SUL 03_04_07_Balanço" xfId="194" xr:uid="{00000000-0005-0000-0000-000080030000}"/>
    <cellStyle name="_Energipe-SobrasExposiçãoSubmercados_Simulação AES SUL 03_04_07_casulo 15" xfId="195" xr:uid="{00000000-0005-0000-0000-000081030000}"/>
    <cellStyle name="_Energipe-SobrasExposiçãoSubmercados_Simulação AES SUL 03_04_07_IRT EEB 2010" xfId="3253" xr:uid="{00000000-0005-0000-0000-000082030000}"/>
    <cellStyle name="_Energipe-SobrasExposiçãoSubmercados_Sobrecontratação AES (2)" xfId="196" xr:uid="{00000000-0005-0000-0000-000083030000}"/>
    <cellStyle name="_Energipe-SobrasExposiçãoSubmercados_Sobrecontratação AES (2) 2" xfId="1256" xr:uid="{00000000-0005-0000-0000-000084030000}"/>
    <cellStyle name="_Energipe-SobrasExposiçãoSubmercados_Sobrecontratação AES (2) 3" xfId="3254" xr:uid="{00000000-0005-0000-0000-000085030000}"/>
    <cellStyle name="_Energipe-SobrasExposiçãoSubmercados_Sobrecontratação AES (2)_Balanço" xfId="197" xr:uid="{00000000-0005-0000-0000-000086030000}"/>
    <cellStyle name="_Energipe-SobrasExposiçãoSubmercados_Sobrecontratação AES (2)_casulo 15" xfId="198" xr:uid="{00000000-0005-0000-0000-000087030000}"/>
    <cellStyle name="_Energipe-SobrasExposiçãoSubmercados_Sobrecontratação AES (2)_IRT EEB 2010" xfId="3255" xr:uid="{00000000-0005-0000-0000-000088030000}"/>
    <cellStyle name="_Enersul Impacto LPT_FINAL_22_02_07" xfId="199" xr:uid="{00000000-0005-0000-0000-000089030000}"/>
    <cellStyle name="_Enersul Impacto LPT_FINAL_22_02_07 2" xfId="910" xr:uid="{00000000-0005-0000-0000-00008A030000}"/>
    <cellStyle name="_Enersul Impacto LPT_FINAL_22_02_07 3" xfId="3256" xr:uid="{00000000-0005-0000-0000-00008B030000}"/>
    <cellStyle name="_Enersul Impacto LPT_FINAL_22_02_07_2008.08.07 CELPA IRT2008 Homologado" xfId="3257" xr:uid="{00000000-0005-0000-0000-00008C030000}"/>
    <cellStyle name="_Enersul Impacto LPT_FINAL_22_02_07_2009.04.09 EEB IRT2009 Conexao CEMIG C Financeiro" xfId="3258" xr:uid="{00000000-0005-0000-0000-00008D030000}"/>
    <cellStyle name="_Enersul Impacto LPT_FINAL_22_02_07_Ajuste SALDO CVA ANO ANTERIOR PÓS-REVISÃOx" xfId="3259" xr:uid="{00000000-0005-0000-0000-00008E030000}"/>
    <cellStyle name="_Enersul Impacto LPT_FINAL_22_02_07_Balanço" xfId="200" xr:uid="{00000000-0005-0000-0000-00008F030000}"/>
    <cellStyle name="_Enersul Impacto LPT_FINAL_22_02_07_Balanço 2" xfId="1257" xr:uid="{00000000-0005-0000-0000-000090030000}"/>
    <cellStyle name="_Enersul Impacto LPT_FINAL_22_02_07_Cálculo do Financeiro do Baixa Renda" xfId="3260" xr:uid="{00000000-0005-0000-0000-000091030000}"/>
    <cellStyle name="_Enersul Impacto LPT_FINAL_22_02_07_Cálculo do Financeiro do Baixa Renda_IRT-cálculo" xfId="3261" xr:uid="{00000000-0005-0000-0000-000092030000}"/>
    <cellStyle name="_Enersul Impacto LPT_FINAL_22_02_07_Cálculo do Financeiro do Baixa Renda_IRT-cálculo CAPA NEUTRALIDADE" xfId="3262" xr:uid="{00000000-0005-0000-0000-000093030000}"/>
    <cellStyle name="_Enersul Impacto LPT_FINAL_22_02_07_Calculo_Subsidio_ELFSM_26_06_08_Modelo_ANEEL" xfId="3263" xr:uid="{00000000-0005-0000-0000-000094030000}"/>
    <cellStyle name="_Enersul Impacto LPT_FINAL_22_02_07_Calculo_Subsidio_ELFSM_26_06_08_Modelo_ANEEL_IRT-cálculo" xfId="3264" xr:uid="{00000000-0005-0000-0000-000095030000}"/>
    <cellStyle name="_Enersul Impacto LPT_FINAL_22_02_07_Calculo_Subsidio_ELFSM_26_06_08_Modelo_ANEEL_IRT-cálculo CAPA NEUTRALIDADE" xfId="3265" xr:uid="{00000000-0005-0000-0000-000096030000}"/>
    <cellStyle name="_Enersul Impacto LPT_FINAL_22_02_07_casulo 15" xfId="201" xr:uid="{00000000-0005-0000-0000-000097030000}"/>
    <cellStyle name="_Enersul Impacto LPT_FINAL_22_02_07_casulo 5" xfId="202" xr:uid="{00000000-0005-0000-0000-000098030000}"/>
    <cellStyle name="_Enersul Impacto LPT_FINAL_22_02_07_casulo 5 2" xfId="1258" xr:uid="{00000000-0005-0000-0000-000099030000}"/>
    <cellStyle name="_Enersul Impacto LPT_FINAL_22_02_07_casulo 5_Balanço" xfId="203" xr:uid="{00000000-0005-0000-0000-00009A030000}"/>
    <cellStyle name="_Enersul Impacto LPT_FINAL_22_02_07_casulo 5_casulo 15" xfId="204" xr:uid="{00000000-0005-0000-0000-00009B030000}"/>
    <cellStyle name="_Enersul Impacto LPT_FINAL_22_02_07_casulo 5_IRT EEB 2010" xfId="3266" xr:uid="{00000000-0005-0000-0000-00009C030000}"/>
    <cellStyle name="_Enersul Impacto LPT_FINAL_22_02_07_Custo com Avaliação de Ativos para Base de Remuneração" xfId="3267" xr:uid="{00000000-0005-0000-0000-00009D030000}"/>
    <cellStyle name="_Enersul Impacto LPT_FINAL_22_02_07_Custo com Avaliação de Ativos para Base de Remuneração_IRT-cálculo" xfId="3268" xr:uid="{00000000-0005-0000-0000-00009E030000}"/>
    <cellStyle name="_Enersul Impacto LPT_FINAL_22_02_07_Custo com Avaliação de Ativos para Base de Remuneração_IRT-cálculo CAPA NEUTRALIDADE" xfId="3269" xr:uid="{00000000-0005-0000-0000-00009F030000}"/>
    <cellStyle name="_Enersul Impacto LPT_FINAL_22_02_07_Descontos CCC_CDE_PROINFA Nov_07_Out_08" xfId="3270" xr:uid="{00000000-0005-0000-0000-0000A0030000}"/>
    <cellStyle name="_Enersul Impacto LPT_FINAL_22_02_07_Descontos CCC_CDE_PROINFA Nov_07_Out_08_IRT-cálculo" xfId="3271" xr:uid="{00000000-0005-0000-0000-0000A1030000}"/>
    <cellStyle name="_Enersul Impacto LPT_FINAL_22_02_07_Descontos CCC_CDE_PROINFA Nov_07_Out_08_IRT-cálculo CAPA NEUTRALIDADE" xfId="3272" xr:uid="{00000000-0005-0000-0000-0000A2030000}"/>
    <cellStyle name="_Enersul Impacto LPT_FINAL_22_02_07_Energia Comprada" xfId="3273" xr:uid="{00000000-0005-0000-0000-0000A3030000}"/>
    <cellStyle name="_Enersul Impacto LPT_FINAL_22_02_07_Energia Comprada_IRT-cálculo" xfId="3274" xr:uid="{00000000-0005-0000-0000-0000A4030000}"/>
    <cellStyle name="_Enersul Impacto LPT_FINAL_22_02_07_Energia Comprada_IRT-cálculo CAPA NEUTRALIDADE" xfId="3275" xr:uid="{00000000-0005-0000-0000-0000A5030000}"/>
    <cellStyle name="_Enersul Impacto LPT_FINAL_22_02_07_Fator Novo e Antigo 4 anos" xfId="3276" xr:uid="{00000000-0005-0000-0000-0000A6030000}"/>
    <cellStyle name="_Enersul Impacto LPT_FINAL_22_02_07_Fator X" xfId="1530" xr:uid="{00000000-0005-0000-0000-0000A7030000}"/>
    <cellStyle name="_Enersul Impacto LPT_FINAL_22_02_07_Fator X 2" xfId="3277" xr:uid="{00000000-0005-0000-0000-0000A8030000}"/>
    <cellStyle name="_Enersul Impacto LPT_FINAL_22_02_07_Fator X_IRT-cálculo" xfId="3278" xr:uid="{00000000-0005-0000-0000-0000A9030000}"/>
    <cellStyle name="_Enersul Impacto LPT_FINAL_22_02_07_Fator X_IRT-cálculo CAPA NEUTRALIDADE" xfId="3279" xr:uid="{00000000-0005-0000-0000-0000AA030000}"/>
    <cellStyle name="_Enersul Impacto LPT_FINAL_22_02_07_Fator X_SOBRECONTRATAÇÃO E CVA" xfId="3280" xr:uid="{00000000-0005-0000-0000-0000AB030000}"/>
    <cellStyle name="_Enersul Impacto LPT_FINAL_22_02_07_IF - Autoprodutores 2" xfId="3281" xr:uid="{00000000-0005-0000-0000-0000AC030000}"/>
    <cellStyle name="_Enersul Impacto LPT_FINAL_22_02_07_IF_Consumidores livres e geradoras_2010" xfId="3282" xr:uid="{00000000-0005-0000-0000-0000AD030000}"/>
    <cellStyle name="_Enersul Impacto LPT_FINAL_22_02_07_IRT (2)" xfId="1531" xr:uid="{00000000-0005-0000-0000-0000AE030000}"/>
    <cellStyle name="_Enersul Impacto LPT_FINAL_22_02_07_IRT EEB 2010" xfId="3283" xr:uid="{00000000-0005-0000-0000-0000AF030000}"/>
    <cellStyle name="_Enersul Impacto LPT_FINAL_22_02_07_IRT_1" xfId="1532" xr:uid="{00000000-0005-0000-0000-0000B0030000}"/>
    <cellStyle name="_Enersul Impacto LPT_FINAL_22_02_07_IRT_1 2" xfId="3284" xr:uid="{00000000-0005-0000-0000-0000B1030000}"/>
    <cellStyle name="_Enersul Impacto LPT_FINAL_22_02_07_IRT_1_IRT-cálculo" xfId="3285" xr:uid="{00000000-0005-0000-0000-0000B2030000}"/>
    <cellStyle name="_Enersul Impacto LPT_FINAL_22_02_07_IRT_1_IRT-cálculo CAPA NEUTRALIDADE" xfId="3286" xr:uid="{00000000-0005-0000-0000-0000B3030000}"/>
    <cellStyle name="_Enersul Impacto LPT_FINAL_22_02_07_IRT_1_SOBRECONTRATAÇÃO E CVA" xfId="3287" xr:uid="{00000000-0005-0000-0000-0000B4030000}"/>
    <cellStyle name="_Enersul Impacto LPT_FINAL_22_02_07_IRT_Bragantina_maio_2009" xfId="3288" xr:uid="{00000000-0005-0000-0000-0000B5030000}"/>
    <cellStyle name="_Enersul Impacto LPT_FINAL_22_02_07_IRT_Planilha Básica_DIRETORIA" xfId="3289" xr:uid="{00000000-0005-0000-0000-0000B6030000}"/>
    <cellStyle name="_Enersul Impacto LPT_FINAL_22_02_07_IRT_Pleito" xfId="3290" xr:uid="{00000000-0005-0000-0000-0000B7030000}"/>
    <cellStyle name="_Enersul Impacto LPT_FINAL_22_02_07_IRT_Pleito_IRT-cálculo" xfId="3291" xr:uid="{00000000-0005-0000-0000-0000B8030000}"/>
    <cellStyle name="_Enersul Impacto LPT_FINAL_22_02_07_IRT_Pleito_IRT-cálculo CAPA NEUTRALIDADE" xfId="3292" xr:uid="{00000000-0005-0000-0000-0000B9030000}"/>
    <cellStyle name="_Enersul Impacto LPT_FINAL_22_02_07_IRT_Revisão A-1" xfId="3293" xr:uid="{00000000-0005-0000-0000-0000BA030000}"/>
    <cellStyle name="_Enersul Impacto LPT_FINAL_22_02_07_IRT_Revisão A-1_IRT-cálculo" xfId="3294" xr:uid="{00000000-0005-0000-0000-0000BB030000}"/>
    <cellStyle name="_Enersul Impacto LPT_FINAL_22_02_07_IRT_Revisão A-1_IRT-cálculo CAPA NEUTRALIDADE" xfId="3295" xr:uid="{00000000-0005-0000-0000-0000BC030000}"/>
    <cellStyle name="_Enersul Impacto LPT_FINAL_22_02_07_IRT-cálculo" xfId="3296" xr:uid="{00000000-0005-0000-0000-0000BD030000}"/>
    <cellStyle name="_Enersul Impacto LPT_FINAL_22_02_07_IRT-cálculo CAPA NEUTRALIDADE" xfId="3297" xr:uid="{00000000-0005-0000-0000-0000BE030000}"/>
    <cellStyle name="_Enersul Impacto LPT_FINAL_22_02_07_Pasta1" xfId="1533" xr:uid="{00000000-0005-0000-0000-0000BF030000}"/>
    <cellStyle name="_Enersul Impacto LPT_FINAL_22_02_07_Pasta1 2" xfId="3298" xr:uid="{00000000-0005-0000-0000-0000C0030000}"/>
    <cellStyle name="_Enersul Impacto LPT_FINAL_22_02_07_Pasta1_IRT-cálculo" xfId="3299" xr:uid="{00000000-0005-0000-0000-0000C1030000}"/>
    <cellStyle name="_Enersul Impacto LPT_FINAL_22_02_07_Pasta1_IRT-cálculo CAPA NEUTRALIDADE" xfId="3300" xr:uid="{00000000-0005-0000-0000-0000C2030000}"/>
    <cellStyle name="_Enersul Impacto LPT_FINAL_22_02_07_Pasta1_SOBRECONTRATAÇÃO E CVA" xfId="3301" xr:uid="{00000000-0005-0000-0000-0000C3030000}"/>
    <cellStyle name="_Enersul Impacto LPT_FINAL_22_02_07_Sheet1" xfId="3302" xr:uid="{00000000-0005-0000-0000-0000C4030000}"/>
    <cellStyle name="_Enersul Impacto LPT_FINAL_22_02_07_Sheet2" xfId="3303" xr:uid="{00000000-0005-0000-0000-0000C5030000}"/>
    <cellStyle name="_Enersul Impacto LPT_FINAL_22_02_07_SOBRECONTRATAÇÃO E CVA" xfId="3304" xr:uid="{00000000-0005-0000-0000-0000C6030000}"/>
    <cellStyle name="_Enersul Impacto PLT v1" xfId="205" xr:uid="{00000000-0005-0000-0000-0000C7030000}"/>
    <cellStyle name="_Enersul Impacto PLT v1 2" xfId="911" xr:uid="{00000000-0005-0000-0000-0000C8030000}"/>
    <cellStyle name="_Enersul Impacto PLT v1 3" xfId="3305" xr:uid="{00000000-0005-0000-0000-0000C9030000}"/>
    <cellStyle name="_Enersul Impacto PLT v1_2008.08.07 CELPA IRT2008 Homologado" xfId="3306" xr:uid="{00000000-0005-0000-0000-0000CA030000}"/>
    <cellStyle name="_Enersul Impacto PLT v1_2009.04.09 EEB IRT2009 Conexao CEMIG C Financeiro" xfId="3307" xr:uid="{00000000-0005-0000-0000-0000CB030000}"/>
    <cellStyle name="_Enersul Impacto PLT v1_Ajuste SALDO CVA ANO ANTERIOR PÓS-REVISÃOx" xfId="3308" xr:uid="{00000000-0005-0000-0000-0000CC030000}"/>
    <cellStyle name="_Enersul Impacto PLT v1_Balanço" xfId="206" xr:uid="{00000000-0005-0000-0000-0000CD030000}"/>
    <cellStyle name="_Enersul Impacto PLT v1_Balanço 2" xfId="1259" xr:uid="{00000000-0005-0000-0000-0000CE030000}"/>
    <cellStyle name="_Enersul Impacto PLT v1_Cálculo do Financeiro do Baixa Renda" xfId="3309" xr:uid="{00000000-0005-0000-0000-0000CF030000}"/>
    <cellStyle name="_Enersul Impacto PLT v1_Cálculo do Financeiro do Baixa Renda_IRT-cálculo" xfId="3310" xr:uid="{00000000-0005-0000-0000-0000D0030000}"/>
    <cellStyle name="_Enersul Impacto PLT v1_Cálculo do Financeiro do Baixa Renda_IRT-cálculo CAPA NEUTRALIDADE" xfId="3311" xr:uid="{00000000-0005-0000-0000-0000D1030000}"/>
    <cellStyle name="_Enersul Impacto PLT v1_Calculo_Subsidio_ELFSM_26_06_08_Modelo_ANEEL" xfId="3312" xr:uid="{00000000-0005-0000-0000-0000D2030000}"/>
    <cellStyle name="_Enersul Impacto PLT v1_Calculo_Subsidio_ELFSM_26_06_08_Modelo_ANEEL_IRT-cálculo" xfId="3313" xr:uid="{00000000-0005-0000-0000-0000D3030000}"/>
    <cellStyle name="_Enersul Impacto PLT v1_Calculo_Subsidio_ELFSM_26_06_08_Modelo_ANEEL_IRT-cálculo CAPA NEUTRALIDADE" xfId="3314" xr:uid="{00000000-0005-0000-0000-0000D4030000}"/>
    <cellStyle name="_Enersul Impacto PLT v1_casulo 15" xfId="207" xr:uid="{00000000-0005-0000-0000-0000D5030000}"/>
    <cellStyle name="_Enersul Impacto PLT v1_casulo 5" xfId="208" xr:uid="{00000000-0005-0000-0000-0000D6030000}"/>
    <cellStyle name="_Enersul Impacto PLT v1_casulo 5 2" xfId="1260" xr:uid="{00000000-0005-0000-0000-0000D7030000}"/>
    <cellStyle name="_Enersul Impacto PLT v1_casulo 5_Balanço" xfId="209" xr:uid="{00000000-0005-0000-0000-0000D8030000}"/>
    <cellStyle name="_Enersul Impacto PLT v1_casulo 5_casulo 15" xfId="210" xr:uid="{00000000-0005-0000-0000-0000D9030000}"/>
    <cellStyle name="_Enersul Impacto PLT v1_casulo 5_IRT EEB 2010" xfId="3315" xr:uid="{00000000-0005-0000-0000-0000DA030000}"/>
    <cellStyle name="_Enersul Impacto PLT v1_Custo com Avaliação de Ativos para Base de Remuneração" xfId="3316" xr:uid="{00000000-0005-0000-0000-0000DB030000}"/>
    <cellStyle name="_Enersul Impacto PLT v1_Custo com Avaliação de Ativos para Base de Remuneração_IRT-cálculo" xfId="3317" xr:uid="{00000000-0005-0000-0000-0000DC030000}"/>
    <cellStyle name="_Enersul Impacto PLT v1_Custo com Avaliação de Ativos para Base de Remuneração_IRT-cálculo CAPA NEUTRALIDADE" xfId="3318" xr:uid="{00000000-0005-0000-0000-0000DD030000}"/>
    <cellStyle name="_Enersul Impacto PLT v1_Descontos CCC_CDE_PROINFA Nov_07_Out_08" xfId="3319" xr:uid="{00000000-0005-0000-0000-0000DE030000}"/>
    <cellStyle name="_Enersul Impacto PLT v1_Descontos CCC_CDE_PROINFA Nov_07_Out_08_IRT-cálculo" xfId="3320" xr:uid="{00000000-0005-0000-0000-0000DF030000}"/>
    <cellStyle name="_Enersul Impacto PLT v1_Descontos CCC_CDE_PROINFA Nov_07_Out_08_IRT-cálculo CAPA NEUTRALIDADE" xfId="3321" xr:uid="{00000000-0005-0000-0000-0000E0030000}"/>
    <cellStyle name="_Enersul Impacto PLT v1_Energia Comprada" xfId="3322" xr:uid="{00000000-0005-0000-0000-0000E1030000}"/>
    <cellStyle name="_Enersul Impacto PLT v1_Energia Comprada_IRT-cálculo" xfId="3323" xr:uid="{00000000-0005-0000-0000-0000E2030000}"/>
    <cellStyle name="_Enersul Impacto PLT v1_Energia Comprada_IRT-cálculo CAPA NEUTRALIDADE" xfId="3324" xr:uid="{00000000-0005-0000-0000-0000E3030000}"/>
    <cellStyle name="_Enersul Impacto PLT v1_Fator Novo e Antigo 4 anos" xfId="3325" xr:uid="{00000000-0005-0000-0000-0000E4030000}"/>
    <cellStyle name="_Enersul Impacto PLT v1_Fator X" xfId="1534" xr:uid="{00000000-0005-0000-0000-0000E5030000}"/>
    <cellStyle name="_Enersul Impacto PLT v1_Fator X 2" xfId="3326" xr:uid="{00000000-0005-0000-0000-0000E6030000}"/>
    <cellStyle name="_Enersul Impacto PLT v1_Fator X_IRT-cálculo" xfId="3327" xr:uid="{00000000-0005-0000-0000-0000E7030000}"/>
    <cellStyle name="_Enersul Impacto PLT v1_Fator X_IRT-cálculo CAPA NEUTRALIDADE" xfId="3328" xr:uid="{00000000-0005-0000-0000-0000E8030000}"/>
    <cellStyle name="_Enersul Impacto PLT v1_Fator X_SOBRECONTRATAÇÃO E CVA" xfId="3329" xr:uid="{00000000-0005-0000-0000-0000E9030000}"/>
    <cellStyle name="_Enersul Impacto PLT v1_IF - Autoprodutores 2" xfId="3330" xr:uid="{00000000-0005-0000-0000-0000EA030000}"/>
    <cellStyle name="_Enersul Impacto PLT v1_IF_Consumidores livres e geradoras_2010" xfId="3331" xr:uid="{00000000-0005-0000-0000-0000EB030000}"/>
    <cellStyle name="_Enersul Impacto PLT v1_IRT (2)" xfId="1535" xr:uid="{00000000-0005-0000-0000-0000EC030000}"/>
    <cellStyle name="_Enersul Impacto PLT v1_IRT EEB 2010" xfId="3332" xr:uid="{00000000-0005-0000-0000-0000ED030000}"/>
    <cellStyle name="_Enersul Impacto PLT v1_IRT_1" xfId="1536" xr:uid="{00000000-0005-0000-0000-0000EE030000}"/>
    <cellStyle name="_Enersul Impacto PLT v1_IRT_1 2" xfId="3333" xr:uid="{00000000-0005-0000-0000-0000EF030000}"/>
    <cellStyle name="_Enersul Impacto PLT v1_IRT_1_IRT-cálculo" xfId="3334" xr:uid="{00000000-0005-0000-0000-0000F0030000}"/>
    <cellStyle name="_Enersul Impacto PLT v1_IRT_1_IRT-cálculo CAPA NEUTRALIDADE" xfId="3335" xr:uid="{00000000-0005-0000-0000-0000F1030000}"/>
    <cellStyle name="_Enersul Impacto PLT v1_IRT_1_SOBRECONTRATAÇÃO E CVA" xfId="3336" xr:uid="{00000000-0005-0000-0000-0000F2030000}"/>
    <cellStyle name="_Enersul Impacto PLT v1_IRT_Bragantina_maio_2009" xfId="3337" xr:uid="{00000000-0005-0000-0000-0000F3030000}"/>
    <cellStyle name="_Enersul Impacto PLT v1_IRT_Planilha Básica_DIRETORIA" xfId="3338" xr:uid="{00000000-0005-0000-0000-0000F4030000}"/>
    <cellStyle name="_Enersul Impacto PLT v1_IRT_Pleito" xfId="3339" xr:uid="{00000000-0005-0000-0000-0000F5030000}"/>
    <cellStyle name="_Enersul Impacto PLT v1_IRT_Pleito_IRT-cálculo" xfId="3340" xr:uid="{00000000-0005-0000-0000-0000F6030000}"/>
    <cellStyle name="_Enersul Impacto PLT v1_IRT_Pleito_IRT-cálculo CAPA NEUTRALIDADE" xfId="3341" xr:uid="{00000000-0005-0000-0000-0000F7030000}"/>
    <cellStyle name="_Enersul Impacto PLT v1_IRT_Revisão A-1" xfId="3342" xr:uid="{00000000-0005-0000-0000-0000F8030000}"/>
    <cellStyle name="_Enersul Impacto PLT v1_IRT_Revisão A-1_IRT-cálculo" xfId="3343" xr:uid="{00000000-0005-0000-0000-0000F9030000}"/>
    <cellStyle name="_Enersul Impacto PLT v1_IRT_Revisão A-1_IRT-cálculo CAPA NEUTRALIDADE" xfId="3344" xr:uid="{00000000-0005-0000-0000-0000FA030000}"/>
    <cellStyle name="_Enersul Impacto PLT v1_IRT-cálculo" xfId="3345" xr:uid="{00000000-0005-0000-0000-0000FB030000}"/>
    <cellStyle name="_Enersul Impacto PLT v1_IRT-cálculo CAPA NEUTRALIDADE" xfId="3346" xr:uid="{00000000-0005-0000-0000-0000FC030000}"/>
    <cellStyle name="_Enersul Impacto PLT v1_Pasta1" xfId="1537" xr:uid="{00000000-0005-0000-0000-0000FD030000}"/>
    <cellStyle name="_Enersul Impacto PLT v1_Pasta1 2" xfId="3347" xr:uid="{00000000-0005-0000-0000-0000FE030000}"/>
    <cellStyle name="_Enersul Impacto PLT v1_Pasta1_IRT-cálculo" xfId="3348" xr:uid="{00000000-0005-0000-0000-0000FF030000}"/>
    <cellStyle name="_Enersul Impacto PLT v1_Pasta1_IRT-cálculo CAPA NEUTRALIDADE" xfId="3349" xr:uid="{00000000-0005-0000-0000-000000040000}"/>
    <cellStyle name="_Enersul Impacto PLT v1_Pasta1_SOBRECONTRATAÇÃO E CVA" xfId="3350" xr:uid="{00000000-0005-0000-0000-000001040000}"/>
    <cellStyle name="_Enersul Impacto PLT v1_Sheet1" xfId="3351" xr:uid="{00000000-0005-0000-0000-000002040000}"/>
    <cellStyle name="_Enersul Impacto PLT v1_Sheet2" xfId="3352" xr:uid="{00000000-0005-0000-0000-000003040000}"/>
    <cellStyle name="_Enersul Impacto PLT v1_SOBRECONTRATAÇÃO E CVA" xfId="3353" xr:uid="{00000000-0005-0000-0000-000004040000}"/>
    <cellStyle name="_ESCELSA_Anexo II_Carta_CT_CCRE_31_07_Itens_Financeiros" xfId="3354" xr:uid="{00000000-0005-0000-0000-000005040000}"/>
    <cellStyle name="_ESCELSA_Anexo II_Carta_CT_CCRE_31_07_Itens_Financeiros_IRT-cálculo" xfId="3355" xr:uid="{00000000-0005-0000-0000-000006040000}"/>
    <cellStyle name="_ESCELSA_Anexo II_Carta_CT_CCRE_31_07_Itens_Financeiros_IRT-cálculo CAPA NEUTRALIDADE" xfId="3356" xr:uid="{00000000-0005-0000-0000-000007040000}"/>
    <cellStyle name="_ESCELSA_RESPOSTA_OFÍCIO_325_DEFINITIVO" xfId="211" xr:uid="{00000000-0005-0000-0000-000008040000}"/>
    <cellStyle name="_ESCELSA_RESPOSTA_OFÍCIO_325_DEFINITIVO 2" xfId="912" xr:uid="{00000000-0005-0000-0000-000009040000}"/>
    <cellStyle name="_ESCELSA_RESPOSTA_OFÍCIO_325_DEFINITIVO 3" xfId="3357" xr:uid="{00000000-0005-0000-0000-00000A040000}"/>
    <cellStyle name="_ESCELSA_RESPOSTA_OFÍCIO_325_DEFINITIVO_2008.08.07 CELPA IRT2008 Homologado" xfId="3358" xr:uid="{00000000-0005-0000-0000-00000B040000}"/>
    <cellStyle name="_ESCELSA_RESPOSTA_OFÍCIO_325_DEFINITIVO_2009.04.09 EEB IRT2009 Conexao CEMIG C Financeiro" xfId="3359" xr:uid="{00000000-0005-0000-0000-00000C040000}"/>
    <cellStyle name="_ESCELSA_RESPOSTA_OFÍCIO_325_DEFINITIVO_Ajuste SALDO CVA ANO ANTERIOR PÓS-REVISÃOx" xfId="3360" xr:uid="{00000000-0005-0000-0000-00000D040000}"/>
    <cellStyle name="_ESCELSA_RESPOSTA_OFÍCIO_325_DEFINITIVO_Balanço" xfId="212" xr:uid="{00000000-0005-0000-0000-00000E040000}"/>
    <cellStyle name="_ESCELSA_RESPOSTA_OFÍCIO_325_DEFINITIVO_Balanço 2" xfId="1261" xr:uid="{00000000-0005-0000-0000-00000F040000}"/>
    <cellStyle name="_ESCELSA_RESPOSTA_OFÍCIO_325_DEFINITIVO_Cálculo do Financeiro do Baixa Renda" xfId="3361" xr:uid="{00000000-0005-0000-0000-000010040000}"/>
    <cellStyle name="_ESCELSA_RESPOSTA_OFÍCIO_325_DEFINITIVO_Cálculo do Financeiro do Baixa Renda_IRT-cálculo" xfId="3362" xr:uid="{00000000-0005-0000-0000-000011040000}"/>
    <cellStyle name="_ESCELSA_RESPOSTA_OFÍCIO_325_DEFINITIVO_Cálculo do Financeiro do Baixa Renda_IRT-cálculo CAPA NEUTRALIDADE" xfId="3363" xr:uid="{00000000-0005-0000-0000-000012040000}"/>
    <cellStyle name="_ESCELSA_RESPOSTA_OFÍCIO_325_DEFINITIVO_Calculo_Subsidio_ELFSM_26_06_08_Modelo_ANEEL" xfId="3364" xr:uid="{00000000-0005-0000-0000-000013040000}"/>
    <cellStyle name="_ESCELSA_RESPOSTA_OFÍCIO_325_DEFINITIVO_Calculo_Subsidio_ELFSM_26_06_08_Modelo_ANEEL_IRT-cálculo" xfId="3365" xr:uid="{00000000-0005-0000-0000-000014040000}"/>
    <cellStyle name="_ESCELSA_RESPOSTA_OFÍCIO_325_DEFINITIVO_Calculo_Subsidio_ELFSM_26_06_08_Modelo_ANEEL_IRT-cálculo CAPA NEUTRALIDADE" xfId="3366" xr:uid="{00000000-0005-0000-0000-000015040000}"/>
    <cellStyle name="_ESCELSA_RESPOSTA_OFÍCIO_325_DEFINITIVO_casulo 15" xfId="213" xr:uid="{00000000-0005-0000-0000-000016040000}"/>
    <cellStyle name="_ESCELSA_RESPOSTA_OFÍCIO_325_DEFINITIVO_casulo 5" xfId="214" xr:uid="{00000000-0005-0000-0000-000017040000}"/>
    <cellStyle name="_ESCELSA_RESPOSTA_OFÍCIO_325_DEFINITIVO_casulo 5 2" xfId="1262" xr:uid="{00000000-0005-0000-0000-000018040000}"/>
    <cellStyle name="_ESCELSA_RESPOSTA_OFÍCIO_325_DEFINITIVO_casulo 5_Balanço" xfId="215" xr:uid="{00000000-0005-0000-0000-000019040000}"/>
    <cellStyle name="_ESCELSA_RESPOSTA_OFÍCIO_325_DEFINITIVO_casulo 5_casulo 15" xfId="216" xr:uid="{00000000-0005-0000-0000-00001A040000}"/>
    <cellStyle name="_ESCELSA_RESPOSTA_OFÍCIO_325_DEFINITIVO_casulo 5_IRT EEB 2010" xfId="3367" xr:uid="{00000000-0005-0000-0000-00001B040000}"/>
    <cellStyle name="_ESCELSA_RESPOSTA_OFÍCIO_325_DEFINITIVO_Custo com Avaliação de Ativos para Base de Remuneração" xfId="3368" xr:uid="{00000000-0005-0000-0000-00001C040000}"/>
    <cellStyle name="_ESCELSA_RESPOSTA_OFÍCIO_325_DEFINITIVO_Custo com Avaliação de Ativos para Base de Remuneração_IRT-cálculo" xfId="3369" xr:uid="{00000000-0005-0000-0000-00001D040000}"/>
    <cellStyle name="_ESCELSA_RESPOSTA_OFÍCIO_325_DEFINITIVO_Custo com Avaliação de Ativos para Base de Remuneração_IRT-cálculo CAPA NEUTRALIDADE" xfId="3370" xr:uid="{00000000-0005-0000-0000-00001E040000}"/>
    <cellStyle name="_ESCELSA_RESPOSTA_OFÍCIO_325_DEFINITIVO_Descontos CCC_CDE_PROINFA Nov_07_Out_08" xfId="3371" xr:uid="{00000000-0005-0000-0000-00001F040000}"/>
    <cellStyle name="_ESCELSA_RESPOSTA_OFÍCIO_325_DEFINITIVO_Descontos CCC_CDE_PROINFA Nov_07_Out_08_IRT-cálculo" xfId="3372" xr:uid="{00000000-0005-0000-0000-000020040000}"/>
    <cellStyle name="_ESCELSA_RESPOSTA_OFÍCIO_325_DEFINITIVO_Descontos CCC_CDE_PROINFA Nov_07_Out_08_IRT-cálculo CAPA NEUTRALIDADE" xfId="3373" xr:uid="{00000000-0005-0000-0000-000021040000}"/>
    <cellStyle name="_ESCELSA_RESPOSTA_OFÍCIO_325_DEFINITIVO_Energia Comprada" xfId="3374" xr:uid="{00000000-0005-0000-0000-000022040000}"/>
    <cellStyle name="_ESCELSA_RESPOSTA_OFÍCIO_325_DEFINITIVO_Energia Comprada_IRT-cálculo" xfId="3375" xr:uid="{00000000-0005-0000-0000-000023040000}"/>
    <cellStyle name="_ESCELSA_RESPOSTA_OFÍCIO_325_DEFINITIVO_Energia Comprada_IRT-cálculo CAPA NEUTRALIDADE" xfId="3376" xr:uid="{00000000-0005-0000-0000-000024040000}"/>
    <cellStyle name="_ESCELSA_RESPOSTA_OFÍCIO_325_DEFINITIVO_Fator Novo e Antigo 4 anos" xfId="3377" xr:uid="{00000000-0005-0000-0000-000025040000}"/>
    <cellStyle name="_ESCELSA_RESPOSTA_OFÍCIO_325_DEFINITIVO_Fator X" xfId="1538" xr:uid="{00000000-0005-0000-0000-000026040000}"/>
    <cellStyle name="_ESCELSA_RESPOSTA_OFÍCIO_325_DEFINITIVO_Fator X 2" xfId="3378" xr:uid="{00000000-0005-0000-0000-000027040000}"/>
    <cellStyle name="_ESCELSA_RESPOSTA_OFÍCIO_325_DEFINITIVO_Fator X_IRT-cálculo" xfId="3379" xr:uid="{00000000-0005-0000-0000-000028040000}"/>
    <cellStyle name="_ESCELSA_RESPOSTA_OFÍCIO_325_DEFINITIVO_Fator X_IRT-cálculo CAPA NEUTRALIDADE" xfId="3380" xr:uid="{00000000-0005-0000-0000-000029040000}"/>
    <cellStyle name="_ESCELSA_RESPOSTA_OFÍCIO_325_DEFINITIVO_Fator X_SOBRECONTRATAÇÃO E CVA" xfId="3381" xr:uid="{00000000-0005-0000-0000-00002A040000}"/>
    <cellStyle name="_ESCELSA_RESPOSTA_OFÍCIO_325_DEFINITIVO_IF - Autoprodutores 2" xfId="3382" xr:uid="{00000000-0005-0000-0000-00002B040000}"/>
    <cellStyle name="_ESCELSA_RESPOSTA_OFÍCIO_325_DEFINITIVO_IF_Consumidores livres e geradoras_2010" xfId="3383" xr:uid="{00000000-0005-0000-0000-00002C040000}"/>
    <cellStyle name="_ESCELSA_RESPOSTA_OFÍCIO_325_DEFINITIVO_IRT (2)" xfId="1539" xr:uid="{00000000-0005-0000-0000-00002D040000}"/>
    <cellStyle name="_ESCELSA_RESPOSTA_OFÍCIO_325_DEFINITIVO_IRT EEB 2010" xfId="3384" xr:uid="{00000000-0005-0000-0000-00002E040000}"/>
    <cellStyle name="_ESCELSA_RESPOSTA_OFÍCIO_325_DEFINITIVO_IRT_1" xfId="1540" xr:uid="{00000000-0005-0000-0000-00002F040000}"/>
    <cellStyle name="_ESCELSA_RESPOSTA_OFÍCIO_325_DEFINITIVO_IRT_1 2" xfId="3385" xr:uid="{00000000-0005-0000-0000-000030040000}"/>
    <cellStyle name="_ESCELSA_RESPOSTA_OFÍCIO_325_DEFINITIVO_IRT_1_IRT-cálculo" xfId="3386" xr:uid="{00000000-0005-0000-0000-000031040000}"/>
    <cellStyle name="_ESCELSA_RESPOSTA_OFÍCIO_325_DEFINITIVO_IRT_1_IRT-cálculo CAPA NEUTRALIDADE" xfId="3387" xr:uid="{00000000-0005-0000-0000-000032040000}"/>
    <cellStyle name="_ESCELSA_RESPOSTA_OFÍCIO_325_DEFINITIVO_IRT_1_SOBRECONTRATAÇÃO E CVA" xfId="3388" xr:uid="{00000000-0005-0000-0000-000033040000}"/>
    <cellStyle name="_ESCELSA_RESPOSTA_OFÍCIO_325_DEFINITIVO_IRT_Bragantina_maio_2009" xfId="3389" xr:uid="{00000000-0005-0000-0000-000034040000}"/>
    <cellStyle name="_ESCELSA_RESPOSTA_OFÍCIO_325_DEFINITIVO_IRT_Planilha Básica_DIRETORIA" xfId="3390" xr:uid="{00000000-0005-0000-0000-000035040000}"/>
    <cellStyle name="_ESCELSA_RESPOSTA_OFÍCIO_325_DEFINITIVO_IRT_Pleito" xfId="3391" xr:uid="{00000000-0005-0000-0000-000036040000}"/>
    <cellStyle name="_ESCELSA_RESPOSTA_OFÍCIO_325_DEFINITIVO_IRT_Pleito_IRT-cálculo" xfId="3392" xr:uid="{00000000-0005-0000-0000-000037040000}"/>
    <cellStyle name="_ESCELSA_RESPOSTA_OFÍCIO_325_DEFINITIVO_IRT_Pleito_IRT-cálculo CAPA NEUTRALIDADE" xfId="3393" xr:uid="{00000000-0005-0000-0000-000038040000}"/>
    <cellStyle name="_ESCELSA_RESPOSTA_OFÍCIO_325_DEFINITIVO_IRT_Revisão A-1" xfId="3394" xr:uid="{00000000-0005-0000-0000-000039040000}"/>
    <cellStyle name="_ESCELSA_RESPOSTA_OFÍCIO_325_DEFINITIVO_IRT_Revisão A-1_IRT-cálculo" xfId="3395" xr:uid="{00000000-0005-0000-0000-00003A040000}"/>
    <cellStyle name="_ESCELSA_RESPOSTA_OFÍCIO_325_DEFINITIVO_IRT_Revisão A-1_IRT-cálculo CAPA NEUTRALIDADE" xfId="3396" xr:uid="{00000000-0005-0000-0000-00003B040000}"/>
    <cellStyle name="_ESCELSA_RESPOSTA_OFÍCIO_325_DEFINITIVO_IRT-cálculo" xfId="3397" xr:uid="{00000000-0005-0000-0000-00003C040000}"/>
    <cellStyle name="_ESCELSA_RESPOSTA_OFÍCIO_325_DEFINITIVO_IRT-cálculo CAPA NEUTRALIDADE" xfId="3398" xr:uid="{00000000-0005-0000-0000-00003D040000}"/>
    <cellStyle name="_ESCELSA_RESPOSTA_OFÍCIO_325_DEFINITIVO_Pasta1" xfId="1541" xr:uid="{00000000-0005-0000-0000-00003E040000}"/>
    <cellStyle name="_ESCELSA_RESPOSTA_OFÍCIO_325_DEFINITIVO_Pasta1 2" xfId="3399" xr:uid="{00000000-0005-0000-0000-00003F040000}"/>
    <cellStyle name="_ESCELSA_RESPOSTA_OFÍCIO_325_DEFINITIVO_Pasta1_IRT-cálculo" xfId="3400" xr:uid="{00000000-0005-0000-0000-000040040000}"/>
    <cellStyle name="_ESCELSA_RESPOSTA_OFÍCIO_325_DEFINITIVO_Pasta1_IRT-cálculo CAPA NEUTRALIDADE" xfId="3401" xr:uid="{00000000-0005-0000-0000-000041040000}"/>
    <cellStyle name="_ESCELSA_RESPOSTA_OFÍCIO_325_DEFINITIVO_Pasta1_SOBRECONTRATAÇÃO E CVA" xfId="3402" xr:uid="{00000000-0005-0000-0000-000042040000}"/>
    <cellStyle name="_ESCELSA_RESPOSTA_OFÍCIO_325_DEFINITIVO_Sheet1" xfId="3403" xr:uid="{00000000-0005-0000-0000-000043040000}"/>
    <cellStyle name="_ESCELSA_RESPOSTA_OFÍCIO_325_DEFINITIVO_Sheet2" xfId="3404" xr:uid="{00000000-0005-0000-0000-000044040000}"/>
    <cellStyle name="_ESCELSA_RESPOSTA_OFÍCIO_325_DEFINITIVO_SOBRECONTRATAÇÃO E CVA" xfId="3405" xr:uid="{00000000-0005-0000-0000-000045040000}"/>
    <cellStyle name="_Exposição" xfId="1542" xr:uid="{00000000-0005-0000-0000-000046040000}"/>
    <cellStyle name="_Fator Novo e Antigo 4 anos" xfId="3406" xr:uid="{00000000-0005-0000-0000-000047040000}"/>
    <cellStyle name="_Fiança EMG" xfId="3407" xr:uid="{00000000-0005-0000-0000-000048040000}"/>
    <cellStyle name="_Fiança ESE" xfId="3408" xr:uid="{00000000-0005-0000-0000-000049040000}"/>
    <cellStyle name="_Financiamento-Eletrobras Roger-Sergio-1-1" xfId="3409" xr:uid="{00000000-0005-0000-0000-00004A040000}"/>
    <cellStyle name="_FR CHESFxCeal, Cepisa e Saelpa-2005-protegida" xfId="217" xr:uid="{00000000-0005-0000-0000-00004B040000}"/>
    <cellStyle name="_FR CHESFxCeal, Cepisa e Saelpa-2005-protegida 2" xfId="1263" xr:uid="{00000000-0005-0000-0000-00004C040000}"/>
    <cellStyle name="_FR CHESFxCeal, Cepisa e Saelpa-2005-protegida_2009.04.09 EEB IRT2009 Conexao CEMIG C Financeiro" xfId="3410" xr:uid="{00000000-0005-0000-0000-00004D040000}"/>
    <cellStyle name="_FR CHESFxCeal, Cepisa e Saelpa-2005-protegida_Balanço" xfId="218" xr:uid="{00000000-0005-0000-0000-00004E040000}"/>
    <cellStyle name="_FR CHESFxCeal, Cepisa e Saelpa-2005-protegida_Balanço 2" xfId="1264" xr:uid="{00000000-0005-0000-0000-00004F040000}"/>
    <cellStyle name="_FR CHESFxCeal, Cepisa e Saelpa-2005-protegida_Calculo_Subsidio_ELFSM_26_06_08_Modelo_ANEEL" xfId="3411" xr:uid="{00000000-0005-0000-0000-000050040000}"/>
    <cellStyle name="_FR CHESFxCeal, Cepisa e Saelpa-2005-protegida_Calculo_Subsidio_ELFSM_26_06_08_Modelo_ANEEL_IRT-cálculo" xfId="3412" xr:uid="{00000000-0005-0000-0000-000051040000}"/>
    <cellStyle name="_FR CHESFxCeal, Cepisa e Saelpa-2005-protegida_Calculo_Subsidio_ELFSM_26_06_08_Modelo_ANEEL_IRT-cálculo CAPA NEUTRALIDADE" xfId="3413" xr:uid="{00000000-0005-0000-0000-000052040000}"/>
    <cellStyle name="_FR CHESFxCeal, Cepisa e Saelpa-2005-protegida_casulo 15" xfId="219" xr:uid="{00000000-0005-0000-0000-000053040000}"/>
    <cellStyle name="_FR CHESFxCeal, Cepisa e Saelpa-2005-protegida_casulo 5" xfId="220" xr:uid="{00000000-0005-0000-0000-000054040000}"/>
    <cellStyle name="_FR CHESFxCeal, Cepisa e Saelpa-2005-protegida_casulo 5 2" xfId="1265" xr:uid="{00000000-0005-0000-0000-000055040000}"/>
    <cellStyle name="_FR CHESFxCeal, Cepisa e Saelpa-2005-protegida_casulo 5_Balanço" xfId="221" xr:uid="{00000000-0005-0000-0000-000056040000}"/>
    <cellStyle name="_FR CHESFxCeal, Cepisa e Saelpa-2005-protegida_casulo 5_casulo 15" xfId="222" xr:uid="{00000000-0005-0000-0000-000057040000}"/>
    <cellStyle name="_FR CHESFxCeal, Cepisa e Saelpa-2005-protegida_casulo 5_IRT EEB 2010" xfId="3414" xr:uid="{00000000-0005-0000-0000-000058040000}"/>
    <cellStyle name="_FR CHESFxCeal, Cepisa e Saelpa-2005-protegida_CVA Borborema 2010 - Fiscalizada Final" xfId="3415" xr:uid="{00000000-0005-0000-0000-000059040000}"/>
    <cellStyle name="_FR CHESFxCeal, Cepisa e Saelpa-2005-protegida_CVA e Subsídios fiscalização ESCELSA_08_07_2009 v3 SRE" xfId="3416" xr:uid="{00000000-0005-0000-0000-00005A040000}"/>
    <cellStyle name="_FR CHESFxCeal, Cepisa e Saelpa-2005-protegida_CVA Outros Componentes PROVISÃO" xfId="3417" xr:uid="{00000000-0005-0000-0000-00005B040000}"/>
    <cellStyle name="_FR CHESFxCeal, Cepisa e Saelpa-2005-protegida_CVA_Projetada até dez-2008_Setembro" xfId="3418" xr:uid="{00000000-0005-0000-0000-00005C040000}"/>
    <cellStyle name="_FR CHESFxCeal, Cepisa e Saelpa-2005-protegida_Energia Comprada" xfId="3419" xr:uid="{00000000-0005-0000-0000-00005D040000}"/>
    <cellStyle name="_FR CHESFxCeal, Cepisa e Saelpa-2005-protegida_Energia Comprada_IRT-cálculo" xfId="3420" xr:uid="{00000000-0005-0000-0000-00005E040000}"/>
    <cellStyle name="_FR CHESFxCeal, Cepisa e Saelpa-2005-protegida_Energia Comprada_IRT-cálculo CAPA NEUTRALIDADE" xfId="3421" xr:uid="{00000000-0005-0000-0000-00005F040000}"/>
    <cellStyle name="_FR CHESFxCeal, Cepisa e Saelpa-2005-protegida_Fator X" xfId="1543" xr:uid="{00000000-0005-0000-0000-000060040000}"/>
    <cellStyle name="_FR CHESFxCeal, Cepisa e Saelpa-2005-protegida_Fator X 2" xfId="3422" xr:uid="{00000000-0005-0000-0000-000061040000}"/>
    <cellStyle name="_FR CHESFxCeal, Cepisa e Saelpa-2005-protegida_Fator X_IRT-cálculo" xfId="3423" xr:uid="{00000000-0005-0000-0000-000062040000}"/>
    <cellStyle name="_FR CHESFxCeal, Cepisa e Saelpa-2005-protegida_Fator X_IRT-cálculo CAPA NEUTRALIDADE" xfId="3424" xr:uid="{00000000-0005-0000-0000-000063040000}"/>
    <cellStyle name="_FR CHESFxCeal, Cepisa e Saelpa-2005-protegida_Fator X_SOBRECONTRATAÇÃO E CVA" xfId="3425" xr:uid="{00000000-0005-0000-0000-000064040000}"/>
    <cellStyle name="_FR CHESFxCeal, Cepisa e Saelpa-2005-protegida_IF - Autoprodutores 2" xfId="3426" xr:uid="{00000000-0005-0000-0000-000065040000}"/>
    <cellStyle name="_FR CHESFxCeal, Cepisa e Saelpa-2005-protegida_IF_Consumidores livres e geradoras_2010" xfId="3427" xr:uid="{00000000-0005-0000-0000-000066040000}"/>
    <cellStyle name="_FR CHESFxCeal, Cepisa e Saelpa-2005-protegida_IRT (2)" xfId="1544" xr:uid="{00000000-0005-0000-0000-000067040000}"/>
    <cellStyle name="_FR CHESFxCeal, Cepisa e Saelpa-2005-protegida_IRT EEB 2010" xfId="3428" xr:uid="{00000000-0005-0000-0000-000068040000}"/>
    <cellStyle name="_FR CHESFxCeal, Cepisa e Saelpa-2005-protegida_IRT_1" xfId="1545" xr:uid="{00000000-0005-0000-0000-000069040000}"/>
    <cellStyle name="_FR CHESFxCeal, Cepisa e Saelpa-2005-protegida_IRT_1 2" xfId="3429" xr:uid="{00000000-0005-0000-0000-00006A040000}"/>
    <cellStyle name="_FR CHESFxCeal, Cepisa e Saelpa-2005-protegida_IRT_1_IRT-cálculo" xfId="3430" xr:uid="{00000000-0005-0000-0000-00006B040000}"/>
    <cellStyle name="_FR CHESFxCeal, Cepisa e Saelpa-2005-protegida_IRT_1_IRT-cálculo CAPA NEUTRALIDADE" xfId="3431" xr:uid="{00000000-0005-0000-0000-00006C040000}"/>
    <cellStyle name="_FR CHESFxCeal, Cepisa e Saelpa-2005-protegida_IRT_1_SOBRECONTRATAÇÃO E CVA" xfId="3432" xr:uid="{00000000-0005-0000-0000-00006D040000}"/>
    <cellStyle name="_FR CHESFxCeal, Cepisa e Saelpa-2005-protegida_IRT_Bragantina_maio_2009" xfId="3433" xr:uid="{00000000-0005-0000-0000-00006E040000}"/>
    <cellStyle name="_FR CHESFxCeal, Cepisa e Saelpa-2005-protegida_IRT_Planilha Básica_ CETRIL" xfId="223" xr:uid="{00000000-0005-0000-0000-00006F040000}"/>
    <cellStyle name="_FR CHESFxCeal, Cepisa e Saelpa-2005-protegida_IRT_Planilha Básica_ CETRIL 2" xfId="1266" xr:uid="{00000000-0005-0000-0000-000070040000}"/>
    <cellStyle name="_FR CHESFxCeal, Cepisa e Saelpa-2005-protegida_IRT_Planilha Básica_ CETRIL_Balanço" xfId="224" xr:uid="{00000000-0005-0000-0000-000071040000}"/>
    <cellStyle name="_FR CHESFxCeal, Cepisa e Saelpa-2005-protegida_IRT_Planilha Básica_ CETRIL_casulo 15" xfId="225" xr:uid="{00000000-0005-0000-0000-000072040000}"/>
    <cellStyle name="_FR CHESFxCeal, Cepisa e Saelpa-2005-protegida_IRT_Planilha Básica_ CETRIL_IRT EEB 2010" xfId="3434" xr:uid="{00000000-0005-0000-0000-000073040000}"/>
    <cellStyle name="_FR CHESFxCeal, Cepisa e Saelpa-2005-protegida_IRT_Planilha Básica_DIRETORIA" xfId="3435" xr:uid="{00000000-0005-0000-0000-000074040000}"/>
    <cellStyle name="_FR CHESFxCeal, Cepisa e Saelpa-2005-protegida_IRT_Pleito" xfId="3436" xr:uid="{00000000-0005-0000-0000-000075040000}"/>
    <cellStyle name="_FR CHESFxCeal, Cepisa e Saelpa-2005-protegida_IRT_Pleito_IRT-cálculo" xfId="3437" xr:uid="{00000000-0005-0000-0000-000076040000}"/>
    <cellStyle name="_FR CHESFxCeal, Cepisa e Saelpa-2005-protegida_IRT_Pleito_IRT-cálculo CAPA NEUTRALIDADE" xfId="3438" xr:uid="{00000000-0005-0000-0000-000077040000}"/>
    <cellStyle name="_FR CHESFxCeal, Cepisa e Saelpa-2005-protegida_IRT_Revisão A-1" xfId="3439" xr:uid="{00000000-0005-0000-0000-000078040000}"/>
    <cellStyle name="_FR CHESFxCeal, Cepisa e Saelpa-2005-protegida_IRT_Revisão A-1_IRT-cálculo" xfId="3440" xr:uid="{00000000-0005-0000-0000-000079040000}"/>
    <cellStyle name="_FR CHESFxCeal, Cepisa e Saelpa-2005-protegida_IRT_Revisão A-1_IRT-cálculo CAPA NEUTRALIDADE" xfId="3441" xr:uid="{00000000-0005-0000-0000-00007A040000}"/>
    <cellStyle name="_FR CHESFxCeal, Cepisa e Saelpa-2005-protegida_IRT-cálculo" xfId="3442" xr:uid="{00000000-0005-0000-0000-00007B040000}"/>
    <cellStyle name="_FR CHESFxCeal, Cepisa e Saelpa-2005-protegida_IRT-cálculo CAPA NEUTRALIDADE" xfId="3443" xr:uid="{00000000-0005-0000-0000-00007C040000}"/>
    <cellStyle name="_FR CHESFxCeal, Cepisa e Saelpa-2005-protegida_Pasta1" xfId="1546" xr:uid="{00000000-0005-0000-0000-00007D040000}"/>
    <cellStyle name="_FR CHESFxCeal, Cepisa e Saelpa-2005-protegida_Pasta1 2" xfId="3444" xr:uid="{00000000-0005-0000-0000-00007E040000}"/>
    <cellStyle name="_FR CHESFxCeal, Cepisa e Saelpa-2005-protegida_Pasta1_IRT-cálculo" xfId="3445" xr:uid="{00000000-0005-0000-0000-00007F040000}"/>
    <cellStyle name="_FR CHESFxCeal, Cepisa e Saelpa-2005-protegida_Pasta1_IRT-cálculo CAPA NEUTRALIDADE" xfId="3446" xr:uid="{00000000-0005-0000-0000-000080040000}"/>
    <cellStyle name="_FR CHESFxCeal, Cepisa e Saelpa-2005-protegida_Pasta1_SOBRECONTRATAÇÃO E CVA" xfId="3447" xr:uid="{00000000-0005-0000-0000-000081040000}"/>
    <cellStyle name="_FR CHESFxCeal, Cepisa e Saelpa-2005-protegida_PROVISÃO" xfId="3448" xr:uid="{00000000-0005-0000-0000-000082040000}"/>
    <cellStyle name="_FR CHESFxCeal, Cepisa e Saelpa-2005-protegida_Sheet1" xfId="3449" xr:uid="{00000000-0005-0000-0000-000083040000}"/>
    <cellStyle name="_FR CHESFxCeal, Cepisa e Saelpa-2005-protegida_SOBRECONTRATAÇÃO E CVA" xfId="3450" xr:uid="{00000000-0005-0000-0000-000084040000}"/>
    <cellStyle name="_FR CHESFxCeal, Cepisa e Saelpa-2005-protegida_SOBRECONTRATAÇÃO E CVA A-1" xfId="3451" xr:uid="{00000000-0005-0000-0000-000085040000}"/>
    <cellStyle name="_FR CHESFxCeal, Cepisa e Saelpa-2005-protegida_SOBRECONTRATAÇÃO E CVA A-1_IRT-cálculo" xfId="3452" xr:uid="{00000000-0005-0000-0000-000086040000}"/>
    <cellStyle name="_FR CHESFxCeal, Cepisa e Saelpa-2005-protegida_SOBRECONTRATAÇÃO E CVA A-1_IRT-cálculo CAPA NEUTRALIDADE" xfId="3453" xr:uid="{00000000-0005-0000-0000-000087040000}"/>
    <cellStyle name="_FR CHESFxCeal, Cepisa e Saelpa-2005-protegida_SOBRECONTRATAÇÃO-RES 255-2007-ap038-07-CPFL07" xfId="3454" xr:uid="{00000000-0005-0000-0000-000088040000}"/>
    <cellStyle name="_GARANTIAS - EMG" xfId="3455" xr:uid="{00000000-0005-0000-0000-000089040000}"/>
    <cellStyle name="_Garantias - ESE 2010" xfId="3456" xr:uid="{00000000-0005-0000-0000-00008A040000}"/>
    <cellStyle name="_Garantias - Final" xfId="3457" xr:uid="{00000000-0005-0000-0000-00008B040000}"/>
    <cellStyle name="_Hom07-Realinhamento ELETROPAULO FINAL  com tarifa cooperativa" xfId="3458" xr:uid="{00000000-0005-0000-0000-00008C040000}"/>
    <cellStyle name="_Hom07-Realinhamento ELETROPAULO FINAL  com tarifa cooperativa_NOVA PLANILHA REVISÃO 1" xfId="3459" xr:uid="{00000000-0005-0000-0000-00008D040000}"/>
    <cellStyle name="_Irrigantes_-_ESE_2010_aud" xfId="3460" xr:uid="{00000000-0005-0000-0000-00008E040000}"/>
    <cellStyle name="_IRT" xfId="3461" xr:uid="{00000000-0005-0000-0000-00008F040000}"/>
    <cellStyle name="_IRT - chesp 2005-V2 " xfId="226" xr:uid="{00000000-0005-0000-0000-000090040000}"/>
    <cellStyle name="_IRT - chesp 2005-V2 _Calculo_Subsidio_ELFSM_26_06_08_Modelo_ANEEL" xfId="3462" xr:uid="{00000000-0005-0000-0000-000091040000}"/>
    <cellStyle name="_IRT - chesp 2005-V2 _Calculo_Subsidio_ELFSM_26_06_08_Modelo_ANEEL_IRT-cálculo" xfId="3463" xr:uid="{00000000-0005-0000-0000-000092040000}"/>
    <cellStyle name="_IRT - chesp 2005-V2 _Calculo_Subsidio_ELFSM_26_06_08_Modelo_ANEEL_IRT-cálculo CAPA NEUTRALIDADE" xfId="3464" xr:uid="{00000000-0005-0000-0000-000093040000}"/>
    <cellStyle name="_IRT - chesp 2005-V2 _CVA_Projetada até dez-2008_Setembro" xfId="3465" xr:uid="{00000000-0005-0000-0000-000094040000}"/>
    <cellStyle name="_IRT - chesp 2005-V2 _CVA_Projetada até dez-2008_Setembro_CVA Outros Componentes PROVISÃO" xfId="3466" xr:uid="{00000000-0005-0000-0000-000095040000}"/>
    <cellStyle name="_IRT - chesp 2005-V2 _CVA_Projetada até dez-2008_Setembro_PROVISÃO" xfId="3467" xr:uid="{00000000-0005-0000-0000-000096040000}"/>
    <cellStyle name="_IRT - chesp 2005-V2 _Energia Comprada" xfId="3468" xr:uid="{00000000-0005-0000-0000-000097040000}"/>
    <cellStyle name="_IRT - chesp 2005-V2 _Energia Comprada_IRT-cálculo" xfId="3469" xr:uid="{00000000-0005-0000-0000-000098040000}"/>
    <cellStyle name="_IRT - chesp 2005-V2 _Energia Comprada_IRT-cálculo CAPA NEUTRALIDADE" xfId="3470" xr:uid="{00000000-0005-0000-0000-000099040000}"/>
    <cellStyle name="_IRT - chesp 2005-V2 _Fator X" xfId="1547" xr:uid="{00000000-0005-0000-0000-00009A040000}"/>
    <cellStyle name="_IRT - chesp 2005-V2 _Fator X_IRT-cálculo" xfId="3471" xr:uid="{00000000-0005-0000-0000-00009B040000}"/>
    <cellStyle name="_IRT - chesp 2005-V2 _Fator X_IRT-cálculo CAPA NEUTRALIDADE" xfId="3472" xr:uid="{00000000-0005-0000-0000-00009C040000}"/>
    <cellStyle name="_IRT - chesp 2005-V2 _Fator X_SOBRECONTRATAÇÃO E CVA" xfId="3473" xr:uid="{00000000-0005-0000-0000-00009D040000}"/>
    <cellStyle name="_IRT - chesp 2005-V2 _IF - Autoprodutores 2" xfId="3474" xr:uid="{00000000-0005-0000-0000-00009E040000}"/>
    <cellStyle name="_IRT - chesp 2005-V2 _IF_Consumidores livres e geradoras_2010" xfId="3475" xr:uid="{00000000-0005-0000-0000-00009F040000}"/>
    <cellStyle name="_IRT - chesp 2005-V2 _IRT (2)" xfId="1548" xr:uid="{00000000-0005-0000-0000-0000A0040000}"/>
    <cellStyle name="_IRT - chesp 2005-V2 _IRT (2) 2" xfId="3476" xr:uid="{00000000-0005-0000-0000-0000A1040000}"/>
    <cellStyle name="_IRT - chesp 2005-V2 _IRT_1" xfId="1549" xr:uid="{00000000-0005-0000-0000-0000A2040000}"/>
    <cellStyle name="_IRT - chesp 2005-V2 _IRT_1_IRT-cálculo" xfId="3477" xr:uid="{00000000-0005-0000-0000-0000A3040000}"/>
    <cellStyle name="_IRT - chesp 2005-V2 _IRT_1_IRT-cálculo CAPA NEUTRALIDADE" xfId="3478" xr:uid="{00000000-0005-0000-0000-0000A4040000}"/>
    <cellStyle name="_IRT - chesp 2005-V2 _IRT_1_SOBRECONTRATAÇÃO E CVA" xfId="3479" xr:uid="{00000000-0005-0000-0000-0000A5040000}"/>
    <cellStyle name="_IRT - chesp 2005-V2 _IRT_Planilha Básica_ CETRIL" xfId="227" xr:uid="{00000000-0005-0000-0000-0000A6040000}"/>
    <cellStyle name="_IRT - chesp 2005-V2 _IRT_Planilha Básica_ CETRIL 2" xfId="1267" xr:uid="{00000000-0005-0000-0000-0000A7040000}"/>
    <cellStyle name="_IRT - chesp 2005-V2 _IRT_Pleito" xfId="3480" xr:uid="{00000000-0005-0000-0000-0000A8040000}"/>
    <cellStyle name="_IRT - chesp 2005-V2 _IRT_Pleito_IRT-cálculo" xfId="3481" xr:uid="{00000000-0005-0000-0000-0000A9040000}"/>
    <cellStyle name="_IRT - chesp 2005-V2 _IRT_Pleito_IRT-cálculo CAPA NEUTRALIDADE" xfId="3482" xr:uid="{00000000-0005-0000-0000-0000AA040000}"/>
    <cellStyle name="_IRT - chesp 2005-V2 _IRT_Revisão A-1" xfId="3483" xr:uid="{00000000-0005-0000-0000-0000AB040000}"/>
    <cellStyle name="_IRT - chesp 2005-V2 _IRT-cálculo" xfId="3484" xr:uid="{00000000-0005-0000-0000-0000AC040000}"/>
    <cellStyle name="_IRT - chesp 2005-V2 _IRT-cálculo CAPA NEUTRALIDADE" xfId="3485" xr:uid="{00000000-0005-0000-0000-0000AD040000}"/>
    <cellStyle name="_IRT - chesp 2005-V2 _Pasta1" xfId="1550" xr:uid="{00000000-0005-0000-0000-0000AE040000}"/>
    <cellStyle name="_IRT - chesp 2005-V2 _Pasta1_IRT-cálculo" xfId="3486" xr:uid="{00000000-0005-0000-0000-0000AF040000}"/>
    <cellStyle name="_IRT - chesp 2005-V2 _Pasta1_IRT-cálculo CAPA NEUTRALIDADE" xfId="3487" xr:uid="{00000000-0005-0000-0000-0000B0040000}"/>
    <cellStyle name="_IRT - chesp 2005-V2 _Pasta1_SOBRECONTRATAÇÃO E CVA" xfId="3488" xr:uid="{00000000-0005-0000-0000-0000B1040000}"/>
    <cellStyle name="_IRT - chesp 2005-V2 _Sheet1" xfId="3489" xr:uid="{00000000-0005-0000-0000-0000B2040000}"/>
    <cellStyle name="_IRT - chesp 2005-V2 _SOBRECONTRATAÇÃO E CVA" xfId="3490" xr:uid="{00000000-0005-0000-0000-0000B3040000}"/>
    <cellStyle name="_IRT - chesp 2005-V2 _SOBRECONTRATAÇÃO E CVA A-1" xfId="3491" xr:uid="{00000000-0005-0000-0000-0000B4040000}"/>
    <cellStyle name="_IRT - chesp 2005-V2 _SOBRECONTRATAÇÃO E CVA A-1_IRT-cálculo" xfId="3492" xr:uid="{00000000-0005-0000-0000-0000B5040000}"/>
    <cellStyle name="_IRT - chesp 2005-V2 _SOBRECONTRATAÇÃO E CVA A-1_IRT-cálculo CAPA NEUTRALIDADE" xfId="3493" xr:uid="{00000000-0005-0000-0000-0000B6040000}"/>
    <cellStyle name="_IRT 2" xfId="3494" xr:uid="{00000000-0005-0000-0000-0000B7040000}"/>
    <cellStyle name="_IRT 2005 - CELTINS-cláudia210605" xfId="228" xr:uid="{00000000-0005-0000-0000-0000B8040000}"/>
    <cellStyle name="_IRT 2005 - CELTINS-cláudia210605_Calculo_Subsidio_ELFSM_26_06_08_Modelo_ANEEL" xfId="3495" xr:uid="{00000000-0005-0000-0000-0000B9040000}"/>
    <cellStyle name="_IRT 2005 - CELTINS-cláudia210605_Calculo_Subsidio_ELFSM_26_06_08_Modelo_ANEEL_IRT-cálculo" xfId="3496" xr:uid="{00000000-0005-0000-0000-0000BA040000}"/>
    <cellStyle name="_IRT 2005 - CELTINS-cláudia210605_Calculo_Subsidio_ELFSM_26_06_08_Modelo_ANEEL_IRT-cálculo CAPA NEUTRALIDADE" xfId="3497" xr:uid="{00000000-0005-0000-0000-0000BB040000}"/>
    <cellStyle name="_IRT 2005 - CELTINS-cláudia210605_CVA_Projetada até dez-2008_Setembro" xfId="3498" xr:uid="{00000000-0005-0000-0000-0000BC040000}"/>
    <cellStyle name="_IRT 2005 - CELTINS-cláudia210605_CVA_Projetada até dez-2008_Setembro_CVA Outros Componentes PROVISÃO" xfId="3499" xr:uid="{00000000-0005-0000-0000-0000BD040000}"/>
    <cellStyle name="_IRT 2005 - CELTINS-cláudia210605_CVA_Projetada até dez-2008_Setembro_PROVISÃO" xfId="3500" xr:uid="{00000000-0005-0000-0000-0000BE040000}"/>
    <cellStyle name="_IRT 2005 - CELTINS-cláudia210605_Energia Comprada" xfId="3501" xr:uid="{00000000-0005-0000-0000-0000BF040000}"/>
    <cellStyle name="_IRT 2005 - CELTINS-cláudia210605_Energia Comprada_IRT-cálculo" xfId="3502" xr:uid="{00000000-0005-0000-0000-0000C0040000}"/>
    <cellStyle name="_IRT 2005 - CELTINS-cláudia210605_Energia Comprada_IRT-cálculo CAPA NEUTRALIDADE" xfId="3503" xr:uid="{00000000-0005-0000-0000-0000C1040000}"/>
    <cellStyle name="_IRT 2005 - CELTINS-cláudia210605_Fator X" xfId="1551" xr:uid="{00000000-0005-0000-0000-0000C2040000}"/>
    <cellStyle name="_IRT 2005 - CELTINS-cláudia210605_Fator X_IRT-cálculo" xfId="3504" xr:uid="{00000000-0005-0000-0000-0000C3040000}"/>
    <cellStyle name="_IRT 2005 - CELTINS-cláudia210605_Fator X_IRT-cálculo CAPA NEUTRALIDADE" xfId="3505" xr:uid="{00000000-0005-0000-0000-0000C4040000}"/>
    <cellStyle name="_IRT 2005 - CELTINS-cláudia210605_Fator X_SOBRECONTRATAÇÃO E CVA" xfId="3506" xr:uid="{00000000-0005-0000-0000-0000C5040000}"/>
    <cellStyle name="_IRT 2005 - CELTINS-cláudia210605_IF - Autoprodutores 2" xfId="3507" xr:uid="{00000000-0005-0000-0000-0000C6040000}"/>
    <cellStyle name="_IRT 2005 - CELTINS-cláudia210605_IF_Consumidores livres e geradoras_2010" xfId="3508" xr:uid="{00000000-0005-0000-0000-0000C7040000}"/>
    <cellStyle name="_IRT 2005 - CELTINS-cláudia210605_IRT (2)" xfId="1552" xr:uid="{00000000-0005-0000-0000-0000C8040000}"/>
    <cellStyle name="_IRT 2005 - CELTINS-cláudia210605_IRT (2) 2" xfId="3509" xr:uid="{00000000-0005-0000-0000-0000C9040000}"/>
    <cellStyle name="_IRT 2005 - CELTINS-cláudia210605_IRT_1" xfId="1553" xr:uid="{00000000-0005-0000-0000-0000CA040000}"/>
    <cellStyle name="_IRT 2005 - CELTINS-cláudia210605_IRT_1_IRT-cálculo" xfId="3510" xr:uid="{00000000-0005-0000-0000-0000CB040000}"/>
    <cellStyle name="_IRT 2005 - CELTINS-cláudia210605_IRT_1_IRT-cálculo CAPA NEUTRALIDADE" xfId="3511" xr:uid="{00000000-0005-0000-0000-0000CC040000}"/>
    <cellStyle name="_IRT 2005 - CELTINS-cláudia210605_IRT_1_SOBRECONTRATAÇÃO E CVA" xfId="3512" xr:uid="{00000000-0005-0000-0000-0000CD040000}"/>
    <cellStyle name="_IRT 2005 - CELTINS-cláudia210605_IRT_Planilha Básica_ CETRIL" xfId="229" xr:uid="{00000000-0005-0000-0000-0000CE040000}"/>
    <cellStyle name="_IRT 2005 - CELTINS-cláudia210605_IRT_Planilha Básica_ CETRIL 2" xfId="1268" xr:uid="{00000000-0005-0000-0000-0000CF040000}"/>
    <cellStyle name="_IRT 2005 - CELTINS-cláudia210605_IRT_Pleito" xfId="3513" xr:uid="{00000000-0005-0000-0000-0000D0040000}"/>
    <cellStyle name="_IRT 2005 - CELTINS-cláudia210605_IRT_Pleito_IRT-cálculo" xfId="3514" xr:uid="{00000000-0005-0000-0000-0000D1040000}"/>
    <cellStyle name="_IRT 2005 - CELTINS-cláudia210605_IRT_Pleito_IRT-cálculo CAPA NEUTRALIDADE" xfId="3515" xr:uid="{00000000-0005-0000-0000-0000D2040000}"/>
    <cellStyle name="_IRT 2005 - CELTINS-cláudia210605_IRT_Revisão A-1" xfId="3516" xr:uid="{00000000-0005-0000-0000-0000D3040000}"/>
    <cellStyle name="_IRT 2005 - CELTINS-cláudia210605_IRT-cálculo" xfId="3517" xr:uid="{00000000-0005-0000-0000-0000D4040000}"/>
    <cellStyle name="_IRT 2005 - CELTINS-cláudia210605_IRT-cálculo CAPA NEUTRALIDADE" xfId="3518" xr:uid="{00000000-0005-0000-0000-0000D5040000}"/>
    <cellStyle name="_IRT 2005 - CELTINS-cláudia210605_Pasta1" xfId="1554" xr:uid="{00000000-0005-0000-0000-0000D6040000}"/>
    <cellStyle name="_IRT 2005 - CELTINS-cláudia210605_Pasta1_IRT-cálculo" xfId="3519" xr:uid="{00000000-0005-0000-0000-0000D7040000}"/>
    <cellStyle name="_IRT 2005 - CELTINS-cláudia210605_Pasta1_IRT-cálculo CAPA NEUTRALIDADE" xfId="3520" xr:uid="{00000000-0005-0000-0000-0000D8040000}"/>
    <cellStyle name="_IRT 2005 - CELTINS-cláudia210605_Pasta1_SOBRECONTRATAÇÃO E CVA" xfId="3521" xr:uid="{00000000-0005-0000-0000-0000D9040000}"/>
    <cellStyle name="_IRT 2005 - CELTINS-cláudia210605_Sheet1" xfId="3522" xr:uid="{00000000-0005-0000-0000-0000DA040000}"/>
    <cellStyle name="_IRT 2005 - CELTINS-cláudia210605_SOBRECONTRATAÇÃO E CVA" xfId="3523" xr:uid="{00000000-0005-0000-0000-0000DB040000}"/>
    <cellStyle name="_IRT 2005 - CELTINS-cláudia210605_SOBRECONTRATAÇÃO E CVA A-1" xfId="3524" xr:uid="{00000000-0005-0000-0000-0000DC040000}"/>
    <cellStyle name="_IRT 2005 - CELTINS-cláudia210605_SOBRECONTRATAÇÃO E CVA A-1_IRT-cálculo" xfId="3525" xr:uid="{00000000-0005-0000-0000-0000DD040000}"/>
    <cellStyle name="_IRT 2005 - CELTINS-cláudia210605_SOBRECONTRATAÇÃO E CVA A-1_IRT-cálculo CAPA NEUTRALIDADE" xfId="3526" xr:uid="{00000000-0005-0000-0000-0000DE040000}"/>
    <cellStyle name="_IRT 2005 - CHESP-040705" xfId="230" xr:uid="{00000000-0005-0000-0000-0000DF040000}"/>
    <cellStyle name="_IRT 2005 - CHESP-040705_Calculo_Subsidio_ELFSM_26_06_08_Modelo_ANEEL" xfId="3527" xr:uid="{00000000-0005-0000-0000-0000E0040000}"/>
    <cellStyle name="_IRT 2005 - CHESP-040705_Calculo_Subsidio_ELFSM_26_06_08_Modelo_ANEEL_IRT-cálculo" xfId="3528" xr:uid="{00000000-0005-0000-0000-0000E1040000}"/>
    <cellStyle name="_IRT 2005 - CHESP-040705_Calculo_Subsidio_ELFSM_26_06_08_Modelo_ANEEL_IRT-cálculo CAPA NEUTRALIDADE" xfId="3529" xr:uid="{00000000-0005-0000-0000-0000E2040000}"/>
    <cellStyle name="_IRT 2005 - CHESP-040705_CVA_Projetada até dez-2008_Setembro" xfId="3530" xr:uid="{00000000-0005-0000-0000-0000E3040000}"/>
    <cellStyle name="_IRT 2005 - CHESP-040705_CVA_Projetada até dez-2008_Setembro_CVA Outros Componentes PROVISÃO" xfId="3531" xr:uid="{00000000-0005-0000-0000-0000E4040000}"/>
    <cellStyle name="_IRT 2005 - CHESP-040705_CVA_Projetada até dez-2008_Setembro_PROVISÃO" xfId="3532" xr:uid="{00000000-0005-0000-0000-0000E5040000}"/>
    <cellStyle name="_IRT 2005 - CHESP-040705_Energia Comprada" xfId="3533" xr:uid="{00000000-0005-0000-0000-0000E6040000}"/>
    <cellStyle name="_IRT 2005 - CHESP-040705_Energia Comprada_IRT-cálculo" xfId="3534" xr:uid="{00000000-0005-0000-0000-0000E7040000}"/>
    <cellStyle name="_IRT 2005 - CHESP-040705_Energia Comprada_IRT-cálculo CAPA NEUTRALIDADE" xfId="3535" xr:uid="{00000000-0005-0000-0000-0000E8040000}"/>
    <cellStyle name="_IRT 2005 - CHESP-040705_Fator X" xfId="1555" xr:uid="{00000000-0005-0000-0000-0000E9040000}"/>
    <cellStyle name="_IRT 2005 - CHESP-040705_Fator X_IRT-cálculo" xfId="3536" xr:uid="{00000000-0005-0000-0000-0000EA040000}"/>
    <cellStyle name="_IRT 2005 - CHESP-040705_Fator X_IRT-cálculo CAPA NEUTRALIDADE" xfId="3537" xr:uid="{00000000-0005-0000-0000-0000EB040000}"/>
    <cellStyle name="_IRT 2005 - CHESP-040705_Fator X_SOBRECONTRATAÇÃO E CVA" xfId="3538" xr:uid="{00000000-0005-0000-0000-0000EC040000}"/>
    <cellStyle name="_IRT 2005 - CHESP-040705_IF - Autoprodutores 2" xfId="3539" xr:uid="{00000000-0005-0000-0000-0000ED040000}"/>
    <cellStyle name="_IRT 2005 - CHESP-040705_IF_Consumidores livres e geradoras_2010" xfId="3540" xr:uid="{00000000-0005-0000-0000-0000EE040000}"/>
    <cellStyle name="_IRT 2005 - CHESP-040705_IRT (2)" xfId="1556" xr:uid="{00000000-0005-0000-0000-0000EF040000}"/>
    <cellStyle name="_IRT 2005 - CHESP-040705_IRT (2) 2" xfId="3541" xr:uid="{00000000-0005-0000-0000-0000F0040000}"/>
    <cellStyle name="_IRT 2005 - CHESP-040705_IRT_1" xfId="1557" xr:uid="{00000000-0005-0000-0000-0000F1040000}"/>
    <cellStyle name="_IRT 2005 - CHESP-040705_IRT_1_IRT-cálculo" xfId="3542" xr:uid="{00000000-0005-0000-0000-0000F2040000}"/>
    <cellStyle name="_IRT 2005 - CHESP-040705_IRT_1_IRT-cálculo CAPA NEUTRALIDADE" xfId="3543" xr:uid="{00000000-0005-0000-0000-0000F3040000}"/>
    <cellStyle name="_IRT 2005 - CHESP-040705_IRT_1_SOBRECONTRATAÇÃO E CVA" xfId="3544" xr:uid="{00000000-0005-0000-0000-0000F4040000}"/>
    <cellStyle name="_IRT 2005 - CHESP-040705_IRT_Planilha Básica_ CETRIL" xfId="231" xr:uid="{00000000-0005-0000-0000-0000F5040000}"/>
    <cellStyle name="_IRT 2005 - CHESP-040705_IRT_Planilha Básica_ CETRIL 2" xfId="1269" xr:uid="{00000000-0005-0000-0000-0000F6040000}"/>
    <cellStyle name="_IRT 2005 - CHESP-040705_IRT_Pleito" xfId="3545" xr:uid="{00000000-0005-0000-0000-0000F7040000}"/>
    <cellStyle name="_IRT 2005 - CHESP-040705_IRT_Pleito_IRT-cálculo" xfId="3546" xr:uid="{00000000-0005-0000-0000-0000F8040000}"/>
    <cellStyle name="_IRT 2005 - CHESP-040705_IRT_Pleito_IRT-cálculo CAPA NEUTRALIDADE" xfId="3547" xr:uid="{00000000-0005-0000-0000-0000F9040000}"/>
    <cellStyle name="_IRT 2005 - CHESP-040705_IRT_Revisão A-1" xfId="3548" xr:uid="{00000000-0005-0000-0000-0000FA040000}"/>
    <cellStyle name="_IRT 2005 - CHESP-040705_IRT-cálculo" xfId="3549" xr:uid="{00000000-0005-0000-0000-0000FB040000}"/>
    <cellStyle name="_IRT 2005 - CHESP-040705_IRT-cálculo CAPA NEUTRALIDADE" xfId="3550" xr:uid="{00000000-0005-0000-0000-0000FC040000}"/>
    <cellStyle name="_IRT 2005 - CHESP-040705_Pasta1" xfId="1558" xr:uid="{00000000-0005-0000-0000-0000FD040000}"/>
    <cellStyle name="_IRT 2005 - CHESP-040705_Pasta1_IRT-cálculo" xfId="3551" xr:uid="{00000000-0005-0000-0000-0000FE040000}"/>
    <cellStyle name="_IRT 2005 - CHESP-040705_Pasta1_IRT-cálculo CAPA NEUTRALIDADE" xfId="3552" xr:uid="{00000000-0005-0000-0000-0000FF040000}"/>
    <cellStyle name="_IRT 2005 - CHESP-040705_Pasta1_SOBRECONTRATAÇÃO E CVA" xfId="3553" xr:uid="{00000000-0005-0000-0000-000000050000}"/>
    <cellStyle name="_IRT 2005 - CHESP-040705_Sheet1" xfId="3554" xr:uid="{00000000-0005-0000-0000-000001050000}"/>
    <cellStyle name="_IRT 2005 - CHESP-040705_SOBRECONTRATAÇÃO E CVA" xfId="3555" xr:uid="{00000000-0005-0000-0000-000002050000}"/>
    <cellStyle name="_IRT 2005 - CHESP-040705_SOBRECONTRATAÇÃO E CVA A-1" xfId="3556" xr:uid="{00000000-0005-0000-0000-000003050000}"/>
    <cellStyle name="_IRT 2005 - CHESP-040705_SOBRECONTRATAÇÃO E CVA A-1_IRT-cálculo" xfId="3557" xr:uid="{00000000-0005-0000-0000-000004050000}"/>
    <cellStyle name="_IRT 2005 - CHESP-040705_SOBRECONTRATAÇÃO E CVA A-1_IRT-cálculo CAPA NEUTRALIDADE" xfId="3558" xr:uid="{00000000-0005-0000-0000-000005050000}"/>
    <cellStyle name="_IRT 2005 - CHESP-140705" xfId="232" xr:uid="{00000000-0005-0000-0000-000006050000}"/>
    <cellStyle name="_IRT 2005 - CHESP-140705_Calculo_Subsidio_ELFSM_26_06_08_Modelo_ANEEL" xfId="3559" xr:uid="{00000000-0005-0000-0000-000007050000}"/>
    <cellStyle name="_IRT 2005 - CHESP-140705_Calculo_Subsidio_ELFSM_26_06_08_Modelo_ANEEL_IRT-cálculo" xfId="3560" xr:uid="{00000000-0005-0000-0000-000008050000}"/>
    <cellStyle name="_IRT 2005 - CHESP-140705_Calculo_Subsidio_ELFSM_26_06_08_Modelo_ANEEL_IRT-cálculo CAPA NEUTRALIDADE" xfId="3561" xr:uid="{00000000-0005-0000-0000-000009050000}"/>
    <cellStyle name="_IRT 2005 - CHESP-140705_CVA_Projetada até dez-2008_Setembro" xfId="3562" xr:uid="{00000000-0005-0000-0000-00000A050000}"/>
    <cellStyle name="_IRT 2005 - CHESP-140705_CVA_Projetada até dez-2008_Setembro_CVA Outros Componentes PROVISÃO" xfId="3563" xr:uid="{00000000-0005-0000-0000-00000B050000}"/>
    <cellStyle name="_IRT 2005 - CHESP-140705_CVA_Projetada até dez-2008_Setembro_PROVISÃO" xfId="3564" xr:uid="{00000000-0005-0000-0000-00000C050000}"/>
    <cellStyle name="_IRT 2005 - CHESP-140705_Energia Comprada" xfId="3565" xr:uid="{00000000-0005-0000-0000-00000D050000}"/>
    <cellStyle name="_IRT 2005 - CHESP-140705_Energia Comprada_IRT-cálculo" xfId="3566" xr:uid="{00000000-0005-0000-0000-00000E050000}"/>
    <cellStyle name="_IRT 2005 - CHESP-140705_Energia Comprada_IRT-cálculo CAPA NEUTRALIDADE" xfId="3567" xr:uid="{00000000-0005-0000-0000-00000F050000}"/>
    <cellStyle name="_IRT 2005 - CHESP-140705_Fator X" xfId="1559" xr:uid="{00000000-0005-0000-0000-000010050000}"/>
    <cellStyle name="_IRT 2005 - CHESP-140705_Fator X_IRT-cálculo" xfId="3568" xr:uid="{00000000-0005-0000-0000-000011050000}"/>
    <cellStyle name="_IRT 2005 - CHESP-140705_Fator X_IRT-cálculo CAPA NEUTRALIDADE" xfId="3569" xr:uid="{00000000-0005-0000-0000-000012050000}"/>
    <cellStyle name="_IRT 2005 - CHESP-140705_Fator X_SOBRECONTRATAÇÃO E CVA" xfId="3570" xr:uid="{00000000-0005-0000-0000-000013050000}"/>
    <cellStyle name="_IRT 2005 - CHESP-140705_IF - Autoprodutores 2" xfId="3571" xr:uid="{00000000-0005-0000-0000-000014050000}"/>
    <cellStyle name="_IRT 2005 - CHESP-140705_IF_Consumidores livres e geradoras_2010" xfId="3572" xr:uid="{00000000-0005-0000-0000-000015050000}"/>
    <cellStyle name="_IRT 2005 - CHESP-140705_IRT (2)" xfId="1560" xr:uid="{00000000-0005-0000-0000-000016050000}"/>
    <cellStyle name="_IRT 2005 - CHESP-140705_IRT (2) 2" xfId="3573" xr:uid="{00000000-0005-0000-0000-000017050000}"/>
    <cellStyle name="_IRT 2005 - CHESP-140705_IRT_1" xfId="1561" xr:uid="{00000000-0005-0000-0000-000018050000}"/>
    <cellStyle name="_IRT 2005 - CHESP-140705_IRT_1_IRT-cálculo" xfId="3574" xr:uid="{00000000-0005-0000-0000-000019050000}"/>
    <cellStyle name="_IRT 2005 - CHESP-140705_IRT_1_IRT-cálculo CAPA NEUTRALIDADE" xfId="3575" xr:uid="{00000000-0005-0000-0000-00001A050000}"/>
    <cellStyle name="_IRT 2005 - CHESP-140705_IRT_1_SOBRECONTRATAÇÃO E CVA" xfId="3576" xr:uid="{00000000-0005-0000-0000-00001B050000}"/>
    <cellStyle name="_IRT 2005 - CHESP-140705_IRT_Planilha Básica_ CETRIL" xfId="233" xr:uid="{00000000-0005-0000-0000-00001C050000}"/>
    <cellStyle name="_IRT 2005 - CHESP-140705_IRT_Planilha Básica_ CETRIL 2" xfId="1270" xr:uid="{00000000-0005-0000-0000-00001D050000}"/>
    <cellStyle name="_IRT 2005 - CHESP-140705_IRT_Pleito" xfId="3577" xr:uid="{00000000-0005-0000-0000-00001E050000}"/>
    <cellStyle name="_IRT 2005 - CHESP-140705_IRT_Pleito_IRT-cálculo" xfId="3578" xr:uid="{00000000-0005-0000-0000-00001F050000}"/>
    <cellStyle name="_IRT 2005 - CHESP-140705_IRT_Pleito_IRT-cálculo CAPA NEUTRALIDADE" xfId="3579" xr:uid="{00000000-0005-0000-0000-000020050000}"/>
    <cellStyle name="_IRT 2005 - CHESP-140705_IRT_Revisão A-1" xfId="3580" xr:uid="{00000000-0005-0000-0000-000021050000}"/>
    <cellStyle name="_IRT 2005 - CHESP-140705_IRT-cálculo" xfId="3581" xr:uid="{00000000-0005-0000-0000-000022050000}"/>
    <cellStyle name="_IRT 2005 - CHESP-140705_IRT-cálculo CAPA NEUTRALIDADE" xfId="3582" xr:uid="{00000000-0005-0000-0000-000023050000}"/>
    <cellStyle name="_IRT 2005 - CHESP-140705_Pasta1" xfId="1562" xr:uid="{00000000-0005-0000-0000-000024050000}"/>
    <cellStyle name="_IRT 2005 - CHESP-140705_Pasta1_IRT-cálculo" xfId="3583" xr:uid="{00000000-0005-0000-0000-000025050000}"/>
    <cellStyle name="_IRT 2005 - CHESP-140705_Pasta1_IRT-cálculo CAPA NEUTRALIDADE" xfId="3584" xr:uid="{00000000-0005-0000-0000-000026050000}"/>
    <cellStyle name="_IRT 2005 - CHESP-140705_Pasta1_SOBRECONTRATAÇÃO E CVA" xfId="3585" xr:uid="{00000000-0005-0000-0000-000027050000}"/>
    <cellStyle name="_IRT 2005 - CHESP-140705_Sheet1" xfId="3586" xr:uid="{00000000-0005-0000-0000-000028050000}"/>
    <cellStyle name="_IRT 2005 - CHESP-140705_SOBRECONTRATAÇÃO E CVA" xfId="3587" xr:uid="{00000000-0005-0000-0000-000029050000}"/>
    <cellStyle name="_IRT 2005 - CHESP-140705_SOBRECONTRATAÇÃO E CVA A-1" xfId="3588" xr:uid="{00000000-0005-0000-0000-00002A050000}"/>
    <cellStyle name="_IRT 2005 - CHESP-140705_SOBRECONTRATAÇÃO E CVA A-1_IRT-cálculo" xfId="3589" xr:uid="{00000000-0005-0000-0000-00002B050000}"/>
    <cellStyle name="_IRT 2005 - CHESP-140705_SOBRECONTRATAÇÃO E CVA A-1_IRT-cálculo CAPA NEUTRALIDADE" xfId="3590" xr:uid="{00000000-0005-0000-0000-00002C050000}"/>
    <cellStyle name="_IRT 2006 - CEEE" xfId="234" xr:uid="{00000000-0005-0000-0000-00002D050000}"/>
    <cellStyle name="_IRT 2006 - CEEE_Calculo_Subsidio_ELFSM_26_06_08_Modelo_ANEEL" xfId="3591" xr:uid="{00000000-0005-0000-0000-00002E050000}"/>
    <cellStyle name="_IRT 2006 - CEEE_Calculo_Subsidio_ELFSM_26_06_08_Modelo_ANEEL_IRT-cálculo" xfId="3592" xr:uid="{00000000-0005-0000-0000-00002F050000}"/>
    <cellStyle name="_IRT 2006 - CEEE_Calculo_Subsidio_ELFSM_26_06_08_Modelo_ANEEL_IRT-cálculo CAPA NEUTRALIDADE" xfId="3593" xr:uid="{00000000-0005-0000-0000-000030050000}"/>
    <cellStyle name="_IRT 2006 - CEEE_CVA_Projetada até dez-2008_Setembro" xfId="3594" xr:uid="{00000000-0005-0000-0000-000031050000}"/>
    <cellStyle name="_IRT 2006 - CEEE_CVA_Projetada até dez-2008_Setembro_CVA Outros Componentes PROVISÃO" xfId="3595" xr:uid="{00000000-0005-0000-0000-000032050000}"/>
    <cellStyle name="_IRT 2006 - CEEE_CVA_Projetada até dez-2008_Setembro_PROVISÃO" xfId="3596" xr:uid="{00000000-0005-0000-0000-000033050000}"/>
    <cellStyle name="_IRT 2006 - CEEE_Energia Comprada" xfId="3597" xr:uid="{00000000-0005-0000-0000-000034050000}"/>
    <cellStyle name="_IRT 2006 - CEEE_Energia Comprada_IRT-cálculo" xfId="3598" xr:uid="{00000000-0005-0000-0000-000035050000}"/>
    <cellStyle name="_IRT 2006 - CEEE_Energia Comprada_IRT-cálculo CAPA NEUTRALIDADE" xfId="3599" xr:uid="{00000000-0005-0000-0000-000036050000}"/>
    <cellStyle name="_IRT 2006 - CEEE_Fator X" xfId="1563" xr:uid="{00000000-0005-0000-0000-000037050000}"/>
    <cellStyle name="_IRT 2006 - CEEE_Fator X_IRT-cálculo" xfId="3600" xr:uid="{00000000-0005-0000-0000-000038050000}"/>
    <cellStyle name="_IRT 2006 - CEEE_Fator X_IRT-cálculo CAPA NEUTRALIDADE" xfId="3601" xr:uid="{00000000-0005-0000-0000-000039050000}"/>
    <cellStyle name="_IRT 2006 - CEEE_Fator X_SOBRECONTRATAÇÃO E CVA" xfId="3602" xr:uid="{00000000-0005-0000-0000-00003A050000}"/>
    <cellStyle name="_IRT 2006 - CEEE_IF - Autoprodutores 2" xfId="3603" xr:uid="{00000000-0005-0000-0000-00003B050000}"/>
    <cellStyle name="_IRT 2006 - CEEE_IF_Consumidores livres e geradoras_2010" xfId="3604" xr:uid="{00000000-0005-0000-0000-00003C050000}"/>
    <cellStyle name="_IRT 2006 - CEEE_IRT (2)" xfId="1564" xr:uid="{00000000-0005-0000-0000-00003D050000}"/>
    <cellStyle name="_IRT 2006 - CEEE_IRT (2) 2" xfId="3605" xr:uid="{00000000-0005-0000-0000-00003E050000}"/>
    <cellStyle name="_IRT 2006 - CEEE_IRT_1" xfId="1565" xr:uid="{00000000-0005-0000-0000-00003F050000}"/>
    <cellStyle name="_IRT 2006 - CEEE_IRT_1_IRT-cálculo" xfId="3606" xr:uid="{00000000-0005-0000-0000-000040050000}"/>
    <cellStyle name="_IRT 2006 - CEEE_IRT_1_IRT-cálculo CAPA NEUTRALIDADE" xfId="3607" xr:uid="{00000000-0005-0000-0000-000041050000}"/>
    <cellStyle name="_IRT 2006 - CEEE_IRT_1_SOBRECONTRATAÇÃO E CVA" xfId="3608" xr:uid="{00000000-0005-0000-0000-000042050000}"/>
    <cellStyle name="_IRT 2006 - CEEE_IRT_Planilha Básica_ CETRIL" xfId="235" xr:uid="{00000000-0005-0000-0000-000043050000}"/>
    <cellStyle name="_IRT 2006 - CEEE_IRT_Planilha Básica_ CETRIL 2" xfId="1271" xr:uid="{00000000-0005-0000-0000-000044050000}"/>
    <cellStyle name="_IRT 2006 - CEEE_IRT_Pleito" xfId="3609" xr:uid="{00000000-0005-0000-0000-000045050000}"/>
    <cellStyle name="_IRT 2006 - CEEE_IRT_Pleito_IRT-cálculo" xfId="3610" xr:uid="{00000000-0005-0000-0000-000046050000}"/>
    <cellStyle name="_IRT 2006 - CEEE_IRT_Pleito_IRT-cálculo CAPA NEUTRALIDADE" xfId="3611" xr:uid="{00000000-0005-0000-0000-000047050000}"/>
    <cellStyle name="_IRT 2006 - CEEE_IRT_Revisão A-1" xfId="3612" xr:uid="{00000000-0005-0000-0000-000048050000}"/>
    <cellStyle name="_IRT 2006 - CEEE_IRT-cálculo" xfId="3613" xr:uid="{00000000-0005-0000-0000-000049050000}"/>
    <cellStyle name="_IRT 2006 - CEEE_IRT-cálculo CAPA NEUTRALIDADE" xfId="3614" xr:uid="{00000000-0005-0000-0000-00004A050000}"/>
    <cellStyle name="_IRT 2006 - CEEE_Pasta1" xfId="1566" xr:uid="{00000000-0005-0000-0000-00004B050000}"/>
    <cellStyle name="_IRT 2006 - CEEE_Pasta1_IRT-cálculo" xfId="3615" xr:uid="{00000000-0005-0000-0000-00004C050000}"/>
    <cellStyle name="_IRT 2006 - CEEE_Pasta1_IRT-cálculo CAPA NEUTRALIDADE" xfId="3616" xr:uid="{00000000-0005-0000-0000-00004D050000}"/>
    <cellStyle name="_IRT 2006 - CEEE_Pasta1_SOBRECONTRATAÇÃO E CVA" xfId="3617" xr:uid="{00000000-0005-0000-0000-00004E050000}"/>
    <cellStyle name="_IRT 2006 - CEEE_Sheet1" xfId="3618" xr:uid="{00000000-0005-0000-0000-00004F050000}"/>
    <cellStyle name="_IRT 2006 - CEEE_SOBRECONTRATAÇÃO E CVA" xfId="3619" xr:uid="{00000000-0005-0000-0000-000050050000}"/>
    <cellStyle name="_IRT 2006 - CEEE_SOBRECONTRATAÇÃO E CVA A-1" xfId="3620" xr:uid="{00000000-0005-0000-0000-000051050000}"/>
    <cellStyle name="_IRT 2006 - CEEE_SOBRECONTRATAÇÃO E CVA A-1_IRT-cálculo" xfId="3621" xr:uid="{00000000-0005-0000-0000-000052050000}"/>
    <cellStyle name="_IRT 2006 - CEEE_SOBRECONTRATAÇÃO E CVA A-1_IRT-cálculo CAPA NEUTRALIDADE" xfId="3622" xr:uid="{00000000-0005-0000-0000-000053050000}"/>
    <cellStyle name="_IRT 2006 Boa Vista" xfId="236" xr:uid="{00000000-0005-0000-0000-000054050000}"/>
    <cellStyle name="_IRT 2006 Boa Vista 2" xfId="1272" xr:uid="{00000000-0005-0000-0000-000055050000}"/>
    <cellStyle name="_IRT 2006 Boa Vista 3" xfId="3623" xr:uid="{00000000-0005-0000-0000-000056050000}"/>
    <cellStyle name="_IRT 2006 Boa Vista_Balanço" xfId="237" xr:uid="{00000000-0005-0000-0000-000057050000}"/>
    <cellStyle name="_IRT 2006 Boa Vista_casulo 15" xfId="238" xr:uid="{00000000-0005-0000-0000-000058050000}"/>
    <cellStyle name="_IRT 2006 Boa Vista_COELCE  ICMS Não Compensado RTO 2012 281211" xfId="3624" xr:uid="{00000000-0005-0000-0000-000059050000}"/>
    <cellStyle name="_IRT 2006 Boa Vista_COELCE - RTO 2011 - PLPT_PLANILHA_CÁLCULO_DÉFICIT" xfId="3625" xr:uid="{00000000-0005-0000-0000-00005A050000}"/>
    <cellStyle name="_IRT 2006 Boa Vista_Exposição_Agosto 2" xfId="3626" xr:uid="{00000000-0005-0000-0000-00005B050000}"/>
    <cellStyle name="_IRT 2006 Boa Vista_IRT EEB 2010" xfId="3627" xr:uid="{00000000-0005-0000-0000-00005C050000}"/>
    <cellStyle name="_IRT 2006 Boa Vista_IRT_Revisão A-2" xfId="3628" xr:uid="{00000000-0005-0000-0000-00005D050000}"/>
    <cellStyle name="_IRT 2006 Boa Vista_IRT-cálculo" xfId="3629" xr:uid="{00000000-0005-0000-0000-00005E050000}"/>
    <cellStyle name="_IRT 2006 Boa Vista_Simulação AES SUL 03_04_07" xfId="239" xr:uid="{00000000-0005-0000-0000-00005F050000}"/>
    <cellStyle name="_IRT 2006 Boa Vista_Simulação AES SUL 03_04_07 2" xfId="1273" xr:uid="{00000000-0005-0000-0000-000060050000}"/>
    <cellStyle name="_IRT 2006 Boa Vista_Simulação AES SUL 03_04_07 3" xfId="3630" xr:uid="{00000000-0005-0000-0000-000061050000}"/>
    <cellStyle name="_IRT 2006 Boa Vista_Simulação AES SUL 03_04_07_Balanço" xfId="240" xr:uid="{00000000-0005-0000-0000-000062050000}"/>
    <cellStyle name="_IRT 2006 Boa Vista_Simulação AES SUL 03_04_07_casulo 15" xfId="241" xr:uid="{00000000-0005-0000-0000-000063050000}"/>
    <cellStyle name="_IRT 2006 Boa Vista_Simulação AES SUL 03_04_07_IRT EEB 2010" xfId="3631" xr:uid="{00000000-0005-0000-0000-000064050000}"/>
    <cellStyle name="_IRT 2006 Boa Vista_Simulação congelamento COELCE 2011 - Propostas 3ª Fase AP040 (20.12.2011)" xfId="3632" xr:uid="{00000000-0005-0000-0000-000065050000}"/>
    <cellStyle name="_IRT 2006 Boa Vista_Sobrecontratação AES (2)" xfId="242" xr:uid="{00000000-0005-0000-0000-000066050000}"/>
    <cellStyle name="_IRT 2006 Boa Vista_Sobrecontratação AES (2) 2" xfId="1274" xr:uid="{00000000-0005-0000-0000-000067050000}"/>
    <cellStyle name="_IRT 2006 Boa Vista_Sobrecontratação AES (2) 3" xfId="3633" xr:uid="{00000000-0005-0000-0000-000068050000}"/>
    <cellStyle name="_IRT 2006 Boa Vista_Sobrecontratação AES (2)_Balanço" xfId="243" xr:uid="{00000000-0005-0000-0000-000069050000}"/>
    <cellStyle name="_IRT 2006 Boa Vista_Sobrecontratação AES (2)_casulo 15" xfId="244" xr:uid="{00000000-0005-0000-0000-00006A050000}"/>
    <cellStyle name="_IRT 2006 Boa Vista_Sobrecontratação AES (2)_IRT EEB 2010" xfId="3634" xr:uid="{00000000-0005-0000-0000-00006B050000}"/>
    <cellStyle name="_IRT 2006 Boa Vista_SOBRECONTRATAÇÃO E CVA" xfId="3635" xr:uid="{00000000-0005-0000-0000-00006C050000}"/>
    <cellStyle name="_IRT 2007 - COELBA" xfId="245" xr:uid="{00000000-0005-0000-0000-00006D050000}"/>
    <cellStyle name="_IRT 2007 - COELBA_IF - Autoprodutores 2" xfId="3636" xr:uid="{00000000-0005-0000-0000-00006E050000}"/>
    <cellStyle name="_IRT 2007 - COELBA_IF_Consumidores livres e geradoras_2010" xfId="3637" xr:uid="{00000000-0005-0000-0000-00006F050000}"/>
    <cellStyle name="_IRT 2007 - COELBA_IRT-cálculo" xfId="3638" xr:uid="{00000000-0005-0000-0000-000070050000}"/>
    <cellStyle name="_IRT 2007 - COELBA_Sheet1" xfId="3639" xr:uid="{00000000-0005-0000-0000-000071050000}"/>
    <cellStyle name="_IRT 2007 - COELBA_Sheet2" xfId="3640" xr:uid="{00000000-0005-0000-0000-000072050000}"/>
    <cellStyle name="_IRT 2007 - Enersul" xfId="246" xr:uid="{00000000-0005-0000-0000-000073050000}"/>
    <cellStyle name="_IRT 2007 - Enersul_IF - Autoprodutores 2" xfId="3641" xr:uid="{00000000-0005-0000-0000-000074050000}"/>
    <cellStyle name="_IRT 2007 - Enersul_IF_Consumidores livres e geradoras_2010" xfId="3642" xr:uid="{00000000-0005-0000-0000-000075050000}"/>
    <cellStyle name="_IRT 2007 - Enersul_IRT-cálculo" xfId="3643" xr:uid="{00000000-0005-0000-0000-000076050000}"/>
    <cellStyle name="_IRT 2007 - Enersul_Sheet1" xfId="3644" xr:uid="{00000000-0005-0000-0000-000077050000}"/>
    <cellStyle name="_IRT CPEE_fev07" xfId="247" xr:uid="{00000000-0005-0000-0000-000078050000}"/>
    <cellStyle name="_IRT CPEE_fev07_Calculo_Subsidio_ELFSM_26_06_08_Modelo_ANEEL" xfId="3645" xr:uid="{00000000-0005-0000-0000-000079050000}"/>
    <cellStyle name="_IRT CPEE_fev07_Calculo_Subsidio_ELFSM_26_06_08_Modelo_ANEEL_IRT-cálculo" xfId="3646" xr:uid="{00000000-0005-0000-0000-00007A050000}"/>
    <cellStyle name="_IRT CPEE_fev07_Calculo_Subsidio_ELFSM_26_06_08_Modelo_ANEEL_IRT-cálculo CAPA NEUTRALIDADE" xfId="3647" xr:uid="{00000000-0005-0000-0000-00007B050000}"/>
    <cellStyle name="_IRT CPEE_fev07_CVA_Projetada até dez-2008_Setembro" xfId="3648" xr:uid="{00000000-0005-0000-0000-00007C050000}"/>
    <cellStyle name="_IRT CPEE_fev07_CVA_Projetada até dez-2008_Setembro_CVA Outros Componentes PROVISÃO" xfId="3649" xr:uid="{00000000-0005-0000-0000-00007D050000}"/>
    <cellStyle name="_IRT CPEE_fev07_CVA_Projetada até dez-2008_Setembro_PROVISÃO" xfId="3650" xr:uid="{00000000-0005-0000-0000-00007E050000}"/>
    <cellStyle name="_IRT CPEE_fev07_Energia Comprada" xfId="3651" xr:uid="{00000000-0005-0000-0000-00007F050000}"/>
    <cellStyle name="_IRT CPEE_fev07_Energia Comprada_IRT-cálculo" xfId="3652" xr:uid="{00000000-0005-0000-0000-000080050000}"/>
    <cellStyle name="_IRT CPEE_fev07_Energia Comprada_IRT-cálculo CAPA NEUTRALIDADE" xfId="3653" xr:uid="{00000000-0005-0000-0000-000081050000}"/>
    <cellStyle name="_IRT CPEE_fev07_Fator X" xfId="1567" xr:uid="{00000000-0005-0000-0000-000082050000}"/>
    <cellStyle name="_IRT CPEE_fev07_Fator X_IRT-cálculo" xfId="3654" xr:uid="{00000000-0005-0000-0000-000083050000}"/>
    <cellStyle name="_IRT CPEE_fev07_Fator X_IRT-cálculo CAPA NEUTRALIDADE" xfId="3655" xr:uid="{00000000-0005-0000-0000-000084050000}"/>
    <cellStyle name="_IRT CPEE_fev07_Fator X_SOBRECONTRATAÇÃO E CVA" xfId="3656" xr:uid="{00000000-0005-0000-0000-000085050000}"/>
    <cellStyle name="_IRT CPEE_fev07_IF - Autoprodutores 2" xfId="3657" xr:uid="{00000000-0005-0000-0000-000086050000}"/>
    <cellStyle name="_IRT CPEE_fev07_IF_Consumidores livres e geradoras_2010" xfId="3658" xr:uid="{00000000-0005-0000-0000-000087050000}"/>
    <cellStyle name="_IRT CPEE_fev07_IRT (2)" xfId="1568" xr:uid="{00000000-0005-0000-0000-000088050000}"/>
    <cellStyle name="_IRT CPEE_fev07_IRT (2) 2" xfId="3659" xr:uid="{00000000-0005-0000-0000-000089050000}"/>
    <cellStyle name="_IRT CPEE_fev07_IRT_1" xfId="1569" xr:uid="{00000000-0005-0000-0000-00008A050000}"/>
    <cellStyle name="_IRT CPEE_fev07_IRT_1_IRT-cálculo" xfId="3660" xr:uid="{00000000-0005-0000-0000-00008B050000}"/>
    <cellStyle name="_IRT CPEE_fev07_IRT_1_IRT-cálculo CAPA NEUTRALIDADE" xfId="3661" xr:uid="{00000000-0005-0000-0000-00008C050000}"/>
    <cellStyle name="_IRT CPEE_fev07_IRT_1_SOBRECONTRATAÇÃO E CVA" xfId="3662" xr:uid="{00000000-0005-0000-0000-00008D050000}"/>
    <cellStyle name="_IRT CPEE_fev07_IRT_Planilha Básica_ CETRIL" xfId="248" xr:uid="{00000000-0005-0000-0000-00008E050000}"/>
    <cellStyle name="_IRT CPEE_fev07_IRT_Planilha Básica_ CETRIL 2" xfId="1275" xr:uid="{00000000-0005-0000-0000-00008F050000}"/>
    <cellStyle name="_IRT CPEE_fev07_IRT_Pleito" xfId="3663" xr:uid="{00000000-0005-0000-0000-000090050000}"/>
    <cellStyle name="_IRT CPEE_fev07_IRT_Pleito_IRT-cálculo" xfId="3664" xr:uid="{00000000-0005-0000-0000-000091050000}"/>
    <cellStyle name="_IRT CPEE_fev07_IRT_Pleito_IRT-cálculo CAPA NEUTRALIDADE" xfId="3665" xr:uid="{00000000-0005-0000-0000-000092050000}"/>
    <cellStyle name="_IRT CPEE_fev07_IRT_Revisão A-1" xfId="3666" xr:uid="{00000000-0005-0000-0000-000093050000}"/>
    <cellStyle name="_IRT CPEE_fev07_IRT-cálculo" xfId="3667" xr:uid="{00000000-0005-0000-0000-000094050000}"/>
    <cellStyle name="_IRT CPEE_fev07_IRT-cálculo CAPA NEUTRALIDADE" xfId="3668" xr:uid="{00000000-0005-0000-0000-000095050000}"/>
    <cellStyle name="_IRT CPEE_fev07_Pasta1" xfId="1570" xr:uid="{00000000-0005-0000-0000-000096050000}"/>
    <cellStyle name="_IRT CPEE_fev07_Pasta1_IRT-cálculo" xfId="3669" xr:uid="{00000000-0005-0000-0000-000097050000}"/>
    <cellStyle name="_IRT CPEE_fev07_Pasta1_IRT-cálculo CAPA NEUTRALIDADE" xfId="3670" xr:uid="{00000000-0005-0000-0000-000098050000}"/>
    <cellStyle name="_IRT CPEE_fev07_Pasta1_SOBRECONTRATAÇÃO E CVA" xfId="3671" xr:uid="{00000000-0005-0000-0000-000099050000}"/>
    <cellStyle name="_IRT CPEE_fev07_pós-IGPM" xfId="249" xr:uid="{00000000-0005-0000-0000-00009A050000}"/>
    <cellStyle name="_IRT CPEE_fev07_pós-IGPM_Cálculo do Financeiro do Baixa Renda" xfId="3672" xr:uid="{00000000-0005-0000-0000-00009B050000}"/>
    <cellStyle name="_IRT CPEE_fev07_pós-IGPM_Cálculo do Financeiro do Baixa Renda_IRT-cálculo" xfId="3673" xr:uid="{00000000-0005-0000-0000-00009C050000}"/>
    <cellStyle name="_IRT CPEE_fev07_pós-IGPM_Cálculo do Financeiro do Baixa Renda_IRT-cálculo CAPA NEUTRALIDADE" xfId="3674" xr:uid="{00000000-0005-0000-0000-00009D050000}"/>
    <cellStyle name="_IRT CPEE_fev07_pós-IGPM_Custo com Avaliação de Ativos para Base de Remuneração" xfId="3675" xr:uid="{00000000-0005-0000-0000-00009E050000}"/>
    <cellStyle name="_IRT CPEE_fev07_pós-IGPM_Custo com Avaliação de Ativos para Base de Remuneração_IRT-cálculo" xfId="3676" xr:uid="{00000000-0005-0000-0000-00009F050000}"/>
    <cellStyle name="_IRT CPEE_fev07_pós-IGPM_Custo com Avaliação de Ativos para Base de Remuneração_IRT-cálculo CAPA NEUTRALIDADE" xfId="3677" xr:uid="{00000000-0005-0000-0000-0000A0050000}"/>
    <cellStyle name="_IRT CPEE_fev07_pós-IGPM_Energia Comprada" xfId="3678" xr:uid="{00000000-0005-0000-0000-0000A1050000}"/>
    <cellStyle name="_IRT CPEE_fev07_pós-IGPM_Energia Comprada_IRT-cálculo" xfId="3679" xr:uid="{00000000-0005-0000-0000-0000A2050000}"/>
    <cellStyle name="_IRT CPEE_fev07_pós-IGPM_Energia Comprada_IRT-cálculo CAPA NEUTRALIDADE" xfId="3680" xr:uid="{00000000-0005-0000-0000-0000A3050000}"/>
    <cellStyle name="_IRT CPEE_fev07_pós-IGPM_Fator X" xfId="1571" xr:uid="{00000000-0005-0000-0000-0000A4050000}"/>
    <cellStyle name="_IRT CPEE_fev07_pós-IGPM_Fator X_IRT-cálculo" xfId="3681" xr:uid="{00000000-0005-0000-0000-0000A5050000}"/>
    <cellStyle name="_IRT CPEE_fev07_pós-IGPM_Fator X_IRT-cálculo CAPA NEUTRALIDADE" xfId="3682" xr:uid="{00000000-0005-0000-0000-0000A6050000}"/>
    <cellStyle name="_IRT CPEE_fev07_pós-IGPM_Fator X_SOBRECONTRATAÇÃO E CVA" xfId="3683" xr:uid="{00000000-0005-0000-0000-0000A7050000}"/>
    <cellStyle name="_IRT CPEE_fev07_pós-IGPM_IF - Autoprodutores 2" xfId="3684" xr:uid="{00000000-0005-0000-0000-0000A8050000}"/>
    <cellStyle name="_IRT CPEE_fev07_pós-IGPM_IF_Consumidores livres e geradoras_2010" xfId="3685" xr:uid="{00000000-0005-0000-0000-0000A9050000}"/>
    <cellStyle name="_IRT CPEE_fev07_pós-IGPM_IRT (2)" xfId="1572" xr:uid="{00000000-0005-0000-0000-0000AA050000}"/>
    <cellStyle name="_IRT CPEE_fev07_pós-IGPM_IRT (2) 2" xfId="3686" xr:uid="{00000000-0005-0000-0000-0000AB050000}"/>
    <cellStyle name="_IRT CPEE_fev07_pós-IGPM_IRT_1" xfId="1573" xr:uid="{00000000-0005-0000-0000-0000AC050000}"/>
    <cellStyle name="_IRT CPEE_fev07_pós-IGPM_IRT_1_IRT-cálculo" xfId="3687" xr:uid="{00000000-0005-0000-0000-0000AD050000}"/>
    <cellStyle name="_IRT CPEE_fev07_pós-IGPM_IRT_1_IRT-cálculo CAPA NEUTRALIDADE" xfId="3688" xr:uid="{00000000-0005-0000-0000-0000AE050000}"/>
    <cellStyle name="_IRT CPEE_fev07_pós-IGPM_IRT_1_SOBRECONTRATAÇÃO E CVA" xfId="3689" xr:uid="{00000000-0005-0000-0000-0000AF050000}"/>
    <cellStyle name="_IRT CPEE_fev07_pós-IGPM_IRT_Revisão A-1" xfId="3690" xr:uid="{00000000-0005-0000-0000-0000B0050000}"/>
    <cellStyle name="_IRT CPEE_fev07_pós-IGPM_IRT-cálculo" xfId="3691" xr:uid="{00000000-0005-0000-0000-0000B1050000}"/>
    <cellStyle name="_IRT CPEE_fev07_pós-IGPM_IRT-cálculo CAPA NEUTRALIDADE" xfId="3692" xr:uid="{00000000-0005-0000-0000-0000B2050000}"/>
    <cellStyle name="_IRT CPEE_fev07_pós-IGPM_Pasta1" xfId="1574" xr:uid="{00000000-0005-0000-0000-0000B3050000}"/>
    <cellStyle name="_IRT CPEE_fev07_pós-IGPM_Pasta1_IRT-cálculo" xfId="3693" xr:uid="{00000000-0005-0000-0000-0000B4050000}"/>
    <cellStyle name="_IRT CPEE_fev07_pós-IGPM_Pasta1_IRT-cálculo CAPA NEUTRALIDADE" xfId="3694" xr:uid="{00000000-0005-0000-0000-0000B5050000}"/>
    <cellStyle name="_IRT CPEE_fev07_pós-IGPM_Pasta1_SOBRECONTRATAÇÃO E CVA" xfId="3695" xr:uid="{00000000-0005-0000-0000-0000B6050000}"/>
    <cellStyle name="_IRT CPEE_fev07_pós-IGPM_Sheet1" xfId="3696" xr:uid="{00000000-0005-0000-0000-0000B7050000}"/>
    <cellStyle name="_IRT CPEE_fev07_pós-IGPM_Sheet2" xfId="3697" xr:uid="{00000000-0005-0000-0000-0000B8050000}"/>
    <cellStyle name="_IRT CPEE_fev07_pós-IGPM_SOBRECONTRATAÇÃO E CVA" xfId="3698" xr:uid="{00000000-0005-0000-0000-0000B9050000}"/>
    <cellStyle name="_IRT CPEE_fev07_Sheet1" xfId="3699" xr:uid="{00000000-0005-0000-0000-0000BA050000}"/>
    <cellStyle name="_IRT CPEE_fev07_SOBRECONTRATAÇÃO E CVA" xfId="3700" xr:uid="{00000000-0005-0000-0000-0000BB050000}"/>
    <cellStyle name="_IRT CPEE_fev07_SOBRECONTRATAÇÃO E CVA A-1" xfId="3701" xr:uid="{00000000-0005-0000-0000-0000BC050000}"/>
    <cellStyle name="_IRT CPEE_fev07_SOBRECONTRATAÇÃO E CVA A-1_IRT-cálculo" xfId="3702" xr:uid="{00000000-0005-0000-0000-0000BD050000}"/>
    <cellStyle name="_IRT CPEE_fev07_SOBRECONTRATAÇÃO E CVA A-1_IRT-cálculo CAPA NEUTRALIDADE" xfId="3703" xr:uid="{00000000-0005-0000-0000-0000BE050000}"/>
    <cellStyle name="_IRT Energipe 2007" xfId="3704" xr:uid="{00000000-0005-0000-0000-0000BF050000}"/>
    <cellStyle name="_IRT IGUAÇU_2007 (2)" xfId="3705" xr:uid="{00000000-0005-0000-0000-0000C0050000}"/>
    <cellStyle name="_IRT SAELPA-2006" xfId="3706" xr:uid="{00000000-0005-0000-0000-0000C1050000}"/>
    <cellStyle name="_IRT SAELPA-2006_CVA Borborema 2010 - Fiscalizada Final" xfId="3707" xr:uid="{00000000-0005-0000-0000-0000C2050000}"/>
    <cellStyle name="_IRT_2006_Sulgipe_Final" xfId="250" xr:uid="{00000000-0005-0000-0000-0000C3050000}"/>
    <cellStyle name="_IRT_2006_Sulgipe_Final 2" xfId="1276" xr:uid="{00000000-0005-0000-0000-0000C4050000}"/>
    <cellStyle name="_IRT_2006_Sulgipe_Final 3" xfId="3708" xr:uid="{00000000-0005-0000-0000-0000C5050000}"/>
    <cellStyle name="_IRT_2006_Sulgipe_Final_Balanço" xfId="251" xr:uid="{00000000-0005-0000-0000-0000C6050000}"/>
    <cellStyle name="_IRT_2006_Sulgipe_Final_casulo 15" xfId="252" xr:uid="{00000000-0005-0000-0000-0000C7050000}"/>
    <cellStyle name="_IRT_2006_Sulgipe_Final_COELCE  ICMS Não Compensado RTO 2012 281211" xfId="3709" xr:uid="{00000000-0005-0000-0000-0000C8050000}"/>
    <cellStyle name="_IRT_2006_Sulgipe_Final_COELCE - RTO 2011 - PLPT_PLANILHA_CÁLCULO_DÉFICIT" xfId="3710" xr:uid="{00000000-0005-0000-0000-0000C9050000}"/>
    <cellStyle name="_IRT_2006_Sulgipe_Final_Exposição_Agosto 2" xfId="3711" xr:uid="{00000000-0005-0000-0000-0000CA050000}"/>
    <cellStyle name="_IRT_2006_Sulgipe_Final_IRT EEB 2010" xfId="3712" xr:uid="{00000000-0005-0000-0000-0000CB050000}"/>
    <cellStyle name="_IRT_2006_Sulgipe_Final_IRT_Revisão A-2" xfId="3713" xr:uid="{00000000-0005-0000-0000-0000CC050000}"/>
    <cellStyle name="_IRT_2006_Sulgipe_Final_IRT-cálculo" xfId="3714" xr:uid="{00000000-0005-0000-0000-0000CD050000}"/>
    <cellStyle name="_IRT_2006_Sulgipe_Final_Simulação AES SUL 03_04_07" xfId="253" xr:uid="{00000000-0005-0000-0000-0000CE050000}"/>
    <cellStyle name="_IRT_2006_Sulgipe_Final_Simulação AES SUL 03_04_07 2" xfId="1277" xr:uid="{00000000-0005-0000-0000-0000CF050000}"/>
    <cellStyle name="_IRT_2006_Sulgipe_Final_Simulação AES SUL 03_04_07 3" xfId="3715" xr:uid="{00000000-0005-0000-0000-0000D0050000}"/>
    <cellStyle name="_IRT_2006_Sulgipe_Final_Simulação AES SUL 03_04_07_Balanço" xfId="254" xr:uid="{00000000-0005-0000-0000-0000D1050000}"/>
    <cellStyle name="_IRT_2006_Sulgipe_Final_Simulação AES SUL 03_04_07_casulo 15" xfId="255" xr:uid="{00000000-0005-0000-0000-0000D2050000}"/>
    <cellStyle name="_IRT_2006_Sulgipe_Final_Simulação AES SUL 03_04_07_IRT EEB 2010" xfId="3716" xr:uid="{00000000-0005-0000-0000-0000D3050000}"/>
    <cellStyle name="_IRT_2006_Sulgipe_Final_Simulação congelamento COELCE 2011 - Propostas 3ª Fase AP040 (20.12.2011)" xfId="3717" xr:uid="{00000000-0005-0000-0000-0000D4050000}"/>
    <cellStyle name="_IRT_2006_Sulgipe_Final_Sobrecontratação AES (2)" xfId="256" xr:uid="{00000000-0005-0000-0000-0000D5050000}"/>
    <cellStyle name="_IRT_2006_Sulgipe_Final_Sobrecontratação AES (2) 2" xfId="1278" xr:uid="{00000000-0005-0000-0000-0000D6050000}"/>
    <cellStyle name="_IRT_2006_Sulgipe_Final_Sobrecontratação AES (2) 3" xfId="3718" xr:uid="{00000000-0005-0000-0000-0000D7050000}"/>
    <cellStyle name="_IRT_2006_Sulgipe_Final_Sobrecontratação AES (2)_Balanço" xfId="257" xr:uid="{00000000-0005-0000-0000-0000D8050000}"/>
    <cellStyle name="_IRT_2006_Sulgipe_Final_Sobrecontratação AES (2)_casulo 15" xfId="258" xr:uid="{00000000-0005-0000-0000-0000D9050000}"/>
    <cellStyle name="_IRT_2006_Sulgipe_Final_Sobrecontratação AES (2)_IRT EEB 2010" xfId="3719" xr:uid="{00000000-0005-0000-0000-0000DA050000}"/>
    <cellStyle name="_IRT_2006_Sulgipe_Final_SOBRECONTRATAÇÃO E CVA" xfId="3720" xr:uid="{00000000-0005-0000-0000-0000DB050000}"/>
    <cellStyle name="_IRT_Bragantina_maio_2009" xfId="3721" xr:uid="{00000000-0005-0000-0000-0000DC050000}"/>
    <cellStyle name="_IRT_CAT_LEO" xfId="3722" xr:uid="{00000000-0005-0000-0000-0000DD050000}"/>
    <cellStyle name="_IRT_CAT_LEO_CVA Borborema 2010 - Fiscalizada Final" xfId="3723" xr:uid="{00000000-0005-0000-0000-0000DE050000}"/>
    <cellStyle name="_IRT_CEEE_OUT2009" xfId="3724" xr:uid="{00000000-0005-0000-0000-0000DF050000}"/>
    <cellStyle name="_IRT_CELG_setembro2007_pósIPCA" xfId="3725" xr:uid="{00000000-0005-0000-0000-0000E0050000}"/>
    <cellStyle name="_IRT_CELG_setembro2007_pósIPCA_Cálculo do Financeiro do Baixa Renda" xfId="3726" xr:uid="{00000000-0005-0000-0000-0000E1050000}"/>
    <cellStyle name="_IRT_CELG_setembro2007_pósIPCA_Cálculo do Financeiro do Baixa Renda_IRT-cálculo" xfId="3727" xr:uid="{00000000-0005-0000-0000-0000E2050000}"/>
    <cellStyle name="_IRT_CELG_setembro2007_pósIPCA_Cálculo do Financeiro do Baixa Renda_IRT-cálculo CAPA NEUTRALIDADE" xfId="3728" xr:uid="{00000000-0005-0000-0000-0000E3050000}"/>
    <cellStyle name="_IRT_CELG_setembro2007_pósIPCA_Custo com Avaliação de Ativos para Base de Remuneração" xfId="3729" xr:uid="{00000000-0005-0000-0000-0000E4050000}"/>
    <cellStyle name="_IRT_CELG_setembro2007_pósIPCA_Custo com Avaliação de Ativos para Base de Remuneração_IRT-cálculo" xfId="3730" xr:uid="{00000000-0005-0000-0000-0000E5050000}"/>
    <cellStyle name="_IRT_CELG_setembro2007_pósIPCA_Custo com Avaliação de Ativos para Base de Remuneração_IRT-cálculo CAPA NEUTRALIDADE" xfId="3731" xr:uid="{00000000-0005-0000-0000-0000E6050000}"/>
    <cellStyle name="_IRT_CELG_setembro2007_pósIPCA_IF - Autoprodutores 2" xfId="3732" xr:uid="{00000000-0005-0000-0000-0000E7050000}"/>
    <cellStyle name="_IRT_CELG_setembro2007_pósIPCA_IF_Consumidores livres e geradoras_2010" xfId="3733" xr:uid="{00000000-0005-0000-0000-0000E8050000}"/>
    <cellStyle name="_IRT_CELG_setembro2007_pósIPCA_Sheet1" xfId="3734" xr:uid="{00000000-0005-0000-0000-0000E9050000}"/>
    <cellStyle name="_IRT_CEMAR_2007_VDef" xfId="259" xr:uid="{00000000-0005-0000-0000-0000EA050000}"/>
    <cellStyle name="_IRT_CEMAR_2007_VDef_IF - Autoprodutores 2" xfId="3735" xr:uid="{00000000-0005-0000-0000-0000EB050000}"/>
    <cellStyle name="_IRT_CEMAR_2007_VDef_IF_Consumidores livres e geradoras_2010" xfId="3736" xr:uid="{00000000-0005-0000-0000-0000EC050000}"/>
    <cellStyle name="_IRT_CEMAR_2007_VDef_IRT-cálculo" xfId="3737" xr:uid="{00000000-0005-0000-0000-0000ED050000}"/>
    <cellStyle name="_IRT_CEMAR_2007_VDef_Sheet1" xfId="3738" xr:uid="{00000000-0005-0000-0000-0000EE050000}"/>
    <cellStyle name="_IRT_CEMAT_2009" xfId="3739" xr:uid="{00000000-0005-0000-0000-0000EF050000}"/>
    <cellStyle name="_IRT_CEMIG_abr 2009" xfId="1575" xr:uid="{00000000-0005-0000-0000-0000F0050000}"/>
    <cellStyle name="_IRT_COPEL-DIS_junho2007" xfId="260" xr:uid="{00000000-0005-0000-0000-0000F1050000}"/>
    <cellStyle name="_IRT_COPEL-DIS_junho2007_Cálculo do Financeiro do Baixa Renda" xfId="3740" xr:uid="{00000000-0005-0000-0000-0000F2050000}"/>
    <cellStyle name="_IRT_COPEL-DIS_junho2007_Cálculo do Financeiro do Baixa Renda_IRT-cálculo" xfId="3741" xr:uid="{00000000-0005-0000-0000-0000F3050000}"/>
    <cellStyle name="_IRT_COPEL-DIS_junho2007_Cálculo do Financeiro do Baixa Renda_IRT-cálculo CAPA NEUTRALIDADE" xfId="3742" xr:uid="{00000000-0005-0000-0000-0000F4050000}"/>
    <cellStyle name="_IRT_COPEL-DIS_junho2007_Contratos_Compra_Energia_Fev_09_Jan_10_recebido_06_01_09" xfId="3743" xr:uid="{00000000-0005-0000-0000-0000F5050000}"/>
    <cellStyle name="_IRT_COPEL-DIS_junho2007_CT_DIR_13_2008_Anexo_II_IRT_ESCELSA_Memoria_de_Calculo" xfId="3744" xr:uid="{00000000-0005-0000-0000-0000F6050000}"/>
    <cellStyle name="_IRT_COPEL-DIS_junho2007_Custo com Avaliação de Ativos para Base de Remuneração" xfId="3745" xr:uid="{00000000-0005-0000-0000-0000F7050000}"/>
    <cellStyle name="_IRT_COPEL-DIS_junho2007_Custo com Avaliação de Ativos para Base de Remuneração_IRT-cálculo" xfId="3746" xr:uid="{00000000-0005-0000-0000-0000F8050000}"/>
    <cellStyle name="_IRT_COPEL-DIS_junho2007_Custo com Avaliação de Ativos para Base de Remuneração_IRT-cálculo CAPA NEUTRALIDADE" xfId="3747" xr:uid="{00000000-0005-0000-0000-0000F9050000}"/>
    <cellStyle name="_IRT_COPEL-DIS_junho2007_Energia Comprada" xfId="3748" xr:uid="{00000000-0005-0000-0000-0000FA050000}"/>
    <cellStyle name="_IRT_COPEL-DIS_junho2007_Energia Comprada_IRT-cálculo" xfId="3749" xr:uid="{00000000-0005-0000-0000-0000FB050000}"/>
    <cellStyle name="_IRT_COPEL-DIS_junho2007_Energia Comprada_IRT-cálculo CAPA NEUTRALIDADE" xfId="3750" xr:uid="{00000000-0005-0000-0000-0000FC050000}"/>
    <cellStyle name="_IRT_COPEL-DIS_junho2007_Fator X" xfId="1576" xr:uid="{00000000-0005-0000-0000-0000FD050000}"/>
    <cellStyle name="_IRT_COPEL-DIS_junho2007_Fator X_IRT-cálculo" xfId="3751" xr:uid="{00000000-0005-0000-0000-0000FE050000}"/>
    <cellStyle name="_IRT_COPEL-DIS_junho2007_Fator X_IRT-cálculo CAPA NEUTRALIDADE" xfId="3752" xr:uid="{00000000-0005-0000-0000-0000FF050000}"/>
    <cellStyle name="_IRT_COPEL-DIS_junho2007_Fator X_SOBRECONTRATAÇÃO E CVA" xfId="3753" xr:uid="{00000000-0005-0000-0000-000000060000}"/>
    <cellStyle name="_IRT_COPEL-DIS_junho2007_IF - Autoprodutores 2" xfId="3754" xr:uid="{00000000-0005-0000-0000-000001060000}"/>
    <cellStyle name="_IRT_COPEL-DIS_junho2007_IF_Consumidores livres e geradoras_2010" xfId="3755" xr:uid="{00000000-0005-0000-0000-000002060000}"/>
    <cellStyle name="_IRT_COPEL-DIS_junho2007_IRT (2)" xfId="1577" xr:uid="{00000000-0005-0000-0000-000003060000}"/>
    <cellStyle name="_IRT_COPEL-DIS_junho2007_IRT (2) 2" xfId="3756" xr:uid="{00000000-0005-0000-0000-000004060000}"/>
    <cellStyle name="_IRT_COPEL-DIS_junho2007_IRT_1" xfId="1578" xr:uid="{00000000-0005-0000-0000-000005060000}"/>
    <cellStyle name="_IRT_COPEL-DIS_junho2007_IRT_1_IRT-cálculo" xfId="3757" xr:uid="{00000000-0005-0000-0000-000006060000}"/>
    <cellStyle name="_IRT_COPEL-DIS_junho2007_IRT_1_IRT-cálculo CAPA NEUTRALIDADE" xfId="3758" xr:uid="{00000000-0005-0000-0000-000007060000}"/>
    <cellStyle name="_IRT_COPEL-DIS_junho2007_IRT_1_SOBRECONTRATAÇÃO E CVA" xfId="3759" xr:uid="{00000000-0005-0000-0000-000008060000}"/>
    <cellStyle name="_IRT_COPEL-DIS_junho2007_IRT_ESCELSA_2009_Contratos_Compra_Energia_Ago_08_Jul_10_PerfilCarga_25_06_2009" xfId="3760" xr:uid="{00000000-0005-0000-0000-000009060000}"/>
    <cellStyle name="_IRT_COPEL-DIS_junho2007_IRT_Revisão A-1" xfId="3761" xr:uid="{00000000-0005-0000-0000-00000A060000}"/>
    <cellStyle name="_IRT_COPEL-DIS_junho2007_IRT-cálculo" xfId="3762" xr:uid="{00000000-0005-0000-0000-00000B060000}"/>
    <cellStyle name="_IRT_COPEL-DIS_junho2007_IRT-cálculo CAPA NEUTRALIDADE" xfId="3763" xr:uid="{00000000-0005-0000-0000-00000C060000}"/>
    <cellStyle name="_IRT_COPEL-DIS_junho2007_Pasta1" xfId="1579" xr:uid="{00000000-0005-0000-0000-00000D060000}"/>
    <cellStyle name="_IRT_COPEL-DIS_junho2007_Pasta1_IRT-cálculo" xfId="3764" xr:uid="{00000000-0005-0000-0000-00000E060000}"/>
    <cellStyle name="_IRT_COPEL-DIS_junho2007_Pasta1_IRT-cálculo CAPA NEUTRALIDADE" xfId="3765" xr:uid="{00000000-0005-0000-0000-00000F060000}"/>
    <cellStyle name="_IRT_COPEL-DIS_junho2007_Pasta1_SOBRECONTRATAÇÃO E CVA" xfId="3766" xr:uid="{00000000-0005-0000-0000-000010060000}"/>
    <cellStyle name="_IRT_COPEL-DIS_junho2007_Sheet1" xfId="3767" xr:uid="{00000000-0005-0000-0000-000011060000}"/>
    <cellStyle name="_IRT_COPEL-DIS_junho2007_Sheet2" xfId="3768" xr:uid="{00000000-0005-0000-0000-000012060000}"/>
    <cellStyle name="_IRT_COPEL-DIS_junho2007_SOBRECONTRATAÇÃO E CVA" xfId="3769" xr:uid="{00000000-0005-0000-0000-000013060000}"/>
    <cellStyle name="_IRT_CPFL_LESTE_PAULISTA(CPEE)_fev2009-COM_PREVISÃO_BR_da_Diretoria_pos_IGPM" xfId="261" xr:uid="{00000000-0005-0000-0000-000014060000}"/>
    <cellStyle name="_IRT_ENERGISA_SE_abr2009" xfId="3770" xr:uid="{00000000-0005-0000-0000-000015060000}"/>
    <cellStyle name="_IRT_ENF" xfId="3771" xr:uid="{00000000-0005-0000-0000-000016060000}"/>
    <cellStyle name="_IRT_Escelsa" xfId="3772" xr:uid="{00000000-0005-0000-0000-000017060000}"/>
    <cellStyle name="_IRT_IRT-cálculo" xfId="3773" xr:uid="{00000000-0005-0000-0000-000018060000}"/>
    <cellStyle name="_IRT_IRT-cálculo CAPA NEUTRALIDADE" xfId="3774" xr:uid="{00000000-0005-0000-0000-000019060000}"/>
    <cellStyle name="_IRT_LIGHT_nov2007" xfId="3775" xr:uid="{00000000-0005-0000-0000-00001A060000}"/>
    <cellStyle name="_IRT_LIGHT_nov2007_Cálculo do Financeiro do Baixa Renda" xfId="3776" xr:uid="{00000000-0005-0000-0000-00001B060000}"/>
    <cellStyle name="_IRT_LIGHT_nov2007_Cálculo do Financeiro do Baixa Renda_IRT-cálculo" xfId="3777" xr:uid="{00000000-0005-0000-0000-00001C060000}"/>
    <cellStyle name="_IRT_LIGHT_nov2007_Cálculo do Financeiro do Baixa Renda_IRT-cálculo CAPA NEUTRALIDADE" xfId="3778" xr:uid="{00000000-0005-0000-0000-00001D060000}"/>
    <cellStyle name="_IRT_LIGHT_nov2007_Custo com Avaliação de Ativos para Base de Remuneração" xfId="3779" xr:uid="{00000000-0005-0000-0000-00001E060000}"/>
    <cellStyle name="_IRT_LIGHT_nov2007_Custo com Avaliação de Ativos para Base de Remuneração_IRT-cálculo" xfId="3780" xr:uid="{00000000-0005-0000-0000-00001F060000}"/>
    <cellStyle name="_IRT_LIGHT_nov2007_Custo com Avaliação de Ativos para Base de Remuneração_IRT-cálculo CAPA NEUTRALIDADE" xfId="3781" xr:uid="{00000000-0005-0000-0000-000020060000}"/>
    <cellStyle name="_IRT_Planilha Básica_30jun2009" xfId="3782" xr:uid="{00000000-0005-0000-0000-000021060000}"/>
    <cellStyle name="_IRT_Planilha Básica_fev2010a" xfId="262" xr:uid="{00000000-0005-0000-0000-000022060000}"/>
    <cellStyle name="_IRT_Planilha Básica_fev2010a 2" xfId="1279" xr:uid="{00000000-0005-0000-0000-000023060000}"/>
    <cellStyle name="_IRT_Planilha Básica_fev2010a_Balanço" xfId="263" xr:uid="{00000000-0005-0000-0000-000024060000}"/>
    <cellStyle name="_IRT_Planilha Básica_fev2010a_casulo 15" xfId="264" xr:uid="{00000000-0005-0000-0000-000025060000}"/>
    <cellStyle name="_IRT_Planilha Básica_fev2010a_IRT EEB 2010" xfId="3783" xr:uid="{00000000-0005-0000-0000-000026060000}"/>
    <cellStyle name="_IRT_Planilha Básica_jun2009" xfId="3784" xr:uid="{00000000-0005-0000-0000-000027060000}"/>
    <cellStyle name="_IRT_Planilha Básica_mar2010b" xfId="3785" xr:uid="{00000000-0005-0000-0000-000028060000}"/>
    <cellStyle name="_IRT_Planilha Básica_março2009" xfId="265" xr:uid="{00000000-0005-0000-0000-000029060000}"/>
    <cellStyle name="_IRT_Planilha Básica_março2009_COELCE  ICMS Não Compensado RTO 2012 281211" xfId="3786" xr:uid="{00000000-0005-0000-0000-00002A060000}"/>
    <cellStyle name="_IRT_Planilha Básica_março2009_COELCE - RTO 2011 - PLPT_PLANILHA_CÁLCULO_DÉFICIT" xfId="3787" xr:uid="{00000000-0005-0000-0000-00002B060000}"/>
    <cellStyle name="_IRT_Planilha Básica_março2009_IRT Piratininga 2009" xfId="266" xr:uid="{00000000-0005-0000-0000-00002C060000}"/>
    <cellStyle name="_IRT_Planilha Básica_março2009_IRT Piratininga 2009 2" xfId="1280" xr:uid="{00000000-0005-0000-0000-00002D060000}"/>
    <cellStyle name="_IRT_Planilha Básica_março2009_IRT_Planilha Básica_ CETRIL" xfId="267" xr:uid="{00000000-0005-0000-0000-00002E060000}"/>
    <cellStyle name="_IRT_Planilha Básica_março2009_IRT_Planilha Básica_ CETRIL 2" xfId="1281" xr:uid="{00000000-0005-0000-0000-00002F060000}"/>
    <cellStyle name="_IRT_Planilha Básica_março2009_Simulação congelamento COELCE 2011 - Propostas 3ª Fase AP040 (20.12.2011)" xfId="3788" xr:uid="{00000000-0005-0000-0000-000030060000}"/>
    <cellStyle name="_IRT_Planilha Básica_NOVA METODOLOGIA" xfId="3789" xr:uid="{00000000-0005-0000-0000-000031060000}"/>
    <cellStyle name="_IRT_Planilha Básica_set2009" xfId="3790" xr:uid="{00000000-0005-0000-0000-000032060000}"/>
    <cellStyle name="_IRT_Pleito" xfId="3791" xr:uid="{00000000-0005-0000-0000-000033060000}"/>
    <cellStyle name="_IRT_Pleito_IRT-cálculo" xfId="3792" xr:uid="{00000000-0005-0000-0000-000034060000}"/>
    <cellStyle name="_IRT_Pleito_IRT-cálculo CAPA NEUTRALIDADE" xfId="3793" xr:uid="{00000000-0005-0000-0000-000035060000}"/>
    <cellStyle name="_IRT_Revisão A-1" xfId="3794" xr:uid="{00000000-0005-0000-0000-000036060000}"/>
    <cellStyle name="_IRT_Revisão A-2" xfId="3795" xr:uid="{00000000-0005-0000-0000-000037060000}"/>
    <cellStyle name="_IRT_Santa 2010" xfId="3796" xr:uid="{00000000-0005-0000-0000-000038060000}"/>
    <cellStyle name="_IRT_SantaCruzpós IGPM" xfId="3797" xr:uid="{00000000-0005-0000-0000-000039060000}"/>
    <cellStyle name="_IRT2006_CEB_Final" xfId="268" xr:uid="{00000000-0005-0000-0000-00003A060000}"/>
    <cellStyle name="_IRT2006_CEB_Final 2" xfId="1282" xr:uid="{00000000-0005-0000-0000-00003B060000}"/>
    <cellStyle name="_IRT2006_CEB_Final 3" xfId="3798" xr:uid="{00000000-0005-0000-0000-00003C060000}"/>
    <cellStyle name="_IRT2006_CEB_Final_Balanço" xfId="269" xr:uid="{00000000-0005-0000-0000-00003D060000}"/>
    <cellStyle name="_IRT2006_CEB_Final_casulo 15" xfId="270" xr:uid="{00000000-0005-0000-0000-00003E060000}"/>
    <cellStyle name="_IRT2006_CEB_Final_Exposição_Agosto 2" xfId="3799" xr:uid="{00000000-0005-0000-0000-00003F060000}"/>
    <cellStyle name="_IRT2006_CEB_Final_IRT EEB 2010" xfId="3800" xr:uid="{00000000-0005-0000-0000-000040060000}"/>
    <cellStyle name="_IRT2006_CEB_Final_IRT_Revisão A-2" xfId="3801" xr:uid="{00000000-0005-0000-0000-000041060000}"/>
    <cellStyle name="_IRT2006_CEB_Final_Simulação AES SUL 03_04_07" xfId="271" xr:uid="{00000000-0005-0000-0000-000042060000}"/>
    <cellStyle name="_IRT2006_CEB_Final_Simulação AES SUL 03_04_07 2" xfId="1283" xr:uid="{00000000-0005-0000-0000-000043060000}"/>
    <cellStyle name="_IRT2006_CEB_Final_Simulação AES SUL 03_04_07 3" xfId="3802" xr:uid="{00000000-0005-0000-0000-000044060000}"/>
    <cellStyle name="_IRT2006_CEB_Final_Simulação AES SUL 03_04_07_Balanço" xfId="272" xr:uid="{00000000-0005-0000-0000-000045060000}"/>
    <cellStyle name="_IRT2006_CEB_Final_Simulação AES SUL 03_04_07_casulo 15" xfId="273" xr:uid="{00000000-0005-0000-0000-000046060000}"/>
    <cellStyle name="_IRT2006_CEB_Final_Simulação AES SUL 03_04_07_IRT EEB 2010" xfId="3803" xr:uid="{00000000-0005-0000-0000-000047060000}"/>
    <cellStyle name="_IRT2006_CEB_Final_Sobrecontratação AES (2)" xfId="274" xr:uid="{00000000-0005-0000-0000-000048060000}"/>
    <cellStyle name="_IRT2006_CEB_Final_Sobrecontratação AES (2) 2" xfId="1284" xr:uid="{00000000-0005-0000-0000-000049060000}"/>
    <cellStyle name="_IRT2006_CEB_Final_Sobrecontratação AES (2) 3" xfId="3804" xr:uid="{00000000-0005-0000-0000-00004A060000}"/>
    <cellStyle name="_IRT2006_CEB_Final_Sobrecontratação AES (2)_Balanço" xfId="275" xr:uid="{00000000-0005-0000-0000-00004B060000}"/>
    <cellStyle name="_IRT2006_CEB_Final_Sobrecontratação AES (2)_casulo 15" xfId="276" xr:uid="{00000000-0005-0000-0000-00004C060000}"/>
    <cellStyle name="_IRT2006_CEB_Final_Sobrecontratação AES (2)_IRT EEB 2010" xfId="3805" xr:uid="{00000000-0005-0000-0000-00004D060000}"/>
    <cellStyle name="_IRT-2010_COPEL_PLPT_CALCULO_DEFICIT_RES_294_V4" xfId="1580" xr:uid="{00000000-0005-0000-0000-00004E060000}"/>
    <cellStyle name="_IRT-2010_COPEL_SOBRECONTRATAÇÃOeCVAenergia" xfId="1581" xr:uid="{00000000-0005-0000-0000-00004F060000}"/>
    <cellStyle name="_IRT-cálculo" xfId="3806" xr:uid="{00000000-0005-0000-0000-000050060000}"/>
    <cellStyle name="_Modelo  Repasse sobrecontratação" xfId="1582" xr:uid="{00000000-0005-0000-0000-000051060000}"/>
    <cellStyle name="_Modelo  Repasse sobrecontratação 2" xfId="3807" xr:uid="{00000000-0005-0000-0000-000052060000}"/>
    <cellStyle name="_MODELO PLANILHAS IRT-versão 2" xfId="277" xr:uid="{00000000-0005-0000-0000-000053060000}"/>
    <cellStyle name="_MODELO PLANILHAS IRT-versão 2_Calculo_Subsidio_ELFSM_26_06_08_Modelo_ANEEL" xfId="3808" xr:uid="{00000000-0005-0000-0000-000054060000}"/>
    <cellStyle name="_MODELO PLANILHAS IRT-versão 2_Calculo_Subsidio_ELFSM_26_06_08_Modelo_ANEEL_IRT-cálculo" xfId="3809" xr:uid="{00000000-0005-0000-0000-000055060000}"/>
    <cellStyle name="_MODELO PLANILHAS IRT-versão 2_Calculo_Subsidio_ELFSM_26_06_08_Modelo_ANEEL_IRT-cálculo CAPA NEUTRALIDADE" xfId="3810" xr:uid="{00000000-0005-0000-0000-000056060000}"/>
    <cellStyle name="_MODELO PLANILHAS IRT-versão 2_CVA_Projetada até dez-2008_Setembro" xfId="3811" xr:uid="{00000000-0005-0000-0000-000057060000}"/>
    <cellStyle name="_MODELO PLANILHAS IRT-versão 2_CVA_Projetada até dez-2008_Setembro_CVA Outros Componentes PROVISÃO" xfId="3812" xr:uid="{00000000-0005-0000-0000-000058060000}"/>
    <cellStyle name="_MODELO PLANILHAS IRT-versão 2_CVA_Projetada até dez-2008_Setembro_PROVISÃO" xfId="3813" xr:uid="{00000000-0005-0000-0000-000059060000}"/>
    <cellStyle name="_MODELO PLANILHAS IRT-versão 2_Energia Comprada" xfId="3814" xr:uid="{00000000-0005-0000-0000-00005A060000}"/>
    <cellStyle name="_MODELO PLANILHAS IRT-versão 2_Energia Comprada_IRT-cálculo" xfId="3815" xr:uid="{00000000-0005-0000-0000-00005B060000}"/>
    <cellStyle name="_MODELO PLANILHAS IRT-versão 2_Energia Comprada_IRT-cálculo CAPA NEUTRALIDADE" xfId="3816" xr:uid="{00000000-0005-0000-0000-00005C060000}"/>
    <cellStyle name="_MODELO PLANILHAS IRT-versão 2_Fator X" xfId="1583" xr:uid="{00000000-0005-0000-0000-00005D060000}"/>
    <cellStyle name="_MODELO PLANILHAS IRT-versão 2_Fator X_IRT-cálculo" xfId="3817" xr:uid="{00000000-0005-0000-0000-00005E060000}"/>
    <cellStyle name="_MODELO PLANILHAS IRT-versão 2_Fator X_IRT-cálculo CAPA NEUTRALIDADE" xfId="3818" xr:uid="{00000000-0005-0000-0000-00005F060000}"/>
    <cellStyle name="_MODELO PLANILHAS IRT-versão 2_Fator X_SOBRECONTRATAÇÃO E CVA" xfId="3819" xr:uid="{00000000-0005-0000-0000-000060060000}"/>
    <cellStyle name="_MODELO PLANILHAS IRT-versão 2_IF - Autoprodutores 2" xfId="3820" xr:uid="{00000000-0005-0000-0000-000061060000}"/>
    <cellStyle name="_MODELO PLANILHAS IRT-versão 2_IF_Consumidores livres e geradoras_2010" xfId="3821" xr:uid="{00000000-0005-0000-0000-000062060000}"/>
    <cellStyle name="_MODELO PLANILHAS IRT-versão 2_IRT (2)" xfId="1584" xr:uid="{00000000-0005-0000-0000-000063060000}"/>
    <cellStyle name="_MODELO PLANILHAS IRT-versão 2_IRT (2) 2" xfId="3822" xr:uid="{00000000-0005-0000-0000-000064060000}"/>
    <cellStyle name="_MODELO PLANILHAS IRT-versão 2_IRT_1" xfId="1585" xr:uid="{00000000-0005-0000-0000-000065060000}"/>
    <cellStyle name="_MODELO PLANILHAS IRT-versão 2_IRT_1_IRT-cálculo" xfId="3823" xr:uid="{00000000-0005-0000-0000-000066060000}"/>
    <cellStyle name="_MODELO PLANILHAS IRT-versão 2_IRT_1_IRT-cálculo CAPA NEUTRALIDADE" xfId="3824" xr:uid="{00000000-0005-0000-0000-000067060000}"/>
    <cellStyle name="_MODELO PLANILHAS IRT-versão 2_IRT_1_SOBRECONTRATAÇÃO E CVA" xfId="3825" xr:uid="{00000000-0005-0000-0000-000068060000}"/>
    <cellStyle name="_MODELO PLANILHAS IRT-versão 2_IRT_Planilha Básica_ CETRIL" xfId="278" xr:uid="{00000000-0005-0000-0000-000069060000}"/>
    <cellStyle name="_MODELO PLANILHAS IRT-versão 2_IRT_Planilha Básica_ CETRIL 2" xfId="1285" xr:uid="{00000000-0005-0000-0000-00006A060000}"/>
    <cellStyle name="_MODELO PLANILHAS IRT-versão 2_IRT_Pleito" xfId="3826" xr:uid="{00000000-0005-0000-0000-00006B060000}"/>
    <cellStyle name="_MODELO PLANILHAS IRT-versão 2_IRT_Pleito_IRT-cálculo" xfId="3827" xr:uid="{00000000-0005-0000-0000-00006C060000}"/>
    <cellStyle name="_MODELO PLANILHAS IRT-versão 2_IRT_Pleito_IRT-cálculo CAPA NEUTRALIDADE" xfId="3828" xr:uid="{00000000-0005-0000-0000-00006D060000}"/>
    <cellStyle name="_MODELO PLANILHAS IRT-versão 2_IRT_Revisão A-1" xfId="3829" xr:uid="{00000000-0005-0000-0000-00006E060000}"/>
    <cellStyle name="_MODELO PLANILHAS IRT-versão 2_IRT-cálculo" xfId="3830" xr:uid="{00000000-0005-0000-0000-00006F060000}"/>
    <cellStyle name="_MODELO PLANILHAS IRT-versão 2_IRT-cálculo CAPA NEUTRALIDADE" xfId="3831" xr:uid="{00000000-0005-0000-0000-000070060000}"/>
    <cellStyle name="_MODELO PLANILHAS IRT-versão 2_Pasta1" xfId="1586" xr:uid="{00000000-0005-0000-0000-000071060000}"/>
    <cellStyle name="_MODELO PLANILHAS IRT-versão 2_Pasta1_IRT-cálculo" xfId="3832" xr:uid="{00000000-0005-0000-0000-000072060000}"/>
    <cellStyle name="_MODELO PLANILHAS IRT-versão 2_Pasta1_IRT-cálculo CAPA NEUTRALIDADE" xfId="3833" xr:uid="{00000000-0005-0000-0000-000073060000}"/>
    <cellStyle name="_MODELO PLANILHAS IRT-versão 2_Pasta1_SOBRECONTRATAÇÃO E CVA" xfId="3834" xr:uid="{00000000-0005-0000-0000-000074060000}"/>
    <cellStyle name="_MODELO PLANILHAS IRT-versão 2_Sheet1" xfId="3835" xr:uid="{00000000-0005-0000-0000-000075060000}"/>
    <cellStyle name="_MODELO PLANILHAS IRT-versão 2_SOBRECONTRATAÇÃO E CVA" xfId="3836" xr:uid="{00000000-0005-0000-0000-000076060000}"/>
    <cellStyle name="_MODELO PLANILHAS IRT-versão 2_SOBRECONTRATAÇÃO E CVA A-1" xfId="3837" xr:uid="{00000000-0005-0000-0000-000077060000}"/>
    <cellStyle name="_MODELO PLANILHAS IRT-versão 2_SOBRECONTRATAÇÃO E CVA A-1_IRT-cálculo" xfId="3838" xr:uid="{00000000-0005-0000-0000-000078060000}"/>
    <cellStyle name="_MODELO PLANILHAS IRT-versão 2_SOBRECONTRATAÇÃO E CVA A-1_IRT-cálculo CAPA NEUTRALIDADE" xfId="3839" xr:uid="{00000000-0005-0000-0000-000079060000}"/>
    <cellStyle name="_MODELO SALDO CVA" xfId="279" xr:uid="{00000000-0005-0000-0000-00007A060000}"/>
    <cellStyle name="_MODELO SALDO CVA 2" xfId="1286" xr:uid="{00000000-0005-0000-0000-00007B060000}"/>
    <cellStyle name="_MODELO SALDO CVA 3" xfId="3840" xr:uid="{00000000-0005-0000-0000-00007C060000}"/>
    <cellStyle name="_MODELO SALDO CVA_Balanço" xfId="280" xr:uid="{00000000-0005-0000-0000-00007D060000}"/>
    <cellStyle name="_MODELO SALDO CVA_casulo 15" xfId="281" xr:uid="{00000000-0005-0000-0000-00007E060000}"/>
    <cellStyle name="_MODELO SALDO CVA_Exposição_Agosto 2" xfId="3841" xr:uid="{00000000-0005-0000-0000-00007F060000}"/>
    <cellStyle name="_MODELO SALDO CVA_IRT EEB 2010" xfId="3842" xr:uid="{00000000-0005-0000-0000-000080060000}"/>
    <cellStyle name="_MODELO SALDO CVA_IRT_Revisão A-2" xfId="3843" xr:uid="{00000000-0005-0000-0000-000081060000}"/>
    <cellStyle name="_MODELO SALDO CVA_Simulação AES SUL 03_04_07" xfId="282" xr:uid="{00000000-0005-0000-0000-000082060000}"/>
    <cellStyle name="_MODELO SALDO CVA_Simulação AES SUL 03_04_07 2" xfId="1287" xr:uid="{00000000-0005-0000-0000-000083060000}"/>
    <cellStyle name="_MODELO SALDO CVA_Simulação AES SUL 03_04_07 3" xfId="3844" xr:uid="{00000000-0005-0000-0000-000084060000}"/>
    <cellStyle name="_MODELO SALDO CVA_Simulação AES SUL 03_04_07_Balanço" xfId="283" xr:uid="{00000000-0005-0000-0000-000085060000}"/>
    <cellStyle name="_MODELO SALDO CVA_Simulação AES SUL 03_04_07_casulo 15" xfId="284" xr:uid="{00000000-0005-0000-0000-000086060000}"/>
    <cellStyle name="_MODELO SALDO CVA_Simulação AES SUL 03_04_07_IRT EEB 2010" xfId="3845" xr:uid="{00000000-0005-0000-0000-000087060000}"/>
    <cellStyle name="_MODELO SALDO CVA_Sobrecontratação AES (2)" xfId="285" xr:uid="{00000000-0005-0000-0000-000088060000}"/>
    <cellStyle name="_MODELO SALDO CVA_Sobrecontratação AES (2) 2" xfId="1288" xr:uid="{00000000-0005-0000-0000-000089060000}"/>
    <cellStyle name="_MODELO SALDO CVA_Sobrecontratação AES (2) 3" xfId="3846" xr:uid="{00000000-0005-0000-0000-00008A060000}"/>
    <cellStyle name="_MODELO SALDO CVA_Sobrecontratação AES (2)_Balanço" xfId="286" xr:uid="{00000000-0005-0000-0000-00008B060000}"/>
    <cellStyle name="_MODELO SALDO CVA_Sobrecontratação AES (2)_casulo 15" xfId="287" xr:uid="{00000000-0005-0000-0000-00008C060000}"/>
    <cellStyle name="_MODELO SALDO CVA_Sobrecontratação AES (2)_IRT EEB 2010" xfId="3847" xr:uid="{00000000-0005-0000-0000-00008D060000}"/>
    <cellStyle name="_modelo_Sobrecontratacao" xfId="3848" xr:uid="{00000000-0005-0000-0000-00008E060000}"/>
    <cellStyle name="_Oficio037-Planilha07 v18-04-07c" xfId="3849" xr:uid="{00000000-0005-0000-0000-00008F060000}"/>
    <cellStyle name="_Oficio037-Planilha07 v18-04-07c_2009.04.09 EEB IRT2009 Conexao CEMIG C Financeiro" xfId="3850" xr:uid="{00000000-0005-0000-0000-000090060000}"/>
    <cellStyle name="_Oficio037-Planilha07 v18-04-07c_Base Mercado_EMG" xfId="3851" xr:uid="{00000000-0005-0000-0000-000091060000}"/>
    <cellStyle name="_Oficio037-Planilha07 v18-04-07c_IF - Autoprodutores 2" xfId="3852" xr:uid="{00000000-0005-0000-0000-000092060000}"/>
    <cellStyle name="_Oficio037-Planilha07 v18-04-07c_IF_Consumidores livres e geradoras_2010" xfId="3853" xr:uid="{00000000-0005-0000-0000-000093060000}"/>
    <cellStyle name="_Oficio037-Planilha07 v18-04-07c_Pleito_IRT_ESE_2010_Envio_ANEEL_Final_atualizado_05_04" xfId="3854" xr:uid="{00000000-0005-0000-0000-000094060000}"/>
    <cellStyle name="_Oficio037-Planilha07 v18-04-07c_Sheet1" xfId="3855" xr:uid="{00000000-0005-0000-0000-000095060000}"/>
    <cellStyle name="_passivo PIS_COFINS" xfId="3856" xr:uid="{00000000-0005-0000-0000-000096060000}"/>
    <cellStyle name="_passivo PIS_COFINS_IF - Autoprodutores 2" xfId="3857" xr:uid="{00000000-0005-0000-0000-000097060000}"/>
    <cellStyle name="_passivo PIS_COFINS_IF_Consumidores livres e geradoras_2010" xfId="3858" xr:uid="{00000000-0005-0000-0000-000098060000}"/>
    <cellStyle name="_passivo PIS_COFINS_IRT-cálculo" xfId="3859" xr:uid="{00000000-0005-0000-0000-000099060000}"/>
    <cellStyle name="_passivo PIS_COFINS_Sheet1" xfId="3860" xr:uid="{00000000-0005-0000-0000-00009A060000}"/>
    <cellStyle name="_Pasta1" xfId="288" xr:uid="{00000000-0005-0000-0000-00009B060000}"/>
    <cellStyle name="_Pasta1 2" xfId="1289" xr:uid="{00000000-0005-0000-0000-00009C060000}"/>
    <cellStyle name="_Pasta1 2 2" xfId="3861" xr:uid="{00000000-0005-0000-0000-00009D060000}"/>
    <cellStyle name="_Pasta1 3" xfId="3862" xr:uid="{00000000-0005-0000-0000-00009E060000}"/>
    <cellStyle name="_Pasta1_Balanço" xfId="289" xr:uid="{00000000-0005-0000-0000-00009F060000}"/>
    <cellStyle name="_Pasta1_casulo 15" xfId="290" xr:uid="{00000000-0005-0000-0000-0000A0060000}"/>
    <cellStyle name="_Pasta1_CVA Borborema 2010 - Fiscalizada Final" xfId="3863" xr:uid="{00000000-0005-0000-0000-0000A1060000}"/>
    <cellStyle name="_Pasta1_Energia Comprada" xfId="3864" xr:uid="{00000000-0005-0000-0000-0000A2060000}"/>
    <cellStyle name="_Pasta1_Energia Comprada_IRT-cálculo" xfId="3865" xr:uid="{00000000-0005-0000-0000-0000A3060000}"/>
    <cellStyle name="_Pasta1_Energia Comprada_IRT-cálculo CAPA NEUTRALIDADE" xfId="3866" xr:uid="{00000000-0005-0000-0000-0000A4060000}"/>
    <cellStyle name="_Pasta1_Fator X" xfId="1587" xr:uid="{00000000-0005-0000-0000-0000A5060000}"/>
    <cellStyle name="_Pasta1_Fator X 2" xfId="3867" xr:uid="{00000000-0005-0000-0000-0000A6060000}"/>
    <cellStyle name="_Pasta1_Fator X_IRT-cálculo" xfId="3868" xr:uid="{00000000-0005-0000-0000-0000A7060000}"/>
    <cellStyle name="_Pasta1_Fator X_IRT-cálculo CAPA NEUTRALIDADE" xfId="3869" xr:uid="{00000000-0005-0000-0000-0000A8060000}"/>
    <cellStyle name="_Pasta1_Fator X_SOBRECONTRATAÇÃO E CVA" xfId="3870" xr:uid="{00000000-0005-0000-0000-0000A9060000}"/>
    <cellStyle name="_Pasta1_IRT (2)" xfId="1588" xr:uid="{00000000-0005-0000-0000-0000AA060000}"/>
    <cellStyle name="_Pasta1_IRT EEB 2010" xfId="3871" xr:uid="{00000000-0005-0000-0000-0000AB060000}"/>
    <cellStyle name="_Pasta1_IRT_1" xfId="1589" xr:uid="{00000000-0005-0000-0000-0000AC060000}"/>
    <cellStyle name="_Pasta1_IRT_1 2" xfId="3872" xr:uid="{00000000-0005-0000-0000-0000AD060000}"/>
    <cellStyle name="_Pasta1_IRT_1_IRT-cálculo" xfId="3873" xr:uid="{00000000-0005-0000-0000-0000AE060000}"/>
    <cellStyle name="_Pasta1_IRT_1_IRT-cálculo CAPA NEUTRALIDADE" xfId="3874" xr:uid="{00000000-0005-0000-0000-0000AF060000}"/>
    <cellStyle name="_Pasta1_IRT_1_SOBRECONTRATAÇÃO E CVA" xfId="3875" xr:uid="{00000000-0005-0000-0000-0000B0060000}"/>
    <cellStyle name="_Pasta1_IRT_Planilha Básica_DIRETORIA" xfId="3876" xr:uid="{00000000-0005-0000-0000-0000B1060000}"/>
    <cellStyle name="_Pasta1_IRT_Revisão A-1" xfId="3877" xr:uid="{00000000-0005-0000-0000-0000B2060000}"/>
    <cellStyle name="_Pasta1_IRT-cálculo" xfId="3878" xr:uid="{00000000-0005-0000-0000-0000B3060000}"/>
    <cellStyle name="_Pasta1_IRT-cálculo CAPA NEUTRALIDADE" xfId="3879" xr:uid="{00000000-0005-0000-0000-0000B4060000}"/>
    <cellStyle name="_Pasta1_NOVA PLANILHA REVISÃO 1" xfId="3880" xr:uid="{00000000-0005-0000-0000-0000B5060000}"/>
    <cellStyle name="_Pasta1_Pasta1" xfId="1590" xr:uid="{00000000-0005-0000-0000-0000B6060000}"/>
    <cellStyle name="_Pasta1_Pasta1 2" xfId="3881" xr:uid="{00000000-0005-0000-0000-0000B7060000}"/>
    <cellStyle name="_Pasta1_Pasta1_IRT-cálculo" xfId="3882" xr:uid="{00000000-0005-0000-0000-0000B8060000}"/>
    <cellStyle name="_Pasta1_Pasta1_IRT-cálculo CAPA NEUTRALIDADE" xfId="3883" xr:uid="{00000000-0005-0000-0000-0000B9060000}"/>
    <cellStyle name="_Pasta1_Pasta1_SOBRECONTRATAÇÃO E CVA" xfId="3884" xr:uid="{00000000-0005-0000-0000-0000BA060000}"/>
    <cellStyle name="_Pasta1_SOBRECONTRATAÇÃO E CVA" xfId="3885" xr:uid="{00000000-0005-0000-0000-0000BB060000}"/>
    <cellStyle name="_Pasta11" xfId="1591" xr:uid="{00000000-0005-0000-0000-0000BC060000}"/>
    <cellStyle name="_Pasta11 2" xfId="3886" xr:uid="{00000000-0005-0000-0000-0000BD060000}"/>
    <cellStyle name="_Pasta11_Energia Comprada" xfId="3887" xr:uid="{00000000-0005-0000-0000-0000BE060000}"/>
    <cellStyle name="_Pasta11_Energia Comprada_IRT-cálculo" xfId="3888" xr:uid="{00000000-0005-0000-0000-0000BF060000}"/>
    <cellStyle name="_Pasta11_Energia Comprada_IRT-cálculo CAPA NEUTRALIDADE" xfId="3889" xr:uid="{00000000-0005-0000-0000-0000C0060000}"/>
    <cellStyle name="_Pasta11_Fator X" xfId="1592" xr:uid="{00000000-0005-0000-0000-0000C1060000}"/>
    <cellStyle name="_Pasta11_Fator X 2" xfId="3890" xr:uid="{00000000-0005-0000-0000-0000C2060000}"/>
    <cellStyle name="_Pasta11_Fator X_IRT-cálculo" xfId="3891" xr:uid="{00000000-0005-0000-0000-0000C3060000}"/>
    <cellStyle name="_Pasta11_Fator X_IRT-cálculo CAPA NEUTRALIDADE" xfId="3892" xr:uid="{00000000-0005-0000-0000-0000C4060000}"/>
    <cellStyle name="_Pasta11_Fator X_SOBRECONTRATAÇÃO E CVA" xfId="3893" xr:uid="{00000000-0005-0000-0000-0000C5060000}"/>
    <cellStyle name="_Pasta11_IRT (2)" xfId="1593" xr:uid="{00000000-0005-0000-0000-0000C6060000}"/>
    <cellStyle name="_Pasta11_IRT_1" xfId="1594" xr:uid="{00000000-0005-0000-0000-0000C7060000}"/>
    <cellStyle name="_Pasta11_IRT_1 2" xfId="3894" xr:uid="{00000000-0005-0000-0000-0000C8060000}"/>
    <cellStyle name="_Pasta11_IRT_1_IRT-cálculo" xfId="3895" xr:uid="{00000000-0005-0000-0000-0000C9060000}"/>
    <cellStyle name="_Pasta11_IRT_1_IRT-cálculo CAPA NEUTRALIDADE" xfId="3896" xr:uid="{00000000-0005-0000-0000-0000CA060000}"/>
    <cellStyle name="_Pasta11_IRT_1_SOBRECONTRATAÇÃO E CVA" xfId="3897" xr:uid="{00000000-0005-0000-0000-0000CB060000}"/>
    <cellStyle name="_Pasta11_IRT-cálculo" xfId="3898" xr:uid="{00000000-0005-0000-0000-0000CC060000}"/>
    <cellStyle name="_Pasta11_IRT-cálculo CAPA NEUTRALIDADE" xfId="3899" xr:uid="{00000000-0005-0000-0000-0000CD060000}"/>
    <cellStyle name="_Pasta11_Pasta1" xfId="1595" xr:uid="{00000000-0005-0000-0000-0000CE060000}"/>
    <cellStyle name="_Pasta11_Pasta1 2" xfId="3900" xr:uid="{00000000-0005-0000-0000-0000CF060000}"/>
    <cellStyle name="_Pasta11_Pasta1_IRT-cálculo" xfId="3901" xr:uid="{00000000-0005-0000-0000-0000D0060000}"/>
    <cellStyle name="_Pasta11_Pasta1_IRT-cálculo CAPA NEUTRALIDADE" xfId="3902" xr:uid="{00000000-0005-0000-0000-0000D1060000}"/>
    <cellStyle name="_Pasta11_Pasta1_SOBRECONTRATAÇÃO E CVA" xfId="3903" xr:uid="{00000000-0005-0000-0000-0000D2060000}"/>
    <cellStyle name="_Pasta11_SOBRECONTRATAÇÃO E CVA" xfId="3904" xr:uid="{00000000-0005-0000-0000-0000D3060000}"/>
    <cellStyle name="_Pasta12" xfId="1596" xr:uid="{00000000-0005-0000-0000-0000D4060000}"/>
    <cellStyle name="_Pasta12 2" xfId="3905" xr:uid="{00000000-0005-0000-0000-0000D5060000}"/>
    <cellStyle name="_Pasta12_Energia Comprada" xfId="3906" xr:uid="{00000000-0005-0000-0000-0000D6060000}"/>
    <cellStyle name="_Pasta12_Energia Comprada_IRT-cálculo" xfId="3907" xr:uid="{00000000-0005-0000-0000-0000D7060000}"/>
    <cellStyle name="_Pasta12_Energia Comprada_IRT-cálculo CAPA NEUTRALIDADE" xfId="3908" xr:uid="{00000000-0005-0000-0000-0000D8060000}"/>
    <cellStyle name="_Pasta12_Fator X" xfId="1597" xr:uid="{00000000-0005-0000-0000-0000D9060000}"/>
    <cellStyle name="_Pasta12_Fator X 2" xfId="3909" xr:uid="{00000000-0005-0000-0000-0000DA060000}"/>
    <cellStyle name="_Pasta12_Fator X_IRT-cálculo" xfId="3910" xr:uid="{00000000-0005-0000-0000-0000DB060000}"/>
    <cellStyle name="_Pasta12_Fator X_IRT-cálculo CAPA NEUTRALIDADE" xfId="3911" xr:uid="{00000000-0005-0000-0000-0000DC060000}"/>
    <cellStyle name="_Pasta12_Fator X_SOBRECONTRATAÇÃO E CVA" xfId="3912" xr:uid="{00000000-0005-0000-0000-0000DD060000}"/>
    <cellStyle name="_Pasta12_IRT (2)" xfId="1598" xr:uid="{00000000-0005-0000-0000-0000DE060000}"/>
    <cellStyle name="_Pasta12_IRT_1" xfId="1599" xr:uid="{00000000-0005-0000-0000-0000DF060000}"/>
    <cellStyle name="_Pasta12_IRT_1 2" xfId="3913" xr:uid="{00000000-0005-0000-0000-0000E0060000}"/>
    <cellStyle name="_Pasta12_IRT_1_IRT-cálculo" xfId="3914" xr:uid="{00000000-0005-0000-0000-0000E1060000}"/>
    <cellStyle name="_Pasta12_IRT_1_IRT-cálculo CAPA NEUTRALIDADE" xfId="3915" xr:uid="{00000000-0005-0000-0000-0000E2060000}"/>
    <cellStyle name="_Pasta12_IRT_1_SOBRECONTRATAÇÃO E CVA" xfId="3916" xr:uid="{00000000-0005-0000-0000-0000E3060000}"/>
    <cellStyle name="_Pasta12_IRT-cálculo" xfId="3917" xr:uid="{00000000-0005-0000-0000-0000E4060000}"/>
    <cellStyle name="_Pasta12_IRT-cálculo CAPA NEUTRALIDADE" xfId="3918" xr:uid="{00000000-0005-0000-0000-0000E5060000}"/>
    <cellStyle name="_Pasta12_Pasta1" xfId="1600" xr:uid="{00000000-0005-0000-0000-0000E6060000}"/>
    <cellStyle name="_Pasta12_Pasta1 2" xfId="3919" xr:uid="{00000000-0005-0000-0000-0000E7060000}"/>
    <cellStyle name="_Pasta12_Pasta1_IRT-cálculo" xfId="3920" xr:uid="{00000000-0005-0000-0000-0000E8060000}"/>
    <cellStyle name="_Pasta12_Pasta1_IRT-cálculo CAPA NEUTRALIDADE" xfId="3921" xr:uid="{00000000-0005-0000-0000-0000E9060000}"/>
    <cellStyle name="_Pasta12_Pasta1_SOBRECONTRATAÇÃO E CVA" xfId="3922" xr:uid="{00000000-0005-0000-0000-0000EA060000}"/>
    <cellStyle name="_Pasta12_SOBRECONTRATAÇÃO E CVA" xfId="3923" xr:uid="{00000000-0005-0000-0000-0000EB060000}"/>
    <cellStyle name="_Pasta2" xfId="291" xr:uid="{00000000-0005-0000-0000-0000EC060000}"/>
    <cellStyle name="_Pasta2 2" xfId="3924" xr:uid="{00000000-0005-0000-0000-0000ED060000}"/>
    <cellStyle name="_Pasta2 3" xfId="3925" xr:uid="{00000000-0005-0000-0000-0000EE060000}"/>
    <cellStyle name="_Pasta2_IF - Autoprodutores 2" xfId="3926" xr:uid="{00000000-0005-0000-0000-0000EF060000}"/>
    <cellStyle name="_Pasta2_IF_Consumidores livres e geradoras_2010" xfId="3927" xr:uid="{00000000-0005-0000-0000-0000F0060000}"/>
    <cellStyle name="_Pasta2_IRT Piratininga 2009" xfId="292" xr:uid="{00000000-0005-0000-0000-0000F1060000}"/>
    <cellStyle name="_Pasta2_IRT Piratininga 2009 2" xfId="1290" xr:uid="{00000000-0005-0000-0000-0000F2060000}"/>
    <cellStyle name="_Pasta2_IRT_Planilha Básica_ CETRIL" xfId="293" xr:uid="{00000000-0005-0000-0000-0000F3060000}"/>
    <cellStyle name="_Pasta2_IRT_Planilha Básica_ CETRIL 2" xfId="1291" xr:uid="{00000000-0005-0000-0000-0000F4060000}"/>
    <cellStyle name="_Pasta2_IRT_Planilha Básica_mar2010b" xfId="3928" xr:uid="{00000000-0005-0000-0000-0000F5060000}"/>
    <cellStyle name="_Pasta2_IRT-cálculo" xfId="3929" xr:uid="{00000000-0005-0000-0000-0000F6060000}"/>
    <cellStyle name="_Pasta2_Sheet1" xfId="3930" xr:uid="{00000000-0005-0000-0000-0000F7060000}"/>
    <cellStyle name="_PERSONAL" xfId="3931" xr:uid="{00000000-0005-0000-0000-0000F8060000}"/>
    <cellStyle name="_PERSONAL_PERSONAL" xfId="3932" xr:uid="{00000000-0005-0000-0000-0000F9060000}"/>
    <cellStyle name="_PERSONAL_PERSONAL_1" xfId="3933" xr:uid="{00000000-0005-0000-0000-0000FA060000}"/>
    <cellStyle name="_PERSONAL_PERSONAL_2" xfId="3934" xr:uid="{00000000-0005-0000-0000-0000FB060000}"/>
    <cellStyle name="_PERSONAL_PERSONAL_3" xfId="3935" xr:uid="{00000000-0005-0000-0000-0000FC060000}"/>
    <cellStyle name="_Plan1" xfId="3936" xr:uid="{00000000-0005-0000-0000-0000FD060000}"/>
    <cellStyle name="_Plan2" xfId="1601" xr:uid="{00000000-0005-0000-0000-0000FE060000}"/>
    <cellStyle name="_Plan2 2" xfId="3937" xr:uid="{00000000-0005-0000-0000-0000FF060000}"/>
    <cellStyle name="_Plan2_COELCE - RTO 2011 - PLPT_PLANILHA_CÁLCULO_DÉFICIT" xfId="3938" xr:uid="{00000000-0005-0000-0000-000000070000}"/>
    <cellStyle name="_Planilha 14.Gastos O&amp;M 29062007  Vfinal M 3" xfId="3939" xr:uid="{00000000-0005-0000-0000-000001070000}"/>
    <cellStyle name="_Planilha 15 Consumidores 28062007 final M 3" xfId="3940" xr:uid="{00000000-0005-0000-0000-000002070000}"/>
    <cellStyle name="_Planilha 17 Dados Físicos 28062007 vfinal M 3 " xfId="3941" xr:uid="{00000000-0005-0000-0000-000003070000}"/>
    <cellStyle name="_Planilha 18 Veículos 28062007 vfinal M 3" xfId="3942" xr:uid="{00000000-0005-0000-0000-000004070000}"/>
    <cellStyle name="_Planilha 19 Informática e Telecom vfinal M 3" xfId="3943" xr:uid="{00000000-0005-0000-0000-000005070000}"/>
    <cellStyle name="_Planilha 20 Edificações  28062007 vfinal M 3" xfId="3944" xr:uid="{00000000-0005-0000-0000-000006070000}"/>
    <cellStyle name="_Planilha16 CO RP 29062007 v final M 3" xfId="3945" xr:uid="{00000000-0005-0000-0000-000007070000}"/>
    <cellStyle name="_Planilhas_Desc_Tusd_-Validadas SFF" xfId="1602" xr:uid="{00000000-0005-0000-0000-000008070000}"/>
    <cellStyle name="_Planilhas_Desc_Tusd_-Validadas SFF 2" xfId="3946" xr:uid="{00000000-0005-0000-0000-000009070000}"/>
    <cellStyle name="_Planilhas_Desc_Tusd_-Validadas SFF_Energia Comprada" xfId="3947" xr:uid="{00000000-0005-0000-0000-00000A070000}"/>
    <cellStyle name="_Planilhas_Desc_Tusd_-Validadas SFF_Energia Comprada_IRT-cálculo" xfId="3948" xr:uid="{00000000-0005-0000-0000-00000B070000}"/>
    <cellStyle name="_Planilhas_Desc_Tusd_-Validadas SFF_Energia Comprada_IRT-cálculo CAPA NEUTRALIDADE" xfId="3949" xr:uid="{00000000-0005-0000-0000-00000C070000}"/>
    <cellStyle name="_Planilhas_Desc_Tusd_-Validadas SFF_Fator X" xfId="1603" xr:uid="{00000000-0005-0000-0000-00000D070000}"/>
    <cellStyle name="_Planilhas_Desc_Tusd_-Validadas SFF_Fator X 2" xfId="3950" xr:uid="{00000000-0005-0000-0000-00000E070000}"/>
    <cellStyle name="_Planilhas_Desc_Tusd_-Validadas SFF_Fator X_IRT-cálculo" xfId="3951" xr:uid="{00000000-0005-0000-0000-00000F070000}"/>
    <cellStyle name="_Planilhas_Desc_Tusd_-Validadas SFF_Fator X_IRT-cálculo CAPA NEUTRALIDADE" xfId="3952" xr:uid="{00000000-0005-0000-0000-000010070000}"/>
    <cellStyle name="_Planilhas_Desc_Tusd_-Validadas SFF_Fator X_SOBRECONTRATAÇÃO E CVA" xfId="3953" xr:uid="{00000000-0005-0000-0000-000011070000}"/>
    <cellStyle name="_Planilhas_Desc_Tusd_-Validadas SFF_IRT (2)" xfId="1604" xr:uid="{00000000-0005-0000-0000-000012070000}"/>
    <cellStyle name="_Planilhas_Desc_Tusd_-Validadas SFF_IRT_1" xfId="1605" xr:uid="{00000000-0005-0000-0000-000013070000}"/>
    <cellStyle name="_Planilhas_Desc_Tusd_-Validadas SFF_IRT_1 2" xfId="3954" xr:uid="{00000000-0005-0000-0000-000014070000}"/>
    <cellStyle name="_Planilhas_Desc_Tusd_-Validadas SFF_IRT_1_IRT-cálculo" xfId="3955" xr:uid="{00000000-0005-0000-0000-000015070000}"/>
    <cellStyle name="_Planilhas_Desc_Tusd_-Validadas SFF_IRT_1_IRT-cálculo CAPA NEUTRALIDADE" xfId="3956" xr:uid="{00000000-0005-0000-0000-000016070000}"/>
    <cellStyle name="_Planilhas_Desc_Tusd_-Validadas SFF_IRT_1_SOBRECONTRATAÇÃO E CVA" xfId="3957" xr:uid="{00000000-0005-0000-0000-000017070000}"/>
    <cellStyle name="_Planilhas_Desc_Tusd_-Validadas SFF_IRT-cálculo" xfId="3958" xr:uid="{00000000-0005-0000-0000-000018070000}"/>
    <cellStyle name="_Planilhas_Desc_Tusd_-Validadas SFF_IRT-cálculo CAPA NEUTRALIDADE" xfId="3959" xr:uid="{00000000-0005-0000-0000-000019070000}"/>
    <cellStyle name="_Planilhas_Desc_Tusd_-Validadas SFF_Pasta1" xfId="1606" xr:uid="{00000000-0005-0000-0000-00001A070000}"/>
    <cellStyle name="_Planilhas_Desc_Tusd_-Validadas SFF_Pasta1 2" xfId="3960" xr:uid="{00000000-0005-0000-0000-00001B070000}"/>
    <cellStyle name="_Planilhas_Desc_Tusd_-Validadas SFF_Pasta1_IRT-cálculo" xfId="3961" xr:uid="{00000000-0005-0000-0000-00001C070000}"/>
    <cellStyle name="_Planilhas_Desc_Tusd_-Validadas SFF_Pasta1_IRT-cálculo CAPA NEUTRALIDADE" xfId="3962" xr:uid="{00000000-0005-0000-0000-00001D070000}"/>
    <cellStyle name="_Planilhas_Desc_Tusd_-Validadas SFF_Pasta1_SOBRECONTRATAÇÃO E CVA" xfId="3963" xr:uid="{00000000-0005-0000-0000-00001E070000}"/>
    <cellStyle name="_Planilhas_Desc_Tusd_-Validadas SFF_SOBRECONTRATAÇÃO E CVA" xfId="3964" xr:uid="{00000000-0005-0000-0000-00001F070000}"/>
    <cellStyle name="_Pleito PLT EMG" xfId="3965" xr:uid="{00000000-0005-0000-0000-000020070000}"/>
    <cellStyle name="_Pleito PLT EPB" xfId="3966" xr:uid="{00000000-0005-0000-0000-000021070000}"/>
    <cellStyle name="_Pleito PLT EPB_CVA Borborema 2010 - Fiscalizada Final" xfId="3967" xr:uid="{00000000-0005-0000-0000-000022070000}"/>
    <cellStyle name="_Pleito PLT ESE" xfId="3968" xr:uid="{00000000-0005-0000-0000-000023070000}"/>
    <cellStyle name="_Pleito_IRT_EBO_2010_FINAL_ENVIO_ANEEL" xfId="3969" xr:uid="{00000000-0005-0000-0000-000024070000}"/>
    <cellStyle name="_PLPT CEMIG 2009_PLANILHA_CÁLCULO_DÉFICIT_RESOLUÇÃO_294_2007_V3" xfId="294" xr:uid="{00000000-0005-0000-0000-000025070000}"/>
    <cellStyle name="_PLPT CEMIG 2009_PLANILHA_CÁLCULO_DÉFICIT_RESOLUÇÃO_294_2007_V3 2" xfId="1292" xr:uid="{00000000-0005-0000-0000-000026070000}"/>
    <cellStyle name="_PLPT CEMIG 2009_PLANILHA_CÁLCULO_DÉFICIT_RESOLUÇÃO_294_2007_V3_Ajustes REAJUSTE 2008 ELETROPAULO" xfId="3970" xr:uid="{00000000-0005-0000-0000-000027070000}"/>
    <cellStyle name="_PLPT CEMIG 2009_PLANILHA_CÁLCULO_DÉFICIT_RESOLUÇÃO_294_2007_V3_Ajustes REAJUSTE 2008 ELETROPAULO_IRT-cálculo" xfId="3971" xr:uid="{00000000-0005-0000-0000-000028070000}"/>
    <cellStyle name="_PLPT CEMIG 2009_PLANILHA_CÁLCULO_DÉFICIT_RESOLUÇÃO_294_2007_V3_Ajustes REAJUSTE 2008 ELETROPAULO_IRT-cálculo CAPA NEUTRALIDADE" xfId="3972" xr:uid="{00000000-0005-0000-0000-000029070000}"/>
    <cellStyle name="_PLPT CEMIG 2009_PLANILHA_CÁLCULO_DÉFICIT_RESOLUÇÃO_294_2007_V3_Ajustes REVISÃO 2007 ELETROPAULO" xfId="3973" xr:uid="{00000000-0005-0000-0000-00002A070000}"/>
    <cellStyle name="_PLPT CEMIG 2009_PLANILHA_CÁLCULO_DÉFICIT_RESOLUÇÃO_294_2007_V3_Ajustes REVISÃO 2007 ELETROPAULO_IRT-cálculo" xfId="3974" xr:uid="{00000000-0005-0000-0000-00002B070000}"/>
    <cellStyle name="_PLPT CEMIG 2009_PLANILHA_CÁLCULO_DÉFICIT_RESOLUÇÃO_294_2007_V3_Ajustes REVISÃO 2007 ELETROPAULO_IRT-cálculo CAPA NEUTRALIDADE" xfId="3975" xr:uid="{00000000-0005-0000-0000-00002C070000}"/>
    <cellStyle name="_PLPT CEMIG 2009_PLANILHA_CÁLCULO_DÉFICIT_RESOLUÇÃO_294_2007_V3_Balanço" xfId="295" xr:uid="{00000000-0005-0000-0000-00002D070000}"/>
    <cellStyle name="_PLPT CEMIG 2009_PLANILHA_CÁLCULO_DÉFICIT_RESOLUÇÃO_294_2007_V3_Balanço 2" xfId="1293" xr:uid="{00000000-0005-0000-0000-00002E070000}"/>
    <cellStyle name="_PLPT CEMIG 2009_PLANILHA_CÁLCULO_DÉFICIT_RESOLUÇÃO_294_2007_V3_casulo 15" xfId="296" xr:uid="{00000000-0005-0000-0000-00002F070000}"/>
    <cellStyle name="_PLPT CEMIG 2009_PLANILHA_CÁLCULO_DÉFICIT_RESOLUÇÃO_294_2007_V3_casulo 5" xfId="297" xr:uid="{00000000-0005-0000-0000-000030070000}"/>
    <cellStyle name="_PLPT CEMIG 2009_PLANILHA_CÁLCULO_DÉFICIT_RESOLUÇÃO_294_2007_V3_casulo 5 2" xfId="1294" xr:uid="{00000000-0005-0000-0000-000031070000}"/>
    <cellStyle name="_PLPT CEMIG 2009_PLANILHA_CÁLCULO_DÉFICIT_RESOLUÇÃO_294_2007_V3_casulo 5_Balanço" xfId="298" xr:uid="{00000000-0005-0000-0000-000032070000}"/>
    <cellStyle name="_PLPT CEMIG 2009_PLANILHA_CÁLCULO_DÉFICIT_RESOLUÇÃO_294_2007_V3_casulo 5_casulo 15" xfId="299" xr:uid="{00000000-0005-0000-0000-000033070000}"/>
    <cellStyle name="_PLPT CEMIG 2009_PLANILHA_CÁLCULO_DÉFICIT_RESOLUÇÃO_294_2007_V3_casulo 5_IRT EEB 2010" xfId="3976" xr:uid="{00000000-0005-0000-0000-000034070000}"/>
    <cellStyle name="_PLPT CEMIG 2009_PLANILHA_CÁLCULO_DÉFICIT_RESOLUÇÃO_294_2007_V3_IRT EEB 2010" xfId="3977" xr:uid="{00000000-0005-0000-0000-000035070000}"/>
    <cellStyle name="_PLPT CEMIG 2009_PLANILHA_CÁLCULO_DÉFICIT_RESOLUÇÃO_294_2007_V3_IRT Piratininga 2009" xfId="300" xr:uid="{00000000-0005-0000-0000-000036070000}"/>
    <cellStyle name="_PLPT CEMIG 2009_PLANILHA_CÁLCULO_DÉFICIT_RESOLUÇÃO_294_2007_V3_IRT Piratininga 2009 2" xfId="1295" xr:uid="{00000000-0005-0000-0000-000037070000}"/>
    <cellStyle name="_PLPT CEMIG 2009_PLANILHA_CÁLCULO_DÉFICIT_RESOLUÇÃO_294_2007_V3_IRT Piratininga 2009_Balanço" xfId="301" xr:uid="{00000000-0005-0000-0000-000038070000}"/>
    <cellStyle name="_PLPT CEMIG 2009_PLANILHA_CÁLCULO_DÉFICIT_RESOLUÇÃO_294_2007_V3_IRT Piratininga 2009_casulo 15" xfId="302" xr:uid="{00000000-0005-0000-0000-000039070000}"/>
    <cellStyle name="_PLPT CEMIG 2009_PLANILHA_CÁLCULO_DÉFICIT_RESOLUÇÃO_294_2007_V3_IRT Piratininga 2009_IRT EEB 2010" xfId="3978" xr:uid="{00000000-0005-0000-0000-00003A070000}"/>
    <cellStyle name="_PLPT CEMIG 2009_PLANILHA_CÁLCULO_DÉFICIT_RESOLUÇÃO_294_2007_V3_IRT_Bragantina_maio_2009" xfId="3979" xr:uid="{00000000-0005-0000-0000-00003B070000}"/>
    <cellStyle name="_PLPT CEMIG 2009_PLANILHA_CÁLCULO_DÉFICIT_RESOLUÇÃO_294_2007_V3_IRT_CEMAT_2009" xfId="3980" xr:uid="{00000000-0005-0000-0000-00003C070000}"/>
    <cellStyle name="_PLPT CEMIG 2009_PLANILHA_CÁLCULO_DÉFICIT_RESOLUÇÃO_294_2007_V3_IRT_EBB_mai2010d" xfId="3981" xr:uid="{00000000-0005-0000-0000-00003D070000}"/>
    <cellStyle name="_PLPT CEMIG 2009_PLANILHA_CÁLCULO_DÉFICIT_RESOLUÇÃO_294_2007_V3_IRT_Planilha Básica_ CETRIL" xfId="303" xr:uid="{00000000-0005-0000-0000-00003E070000}"/>
    <cellStyle name="_PLPT CEMIG 2009_PLANILHA_CÁLCULO_DÉFICIT_RESOLUÇÃO_294_2007_V3_IRT_Planilha Básica_ CETRIL 2" xfId="1296" xr:uid="{00000000-0005-0000-0000-00003F070000}"/>
    <cellStyle name="_PLPT CEMIG 2009_PLANILHA_CÁLCULO_DÉFICIT_RESOLUÇÃO_294_2007_V3_IRT_Planilha Básica_ CETRIL_Balanço" xfId="304" xr:uid="{00000000-0005-0000-0000-000040070000}"/>
    <cellStyle name="_PLPT CEMIG 2009_PLANILHA_CÁLCULO_DÉFICIT_RESOLUÇÃO_294_2007_V3_IRT_Planilha Básica_ CETRIL_casulo 15" xfId="305" xr:uid="{00000000-0005-0000-0000-000041070000}"/>
    <cellStyle name="_PLPT CEMIG 2009_PLANILHA_CÁLCULO_DÉFICIT_RESOLUÇÃO_294_2007_V3_IRT_Planilha Básica_ CETRIL_IRT EEB 2010" xfId="3982" xr:uid="{00000000-0005-0000-0000-000042070000}"/>
    <cellStyle name="_PLPT CEMIG 2009_PLANILHA_CÁLCULO_DÉFICIT_RESOLUÇÃO_294_2007_V3_IRT_Planilha Básica_DIRETORIA" xfId="3983" xr:uid="{00000000-0005-0000-0000-000043070000}"/>
    <cellStyle name="_PLPT CEMIG 2009_PLANILHA_CÁLCULO_DÉFICIT_RESOLUÇÃO_294_2007_V3_IRT_Planilha Básica_mar2010b" xfId="3984" xr:uid="{00000000-0005-0000-0000-000044070000}"/>
    <cellStyle name="_PLPT CEMIG 2009_PLANILHA_CÁLCULO_DÉFICIT_RESOLUÇÃO_294_2007_V3_IRT_Planilha Básica_mar2010d" xfId="306" xr:uid="{00000000-0005-0000-0000-000045070000}"/>
    <cellStyle name="_PLPT CEMIG 2009_PLANILHA_CÁLCULO_DÉFICIT_RESOLUÇÃO_294_2007_V3_IRT_Planilha Básica_mar2010d 2" xfId="1297" xr:uid="{00000000-0005-0000-0000-000046070000}"/>
    <cellStyle name="_PLPT CEMIG 2009_PLANILHA_CÁLCULO_DÉFICIT_RESOLUÇÃO_294_2007_V3_IRT-cálculo" xfId="3985" xr:uid="{00000000-0005-0000-0000-000047070000}"/>
    <cellStyle name="_PLPT CEMIG 2009_PLANILHA_CÁLCULO_DÉFICIT_RESOLUÇÃO_294_2007_V3_IRT-cálculo CAPA NEUTRALIDADE" xfId="3986" xr:uid="{00000000-0005-0000-0000-000048070000}"/>
    <cellStyle name="_PLPT CEMIG 2009_PLANILHA_CÁLCULO_DÉFICIT_RESOLUÇÃO_294_2007_V3_Resultados_DEA_RND_QUAL_PERDAS" xfId="3987" xr:uid="{00000000-0005-0000-0000-000049070000}"/>
    <cellStyle name="_PLPT CEMIG 2009_PLANILHA_CÁLCULO_DÉFICIT_RESOLUÇÃO_294_2007_V3_Subsídios para análise da SRE" xfId="307" xr:uid="{00000000-0005-0000-0000-00004A070000}"/>
    <cellStyle name="_PLPT CEMIG 2009_PLANILHA_CÁLCULO_DÉFICIT_RESOLUÇÃO_294_2007_V3_Subsídios para análise da SRE 2" xfId="1298" xr:uid="{00000000-0005-0000-0000-00004B070000}"/>
    <cellStyle name="_PLPT CEMIG 2009_PLANILHA_CÁLCULO_DÉFICIT_RESOLUÇÃO_294_2007_V3_Subsídios para análise da SRE_02 IRT Bandeirante 2009" xfId="3988" xr:uid="{00000000-0005-0000-0000-00004C070000}"/>
    <cellStyle name="_PLPT CEMIG 2009_PLANILHA_CÁLCULO_DÉFICIT_RESOLUÇÃO_294_2007_V3_Subsídios para análise da SRE_1" xfId="3989" xr:uid="{00000000-0005-0000-0000-00004D070000}"/>
    <cellStyle name="_PLPT CEMIG 2009_PLANILHA_CÁLCULO_DÉFICIT_RESOLUÇÃO_294_2007_V3_Subsídios para análise da SRE_Balanço" xfId="308" xr:uid="{00000000-0005-0000-0000-00004E070000}"/>
    <cellStyle name="_PLPT CEMIG 2009_PLANILHA_CÁLCULO_DÉFICIT_RESOLUÇÃO_294_2007_V3_Subsídios para análise da SRE_Balanço 2" xfId="1299" xr:uid="{00000000-0005-0000-0000-00004F070000}"/>
    <cellStyle name="_PLPT CEMIG 2009_PLANILHA_CÁLCULO_DÉFICIT_RESOLUÇÃO_294_2007_V3_Subsídios para análise da SRE_casulo 15" xfId="309" xr:uid="{00000000-0005-0000-0000-000050070000}"/>
    <cellStyle name="_PLPT CEMIG 2009_PLANILHA_CÁLCULO_DÉFICIT_RESOLUÇÃO_294_2007_V3_Subsídios para análise da SRE_casulo 5" xfId="310" xr:uid="{00000000-0005-0000-0000-000051070000}"/>
    <cellStyle name="_PLPT CEMIG 2009_PLANILHA_CÁLCULO_DÉFICIT_RESOLUÇÃO_294_2007_V3_Subsídios para análise da SRE_casulo 5 2" xfId="1300" xr:uid="{00000000-0005-0000-0000-000052070000}"/>
    <cellStyle name="_PLPT CEMIG 2009_PLANILHA_CÁLCULO_DÉFICIT_RESOLUÇÃO_294_2007_V3_Subsídios para análise da SRE_casulo 5_Balanço" xfId="311" xr:uid="{00000000-0005-0000-0000-000053070000}"/>
    <cellStyle name="_PLPT CEMIG 2009_PLANILHA_CÁLCULO_DÉFICIT_RESOLUÇÃO_294_2007_V3_Subsídios para análise da SRE_casulo 5_casulo 15" xfId="312" xr:uid="{00000000-0005-0000-0000-000054070000}"/>
    <cellStyle name="_PLPT CEMIG 2009_PLANILHA_CÁLCULO_DÉFICIT_RESOLUÇÃO_294_2007_V3_Subsídios para análise da SRE_casulo 5_IRT EEB 2010" xfId="3990" xr:uid="{00000000-0005-0000-0000-000055070000}"/>
    <cellStyle name="_PLPT CEMIG 2009_PLANILHA_CÁLCULO_DÉFICIT_RESOLUÇÃO_294_2007_V3_Subsídios para análise da SRE_IRT EEB 2010" xfId="3991" xr:uid="{00000000-0005-0000-0000-000056070000}"/>
    <cellStyle name="_PLPT CEMIG 2009_PLANILHA_CÁLCULO_DÉFICIT_RESOLUÇÃO_294_2007_V3_Subsídios para análise da SRE_IRT Piratininga 2009" xfId="313" xr:uid="{00000000-0005-0000-0000-000057070000}"/>
    <cellStyle name="_PLPT CEMIG 2009_PLANILHA_CÁLCULO_DÉFICIT_RESOLUÇÃO_294_2007_V3_Subsídios para análise da SRE_IRT Piratininga 2009 2" xfId="1301" xr:uid="{00000000-0005-0000-0000-000058070000}"/>
    <cellStyle name="_PLPT CEMIG 2009_PLANILHA_CÁLCULO_DÉFICIT_RESOLUÇÃO_294_2007_V3_Subsídios para análise da SRE_IRT Piratininga 2009_Balanço" xfId="314" xr:uid="{00000000-0005-0000-0000-000059070000}"/>
    <cellStyle name="_PLPT CEMIG 2009_PLANILHA_CÁLCULO_DÉFICIT_RESOLUÇÃO_294_2007_V3_Subsídios para análise da SRE_IRT Piratininga 2009_casulo 15" xfId="315" xr:uid="{00000000-0005-0000-0000-00005A070000}"/>
    <cellStyle name="_PLPT CEMIG 2009_PLANILHA_CÁLCULO_DÉFICIT_RESOLUÇÃO_294_2007_V3_Subsídios para análise da SRE_IRT Piratininga 2009_IRT EEB 2010" xfId="3992" xr:uid="{00000000-0005-0000-0000-00005B070000}"/>
    <cellStyle name="_PLPT CEMIG 2009_PLANILHA_CÁLCULO_DÉFICIT_RESOLUÇÃO_294_2007_V3_Subsídios para análise da SRE_IRT_EBB_mai2010d" xfId="3993" xr:uid="{00000000-0005-0000-0000-00005C070000}"/>
    <cellStyle name="_PLPT CEMIG 2009_PLANILHA_CÁLCULO_DÉFICIT_RESOLUÇÃO_294_2007_V3_Subsídios para análise da SRE_IRT_Planilha Básica_ CETRIL" xfId="316" xr:uid="{00000000-0005-0000-0000-00005D070000}"/>
    <cellStyle name="_PLPT CEMIG 2009_PLANILHA_CÁLCULO_DÉFICIT_RESOLUÇÃO_294_2007_V3_Subsídios para análise da SRE_IRT_Planilha Básica_ CETRIL 2" xfId="1302" xr:uid="{00000000-0005-0000-0000-00005E070000}"/>
    <cellStyle name="_PLPT CEMIG 2009_PLANILHA_CÁLCULO_DÉFICIT_RESOLUÇÃO_294_2007_V3_Subsídios para análise da SRE_IRT_Planilha Básica_ CETRIL_Balanço" xfId="317" xr:uid="{00000000-0005-0000-0000-00005F070000}"/>
    <cellStyle name="_PLPT CEMIG 2009_PLANILHA_CÁLCULO_DÉFICIT_RESOLUÇÃO_294_2007_V3_Subsídios para análise da SRE_IRT_Planilha Básica_ CETRIL_casulo 15" xfId="318" xr:uid="{00000000-0005-0000-0000-000060070000}"/>
    <cellStyle name="_PLPT CEMIG 2009_PLANILHA_CÁLCULO_DÉFICIT_RESOLUÇÃO_294_2007_V3_Subsídios para análise da SRE_IRT_Planilha Básica_ CETRIL_IRT EEB 2010" xfId="3994" xr:uid="{00000000-0005-0000-0000-000061070000}"/>
    <cellStyle name="_PLPT CEMIG 2009_PLANILHA_CÁLCULO_DÉFICIT_RESOLUÇÃO_294_2007_V3_Subsídios para análise da SRE_IRT_Planilha Básica_DIRETORIA" xfId="3995" xr:uid="{00000000-0005-0000-0000-000062070000}"/>
    <cellStyle name="_PLPT CEMIG 2009_PLANILHA_CÁLCULO_DÉFICIT_RESOLUÇÃO_294_2007_V3_Subsídios para análise da SRE_IRT_Planilha Básica_fev2010" xfId="3996" xr:uid="{00000000-0005-0000-0000-000063070000}"/>
    <cellStyle name="_PLPT CEMIG 2009_PLANILHA_CÁLCULO_DÉFICIT_RESOLUÇÃO_294_2007_V3_Subsídios para análise da SRE_IRT_Planilha Básica_fev2010a" xfId="319" xr:uid="{00000000-0005-0000-0000-000064070000}"/>
    <cellStyle name="_PLPT CEMIG 2009_PLANILHA_CÁLCULO_DÉFICIT_RESOLUÇÃO_294_2007_V3_Subsídios para análise da SRE_IRT_Planilha Básica_fev2010a 2" xfId="1303" xr:uid="{00000000-0005-0000-0000-000065070000}"/>
    <cellStyle name="_PLPT CEMIG 2009_PLANILHA_CÁLCULO_DÉFICIT_RESOLUÇÃO_294_2007_V3_Subsídios para análise da SRE_IRT_Planilha Básica_fev2010a_Balanço" xfId="320" xr:uid="{00000000-0005-0000-0000-000066070000}"/>
    <cellStyle name="_PLPT CEMIG 2009_PLANILHA_CÁLCULO_DÉFICIT_RESOLUÇÃO_294_2007_V3_Subsídios para análise da SRE_IRT_Planilha Básica_fev2010a_Balanço 2" xfId="1304" xr:uid="{00000000-0005-0000-0000-000067070000}"/>
    <cellStyle name="_PLPT CEMIG 2009_PLANILHA_CÁLCULO_DÉFICIT_RESOLUÇÃO_294_2007_V3_Subsídios para análise da SRE_IRT_Planilha Básica_fev2010a_casulo 15" xfId="321" xr:uid="{00000000-0005-0000-0000-000068070000}"/>
    <cellStyle name="_PLPT CEMIG 2009_PLANILHA_CÁLCULO_DÉFICIT_RESOLUÇÃO_294_2007_V3_Subsídios para análise da SRE_IRT_Planilha Básica_fev2010a_casulo 5" xfId="322" xr:uid="{00000000-0005-0000-0000-000069070000}"/>
    <cellStyle name="_PLPT CEMIG 2009_PLANILHA_CÁLCULO_DÉFICIT_RESOLUÇÃO_294_2007_V3_Subsídios para análise da SRE_IRT_Planilha Básica_fev2010a_casulo 5 2" xfId="1305" xr:uid="{00000000-0005-0000-0000-00006A070000}"/>
    <cellStyle name="_PLPT CEMIG 2009_PLANILHA_CÁLCULO_DÉFICIT_RESOLUÇÃO_294_2007_V3_Subsídios para análise da SRE_IRT_Planilha Básica_fev2010a_casulo 5_Balanço" xfId="323" xr:uid="{00000000-0005-0000-0000-00006B070000}"/>
    <cellStyle name="_PLPT CEMIG 2009_PLANILHA_CÁLCULO_DÉFICIT_RESOLUÇÃO_294_2007_V3_Subsídios para análise da SRE_IRT_Planilha Básica_fev2010a_casulo 5_casulo 15" xfId="324" xr:uid="{00000000-0005-0000-0000-00006C070000}"/>
    <cellStyle name="_PLPT CEMIG 2009_PLANILHA_CÁLCULO_DÉFICIT_RESOLUÇÃO_294_2007_V3_Subsídios para análise da SRE_IRT_Planilha Básica_fev2010a_casulo 5_IRT EEB 2010" xfId="3997" xr:uid="{00000000-0005-0000-0000-00006D070000}"/>
    <cellStyle name="_PLPT CEMIG 2009_PLANILHA_CÁLCULO_DÉFICIT_RESOLUÇÃO_294_2007_V3_Subsídios para análise da SRE_IRT_Planilha Básica_fev2010a_IRT EEB 2010" xfId="3998" xr:uid="{00000000-0005-0000-0000-00006E070000}"/>
    <cellStyle name="_PLPT CEMIG 2009_PLANILHA_CÁLCULO_DÉFICIT_RESOLUÇÃO_294_2007_V3_Subsídios para análise da SRE_IRT_Planilha Básica_jan2010" xfId="3999" xr:uid="{00000000-0005-0000-0000-00006F070000}"/>
    <cellStyle name="_PLPT CEMIG 2009_PLANILHA_CÁLCULO_DÉFICIT_RESOLUÇÃO_294_2007_V3_Subsídios para análise da SRE_IRT_Planilha Básica_mar2010b" xfId="4000" xr:uid="{00000000-0005-0000-0000-000070070000}"/>
    <cellStyle name="_PLPT CEMIG 2009_PLANILHA_CÁLCULO_DÉFICIT_RESOLUÇÃO_294_2007_V3_Subsídios para análise da SRE_IRT_Planilha Básica_mar2010d" xfId="325" xr:uid="{00000000-0005-0000-0000-000071070000}"/>
    <cellStyle name="_PLPT CEMIG 2009_PLANILHA_CÁLCULO_DÉFICIT_RESOLUÇÃO_294_2007_V3_Subsídios para análise da SRE_IRT_Planilha Básica_mar2010d 2" xfId="1306" xr:uid="{00000000-0005-0000-0000-000072070000}"/>
    <cellStyle name="_PLPT CEMIG 2009_PLANILHA_CÁLCULO_DÉFICIT_RESOLUÇÃO_294_2007_V3_Subsídios para análise da SRE_IRT_Planilha Básica_NOVA METODOLOGIA" xfId="4001" xr:uid="{00000000-0005-0000-0000-000073070000}"/>
    <cellStyle name="_PLPT CEMIG 2009_PLANILHA_CÁLCULO_DÉFICIT_RESOLUÇÃO_294_2007_V3_Subsídios para análise da SRE_IRT_Santa 2010" xfId="4002" xr:uid="{00000000-0005-0000-0000-000074070000}"/>
    <cellStyle name="_PLPT CEMIG 2009_PLANILHA_CÁLCULO_DÉFICIT_RESOLUÇÃO_294_2007_V3_Subsídios para análise da SRE_IRT-cálculo" xfId="4003" xr:uid="{00000000-0005-0000-0000-000075070000}"/>
    <cellStyle name="_PLPT CEMIG 2009_PLANILHA_CÁLCULO_DÉFICIT_RESOLUÇÃO_294_2007_V3_Subsídios para análise da SRE_IRT-cálculo CAPA NEUTRALIDADE" xfId="4004" xr:uid="{00000000-0005-0000-0000-000076070000}"/>
    <cellStyle name="_PLPT CEMIG 2009_PLANILHA_CÁLCULO_DÉFICIT_RESOLUÇÃO_294_2007_V3_Subsídios para análise da SRE_Resultados_DEA_RND_QUAL_PERDAS" xfId="4005" xr:uid="{00000000-0005-0000-0000-000077070000}"/>
    <cellStyle name="_PLPT CEMIG 2009_PLANILHA_CÁLCULO_DÉFICIT_RESOLUÇÃO_294_2007_V3_Subsídios para análise da SRE_teste ampla" xfId="326" xr:uid="{00000000-0005-0000-0000-000078070000}"/>
    <cellStyle name="_PLPT CEMIG 2009_PLANILHA_CÁLCULO_DÉFICIT_RESOLUÇÃO_294_2007_V3_Subsídios para análise da SRE_teste ampla 2" xfId="1307" xr:uid="{00000000-0005-0000-0000-000079070000}"/>
    <cellStyle name="_PLPT CEMIG 2009_PLANILHA_CÁLCULO_DÉFICIT_RESOLUÇÃO_294_2007_V3_Subsídios para análise da SRE_teste ampla_Balanço" xfId="327" xr:uid="{00000000-0005-0000-0000-00007A070000}"/>
    <cellStyle name="_PLPT CEMIG 2009_PLANILHA_CÁLCULO_DÉFICIT_RESOLUÇÃO_294_2007_V3_Subsídios para análise da SRE_teste ampla_Balanço 2" xfId="1308" xr:uid="{00000000-0005-0000-0000-00007B070000}"/>
    <cellStyle name="_PLPT CEMIG 2009_PLANILHA_CÁLCULO_DÉFICIT_RESOLUÇÃO_294_2007_V3_Subsídios para análise da SRE_teste ampla_casulo 15" xfId="328" xr:uid="{00000000-0005-0000-0000-00007C070000}"/>
    <cellStyle name="_PLPT CEMIG 2009_PLANILHA_CÁLCULO_DÉFICIT_RESOLUÇÃO_294_2007_V3_Subsídios para análise da SRE_teste ampla_casulo 5" xfId="329" xr:uid="{00000000-0005-0000-0000-00007D070000}"/>
    <cellStyle name="_PLPT CEMIG 2009_PLANILHA_CÁLCULO_DÉFICIT_RESOLUÇÃO_294_2007_V3_Subsídios para análise da SRE_teste ampla_casulo 5 2" xfId="1309" xr:uid="{00000000-0005-0000-0000-00007E070000}"/>
    <cellStyle name="_PLPT CEMIG 2009_PLANILHA_CÁLCULO_DÉFICIT_RESOLUÇÃO_294_2007_V3_Subsídios para análise da SRE_teste ampla_casulo 5_Balanço" xfId="330" xr:uid="{00000000-0005-0000-0000-00007F070000}"/>
    <cellStyle name="_PLPT CEMIG 2009_PLANILHA_CÁLCULO_DÉFICIT_RESOLUÇÃO_294_2007_V3_Subsídios para análise da SRE_teste ampla_casulo 5_casulo 15" xfId="331" xr:uid="{00000000-0005-0000-0000-000080070000}"/>
    <cellStyle name="_PLPT CEMIG 2009_PLANILHA_CÁLCULO_DÉFICIT_RESOLUÇÃO_294_2007_V3_Subsídios para análise da SRE_teste ampla_casulo 5_IRT EEB 2010" xfId="4006" xr:uid="{00000000-0005-0000-0000-000081070000}"/>
    <cellStyle name="_PLPT CEMIG 2009_PLANILHA_CÁLCULO_DÉFICIT_RESOLUÇÃO_294_2007_V3_Subsídios para análise da SRE_teste ampla_IRT EEB 2010" xfId="4007" xr:uid="{00000000-0005-0000-0000-000082070000}"/>
    <cellStyle name="_PLPT CEMIG 2009_PLANILHA_CÁLCULO_DÉFICIT_RESOLUÇÃO_294_2007_V3_SubsídiosAnáliseSRE_COSERN_IRT-2010" xfId="1607" xr:uid="{00000000-0005-0000-0000-000083070000}"/>
    <cellStyle name="_PLPT EMG 2010" xfId="4008" xr:uid="{00000000-0005-0000-0000-000084070000}"/>
    <cellStyle name="_PLPT EMG 2010_ANEEL" xfId="4009" xr:uid="{00000000-0005-0000-0000-000085070000}"/>
    <cellStyle name="_PLPT MOCOCA-2009_PLANILHA_CÁLCULO_DÉFICIT_RESOLUÇÃO_294_2007_V3" xfId="332" xr:uid="{00000000-0005-0000-0000-000086070000}"/>
    <cellStyle name="_PLPT MOCOCA-2009_PLANILHA_CÁLCULO_DÉFICIT_RESOLUÇÃO_294_2007_V3 2" xfId="1310" xr:uid="{00000000-0005-0000-0000-000087070000}"/>
    <cellStyle name="_PLPT MOCOCA-2009_PLANILHA_CÁLCULO_DÉFICIT_RESOLUÇÃO_294_2007_V3_02 IRT COSERN 2009" xfId="1608" xr:uid="{00000000-0005-0000-0000-000088070000}"/>
    <cellStyle name="_PLPT MOCOCA-2009_PLANILHA_CÁLCULO_DÉFICIT_RESOLUÇÃO_294_2007_V3_Ajustes REAJUSTE 2008 ELETROPAULO" xfId="4010" xr:uid="{00000000-0005-0000-0000-000089070000}"/>
    <cellStyle name="_PLPT MOCOCA-2009_PLANILHA_CÁLCULO_DÉFICIT_RESOLUÇÃO_294_2007_V3_Ajustes REAJUSTE 2008 ELETROPAULO_IRT-cálculo" xfId="4011" xr:uid="{00000000-0005-0000-0000-00008A070000}"/>
    <cellStyle name="_PLPT MOCOCA-2009_PLANILHA_CÁLCULO_DÉFICIT_RESOLUÇÃO_294_2007_V3_Ajustes REAJUSTE 2008 ELETROPAULO_IRT-cálculo CAPA NEUTRALIDADE" xfId="4012" xr:uid="{00000000-0005-0000-0000-00008B070000}"/>
    <cellStyle name="_PLPT MOCOCA-2009_PLANILHA_CÁLCULO_DÉFICIT_RESOLUÇÃO_294_2007_V3_Ajustes REVISÃO 2007 ELETROPAULO" xfId="4013" xr:uid="{00000000-0005-0000-0000-00008C070000}"/>
    <cellStyle name="_PLPT MOCOCA-2009_PLANILHA_CÁLCULO_DÉFICIT_RESOLUÇÃO_294_2007_V3_Ajustes REVISÃO 2007 ELETROPAULO_IRT-cálculo" xfId="4014" xr:uid="{00000000-0005-0000-0000-00008D070000}"/>
    <cellStyle name="_PLPT MOCOCA-2009_PLANILHA_CÁLCULO_DÉFICIT_RESOLUÇÃO_294_2007_V3_Ajustes REVISÃO 2007 ELETROPAULO_IRT-cálculo CAPA NEUTRALIDADE" xfId="4015" xr:uid="{00000000-0005-0000-0000-00008E070000}"/>
    <cellStyle name="_PLPT MOCOCA-2009_PLANILHA_CÁLCULO_DÉFICIT_RESOLUÇÃO_294_2007_V3_Balanço" xfId="333" xr:uid="{00000000-0005-0000-0000-00008F070000}"/>
    <cellStyle name="_PLPT MOCOCA-2009_PLANILHA_CÁLCULO_DÉFICIT_RESOLUÇÃO_294_2007_V3_Balanço 2" xfId="1311" xr:uid="{00000000-0005-0000-0000-000090070000}"/>
    <cellStyle name="_PLPT MOCOCA-2009_PLANILHA_CÁLCULO_DÉFICIT_RESOLUÇÃO_294_2007_V3_casulo 15" xfId="334" xr:uid="{00000000-0005-0000-0000-000091070000}"/>
    <cellStyle name="_PLPT MOCOCA-2009_PLANILHA_CÁLCULO_DÉFICIT_RESOLUÇÃO_294_2007_V3_casulo 5" xfId="335" xr:uid="{00000000-0005-0000-0000-000092070000}"/>
    <cellStyle name="_PLPT MOCOCA-2009_PLANILHA_CÁLCULO_DÉFICIT_RESOLUÇÃO_294_2007_V3_casulo 5 2" xfId="1312" xr:uid="{00000000-0005-0000-0000-000093070000}"/>
    <cellStyle name="_PLPT MOCOCA-2009_PLANILHA_CÁLCULO_DÉFICIT_RESOLUÇÃO_294_2007_V3_casulo 5_Balanço" xfId="336" xr:uid="{00000000-0005-0000-0000-000094070000}"/>
    <cellStyle name="_PLPT MOCOCA-2009_PLANILHA_CÁLCULO_DÉFICIT_RESOLUÇÃO_294_2007_V3_casulo 5_casulo 15" xfId="337" xr:uid="{00000000-0005-0000-0000-000095070000}"/>
    <cellStyle name="_PLPT MOCOCA-2009_PLANILHA_CÁLCULO_DÉFICIT_RESOLUÇÃO_294_2007_V3_casulo 5_IRT EEB 2010" xfId="4016" xr:uid="{00000000-0005-0000-0000-000096070000}"/>
    <cellStyle name="_PLPT MOCOCA-2009_PLANILHA_CÁLCULO_DÉFICIT_RESOLUÇÃO_294_2007_V3_IRT" xfId="4017" xr:uid="{00000000-0005-0000-0000-000097070000}"/>
    <cellStyle name="_PLPT MOCOCA-2009_PLANILHA_CÁLCULO_DÉFICIT_RESOLUÇÃO_294_2007_V3_IRT EEB 2010" xfId="4018" xr:uid="{00000000-0005-0000-0000-000098070000}"/>
    <cellStyle name="_PLPT MOCOCA-2009_PLANILHA_CÁLCULO_DÉFICIT_RESOLUÇÃO_294_2007_V3_IRT Piratininga 2009" xfId="338" xr:uid="{00000000-0005-0000-0000-000099070000}"/>
    <cellStyle name="_PLPT MOCOCA-2009_PLANILHA_CÁLCULO_DÉFICIT_RESOLUÇÃO_294_2007_V3_IRT Piratininga 2009 2" xfId="1313" xr:uid="{00000000-0005-0000-0000-00009A070000}"/>
    <cellStyle name="_PLPT MOCOCA-2009_PLANILHA_CÁLCULO_DÉFICIT_RESOLUÇÃO_294_2007_V3_IRT Piratininga 2009_Balanço" xfId="339" xr:uid="{00000000-0005-0000-0000-00009B070000}"/>
    <cellStyle name="_PLPT MOCOCA-2009_PLANILHA_CÁLCULO_DÉFICIT_RESOLUÇÃO_294_2007_V3_IRT Piratininga 2009_casulo 15" xfId="340" xr:uid="{00000000-0005-0000-0000-00009C070000}"/>
    <cellStyle name="_PLPT MOCOCA-2009_PLANILHA_CÁLCULO_DÉFICIT_RESOLUÇÃO_294_2007_V3_IRT Piratininga 2009_IRT EEB 2010" xfId="4019" xr:uid="{00000000-0005-0000-0000-00009D070000}"/>
    <cellStyle name="_PLPT MOCOCA-2009_PLANILHA_CÁLCULO_DÉFICIT_RESOLUÇÃO_294_2007_V3_IRT_Bragantina_maio_2009" xfId="4020" xr:uid="{00000000-0005-0000-0000-00009E070000}"/>
    <cellStyle name="_PLPT MOCOCA-2009_PLANILHA_CÁLCULO_DÉFICIT_RESOLUÇÃO_294_2007_V3_IRT_CEMAT_2009" xfId="4021" xr:uid="{00000000-0005-0000-0000-00009F070000}"/>
    <cellStyle name="_PLPT MOCOCA-2009_PLANILHA_CÁLCULO_DÉFICIT_RESOLUÇÃO_294_2007_V3_IRT_EBB_mai2010d" xfId="4022" xr:uid="{00000000-0005-0000-0000-0000A0070000}"/>
    <cellStyle name="_PLPT MOCOCA-2009_PLANILHA_CÁLCULO_DÉFICIT_RESOLUÇÃO_294_2007_V3_IRT_ENF" xfId="4023" xr:uid="{00000000-0005-0000-0000-0000A1070000}"/>
    <cellStyle name="_PLPT MOCOCA-2009_PLANILHA_CÁLCULO_DÉFICIT_RESOLUÇÃO_294_2007_V3_IRT_Escelsa" xfId="4024" xr:uid="{00000000-0005-0000-0000-0000A2070000}"/>
    <cellStyle name="_PLPT MOCOCA-2009_PLANILHA_CÁLCULO_DÉFICIT_RESOLUÇÃO_294_2007_V3_IRT_Planilha Básica_ CETRIL" xfId="341" xr:uid="{00000000-0005-0000-0000-0000A3070000}"/>
    <cellStyle name="_PLPT MOCOCA-2009_PLANILHA_CÁLCULO_DÉFICIT_RESOLUÇÃO_294_2007_V3_IRT_Planilha Básica_ CETRIL 2" xfId="1314" xr:uid="{00000000-0005-0000-0000-0000A4070000}"/>
    <cellStyle name="_PLPT MOCOCA-2009_PLANILHA_CÁLCULO_DÉFICIT_RESOLUÇÃO_294_2007_V3_IRT_Planilha Básica_ CETRIL_Balanço" xfId="342" xr:uid="{00000000-0005-0000-0000-0000A5070000}"/>
    <cellStyle name="_PLPT MOCOCA-2009_PLANILHA_CÁLCULO_DÉFICIT_RESOLUÇÃO_294_2007_V3_IRT_Planilha Básica_ CETRIL_casulo 15" xfId="343" xr:uid="{00000000-0005-0000-0000-0000A6070000}"/>
    <cellStyle name="_PLPT MOCOCA-2009_PLANILHA_CÁLCULO_DÉFICIT_RESOLUÇÃO_294_2007_V3_IRT_Planilha Básica_ CETRIL_IRT EEB 2010" xfId="4025" xr:uid="{00000000-0005-0000-0000-0000A7070000}"/>
    <cellStyle name="_PLPT MOCOCA-2009_PLANILHA_CÁLCULO_DÉFICIT_RESOLUÇÃO_294_2007_V3_IRT_Planilha Básica_30jun2009" xfId="4026" xr:uid="{00000000-0005-0000-0000-0000A8070000}"/>
    <cellStyle name="_PLPT MOCOCA-2009_PLANILHA_CÁLCULO_DÉFICIT_RESOLUÇÃO_294_2007_V3_IRT_Planilha Básica_DIRETORIA" xfId="4027" xr:uid="{00000000-0005-0000-0000-0000A9070000}"/>
    <cellStyle name="_PLPT MOCOCA-2009_PLANILHA_CÁLCULO_DÉFICIT_RESOLUÇÃO_294_2007_V3_IRT_Planilha Básica_jun2009" xfId="4028" xr:uid="{00000000-0005-0000-0000-0000AA070000}"/>
    <cellStyle name="_PLPT MOCOCA-2009_PLANILHA_CÁLCULO_DÉFICIT_RESOLUÇÃO_294_2007_V3_IRT_Planilha Básica_mar2010b" xfId="4029" xr:uid="{00000000-0005-0000-0000-0000AB070000}"/>
    <cellStyle name="_PLPT MOCOCA-2009_PLANILHA_CÁLCULO_DÉFICIT_RESOLUÇÃO_294_2007_V3_IRT_Planilha Básica_mar2010d" xfId="344" xr:uid="{00000000-0005-0000-0000-0000AC070000}"/>
    <cellStyle name="_PLPT MOCOCA-2009_PLANILHA_CÁLCULO_DÉFICIT_RESOLUÇÃO_294_2007_V3_IRT_Planilha Básica_mar2010d 2" xfId="1315" xr:uid="{00000000-0005-0000-0000-0000AD070000}"/>
    <cellStyle name="_PLPT MOCOCA-2009_PLANILHA_CÁLCULO_DÉFICIT_RESOLUÇÃO_294_2007_V3_IRT_Planilha Básica_março2009" xfId="345" xr:uid="{00000000-0005-0000-0000-0000AE070000}"/>
    <cellStyle name="_PLPT MOCOCA-2009_PLANILHA_CÁLCULO_DÉFICIT_RESOLUÇÃO_294_2007_V3_IRT_Planilha Básica_março2009 2" xfId="1316" xr:uid="{00000000-0005-0000-0000-0000AF070000}"/>
    <cellStyle name="_PLPT MOCOCA-2009_PLANILHA_CÁLCULO_DÉFICIT_RESOLUÇÃO_294_2007_V3_IRT_Planilha Básica_março2009_02 IRT Bandeirante 2009" xfId="4030" xr:uid="{00000000-0005-0000-0000-0000B0070000}"/>
    <cellStyle name="_PLPT MOCOCA-2009_PLANILHA_CÁLCULO_DÉFICIT_RESOLUÇÃO_294_2007_V3_IRT_Planilha Básica_março2009_Balanço" xfId="346" xr:uid="{00000000-0005-0000-0000-0000B1070000}"/>
    <cellStyle name="_PLPT MOCOCA-2009_PLANILHA_CÁLCULO_DÉFICIT_RESOLUÇÃO_294_2007_V3_IRT_Planilha Básica_março2009_Balanço 2" xfId="1317" xr:uid="{00000000-0005-0000-0000-0000B2070000}"/>
    <cellStyle name="_PLPT MOCOCA-2009_PLANILHA_CÁLCULO_DÉFICIT_RESOLUÇÃO_294_2007_V3_IRT_Planilha Básica_março2009_casulo 15" xfId="347" xr:uid="{00000000-0005-0000-0000-0000B3070000}"/>
    <cellStyle name="_PLPT MOCOCA-2009_PLANILHA_CÁLCULO_DÉFICIT_RESOLUÇÃO_294_2007_V3_IRT_Planilha Básica_março2009_casulo 5" xfId="348" xr:uid="{00000000-0005-0000-0000-0000B4070000}"/>
    <cellStyle name="_PLPT MOCOCA-2009_PLANILHA_CÁLCULO_DÉFICIT_RESOLUÇÃO_294_2007_V3_IRT_Planilha Básica_março2009_casulo 5 2" xfId="1318" xr:uid="{00000000-0005-0000-0000-0000B5070000}"/>
    <cellStyle name="_PLPT MOCOCA-2009_PLANILHA_CÁLCULO_DÉFICIT_RESOLUÇÃO_294_2007_V3_IRT_Planilha Básica_março2009_casulo 5_Balanço" xfId="349" xr:uid="{00000000-0005-0000-0000-0000B6070000}"/>
    <cellStyle name="_PLPT MOCOCA-2009_PLANILHA_CÁLCULO_DÉFICIT_RESOLUÇÃO_294_2007_V3_IRT_Planilha Básica_março2009_casulo 5_casulo 15" xfId="350" xr:uid="{00000000-0005-0000-0000-0000B7070000}"/>
    <cellStyle name="_PLPT MOCOCA-2009_PLANILHA_CÁLCULO_DÉFICIT_RESOLUÇÃO_294_2007_V3_IRT_Planilha Básica_março2009_casulo 5_IRT EEB 2010" xfId="4031" xr:uid="{00000000-0005-0000-0000-0000B8070000}"/>
    <cellStyle name="_PLPT MOCOCA-2009_PLANILHA_CÁLCULO_DÉFICIT_RESOLUÇÃO_294_2007_V3_IRT_Planilha Básica_março2009_COELCE  ICMS Não Compensado RTO 2012 281211" xfId="4032" xr:uid="{00000000-0005-0000-0000-0000B9070000}"/>
    <cellStyle name="_PLPT MOCOCA-2009_PLANILHA_CÁLCULO_DÉFICIT_RESOLUÇÃO_294_2007_V3_IRT_Planilha Básica_março2009_COELCE - RTO 2011 - PLPT_PLANILHA_CÁLCULO_DÉFICIT" xfId="4033" xr:uid="{00000000-0005-0000-0000-0000BA070000}"/>
    <cellStyle name="_PLPT MOCOCA-2009_PLANILHA_CÁLCULO_DÉFICIT_RESOLUÇÃO_294_2007_V3_IRT_Planilha Básica_março2009_IRT EEB 2010" xfId="4034" xr:uid="{00000000-0005-0000-0000-0000BB070000}"/>
    <cellStyle name="_PLPT MOCOCA-2009_PLANILHA_CÁLCULO_DÉFICIT_RESOLUÇÃO_294_2007_V3_IRT_Planilha Básica_março2009_IRT Piratininga 2009" xfId="351" xr:uid="{00000000-0005-0000-0000-0000BC070000}"/>
    <cellStyle name="_PLPT MOCOCA-2009_PLANILHA_CÁLCULO_DÉFICIT_RESOLUÇÃO_294_2007_V3_IRT_Planilha Básica_março2009_IRT Piratininga 2009 2" xfId="1319" xr:uid="{00000000-0005-0000-0000-0000BD070000}"/>
    <cellStyle name="_PLPT MOCOCA-2009_PLANILHA_CÁLCULO_DÉFICIT_RESOLUÇÃO_294_2007_V3_IRT_Planilha Básica_março2009_IRT Piratininga 2009_Balanço" xfId="352" xr:uid="{00000000-0005-0000-0000-0000BE070000}"/>
    <cellStyle name="_PLPT MOCOCA-2009_PLANILHA_CÁLCULO_DÉFICIT_RESOLUÇÃO_294_2007_V3_IRT_Planilha Básica_março2009_IRT Piratininga 2009_casulo 15" xfId="353" xr:uid="{00000000-0005-0000-0000-0000BF070000}"/>
    <cellStyle name="_PLPT MOCOCA-2009_PLANILHA_CÁLCULO_DÉFICIT_RESOLUÇÃO_294_2007_V3_IRT_Planilha Básica_março2009_IRT Piratininga 2009_IRT EEB 2010" xfId="4035" xr:uid="{00000000-0005-0000-0000-0000C0070000}"/>
    <cellStyle name="_PLPT MOCOCA-2009_PLANILHA_CÁLCULO_DÉFICIT_RESOLUÇÃO_294_2007_V3_IRT_Planilha Básica_março2009_IRT_EBB_mai2010d" xfId="4036" xr:uid="{00000000-0005-0000-0000-0000C1070000}"/>
    <cellStyle name="_PLPT MOCOCA-2009_PLANILHA_CÁLCULO_DÉFICIT_RESOLUÇÃO_294_2007_V3_IRT_Planilha Básica_março2009_IRT_Planilha Básica_ CETRIL" xfId="354" xr:uid="{00000000-0005-0000-0000-0000C2070000}"/>
    <cellStyle name="_PLPT MOCOCA-2009_PLANILHA_CÁLCULO_DÉFICIT_RESOLUÇÃO_294_2007_V3_IRT_Planilha Básica_março2009_IRT_Planilha Básica_ CETRIL 2" xfId="1320" xr:uid="{00000000-0005-0000-0000-0000C3070000}"/>
    <cellStyle name="_PLPT MOCOCA-2009_PLANILHA_CÁLCULO_DÉFICIT_RESOLUÇÃO_294_2007_V3_IRT_Planilha Básica_março2009_IRT_Planilha Básica_ CETRIL_Balanço" xfId="355" xr:uid="{00000000-0005-0000-0000-0000C4070000}"/>
    <cellStyle name="_PLPT MOCOCA-2009_PLANILHA_CÁLCULO_DÉFICIT_RESOLUÇÃO_294_2007_V3_IRT_Planilha Básica_março2009_IRT_Planilha Básica_ CETRIL_casulo 15" xfId="356" xr:uid="{00000000-0005-0000-0000-0000C5070000}"/>
    <cellStyle name="_PLPT MOCOCA-2009_PLANILHA_CÁLCULO_DÉFICIT_RESOLUÇÃO_294_2007_V3_IRT_Planilha Básica_março2009_IRT_Planilha Básica_ CETRIL_IRT EEB 2010" xfId="4037" xr:uid="{00000000-0005-0000-0000-0000C6070000}"/>
    <cellStyle name="_PLPT MOCOCA-2009_PLANILHA_CÁLCULO_DÉFICIT_RESOLUÇÃO_294_2007_V3_IRT_Planilha Básica_março2009_IRT_Planilha Básica_DIRETORIA" xfId="4038" xr:uid="{00000000-0005-0000-0000-0000C7070000}"/>
    <cellStyle name="_PLPT MOCOCA-2009_PLANILHA_CÁLCULO_DÉFICIT_RESOLUÇÃO_294_2007_V3_IRT_Planilha Básica_março2009_IRT_Planilha Básica_fev2010" xfId="4039" xr:uid="{00000000-0005-0000-0000-0000C8070000}"/>
    <cellStyle name="_PLPT MOCOCA-2009_PLANILHA_CÁLCULO_DÉFICIT_RESOLUÇÃO_294_2007_V3_IRT_Planilha Básica_março2009_IRT_Planilha Básica_fev2010a" xfId="357" xr:uid="{00000000-0005-0000-0000-0000C9070000}"/>
    <cellStyle name="_PLPT MOCOCA-2009_PLANILHA_CÁLCULO_DÉFICIT_RESOLUÇÃO_294_2007_V3_IRT_Planilha Básica_março2009_IRT_Planilha Básica_fev2010a 2" xfId="1321" xr:uid="{00000000-0005-0000-0000-0000CA070000}"/>
    <cellStyle name="_PLPT MOCOCA-2009_PLANILHA_CÁLCULO_DÉFICIT_RESOLUÇÃO_294_2007_V3_IRT_Planilha Básica_março2009_IRT_Planilha Básica_fev2010a_Balanço" xfId="358" xr:uid="{00000000-0005-0000-0000-0000CB070000}"/>
    <cellStyle name="_PLPT MOCOCA-2009_PLANILHA_CÁLCULO_DÉFICIT_RESOLUÇÃO_294_2007_V3_IRT_Planilha Básica_março2009_IRT_Planilha Básica_fev2010a_Balanço 2" xfId="1322" xr:uid="{00000000-0005-0000-0000-0000CC070000}"/>
    <cellStyle name="_PLPT MOCOCA-2009_PLANILHA_CÁLCULO_DÉFICIT_RESOLUÇÃO_294_2007_V3_IRT_Planilha Básica_março2009_IRT_Planilha Básica_fev2010a_casulo 15" xfId="359" xr:uid="{00000000-0005-0000-0000-0000CD070000}"/>
    <cellStyle name="_PLPT MOCOCA-2009_PLANILHA_CÁLCULO_DÉFICIT_RESOLUÇÃO_294_2007_V3_IRT_Planilha Básica_março2009_IRT_Planilha Básica_fev2010a_casulo 5" xfId="360" xr:uid="{00000000-0005-0000-0000-0000CE070000}"/>
    <cellStyle name="_PLPT MOCOCA-2009_PLANILHA_CÁLCULO_DÉFICIT_RESOLUÇÃO_294_2007_V3_IRT_Planilha Básica_março2009_IRT_Planilha Básica_fev2010a_casulo 5 2" xfId="1323" xr:uid="{00000000-0005-0000-0000-0000CF070000}"/>
    <cellStyle name="_PLPT MOCOCA-2009_PLANILHA_CÁLCULO_DÉFICIT_RESOLUÇÃO_294_2007_V3_IRT_Planilha Básica_março2009_IRT_Planilha Básica_fev2010a_casulo 5_Balanço" xfId="361" xr:uid="{00000000-0005-0000-0000-0000D0070000}"/>
    <cellStyle name="_PLPT MOCOCA-2009_PLANILHA_CÁLCULO_DÉFICIT_RESOLUÇÃO_294_2007_V3_IRT_Planilha Básica_março2009_IRT_Planilha Básica_fev2010a_casulo 5_casulo 15" xfId="362" xr:uid="{00000000-0005-0000-0000-0000D1070000}"/>
    <cellStyle name="_PLPT MOCOCA-2009_PLANILHA_CÁLCULO_DÉFICIT_RESOLUÇÃO_294_2007_V3_IRT_Planilha Básica_março2009_IRT_Planilha Básica_fev2010a_casulo 5_IRT EEB 2010" xfId="4040" xr:uid="{00000000-0005-0000-0000-0000D2070000}"/>
    <cellStyle name="_PLPT MOCOCA-2009_PLANILHA_CÁLCULO_DÉFICIT_RESOLUÇÃO_294_2007_V3_IRT_Planilha Básica_março2009_IRT_Planilha Básica_fev2010a_IRT EEB 2010" xfId="4041" xr:uid="{00000000-0005-0000-0000-0000D3070000}"/>
    <cellStyle name="_PLPT MOCOCA-2009_PLANILHA_CÁLCULO_DÉFICIT_RESOLUÇÃO_294_2007_V3_IRT_Planilha Básica_março2009_IRT_Planilha Básica_jan2010" xfId="4042" xr:uid="{00000000-0005-0000-0000-0000D4070000}"/>
    <cellStyle name="_PLPT MOCOCA-2009_PLANILHA_CÁLCULO_DÉFICIT_RESOLUÇÃO_294_2007_V3_IRT_Planilha Básica_março2009_IRT_Planilha Básica_mar2010d" xfId="363" xr:uid="{00000000-0005-0000-0000-0000D5070000}"/>
    <cellStyle name="_PLPT MOCOCA-2009_PLANILHA_CÁLCULO_DÉFICIT_RESOLUÇÃO_294_2007_V3_IRT_Planilha Básica_março2009_IRT_Planilha Básica_mar2010d 2" xfId="1324" xr:uid="{00000000-0005-0000-0000-0000D6070000}"/>
    <cellStyle name="_PLPT MOCOCA-2009_PLANILHA_CÁLCULO_DÉFICIT_RESOLUÇÃO_294_2007_V3_IRT_Planilha Básica_março2009_IRT_Planilha Básica_NOVA METODOLOGIA" xfId="4043" xr:uid="{00000000-0005-0000-0000-0000D7070000}"/>
    <cellStyle name="_PLPT MOCOCA-2009_PLANILHA_CÁLCULO_DÉFICIT_RESOLUÇÃO_294_2007_V3_IRT_Planilha Básica_março2009_IRT_Santa 2010" xfId="4044" xr:uid="{00000000-0005-0000-0000-0000D8070000}"/>
    <cellStyle name="_PLPT MOCOCA-2009_PLANILHA_CÁLCULO_DÉFICIT_RESOLUÇÃO_294_2007_V3_IRT_Planilha Básica_março2009_Resultados_DEA_RND_QUAL_PERDAS" xfId="4045" xr:uid="{00000000-0005-0000-0000-0000D9070000}"/>
    <cellStyle name="_PLPT MOCOCA-2009_PLANILHA_CÁLCULO_DÉFICIT_RESOLUÇÃO_294_2007_V3_IRT_Planilha Básica_março2009_Simulação congelamento COELCE 2011 - Propostas 3ª Fase AP040 (20.12.2011)" xfId="4046" xr:uid="{00000000-0005-0000-0000-0000DA070000}"/>
    <cellStyle name="_PLPT MOCOCA-2009_PLANILHA_CÁLCULO_DÉFICIT_RESOLUÇÃO_294_2007_V3_IRT_Planilha Básica_março2009_teste ampla" xfId="364" xr:uid="{00000000-0005-0000-0000-0000DB070000}"/>
    <cellStyle name="_PLPT MOCOCA-2009_PLANILHA_CÁLCULO_DÉFICIT_RESOLUÇÃO_294_2007_V3_IRT_Planilha Básica_março2009_teste ampla 2" xfId="1325" xr:uid="{00000000-0005-0000-0000-0000DC070000}"/>
    <cellStyle name="_PLPT MOCOCA-2009_PLANILHA_CÁLCULO_DÉFICIT_RESOLUÇÃO_294_2007_V3_IRT_Planilha Básica_março2009_teste ampla_Balanço" xfId="365" xr:uid="{00000000-0005-0000-0000-0000DD070000}"/>
    <cellStyle name="_PLPT MOCOCA-2009_PLANILHA_CÁLCULO_DÉFICIT_RESOLUÇÃO_294_2007_V3_IRT_Planilha Básica_março2009_teste ampla_Balanço 2" xfId="1326" xr:uid="{00000000-0005-0000-0000-0000DE070000}"/>
    <cellStyle name="_PLPT MOCOCA-2009_PLANILHA_CÁLCULO_DÉFICIT_RESOLUÇÃO_294_2007_V3_IRT_Planilha Básica_março2009_teste ampla_casulo 15" xfId="366" xr:uid="{00000000-0005-0000-0000-0000DF070000}"/>
    <cellStyle name="_PLPT MOCOCA-2009_PLANILHA_CÁLCULO_DÉFICIT_RESOLUÇÃO_294_2007_V3_IRT_Planilha Básica_março2009_teste ampla_casulo 5" xfId="367" xr:uid="{00000000-0005-0000-0000-0000E0070000}"/>
    <cellStyle name="_PLPT MOCOCA-2009_PLANILHA_CÁLCULO_DÉFICIT_RESOLUÇÃO_294_2007_V3_IRT_Planilha Básica_março2009_teste ampla_casulo 5 2" xfId="1327" xr:uid="{00000000-0005-0000-0000-0000E1070000}"/>
    <cellStyle name="_PLPT MOCOCA-2009_PLANILHA_CÁLCULO_DÉFICIT_RESOLUÇÃO_294_2007_V3_IRT_Planilha Básica_março2009_teste ampla_casulo 5_Balanço" xfId="368" xr:uid="{00000000-0005-0000-0000-0000E2070000}"/>
    <cellStyle name="_PLPT MOCOCA-2009_PLANILHA_CÁLCULO_DÉFICIT_RESOLUÇÃO_294_2007_V3_IRT_Planilha Básica_março2009_teste ampla_casulo 5_casulo 15" xfId="369" xr:uid="{00000000-0005-0000-0000-0000E3070000}"/>
    <cellStyle name="_PLPT MOCOCA-2009_PLANILHA_CÁLCULO_DÉFICIT_RESOLUÇÃO_294_2007_V3_IRT_Planilha Básica_março2009_teste ampla_casulo 5_IRT EEB 2010" xfId="4047" xr:uid="{00000000-0005-0000-0000-0000E4070000}"/>
    <cellStyle name="_PLPT MOCOCA-2009_PLANILHA_CÁLCULO_DÉFICIT_RESOLUÇÃO_294_2007_V3_IRT_Planilha Básica_março2009_teste ampla_IRT EEB 2010" xfId="4048" xr:uid="{00000000-0005-0000-0000-0000E5070000}"/>
    <cellStyle name="_PLPT MOCOCA-2009_PLANILHA_CÁLCULO_DÉFICIT_RESOLUÇÃO_294_2007_V3_IRT-cálculo" xfId="4049" xr:uid="{00000000-0005-0000-0000-0000E6070000}"/>
    <cellStyle name="_PLPT MOCOCA-2009_PLANILHA_CÁLCULO_DÉFICIT_RESOLUÇÃO_294_2007_V3_IRT-cálculo CAPA NEUTRALIDADE" xfId="4050" xr:uid="{00000000-0005-0000-0000-0000E7070000}"/>
    <cellStyle name="_PLPT MOCOCA-2009_PLANILHA_CÁLCULO_DÉFICIT_RESOLUÇÃO_294_2007_V3_Resultados_DEA_RND_QUAL_PERDAS" xfId="4051" xr:uid="{00000000-0005-0000-0000-0000E8070000}"/>
    <cellStyle name="_PLPT MOCOCA-2009_PLANILHA_CÁLCULO_DÉFICIT_RESOLUÇÃO_294_2007_V3_Subsídios para análise da SRE" xfId="370" xr:uid="{00000000-0005-0000-0000-0000E9070000}"/>
    <cellStyle name="_PLPT MOCOCA-2009_PLANILHA_CÁLCULO_DÉFICIT_RESOLUÇÃO_294_2007_V3_Subsídios para análise da SRE 2" xfId="1328" xr:uid="{00000000-0005-0000-0000-0000EA070000}"/>
    <cellStyle name="_PLPT MOCOCA-2009_PLANILHA_CÁLCULO_DÉFICIT_RESOLUÇÃO_294_2007_V3_Subsídios para análise da SRE_02 IRT Bandeirante 2009" xfId="4052" xr:uid="{00000000-0005-0000-0000-0000EB070000}"/>
    <cellStyle name="_PLPT MOCOCA-2009_PLANILHA_CÁLCULO_DÉFICIT_RESOLUÇÃO_294_2007_V3_Subsídios para análise da SRE_1" xfId="4053" xr:uid="{00000000-0005-0000-0000-0000EC070000}"/>
    <cellStyle name="_PLPT MOCOCA-2009_PLANILHA_CÁLCULO_DÉFICIT_RESOLUÇÃO_294_2007_V3_Subsídios para análise da SRE_Balanço" xfId="371" xr:uid="{00000000-0005-0000-0000-0000ED070000}"/>
    <cellStyle name="_PLPT MOCOCA-2009_PLANILHA_CÁLCULO_DÉFICIT_RESOLUÇÃO_294_2007_V3_Subsídios para análise da SRE_Balanço 2" xfId="1329" xr:uid="{00000000-0005-0000-0000-0000EE070000}"/>
    <cellStyle name="_PLPT MOCOCA-2009_PLANILHA_CÁLCULO_DÉFICIT_RESOLUÇÃO_294_2007_V3_Subsídios para análise da SRE_casulo 15" xfId="372" xr:uid="{00000000-0005-0000-0000-0000EF070000}"/>
    <cellStyle name="_PLPT MOCOCA-2009_PLANILHA_CÁLCULO_DÉFICIT_RESOLUÇÃO_294_2007_V3_Subsídios para análise da SRE_casulo 5" xfId="373" xr:uid="{00000000-0005-0000-0000-0000F0070000}"/>
    <cellStyle name="_PLPT MOCOCA-2009_PLANILHA_CÁLCULO_DÉFICIT_RESOLUÇÃO_294_2007_V3_Subsídios para análise da SRE_casulo 5 2" xfId="1330" xr:uid="{00000000-0005-0000-0000-0000F1070000}"/>
    <cellStyle name="_PLPT MOCOCA-2009_PLANILHA_CÁLCULO_DÉFICIT_RESOLUÇÃO_294_2007_V3_Subsídios para análise da SRE_casulo 5_Balanço" xfId="374" xr:uid="{00000000-0005-0000-0000-0000F2070000}"/>
    <cellStyle name="_PLPT MOCOCA-2009_PLANILHA_CÁLCULO_DÉFICIT_RESOLUÇÃO_294_2007_V3_Subsídios para análise da SRE_casulo 5_casulo 15" xfId="375" xr:uid="{00000000-0005-0000-0000-0000F3070000}"/>
    <cellStyle name="_PLPT MOCOCA-2009_PLANILHA_CÁLCULO_DÉFICIT_RESOLUÇÃO_294_2007_V3_Subsídios para análise da SRE_casulo 5_IRT EEB 2010" xfId="4054" xr:uid="{00000000-0005-0000-0000-0000F4070000}"/>
    <cellStyle name="_PLPT MOCOCA-2009_PLANILHA_CÁLCULO_DÉFICIT_RESOLUÇÃO_294_2007_V3_Subsídios para análise da SRE_IRT EEB 2010" xfId="4055" xr:uid="{00000000-0005-0000-0000-0000F5070000}"/>
    <cellStyle name="_PLPT MOCOCA-2009_PLANILHA_CÁLCULO_DÉFICIT_RESOLUÇÃO_294_2007_V3_Subsídios para análise da SRE_IRT Piratininga 2009" xfId="376" xr:uid="{00000000-0005-0000-0000-0000F6070000}"/>
    <cellStyle name="_PLPT MOCOCA-2009_PLANILHA_CÁLCULO_DÉFICIT_RESOLUÇÃO_294_2007_V3_Subsídios para análise da SRE_IRT Piratininga 2009 2" xfId="1331" xr:uid="{00000000-0005-0000-0000-0000F7070000}"/>
    <cellStyle name="_PLPT MOCOCA-2009_PLANILHA_CÁLCULO_DÉFICIT_RESOLUÇÃO_294_2007_V3_Subsídios para análise da SRE_IRT Piratininga 2009_Balanço" xfId="377" xr:uid="{00000000-0005-0000-0000-0000F8070000}"/>
    <cellStyle name="_PLPT MOCOCA-2009_PLANILHA_CÁLCULO_DÉFICIT_RESOLUÇÃO_294_2007_V3_Subsídios para análise da SRE_IRT Piratininga 2009_casulo 15" xfId="378" xr:uid="{00000000-0005-0000-0000-0000F9070000}"/>
    <cellStyle name="_PLPT MOCOCA-2009_PLANILHA_CÁLCULO_DÉFICIT_RESOLUÇÃO_294_2007_V3_Subsídios para análise da SRE_IRT Piratininga 2009_IRT EEB 2010" xfId="4056" xr:uid="{00000000-0005-0000-0000-0000FA070000}"/>
    <cellStyle name="_PLPT MOCOCA-2009_PLANILHA_CÁLCULO_DÉFICIT_RESOLUÇÃO_294_2007_V3_Subsídios para análise da SRE_IRT_EBB_mai2010d" xfId="4057" xr:uid="{00000000-0005-0000-0000-0000FB070000}"/>
    <cellStyle name="_PLPT MOCOCA-2009_PLANILHA_CÁLCULO_DÉFICIT_RESOLUÇÃO_294_2007_V3_Subsídios para análise da SRE_IRT_Planilha Básica_ CETRIL" xfId="379" xr:uid="{00000000-0005-0000-0000-0000FC070000}"/>
    <cellStyle name="_PLPT MOCOCA-2009_PLANILHA_CÁLCULO_DÉFICIT_RESOLUÇÃO_294_2007_V3_Subsídios para análise da SRE_IRT_Planilha Básica_ CETRIL 2" xfId="1332" xr:uid="{00000000-0005-0000-0000-0000FD070000}"/>
    <cellStyle name="_PLPT MOCOCA-2009_PLANILHA_CÁLCULO_DÉFICIT_RESOLUÇÃO_294_2007_V3_Subsídios para análise da SRE_IRT_Planilha Básica_ CETRIL_Balanço" xfId="380" xr:uid="{00000000-0005-0000-0000-0000FE070000}"/>
    <cellStyle name="_PLPT MOCOCA-2009_PLANILHA_CÁLCULO_DÉFICIT_RESOLUÇÃO_294_2007_V3_Subsídios para análise da SRE_IRT_Planilha Básica_ CETRIL_casulo 15" xfId="381" xr:uid="{00000000-0005-0000-0000-0000FF070000}"/>
    <cellStyle name="_PLPT MOCOCA-2009_PLANILHA_CÁLCULO_DÉFICIT_RESOLUÇÃO_294_2007_V3_Subsídios para análise da SRE_IRT_Planilha Básica_ CETRIL_IRT EEB 2010" xfId="4058" xr:uid="{00000000-0005-0000-0000-000000080000}"/>
    <cellStyle name="_PLPT MOCOCA-2009_PLANILHA_CÁLCULO_DÉFICIT_RESOLUÇÃO_294_2007_V3_Subsídios para análise da SRE_IRT_Planilha Básica_DIRETORIA" xfId="4059" xr:uid="{00000000-0005-0000-0000-000001080000}"/>
    <cellStyle name="_PLPT MOCOCA-2009_PLANILHA_CÁLCULO_DÉFICIT_RESOLUÇÃO_294_2007_V3_Subsídios para análise da SRE_IRT_Planilha Básica_fev2010" xfId="4060" xr:uid="{00000000-0005-0000-0000-000002080000}"/>
    <cellStyle name="_PLPT MOCOCA-2009_PLANILHA_CÁLCULO_DÉFICIT_RESOLUÇÃO_294_2007_V3_Subsídios para análise da SRE_IRT_Planilha Básica_fev2010a" xfId="382" xr:uid="{00000000-0005-0000-0000-000003080000}"/>
    <cellStyle name="_PLPT MOCOCA-2009_PLANILHA_CÁLCULO_DÉFICIT_RESOLUÇÃO_294_2007_V3_Subsídios para análise da SRE_IRT_Planilha Básica_fev2010a 2" xfId="1333" xr:uid="{00000000-0005-0000-0000-000004080000}"/>
    <cellStyle name="_PLPT MOCOCA-2009_PLANILHA_CÁLCULO_DÉFICIT_RESOLUÇÃO_294_2007_V3_Subsídios para análise da SRE_IRT_Planilha Básica_fev2010a_Balanço" xfId="383" xr:uid="{00000000-0005-0000-0000-000005080000}"/>
    <cellStyle name="_PLPT MOCOCA-2009_PLANILHA_CÁLCULO_DÉFICIT_RESOLUÇÃO_294_2007_V3_Subsídios para análise da SRE_IRT_Planilha Básica_fev2010a_Balanço 2" xfId="1334" xr:uid="{00000000-0005-0000-0000-000006080000}"/>
    <cellStyle name="_PLPT MOCOCA-2009_PLANILHA_CÁLCULO_DÉFICIT_RESOLUÇÃO_294_2007_V3_Subsídios para análise da SRE_IRT_Planilha Básica_fev2010a_casulo 15" xfId="384" xr:uid="{00000000-0005-0000-0000-000007080000}"/>
    <cellStyle name="_PLPT MOCOCA-2009_PLANILHA_CÁLCULO_DÉFICIT_RESOLUÇÃO_294_2007_V3_Subsídios para análise da SRE_IRT_Planilha Básica_fev2010a_casulo 5" xfId="385" xr:uid="{00000000-0005-0000-0000-000008080000}"/>
    <cellStyle name="_PLPT MOCOCA-2009_PLANILHA_CÁLCULO_DÉFICIT_RESOLUÇÃO_294_2007_V3_Subsídios para análise da SRE_IRT_Planilha Básica_fev2010a_casulo 5 2" xfId="1335" xr:uid="{00000000-0005-0000-0000-000009080000}"/>
    <cellStyle name="_PLPT MOCOCA-2009_PLANILHA_CÁLCULO_DÉFICIT_RESOLUÇÃO_294_2007_V3_Subsídios para análise da SRE_IRT_Planilha Básica_fev2010a_casulo 5_Balanço" xfId="386" xr:uid="{00000000-0005-0000-0000-00000A080000}"/>
    <cellStyle name="_PLPT MOCOCA-2009_PLANILHA_CÁLCULO_DÉFICIT_RESOLUÇÃO_294_2007_V3_Subsídios para análise da SRE_IRT_Planilha Básica_fev2010a_casulo 5_casulo 15" xfId="387" xr:uid="{00000000-0005-0000-0000-00000B080000}"/>
    <cellStyle name="_PLPT MOCOCA-2009_PLANILHA_CÁLCULO_DÉFICIT_RESOLUÇÃO_294_2007_V3_Subsídios para análise da SRE_IRT_Planilha Básica_fev2010a_casulo 5_IRT EEB 2010" xfId="4061" xr:uid="{00000000-0005-0000-0000-00000C080000}"/>
    <cellStyle name="_PLPT MOCOCA-2009_PLANILHA_CÁLCULO_DÉFICIT_RESOLUÇÃO_294_2007_V3_Subsídios para análise da SRE_IRT_Planilha Básica_fev2010a_IRT EEB 2010" xfId="4062" xr:uid="{00000000-0005-0000-0000-00000D080000}"/>
    <cellStyle name="_PLPT MOCOCA-2009_PLANILHA_CÁLCULO_DÉFICIT_RESOLUÇÃO_294_2007_V3_Subsídios para análise da SRE_IRT_Planilha Básica_jan2010" xfId="4063" xr:uid="{00000000-0005-0000-0000-00000E080000}"/>
    <cellStyle name="_PLPT MOCOCA-2009_PLANILHA_CÁLCULO_DÉFICIT_RESOLUÇÃO_294_2007_V3_Subsídios para análise da SRE_IRT_Planilha Básica_mar2010b" xfId="4064" xr:uid="{00000000-0005-0000-0000-00000F080000}"/>
    <cellStyle name="_PLPT MOCOCA-2009_PLANILHA_CÁLCULO_DÉFICIT_RESOLUÇÃO_294_2007_V3_Subsídios para análise da SRE_IRT_Planilha Básica_mar2010d" xfId="388" xr:uid="{00000000-0005-0000-0000-000010080000}"/>
    <cellStyle name="_PLPT MOCOCA-2009_PLANILHA_CÁLCULO_DÉFICIT_RESOLUÇÃO_294_2007_V3_Subsídios para análise da SRE_IRT_Planilha Básica_mar2010d 2" xfId="1336" xr:uid="{00000000-0005-0000-0000-000011080000}"/>
    <cellStyle name="_PLPT MOCOCA-2009_PLANILHA_CÁLCULO_DÉFICIT_RESOLUÇÃO_294_2007_V3_Subsídios para análise da SRE_IRT_Planilha Básica_NOVA METODOLOGIA" xfId="4065" xr:uid="{00000000-0005-0000-0000-000012080000}"/>
    <cellStyle name="_PLPT MOCOCA-2009_PLANILHA_CÁLCULO_DÉFICIT_RESOLUÇÃO_294_2007_V3_Subsídios para análise da SRE_IRT_Santa 2010" xfId="4066" xr:uid="{00000000-0005-0000-0000-000013080000}"/>
    <cellStyle name="_PLPT MOCOCA-2009_PLANILHA_CÁLCULO_DÉFICIT_RESOLUÇÃO_294_2007_V3_Subsídios para análise da SRE_IRT-cálculo" xfId="4067" xr:uid="{00000000-0005-0000-0000-000014080000}"/>
    <cellStyle name="_PLPT MOCOCA-2009_PLANILHA_CÁLCULO_DÉFICIT_RESOLUÇÃO_294_2007_V3_Subsídios para análise da SRE_IRT-cálculo CAPA NEUTRALIDADE" xfId="4068" xr:uid="{00000000-0005-0000-0000-000015080000}"/>
    <cellStyle name="_PLPT MOCOCA-2009_PLANILHA_CÁLCULO_DÉFICIT_RESOLUÇÃO_294_2007_V3_Subsídios para análise da SRE_Resultados_DEA_RND_QUAL_PERDAS" xfId="4069" xr:uid="{00000000-0005-0000-0000-000016080000}"/>
    <cellStyle name="_PLPT MOCOCA-2009_PLANILHA_CÁLCULO_DÉFICIT_RESOLUÇÃO_294_2007_V3_Subsídios para análise da SRE_teste ampla" xfId="389" xr:uid="{00000000-0005-0000-0000-000017080000}"/>
    <cellStyle name="_PLPT MOCOCA-2009_PLANILHA_CÁLCULO_DÉFICIT_RESOLUÇÃO_294_2007_V3_Subsídios para análise da SRE_teste ampla 2" xfId="1337" xr:uid="{00000000-0005-0000-0000-000018080000}"/>
    <cellStyle name="_PLPT MOCOCA-2009_PLANILHA_CÁLCULO_DÉFICIT_RESOLUÇÃO_294_2007_V3_Subsídios para análise da SRE_teste ampla_Balanço" xfId="390" xr:uid="{00000000-0005-0000-0000-000019080000}"/>
    <cellStyle name="_PLPT MOCOCA-2009_PLANILHA_CÁLCULO_DÉFICIT_RESOLUÇÃO_294_2007_V3_Subsídios para análise da SRE_teste ampla_Balanço 2" xfId="1338" xr:uid="{00000000-0005-0000-0000-00001A080000}"/>
    <cellStyle name="_PLPT MOCOCA-2009_PLANILHA_CÁLCULO_DÉFICIT_RESOLUÇÃO_294_2007_V3_Subsídios para análise da SRE_teste ampla_casulo 15" xfId="391" xr:uid="{00000000-0005-0000-0000-00001B080000}"/>
    <cellStyle name="_PLPT MOCOCA-2009_PLANILHA_CÁLCULO_DÉFICIT_RESOLUÇÃO_294_2007_V3_Subsídios para análise da SRE_teste ampla_casulo 5" xfId="392" xr:uid="{00000000-0005-0000-0000-00001C080000}"/>
    <cellStyle name="_PLPT MOCOCA-2009_PLANILHA_CÁLCULO_DÉFICIT_RESOLUÇÃO_294_2007_V3_Subsídios para análise da SRE_teste ampla_casulo 5 2" xfId="1339" xr:uid="{00000000-0005-0000-0000-00001D080000}"/>
    <cellStyle name="_PLPT MOCOCA-2009_PLANILHA_CÁLCULO_DÉFICIT_RESOLUÇÃO_294_2007_V3_Subsídios para análise da SRE_teste ampla_casulo 5_Balanço" xfId="393" xr:uid="{00000000-0005-0000-0000-00001E080000}"/>
    <cellStyle name="_PLPT MOCOCA-2009_PLANILHA_CÁLCULO_DÉFICIT_RESOLUÇÃO_294_2007_V3_Subsídios para análise da SRE_teste ampla_casulo 5_casulo 15" xfId="394" xr:uid="{00000000-0005-0000-0000-00001F080000}"/>
    <cellStyle name="_PLPT MOCOCA-2009_PLANILHA_CÁLCULO_DÉFICIT_RESOLUÇÃO_294_2007_V3_Subsídios para análise da SRE_teste ampla_casulo 5_IRT EEB 2010" xfId="4070" xr:uid="{00000000-0005-0000-0000-000020080000}"/>
    <cellStyle name="_PLPT MOCOCA-2009_PLANILHA_CÁLCULO_DÉFICIT_RESOLUÇÃO_294_2007_V3_Subsídios para análise da SRE_teste ampla_IRT EEB 2010" xfId="4071" xr:uid="{00000000-0005-0000-0000-000021080000}"/>
    <cellStyle name="_PLPT MOCOCA-2009_PLANILHA_CÁLCULO_DÉFICIT_RESOLUÇÃO_294_2007_V3_SubsídiosAnáliseSRE_COSERN_IRT-2010" xfId="1609" xr:uid="{00000000-0005-0000-0000-000022080000}"/>
    <cellStyle name="_PLPT_EPB_2010 " xfId="4072" xr:uid="{00000000-0005-0000-0000-000023080000}"/>
    <cellStyle name="_PLPT_PLANILHA_ANEEL" xfId="4073" xr:uid="{00000000-0005-0000-0000-000024080000}"/>
    <cellStyle name="_PLPT_PLANILHA_ANEEL_FINAL_12_07" xfId="4074" xr:uid="{00000000-0005-0000-0000-000025080000}"/>
    <cellStyle name="_PLPT_PLANILHA_ANEEL_mbl" xfId="4075" xr:uid="{00000000-0005-0000-0000-000026080000}"/>
    <cellStyle name="_PLPT_PLANILHA_CÁLCULO_DÉFICIT até revisão2007" xfId="4076" xr:uid="{00000000-0005-0000-0000-000027080000}"/>
    <cellStyle name="_PLPT_PLANILHA_CÁLCULO_DÉFICIT_RESOLUÇÃO_294_2007" xfId="4077" xr:uid="{00000000-0005-0000-0000-000028080000}"/>
    <cellStyle name="_PLPT_PLANILHA_CÁLCULO_DÉFICIT_RESOLUÇÃO_294_2007_antes Da Revisão" xfId="4078" xr:uid="{00000000-0005-0000-0000-000029080000}"/>
    <cellStyle name="_PLPT_PLANILHA_CÁLCULO_DÉFICIT_RESOLUÇÃO_294_2007_CELG 2008" xfId="4079" xr:uid="{00000000-0005-0000-0000-00002A080000}"/>
    <cellStyle name="_PLPT_PLANILHA_CÁLCULO_DÉFICIT_RESOLUÇÃO_294_2007_COELCE_Sem_Gov_Estado_pos_Rev2007" xfId="395" xr:uid="{00000000-0005-0000-0000-00002B080000}"/>
    <cellStyle name="_PLPT_PLANILHA_CÁLCULO_DÉFICIT_RESOLUÇÃO_294_2007_COELCE_Sem_Gov_Estado_pos_Rev2007 2" xfId="1340" xr:uid="{00000000-0005-0000-0000-00002C080000}"/>
    <cellStyle name="_PLPT_PLANILHA_CÁLCULO_DÉFICIT_RESOLUÇÃO_294_2007_COELCE_Sem_Gov_Estado_pos_Rev2007 3" xfId="4080" xr:uid="{00000000-0005-0000-0000-00002D080000}"/>
    <cellStyle name="_PLPT_PLANILHA_CÁLCULO_DÉFICIT_RESOLUÇÃO_294_2007_COELCE_Sem_Gov_Estado_pos_Rev2007_02 IRT COSERN 2009" xfId="1610" xr:uid="{00000000-0005-0000-0000-00002E080000}"/>
    <cellStyle name="_PLPT_PLANILHA_CÁLCULO_DÉFICIT_RESOLUÇÃO_294_2007_COELCE_Sem_Gov_Estado_pos_Rev2007_2008.08.07 CELPA IRT2008 Homologado" xfId="4081" xr:uid="{00000000-0005-0000-0000-00002F080000}"/>
    <cellStyle name="_PLPT_PLANILHA_CÁLCULO_DÉFICIT_RESOLUÇÃO_294_2007_COELCE_Sem_Gov_Estado_pos_Rev2007_Ajustes REAJUSTE 2008 ELETROPAULO" xfId="4082" xr:uid="{00000000-0005-0000-0000-000030080000}"/>
    <cellStyle name="_PLPT_PLANILHA_CÁLCULO_DÉFICIT_RESOLUÇÃO_294_2007_COELCE_Sem_Gov_Estado_pos_Rev2007_Ajustes REAJUSTE 2008 ELETROPAULO_IRT-cálculo" xfId="4083" xr:uid="{00000000-0005-0000-0000-000031080000}"/>
    <cellStyle name="_PLPT_PLANILHA_CÁLCULO_DÉFICIT_RESOLUÇÃO_294_2007_COELCE_Sem_Gov_Estado_pos_Rev2007_Ajustes REAJUSTE 2008 ELETROPAULO_IRT-cálculo CAPA NEUTRALIDADE" xfId="4084" xr:uid="{00000000-0005-0000-0000-000032080000}"/>
    <cellStyle name="_PLPT_PLANILHA_CÁLCULO_DÉFICIT_RESOLUÇÃO_294_2007_COELCE_Sem_Gov_Estado_pos_Rev2007_Ajustes REVISÃO 2007 ELETROPAULO" xfId="4085" xr:uid="{00000000-0005-0000-0000-000033080000}"/>
    <cellStyle name="_PLPT_PLANILHA_CÁLCULO_DÉFICIT_RESOLUÇÃO_294_2007_COELCE_Sem_Gov_Estado_pos_Rev2007_Ajustes REVISÃO 2007 ELETROPAULO_IRT-cálculo" xfId="4086" xr:uid="{00000000-0005-0000-0000-000034080000}"/>
    <cellStyle name="_PLPT_PLANILHA_CÁLCULO_DÉFICIT_RESOLUÇÃO_294_2007_COELCE_Sem_Gov_Estado_pos_Rev2007_Ajustes REVISÃO 2007 ELETROPAULO_IRT-cálculo CAPA NEUTRALIDADE" xfId="4087" xr:uid="{00000000-0005-0000-0000-000035080000}"/>
    <cellStyle name="_PLPT_PLANILHA_CÁLCULO_DÉFICIT_RESOLUÇÃO_294_2007_COELCE_Sem_Gov_Estado_pos_Rev2007_Balanço" xfId="396" xr:uid="{00000000-0005-0000-0000-000036080000}"/>
    <cellStyle name="_PLPT_PLANILHA_CÁLCULO_DÉFICIT_RESOLUÇÃO_294_2007_COELCE_Sem_Gov_Estado_pos_Rev2007_Balanço 2" xfId="1341" xr:uid="{00000000-0005-0000-0000-000037080000}"/>
    <cellStyle name="_PLPT_PLANILHA_CÁLCULO_DÉFICIT_RESOLUÇÃO_294_2007_COELCE_Sem_Gov_Estado_pos_Rev2007_Calculo_Subsidio_ELFSM_26_06_08_Modelo_ANEEL" xfId="4088" xr:uid="{00000000-0005-0000-0000-000038080000}"/>
    <cellStyle name="_PLPT_PLANILHA_CÁLCULO_DÉFICIT_RESOLUÇÃO_294_2007_COELCE_Sem_Gov_Estado_pos_Rev2007_Calculo_Subsidio_ELFSM_26_06_08_Modelo_ANEEL_IRT-cálculo" xfId="4089" xr:uid="{00000000-0005-0000-0000-000039080000}"/>
    <cellStyle name="_PLPT_PLANILHA_CÁLCULO_DÉFICIT_RESOLUÇÃO_294_2007_COELCE_Sem_Gov_Estado_pos_Rev2007_Calculo_Subsidio_ELFSM_26_06_08_Modelo_ANEEL_IRT-cálculo CAPA NEUTRALIDADE" xfId="4090" xr:uid="{00000000-0005-0000-0000-00003A080000}"/>
    <cellStyle name="_PLPT_PLANILHA_CÁLCULO_DÉFICIT_RESOLUÇÃO_294_2007_COELCE_Sem_Gov_Estado_pos_Rev2007_casulo 15" xfId="397" xr:uid="{00000000-0005-0000-0000-00003B080000}"/>
    <cellStyle name="_PLPT_PLANILHA_CÁLCULO_DÉFICIT_RESOLUÇÃO_294_2007_COELCE_Sem_Gov_Estado_pos_Rev2007_casulo 5" xfId="398" xr:uid="{00000000-0005-0000-0000-00003C080000}"/>
    <cellStyle name="_PLPT_PLANILHA_CÁLCULO_DÉFICIT_RESOLUÇÃO_294_2007_COELCE_Sem_Gov_Estado_pos_Rev2007_casulo 5 2" xfId="1342" xr:uid="{00000000-0005-0000-0000-00003D080000}"/>
    <cellStyle name="_PLPT_PLANILHA_CÁLCULO_DÉFICIT_RESOLUÇÃO_294_2007_COELCE_Sem_Gov_Estado_pos_Rev2007_casulo 5_Balanço" xfId="399" xr:uid="{00000000-0005-0000-0000-00003E080000}"/>
    <cellStyle name="_PLPT_PLANILHA_CÁLCULO_DÉFICIT_RESOLUÇÃO_294_2007_COELCE_Sem_Gov_Estado_pos_Rev2007_casulo 5_casulo 15" xfId="400" xr:uid="{00000000-0005-0000-0000-00003F080000}"/>
    <cellStyle name="_PLPT_PLANILHA_CÁLCULO_DÉFICIT_RESOLUÇÃO_294_2007_COELCE_Sem_Gov_Estado_pos_Rev2007_casulo 5_IRT EEB 2010" xfId="4091" xr:uid="{00000000-0005-0000-0000-000040080000}"/>
    <cellStyle name="_PLPT_PLANILHA_CÁLCULO_DÉFICIT_RESOLUÇÃO_294_2007_COELCE_Sem_Gov_Estado_pos_Rev2007_Cópia de IRT_CPFL_LESTE_PAULISTA(CPEE)_fev2009-COM_PREVISÃO_BR_da_Diretoria_pos_IGPM" xfId="401" xr:uid="{00000000-0005-0000-0000-000041080000}"/>
    <cellStyle name="_PLPT_PLANILHA_CÁLCULO_DÉFICIT_RESOLUÇÃO_294_2007_COELCE_Sem_Gov_Estado_pos_Rev2007_Cópia de IRT_CPFL_LESTE_PAULISTA(CPEE)_fev2009-COM_PREVISÃO_BR_da_Diretoria_pos_IGPM 2" xfId="1343" xr:uid="{00000000-0005-0000-0000-000042080000}"/>
    <cellStyle name="_PLPT_PLANILHA_CÁLCULO_DÉFICIT_RESOLUÇÃO_294_2007_COELCE_Sem_Gov_Estado_pos_Rev2007_Cópia de IRT_CPFL_LESTE_PAULISTA(CPEE)_fev2009-COM_PREVISÃO_BR_da_Diretoria_pos_IGPM_Balanço" xfId="402" xr:uid="{00000000-0005-0000-0000-000043080000}"/>
    <cellStyle name="_PLPT_PLANILHA_CÁLCULO_DÉFICIT_RESOLUÇÃO_294_2007_COELCE_Sem_Gov_Estado_pos_Rev2007_Cópia de IRT_CPFL_LESTE_PAULISTA(CPEE)_fev2009-COM_PREVISÃO_BR_da_Diretoria_pos_IGPM_Balanço 2" xfId="1344" xr:uid="{00000000-0005-0000-0000-000044080000}"/>
    <cellStyle name="_PLPT_PLANILHA_CÁLCULO_DÉFICIT_RESOLUÇÃO_294_2007_COELCE_Sem_Gov_Estado_pos_Rev2007_Cópia de IRT_CPFL_LESTE_PAULISTA(CPEE)_fev2009-COM_PREVISÃO_BR_da_Diretoria_pos_IGPM_casulo 15" xfId="403" xr:uid="{00000000-0005-0000-0000-000045080000}"/>
    <cellStyle name="_PLPT_PLANILHA_CÁLCULO_DÉFICIT_RESOLUÇÃO_294_2007_COELCE_Sem_Gov_Estado_pos_Rev2007_Cópia de IRT_CPFL_LESTE_PAULISTA(CPEE)_fev2009-COM_PREVISÃO_BR_da_Diretoria_pos_IGPM_casulo 5" xfId="404" xr:uid="{00000000-0005-0000-0000-000046080000}"/>
    <cellStyle name="_PLPT_PLANILHA_CÁLCULO_DÉFICIT_RESOLUÇÃO_294_2007_COELCE_Sem_Gov_Estado_pos_Rev2007_Cópia de IRT_CPFL_LESTE_PAULISTA(CPEE)_fev2009-COM_PREVISÃO_BR_da_Diretoria_pos_IGPM_casulo 5 2" xfId="1345" xr:uid="{00000000-0005-0000-0000-000047080000}"/>
    <cellStyle name="_PLPT_PLANILHA_CÁLCULO_DÉFICIT_RESOLUÇÃO_294_2007_COELCE_Sem_Gov_Estado_pos_Rev2007_Cópia de IRT_CPFL_LESTE_PAULISTA(CPEE)_fev2009-COM_PREVISÃO_BR_da_Diretoria_pos_IGPM_casulo 5_Balanço" xfId="405" xr:uid="{00000000-0005-0000-0000-000048080000}"/>
    <cellStyle name="_PLPT_PLANILHA_CÁLCULO_DÉFICIT_RESOLUÇÃO_294_2007_COELCE_Sem_Gov_Estado_pos_Rev2007_Cópia de IRT_CPFL_LESTE_PAULISTA(CPEE)_fev2009-COM_PREVISÃO_BR_da_Diretoria_pos_IGPM_casulo 5_casulo 15" xfId="406" xr:uid="{00000000-0005-0000-0000-000049080000}"/>
    <cellStyle name="_PLPT_PLANILHA_CÁLCULO_DÉFICIT_RESOLUÇÃO_294_2007_COELCE_Sem_Gov_Estado_pos_Rev2007_Cópia de IRT_CPFL_LESTE_PAULISTA(CPEE)_fev2009-COM_PREVISÃO_BR_da_Diretoria_pos_IGPM_casulo 5_IRT EEB 2010" xfId="4092" xr:uid="{00000000-0005-0000-0000-00004A080000}"/>
    <cellStyle name="_PLPT_PLANILHA_CÁLCULO_DÉFICIT_RESOLUÇÃO_294_2007_COELCE_Sem_Gov_Estado_pos_Rev2007_Cópia de IRT_CPFL_LESTE_PAULISTA(CPEE)_fev2009-COM_PREVISÃO_BR_da_Diretoria_pos_IGPM_IRT EEB 2010" xfId="4093" xr:uid="{00000000-0005-0000-0000-00004B080000}"/>
    <cellStyle name="_PLPT_PLANILHA_CÁLCULO_DÉFICIT_RESOLUÇÃO_294_2007_COELCE_Sem_Gov_Estado_pos_Rev2007_Exposição" xfId="4094" xr:uid="{00000000-0005-0000-0000-00004C080000}"/>
    <cellStyle name="_PLPT_PLANILHA_CÁLCULO_DÉFICIT_RESOLUÇÃO_294_2007_COELCE_Sem_Gov_Estado_pos_Rev2007_Exposição 2008" xfId="4095" xr:uid="{00000000-0005-0000-0000-00004D080000}"/>
    <cellStyle name="_PLPT_PLANILHA_CÁLCULO_DÉFICIT_RESOLUÇÃO_294_2007_COELCE_Sem_Gov_Estado_pos_Rev2007_Exposição_Agosto 1" xfId="4096" xr:uid="{00000000-0005-0000-0000-00004E080000}"/>
    <cellStyle name="_PLPT_PLANILHA_CÁLCULO_DÉFICIT_RESOLUÇÃO_294_2007_COELCE_Sem_Gov_Estado_pos_Rev2007_IRT" xfId="4097" xr:uid="{00000000-0005-0000-0000-00004F080000}"/>
    <cellStyle name="_PLPT_PLANILHA_CÁLCULO_DÉFICIT_RESOLUÇÃO_294_2007_COELCE_Sem_Gov_Estado_pos_Rev2007_IRT EEB 2010" xfId="4098" xr:uid="{00000000-0005-0000-0000-000050080000}"/>
    <cellStyle name="_PLPT_PLANILHA_CÁLCULO_DÉFICIT_RESOLUÇÃO_294_2007_COELCE_Sem_Gov_Estado_pos_Rev2007_IRT Piratininga 2009" xfId="407" xr:uid="{00000000-0005-0000-0000-000051080000}"/>
    <cellStyle name="_PLPT_PLANILHA_CÁLCULO_DÉFICIT_RESOLUÇÃO_294_2007_COELCE_Sem_Gov_Estado_pos_Rev2007_IRT Piratininga 2009 2" xfId="1346" xr:uid="{00000000-0005-0000-0000-000052080000}"/>
    <cellStyle name="_PLPT_PLANILHA_CÁLCULO_DÉFICIT_RESOLUÇÃO_294_2007_COELCE_Sem_Gov_Estado_pos_Rev2007_IRT Piratininga 2009_Balanço" xfId="408" xr:uid="{00000000-0005-0000-0000-000053080000}"/>
    <cellStyle name="_PLPT_PLANILHA_CÁLCULO_DÉFICIT_RESOLUÇÃO_294_2007_COELCE_Sem_Gov_Estado_pos_Rev2007_IRT Piratininga 2009_casulo 15" xfId="409" xr:uid="{00000000-0005-0000-0000-000054080000}"/>
    <cellStyle name="_PLPT_PLANILHA_CÁLCULO_DÉFICIT_RESOLUÇÃO_294_2007_COELCE_Sem_Gov_Estado_pos_Rev2007_IRT Piratininga 2009_IRT EEB 2010" xfId="4099" xr:uid="{00000000-0005-0000-0000-000055080000}"/>
    <cellStyle name="_PLPT_PLANILHA_CÁLCULO_DÉFICIT_RESOLUÇÃO_294_2007_COELCE_Sem_Gov_Estado_pos_Rev2007_IRT Reloaded" xfId="410" xr:uid="{00000000-0005-0000-0000-000056080000}"/>
    <cellStyle name="_PLPT_PLANILHA_CÁLCULO_DÉFICIT_RESOLUÇÃO_294_2007_COELCE_Sem_Gov_Estado_pos_Rev2007_IRT Reloaded 2" xfId="1347" xr:uid="{00000000-0005-0000-0000-000057080000}"/>
    <cellStyle name="_PLPT_PLANILHA_CÁLCULO_DÉFICIT_RESOLUÇÃO_294_2007_COELCE_Sem_Gov_Estado_pos_Rev2007_IRT Reloaded_Balanço" xfId="411" xr:uid="{00000000-0005-0000-0000-000058080000}"/>
    <cellStyle name="_PLPT_PLANILHA_CÁLCULO_DÉFICIT_RESOLUÇÃO_294_2007_COELCE_Sem_Gov_Estado_pos_Rev2007_IRT Reloaded_Balanço 2" xfId="1348" xr:uid="{00000000-0005-0000-0000-000059080000}"/>
    <cellStyle name="_PLPT_PLANILHA_CÁLCULO_DÉFICIT_RESOLUÇÃO_294_2007_COELCE_Sem_Gov_Estado_pos_Rev2007_IRT Reloaded_casulo 15" xfId="412" xr:uid="{00000000-0005-0000-0000-00005A080000}"/>
    <cellStyle name="_PLPT_PLANILHA_CÁLCULO_DÉFICIT_RESOLUÇÃO_294_2007_COELCE_Sem_Gov_Estado_pos_Rev2007_IRT Reloaded_casulo 5" xfId="413" xr:uid="{00000000-0005-0000-0000-00005B080000}"/>
    <cellStyle name="_PLPT_PLANILHA_CÁLCULO_DÉFICIT_RESOLUÇÃO_294_2007_COELCE_Sem_Gov_Estado_pos_Rev2007_IRT Reloaded_casulo 5 2" xfId="1349" xr:uid="{00000000-0005-0000-0000-00005C080000}"/>
    <cellStyle name="_PLPT_PLANILHA_CÁLCULO_DÉFICIT_RESOLUÇÃO_294_2007_COELCE_Sem_Gov_Estado_pos_Rev2007_IRT Reloaded_casulo 5_Balanço" xfId="414" xr:uid="{00000000-0005-0000-0000-00005D080000}"/>
    <cellStyle name="_PLPT_PLANILHA_CÁLCULO_DÉFICIT_RESOLUÇÃO_294_2007_COELCE_Sem_Gov_Estado_pos_Rev2007_IRT Reloaded_casulo 5_casulo 15" xfId="415" xr:uid="{00000000-0005-0000-0000-00005E080000}"/>
    <cellStyle name="_PLPT_PLANILHA_CÁLCULO_DÉFICIT_RESOLUÇÃO_294_2007_COELCE_Sem_Gov_Estado_pos_Rev2007_IRT Reloaded_casulo 5_IRT EEB 2010" xfId="4100" xr:uid="{00000000-0005-0000-0000-00005F080000}"/>
    <cellStyle name="_PLPT_PLANILHA_CÁLCULO_DÉFICIT_RESOLUÇÃO_294_2007_COELCE_Sem_Gov_Estado_pos_Rev2007_IRT Reloaded_IRT EEB 2010" xfId="4101" xr:uid="{00000000-0005-0000-0000-000060080000}"/>
    <cellStyle name="_PLPT_PLANILHA_CÁLCULO_DÉFICIT_RESOLUÇÃO_294_2007_COELCE_Sem_Gov_Estado_pos_Rev2007_IRT_1" xfId="1611" xr:uid="{00000000-0005-0000-0000-000061080000}"/>
    <cellStyle name="_PLPT_PLANILHA_CÁLCULO_DÉFICIT_RESOLUÇÃO_294_2007_COELCE_Sem_Gov_Estado_pos_Rev2007_IRT_1 2" xfId="4102" xr:uid="{00000000-0005-0000-0000-000062080000}"/>
    <cellStyle name="_PLPT_PLANILHA_CÁLCULO_DÉFICIT_RESOLUÇÃO_294_2007_COELCE_Sem_Gov_Estado_pos_Rev2007_IRT_1_IRT-cálculo" xfId="4103" xr:uid="{00000000-0005-0000-0000-000063080000}"/>
    <cellStyle name="_PLPT_PLANILHA_CÁLCULO_DÉFICIT_RESOLUÇÃO_294_2007_COELCE_Sem_Gov_Estado_pos_Rev2007_IRT_1_IRT-cálculo CAPA NEUTRALIDADE" xfId="4104" xr:uid="{00000000-0005-0000-0000-000064080000}"/>
    <cellStyle name="_PLPT_PLANILHA_CÁLCULO_DÉFICIT_RESOLUÇÃO_294_2007_COELCE_Sem_Gov_Estado_pos_Rev2007_IRT_1_SOBRECONTRATAÇÃO E CVA" xfId="4105" xr:uid="{00000000-0005-0000-0000-000065080000}"/>
    <cellStyle name="_PLPT_PLANILHA_CÁLCULO_DÉFICIT_RESOLUÇÃO_294_2007_COELCE_Sem_Gov_Estado_pos_Rev2007_IRT_Bragantina_maio_2009" xfId="4106" xr:uid="{00000000-0005-0000-0000-000066080000}"/>
    <cellStyle name="_PLPT_PLANILHA_CÁLCULO_DÉFICIT_RESOLUÇÃO_294_2007_COELCE_Sem_Gov_Estado_pos_Rev2007_IRT_CEMAT_2009" xfId="4107" xr:uid="{00000000-0005-0000-0000-000067080000}"/>
    <cellStyle name="_PLPT_PLANILHA_CÁLCULO_DÉFICIT_RESOLUÇÃO_294_2007_COELCE_Sem_Gov_Estado_pos_Rev2007_IRT_COELCE_abr2008" xfId="1612" xr:uid="{00000000-0005-0000-0000-000068080000}"/>
    <cellStyle name="_PLPT_PLANILHA_CÁLCULO_DÉFICIT_RESOLUÇÃO_294_2007_COELCE_Sem_Gov_Estado_pos_Rev2007_IRT_COELCE_abr2008 2" xfId="4108" xr:uid="{00000000-0005-0000-0000-000069080000}"/>
    <cellStyle name="_PLPT_PLANILHA_CÁLCULO_DÉFICIT_RESOLUÇÃO_294_2007_COELCE_Sem_Gov_Estado_pos_Rev2007_IRT_COELCE_abr2008_COELCE - RTO 2011 - PLPT_PLANILHA_CÁLCULO_DÉFICIT" xfId="4109" xr:uid="{00000000-0005-0000-0000-00006A080000}"/>
    <cellStyle name="_PLPT_PLANILHA_CÁLCULO_DÉFICIT_RESOLUÇÃO_294_2007_COELCE_Sem_Gov_Estado_pos_Rev2007_IRT_EBB_mai2010d" xfId="4110" xr:uid="{00000000-0005-0000-0000-00006B080000}"/>
    <cellStyle name="_PLPT_PLANILHA_CÁLCULO_DÉFICIT_RESOLUÇÃO_294_2007_COELCE_Sem_Gov_Estado_pos_Rev2007_IRT_ENERGISA_SE_abr2009" xfId="4111" xr:uid="{00000000-0005-0000-0000-00006C080000}"/>
    <cellStyle name="_PLPT_PLANILHA_CÁLCULO_DÉFICIT_RESOLUÇÃO_294_2007_COELCE_Sem_Gov_Estado_pos_Rev2007_IRT_ENF" xfId="4112" xr:uid="{00000000-0005-0000-0000-00006D080000}"/>
    <cellStyle name="_PLPT_PLANILHA_CÁLCULO_DÉFICIT_RESOLUÇÃO_294_2007_COELCE_Sem_Gov_Estado_pos_Rev2007_IRT_Escelsa" xfId="4113" xr:uid="{00000000-0005-0000-0000-00006E080000}"/>
    <cellStyle name="_PLPT_PLANILHA_CÁLCULO_DÉFICIT_RESOLUÇÃO_294_2007_COELCE_Sem_Gov_Estado_pos_Rev2007_IRT_Planilha Básica_ CETRIL" xfId="416" xr:uid="{00000000-0005-0000-0000-00006F080000}"/>
    <cellStyle name="_PLPT_PLANILHA_CÁLCULO_DÉFICIT_RESOLUÇÃO_294_2007_COELCE_Sem_Gov_Estado_pos_Rev2007_IRT_Planilha Básica_ CETRIL 2" xfId="1350" xr:uid="{00000000-0005-0000-0000-000070080000}"/>
    <cellStyle name="_PLPT_PLANILHA_CÁLCULO_DÉFICIT_RESOLUÇÃO_294_2007_COELCE_Sem_Gov_Estado_pos_Rev2007_IRT_Planilha Básica_ CETRIL_Balanço" xfId="417" xr:uid="{00000000-0005-0000-0000-000071080000}"/>
    <cellStyle name="_PLPT_PLANILHA_CÁLCULO_DÉFICIT_RESOLUÇÃO_294_2007_COELCE_Sem_Gov_Estado_pos_Rev2007_IRT_Planilha Básica_ CETRIL_casulo 15" xfId="418" xr:uid="{00000000-0005-0000-0000-000072080000}"/>
    <cellStyle name="_PLPT_PLANILHA_CÁLCULO_DÉFICIT_RESOLUÇÃO_294_2007_COELCE_Sem_Gov_Estado_pos_Rev2007_IRT_Planilha Básica_ CETRIL_IRT EEB 2010" xfId="4114" xr:uid="{00000000-0005-0000-0000-000073080000}"/>
    <cellStyle name="_PLPT_PLANILHA_CÁLCULO_DÉFICIT_RESOLUÇÃO_294_2007_COELCE_Sem_Gov_Estado_pos_Rev2007_IRT_Planilha Básica_30jun2009" xfId="4115" xr:uid="{00000000-0005-0000-0000-000074080000}"/>
    <cellStyle name="_PLPT_PLANILHA_CÁLCULO_DÉFICIT_RESOLUÇÃO_294_2007_COELCE_Sem_Gov_Estado_pos_Rev2007_IRT_Planilha Básica_DIRETORIA" xfId="4116" xr:uid="{00000000-0005-0000-0000-000075080000}"/>
    <cellStyle name="_PLPT_PLANILHA_CÁLCULO_DÉFICIT_RESOLUÇÃO_294_2007_COELCE_Sem_Gov_Estado_pos_Rev2007_IRT_Planilha Básica_fev2010" xfId="4117" xr:uid="{00000000-0005-0000-0000-000076080000}"/>
    <cellStyle name="_PLPT_PLANILHA_CÁLCULO_DÉFICIT_RESOLUÇÃO_294_2007_COELCE_Sem_Gov_Estado_pos_Rev2007_IRT_Planilha Básica_fev2010a" xfId="419" xr:uid="{00000000-0005-0000-0000-000077080000}"/>
    <cellStyle name="_PLPT_PLANILHA_CÁLCULO_DÉFICIT_RESOLUÇÃO_294_2007_COELCE_Sem_Gov_Estado_pos_Rev2007_IRT_Planilha Básica_fev2010a 2" xfId="1351" xr:uid="{00000000-0005-0000-0000-000078080000}"/>
    <cellStyle name="_PLPT_PLANILHA_CÁLCULO_DÉFICIT_RESOLUÇÃO_294_2007_COELCE_Sem_Gov_Estado_pos_Rev2007_IRT_Planilha Básica_fev2010a_Balanço" xfId="420" xr:uid="{00000000-0005-0000-0000-000079080000}"/>
    <cellStyle name="_PLPT_PLANILHA_CÁLCULO_DÉFICIT_RESOLUÇÃO_294_2007_COELCE_Sem_Gov_Estado_pos_Rev2007_IRT_Planilha Básica_fev2010a_Balanço 2" xfId="1352" xr:uid="{00000000-0005-0000-0000-00007A080000}"/>
    <cellStyle name="_PLPT_PLANILHA_CÁLCULO_DÉFICIT_RESOLUÇÃO_294_2007_COELCE_Sem_Gov_Estado_pos_Rev2007_IRT_Planilha Básica_fev2010a_casulo 15" xfId="421" xr:uid="{00000000-0005-0000-0000-00007B080000}"/>
    <cellStyle name="_PLPT_PLANILHA_CÁLCULO_DÉFICIT_RESOLUÇÃO_294_2007_COELCE_Sem_Gov_Estado_pos_Rev2007_IRT_Planilha Básica_fev2010a_casulo 5" xfId="422" xr:uid="{00000000-0005-0000-0000-00007C080000}"/>
    <cellStyle name="_PLPT_PLANILHA_CÁLCULO_DÉFICIT_RESOLUÇÃO_294_2007_COELCE_Sem_Gov_Estado_pos_Rev2007_IRT_Planilha Básica_fev2010a_casulo 5 2" xfId="1353" xr:uid="{00000000-0005-0000-0000-00007D080000}"/>
    <cellStyle name="_PLPT_PLANILHA_CÁLCULO_DÉFICIT_RESOLUÇÃO_294_2007_COELCE_Sem_Gov_Estado_pos_Rev2007_IRT_Planilha Básica_fev2010a_casulo 5_Balanço" xfId="423" xr:uid="{00000000-0005-0000-0000-00007E080000}"/>
    <cellStyle name="_PLPT_PLANILHA_CÁLCULO_DÉFICIT_RESOLUÇÃO_294_2007_COELCE_Sem_Gov_Estado_pos_Rev2007_IRT_Planilha Básica_fev2010a_casulo 5_casulo 15" xfId="424" xr:uid="{00000000-0005-0000-0000-00007F080000}"/>
    <cellStyle name="_PLPT_PLANILHA_CÁLCULO_DÉFICIT_RESOLUÇÃO_294_2007_COELCE_Sem_Gov_Estado_pos_Rev2007_IRT_Planilha Básica_fev2010a_casulo 5_IRT EEB 2010" xfId="4118" xr:uid="{00000000-0005-0000-0000-000080080000}"/>
    <cellStyle name="_PLPT_PLANILHA_CÁLCULO_DÉFICIT_RESOLUÇÃO_294_2007_COELCE_Sem_Gov_Estado_pos_Rev2007_IRT_Planilha Básica_fev2010a_IRT EEB 2010" xfId="4119" xr:uid="{00000000-0005-0000-0000-000081080000}"/>
    <cellStyle name="_PLPT_PLANILHA_CÁLCULO_DÉFICIT_RESOLUÇÃO_294_2007_COELCE_Sem_Gov_Estado_pos_Rev2007_IRT_Planilha Básica_jun2009" xfId="4120" xr:uid="{00000000-0005-0000-0000-000082080000}"/>
    <cellStyle name="_PLPT_PLANILHA_CÁLCULO_DÉFICIT_RESOLUÇÃO_294_2007_COELCE_Sem_Gov_Estado_pos_Rev2007_IRT_Planilha Básica_mar2010b" xfId="4121" xr:uid="{00000000-0005-0000-0000-000083080000}"/>
    <cellStyle name="_PLPT_PLANILHA_CÁLCULO_DÉFICIT_RESOLUÇÃO_294_2007_COELCE_Sem_Gov_Estado_pos_Rev2007_IRT_Planilha Básica_mar2010d" xfId="425" xr:uid="{00000000-0005-0000-0000-000084080000}"/>
    <cellStyle name="_PLPT_PLANILHA_CÁLCULO_DÉFICIT_RESOLUÇÃO_294_2007_COELCE_Sem_Gov_Estado_pos_Rev2007_IRT_Planilha Básica_mar2010d 2" xfId="1354" xr:uid="{00000000-0005-0000-0000-000085080000}"/>
    <cellStyle name="_PLPT_PLANILHA_CÁLCULO_DÉFICIT_RESOLUÇÃO_294_2007_COELCE_Sem_Gov_Estado_pos_Rev2007_IRT_Planilha Básica_março2009" xfId="426" xr:uid="{00000000-0005-0000-0000-000086080000}"/>
    <cellStyle name="_PLPT_PLANILHA_CÁLCULO_DÉFICIT_RESOLUÇÃO_294_2007_COELCE_Sem_Gov_Estado_pos_Rev2007_IRT_Planilha Básica_março2009 2" xfId="1355" xr:uid="{00000000-0005-0000-0000-000087080000}"/>
    <cellStyle name="_PLPT_PLANILHA_CÁLCULO_DÉFICIT_RESOLUÇÃO_294_2007_COELCE_Sem_Gov_Estado_pos_Rev2007_IRT_Planilha Básica_março2009_02 IRT Bandeirante 2009" xfId="4122" xr:uid="{00000000-0005-0000-0000-000088080000}"/>
    <cellStyle name="_PLPT_PLANILHA_CÁLCULO_DÉFICIT_RESOLUÇÃO_294_2007_COELCE_Sem_Gov_Estado_pos_Rev2007_IRT_Planilha Básica_março2009_Balanço" xfId="427" xr:uid="{00000000-0005-0000-0000-000089080000}"/>
    <cellStyle name="_PLPT_PLANILHA_CÁLCULO_DÉFICIT_RESOLUÇÃO_294_2007_COELCE_Sem_Gov_Estado_pos_Rev2007_IRT_Planilha Básica_março2009_Balanço 2" xfId="1356" xr:uid="{00000000-0005-0000-0000-00008A080000}"/>
    <cellStyle name="_PLPT_PLANILHA_CÁLCULO_DÉFICIT_RESOLUÇÃO_294_2007_COELCE_Sem_Gov_Estado_pos_Rev2007_IRT_Planilha Básica_março2009_casulo 15" xfId="428" xr:uid="{00000000-0005-0000-0000-00008B080000}"/>
    <cellStyle name="_PLPT_PLANILHA_CÁLCULO_DÉFICIT_RESOLUÇÃO_294_2007_COELCE_Sem_Gov_Estado_pos_Rev2007_IRT_Planilha Básica_março2009_casulo 5" xfId="429" xr:uid="{00000000-0005-0000-0000-00008C080000}"/>
    <cellStyle name="_PLPT_PLANILHA_CÁLCULO_DÉFICIT_RESOLUÇÃO_294_2007_COELCE_Sem_Gov_Estado_pos_Rev2007_IRT_Planilha Básica_março2009_casulo 5 2" xfId="1357" xr:uid="{00000000-0005-0000-0000-00008D080000}"/>
    <cellStyle name="_PLPT_PLANILHA_CÁLCULO_DÉFICIT_RESOLUÇÃO_294_2007_COELCE_Sem_Gov_Estado_pos_Rev2007_IRT_Planilha Básica_março2009_casulo 5_Balanço" xfId="430" xr:uid="{00000000-0005-0000-0000-00008E080000}"/>
    <cellStyle name="_PLPT_PLANILHA_CÁLCULO_DÉFICIT_RESOLUÇÃO_294_2007_COELCE_Sem_Gov_Estado_pos_Rev2007_IRT_Planilha Básica_março2009_casulo 5_casulo 15" xfId="431" xr:uid="{00000000-0005-0000-0000-00008F080000}"/>
    <cellStyle name="_PLPT_PLANILHA_CÁLCULO_DÉFICIT_RESOLUÇÃO_294_2007_COELCE_Sem_Gov_Estado_pos_Rev2007_IRT_Planilha Básica_março2009_casulo 5_IRT EEB 2010" xfId="4123" xr:uid="{00000000-0005-0000-0000-000090080000}"/>
    <cellStyle name="_PLPT_PLANILHA_CÁLCULO_DÉFICIT_RESOLUÇÃO_294_2007_COELCE_Sem_Gov_Estado_pos_Rev2007_IRT_Planilha Básica_março2009_COELCE  ICMS Não Compensado RTO 2012 281211" xfId="4124" xr:uid="{00000000-0005-0000-0000-000091080000}"/>
    <cellStyle name="_PLPT_PLANILHA_CÁLCULO_DÉFICIT_RESOLUÇÃO_294_2007_COELCE_Sem_Gov_Estado_pos_Rev2007_IRT_Planilha Básica_março2009_COELCE - RTO 2011 - PLPT_PLANILHA_CÁLCULO_DÉFICIT" xfId="4125" xr:uid="{00000000-0005-0000-0000-000092080000}"/>
    <cellStyle name="_PLPT_PLANILHA_CÁLCULO_DÉFICIT_RESOLUÇÃO_294_2007_COELCE_Sem_Gov_Estado_pos_Rev2007_IRT_Planilha Básica_março2009_IRT EEB 2010" xfId="4126" xr:uid="{00000000-0005-0000-0000-000093080000}"/>
    <cellStyle name="_PLPT_PLANILHA_CÁLCULO_DÉFICIT_RESOLUÇÃO_294_2007_COELCE_Sem_Gov_Estado_pos_Rev2007_IRT_Planilha Básica_março2009_IRT Piratininga 2009" xfId="432" xr:uid="{00000000-0005-0000-0000-000094080000}"/>
    <cellStyle name="_PLPT_PLANILHA_CÁLCULO_DÉFICIT_RESOLUÇÃO_294_2007_COELCE_Sem_Gov_Estado_pos_Rev2007_IRT_Planilha Básica_março2009_IRT Piratininga 2009 2" xfId="1358" xr:uid="{00000000-0005-0000-0000-000095080000}"/>
    <cellStyle name="_PLPT_PLANILHA_CÁLCULO_DÉFICIT_RESOLUÇÃO_294_2007_COELCE_Sem_Gov_Estado_pos_Rev2007_IRT_Planilha Básica_março2009_IRT Piratininga 2009_Balanço" xfId="433" xr:uid="{00000000-0005-0000-0000-000096080000}"/>
    <cellStyle name="_PLPT_PLANILHA_CÁLCULO_DÉFICIT_RESOLUÇÃO_294_2007_COELCE_Sem_Gov_Estado_pos_Rev2007_IRT_Planilha Básica_março2009_IRT Piratininga 2009_casulo 15" xfId="434" xr:uid="{00000000-0005-0000-0000-000097080000}"/>
    <cellStyle name="_PLPT_PLANILHA_CÁLCULO_DÉFICIT_RESOLUÇÃO_294_2007_COELCE_Sem_Gov_Estado_pos_Rev2007_IRT_Planilha Básica_março2009_IRT Piratininga 2009_IRT EEB 2010" xfId="4127" xr:uid="{00000000-0005-0000-0000-000098080000}"/>
    <cellStyle name="_PLPT_PLANILHA_CÁLCULO_DÉFICIT_RESOLUÇÃO_294_2007_COELCE_Sem_Gov_Estado_pos_Rev2007_IRT_Planilha Básica_março2009_IRT_EBB_mai2010d" xfId="4128" xr:uid="{00000000-0005-0000-0000-000099080000}"/>
    <cellStyle name="_PLPT_PLANILHA_CÁLCULO_DÉFICIT_RESOLUÇÃO_294_2007_COELCE_Sem_Gov_Estado_pos_Rev2007_IRT_Planilha Básica_março2009_IRT_Planilha Básica_ CETRIL" xfId="435" xr:uid="{00000000-0005-0000-0000-00009A080000}"/>
    <cellStyle name="_PLPT_PLANILHA_CÁLCULO_DÉFICIT_RESOLUÇÃO_294_2007_COELCE_Sem_Gov_Estado_pos_Rev2007_IRT_Planilha Básica_março2009_IRT_Planilha Básica_ CETRIL 2" xfId="1359" xr:uid="{00000000-0005-0000-0000-00009B080000}"/>
    <cellStyle name="_PLPT_PLANILHA_CÁLCULO_DÉFICIT_RESOLUÇÃO_294_2007_COELCE_Sem_Gov_Estado_pos_Rev2007_IRT_Planilha Básica_março2009_IRT_Planilha Básica_ CETRIL_Balanço" xfId="436" xr:uid="{00000000-0005-0000-0000-00009C080000}"/>
    <cellStyle name="_PLPT_PLANILHA_CÁLCULO_DÉFICIT_RESOLUÇÃO_294_2007_COELCE_Sem_Gov_Estado_pos_Rev2007_IRT_Planilha Básica_março2009_IRT_Planilha Básica_ CETRIL_casulo 15" xfId="437" xr:uid="{00000000-0005-0000-0000-00009D080000}"/>
    <cellStyle name="_PLPT_PLANILHA_CÁLCULO_DÉFICIT_RESOLUÇÃO_294_2007_COELCE_Sem_Gov_Estado_pos_Rev2007_IRT_Planilha Básica_março2009_IRT_Planilha Básica_ CETRIL_IRT EEB 2010" xfId="4129" xr:uid="{00000000-0005-0000-0000-00009E080000}"/>
    <cellStyle name="_PLPT_PLANILHA_CÁLCULO_DÉFICIT_RESOLUÇÃO_294_2007_COELCE_Sem_Gov_Estado_pos_Rev2007_IRT_Planilha Básica_março2009_IRT_Planilha Básica_DIRETORIA" xfId="4130" xr:uid="{00000000-0005-0000-0000-00009F080000}"/>
    <cellStyle name="_PLPT_PLANILHA_CÁLCULO_DÉFICIT_RESOLUÇÃO_294_2007_COELCE_Sem_Gov_Estado_pos_Rev2007_IRT_Planilha Básica_março2009_IRT_Planilha Básica_fev2010" xfId="4131" xr:uid="{00000000-0005-0000-0000-0000A0080000}"/>
    <cellStyle name="_PLPT_PLANILHA_CÁLCULO_DÉFICIT_RESOLUÇÃO_294_2007_COELCE_Sem_Gov_Estado_pos_Rev2007_IRT_Planilha Básica_março2009_IRT_Planilha Básica_fev2010a" xfId="438" xr:uid="{00000000-0005-0000-0000-0000A1080000}"/>
    <cellStyle name="_PLPT_PLANILHA_CÁLCULO_DÉFICIT_RESOLUÇÃO_294_2007_COELCE_Sem_Gov_Estado_pos_Rev2007_IRT_Planilha Básica_março2009_IRT_Planilha Básica_fev2010a 2" xfId="1360" xr:uid="{00000000-0005-0000-0000-0000A2080000}"/>
    <cellStyle name="_PLPT_PLANILHA_CÁLCULO_DÉFICIT_RESOLUÇÃO_294_2007_COELCE_Sem_Gov_Estado_pos_Rev2007_IRT_Planilha Básica_março2009_IRT_Planilha Básica_fev2010a_Balanço" xfId="439" xr:uid="{00000000-0005-0000-0000-0000A3080000}"/>
    <cellStyle name="_PLPT_PLANILHA_CÁLCULO_DÉFICIT_RESOLUÇÃO_294_2007_COELCE_Sem_Gov_Estado_pos_Rev2007_IRT_Planilha Básica_março2009_IRT_Planilha Básica_fev2010a_Balanço 2" xfId="1361" xr:uid="{00000000-0005-0000-0000-0000A4080000}"/>
    <cellStyle name="_PLPT_PLANILHA_CÁLCULO_DÉFICIT_RESOLUÇÃO_294_2007_COELCE_Sem_Gov_Estado_pos_Rev2007_IRT_Planilha Básica_março2009_IRT_Planilha Básica_fev2010a_casulo 15" xfId="440" xr:uid="{00000000-0005-0000-0000-0000A5080000}"/>
    <cellStyle name="_PLPT_PLANILHA_CÁLCULO_DÉFICIT_RESOLUÇÃO_294_2007_COELCE_Sem_Gov_Estado_pos_Rev2007_IRT_Planilha Básica_março2009_IRT_Planilha Básica_fev2010a_casulo 5" xfId="441" xr:uid="{00000000-0005-0000-0000-0000A6080000}"/>
    <cellStyle name="_PLPT_PLANILHA_CÁLCULO_DÉFICIT_RESOLUÇÃO_294_2007_COELCE_Sem_Gov_Estado_pos_Rev2007_IRT_Planilha Básica_março2009_IRT_Planilha Básica_fev2010a_casulo 5 2" xfId="1362" xr:uid="{00000000-0005-0000-0000-0000A7080000}"/>
    <cellStyle name="_PLPT_PLANILHA_CÁLCULO_DÉFICIT_RESOLUÇÃO_294_2007_COELCE_Sem_Gov_Estado_pos_Rev2007_IRT_Planilha Básica_março2009_IRT_Planilha Básica_fev2010a_casulo 5_Balanço" xfId="442" xr:uid="{00000000-0005-0000-0000-0000A8080000}"/>
    <cellStyle name="_PLPT_PLANILHA_CÁLCULO_DÉFICIT_RESOLUÇÃO_294_2007_COELCE_Sem_Gov_Estado_pos_Rev2007_IRT_Planilha Básica_março2009_IRT_Planilha Básica_fev2010a_casulo 5_casulo 15" xfId="443" xr:uid="{00000000-0005-0000-0000-0000A9080000}"/>
    <cellStyle name="_PLPT_PLANILHA_CÁLCULO_DÉFICIT_RESOLUÇÃO_294_2007_COELCE_Sem_Gov_Estado_pos_Rev2007_IRT_Planilha Básica_março2009_IRT_Planilha Básica_fev2010a_casulo 5_IRT EEB 2010" xfId="4132" xr:uid="{00000000-0005-0000-0000-0000AA080000}"/>
    <cellStyle name="_PLPT_PLANILHA_CÁLCULO_DÉFICIT_RESOLUÇÃO_294_2007_COELCE_Sem_Gov_Estado_pos_Rev2007_IRT_Planilha Básica_março2009_IRT_Planilha Básica_fev2010a_IRT EEB 2010" xfId="4133" xr:uid="{00000000-0005-0000-0000-0000AB080000}"/>
    <cellStyle name="_PLPT_PLANILHA_CÁLCULO_DÉFICIT_RESOLUÇÃO_294_2007_COELCE_Sem_Gov_Estado_pos_Rev2007_IRT_Planilha Básica_março2009_IRT_Planilha Básica_jan2010" xfId="4134" xr:uid="{00000000-0005-0000-0000-0000AC080000}"/>
    <cellStyle name="_PLPT_PLANILHA_CÁLCULO_DÉFICIT_RESOLUÇÃO_294_2007_COELCE_Sem_Gov_Estado_pos_Rev2007_IRT_Planilha Básica_março2009_IRT_Planilha Básica_mar2010d" xfId="444" xr:uid="{00000000-0005-0000-0000-0000AD080000}"/>
    <cellStyle name="_PLPT_PLANILHA_CÁLCULO_DÉFICIT_RESOLUÇÃO_294_2007_COELCE_Sem_Gov_Estado_pos_Rev2007_IRT_Planilha Básica_março2009_IRT_Planilha Básica_mar2010d 2" xfId="1363" xr:uid="{00000000-0005-0000-0000-0000AE080000}"/>
    <cellStyle name="_PLPT_PLANILHA_CÁLCULO_DÉFICIT_RESOLUÇÃO_294_2007_COELCE_Sem_Gov_Estado_pos_Rev2007_IRT_Planilha Básica_março2009_IRT_Planilha Básica_NOVA METODOLOGIA" xfId="4135" xr:uid="{00000000-0005-0000-0000-0000AF080000}"/>
    <cellStyle name="_PLPT_PLANILHA_CÁLCULO_DÉFICIT_RESOLUÇÃO_294_2007_COELCE_Sem_Gov_Estado_pos_Rev2007_IRT_Planilha Básica_março2009_IRT_Santa 2010" xfId="4136" xr:uid="{00000000-0005-0000-0000-0000B0080000}"/>
    <cellStyle name="_PLPT_PLANILHA_CÁLCULO_DÉFICIT_RESOLUÇÃO_294_2007_COELCE_Sem_Gov_Estado_pos_Rev2007_IRT_Planilha Básica_março2009_Resultados_DEA_RND_QUAL_PERDAS" xfId="4137" xr:uid="{00000000-0005-0000-0000-0000B1080000}"/>
    <cellStyle name="_PLPT_PLANILHA_CÁLCULO_DÉFICIT_RESOLUÇÃO_294_2007_COELCE_Sem_Gov_Estado_pos_Rev2007_IRT_Planilha Básica_março2009_Simulação congelamento COELCE 2011 - Propostas 3ª Fase AP040 (20.12.2011)" xfId="4138" xr:uid="{00000000-0005-0000-0000-0000B2080000}"/>
    <cellStyle name="_PLPT_PLANILHA_CÁLCULO_DÉFICIT_RESOLUÇÃO_294_2007_COELCE_Sem_Gov_Estado_pos_Rev2007_IRT_Planilha Básica_março2009_teste ampla" xfId="445" xr:uid="{00000000-0005-0000-0000-0000B3080000}"/>
    <cellStyle name="_PLPT_PLANILHA_CÁLCULO_DÉFICIT_RESOLUÇÃO_294_2007_COELCE_Sem_Gov_Estado_pos_Rev2007_IRT_Planilha Básica_março2009_teste ampla 2" xfId="1364" xr:uid="{00000000-0005-0000-0000-0000B4080000}"/>
    <cellStyle name="_PLPT_PLANILHA_CÁLCULO_DÉFICIT_RESOLUÇÃO_294_2007_COELCE_Sem_Gov_Estado_pos_Rev2007_IRT_Planilha Básica_março2009_teste ampla_Balanço" xfId="446" xr:uid="{00000000-0005-0000-0000-0000B5080000}"/>
    <cellStyle name="_PLPT_PLANILHA_CÁLCULO_DÉFICIT_RESOLUÇÃO_294_2007_COELCE_Sem_Gov_Estado_pos_Rev2007_IRT_Planilha Básica_março2009_teste ampla_Balanço 2" xfId="1365" xr:uid="{00000000-0005-0000-0000-0000B6080000}"/>
    <cellStyle name="_PLPT_PLANILHA_CÁLCULO_DÉFICIT_RESOLUÇÃO_294_2007_COELCE_Sem_Gov_Estado_pos_Rev2007_IRT_Planilha Básica_março2009_teste ampla_casulo 15" xfId="447" xr:uid="{00000000-0005-0000-0000-0000B7080000}"/>
    <cellStyle name="_PLPT_PLANILHA_CÁLCULO_DÉFICIT_RESOLUÇÃO_294_2007_COELCE_Sem_Gov_Estado_pos_Rev2007_IRT_Planilha Básica_março2009_teste ampla_casulo 5" xfId="448" xr:uid="{00000000-0005-0000-0000-0000B8080000}"/>
    <cellStyle name="_PLPT_PLANILHA_CÁLCULO_DÉFICIT_RESOLUÇÃO_294_2007_COELCE_Sem_Gov_Estado_pos_Rev2007_IRT_Planilha Básica_março2009_teste ampla_casulo 5 2" xfId="1366" xr:uid="{00000000-0005-0000-0000-0000B9080000}"/>
    <cellStyle name="_PLPT_PLANILHA_CÁLCULO_DÉFICIT_RESOLUÇÃO_294_2007_COELCE_Sem_Gov_Estado_pos_Rev2007_IRT_Planilha Básica_março2009_teste ampla_casulo 5_Balanço" xfId="449" xr:uid="{00000000-0005-0000-0000-0000BA080000}"/>
    <cellStyle name="_PLPT_PLANILHA_CÁLCULO_DÉFICIT_RESOLUÇÃO_294_2007_COELCE_Sem_Gov_Estado_pos_Rev2007_IRT_Planilha Básica_março2009_teste ampla_casulo 5_casulo 15" xfId="450" xr:uid="{00000000-0005-0000-0000-0000BB080000}"/>
    <cellStyle name="_PLPT_PLANILHA_CÁLCULO_DÉFICIT_RESOLUÇÃO_294_2007_COELCE_Sem_Gov_Estado_pos_Rev2007_IRT_Planilha Básica_março2009_teste ampla_casulo 5_IRT EEB 2010" xfId="4139" xr:uid="{00000000-0005-0000-0000-0000BC080000}"/>
    <cellStyle name="_PLPT_PLANILHA_CÁLCULO_DÉFICIT_RESOLUÇÃO_294_2007_COELCE_Sem_Gov_Estado_pos_Rev2007_IRT_Planilha Básica_março2009_teste ampla_IRT EEB 2010" xfId="4140" xr:uid="{00000000-0005-0000-0000-0000BD080000}"/>
    <cellStyle name="_PLPT_PLANILHA_CÁLCULO_DÉFICIT_RESOLUÇÃO_294_2007_COELCE_Sem_Gov_Estado_pos_Rev2007_IRT_Planilha Básica_NOVA METODOLOGIA" xfId="4141" xr:uid="{00000000-0005-0000-0000-0000BE080000}"/>
    <cellStyle name="_PLPT_PLANILHA_CÁLCULO_DÉFICIT_RESOLUÇÃO_294_2007_COELCE_Sem_Gov_Estado_pos_Rev2007_IRT_Planilha Básica_out2009" xfId="451" xr:uid="{00000000-0005-0000-0000-0000BF080000}"/>
    <cellStyle name="_PLPT_PLANILHA_CÁLCULO_DÉFICIT_RESOLUÇÃO_294_2007_COELCE_Sem_Gov_Estado_pos_Rev2007_IRT_Planilha Básica_out2009 2" xfId="1367" xr:uid="{00000000-0005-0000-0000-0000C0080000}"/>
    <cellStyle name="_PLPT_PLANILHA_CÁLCULO_DÉFICIT_RESOLUÇÃO_294_2007_COELCE_Sem_Gov_Estado_pos_Rev2007_IRT_Planilha Básica_out2009_Balanço" xfId="452" xr:uid="{00000000-0005-0000-0000-0000C1080000}"/>
    <cellStyle name="_PLPT_PLANILHA_CÁLCULO_DÉFICIT_RESOLUÇÃO_294_2007_COELCE_Sem_Gov_Estado_pos_Rev2007_IRT_Planilha Básica_out2009_Balanço 2" xfId="1368" xr:uid="{00000000-0005-0000-0000-0000C2080000}"/>
    <cellStyle name="_PLPT_PLANILHA_CÁLCULO_DÉFICIT_RESOLUÇÃO_294_2007_COELCE_Sem_Gov_Estado_pos_Rev2007_IRT_Planilha Básica_out2009_casulo 15" xfId="453" xr:uid="{00000000-0005-0000-0000-0000C3080000}"/>
    <cellStyle name="_PLPT_PLANILHA_CÁLCULO_DÉFICIT_RESOLUÇÃO_294_2007_COELCE_Sem_Gov_Estado_pos_Rev2007_IRT_Planilha Básica_out2009_casulo 5" xfId="454" xr:uid="{00000000-0005-0000-0000-0000C4080000}"/>
    <cellStyle name="_PLPT_PLANILHA_CÁLCULO_DÉFICIT_RESOLUÇÃO_294_2007_COELCE_Sem_Gov_Estado_pos_Rev2007_IRT_Planilha Básica_out2009_casulo 5 2" xfId="1369" xr:uid="{00000000-0005-0000-0000-0000C5080000}"/>
    <cellStyle name="_PLPT_PLANILHA_CÁLCULO_DÉFICIT_RESOLUÇÃO_294_2007_COELCE_Sem_Gov_Estado_pos_Rev2007_IRT_Planilha Básica_out2009_casulo 5_Balanço" xfId="455" xr:uid="{00000000-0005-0000-0000-0000C6080000}"/>
    <cellStyle name="_PLPT_PLANILHA_CÁLCULO_DÉFICIT_RESOLUÇÃO_294_2007_COELCE_Sem_Gov_Estado_pos_Rev2007_IRT_Planilha Básica_out2009_casulo 5_casulo 15" xfId="456" xr:uid="{00000000-0005-0000-0000-0000C7080000}"/>
    <cellStyle name="_PLPT_PLANILHA_CÁLCULO_DÉFICIT_RESOLUÇÃO_294_2007_COELCE_Sem_Gov_Estado_pos_Rev2007_IRT_Planilha Básica_out2009_casulo 5_IRT EEB 2010" xfId="4142" xr:uid="{00000000-0005-0000-0000-0000C8080000}"/>
    <cellStyle name="_PLPT_PLANILHA_CÁLCULO_DÉFICIT_RESOLUÇÃO_294_2007_COELCE_Sem_Gov_Estado_pos_Rev2007_IRT_Planilha Básica_out2009_IRT EEB 2010" xfId="4143" xr:uid="{00000000-0005-0000-0000-0000C9080000}"/>
    <cellStyle name="_PLPT_PLANILHA_CÁLCULO_DÉFICIT_RESOLUÇÃO_294_2007_COELCE_Sem_Gov_Estado_pos_Rev2007_IRT_Pleito" xfId="4144" xr:uid="{00000000-0005-0000-0000-0000CA080000}"/>
    <cellStyle name="_PLPT_PLANILHA_CÁLCULO_DÉFICIT_RESOLUÇÃO_294_2007_COELCE_Sem_Gov_Estado_pos_Rev2007_IRT_Pleito_IRT-cálculo" xfId="4145" xr:uid="{00000000-0005-0000-0000-0000CB080000}"/>
    <cellStyle name="_PLPT_PLANILHA_CÁLCULO_DÉFICIT_RESOLUÇÃO_294_2007_COELCE_Sem_Gov_Estado_pos_Rev2007_IRT_Pleito_IRT-cálculo CAPA NEUTRALIDADE" xfId="4146" xr:uid="{00000000-0005-0000-0000-0000CC080000}"/>
    <cellStyle name="_PLPT_PLANILHA_CÁLCULO_DÉFICIT_RESOLUÇÃO_294_2007_COELCE_Sem_Gov_Estado_pos_Rev2007_IRT_Revisão A-1" xfId="4147" xr:uid="{00000000-0005-0000-0000-0000CD080000}"/>
    <cellStyle name="_PLPT_PLANILHA_CÁLCULO_DÉFICIT_RESOLUÇÃO_294_2007_COELCE_Sem_Gov_Estado_pos_Rev2007_IRT_Revisão A-1_IRT-cálculo" xfId="4148" xr:uid="{00000000-0005-0000-0000-0000CE080000}"/>
    <cellStyle name="_PLPT_PLANILHA_CÁLCULO_DÉFICIT_RESOLUÇÃO_294_2007_COELCE_Sem_Gov_Estado_pos_Rev2007_IRT_Revisão A-1_IRT-cálculo CAPA NEUTRALIDADE" xfId="4149" xr:uid="{00000000-0005-0000-0000-0000CF080000}"/>
    <cellStyle name="_PLPT_PLANILHA_CÁLCULO_DÉFICIT_RESOLUÇÃO_294_2007_COELCE_Sem_Gov_Estado_pos_Rev2007_IRT_SantaCruzpós IGPM" xfId="4150" xr:uid="{00000000-0005-0000-0000-0000D0080000}"/>
    <cellStyle name="_PLPT_PLANILHA_CÁLCULO_DÉFICIT_RESOLUÇÃO_294_2007_COELCE_Sem_Gov_Estado_pos_Rev2007_IRT1" xfId="4151" xr:uid="{00000000-0005-0000-0000-0000D1080000}"/>
    <cellStyle name="_PLPT_PLANILHA_CÁLCULO_DÉFICIT_RESOLUÇÃO_294_2007_COELCE_Sem_Gov_Estado_pos_Rev2007_IRT1_IRT-cálculo" xfId="4152" xr:uid="{00000000-0005-0000-0000-0000D2080000}"/>
    <cellStyle name="_PLPT_PLANILHA_CÁLCULO_DÉFICIT_RESOLUÇÃO_294_2007_COELCE_Sem_Gov_Estado_pos_Rev2007_IRT1_IRT-cálculo CAPA NEUTRALIDADE" xfId="4153" xr:uid="{00000000-0005-0000-0000-0000D3080000}"/>
    <cellStyle name="_PLPT_PLANILHA_CÁLCULO_DÉFICIT_RESOLUÇÃO_294_2007_COELCE_Sem_Gov_Estado_pos_Rev2007_IRT-2010_COPEL_SOBRECONTRATAÇÃOeCVAenergia" xfId="1613" xr:uid="{00000000-0005-0000-0000-0000D4080000}"/>
    <cellStyle name="_PLPT_PLANILHA_CÁLCULO_DÉFICIT_RESOLUÇÃO_294_2007_COELCE_Sem_Gov_Estado_pos_Rev2007_IRT-cálculo" xfId="4154" xr:uid="{00000000-0005-0000-0000-0000D5080000}"/>
    <cellStyle name="_PLPT_PLANILHA_CÁLCULO_DÉFICIT_RESOLUÇÃO_294_2007_COELCE_Sem_Gov_Estado_pos_Rev2007_IRT-cálculo CAPA NEUTRALIDADE" xfId="4155" xr:uid="{00000000-0005-0000-0000-0000D6080000}"/>
    <cellStyle name="_PLPT_PLANILHA_CÁLCULO_DÉFICIT_RESOLUÇÃO_294_2007_COELCE_Sem_Gov_Estado_pos_Rev2007_Pasta1" xfId="1614" xr:uid="{00000000-0005-0000-0000-0000D7080000}"/>
    <cellStyle name="_PLPT_PLANILHA_CÁLCULO_DÉFICIT_RESOLUÇÃO_294_2007_COELCE_Sem_Gov_Estado_pos_Rev2007_Pasta1 2" xfId="4156" xr:uid="{00000000-0005-0000-0000-0000D8080000}"/>
    <cellStyle name="_PLPT_PLANILHA_CÁLCULO_DÉFICIT_RESOLUÇÃO_294_2007_COELCE_Sem_Gov_Estado_pos_Rev2007_Pasta1_IRT-cálculo" xfId="4157" xr:uid="{00000000-0005-0000-0000-0000D9080000}"/>
    <cellStyle name="_PLPT_PLANILHA_CÁLCULO_DÉFICIT_RESOLUÇÃO_294_2007_COELCE_Sem_Gov_Estado_pos_Rev2007_Pasta1_IRT-cálculo CAPA NEUTRALIDADE" xfId="4158" xr:uid="{00000000-0005-0000-0000-0000DA080000}"/>
    <cellStyle name="_PLPT_PLANILHA_CÁLCULO_DÉFICIT_RESOLUÇÃO_294_2007_COELCE_Sem_Gov_Estado_pos_Rev2007_Pasta1_SOBRECONTRATAÇÃO E CVA" xfId="4159" xr:uid="{00000000-0005-0000-0000-0000DB080000}"/>
    <cellStyle name="_PLPT_PLANILHA_CÁLCULO_DÉFICIT_RESOLUÇÃO_294_2007_COELCE_Sem_Gov_Estado_pos_Rev2007_Pasta2" xfId="457" xr:uid="{00000000-0005-0000-0000-0000DC080000}"/>
    <cellStyle name="_PLPT_PLANILHA_CÁLCULO_DÉFICIT_RESOLUÇÃO_294_2007_COELCE_Sem_Gov_Estado_pos_Rev2007_Pasta2 2" xfId="1370" xr:uid="{00000000-0005-0000-0000-0000DD080000}"/>
    <cellStyle name="_PLPT_PLANILHA_CÁLCULO_DÉFICIT_RESOLUÇÃO_294_2007_COELCE_Sem_Gov_Estado_pos_Rev2007_Pasta2_02 IRT Bandeirante 2009" xfId="4160" xr:uid="{00000000-0005-0000-0000-0000DE080000}"/>
    <cellStyle name="_PLPT_PLANILHA_CÁLCULO_DÉFICIT_RESOLUÇÃO_294_2007_COELCE_Sem_Gov_Estado_pos_Rev2007_Pasta2_Balanço" xfId="458" xr:uid="{00000000-0005-0000-0000-0000DF080000}"/>
    <cellStyle name="_PLPT_PLANILHA_CÁLCULO_DÉFICIT_RESOLUÇÃO_294_2007_COELCE_Sem_Gov_Estado_pos_Rev2007_Pasta2_Balanço 2" xfId="1371" xr:uid="{00000000-0005-0000-0000-0000E0080000}"/>
    <cellStyle name="_PLPT_PLANILHA_CÁLCULO_DÉFICIT_RESOLUÇÃO_294_2007_COELCE_Sem_Gov_Estado_pos_Rev2007_Pasta2_casulo 15" xfId="459" xr:uid="{00000000-0005-0000-0000-0000E1080000}"/>
    <cellStyle name="_PLPT_PLANILHA_CÁLCULO_DÉFICIT_RESOLUÇÃO_294_2007_COELCE_Sem_Gov_Estado_pos_Rev2007_Pasta2_casulo 5" xfId="460" xr:uid="{00000000-0005-0000-0000-0000E2080000}"/>
    <cellStyle name="_PLPT_PLANILHA_CÁLCULO_DÉFICIT_RESOLUÇÃO_294_2007_COELCE_Sem_Gov_Estado_pos_Rev2007_Pasta2_casulo 5 2" xfId="1372" xr:uid="{00000000-0005-0000-0000-0000E3080000}"/>
    <cellStyle name="_PLPT_PLANILHA_CÁLCULO_DÉFICIT_RESOLUÇÃO_294_2007_COELCE_Sem_Gov_Estado_pos_Rev2007_Pasta2_casulo 5_Balanço" xfId="461" xr:uid="{00000000-0005-0000-0000-0000E4080000}"/>
    <cellStyle name="_PLPT_PLANILHA_CÁLCULO_DÉFICIT_RESOLUÇÃO_294_2007_COELCE_Sem_Gov_Estado_pos_Rev2007_Pasta2_casulo 5_casulo 15" xfId="462" xr:uid="{00000000-0005-0000-0000-0000E5080000}"/>
    <cellStyle name="_PLPT_PLANILHA_CÁLCULO_DÉFICIT_RESOLUÇÃO_294_2007_COELCE_Sem_Gov_Estado_pos_Rev2007_Pasta2_casulo 5_IRT EEB 2010" xfId="4161" xr:uid="{00000000-0005-0000-0000-0000E6080000}"/>
    <cellStyle name="_PLPT_PLANILHA_CÁLCULO_DÉFICIT_RESOLUÇÃO_294_2007_COELCE_Sem_Gov_Estado_pos_Rev2007_Pasta2_IRT EEB 2010" xfId="4162" xr:uid="{00000000-0005-0000-0000-0000E7080000}"/>
    <cellStyle name="_PLPT_PLANILHA_CÁLCULO_DÉFICIT_RESOLUÇÃO_294_2007_COELCE_Sem_Gov_Estado_pos_Rev2007_Pasta2_IRT Piratininga 2009" xfId="463" xr:uid="{00000000-0005-0000-0000-0000E8080000}"/>
    <cellStyle name="_PLPT_PLANILHA_CÁLCULO_DÉFICIT_RESOLUÇÃO_294_2007_COELCE_Sem_Gov_Estado_pos_Rev2007_Pasta2_IRT Piratininga 2009 2" xfId="1373" xr:uid="{00000000-0005-0000-0000-0000E9080000}"/>
    <cellStyle name="_PLPT_PLANILHA_CÁLCULO_DÉFICIT_RESOLUÇÃO_294_2007_COELCE_Sem_Gov_Estado_pos_Rev2007_Pasta2_IRT Piratininga 2009_Balanço" xfId="464" xr:uid="{00000000-0005-0000-0000-0000EA080000}"/>
    <cellStyle name="_PLPT_PLANILHA_CÁLCULO_DÉFICIT_RESOLUÇÃO_294_2007_COELCE_Sem_Gov_Estado_pos_Rev2007_Pasta2_IRT Piratininga 2009_casulo 15" xfId="465" xr:uid="{00000000-0005-0000-0000-0000EB080000}"/>
    <cellStyle name="_PLPT_PLANILHA_CÁLCULO_DÉFICIT_RESOLUÇÃO_294_2007_COELCE_Sem_Gov_Estado_pos_Rev2007_Pasta2_IRT Piratininga 2009_IRT EEB 2010" xfId="4163" xr:uid="{00000000-0005-0000-0000-0000EC080000}"/>
    <cellStyle name="_PLPT_PLANILHA_CÁLCULO_DÉFICIT_RESOLUÇÃO_294_2007_COELCE_Sem_Gov_Estado_pos_Rev2007_Pasta2_IRT_EBB_mai2010d" xfId="4164" xr:uid="{00000000-0005-0000-0000-0000ED080000}"/>
    <cellStyle name="_PLPT_PLANILHA_CÁLCULO_DÉFICIT_RESOLUÇÃO_294_2007_COELCE_Sem_Gov_Estado_pos_Rev2007_Pasta2_IRT_Planilha Básica_ CETRIL" xfId="466" xr:uid="{00000000-0005-0000-0000-0000EE080000}"/>
    <cellStyle name="_PLPT_PLANILHA_CÁLCULO_DÉFICIT_RESOLUÇÃO_294_2007_COELCE_Sem_Gov_Estado_pos_Rev2007_Pasta2_IRT_Planilha Básica_ CETRIL 2" xfId="1374" xr:uid="{00000000-0005-0000-0000-0000EF080000}"/>
    <cellStyle name="_PLPT_PLANILHA_CÁLCULO_DÉFICIT_RESOLUÇÃO_294_2007_COELCE_Sem_Gov_Estado_pos_Rev2007_Pasta2_IRT_Planilha Básica_ CETRIL_Balanço" xfId="467" xr:uid="{00000000-0005-0000-0000-0000F0080000}"/>
    <cellStyle name="_PLPT_PLANILHA_CÁLCULO_DÉFICIT_RESOLUÇÃO_294_2007_COELCE_Sem_Gov_Estado_pos_Rev2007_Pasta2_IRT_Planilha Básica_ CETRIL_casulo 15" xfId="468" xr:uid="{00000000-0005-0000-0000-0000F1080000}"/>
    <cellStyle name="_PLPT_PLANILHA_CÁLCULO_DÉFICIT_RESOLUÇÃO_294_2007_COELCE_Sem_Gov_Estado_pos_Rev2007_Pasta2_IRT_Planilha Básica_ CETRIL_IRT EEB 2010" xfId="4165" xr:uid="{00000000-0005-0000-0000-0000F2080000}"/>
    <cellStyle name="_PLPT_PLANILHA_CÁLCULO_DÉFICIT_RESOLUÇÃO_294_2007_COELCE_Sem_Gov_Estado_pos_Rev2007_Pasta2_IRT_Planilha Básica_DIRETORIA" xfId="4166" xr:uid="{00000000-0005-0000-0000-0000F3080000}"/>
    <cellStyle name="_PLPT_PLANILHA_CÁLCULO_DÉFICIT_RESOLUÇÃO_294_2007_COELCE_Sem_Gov_Estado_pos_Rev2007_Pasta2_IRT_Planilha Básica_fev2010" xfId="4167" xr:uid="{00000000-0005-0000-0000-0000F4080000}"/>
    <cellStyle name="_PLPT_PLANILHA_CÁLCULO_DÉFICIT_RESOLUÇÃO_294_2007_COELCE_Sem_Gov_Estado_pos_Rev2007_Pasta2_IRT_Planilha Básica_fev2010a" xfId="469" xr:uid="{00000000-0005-0000-0000-0000F5080000}"/>
    <cellStyle name="_PLPT_PLANILHA_CÁLCULO_DÉFICIT_RESOLUÇÃO_294_2007_COELCE_Sem_Gov_Estado_pos_Rev2007_Pasta2_IRT_Planilha Básica_fev2010a 2" xfId="1375" xr:uid="{00000000-0005-0000-0000-0000F6080000}"/>
    <cellStyle name="_PLPT_PLANILHA_CÁLCULO_DÉFICIT_RESOLUÇÃO_294_2007_COELCE_Sem_Gov_Estado_pos_Rev2007_Pasta2_IRT_Planilha Básica_fev2010a_Balanço" xfId="470" xr:uid="{00000000-0005-0000-0000-0000F7080000}"/>
    <cellStyle name="_PLPT_PLANILHA_CÁLCULO_DÉFICIT_RESOLUÇÃO_294_2007_COELCE_Sem_Gov_Estado_pos_Rev2007_Pasta2_IRT_Planilha Básica_fev2010a_Balanço 2" xfId="1376" xr:uid="{00000000-0005-0000-0000-0000F8080000}"/>
    <cellStyle name="_PLPT_PLANILHA_CÁLCULO_DÉFICIT_RESOLUÇÃO_294_2007_COELCE_Sem_Gov_Estado_pos_Rev2007_Pasta2_IRT_Planilha Básica_fev2010a_casulo 15" xfId="471" xr:uid="{00000000-0005-0000-0000-0000F9080000}"/>
    <cellStyle name="_PLPT_PLANILHA_CÁLCULO_DÉFICIT_RESOLUÇÃO_294_2007_COELCE_Sem_Gov_Estado_pos_Rev2007_Pasta2_IRT_Planilha Básica_fev2010a_casulo 5" xfId="472" xr:uid="{00000000-0005-0000-0000-0000FA080000}"/>
    <cellStyle name="_PLPT_PLANILHA_CÁLCULO_DÉFICIT_RESOLUÇÃO_294_2007_COELCE_Sem_Gov_Estado_pos_Rev2007_Pasta2_IRT_Planilha Básica_fev2010a_casulo 5 2" xfId="1377" xr:uid="{00000000-0005-0000-0000-0000FB080000}"/>
    <cellStyle name="_PLPT_PLANILHA_CÁLCULO_DÉFICIT_RESOLUÇÃO_294_2007_COELCE_Sem_Gov_Estado_pos_Rev2007_Pasta2_IRT_Planilha Básica_fev2010a_casulo 5_Balanço" xfId="473" xr:uid="{00000000-0005-0000-0000-0000FC080000}"/>
    <cellStyle name="_PLPT_PLANILHA_CÁLCULO_DÉFICIT_RESOLUÇÃO_294_2007_COELCE_Sem_Gov_Estado_pos_Rev2007_Pasta2_IRT_Planilha Básica_fev2010a_casulo 5_casulo 15" xfId="474" xr:uid="{00000000-0005-0000-0000-0000FD080000}"/>
    <cellStyle name="_PLPT_PLANILHA_CÁLCULO_DÉFICIT_RESOLUÇÃO_294_2007_COELCE_Sem_Gov_Estado_pos_Rev2007_Pasta2_IRT_Planilha Básica_fev2010a_casulo 5_IRT EEB 2010" xfId="4168" xr:uid="{00000000-0005-0000-0000-0000FE080000}"/>
    <cellStyle name="_PLPT_PLANILHA_CÁLCULO_DÉFICIT_RESOLUÇÃO_294_2007_COELCE_Sem_Gov_Estado_pos_Rev2007_Pasta2_IRT_Planilha Básica_fev2010a_IRT EEB 2010" xfId="4169" xr:uid="{00000000-0005-0000-0000-0000FF080000}"/>
    <cellStyle name="_PLPT_PLANILHA_CÁLCULO_DÉFICIT_RESOLUÇÃO_294_2007_COELCE_Sem_Gov_Estado_pos_Rev2007_Pasta2_IRT_Planilha Básica_jan2010" xfId="4170" xr:uid="{00000000-0005-0000-0000-000000090000}"/>
    <cellStyle name="_PLPT_PLANILHA_CÁLCULO_DÉFICIT_RESOLUÇÃO_294_2007_COELCE_Sem_Gov_Estado_pos_Rev2007_Pasta2_IRT_Planilha Básica_mar2010b" xfId="4171" xr:uid="{00000000-0005-0000-0000-000001090000}"/>
    <cellStyle name="_PLPT_PLANILHA_CÁLCULO_DÉFICIT_RESOLUÇÃO_294_2007_COELCE_Sem_Gov_Estado_pos_Rev2007_Pasta2_IRT_Planilha Básica_mar2010d" xfId="475" xr:uid="{00000000-0005-0000-0000-000002090000}"/>
    <cellStyle name="_PLPT_PLANILHA_CÁLCULO_DÉFICIT_RESOLUÇÃO_294_2007_COELCE_Sem_Gov_Estado_pos_Rev2007_Pasta2_IRT_Planilha Básica_mar2010d 2" xfId="1378" xr:uid="{00000000-0005-0000-0000-000003090000}"/>
    <cellStyle name="_PLPT_PLANILHA_CÁLCULO_DÉFICIT_RESOLUÇÃO_294_2007_COELCE_Sem_Gov_Estado_pos_Rev2007_Pasta2_IRT_Planilha Básica_NOVA METODOLOGIA" xfId="4172" xr:uid="{00000000-0005-0000-0000-000004090000}"/>
    <cellStyle name="_PLPT_PLANILHA_CÁLCULO_DÉFICIT_RESOLUÇÃO_294_2007_COELCE_Sem_Gov_Estado_pos_Rev2007_Pasta2_IRT_Santa 2010" xfId="4173" xr:uid="{00000000-0005-0000-0000-000005090000}"/>
    <cellStyle name="_PLPT_PLANILHA_CÁLCULO_DÉFICIT_RESOLUÇÃO_294_2007_COELCE_Sem_Gov_Estado_pos_Rev2007_Pasta2_IRT-cálculo" xfId="4174" xr:uid="{00000000-0005-0000-0000-000006090000}"/>
    <cellStyle name="_PLPT_PLANILHA_CÁLCULO_DÉFICIT_RESOLUÇÃO_294_2007_COELCE_Sem_Gov_Estado_pos_Rev2007_Pasta2_IRT-cálculo CAPA NEUTRALIDADE" xfId="4175" xr:uid="{00000000-0005-0000-0000-000007090000}"/>
    <cellStyle name="_PLPT_PLANILHA_CÁLCULO_DÉFICIT_RESOLUÇÃO_294_2007_COELCE_Sem_Gov_Estado_pos_Rev2007_Pasta2_Resultados_DEA_RND_QUAL_PERDAS" xfId="4176" xr:uid="{00000000-0005-0000-0000-000008090000}"/>
    <cellStyle name="_PLPT_PLANILHA_CÁLCULO_DÉFICIT_RESOLUÇÃO_294_2007_COELCE_Sem_Gov_Estado_pos_Rev2007_Pasta2_teste ampla" xfId="476" xr:uid="{00000000-0005-0000-0000-000009090000}"/>
    <cellStyle name="_PLPT_PLANILHA_CÁLCULO_DÉFICIT_RESOLUÇÃO_294_2007_COELCE_Sem_Gov_Estado_pos_Rev2007_Pasta2_teste ampla 2" xfId="1379" xr:uid="{00000000-0005-0000-0000-00000A090000}"/>
    <cellStyle name="_PLPT_PLANILHA_CÁLCULO_DÉFICIT_RESOLUÇÃO_294_2007_COELCE_Sem_Gov_Estado_pos_Rev2007_Pasta2_teste ampla_Balanço" xfId="477" xr:uid="{00000000-0005-0000-0000-00000B090000}"/>
    <cellStyle name="_PLPT_PLANILHA_CÁLCULO_DÉFICIT_RESOLUÇÃO_294_2007_COELCE_Sem_Gov_Estado_pos_Rev2007_Pasta2_teste ampla_Balanço 2" xfId="1380" xr:uid="{00000000-0005-0000-0000-00000C090000}"/>
    <cellStyle name="_PLPT_PLANILHA_CÁLCULO_DÉFICIT_RESOLUÇÃO_294_2007_COELCE_Sem_Gov_Estado_pos_Rev2007_Pasta2_teste ampla_casulo 15" xfId="478" xr:uid="{00000000-0005-0000-0000-00000D090000}"/>
    <cellStyle name="_PLPT_PLANILHA_CÁLCULO_DÉFICIT_RESOLUÇÃO_294_2007_COELCE_Sem_Gov_Estado_pos_Rev2007_Pasta2_teste ampla_casulo 5" xfId="479" xr:uid="{00000000-0005-0000-0000-00000E090000}"/>
    <cellStyle name="_PLPT_PLANILHA_CÁLCULO_DÉFICIT_RESOLUÇÃO_294_2007_COELCE_Sem_Gov_Estado_pos_Rev2007_Pasta2_teste ampla_casulo 5 2" xfId="1381" xr:uid="{00000000-0005-0000-0000-00000F090000}"/>
    <cellStyle name="_PLPT_PLANILHA_CÁLCULO_DÉFICIT_RESOLUÇÃO_294_2007_COELCE_Sem_Gov_Estado_pos_Rev2007_Pasta2_teste ampla_casulo 5_Balanço" xfId="480" xr:uid="{00000000-0005-0000-0000-000010090000}"/>
    <cellStyle name="_PLPT_PLANILHA_CÁLCULO_DÉFICIT_RESOLUÇÃO_294_2007_COELCE_Sem_Gov_Estado_pos_Rev2007_Pasta2_teste ampla_casulo 5_casulo 15" xfId="481" xr:uid="{00000000-0005-0000-0000-000011090000}"/>
    <cellStyle name="_PLPT_PLANILHA_CÁLCULO_DÉFICIT_RESOLUÇÃO_294_2007_COELCE_Sem_Gov_Estado_pos_Rev2007_Pasta2_teste ampla_casulo 5_IRT EEB 2010" xfId="4177" xr:uid="{00000000-0005-0000-0000-000012090000}"/>
    <cellStyle name="_PLPT_PLANILHA_CÁLCULO_DÉFICIT_RESOLUÇÃO_294_2007_COELCE_Sem_Gov_Estado_pos_Rev2007_Pasta2_teste ampla_IRT EEB 2010" xfId="4178" xr:uid="{00000000-0005-0000-0000-000013090000}"/>
    <cellStyle name="_PLPT_PLANILHA_CÁLCULO_DÉFICIT_RESOLUÇÃO_294_2007_COELCE_Sem_Gov_Estado_pos_Rev2007_Pleito_IRT_ESE_2010_Envio_ANEEL_Final_atualizado_05_04" xfId="4179" xr:uid="{00000000-0005-0000-0000-000014090000}"/>
    <cellStyle name="_PLPT_PLANILHA_CÁLCULO_DÉFICIT_RESOLUÇÃO_294_2007_COELCE_Sem_Gov_Estado_pos_Rev2007_Resultados_DEA_RND_QUAL_PERDAS" xfId="4180" xr:uid="{00000000-0005-0000-0000-000015090000}"/>
    <cellStyle name="_PLPT_PLANILHA_CÁLCULO_DÉFICIT_RESOLUÇÃO_294_2007_COELCE_Sem_Gov_Estado_pos_Rev2007_SOBRECONTRATAÇÃO E CVA Energisa Paraíba" xfId="4181" xr:uid="{00000000-0005-0000-0000-000016090000}"/>
    <cellStyle name="_PLPT_PLANILHA_CÁLCULO_DÉFICIT_RESOLUÇÃO_294_2007_COELCE_Sem_Gov_Estado_pos_Rev2007_SOBRECONTRATAÇÃO EPB 2010" xfId="4182" xr:uid="{00000000-0005-0000-0000-000017090000}"/>
    <cellStyle name="_PLPT_PLANILHA_CÁLCULO_DÉFICIT_RESOLUÇÃO_294_2007_COELCE_Sem_Gov_Estado_pos_Rev2007_Sobrecontratação_e_CVA_Energia" xfId="4183" xr:uid="{00000000-0005-0000-0000-000018090000}"/>
    <cellStyle name="_PLPT_PLANILHA_CÁLCULO_DÉFICIT_RESOLUÇÃO_294_2007_COELCE_Sem_Gov_Estado_pos_Rev2007_Sobrecontratação-CVAenergia_COSERN_IRT-2010_nova" xfId="1615" xr:uid="{00000000-0005-0000-0000-000019090000}"/>
    <cellStyle name="_PLPT_PLANILHA_CÁLCULO_DÉFICIT_RESOLUÇÃO_294_2007_COELCE_Sem_Gov_Estado_pos_Rev2007_Subsídios para análise da SRE" xfId="482" xr:uid="{00000000-0005-0000-0000-00001A090000}"/>
    <cellStyle name="_PLPT_PLANILHA_CÁLCULO_DÉFICIT_RESOLUÇÃO_294_2007_COELCE_Sem_Gov_Estado_pos_Rev2007_Subsídios para análise da SRE 2" xfId="1382" xr:uid="{00000000-0005-0000-0000-00001B090000}"/>
    <cellStyle name="_PLPT_PLANILHA_CÁLCULO_DÉFICIT_RESOLUÇÃO_294_2007_COELCE_Sem_Gov_Estado_pos_Rev2007_Subsídios para análise da SRE_02 IRT Bandeirante 2009" xfId="4184" xr:uid="{00000000-0005-0000-0000-00001C090000}"/>
    <cellStyle name="_PLPT_PLANILHA_CÁLCULO_DÉFICIT_RESOLUÇÃO_294_2007_COELCE_Sem_Gov_Estado_pos_Rev2007_Subsídios para análise da SRE_1" xfId="4185" xr:uid="{00000000-0005-0000-0000-00001D090000}"/>
    <cellStyle name="_PLPT_PLANILHA_CÁLCULO_DÉFICIT_RESOLUÇÃO_294_2007_COELCE_Sem_Gov_Estado_pos_Rev2007_Subsídios para análise da SRE_Balanço" xfId="483" xr:uid="{00000000-0005-0000-0000-00001E090000}"/>
    <cellStyle name="_PLPT_PLANILHA_CÁLCULO_DÉFICIT_RESOLUÇÃO_294_2007_COELCE_Sem_Gov_Estado_pos_Rev2007_Subsídios para análise da SRE_Balanço 2" xfId="1383" xr:uid="{00000000-0005-0000-0000-00001F090000}"/>
    <cellStyle name="_PLPT_PLANILHA_CÁLCULO_DÉFICIT_RESOLUÇÃO_294_2007_COELCE_Sem_Gov_Estado_pos_Rev2007_Subsídios para análise da SRE_casulo 15" xfId="484" xr:uid="{00000000-0005-0000-0000-000020090000}"/>
    <cellStyle name="_PLPT_PLANILHA_CÁLCULO_DÉFICIT_RESOLUÇÃO_294_2007_COELCE_Sem_Gov_Estado_pos_Rev2007_Subsídios para análise da SRE_casulo 5" xfId="485" xr:uid="{00000000-0005-0000-0000-000021090000}"/>
    <cellStyle name="_PLPT_PLANILHA_CÁLCULO_DÉFICIT_RESOLUÇÃO_294_2007_COELCE_Sem_Gov_Estado_pos_Rev2007_Subsídios para análise da SRE_casulo 5 2" xfId="1384" xr:uid="{00000000-0005-0000-0000-000022090000}"/>
    <cellStyle name="_PLPT_PLANILHA_CÁLCULO_DÉFICIT_RESOLUÇÃO_294_2007_COELCE_Sem_Gov_Estado_pos_Rev2007_Subsídios para análise da SRE_casulo 5_Balanço" xfId="486" xr:uid="{00000000-0005-0000-0000-000023090000}"/>
    <cellStyle name="_PLPT_PLANILHA_CÁLCULO_DÉFICIT_RESOLUÇÃO_294_2007_COELCE_Sem_Gov_Estado_pos_Rev2007_Subsídios para análise da SRE_casulo 5_casulo 15" xfId="487" xr:uid="{00000000-0005-0000-0000-000024090000}"/>
    <cellStyle name="_PLPT_PLANILHA_CÁLCULO_DÉFICIT_RESOLUÇÃO_294_2007_COELCE_Sem_Gov_Estado_pos_Rev2007_Subsídios para análise da SRE_casulo 5_IRT EEB 2010" xfId="4186" xr:uid="{00000000-0005-0000-0000-000025090000}"/>
    <cellStyle name="_PLPT_PLANILHA_CÁLCULO_DÉFICIT_RESOLUÇÃO_294_2007_COELCE_Sem_Gov_Estado_pos_Rev2007_Subsídios para análise da SRE_IRT EEB 2010" xfId="4187" xr:uid="{00000000-0005-0000-0000-000026090000}"/>
    <cellStyle name="_PLPT_PLANILHA_CÁLCULO_DÉFICIT_RESOLUÇÃO_294_2007_COELCE_Sem_Gov_Estado_pos_Rev2007_Subsídios para análise da SRE_IRT Piratininga 2009" xfId="488" xr:uid="{00000000-0005-0000-0000-000027090000}"/>
    <cellStyle name="_PLPT_PLANILHA_CÁLCULO_DÉFICIT_RESOLUÇÃO_294_2007_COELCE_Sem_Gov_Estado_pos_Rev2007_Subsídios para análise da SRE_IRT Piratininga 2009 2" xfId="1385" xr:uid="{00000000-0005-0000-0000-000028090000}"/>
    <cellStyle name="_PLPT_PLANILHA_CÁLCULO_DÉFICIT_RESOLUÇÃO_294_2007_COELCE_Sem_Gov_Estado_pos_Rev2007_Subsídios para análise da SRE_IRT Piratininga 2009_Balanço" xfId="489" xr:uid="{00000000-0005-0000-0000-000029090000}"/>
    <cellStyle name="_PLPT_PLANILHA_CÁLCULO_DÉFICIT_RESOLUÇÃO_294_2007_COELCE_Sem_Gov_Estado_pos_Rev2007_Subsídios para análise da SRE_IRT Piratininga 2009_casulo 15" xfId="490" xr:uid="{00000000-0005-0000-0000-00002A090000}"/>
    <cellStyle name="_PLPT_PLANILHA_CÁLCULO_DÉFICIT_RESOLUÇÃO_294_2007_COELCE_Sem_Gov_Estado_pos_Rev2007_Subsídios para análise da SRE_IRT Piratininga 2009_IRT EEB 2010" xfId="4188" xr:uid="{00000000-0005-0000-0000-00002B090000}"/>
    <cellStyle name="_PLPT_PLANILHA_CÁLCULO_DÉFICIT_RESOLUÇÃO_294_2007_COELCE_Sem_Gov_Estado_pos_Rev2007_Subsídios para análise da SRE_IRT_EBB_mai2010d" xfId="4189" xr:uid="{00000000-0005-0000-0000-00002C090000}"/>
    <cellStyle name="_PLPT_PLANILHA_CÁLCULO_DÉFICIT_RESOLUÇÃO_294_2007_COELCE_Sem_Gov_Estado_pos_Rev2007_Subsídios para análise da SRE_IRT_Planilha Básica_ CETRIL" xfId="491" xr:uid="{00000000-0005-0000-0000-00002D090000}"/>
    <cellStyle name="_PLPT_PLANILHA_CÁLCULO_DÉFICIT_RESOLUÇÃO_294_2007_COELCE_Sem_Gov_Estado_pos_Rev2007_Subsídios para análise da SRE_IRT_Planilha Básica_ CETRIL 2" xfId="1386" xr:uid="{00000000-0005-0000-0000-00002E090000}"/>
    <cellStyle name="_PLPT_PLANILHA_CÁLCULO_DÉFICIT_RESOLUÇÃO_294_2007_COELCE_Sem_Gov_Estado_pos_Rev2007_Subsídios para análise da SRE_IRT_Planilha Básica_ CETRIL_Balanço" xfId="492" xr:uid="{00000000-0005-0000-0000-00002F090000}"/>
    <cellStyle name="_PLPT_PLANILHA_CÁLCULO_DÉFICIT_RESOLUÇÃO_294_2007_COELCE_Sem_Gov_Estado_pos_Rev2007_Subsídios para análise da SRE_IRT_Planilha Básica_ CETRIL_casulo 15" xfId="493" xr:uid="{00000000-0005-0000-0000-000030090000}"/>
    <cellStyle name="_PLPT_PLANILHA_CÁLCULO_DÉFICIT_RESOLUÇÃO_294_2007_COELCE_Sem_Gov_Estado_pos_Rev2007_Subsídios para análise da SRE_IRT_Planilha Básica_ CETRIL_IRT EEB 2010" xfId="4190" xr:uid="{00000000-0005-0000-0000-000031090000}"/>
    <cellStyle name="_PLPT_PLANILHA_CÁLCULO_DÉFICIT_RESOLUÇÃO_294_2007_COELCE_Sem_Gov_Estado_pos_Rev2007_Subsídios para análise da SRE_IRT_Planilha Básica_DIRETORIA" xfId="4191" xr:uid="{00000000-0005-0000-0000-000032090000}"/>
    <cellStyle name="_PLPT_PLANILHA_CÁLCULO_DÉFICIT_RESOLUÇÃO_294_2007_COELCE_Sem_Gov_Estado_pos_Rev2007_Subsídios para análise da SRE_IRT_Planilha Básica_fev2010" xfId="4192" xr:uid="{00000000-0005-0000-0000-000033090000}"/>
    <cellStyle name="_PLPT_PLANILHA_CÁLCULO_DÉFICIT_RESOLUÇÃO_294_2007_COELCE_Sem_Gov_Estado_pos_Rev2007_Subsídios para análise da SRE_IRT_Planilha Básica_fev2010a" xfId="494" xr:uid="{00000000-0005-0000-0000-000034090000}"/>
    <cellStyle name="_PLPT_PLANILHA_CÁLCULO_DÉFICIT_RESOLUÇÃO_294_2007_COELCE_Sem_Gov_Estado_pos_Rev2007_Subsídios para análise da SRE_IRT_Planilha Básica_fev2010a 2" xfId="1387" xr:uid="{00000000-0005-0000-0000-000035090000}"/>
    <cellStyle name="_PLPT_PLANILHA_CÁLCULO_DÉFICIT_RESOLUÇÃO_294_2007_COELCE_Sem_Gov_Estado_pos_Rev2007_Subsídios para análise da SRE_IRT_Planilha Básica_fev2010a_Balanço" xfId="495" xr:uid="{00000000-0005-0000-0000-000036090000}"/>
    <cellStyle name="_PLPT_PLANILHA_CÁLCULO_DÉFICIT_RESOLUÇÃO_294_2007_COELCE_Sem_Gov_Estado_pos_Rev2007_Subsídios para análise da SRE_IRT_Planilha Básica_fev2010a_Balanço 2" xfId="1388" xr:uid="{00000000-0005-0000-0000-000037090000}"/>
    <cellStyle name="_PLPT_PLANILHA_CÁLCULO_DÉFICIT_RESOLUÇÃO_294_2007_COELCE_Sem_Gov_Estado_pos_Rev2007_Subsídios para análise da SRE_IRT_Planilha Básica_fev2010a_casulo 15" xfId="496" xr:uid="{00000000-0005-0000-0000-000038090000}"/>
    <cellStyle name="_PLPT_PLANILHA_CÁLCULO_DÉFICIT_RESOLUÇÃO_294_2007_COELCE_Sem_Gov_Estado_pos_Rev2007_Subsídios para análise da SRE_IRT_Planilha Básica_fev2010a_casulo 5" xfId="497" xr:uid="{00000000-0005-0000-0000-000039090000}"/>
    <cellStyle name="_PLPT_PLANILHA_CÁLCULO_DÉFICIT_RESOLUÇÃO_294_2007_COELCE_Sem_Gov_Estado_pos_Rev2007_Subsídios para análise da SRE_IRT_Planilha Básica_fev2010a_casulo 5 2" xfId="1389" xr:uid="{00000000-0005-0000-0000-00003A090000}"/>
    <cellStyle name="_PLPT_PLANILHA_CÁLCULO_DÉFICIT_RESOLUÇÃO_294_2007_COELCE_Sem_Gov_Estado_pos_Rev2007_Subsídios para análise da SRE_IRT_Planilha Básica_fev2010a_casulo 5_Balanço" xfId="498" xr:uid="{00000000-0005-0000-0000-00003B090000}"/>
    <cellStyle name="_PLPT_PLANILHA_CÁLCULO_DÉFICIT_RESOLUÇÃO_294_2007_COELCE_Sem_Gov_Estado_pos_Rev2007_Subsídios para análise da SRE_IRT_Planilha Básica_fev2010a_casulo 5_casulo 15" xfId="499" xr:uid="{00000000-0005-0000-0000-00003C090000}"/>
    <cellStyle name="_PLPT_PLANILHA_CÁLCULO_DÉFICIT_RESOLUÇÃO_294_2007_COELCE_Sem_Gov_Estado_pos_Rev2007_Subsídios para análise da SRE_IRT_Planilha Básica_fev2010a_casulo 5_IRT EEB 2010" xfId="4193" xr:uid="{00000000-0005-0000-0000-00003D090000}"/>
    <cellStyle name="_PLPT_PLANILHA_CÁLCULO_DÉFICIT_RESOLUÇÃO_294_2007_COELCE_Sem_Gov_Estado_pos_Rev2007_Subsídios para análise da SRE_IRT_Planilha Básica_fev2010a_IRT EEB 2010" xfId="4194" xr:uid="{00000000-0005-0000-0000-00003E090000}"/>
    <cellStyle name="_PLPT_PLANILHA_CÁLCULO_DÉFICIT_RESOLUÇÃO_294_2007_COELCE_Sem_Gov_Estado_pos_Rev2007_Subsídios para análise da SRE_IRT_Planilha Básica_jan2010" xfId="4195" xr:uid="{00000000-0005-0000-0000-00003F090000}"/>
    <cellStyle name="_PLPT_PLANILHA_CÁLCULO_DÉFICIT_RESOLUÇÃO_294_2007_COELCE_Sem_Gov_Estado_pos_Rev2007_Subsídios para análise da SRE_IRT_Planilha Básica_mar2010b" xfId="4196" xr:uid="{00000000-0005-0000-0000-000040090000}"/>
    <cellStyle name="_PLPT_PLANILHA_CÁLCULO_DÉFICIT_RESOLUÇÃO_294_2007_COELCE_Sem_Gov_Estado_pos_Rev2007_Subsídios para análise da SRE_IRT_Planilha Básica_mar2010d" xfId="500" xr:uid="{00000000-0005-0000-0000-000041090000}"/>
    <cellStyle name="_PLPT_PLANILHA_CÁLCULO_DÉFICIT_RESOLUÇÃO_294_2007_COELCE_Sem_Gov_Estado_pos_Rev2007_Subsídios para análise da SRE_IRT_Planilha Básica_mar2010d 2" xfId="1390" xr:uid="{00000000-0005-0000-0000-000042090000}"/>
    <cellStyle name="_PLPT_PLANILHA_CÁLCULO_DÉFICIT_RESOLUÇÃO_294_2007_COELCE_Sem_Gov_Estado_pos_Rev2007_Subsídios para análise da SRE_IRT_Planilha Básica_NOVA METODOLOGIA" xfId="4197" xr:uid="{00000000-0005-0000-0000-000043090000}"/>
    <cellStyle name="_PLPT_PLANILHA_CÁLCULO_DÉFICIT_RESOLUÇÃO_294_2007_COELCE_Sem_Gov_Estado_pos_Rev2007_Subsídios para análise da SRE_IRT_Santa 2010" xfId="4198" xr:uid="{00000000-0005-0000-0000-000044090000}"/>
    <cellStyle name="_PLPT_PLANILHA_CÁLCULO_DÉFICIT_RESOLUÇÃO_294_2007_COELCE_Sem_Gov_Estado_pos_Rev2007_Subsídios para análise da SRE_IRT-cálculo" xfId="4199" xr:uid="{00000000-0005-0000-0000-000045090000}"/>
    <cellStyle name="_PLPT_PLANILHA_CÁLCULO_DÉFICIT_RESOLUÇÃO_294_2007_COELCE_Sem_Gov_Estado_pos_Rev2007_Subsídios para análise da SRE_IRT-cálculo CAPA NEUTRALIDADE" xfId="4200" xr:uid="{00000000-0005-0000-0000-000046090000}"/>
    <cellStyle name="_PLPT_PLANILHA_CÁLCULO_DÉFICIT_RESOLUÇÃO_294_2007_COELCE_Sem_Gov_Estado_pos_Rev2007_Subsídios para análise da SRE_Resultados_DEA_RND_QUAL_PERDAS" xfId="4201" xr:uid="{00000000-0005-0000-0000-000047090000}"/>
    <cellStyle name="_PLPT_PLANILHA_CÁLCULO_DÉFICIT_RESOLUÇÃO_294_2007_COELCE_Sem_Gov_Estado_pos_Rev2007_Subsídios para análise da SRE_teste ampla" xfId="501" xr:uid="{00000000-0005-0000-0000-000048090000}"/>
    <cellStyle name="_PLPT_PLANILHA_CÁLCULO_DÉFICIT_RESOLUÇÃO_294_2007_COELCE_Sem_Gov_Estado_pos_Rev2007_Subsídios para análise da SRE_teste ampla 2" xfId="1391" xr:uid="{00000000-0005-0000-0000-000049090000}"/>
    <cellStyle name="_PLPT_PLANILHA_CÁLCULO_DÉFICIT_RESOLUÇÃO_294_2007_COELCE_Sem_Gov_Estado_pos_Rev2007_Subsídios para análise da SRE_teste ampla_Balanço" xfId="502" xr:uid="{00000000-0005-0000-0000-00004A090000}"/>
    <cellStyle name="_PLPT_PLANILHA_CÁLCULO_DÉFICIT_RESOLUÇÃO_294_2007_COELCE_Sem_Gov_Estado_pos_Rev2007_Subsídios para análise da SRE_teste ampla_Balanço 2" xfId="1392" xr:uid="{00000000-0005-0000-0000-00004B090000}"/>
    <cellStyle name="_PLPT_PLANILHA_CÁLCULO_DÉFICIT_RESOLUÇÃO_294_2007_COELCE_Sem_Gov_Estado_pos_Rev2007_Subsídios para análise da SRE_teste ampla_casulo 15" xfId="503" xr:uid="{00000000-0005-0000-0000-00004C090000}"/>
    <cellStyle name="_PLPT_PLANILHA_CÁLCULO_DÉFICIT_RESOLUÇÃO_294_2007_COELCE_Sem_Gov_Estado_pos_Rev2007_Subsídios para análise da SRE_teste ampla_casulo 5" xfId="504" xr:uid="{00000000-0005-0000-0000-00004D090000}"/>
    <cellStyle name="_PLPT_PLANILHA_CÁLCULO_DÉFICIT_RESOLUÇÃO_294_2007_COELCE_Sem_Gov_Estado_pos_Rev2007_Subsídios para análise da SRE_teste ampla_casulo 5 2" xfId="1393" xr:uid="{00000000-0005-0000-0000-00004E090000}"/>
    <cellStyle name="_PLPT_PLANILHA_CÁLCULO_DÉFICIT_RESOLUÇÃO_294_2007_COELCE_Sem_Gov_Estado_pos_Rev2007_Subsídios para análise da SRE_teste ampla_casulo 5_Balanço" xfId="505" xr:uid="{00000000-0005-0000-0000-00004F090000}"/>
    <cellStyle name="_PLPT_PLANILHA_CÁLCULO_DÉFICIT_RESOLUÇÃO_294_2007_COELCE_Sem_Gov_Estado_pos_Rev2007_Subsídios para análise da SRE_teste ampla_casulo 5_casulo 15" xfId="506" xr:uid="{00000000-0005-0000-0000-000050090000}"/>
    <cellStyle name="_PLPT_PLANILHA_CÁLCULO_DÉFICIT_RESOLUÇÃO_294_2007_COELCE_Sem_Gov_Estado_pos_Rev2007_Subsídios para análise da SRE_teste ampla_casulo 5_IRT EEB 2010" xfId="4202" xr:uid="{00000000-0005-0000-0000-000051090000}"/>
    <cellStyle name="_PLPT_PLANILHA_CÁLCULO_DÉFICIT_RESOLUÇÃO_294_2007_COELCE_Sem_Gov_Estado_pos_Rev2007_Subsídios para análise da SRE_teste ampla_IRT EEB 2010" xfId="4203" xr:uid="{00000000-0005-0000-0000-000052090000}"/>
    <cellStyle name="_PLPT_PLANILHA_CÁLCULO_DÉFICIT_RESOLUÇÃO_294_2007_COELCE_Sem_Gov_Estado_pos_Rev2007_SubsídiosAnáliseSRE_COSERN_IRT-2010" xfId="1616" xr:uid="{00000000-0005-0000-0000-000053090000}"/>
    <cellStyle name="_PLPT_PLANILHA_CÁLCULO_DÉFICIT_RESOLUÇÃO_294_2007_COELCE_Sem_Gov_Estado_pos_Rev2007_teste ampla" xfId="507" xr:uid="{00000000-0005-0000-0000-000054090000}"/>
    <cellStyle name="_PLPT_PLANILHA_CÁLCULO_DÉFICIT_RESOLUÇÃO_294_2007_COELCE_Sem_Gov_Estado_pos_Rev2007_teste ampla 2" xfId="1394" xr:uid="{00000000-0005-0000-0000-000055090000}"/>
    <cellStyle name="_PLPT_PLANILHA_CÁLCULO_DÉFICIT_RESOLUÇÃO_294_2007_COELCE_Sem_Gov_Estado_pos_Rev2007_teste ampla_Balanço" xfId="508" xr:uid="{00000000-0005-0000-0000-000056090000}"/>
    <cellStyle name="_PLPT_PLANILHA_CÁLCULO_DÉFICIT_RESOLUÇÃO_294_2007_COELCE_Sem_Gov_Estado_pos_Rev2007_teste ampla_Balanço 2" xfId="1395" xr:uid="{00000000-0005-0000-0000-000057090000}"/>
    <cellStyle name="_PLPT_PLANILHA_CÁLCULO_DÉFICIT_RESOLUÇÃO_294_2007_COELCE_Sem_Gov_Estado_pos_Rev2007_teste ampla_casulo 15" xfId="509" xr:uid="{00000000-0005-0000-0000-000058090000}"/>
    <cellStyle name="_PLPT_PLANILHA_CÁLCULO_DÉFICIT_RESOLUÇÃO_294_2007_COELCE_Sem_Gov_Estado_pos_Rev2007_teste ampla_casulo 5" xfId="510" xr:uid="{00000000-0005-0000-0000-000059090000}"/>
    <cellStyle name="_PLPT_PLANILHA_CÁLCULO_DÉFICIT_RESOLUÇÃO_294_2007_COELCE_Sem_Gov_Estado_pos_Rev2007_teste ampla_casulo 5 2" xfId="1396" xr:uid="{00000000-0005-0000-0000-00005A090000}"/>
    <cellStyle name="_PLPT_PLANILHA_CÁLCULO_DÉFICIT_RESOLUÇÃO_294_2007_COELCE_Sem_Gov_Estado_pos_Rev2007_teste ampla_casulo 5_Balanço" xfId="511" xr:uid="{00000000-0005-0000-0000-00005B090000}"/>
    <cellStyle name="_PLPT_PLANILHA_CÁLCULO_DÉFICIT_RESOLUÇÃO_294_2007_COELCE_Sem_Gov_Estado_pos_Rev2007_teste ampla_casulo 5_casulo 15" xfId="512" xr:uid="{00000000-0005-0000-0000-00005C090000}"/>
    <cellStyle name="_PLPT_PLANILHA_CÁLCULO_DÉFICIT_RESOLUÇÃO_294_2007_COELCE_Sem_Gov_Estado_pos_Rev2007_teste ampla_casulo 5_IRT EEB 2010" xfId="4204" xr:uid="{00000000-0005-0000-0000-00005D090000}"/>
    <cellStyle name="_PLPT_PLANILHA_CÁLCULO_DÉFICIT_RESOLUÇÃO_294_2007_COELCE_Sem_Gov_Estado_pos_Rev2007_teste ampla_IRT EEB 2010" xfId="4205" xr:uid="{00000000-0005-0000-0000-00005E090000}"/>
    <cellStyle name="_PLPT_PLANILHA_CÁLCULO_DÉFICIT_RESOLUÇÃO_294_2007_COELCE_Sem_Gov_Estado-Ate_Rev2007" xfId="513" xr:uid="{00000000-0005-0000-0000-00005F090000}"/>
    <cellStyle name="_PLPT_PLANILHA_CÁLCULO_DÉFICIT_RESOLUÇÃO_294_2007_COELCE_Sem_Gov_Estado-Ate_Rev2007 2" xfId="1397" xr:uid="{00000000-0005-0000-0000-000060090000}"/>
    <cellStyle name="_PLPT_PLANILHA_CÁLCULO_DÉFICIT_RESOLUÇÃO_294_2007_COELCE_Sem_Gov_Estado-Ate_Rev2007 3" xfId="4206" xr:uid="{00000000-0005-0000-0000-000061090000}"/>
    <cellStyle name="_PLPT_PLANILHA_CÁLCULO_DÉFICIT_RESOLUÇÃO_294_2007_COELCE_Sem_Gov_Estado-Ate_Rev2007_02 IRT COSERN 2009" xfId="1617" xr:uid="{00000000-0005-0000-0000-000062090000}"/>
    <cellStyle name="_PLPT_PLANILHA_CÁLCULO_DÉFICIT_RESOLUÇÃO_294_2007_COELCE_Sem_Gov_Estado-Ate_Rev2007_2008.08.07 CELPA IRT2008 Homologado" xfId="4207" xr:uid="{00000000-0005-0000-0000-000063090000}"/>
    <cellStyle name="_PLPT_PLANILHA_CÁLCULO_DÉFICIT_RESOLUÇÃO_294_2007_COELCE_Sem_Gov_Estado-Ate_Rev2007_Ajustes REAJUSTE 2008 ELETROPAULO" xfId="4208" xr:uid="{00000000-0005-0000-0000-000064090000}"/>
    <cellStyle name="_PLPT_PLANILHA_CÁLCULO_DÉFICIT_RESOLUÇÃO_294_2007_COELCE_Sem_Gov_Estado-Ate_Rev2007_Ajustes REAJUSTE 2008 ELETROPAULO_IRT-cálculo" xfId="4209" xr:uid="{00000000-0005-0000-0000-000065090000}"/>
    <cellStyle name="_PLPT_PLANILHA_CÁLCULO_DÉFICIT_RESOLUÇÃO_294_2007_COELCE_Sem_Gov_Estado-Ate_Rev2007_Ajustes REAJUSTE 2008 ELETROPAULO_IRT-cálculo CAPA NEUTRALIDADE" xfId="4210" xr:uid="{00000000-0005-0000-0000-000066090000}"/>
    <cellStyle name="_PLPT_PLANILHA_CÁLCULO_DÉFICIT_RESOLUÇÃO_294_2007_COELCE_Sem_Gov_Estado-Ate_Rev2007_Ajustes REVISÃO 2007 ELETROPAULO" xfId="4211" xr:uid="{00000000-0005-0000-0000-000067090000}"/>
    <cellStyle name="_PLPT_PLANILHA_CÁLCULO_DÉFICIT_RESOLUÇÃO_294_2007_COELCE_Sem_Gov_Estado-Ate_Rev2007_Ajustes REVISÃO 2007 ELETROPAULO_IRT-cálculo" xfId="4212" xr:uid="{00000000-0005-0000-0000-000068090000}"/>
    <cellStyle name="_PLPT_PLANILHA_CÁLCULO_DÉFICIT_RESOLUÇÃO_294_2007_COELCE_Sem_Gov_Estado-Ate_Rev2007_Ajustes REVISÃO 2007 ELETROPAULO_IRT-cálculo CAPA NEUTRALIDADE" xfId="4213" xr:uid="{00000000-0005-0000-0000-000069090000}"/>
    <cellStyle name="_PLPT_PLANILHA_CÁLCULO_DÉFICIT_RESOLUÇÃO_294_2007_COELCE_Sem_Gov_Estado-Ate_Rev2007_Balanço" xfId="514" xr:uid="{00000000-0005-0000-0000-00006A090000}"/>
    <cellStyle name="_PLPT_PLANILHA_CÁLCULO_DÉFICIT_RESOLUÇÃO_294_2007_COELCE_Sem_Gov_Estado-Ate_Rev2007_Balanço 2" xfId="1398" xr:uid="{00000000-0005-0000-0000-00006B090000}"/>
    <cellStyle name="_PLPT_PLANILHA_CÁLCULO_DÉFICIT_RESOLUÇÃO_294_2007_COELCE_Sem_Gov_Estado-Ate_Rev2007_Calculo_Subsidio_ELFSM_26_06_08_Modelo_ANEEL" xfId="4214" xr:uid="{00000000-0005-0000-0000-00006C090000}"/>
    <cellStyle name="_PLPT_PLANILHA_CÁLCULO_DÉFICIT_RESOLUÇÃO_294_2007_COELCE_Sem_Gov_Estado-Ate_Rev2007_Calculo_Subsidio_ELFSM_26_06_08_Modelo_ANEEL_IRT-cálculo" xfId="4215" xr:uid="{00000000-0005-0000-0000-00006D090000}"/>
    <cellStyle name="_PLPT_PLANILHA_CÁLCULO_DÉFICIT_RESOLUÇÃO_294_2007_COELCE_Sem_Gov_Estado-Ate_Rev2007_Calculo_Subsidio_ELFSM_26_06_08_Modelo_ANEEL_IRT-cálculo CAPA NEUTRALIDADE" xfId="4216" xr:uid="{00000000-0005-0000-0000-00006E090000}"/>
    <cellStyle name="_PLPT_PLANILHA_CÁLCULO_DÉFICIT_RESOLUÇÃO_294_2007_COELCE_Sem_Gov_Estado-Ate_Rev2007_casulo 15" xfId="515" xr:uid="{00000000-0005-0000-0000-00006F090000}"/>
    <cellStyle name="_PLPT_PLANILHA_CÁLCULO_DÉFICIT_RESOLUÇÃO_294_2007_COELCE_Sem_Gov_Estado-Ate_Rev2007_casulo 5" xfId="516" xr:uid="{00000000-0005-0000-0000-000070090000}"/>
    <cellStyle name="_PLPT_PLANILHA_CÁLCULO_DÉFICIT_RESOLUÇÃO_294_2007_COELCE_Sem_Gov_Estado-Ate_Rev2007_casulo 5 2" xfId="1399" xr:uid="{00000000-0005-0000-0000-000071090000}"/>
    <cellStyle name="_PLPT_PLANILHA_CÁLCULO_DÉFICIT_RESOLUÇÃO_294_2007_COELCE_Sem_Gov_Estado-Ate_Rev2007_casulo 5_Balanço" xfId="517" xr:uid="{00000000-0005-0000-0000-000072090000}"/>
    <cellStyle name="_PLPT_PLANILHA_CÁLCULO_DÉFICIT_RESOLUÇÃO_294_2007_COELCE_Sem_Gov_Estado-Ate_Rev2007_casulo 5_casulo 15" xfId="518" xr:uid="{00000000-0005-0000-0000-000073090000}"/>
    <cellStyle name="_PLPT_PLANILHA_CÁLCULO_DÉFICIT_RESOLUÇÃO_294_2007_COELCE_Sem_Gov_Estado-Ate_Rev2007_casulo 5_IRT EEB 2010" xfId="4217" xr:uid="{00000000-0005-0000-0000-000074090000}"/>
    <cellStyle name="_PLPT_PLANILHA_CÁLCULO_DÉFICIT_RESOLUÇÃO_294_2007_COELCE_Sem_Gov_Estado-Ate_Rev2007_Cópia de IRT_CPFL_LESTE_PAULISTA(CPEE)_fev2009-COM_PREVISÃO_BR_da_Diretoria_pos_IGPM" xfId="519" xr:uid="{00000000-0005-0000-0000-000075090000}"/>
    <cellStyle name="_PLPT_PLANILHA_CÁLCULO_DÉFICIT_RESOLUÇÃO_294_2007_COELCE_Sem_Gov_Estado-Ate_Rev2007_Cópia de IRT_CPFL_LESTE_PAULISTA(CPEE)_fev2009-COM_PREVISÃO_BR_da_Diretoria_pos_IGPM 2" xfId="1400" xr:uid="{00000000-0005-0000-0000-000076090000}"/>
    <cellStyle name="_PLPT_PLANILHA_CÁLCULO_DÉFICIT_RESOLUÇÃO_294_2007_COELCE_Sem_Gov_Estado-Ate_Rev2007_Cópia de IRT_CPFL_LESTE_PAULISTA(CPEE)_fev2009-COM_PREVISÃO_BR_da_Diretoria_pos_IGPM_Balanço" xfId="520" xr:uid="{00000000-0005-0000-0000-000077090000}"/>
    <cellStyle name="_PLPT_PLANILHA_CÁLCULO_DÉFICIT_RESOLUÇÃO_294_2007_COELCE_Sem_Gov_Estado-Ate_Rev2007_Cópia de IRT_CPFL_LESTE_PAULISTA(CPEE)_fev2009-COM_PREVISÃO_BR_da_Diretoria_pos_IGPM_Balanço 2" xfId="1401" xr:uid="{00000000-0005-0000-0000-000078090000}"/>
    <cellStyle name="_PLPT_PLANILHA_CÁLCULO_DÉFICIT_RESOLUÇÃO_294_2007_COELCE_Sem_Gov_Estado-Ate_Rev2007_Cópia de IRT_CPFL_LESTE_PAULISTA(CPEE)_fev2009-COM_PREVISÃO_BR_da_Diretoria_pos_IGPM_casulo 15" xfId="521" xr:uid="{00000000-0005-0000-0000-000079090000}"/>
    <cellStyle name="_PLPT_PLANILHA_CÁLCULO_DÉFICIT_RESOLUÇÃO_294_2007_COELCE_Sem_Gov_Estado-Ate_Rev2007_Cópia de IRT_CPFL_LESTE_PAULISTA(CPEE)_fev2009-COM_PREVISÃO_BR_da_Diretoria_pos_IGPM_casulo 5" xfId="522" xr:uid="{00000000-0005-0000-0000-00007A090000}"/>
    <cellStyle name="_PLPT_PLANILHA_CÁLCULO_DÉFICIT_RESOLUÇÃO_294_2007_COELCE_Sem_Gov_Estado-Ate_Rev2007_Cópia de IRT_CPFL_LESTE_PAULISTA(CPEE)_fev2009-COM_PREVISÃO_BR_da_Diretoria_pos_IGPM_casulo 5 2" xfId="1402" xr:uid="{00000000-0005-0000-0000-00007B090000}"/>
    <cellStyle name="_PLPT_PLANILHA_CÁLCULO_DÉFICIT_RESOLUÇÃO_294_2007_COELCE_Sem_Gov_Estado-Ate_Rev2007_Cópia de IRT_CPFL_LESTE_PAULISTA(CPEE)_fev2009-COM_PREVISÃO_BR_da_Diretoria_pos_IGPM_casulo 5_Balanço" xfId="523" xr:uid="{00000000-0005-0000-0000-00007C090000}"/>
    <cellStyle name="_PLPT_PLANILHA_CÁLCULO_DÉFICIT_RESOLUÇÃO_294_2007_COELCE_Sem_Gov_Estado-Ate_Rev2007_Cópia de IRT_CPFL_LESTE_PAULISTA(CPEE)_fev2009-COM_PREVISÃO_BR_da_Diretoria_pos_IGPM_casulo 5_casulo 15" xfId="524" xr:uid="{00000000-0005-0000-0000-00007D090000}"/>
    <cellStyle name="_PLPT_PLANILHA_CÁLCULO_DÉFICIT_RESOLUÇÃO_294_2007_COELCE_Sem_Gov_Estado-Ate_Rev2007_Cópia de IRT_CPFL_LESTE_PAULISTA(CPEE)_fev2009-COM_PREVISÃO_BR_da_Diretoria_pos_IGPM_casulo 5_IRT EEB 2010" xfId="4218" xr:uid="{00000000-0005-0000-0000-00007E090000}"/>
    <cellStyle name="_PLPT_PLANILHA_CÁLCULO_DÉFICIT_RESOLUÇÃO_294_2007_COELCE_Sem_Gov_Estado-Ate_Rev2007_Cópia de IRT_CPFL_LESTE_PAULISTA(CPEE)_fev2009-COM_PREVISÃO_BR_da_Diretoria_pos_IGPM_IRT EEB 2010" xfId="4219" xr:uid="{00000000-0005-0000-0000-00007F090000}"/>
    <cellStyle name="_PLPT_PLANILHA_CÁLCULO_DÉFICIT_RESOLUÇÃO_294_2007_COELCE_Sem_Gov_Estado-Ate_Rev2007_Exposição" xfId="4220" xr:uid="{00000000-0005-0000-0000-000080090000}"/>
    <cellStyle name="_PLPT_PLANILHA_CÁLCULO_DÉFICIT_RESOLUÇÃO_294_2007_COELCE_Sem_Gov_Estado-Ate_Rev2007_Exposição 2008" xfId="4221" xr:uid="{00000000-0005-0000-0000-000081090000}"/>
    <cellStyle name="_PLPT_PLANILHA_CÁLCULO_DÉFICIT_RESOLUÇÃO_294_2007_COELCE_Sem_Gov_Estado-Ate_Rev2007_Exposição_Agosto 1" xfId="4222" xr:uid="{00000000-0005-0000-0000-000082090000}"/>
    <cellStyle name="_PLPT_PLANILHA_CÁLCULO_DÉFICIT_RESOLUÇÃO_294_2007_COELCE_Sem_Gov_Estado-Ate_Rev2007_IRT" xfId="4223" xr:uid="{00000000-0005-0000-0000-000083090000}"/>
    <cellStyle name="_PLPT_PLANILHA_CÁLCULO_DÉFICIT_RESOLUÇÃO_294_2007_COELCE_Sem_Gov_Estado-Ate_Rev2007_IRT EEB 2010" xfId="4224" xr:uid="{00000000-0005-0000-0000-000084090000}"/>
    <cellStyle name="_PLPT_PLANILHA_CÁLCULO_DÉFICIT_RESOLUÇÃO_294_2007_COELCE_Sem_Gov_Estado-Ate_Rev2007_IRT Piratininga 2009" xfId="525" xr:uid="{00000000-0005-0000-0000-000085090000}"/>
    <cellStyle name="_PLPT_PLANILHA_CÁLCULO_DÉFICIT_RESOLUÇÃO_294_2007_COELCE_Sem_Gov_Estado-Ate_Rev2007_IRT Piratininga 2009 2" xfId="1403" xr:uid="{00000000-0005-0000-0000-000086090000}"/>
    <cellStyle name="_PLPT_PLANILHA_CÁLCULO_DÉFICIT_RESOLUÇÃO_294_2007_COELCE_Sem_Gov_Estado-Ate_Rev2007_IRT Piratininga 2009_Balanço" xfId="526" xr:uid="{00000000-0005-0000-0000-000087090000}"/>
    <cellStyle name="_PLPT_PLANILHA_CÁLCULO_DÉFICIT_RESOLUÇÃO_294_2007_COELCE_Sem_Gov_Estado-Ate_Rev2007_IRT Piratininga 2009_casulo 15" xfId="527" xr:uid="{00000000-0005-0000-0000-000088090000}"/>
    <cellStyle name="_PLPT_PLANILHA_CÁLCULO_DÉFICIT_RESOLUÇÃO_294_2007_COELCE_Sem_Gov_Estado-Ate_Rev2007_IRT Piratininga 2009_IRT EEB 2010" xfId="4225" xr:uid="{00000000-0005-0000-0000-000089090000}"/>
    <cellStyle name="_PLPT_PLANILHA_CÁLCULO_DÉFICIT_RESOLUÇÃO_294_2007_COELCE_Sem_Gov_Estado-Ate_Rev2007_IRT Reloaded" xfId="528" xr:uid="{00000000-0005-0000-0000-00008A090000}"/>
    <cellStyle name="_PLPT_PLANILHA_CÁLCULO_DÉFICIT_RESOLUÇÃO_294_2007_COELCE_Sem_Gov_Estado-Ate_Rev2007_IRT Reloaded 2" xfId="1404" xr:uid="{00000000-0005-0000-0000-00008B090000}"/>
    <cellStyle name="_PLPT_PLANILHA_CÁLCULO_DÉFICIT_RESOLUÇÃO_294_2007_COELCE_Sem_Gov_Estado-Ate_Rev2007_IRT Reloaded_Balanço" xfId="529" xr:uid="{00000000-0005-0000-0000-00008C090000}"/>
    <cellStyle name="_PLPT_PLANILHA_CÁLCULO_DÉFICIT_RESOLUÇÃO_294_2007_COELCE_Sem_Gov_Estado-Ate_Rev2007_IRT Reloaded_Balanço 2" xfId="1405" xr:uid="{00000000-0005-0000-0000-00008D090000}"/>
    <cellStyle name="_PLPT_PLANILHA_CÁLCULO_DÉFICIT_RESOLUÇÃO_294_2007_COELCE_Sem_Gov_Estado-Ate_Rev2007_IRT Reloaded_casulo 15" xfId="530" xr:uid="{00000000-0005-0000-0000-00008E090000}"/>
    <cellStyle name="_PLPT_PLANILHA_CÁLCULO_DÉFICIT_RESOLUÇÃO_294_2007_COELCE_Sem_Gov_Estado-Ate_Rev2007_IRT Reloaded_casulo 5" xfId="531" xr:uid="{00000000-0005-0000-0000-00008F090000}"/>
    <cellStyle name="_PLPT_PLANILHA_CÁLCULO_DÉFICIT_RESOLUÇÃO_294_2007_COELCE_Sem_Gov_Estado-Ate_Rev2007_IRT Reloaded_casulo 5 2" xfId="1406" xr:uid="{00000000-0005-0000-0000-000090090000}"/>
    <cellStyle name="_PLPT_PLANILHA_CÁLCULO_DÉFICIT_RESOLUÇÃO_294_2007_COELCE_Sem_Gov_Estado-Ate_Rev2007_IRT Reloaded_casulo 5_Balanço" xfId="532" xr:uid="{00000000-0005-0000-0000-000091090000}"/>
    <cellStyle name="_PLPT_PLANILHA_CÁLCULO_DÉFICIT_RESOLUÇÃO_294_2007_COELCE_Sem_Gov_Estado-Ate_Rev2007_IRT Reloaded_casulo 5_casulo 15" xfId="533" xr:uid="{00000000-0005-0000-0000-000092090000}"/>
    <cellStyle name="_PLPT_PLANILHA_CÁLCULO_DÉFICIT_RESOLUÇÃO_294_2007_COELCE_Sem_Gov_Estado-Ate_Rev2007_IRT Reloaded_casulo 5_IRT EEB 2010" xfId="4226" xr:uid="{00000000-0005-0000-0000-000093090000}"/>
    <cellStyle name="_PLPT_PLANILHA_CÁLCULO_DÉFICIT_RESOLUÇÃO_294_2007_COELCE_Sem_Gov_Estado-Ate_Rev2007_IRT Reloaded_IRT EEB 2010" xfId="4227" xr:uid="{00000000-0005-0000-0000-000094090000}"/>
    <cellStyle name="_PLPT_PLANILHA_CÁLCULO_DÉFICIT_RESOLUÇÃO_294_2007_COELCE_Sem_Gov_Estado-Ate_Rev2007_IRT_1" xfId="1618" xr:uid="{00000000-0005-0000-0000-000095090000}"/>
    <cellStyle name="_PLPT_PLANILHA_CÁLCULO_DÉFICIT_RESOLUÇÃO_294_2007_COELCE_Sem_Gov_Estado-Ate_Rev2007_IRT_1 2" xfId="4228" xr:uid="{00000000-0005-0000-0000-000096090000}"/>
    <cellStyle name="_PLPT_PLANILHA_CÁLCULO_DÉFICIT_RESOLUÇÃO_294_2007_COELCE_Sem_Gov_Estado-Ate_Rev2007_IRT_1_IRT-cálculo" xfId="4229" xr:uid="{00000000-0005-0000-0000-000097090000}"/>
    <cellStyle name="_PLPT_PLANILHA_CÁLCULO_DÉFICIT_RESOLUÇÃO_294_2007_COELCE_Sem_Gov_Estado-Ate_Rev2007_IRT_1_IRT-cálculo CAPA NEUTRALIDADE" xfId="4230" xr:uid="{00000000-0005-0000-0000-000098090000}"/>
    <cellStyle name="_PLPT_PLANILHA_CÁLCULO_DÉFICIT_RESOLUÇÃO_294_2007_COELCE_Sem_Gov_Estado-Ate_Rev2007_IRT_1_SOBRECONTRATAÇÃO E CVA" xfId="4231" xr:uid="{00000000-0005-0000-0000-000099090000}"/>
    <cellStyle name="_PLPT_PLANILHA_CÁLCULO_DÉFICIT_RESOLUÇÃO_294_2007_COELCE_Sem_Gov_Estado-Ate_Rev2007_IRT_Bragantina_maio_2009" xfId="4232" xr:uid="{00000000-0005-0000-0000-00009A090000}"/>
    <cellStyle name="_PLPT_PLANILHA_CÁLCULO_DÉFICIT_RESOLUÇÃO_294_2007_COELCE_Sem_Gov_Estado-Ate_Rev2007_IRT_CEMAT_2009" xfId="4233" xr:uid="{00000000-0005-0000-0000-00009B090000}"/>
    <cellStyle name="_PLPT_PLANILHA_CÁLCULO_DÉFICIT_RESOLUÇÃO_294_2007_COELCE_Sem_Gov_Estado-Ate_Rev2007_IRT_COELCE_abr2008" xfId="1619" xr:uid="{00000000-0005-0000-0000-00009C090000}"/>
    <cellStyle name="_PLPT_PLANILHA_CÁLCULO_DÉFICIT_RESOLUÇÃO_294_2007_COELCE_Sem_Gov_Estado-Ate_Rev2007_IRT_COELCE_abr2008 2" xfId="4234" xr:uid="{00000000-0005-0000-0000-00009D090000}"/>
    <cellStyle name="_PLPT_PLANILHA_CÁLCULO_DÉFICIT_RESOLUÇÃO_294_2007_COELCE_Sem_Gov_Estado-Ate_Rev2007_IRT_COELCE_abr2008_COELCE - RTO 2011 - PLPT_PLANILHA_CÁLCULO_DÉFICIT" xfId="4235" xr:uid="{00000000-0005-0000-0000-00009E090000}"/>
    <cellStyle name="_PLPT_PLANILHA_CÁLCULO_DÉFICIT_RESOLUÇÃO_294_2007_COELCE_Sem_Gov_Estado-Ate_Rev2007_IRT_EBB_mai2010d" xfId="4236" xr:uid="{00000000-0005-0000-0000-00009F090000}"/>
    <cellStyle name="_PLPT_PLANILHA_CÁLCULO_DÉFICIT_RESOLUÇÃO_294_2007_COELCE_Sem_Gov_Estado-Ate_Rev2007_IRT_ENERGISA_SE_abr2009" xfId="4237" xr:uid="{00000000-0005-0000-0000-0000A0090000}"/>
    <cellStyle name="_PLPT_PLANILHA_CÁLCULO_DÉFICIT_RESOLUÇÃO_294_2007_COELCE_Sem_Gov_Estado-Ate_Rev2007_IRT_ENF" xfId="4238" xr:uid="{00000000-0005-0000-0000-0000A1090000}"/>
    <cellStyle name="_PLPT_PLANILHA_CÁLCULO_DÉFICIT_RESOLUÇÃO_294_2007_COELCE_Sem_Gov_Estado-Ate_Rev2007_IRT_Escelsa" xfId="4239" xr:uid="{00000000-0005-0000-0000-0000A2090000}"/>
    <cellStyle name="_PLPT_PLANILHA_CÁLCULO_DÉFICIT_RESOLUÇÃO_294_2007_COELCE_Sem_Gov_Estado-Ate_Rev2007_IRT_Planilha Básica_ CETRIL" xfId="534" xr:uid="{00000000-0005-0000-0000-0000A3090000}"/>
    <cellStyle name="_PLPT_PLANILHA_CÁLCULO_DÉFICIT_RESOLUÇÃO_294_2007_COELCE_Sem_Gov_Estado-Ate_Rev2007_IRT_Planilha Básica_ CETRIL 2" xfId="1407" xr:uid="{00000000-0005-0000-0000-0000A4090000}"/>
    <cellStyle name="_PLPT_PLANILHA_CÁLCULO_DÉFICIT_RESOLUÇÃO_294_2007_COELCE_Sem_Gov_Estado-Ate_Rev2007_IRT_Planilha Básica_ CETRIL_Balanço" xfId="535" xr:uid="{00000000-0005-0000-0000-0000A5090000}"/>
    <cellStyle name="_PLPT_PLANILHA_CÁLCULO_DÉFICIT_RESOLUÇÃO_294_2007_COELCE_Sem_Gov_Estado-Ate_Rev2007_IRT_Planilha Básica_ CETRIL_casulo 15" xfId="536" xr:uid="{00000000-0005-0000-0000-0000A6090000}"/>
    <cellStyle name="_PLPT_PLANILHA_CÁLCULO_DÉFICIT_RESOLUÇÃO_294_2007_COELCE_Sem_Gov_Estado-Ate_Rev2007_IRT_Planilha Básica_ CETRIL_IRT EEB 2010" xfId="4240" xr:uid="{00000000-0005-0000-0000-0000A7090000}"/>
    <cellStyle name="_PLPT_PLANILHA_CÁLCULO_DÉFICIT_RESOLUÇÃO_294_2007_COELCE_Sem_Gov_Estado-Ate_Rev2007_IRT_Planilha Básica_30jun2009" xfId="4241" xr:uid="{00000000-0005-0000-0000-0000A8090000}"/>
    <cellStyle name="_PLPT_PLANILHA_CÁLCULO_DÉFICIT_RESOLUÇÃO_294_2007_COELCE_Sem_Gov_Estado-Ate_Rev2007_IRT_Planilha Básica_DIRETORIA" xfId="4242" xr:uid="{00000000-0005-0000-0000-0000A9090000}"/>
    <cellStyle name="_PLPT_PLANILHA_CÁLCULO_DÉFICIT_RESOLUÇÃO_294_2007_COELCE_Sem_Gov_Estado-Ate_Rev2007_IRT_Planilha Básica_fev2010" xfId="4243" xr:uid="{00000000-0005-0000-0000-0000AA090000}"/>
    <cellStyle name="_PLPT_PLANILHA_CÁLCULO_DÉFICIT_RESOLUÇÃO_294_2007_COELCE_Sem_Gov_Estado-Ate_Rev2007_IRT_Planilha Básica_fev2010a" xfId="537" xr:uid="{00000000-0005-0000-0000-0000AB090000}"/>
    <cellStyle name="_PLPT_PLANILHA_CÁLCULO_DÉFICIT_RESOLUÇÃO_294_2007_COELCE_Sem_Gov_Estado-Ate_Rev2007_IRT_Planilha Básica_fev2010a 2" xfId="1408" xr:uid="{00000000-0005-0000-0000-0000AC090000}"/>
    <cellStyle name="_PLPT_PLANILHA_CÁLCULO_DÉFICIT_RESOLUÇÃO_294_2007_COELCE_Sem_Gov_Estado-Ate_Rev2007_IRT_Planilha Básica_fev2010a_Balanço" xfId="538" xr:uid="{00000000-0005-0000-0000-0000AD090000}"/>
    <cellStyle name="_PLPT_PLANILHA_CÁLCULO_DÉFICIT_RESOLUÇÃO_294_2007_COELCE_Sem_Gov_Estado-Ate_Rev2007_IRT_Planilha Básica_fev2010a_Balanço 2" xfId="1409" xr:uid="{00000000-0005-0000-0000-0000AE090000}"/>
    <cellStyle name="_PLPT_PLANILHA_CÁLCULO_DÉFICIT_RESOLUÇÃO_294_2007_COELCE_Sem_Gov_Estado-Ate_Rev2007_IRT_Planilha Básica_fev2010a_casulo 15" xfId="539" xr:uid="{00000000-0005-0000-0000-0000AF090000}"/>
    <cellStyle name="_PLPT_PLANILHA_CÁLCULO_DÉFICIT_RESOLUÇÃO_294_2007_COELCE_Sem_Gov_Estado-Ate_Rev2007_IRT_Planilha Básica_fev2010a_casulo 5" xfId="540" xr:uid="{00000000-0005-0000-0000-0000B0090000}"/>
    <cellStyle name="_PLPT_PLANILHA_CÁLCULO_DÉFICIT_RESOLUÇÃO_294_2007_COELCE_Sem_Gov_Estado-Ate_Rev2007_IRT_Planilha Básica_fev2010a_casulo 5 2" xfId="1410" xr:uid="{00000000-0005-0000-0000-0000B1090000}"/>
    <cellStyle name="_PLPT_PLANILHA_CÁLCULO_DÉFICIT_RESOLUÇÃO_294_2007_COELCE_Sem_Gov_Estado-Ate_Rev2007_IRT_Planilha Básica_fev2010a_casulo 5_Balanço" xfId="541" xr:uid="{00000000-0005-0000-0000-0000B2090000}"/>
    <cellStyle name="_PLPT_PLANILHA_CÁLCULO_DÉFICIT_RESOLUÇÃO_294_2007_COELCE_Sem_Gov_Estado-Ate_Rev2007_IRT_Planilha Básica_fev2010a_casulo 5_casulo 15" xfId="542" xr:uid="{00000000-0005-0000-0000-0000B3090000}"/>
    <cellStyle name="_PLPT_PLANILHA_CÁLCULO_DÉFICIT_RESOLUÇÃO_294_2007_COELCE_Sem_Gov_Estado-Ate_Rev2007_IRT_Planilha Básica_fev2010a_casulo 5_IRT EEB 2010" xfId="4244" xr:uid="{00000000-0005-0000-0000-0000B4090000}"/>
    <cellStyle name="_PLPT_PLANILHA_CÁLCULO_DÉFICIT_RESOLUÇÃO_294_2007_COELCE_Sem_Gov_Estado-Ate_Rev2007_IRT_Planilha Básica_fev2010a_IRT EEB 2010" xfId="4245" xr:uid="{00000000-0005-0000-0000-0000B5090000}"/>
    <cellStyle name="_PLPT_PLANILHA_CÁLCULO_DÉFICIT_RESOLUÇÃO_294_2007_COELCE_Sem_Gov_Estado-Ate_Rev2007_IRT_Planilha Básica_jun2009" xfId="4246" xr:uid="{00000000-0005-0000-0000-0000B6090000}"/>
    <cellStyle name="_PLPT_PLANILHA_CÁLCULO_DÉFICIT_RESOLUÇÃO_294_2007_COELCE_Sem_Gov_Estado-Ate_Rev2007_IRT_Planilha Básica_mar2010b" xfId="4247" xr:uid="{00000000-0005-0000-0000-0000B7090000}"/>
    <cellStyle name="_PLPT_PLANILHA_CÁLCULO_DÉFICIT_RESOLUÇÃO_294_2007_COELCE_Sem_Gov_Estado-Ate_Rev2007_IRT_Planilha Básica_mar2010d" xfId="543" xr:uid="{00000000-0005-0000-0000-0000B8090000}"/>
    <cellStyle name="_PLPT_PLANILHA_CÁLCULO_DÉFICIT_RESOLUÇÃO_294_2007_COELCE_Sem_Gov_Estado-Ate_Rev2007_IRT_Planilha Básica_mar2010d 2" xfId="1411" xr:uid="{00000000-0005-0000-0000-0000B9090000}"/>
    <cellStyle name="_PLPT_PLANILHA_CÁLCULO_DÉFICIT_RESOLUÇÃO_294_2007_COELCE_Sem_Gov_Estado-Ate_Rev2007_IRT_Planilha Básica_março2009" xfId="544" xr:uid="{00000000-0005-0000-0000-0000BA090000}"/>
    <cellStyle name="_PLPT_PLANILHA_CÁLCULO_DÉFICIT_RESOLUÇÃO_294_2007_COELCE_Sem_Gov_Estado-Ate_Rev2007_IRT_Planilha Básica_março2009 2" xfId="1412" xr:uid="{00000000-0005-0000-0000-0000BB090000}"/>
    <cellStyle name="_PLPT_PLANILHA_CÁLCULO_DÉFICIT_RESOLUÇÃO_294_2007_COELCE_Sem_Gov_Estado-Ate_Rev2007_IRT_Planilha Básica_março2009_02 IRT Bandeirante 2009" xfId="4248" xr:uid="{00000000-0005-0000-0000-0000BC090000}"/>
    <cellStyle name="_PLPT_PLANILHA_CÁLCULO_DÉFICIT_RESOLUÇÃO_294_2007_COELCE_Sem_Gov_Estado-Ate_Rev2007_IRT_Planilha Básica_março2009_Balanço" xfId="545" xr:uid="{00000000-0005-0000-0000-0000BD090000}"/>
    <cellStyle name="_PLPT_PLANILHA_CÁLCULO_DÉFICIT_RESOLUÇÃO_294_2007_COELCE_Sem_Gov_Estado-Ate_Rev2007_IRT_Planilha Básica_março2009_Balanço 2" xfId="1413" xr:uid="{00000000-0005-0000-0000-0000BE090000}"/>
    <cellStyle name="_PLPT_PLANILHA_CÁLCULO_DÉFICIT_RESOLUÇÃO_294_2007_COELCE_Sem_Gov_Estado-Ate_Rev2007_IRT_Planilha Básica_março2009_casulo 15" xfId="546" xr:uid="{00000000-0005-0000-0000-0000BF090000}"/>
    <cellStyle name="_PLPT_PLANILHA_CÁLCULO_DÉFICIT_RESOLUÇÃO_294_2007_COELCE_Sem_Gov_Estado-Ate_Rev2007_IRT_Planilha Básica_março2009_casulo 5" xfId="547" xr:uid="{00000000-0005-0000-0000-0000C0090000}"/>
    <cellStyle name="_PLPT_PLANILHA_CÁLCULO_DÉFICIT_RESOLUÇÃO_294_2007_COELCE_Sem_Gov_Estado-Ate_Rev2007_IRT_Planilha Básica_março2009_casulo 5 2" xfId="1414" xr:uid="{00000000-0005-0000-0000-0000C1090000}"/>
    <cellStyle name="_PLPT_PLANILHA_CÁLCULO_DÉFICIT_RESOLUÇÃO_294_2007_COELCE_Sem_Gov_Estado-Ate_Rev2007_IRT_Planilha Básica_março2009_casulo 5_Balanço" xfId="548" xr:uid="{00000000-0005-0000-0000-0000C2090000}"/>
    <cellStyle name="_PLPT_PLANILHA_CÁLCULO_DÉFICIT_RESOLUÇÃO_294_2007_COELCE_Sem_Gov_Estado-Ate_Rev2007_IRT_Planilha Básica_março2009_casulo 5_casulo 15" xfId="549" xr:uid="{00000000-0005-0000-0000-0000C3090000}"/>
    <cellStyle name="_PLPT_PLANILHA_CÁLCULO_DÉFICIT_RESOLUÇÃO_294_2007_COELCE_Sem_Gov_Estado-Ate_Rev2007_IRT_Planilha Básica_março2009_casulo 5_IRT EEB 2010" xfId="4249" xr:uid="{00000000-0005-0000-0000-0000C4090000}"/>
    <cellStyle name="_PLPT_PLANILHA_CÁLCULO_DÉFICIT_RESOLUÇÃO_294_2007_COELCE_Sem_Gov_Estado-Ate_Rev2007_IRT_Planilha Básica_março2009_COELCE  ICMS Não Compensado RTO 2012 281211" xfId="4250" xr:uid="{00000000-0005-0000-0000-0000C5090000}"/>
    <cellStyle name="_PLPT_PLANILHA_CÁLCULO_DÉFICIT_RESOLUÇÃO_294_2007_COELCE_Sem_Gov_Estado-Ate_Rev2007_IRT_Planilha Básica_março2009_COELCE - RTO 2011 - PLPT_PLANILHA_CÁLCULO_DÉFICIT" xfId="4251" xr:uid="{00000000-0005-0000-0000-0000C6090000}"/>
    <cellStyle name="_PLPT_PLANILHA_CÁLCULO_DÉFICIT_RESOLUÇÃO_294_2007_COELCE_Sem_Gov_Estado-Ate_Rev2007_IRT_Planilha Básica_março2009_IRT EEB 2010" xfId="4252" xr:uid="{00000000-0005-0000-0000-0000C7090000}"/>
    <cellStyle name="_PLPT_PLANILHA_CÁLCULO_DÉFICIT_RESOLUÇÃO_294_2007_COELCE_Sem_Gov_Estado-Ate_Rev2007_IRT_Planilha Básica_março2009_IRT Piratininga 2009" xfId="550" xr:uid="{00000000-0005-0000-0000-0000C8090000}"/>
    <cellStyle name="_PLPT_PLANILHA_CÁLCULO_DÉFICIT_RESOLUÇÃO_294_2007_COELCE_Sem_Gov_Estado-Ate_Rev2007_IRT_Planilha Básica_março2009_IRT Piratininga 2009 2" xfId="1415" xr:uid="{00000000-0005-0000-0000-0000C9090000}"/>
    <cellStyle name="_PLPT_PLANILHA_CÁLCULO_DÉFICIT_RESOLUÇÃO_294_2007_COELCE_Sem_Gov_Estado-Ate_Rev2007_IRT_Planilha Básica_março2009_IRT Piratininga 2009_Balanço" xfId="551" xr:uid="{00000000-0005-0000-0000-0000CA090000}"/>
    <cellStyle name="_PLPT_PLANILHA_CÁLCULO_DÉFICIT_RESOLUÇÃO_294_2007_COELCE_Sem_Gov_Estado-Ate_Rev2007_IRT_Planilha Básica_março2009_IRT Piratininga 2009_casulo 15" xfId="552" xr:uid="{00000000-0005-0000-0000-0000CB090000}"/>
    <cellStyle name="_PLPT_PLANILHA_CÁLCULO_DÉFICIT_RESOLUÇÃO_294_2007_COELCE_Sem_Gov_Estado-Ate_Rev2007_IRT_Planilha Básica_março2009_IRT Piratininga 2009_IRT EEB 2010" xfId="4253" xr:uid="{00000000-0005-0000-0000-0000CC090000}"/>
    <cellStyle name="_PLPT_PLANILHA_CÁLCULO_DÉFICIT_RESOLUÇÃO_294_2007_COELCE_Sem_Gov_Estado-Ate_Rev2007_IRT_Planilha Básica_março2009_IRT_EBB_mai2010d" xfId="4254" xr:uid="{00000000-0005-0000-0000-0000CD090000}"/>
    <cellStyle name="_PLPT_PLANILHA_CÁLCULO_DÉFICIT_RESOLUÇÃO_294_2007_COELCE_Sem_Gov_Estado-Ate_Rev2007_IRT_Planilha Básica_março2009_IRT_Planilha Básica_ CETRIL" xfId="553" xr:uid="{00000000-0005-0000-0000-0000CE090000}"/>
    <cellStyle name="_PLPT_PLANILHA_CÁLCULO_DÉFICIT_RESOLUÇÃO_294_2007_COELCE_Sem_Gov_Estado-Ate_Rev2007_IRT_Planilha Básica_março2009_IRT_Planilha Básica_ CETRIL 2" xfId="1416" xr:uid="{00000000-0005-0000-0000-0000CF090000}"/>
    <cellStyle name="_PLPT_PLANILHA_CÁLCULO_DÉFICIT_RESOLUÇÃO_294_2007_COELCE_Sem_Gov_Estado-Ate_Rev2007_IRT_Planilha Básica_março2009_IRT_Planilha Básica_ CETRIL_Balanço" xfId="554" xr:uid="{00000000-0005-0000-0000-0000D0090000}"/>
    <cellStyle name="_PLPT_PLANILHA_CÁLCULO_DÉFICIT_RESOLUÇÃO_294_2007_COELCE_Sem_Gov_Estado-Ate_Rev2007_IRT_Planilha Básica_março2009_IRT_Planilha Básica_ CETRIL_casulo 15" xfId="555" xr:uid="{00000000-0005-0000-0000-0000D1090000}"/>
    <cellStyle name="_PLPT_PLANILHA_CÁLCULO_DÉFICIT_RESOLUÇÃO_294_2007_COELCE_Sem_Gov_Estado-Ate_Rev2007_IRT_Planilha Básica_março2009_IRT_Planilha Básica_ CETRIL_IRT EEB 2010" xfId="4255" xr:uid="{00000000-0005-0000-0000-0000D2090000}"/>
    <cellStyle name="_PLPT_PLANILHA_CÁLCULO_DÉFICIT_RESOLUÇÃO_294_2007_COELCE_Sem_Gov_Estado-Ate_Rev2007_IRT_Planilha Básica_março2009_IRT_Planilha Básica_DIRETORIA" xfId="4256" xr:uid="{00000000-0005-0000-0000-0000D3090000}"/>
    <cellStyle name="_PLPT_PLANILHA_CÁLCULO_DÉFICIT_RESOLUÇÃO_294_2007_COELCE_Sem_Gov_Estado-Ate_Rev2007_IRT_Planilha Básica_março2009_IRT_Planilha Básica_fev2010" xfId="4257" xr:uid="{00000000-0005-0000-0000-0000D4090000}"/>
    <cellStyle name="_PLPT_PLANILHA_CÁLCULO_DÉFICIT_RESOLUÇÃO_294_2007_COELCE_Sem_Gov_Estado-Ate_Rev2007_IRT_Planilha Básica_março2009_IRT_Planilha Básica_fev2010a" xfId="556" xr:uid="{00000000-0005-0000-0000-0000D5090000}"/>
    <cellStyle name="_PLPT_PLANILHA_CÁLCULO_DÉFICIT_RESOLUÇÃO_294_2007_COELCE_Sem_Gov_Estado-Ate_Rev2007_IRT_Planilha Básica_março2009_IRT_Planilha Básica_fev2010a 2" xfId="1417" xr:uid="{00000000-0005-0000-0000-0000D6090000}"/>
    <cellStyle name="_PLPT_PLANILHA_CÁLCULO_DÉFICIT_RESOLUÇÃO_294_2007_COELCE_Sem_Gov_Estado-Ate_Rev2007_IRT_Planilha Básica_março2009_IRT_Planilha Básica_fev2010a_Balanço" xfId="557" xr:uid="{00000000-0005-0000-0000-0000D7090000}"/>
    <cellStyle name="_PLPT_PLANILHA_CÁLCULO_DÉFICIT_RESOLUÇÃO_294_2007_COELCE_Sem_Gov_Estado-Ate_Rev2007_IRT_Planilha Básica_março2009_IRT_Planilha Básica_fev2010a_Balanço 2" xfId="1418" xr:uid="{00000000-0005-0000-0000-0000D8090000}"/>
    <cellStyle name="_PLPT_PLANILHA_CÁLCULO_DÉFICIT_RESOLUÇÃO_294_2007_COELCE_Sem_Gov_Estado-Ate_Rev2007_IRT_Planilha Básica_março2009_IRT_Planilha Básica_fev2010a_casulo 15" xfId="558" xr:uid="{00000000-0005-0000-0000-0000D9090000}"/>
    <cellStyle name="_PLPT_PLANILHA_CÁLCULO_DÉFICIT_RESOLUÇÃO_294_2007_COELCE_Sem_Gov_Estado-Ate_Rev2007_IRT_Planilha Básica_março2009_IRT_Planilha Básica_fev2010a_casulo 5" xfId="559" xr:uid="{00000000-0005-0000-0000-0000DA090000}"/>
    <cellStyle name="_PLPT_PLANILHA_CÁLCULO_DÉFICIT_RESOLUÇÃO_294_2007_COELCE_Sem_Gov_Estado-Ate_Rev2007_IRT_Planilha Básica_março2009_IRT_Planilha Básica_fev2010a_casulo 5 2" xfId="1419" xr:uid="{00000000-0005-0000-0000-0000DB090000}"/>
    <cellStyle name="_PLPT_PLANILHA_CÁLCULO_DÉFICIT_RESOLUÇÃO_294_2007_COELCE_Sem_Gov_Estado-Ate_Rev2007_IRT_Planilha Básica_março2009_IRT_Planilha Básica_fev2010a_casulo 5_Balanço" xfId="560" xr:uid="{00000000-0005-0000-0000-0000DC090000}"/>
    <cellStyle name="_PLPT_PLANILHA_CÁLCULO_DÉFICIT_RESOLUÇÃO_294_2007_COELCE_Sem_Gov_Estado-Ate_Rev2007_IRT_Planilha Básica_março2009_IRT_Planilha Básica_fev2010a_casulo 5_casulo 15" xfId="561" xr:uid="{00000000-0005-0000-0000-0000DD090000}"/>
    <cellStyle name="_PLPT_PLANILHA_CÁLCULO_DÉFICIT_RESOLUÇÃO_294_2007_COELCE_Sem_Gov_Estado-Ate_Rev2007_IRT_Planilha Básica_março2009_IRT_Planilha Básica_fev2010a_casulo 5_IRT EEB 2010" xfId="4258" xr:uid="{00000000-0005-0000-0000-0000DE090000}"/>
    <cellStyle name="_PLPT_PLANILHA_CÁLCULO_DÉFICIT_RESOLUÇÃO_294_2007_COELCE_Sem_Gov_Estado-Ate_Rev2007_IRT_Planilha Básica_março2009_IRT_Planilha Básica_fev2010a_IRT EEB 2010" xfId="4259" xr:uid="{00000000-0005-0000-0000-0000DF090000}"/>
    <cellStyle name="_PLPT_PLANILHA_CÁLCULO_DÉFICIT_RESOLUÇÃO_294_2007_COELCE_Sem_Gov_Estado-Ate_Rev2007_IRT_Planilha Básica_março2009_IRT_Planilha Básica_jan2010" xfId="4260" xr:uid="{00000000-0005-0000-0000-0000E0090000}"/>
    <cellStyle name="_PLPT_PLANILHA_CÁLCULO_DÉFICIT_RESOLUÇÃO_294_2007_COELCE_Sem_Gov_Estado-Ate_Rev2007_IRT_Planilha Básica_março2009_IRT_Planilha Básica_mar2010d" xfId="562" xr:uid="{00000000-0005-0000-0000-0000E1090000}"/>
    <cellStyle name="_PLPT_PLANILHA_CÁLCULO_DÉFICIT_RESOLUÇÃO_294_2007_COELCE_Sem_Gov_Estado-Ate_Rev2007_IRT_Planilha Básica_março2009_IRT_Planilha Básica_mar2010d 2" xfId="1420" xr:uid="{00000000-0005-0000-0000-0000E2090000}"/>
    <cellStyle name="_PLPT_PLANILHA_CÁLCULO_DÉFICIT_RESOLUÇÃO_294_2007_COELCE_Sem_Gov_Estado-Ate_Rev2007_IRT_Planilha Básica_março2009_IRT_Planilha Básica_NOVA METODOLOGIA" xfId="4261" xr:uid="{00000000-0005-0000-0000-0000E3090000}"/>
    <cellStyle name="_PLPT_PLANILHA_CÁLCULO_DÉFICIT_RESOLUÇÃO_294_2007_COELCE_Sem_Gov_Estado-Ate_Rev2007_IRT_Planilha Básica_março2009_IRT_Santa 2010" xfId="4262" xr:uid="{00000000-0005-0000-0000-0000E4090000}"/>
    <cellStyle name="_PLPT_PLANILHA_CÁLCULO_DÉFICIT_RESOLUÇÃO_294_2007_COELCE_Sem_Gov_Estado-Ate_Rev2007_IRT_Planilha Básica_março2009_Resultados_DEA_RND_QUAL_PERDAS" xfId="4263" xr:uid="{00000000-0005-0000-0000-0000E5090000}"/>
    <cellStyle name="_PLPT_PLANILHA_CÁLCULO_DÉFICIT_RESOLUÇÃO_294_2007_COELCE_Sem_Gov_Estado-Ate_Rev2007_IRT_Planilha Básica_março2009_Simulação congelamento COELCE 2011 - Propostas 3ª Fase AP040 (20.12.2011)" xfId="4264" xr:uid="{00000000-0005-0000-0000-0000E6090000}"/>
    <cellStyle name="_PLPT_PLANILHA_CÁLCULO_DÉFICIT_RESOLUÇÃO_294_2007_COELCE_Sem_Gov_Estado-Ate_Rev2007_IRT_Planilha Básica_março2009_teste ampla" xfId="563" xr:uid="{00000000-0005-0000-0000-0000E7090000}"/>
    <cellStyle name="_PLPT_PLANILHA_CÁLCULO_DÉFICIT_RESOLUÇÃO_294_2007_COELCE_Sem_Gov_Estado-Ate_Rev2007_IRT_Planilha Básica_março2009_teste ampla 2" xfId="1421" xr:uid="{00000000-0005-0000-0000-0000E8090000}"/>
    <cellStyle name="_PLPT_PLANILHA_CÁLCULO_DÉFICIT_RESOLUÇÃO_294_2007_COELCE_Sem_Gov_Estado-Ate_Rev2007_IRT_Planilha Básica_março2009_teste ampla_Balanço" xfId="564" xr:uid="{00000000-0005-0000-0000-0000E9090000}"/>
    <cellStyle name="_PLPT_PLANILHA_CÁLCULO_DÉFICIT_RESOLUÇÃO_294_2007_COELCE_Sem_Gov_Estado-Ate_Rev2007_IRT_Planilha Básica_março2009_teste ampla_Balanço 2" xfId="1422" xr:uid="{00000000-0005-0000-0000-0000EA090000}"/>
    <cellStyle name="_PLPT_PLANILHA_CÁLCULO_DÉFICIT_RESOLUÇÃO_294_2007_COELCE_Sem_Gov_Estado-Ate_Rev2007_IRT_Planilha Básica_março2009_teste ampla_casulo 15" xfId="565" xr:uid="{00000000-0005-0000-0000-0000EB090000}"/>
    <cellStyle name="_PLPT_PLANILHA_CÁLCULO_DÉFICIT_RESOLUÇÃO_294_2007_COELCE_Sem_Gov_Estado-Ate_Rev2007_IRT_Planilha Básica_março2009_teste ampla_casulo 5" xfId="566" xr:uid="{00000000-0005-0000-0000-0000EC090000}"/>
    <cellStyle name="_PLPT_PLANILHA_CÁLCULO_DÉFICIT_RESOLUÇÃO_294_2007_COELCE_Sem_Gov_Estado-Ate_Rev2007_IRT_Planilha Básica_março2009_teste ampla_casulo 5 2" xfId="1423" xr:uid="{00000000-0005-0000-0000-0000ED090000}"/>
    <cellStyle name="_PLPT_PLANILHA_CÁLCULO_DÉFICIT_RESOLUÇÃO_294_2007_COELCE_Sem_Gov_Estado-Ate_Rev2007_IRT_Planilha Básica_março2009_teste ampla_casulo 5_Balanço" xfId="567" xr:uid="{00000000-0005-0000-0000-0000EE090000}"/>
    <cellStyle name="_PLPT_PLANILHA_CÁLCULO_DÉFICIT_RESOLUÇÃO_294_2007_COELCE_Sem_Gov_Estado-Ate_Rev2007_IRT_Planilha Básica_março2009_teste ampla_casulo 5_casulo 15" xfId="568" xr:uid="{00000000-0005-0000-0000-0000EF090000}"/>
    <cellStyle name="_PLPT_PLANILHA_CÁLCULO_DÉFICIT_RESOLUÇÃO_294_2007_COELCE_Sem_Gov_Estado-Ate_Rev2007_IRT_Planilha Básica_março2009_teste ampla_casulo 5_IRT EEB 2010" xfId="4265" xr:uid="{00000000-0005-0000-0000-0000F0090000}"/>
    <cellStyle name="_PLPT_PLANILHA_CÁLCULO_DÉFICIT_RESOLUÇÃO_294_2007_COELCE_Sem_Gov_Estado-Ate_Rev2007_IRT_Planilha Básica_março2009_teste ampla_IRT EEB 2010" xfId="4266" xr:uid="{00000000-0005-0000-0000-0000F1090000}"/>
    <cellStyle name="_PLPT_PLANILHA_CÁLCULO_DÉFICIT_RESOLUÇÃO_294_2007_COELCE_Sem_Gov_Estado-Ate_Rev2007_IRT_Planilha Básica_NOVA METODOLOGIA" xfId="4267" xr:uid="{00000000-0005-0000-0000-0000F2090000}"/>
    <cellStyle name="_PLPT_PLANILHA_CÁLCULO_DÉFICIT_RESOLUÇÃO_294_2007_COELCE_Sem_Gov_Estado-Ate_Rev2007_IRT_Planilha Básica_out2009" xfId="569" xr:uid="{00000000-0005-0000-0000-0000F3090000}"/>
    <cellStyle name="_PLPT_PLANILHA_CÁLCULO_DÉFICIT_RESOLUÇÃO_294_2007_COELCE_Sem_Gov_Estado-Ate_Rev2007_IRT_Planilha Básica_out2009 2" xfId="1424" xr:uid="{00000000-0005-0000-0000-0000F4090000}"/>
    <cellStyle name="_PLPT_PLANILHA_CÁLCULO_DÉFICIT_RESOLUÇÃO_294_2007_COELCE_Sem_Gov_Estado-Ate_Rev2007_IRT_Planilha Básica_out2009_Balanço" xfId="570" xr:uid="{00000000-0005-0000-0000-0000F5090000}"/>
    <cellStyle name="_PLPT_PLANILHA_CÁLCULO_DÉFICIT_RESOLUÇÃO_294_2007_COELCE_Sem_Gov_Estado-Ate_Rev2007_IRT_Planilha Básica_out2009_Balanço 2" xfId="1425" xr:uid="{00000000-0005-0000-0000-0000F6090000}"/>
    <cellStyle name="_PLPT_PLANILHA_CÁLCULO_DÉFICIT_RESOLUÇÃO_294_2007_COELCE_Sem_Gov_Estado-Ate_Rev2007_IRT_Planilha Básica_out2009_casulo 15" xfId="571" xr:uid="{00000000-0005-0000-0000-0000F7090000}"/>
    <cellStyle name="_PLPT_PLANILHA_CÁLCULO_DÉFICIT_RESOLUÇÃO_294_2007_COELCE_Sem_Gov_Estado-Ate_Rev2007_IRT_Planilha Básica_out2009_casulo 5" xfId="572" xr:uid="{00000000-0005-0000-0000-0000F8090000}"/>
    <cellStyle name="_PLPT_PLANILHA_CÁLCULO_DÉFICIT_RESOLUÇÃO_294_2007_COELCE_Sem_Gov_Estado-Ate_Rev2007_IRT_Planilha Básica_out2009_casulo 5 2" xfId="1426" xr:uid="{00000000-0005-0000-0000-0000F9090000}"/>
    <cellStyle name="_PLPT_PLANILHA_CÁLCULO_DÉFICIT_RESOLUÇÃO_294_2007_COELCE_Sem_Gov_Estado-Ate_Rev2007_IRT_Planilha Básica_out2009_casulo 5_Balanço" xfId="573" xr:uid="{00000000-0005-0000-0000-0000FA090000}"/>
    <cellStyle name="_PLPT_PLANILHA_CÁLCULO_DÉFICIT_RESOLUÇÃO_294_2007_COELCE_Sem_Gov_Estado-Ate_Rev2007_IRT_Planilha Básica_out2009_casulo 5_casulo 15" xfId="574" xr:uid="{00000000-0005-0000-0000-0000FB090000}"/>
    <cellStyle name="_PLPT_PLANILHA_CÁLCULO_DÉFICIT_RESOLUÇÃO_294_2007_COELCE_Sem_Gov_Estado-Ate_Rev2007_IRT_Planilha Básica_out2009_casulo 5_IRT EEB 2010" xfId="4268" xr:uid="{00000000-0005-0000-0000-0000FC090000}"/>
    <cellStyle name="_PLPT_PLANILHA_CÁLCULO_DÉFICIT_RESOLUÇÃO_294_2007_COELCE_Sem_Gov_Estado-Ate_Rev2007_IRT_Planilha Básica_out2009_IRT EEB 2010" xfId="4269" xr:uid="{00000000-0005-0000-0000-0000FD090000}"/>
    <cellStyle name="_PLPT_PLANILHA_CÁLCULO_DÉFICIT_RESOLUÇÃO_294_2007_COELCE_Sem_Gov_Estado-Ate_Rev2007_IRT_Pleito" xfId="4270" xr:uid="{00000000-0005-0000-0000-0000FE090000}"/>
    <cellStyle name="_PLPT_PLANILHA_CÁLCULO_DÉFICIT_RESOLUÇÃO_294_2007_COELCE_Sem_Gov_Estado-Ate_Rev2007_IRT_Pleito_IRT-cálculo" xfId="4271" xr:uid="{00000000-0005-0000-0000-0000FF090000}"/>
    <cellStyle name="_PLPT_PLANILHA_CÁLCULO_DÉFICIT_RESOLUÇÃO_294_2007_COELCE_Sem_Gov_Estado-Ate_Rev2007_IRT_Pleito_IRT-cálculo CAPA NEUTRALIDADE" xfId="4272" xr:uid="{00000000-0005-0000-0000-0000000A0000}"/>
    <cellStyle name="_PLPT_PLANILHA_CÁLCULO_DÉFICIT_RESOLUÇÃO_294_2007_COELCE_Sem_Gov_Estado-Ate_Rev2007_IRT_Revisão A-1" xfId="4273" xr:uid="{00000000-0005-0000-0000-0000010A0000}"/>
    <cellStyle name="_PLPT_PLANILHA_CÁLCULO_DÉFICIT_RESOLUÇÃO_294_2007_COELCE_Sem_Gov_Estado-Ate_Rev2007_IRT_Revisão A-1_IRT-cálculo" xfId="4274" xr:uid="{00000000-0005-0000-0000-0000020A0000}"/>
    <cellStyle name="_PLPT_PLANILHA_CÁLCULO_DÉFICIT_RESOLUÇÃO_294_2007_COELCE_Sem_Gov_Estado-Ate_Rev2007_IRT_Revisão A-1_IRT-cálculo CAPA NEUTRALIDADE" xfId="4275" xr:uid="{00000000-0005-0000-0000-0000030A0000}"/>
    <cellStyle name="_PLPT_PLANILHA_CÁLCULO_DÉFICIT_RESOLUÇÃO_294_2007_COELCE_Sem_Gov_Estado-Ate_Rev2007_IRT_SantaCruzpós IGPM" xfId="4276" xr:uid="{00000000-0005-0000-0000-0000040A0000}"/>
    <cellStyle name="_PLPT_PLANILHA_CÁLCULO_DÉFICIT_RESOLUÇÃO_294_2007_COELCE_Sem_Gov_Estado-Ate_Rev2007_IRT1" xfId="4277" xr:uid="{00000000-0005-0000-0000-0000050A0000}"/>
    <cellStyle name="_PLPT_PLANILHA_CÁLCULO_DÉFICIT_RESOLUÇÃO_294_2007_COELCE_Sem_Gov_Estado-Ate_Rev2007_IRT1_IRT-cálculo" xfId="4278" xr:uid="{00000000-0005-0000-0000-0000060A0000}"/>
    <cellStyle name="_PLPT_PLANILHA_CÁLCULO_DÉFICIT_RESOLUÇÃO_294_2007_COELCE_Sem_Gov_Estado-Ate_Rev2007_IRT1_IRT-cálculo CAPA NEUTRALIDADE" xfId="4279" xr:uid="{00000000-0005-0000-0000-0000070A0000}"/>
    <cellStyle name="_PLPT_PLANILHA_CÁLCULO_DÉFICIT_RESOLUÇÃO_294_2007_COELCE_Sem_Gov_Estado-Ate_Rev2007_IRT-2010_COPEL_SOBRECONTRATAÇÃOeCVAenergia" xfId="1620" xr:uid="{00000000-0005-0000-0000-0000080A0000}"/>
    <cellStyle name="_PLPT_PLANILHA_CÁLCULO_DÉFICIT_RESOLUÇÃO_294_2007_COELCE_Sem_Gov_Estado-Ate_Rev2007_IRT-cálculo" xfId="4280" xr:uid="{00000000-0005-0000-0000-0000090A0000}"/>
    <cellStyle name="_PLPT_PLANILHA_CÁLCULO_DÉFICIT_RESOLUÇÃO_294_2007_COELCE_Sem_Gov_Estado-Ate_Rev2007_IRT-cálculo CAPA NEUTRALIDADE" xfId="4281" xr:uid="{00000000-0005-0000-0000-00000A0A0000}"/>
    <cellStyle name="_PLPT_PLANILHA_CÁLCULO_DÉFICIT_RESOLUÇÃO_294_2007_COELCE_Sem_Gov_Estado-Ate_Rev2007_Pasta1" xfId="1621" xr:uid="{00000000-0005-0000-0000-00000B0A0000}"/>
    <cellStyle name="_PLPT_PLANILHA_CÁLCULO_DÉFICIT_RESOLUÇÃO_294_2007_COELCE_Sem_Gov_Estado-Ate_Rev2007_Pasta1 2" xfId="4282" xr:uid="{00000000-0005-0000-0000-00000C0A0000}"/>
    <cellStyle name="_PLPT_PLANILHA_CÁLCULO_DÉFICIT_RESOLUÇÃO_294_2007_COELCE_Sem_Gov_Estado-Ate_Rev2007_Pasta1_IRT-cálculo" xfId="4283" xr:uid="{00000000-0005-0000-0000-00000D0A0000}"/>
    <cellStyle name="_PLPT_PLANILHA_CÁLCULO_DÉFICIT_RESOLUÇÃO_294_2007_COELCE_Sem_Gov_Estado-Ate_Rev2007_Pasta1_IRT-cálculo CAPA NEUTRALIDADE" xfId="4284" xr:uid="{00000000-0005-0000-0000-00000E0A0000}"/>
    <cellStyle name="_PLPT_PLANILHA_CÁLCULO_DÉFICIT_RESOLUÇÃO_294_2007_COELCE_Sem_Gov_Estado-Ate_Rev2007_Pasta1_SOBRECONTRATAÇÃO E CVA" xfId="4285" xr:uid="{00000000-0005-0000-0000-00000F0A0000}"/>
    <cellStyle name="_PLPT_PLANILHA_CÁLCULO_DÉFICIT_RESOLUÇÃO_294_2007_COELCE_Sem_Gov_Estado-Ate_Rev2007_Pasta2" xfId="575" xr:uid="{00000000-0005-0000-0000-0000100A0000}"/>
    <cellStyle name="_PLPT_PLANILHA_CÁLCULO_DÉFICIT_RESOLUÇÃO_294_2007_COELCE_Sem_Gov_Estado-Ate_Rev2007_Pasta2 2" xfId="1427" xr:uid="{00000000-0005-0000-0000-0000110A0000}"/>
    <cellStyle name="_PLPT_PLANILHA_CÁLCULO_DÉFICIT_RESOLUÇÃO_294_2007_COELCE_Sem_Gov_Estado-Ate_Rev2007_Pasta2_02 IRT Bandeirante 2009" xfId="4286" xr:uid="{00000000-0005-0000-0000-0000120A0000}"/>
    <cellStyle name="_PLPT_PLANILHA_CÁLCULO_DÉFICIT_RESOLUÇÃO_294_2007_COELCE_Sem_Gov_Estado-Ate_Rev2007_Pasta2_Balanço" xfId="576" xr:uid="{00000000-0005-0000-0000-0000130A0000}"/>
    <cellStyle name="_PLPT_PLANILHA_CÁLCULO_DÉFICIT_RESOLUÇÃO_294_2007_COELCE_Sem_Gov_Estado-Ate_Rev2007_Pasta2_Balanço 2" xfId="1428" xr:uid="{00000000-0005-0000-0000-0000140A0000}"/>
    <cellStyle name="_PLPT_PLANILHA_CÁLCULO_DÉFICIT_RESOLUÇÃO_294_2007_COELCE_Sem_Gov_Estado-Ate_Rev2007_Pasta2_casulo 15" xfId="577" xr:uid="{00000000-0005-0000-0000-0000150A0000}"/>
    <cellStyle name="_PLPT_PLANILHA_CÁLCULO_DÉFICIT_RESOLUÇÃO_294_2007_COELCE_Sem_Gov_Estado-Ate_Rev2007_Pasta2_casulo 5" xfId="578" xr:uid="{00000000-0005-0000-0000-0000160A0000}"/>
    <cellStyle name="_PLPT_PLANILHA_CÁLCULO_DÉFICIT_RESOLUÇÃO_294_2007_COELCE_Sem_Gov_Estado-Ate_Rev2007_Pasta2_casulo 5 2" xfId="1429" xr:uid="{00000000-0005-0000-0000-0000170A0000}"/>
    <cellStyle name="_PLPT_PLANILHA_CÁLCULO_DÉFICIT_RESOLUÇÃO_294_2007_COELCE_Sem_Gov_Estado-Ate_Rev2007_Pasta2_casulo 5_Balanço" xfId="579" xr:uid="{00000000-0005-0000-0000-0000180A0000}"/>
    <cellStyle name="_PLPT_PLANILHA_CÁLCULO_DÉFICIT_RESOLUÇÃO_294_2007_COELCE_Sem_Gov_Estado-Ate_Rev2007_Pasta2_casulo 5_casulo 15" xfId="580" xr:uid="{00000000-0005-0000-0000-0000190A0000}"/>
    <cellStyle name="_PLPT_PLANILHA_CÁLCULO_DÉFICIT_RESOLUÇÃO_294_2007_COELCE_Sem_Gov_Estado-Ate_Rev2007_Pasta2_casulo 5_IRT EEB 2010" xfId="4287" xr:uid="{00000000-0005-0000-0000-00001A0A0000}"/>
    <cellStyle name="_PLPT_PLANILHA_CÁLCULO_DÉFICIT_RESOLUÇÃO_294_2007_COELCE_Sem_Gov_Estado-Ate_Rev2007_Pasta2_IRT EEB 2010" xfId="4288" xr:uid="{00000000-0005-0000-0000-00001B0A0000}"/>
    <cellStyle name="_PLPT_PLANILHA_CÁLCULO_DÉFICIT_RESOLUÇÃO_294_2007_COELCE_Sem_Gov_Estado-Ate_Rev2007_Pasta2_IRT Piratininga 2009" xfId="581" xr:uid="{00000000-0005-0000-0000-00001C0A0000}"/>
    <cellStyle name="_PLPT_PLANILHA_CÁLCULO_DÉFICIT_RESOLUÇÃO_294_2007_COELCE_Sem_Gov_Estado-Ate_Rev2007_Pasta2_IRT Piratininga 2009 2" xfId="1430" xr:uid="{00000000-0005-0000-0000-00001D0A0000}"/>
    <cellStyle name="_PLPT_PLANILHA_CÁLCULO_DÉFICIT_RESOLUÇÃO_294_2007_COELCE_Sem_Gov_Estado-Ate_Rev2007_Pasta2_IRT Piratininga 2009_Balanço" xfId="582" xr:uid="{00000000-0005-0000-0000-00001E0A0000}"/>
    <cellStyle name="_PLPT_PLANILHA_CÁLCULO_DÉFICIT_RESOLUÇÃO_294_2007_COELCE_Sem_Gov_Estado-Ate_Rev2007_Pasta2_IRT Piratininga 2009_casulo 15" xfId="583" xr:uid="{00000000-0005-0000-0000-00001F0A0000}"/>
    <cellStyle name="_PLPT_PLANILHA_CÁLCULO_DÉFICIT_RESOLUÇÃO_294_2007_COELCE_Sem_Gov_Estado-Ate_Rev2007_Pasta2_IRT Piratininga 2009_IRT EEB 2010" xfId="4289" xr:uid="{00000000-0005-0000-0000-0000200A0000}"/>
    <cellStyle name="_PLPT_PLANILHA_CÁLCULO_DÉFICIT_RESOLUÇÃO_294_2007_COELCE_Sem_Gov_Estado-Ate_Rev2007_Pasta2_IRT_EBB_mai2010d" xfId="4290" xr:uid="{00000000-0005-0000-0000-0000210A0000}"/>
    <cellStyle name="_PLPT_PLANILHA_CÁLCULO_DÉFICIT_RESOLUÇÃO_294_2007_COELCE_Sem_Gov_Estado-Ate_Rev2007_Pasta2_IRT_Planilha Básica_ CETRIL" xfId="584" xr:uid="{00000000-0005-0000-0000-0000220A0000}"/>
    <cellStyle name="_PLPT_PLANILHA_CÁLCULO_DÉFICIT_RESOLUÇÃO_294_2007_COELCE_Sem_Gov_Estado-Ate_Rev2007_Pasta2_IRT_Planilha Básica_ CETRIL 2" xfId="1431" xr:uid="{00000000-0005-0000-0000-0000230A0000}"/>
    <cellStyle name="_PLPT_PLANILHA_CÁLCULO_DÉFICIT_RESOLUÇÃO_294_2007_COELCE_Sem_Gov_Estado-Ate_Rev2007_Pasta2_IRT_Planilha Básica_ CETRIL_Balanço" xfId="585" xr:uid="{00000000-0005-0000-0000-0000240A0000}"/>
    <cellStyle name="_PLPT_PLANILHA_CÁLCULO_DÉFICIT_RESOLUÇÃO_294_2007_COELCE_Sem_Gov_Estado-Ate_Rev2007_Pasta2_IRT_Planilha Básica_ CETRIL_casulo 15" xfId="586" xr:uid="{00000000-0005-0000-0000-0000250A0000}"/>
    <cellStyle name="_PLPT_PLANILHA_CÁLCULO_DÉFICIT_RESOLUÇÃO_294_2007_COELCE_Sem_Gov_Estado-Ate_Rev2007_Pasta2_IRT_Planilha Básica_ CETRIL_IRT EEB 2010" xfId="4291" xr:uid="{00000000-0005-0000-0000-0000260A0000}"/>
    <cellStyle name="_PLPT_PLANILHA_CÁLCULO_DÉFICIT_RESOLUÇÃO_294_2007_COELCE_Sem_Gov_Estado-Ate_Rev2007_Pasta2_IRT_Planilha Básica_DIRETORIA" xfId="4292" xr:uid="{00000000-0005-0000-0000-0000270A0000}"/>
    <cellStyle name="_PLPT_PLANILHA_CÁLCULO_DÉFICIT_RESOLUÇÃO_294_2007_COELCE_Sem_Gov_Estado-Ate_Rev2007_Pasta2_IRT_Planilha Básica_fev2010" xfId="4293" xr:uid="{00000000-0005-0000-0000-0000280A0000}"/>
    <cellStyle name="_PLPT_PLANILHA_CÁLCULO_DÉFICIT_RESOLUÇÃO_294_2007_COELCE_Sem_Gov_Estado-Ate_Rev2007_Pasta2_IRT_Planilha Básica_fev2010a" xfId="587" xr:uid="{00000000-0005-0000-0000-0000290A0000}"/>
    <cellStyle name="_PLPT_PLANILHA_CÁLCULO_DÉFICIT_RESOLUÇÃO_294_2007_COELCE_Sem_Gov_Estado-Ate_Rev2007_Pasta2_IRT_Planilha Básica_fev2010a 2" xfId="1432" xr:uid="{00000000-0005-0000-0000-00002A0A0000}"/>
    <cellStyle name="_PLPT_PLANILHA_CÁLCULO_DÉFICIT_RESOLUÇÃO_294_2007_COELCE_Sem_Gov_Estado-Ate_Rev2007_Pasta2_IRT_Planilha Básica_fev2010a_Balanço" xfId="588" xr:uid="{00000000-0005-0000-0000-00002B0A0000}"/>
    <cellStyle name="_PLPT_PLANILHA_CÁLCULO_DÉFICIT_RESOLUÇÃO_294_2007_COELCE_Sem_Gov_Estado-Ate_Rev2007_Pasta2_IRT_Planilha Básica_fev2010a_Balanço 2" xfId="1433" xr:uid="{00000000-0005-0000-0000-00002C0A0000}"/>
    <cellStyle name="_PLPT_PLANILHA_CÁLCULO_DÉFICIT_RESOLUÇÃO_294_2007_COELCE_Sem_Gov_Estado-Ate_Rev2007_Pasta2_IRT_Planilha Básica_fev2010a_casulo 15" xfId="589" xr:uid="{00000000-0005-0000-0000-00002D0A0000}"/>
    <cellStyle name="_PLPT_PLANILHA_CÁLCULO_DÉFICIT_RESOLUÇÃO_294_2007_COELCE_Sem_Gov_Estado-Ate_Rev2007_Pasta2_IRT_Planilha Básica_fev2010a_casulo 5" xfId="590" xr:uid="{00000000-0005-0000-0000-00002E0A0000}"/>
    <cellStyle name="_PLPT_PLANILHA_CÁLCULO_DÉFICIT_RESOLUÇÃO_294_2007_COELCE_Sem_Gov_Estado-Ate_Rev2007_Pasta2_IRT_Planilha Básica_fev2010a_casulo 5 2" xfId="1434" xr:uid="{00000000-0005-0000-0000-00002F0A0000}"/>
    <cellStyle name="_PLPT_PLANILHA_CÁLCULO_DÉFICIT_RESOLUÇÃO_294_2007_COELCE_Sem_Gov_Estado-Ate_Rev2007_Pasta2_IRT_Planilha Básica_fev2010a_casulo 5_Balanço" xfId="591" xr:uid="{00000000-0005-0000-0000-0000300A0000}"/>
    <cellStyle name="_PLPT_PLANILHA_CÁLCULO_DÉFICIT_RESOLUÇÃO_294_2007_COELCE_Sem_Gov_Estado-Ate_Rev2007_Pasta2_IRT_Planilha Básica_fev2010a_casulo 5_casulo 15" xfId="592" xr:uid="{00000000-0005-0000-0000-0000310A0000}"/>
    <cellStyle name="_PLPT_PLANILHA_CÁLCULO_DÉFICIT_RESOLUÇÃO_294_2007_COELCE_Sem_Gov_Estado-Ate_Rev2007_Pasta2_IRT_Planilha Básica_fev2010a_casulo 5_IRT EEB 2010" xfId="4294" xr:uid="{00000000-0005-0000-0000-0000320A0000}"/>
    <cellStyle name="_PLPT_PLANILHA_CÁLCULO_DÉFICIT_RESOLUÇÃO_294_2007_COELCE_Sem_Gov_Estado-Ate_Rev2007_Pasta2_IRT_Planilha Básica_fev2010a_IRT EEB 2010" xfId="4295" xr:uid="{00000000-0005-0000-0000-0000330A0000}"/>
    <cellStyle name="_PLPT_PLANILHA_CÁLCULO_DÉFICIT_RESOLUÇÃO_294_2007_COELCE_Sem_Gov_Estado-Ate_Rev2007_Pasta2_IRT_Planilha Básica_jan2010" xfId="4296" xr:uid="{00000000-0005-0000-0000-0000340A0000}"/>
    <cellStyle name="_PLPT_PLANILHA_CÁLCULO_DÉFICIT_RESOLUÇÃO_294_2007_COELCE_Sem_Gov_Estado-Ate_Rev2007_Pasta2_IRT_Planilha Básica_mar2010b" xfId="4297" xr:uid="{00000000-0005-0000-0000-0000350A0000}"/>
    <cellStyle name="_PLPT_PLANILHA_CÁLCULO_DÉFICIT_RESOLUÇÃO_294_2007_COELCE_Sem_Gov_Estado-Ate_Rev2007_Pasta2_IRT_Planilha Básica_mar2010d" xfId="593" xr:uid="{00000000-0005-0000-0000-0000360A0000}"/>
    <cellStyle name="_PLPT_PLANILHA_CÁLCULO_DÉFICIT_RESOLUÇÃO_294_2007_COELCE_Sem_Gov_Estado-Ate_Rev2007_Pasta2_IRT_Planilha Básica_mar2010d 2" xfId="1435" xr:uid="{00000000-0005-0000-0000-0000370A0000}"/>
    <cellStyle name="_PLPT_PLANILHA_CÁLCULO_DÉFICIT_RESOLUÇÃO_294_2007_COELCE_Sem_Gov_Estado-Ate_Rev2007_Pasta2_IRT_Planilha Básica_NOVA METODOLOGIA" xfId="4298" xr:uid="{00000000-0005-0000-0000-0000380A0000}"/>
    <cellStyle name="_PLPT_PLANILHA_CÁLCULO_DÉFICIT_RESOLUÇÃO_294_2007_COELCE_Sem_Gov_Estado-Ate_Rev2007_Pasta2_IRT_Santa 2010" xfId="4299" xr:uid="{00000000-0005-0000-0000-0000390A0000}"/>
    <cellStyle name="_PLPT_PLANILHA_CÁLCULO_DÉFICIT_RESOLUÇÃO_294_2007_COELCE_Sem_Gov_Estado-Ate_Rev2007_Pasta2_IRT-cálculo" xfId="4300" xr:uid="{00000000-0005-0000-0000-00003A0A0000}"/>
    <cellStyle name="_PLPT_PLANILHA_CÁLCULO_DÉFICIT_RESOLUÇÃO_294_2007_COELCE_Sem_Gov_Estado-Ate_Rev2007_Pasta2_IRT-cálculo CAPA NEUTRALIDADE" xfId="4301" xr:uid="{00000000-0005-0000-0000-00003B0A0000}"/>
    <cellStyle name="_PLPT_PLANILHA_CÁLCULO_DÉFICIT_RESOLUÇÃO_294_2007_COELCE_Sem_Gov_Estado-Ate_Rev2007_Pasta2_Resultados_DEA_RND_QUAL_PERDAS" xfId="4302" xr:uid="{00000000-0005-0000-0000-00003C0A0000}"/>
    <cellStyle name="_PLPT_PLANILHA_CÁLCULO_DÉFICIT_RESOLUÇÃO_294_2007_COELCE_Sem_Gov_Estado-Ate_Rev2007_Pasta2_teste ampla" xfId="594" xr:uid="{00000000-0005-0000-0000-00003D0A0000}"/>
    <cellStyle name="_PLPT_PLANILHA_CÁLCULO_DÉFICIT_RESOLUÇÃO_294_2007_COELCE_Sem_Gov_Estado-Ate_Rev2007_Pasta2_teste ampla 2" xfId="1436" xr:uid="{00000000-0005-0000-0000-00003E0A0000}"/>
    <cellStyle name="_PLPT_PLANILHA_CÁLCULO_DÉFICIT_RESOLUÇÃO_294_2007_COELCE_Sem_Gov_Estado-Ate_Rev2007_Pasta2_teste ampla_Balanço" xfId="595" xr:uid="{00000000-0005-0000-0000-00003F0A0000}"/>
    <cellStyle name="_PLPT_PLANILHA_CÁLCULO_DÉFICIT_RESOLUÇÃO_294_2007_COELCE_Sem_Gov_Estado-Ate_Rev2007_Pasta2_teste ampla_Balanço 2" xfId="1437" xr:uid="{00000000-0005-0000-0000-0000400A0000}"/>
    <cellStyle name="_PLPT_PLANILHA_CÁLCULO_DÉFICIT_RESOLUÇÃO_294_2007_COELCE_Sem_Gov_Estado-Ate_Rev2007_Pasta2_teste ampla_casulo 15" xfId="596" xr:uid="{00000000-0005-0000-0000-0000410A0000}"/>
    <cellStyle name="_PLPT_PLANILHA_CÁLCULO_DÉFICIT_RESOLUÇÃO_294_2007_COELCE_Sem_Gov_Estado-Ate_Rev2007_Pasta2_teste ampla_casulo 5" xfId="597" xr:uid="{00000000-0005-0000-0000-0000420A0000}"/>
    <cellStyle name="_PLPT_PLANILHA_CÁLCULO_DÉFICIT_RESOLUÇÃO_294_2007_COELCE_Sem_Gov_Estado-Ate_Rev2007_Pasta2_teste ampla_casulo 5 2" xfId="1438" xr:uid="{00000000-0005-0000-0000-0000430A0000}"/>
    <cellStyle name="_PLPT_PLANILHA_CÁLCULO_DÉFICIT_RESOLUÇÃO_294_2007_COELCE_Sem_Gov_Estado-Ate_Rev2007_Pasta2_teste ampla_casulo 5_Balanço" xfId="598" xr:uid="{00000000-0005-0000-0000-0000440A0000}"/>
    <cellStyle name="_PLPT_PLANILHA_CÁLCULO_DÉFICIT_RESOLUÇÃO_294_2007_COELCE_Sem_Gov_Estado-Ate_Rev2007_Pasta2_teste ampla_casulo 5_casulo 15" xfId="599" xr:uid="{00000000-0005-0000-0000-0000450A0000}"/>
    <cellStyle name="_PLPT_PLANILHA_CÁLCULO_DÉFICIT_RESOLUÇÃO_294_2007_COELCE_Sem_Gov_Estado-Ate_Rev2007_Pasta2_teste ampla_casulo 5_IRT EEB 2010" xfId="4303" xr:uid="{00000000-0005-0000-0000-0000460A0000}"/>
    <cellStyle name="_PLPT_PLANILHA_CÁLCULO_DÉFICIT_RESOLUÇÃO_294_2007_COELCE_Sem_Gov_Estado-Ate_Rev2007_Pasta2_teste ampla_IRT EEB 2010" xfId="4304" xr:uid="{00000000-0005-0000-0000-0000470A0000}"/>
    <cellStyle name="_PLPT_PLANILHA_CÁLCULO_DÉFICIT_RESOLUÇÃO_294_2007_COELCE_Sem_Gov_Estado-Ate_Rev2007_Pleito_IRT_ESE_2010_Envio_ANEEL_Final_atualizado_05_04" xfId="4305" xr:uid="{00000000-0005-0000-0000-0000480A0000}"/>
    <cellStyle name="_PLPT_PLANILHA_CÁLCULO_DÉFICIT_RESOLUÇÃO_294_2007_COELCE_Sem_Gov_Estado-Ate_Rev2007_Resultados_DEA_RND_QUAL_PERDAS" xfId="4306" xr:uid="{00000000-0005-0000-0000-0000490A0000}"/>
    <cellStyle name="_PLPT_PLANILHA_CÁLCULO_DÉFICIT_RESOLUÇÃO_294_2007_COELCE_Sem_Gov_Estado-Ate_Rev2007_SOBRECONTRATAÇÃO E CVA Energisa Paraíba" xfId="4307" xr:uid="{00000000-0005-0000-0000-00004A0A0000}"/>
    <cellStyle name="_PLPT_PLANILHA_CÁLCULO_DÉFICIT_RESOLUÇÃO_294_2007_COELCE_Sem_Gov_Estado-Ate_Rev2007_SOBRECONTRATAÇÃO EPB 2010" xfId="4308" xr:uid="{00000000-0005-0000-0000-00004B0A0000}"/>
    <cellStyle name="_PLPT_PLANILHA_CÁLCULO_DÉFICIT_RESOLUÇÃO_294_2007_COELCE_Sem_Gov_Estado-Ate_Rev2007_Sobrecontratação_e_CVA_Energia" xfId="4309" xr:uid="{00000000-0005-0000-0000-00004C0A0000}"/>
    <cellStyle name="_PLPT_PLANILHA_CÁLCULO_DÉFICIT_RESOLUÇÃO_294_2007_COELCE_Sem_Gov_Estado-Ate_Rev2007_Sobrecontratação-CVAenergia_COSERN_IRT-2010_nova" xfId="1622" xr:uid="{00000000-0005-0000-0000-00004D0A0000}"/>
    <cellStyle name="_PLPT_PLANILHA_CÁLCULO_DÉFICIT_RESOLUÇÃO_294_2007_COELCE_Sem_Gov_Estado-Ate_Rev2007_Subsídios para análise da SRE" xfId="600" xr:uid="{00000000-0005-0000-0000-00004E0A0000}"/>
    <cellStyle name="_PLPT_PLANILHA_CÁLCULO_DÉFICIT_RESOLUÇÃO_294_2007_COELCE_Sem_Gov_Estado-Ate_Rev2007_Subsídios para análise da SRE 2" xfId="1439" xr:uid="{00000000-0005-0000-0000-00004F0A0000}"/>
    <cellStyle name="_PLPT_PLANILHA_CÁLCULO_DÉFICIT_RESOLUÇÃO_294_2007_COELCE_Sem_Gov_Estado-Ate_Rev2007_Subsídios para análise da SRE_02 IRT Bandeirante 2009" xfId="4310" xr:uid="{00000000-0005-0000-0000-0000500A0000}"/>
    <cellStyle name="_PLPT_PLANILHA_CÁLCULO_DÉFICIT_RESOLUÇÃO_294_2007_COELCE_Sem_Gov_Estado-Ate_Rev2007_Subsídios para análise da SRE_1" xfId="4311" xr:uid="{00000000-0005-0000-0000-0000510A0000}"/>
    <cellStyle name="_PLPT_PLANILHA_CÁLCULO_DÉFICIT_RESOLUÇÃO_294_2007_COELCE_Sem_Gov_Estado-Ate_Rev2007_Subsídios para análise da SRE_Balanço" xfId="601" xr:uid="{00000000-0005-0000-0000-0000520A0000}"/>
    <cellStyle name="_PLPT_PLANILHA_CÁLCULO_DÉFICIT_RESOLUÇÃO_294_2007_COELCE_Sem_Gov_Estado-Ate_Rev2007_Subsídios para análise da SRE_Balanço 2" xfId="1440" xr:uid="{00000000-0005-0000-0000-0000530A0000}"/>
    <cellStyle name="_PLPT_PLANILHA_CÁLCULO_DÉFICIT_RESOLUÇÃO_294_2007_COELCE_Sem_Gov_Estado-Ate_Rev2007_Subsídios para análise da SRE_casulo 15" xfId="602" xr:uid="{00000000-0005-0000-0000-0000540A0000}"/>
    <cellStyle name="_PLPT_PLANILHA_CÁLCULO_DÉFICIT_RESOLUÇÃO_294_2007_COELCE_Sem_Gov_Estado-Ate_Rev2007_Subsídios para análise da SRE_casulo 5" xfId="603" xr:uid="{00000000-0005-0000-0000-0000550A0000}"/>
    <cellStyle name="_PLPT_PLANILHA_CÁLCULO_DÉFICIT_RESOLUÇÃO_294_2007_COELCE_Sem_Gov_Estado-Ate_Rev2007_Subsídios para análise da SRE_casulo 5 2" xfId="1441" xr:uid="{00000000-0005-0000-0000-0000560A0000}"/>
    <cellStyle name="_PLPT_PLANILHA_CÁLCULO_DÉFICIT_RESOLUÇÃO_294_2007_COELCE_Sem_Gov_Estado-Ate_Rev2007_Subsídios para análise da SRE_casulo 5_Balanço" xfId="604" xr:uid="{00000000-0005-0000-0000-0000570A0000}"/>
    <cellStyle name="_PLPT_PLANILHA_CÁLCULO_DÉFICIT_RESOLUÇÃO_294_2007_COELCE_Sem_Gov_Estado-Ate_Rev2007_Subsídios para análise da SRE_casulo 5_casulo 15" xfId="605" xr:uid="{00000000-0005-0000-0000-0000580A0000}"/>
    <cellStyle name="_PLPT_PLANILHA_CÁLCULO_DÉFICIT_RESOLUÇÃO_294_2007_COELCE_Sem_Gov_Estado-Ate_Rev2007_Subsídios para análise da SRE_casulo 5_IRT EEB 2010" xfId="4312" xr:uid="{00000000-0005-0000-0000-0000590A0000}"/>
    <cellStyle name="_PLPT_PLANILHA_CÁLCULO_DÉFICIT_RESOLUÇÃO_294_2007_COELCE_Sem_Gov_Estado-Ate_Rev2007_Subsídios para análise da SRE_IRT EEB 2010" xfId="4313" xr:uid="{00000000-0005-0000-0000-00005A0A0000}"/>
    <cellStyle name="_PLPT_PLANILHA_CÁLCULO_DÉFICIT_RESOLUÇÃO_294_2007_COELCE_Sem_Gov_Estado-Ate_Rev2007_Subsídios para análise da SRE_IRT Piratininga 2009" xfId="606" xr:uid="{00000000-0005-0000-0000-00005B0A0000}"/>
    <cellStyle name="_PLPT_PLANILHA_CÁLCULO_DÉFICIT_RESOLUÇÃO_294_2007_COELCE_Sem_Gov_Estado-Ate_Rev2007_Subsídios para análise da SRE_IRT Piratininga 2009 2" xfId="1442" xr:uid="{00000000-0005-0000-0000-00005C0A0000}"/>
    <cellStyle name="_PLPT_PLANILHA_CÁLCULO_DÉFICIT_RESOLUÇÃO_294_2007_COELCE_Sem_Gov_Estado-Ate_Rev2007_Subsídios para análise da SRE_IRT Piratininga 2009_Balanço" xfId="607" xr:uid="{00000000-0005-0000-0000-00005D0A0000}"/>
    <cellStyle name="_PLPT_PLANILHA_CÁLCULO_DÉFICIT_RESOLUÇÃO_294_2007_COELCE_Sem_Gov_Estado-Ate_Rev2007_Subsídios para análise da SRE_IRT Piratininga 2009_casulo 15" xfId="608" xr:uid="{00000000-0005-0000-0000-00005E0A0000}"/>
    <cellStyle name="_PLPT_PLANILHA_CÁLCULO_DÉFICIT_RESOLUÇÃO_294_2007_COELCE_Sem_Gov_Estado-Ate_Rev2007_Subsídios para análise da SRE_IRT Piratininga 2009_IRT EEB 2010" xfId="4314" xr:uid="{00000000-0005-0000-0000-00005F0A0000}"/>
    <cellStyle name="_PLPT_PLANILHA_CÁLCULO_DÉFICIT_RESOLUÇÃO_294_2007_COELCE_Sem_Gov_Estado-Ate_Rev2007_Subsídios para análise da SRE_IRT_EBB_mai2010d" xfId="4315" xr:uid="{00000000-0005-0000-0000-0000600A0000}"/>
    <cellStyle name="_PLPT_PLANILHA_CÁLCULO_DÉFICIT_RESOLUÇÃO_294_2007_COELCE_Sem_Gov_Estado-Ate_Rev2007_Subsídios para análise da SRE_IRT_Planilha Básica_ CETRIL" xfId="609" xr:uid="{00000000-0005-0000-0000-0000610A0000}"/>
    <cellStyle name="_PLPT_PLANILHA_CÁLCULO_DÉFICIT_RESOLUÇÃO_294_2007_COELCE_Sem_Gov_Estado-Ate_Rev2007_Subsídios para análise da SRE_IRT_Planilha Básica_ CETRIL 2" xfId="1443" xr:uid="{00000000-0005-0000-0000-0000620A0000}"/>
    <cellStyle name="_PLPT_PLANILHA_CÁLCULO_DÉFICIT_RESOLUÇÃO_294_2007_COELCE_Sem_Gov_Estado-Ate_Rev2007_Subsídios para análise da SRE_IRT_Planilha Básica_ CETRIL_Balanço" xfId="610" xr:uid="{00000000-0005-0000-0000-0000630A0000}"/>
    <cellStyle name="_PLPT_PLANILHA_CÁLCULO_DÉFICIT_RESOLUÇÃO_294_2007_COELCE_Sem_Gov_Estado-Ate_Rev2007_Subsídios para análise da SRE_IRT_Planilha Básica_ CETRIL_casulo 15" xfId="611" xr:uid="{00000000-0005-0000-0000-0000640A0000}"/>
    <cellStyle name="_PLPT_PLANILHA_CÁLCULO_DÉFICIT_RESOLUÇÃO_294_2007_COELCE_Sem_Gov_Estado-Ate_Rev2007_Subsídios para análise da SRE_IRT_Planilha Básica_ CETRIL_IRT EEB 2010" xfId="4316" xr:uid="{00000000-0005-0000-0000-0000650A0000}"/>
    <cellStyle name="_PLPT_PLANILHA_CÁLCULO_DÉFICIT_RESOLUÇÃO_294_2007_COELCE_Sem_Gov_Estado-Ate_Rev2007_Subsídios para análise da SRE_IRT_Planilha Básica_DIRETORIA" xfId="4317" xr:uid="{00000000-0005-0000-0000-0000660A0000}"/>
    <cellStyle name="_PLPT_PLANILHA_CÁLCULO_DÉFICIT_RESOLUÇÃO_294_2007_COELCE_Sem_Gov_Estado-Ate_Rev2007_Subsídios para análise da SRE_IRT_Planilha Básica_fev2010" xfId="4318" xr:uid="{00000000-0005-0000-0000-0000670A0000}"/>
    <cellStyle name="_PLPT_PLANILHA_CÁLCULO_DÉFICIT_RESOLUÇÃO_294_2007_COELCE_Sem_Gov_Estado-Ate_Rev2007_Subsídios para análise da SRE_IRT_Planilha Básica_fev2010a" xfId="612" xr:uid="{00000000-0005-0000-0000-0000680A0000}"/>
    <cellStyle name="_PLPT_PLANILHA_CÁLCULO_DÉFICIT_RESOLUÇÃO_294_2007_COELCE_Sem_Gov_Estado-Ate_Rev2007_Subsídios para análise da SRE_IRT_Planilha Básica_fev2010a 2" xfId="1444" xr:uid="{00000000-0005-0000-0000-0000690A0000}"/>
    <cellStyle name="_PLPT_PLANILHA_CÁLCULO_DÉFICIT_RESOLUÇÃO_294_2007_COELCE_Sem_Gov_Estado-Ate_Rev2007_Subsídios para análise da SRE_IRT_Planilha Básica_fev2010a_Balanço" xfId="613" xr:uid="{00000000-0005-0000-0000-00006A0A0000}"/>
    <cellStyle name="_PLPT_PLANILHA_CÁLCULO_DÉFICIT_RESOLUÇÃO_294_2007_COELCE_Sem_Gov_Estado-Ate_Rev2007_Subsídios para análise da SRE_IRT_Planilha Básica_fev2010a_Balanço 2" xfId="1445" xr:uid="{00000000-0005-0000-0000-00006B0A0000}"/>
    <cellStyle name="_PLPT_PLANILHA_CÁLCULO_DÉFICIT_RESOLUÇÃO_294_2007_COELCE_Sem_Gov_Estado-Ate_Rev2007_Subsídios para análise da SRE_IRT_Planilha Básica_fev2010a_casulo 15" xfId="614" xr:uid="{00000000-0005-0000-0000-00006C0A0000}"/>
    <cellStyle name="_PLPT_PLANILHA_CÁLCULO_DÉFICIT_RESOLUÇÃO_294_2007_COELCE_Sem_Gov_Estado-Ate_Rev2007_Subsídios para análise da SRE_IRT_Planilha Básica_fev2010a_casulo 5" xfId="615" xr:uid="{00000000-0005-0000-0000-00006D0A0000}"/>
    <cellStyle name="_PLPT_PLANILHA_CÁLCULO_DÉFICIT_RESOLUÇÃO_294_2007_COELCE_Sem_Gov_Estado-Ate_Rev2007_Subsídios para análise da SRE_IRT_Planilha Básica_fev2010a_casulo 5 2" xfId="1446" xr:uid="{00000000-0005-0000-0000-00006E0A0000}"/>
    <cellStyle name="_PLPT_PLANILHA_CÁLCULO_DÉFICIT_RESOLUÇÃO_294_2007_COELCE_Sem_Gov_Estado-Ate_Rev2007_Subsídios para análise da SRE_IRT_Planilha Básica_fev2010a_casulo 5_Balanço" xfId="616" xr:uid="{00000000-0005-0000-0000-00006F0A0000}"/>
    <cellStyle name="_PLPT_PLANILHA_CÁLCULO_DÉFICIT_RESOLUÇÃO_294_2007_COELCE_Sem_Gov_Estado-Ate_Rev2007_Subsídios para análise da SRE_IRT_Planilha Básica_fev2010a_casulo 5_casulo 15" xfId="617" xr:uid="{00000000-0005-0000-0000-0000700A0000}"/>
    <cellStyle name="_PLPT_PLANILHA_CÁLCULO_DÉFICIT_RESOLUÇÃO_294_2007_COELCE_Sem_Gov_Estado-Ate_Rev2007_Subsídios para análise da SRE_IRT_Planilha Básica_fev2010a_casulo 5_IRT EEB 2010" xfId="4319" xr:uid="{00000000-0005-0000-0000-0000710A0000}"/>
    <cellStyle name="_PLPT_PLANILHA_CÁLCULO_DÉFICIT_RESOLUÇÃO_294_2007_COELCE_Sem_Gov_Estado-Ate_Rev2007_Subsídios para análise da SRE_IRT_Planilha Básica_fev2010a_IRT EEB 2010" xfId="4320" xr:uid="{00000000-0005-0000-0000-0000720A0000}"/>
    <cellStyle name="_PLPT_PLANILHA_CÁLCULO_DÉFICIT_RESOLUÇÃO_294_2007_COELCE_Sem_Gov_Estado-Ate_Rev2007_Subsídios para análise da SRE_IRT_Planilha Básica_jan2010" xfId="4321" xr:uid="{00000000-0005-0000-0000-0000730A0000}"/>
    <cellStyle name="_PLPT_PLANILHA_CÁLCULO_DÉFICIT_RESOLUÇÃO_294_2007_COELCE_Sem_Gov_Estado-Ate_Rev2007_Subsídios para análise da SRE_IRT_Planilha Básica_mar2010b" xfId="4322" xr:uid="{00000000-0005-0000-0000-0000740A0000}"/>
    <cellStyle name="_PLPT_PLANILHA_CÁLCULO_DÉFICIT_RESOLUÇÃO_294_2007_COELCE_Sem_Gov_Estado-Ate_Rev2007_Subsídios para análise da SRE_IRT_Planilha Básica_mar2010d" xfId="618" xr:uid="{00000000-0005-0000-0000-0000750A0000}"/>
    <cellStyle name="_PLPT_PLANILHA_CÁLCULO_DÉFICIT_RESOLUÇÃO_294_2007_COELCE_Sem_Gov_Estado-Ate_Rev2007_Subsídios para análise da SRE_IRT_Planilha Básica_mar2010d 2" xfId="1447" xr:uid="{00000000-0005-0000-0000-0000760A0000}"/>
    <cellStyle name="_PLPT_PLANILHA_CÁLCULO_DÉFICIT_RESOLUÇÃO_294_2007_COELCE_Sem_Gov_Estado-Ate_Rev2007_Subsídios para análise da SRE_IRT_Planilha Básica_NOVA METODOLOGIA" xfId="4323" xr:uid="{00000000-0005-0000-0000-0000770A0000}"/>
    <cellStyle name="_PLPT_PLANILHA_CÁLCULO_DÉFICIT_RESOLUÇÃO_294_2007_COELCE_Sem_Gov_Estado-Ate_Rev2007_Subsídios para análise da SRE_IRT_Santa 2010" xfId="4324" xr:uid="{00000000-0005-0000-0000-0000780A0000}"/>
    <cellStyle name="_PLPT_PLANILHA_CÁLCULO_DÉFICIT_RESOLUÇÃO_294_2007_COELCE_Sem_Gov_Estado-Ate_Rev2007_Subsídios para análise da SRE_IRT-cálculo" xfId="4325" xr:uid="{00000000-0005-0000-0000-0000790A0000}"/>
    <cellStyle name="_PLPT_PLANILHA_CÁLCULO_DÉFICIT_RESOLUÇÃO_294_2007_COELCE_Sem_Gov_Estado-Ate_Rev2007_Subsídios para análise da SRE_IRT-cálculo CAPA NEUTRALIDADE" xfId="4326" xr:uid="{00000000-0005-0000-0000-00007A0A0000}"/>
    <cellStyle name="_PLPT_PLANILHA_CÁLCULO_DÉFICIT_RESOLUÇÃO_294_2007_COELCE_Sem_Gov_Estado-Ate_Rev2007_Subsídios para análise da SRE_Resultados_DEA_RND_QUAL_PERDAS" xfId="4327" xr:uid="{00000000-0005-0000-0000-00007B0A0000}"/>
    <cellStyle name="_PLPT_PLANILHA_CÁLCULO_DÉFICIT_RESOLUÇÃO_294_2007_COELCE_Sem_Gov_Estado-Ate_Rev2007_Subsídios para análise da SRE_teste ampla" xfId="619" xr:uid="{00000000-0005-0000-0000-00007C0A0000}"/>
    <cellStyle name="_PLPT_PLANILHA_CÁLCULO_DÉFICIT_RESOLUÇÃO_294_2007_COELCE_Sem_Gov_Estado-Ate_Rev2007_Subsídios para análise da SRE_teste ampla 2" xfId="1448" xr:uid="{00000000-0005-0000-0000-00007D0A0000}"/>
    <cellStyle name="_PLPT_PLANILHA_CÁLCULO_DÉFICIT_RESOLUÇÃO_294_2007_COELCE_Sem_Gov_Estado-Ate_Rev2007_Subsídios para análise da SRE_teste ampla_Balanço" xfId="620" xr:uid="{00000000-0005-0000-0000-00007E0A0000}"/>
    <cellStyle name="_PLPT_PLANILHA_CÁLCULO_DÉFICIT_RESOLUÇÃO_294_2007_COELCE_Sem_Gov_Estado-Ate_Rev2007_Subsídios para análise da SRE_teste ampla_Balanço 2" xfId="1449" xr:uid="{00000000-0005-0000-0000-00007F0A0000}"/>
    <cellStyle name="_PLPT_PLANILHA_CÁLCULO_DÉFICIT_RESOLUÇÃO_294_2007_COELCE_Sem_Gov_Estado-Ate_Rev2007_Subsídios para análise da SRE_teste ampla_casulo 15" xfId="621" xr:uid="{00000000-0005-0000-0000-0000800A0000}"/>
    <cellStyle name="_PLPT_PLANILHA_CÁLCULO_DÉFICIT_RESOLUÇÃO_294_2007_COELCE_Sem_Gov_Estado-Ate_Rev2007_Subsídios para análise da SRE_teste ampla_casulo 5" xfId="622" xr:uid="{00000000-0005-0000-0000-0000810A0000}"/>
    <cellStyle name="_PLPT_PLANILHA_CÁLCULO_DÉFICIT_RESOLUÇÃO_294_2007_COELCE_Sem_Gov_Estado-Ate_Rev2007_Subsídios para análise da SRE_teste ampla_casulo 5 2" xfId="1450" xr:uid="{00000000-0005-0000-0000-0000820A0000}"/>
    <cellStyle name="_PLPT_PLANILHA_CÁLCULO_DÉFICIT_RESOLUÇÃO_294_2007_COELCE_Sem_Gov_Estado-Ate_Rev2007_Subsídios para análise da SRE_teste ampla_casulo 5_Balanço" xfId="623" xr:uid="{00000000-0005-0000-0000-0000830A0000}"/>
    <cellStyle name="_PLPT_PLANILHA_CÁLCULO_DÉFICIT_RESOLUÇÃO_294_2007_COELCE_Sem_Gov_Estado-Ate_Rev2007_Subsídios para análise da SRE_teste ampla_casulo 5_casulo 15" xfId="624" xr:uid="{00000000-0005-0000-0000-0000840A0000}"/>
    <cellStyle name="_PLPT_PLANILHA_CÁLCULO_DÉFICIT_RESOLUÇÃO_294_2007_COELCE_Sem_Gov_Estado-Ate_Rev2007_Subsídios para análise da SRE_teste ampla_casulo 5_IRT EEB 2010" xfId="4328" xr:uid="{00000000-0005-0000-0000-0000850A0000}"/>
    <cellStyle name="_PLPT_PLANILHA_CÁLCULO_DÉFICIT_RESOLUÇÃO_294_2007_COELCE_Sem_Gov_Estado-Ate_Rev2007_Subsídios para análise da SRE_teste ampla_IRT EEB 2010" xfId="4329" xr:uid="{00000000-0005-0000-0000-0000860A0000}"/>
    <cellStyle name="_PLPT_PLANILHA_CÁLCULO_DÉFICIT_RESOLUÇÃO_294_2007_COELCE_Sem_Gov_Estado-Ate_Rev2007_SubsídiosAnáliseSRE_COSERN_IRT-2010" xfId="1623" xr:uid="{00000000-0005-0000-0000-0000870A0000}"/>
    <cellStyle name="_PLPT_PLANILHA_CÁLCULO_DÉFICIT_RESOLUÇÃO_294_2007_COELCE_Sem_Gov_Estado-Ate_Rev2007_teste ampla" xfId="625" xr:uid="{00000000-0005-0000-0000-0000880A0000}"/>
    <cellStyle name="_PLPT_PLANILHA_CÁLCULO_DÉFICIT_RESOLUÇÃO_294_2007_COELCE_Sem_Gov_Estado-Ate_Rev2007_teste ampla 2" xfId="1451" xr:uid="{00000000-0005-0000-0000-0000890A0000}"/>
    <cellStyle name="_PLPT_PLANILHA_CÁLCULO_DÉFICIT_RESOLUÇÃO_294_2007_COELCE_Sem_Gov_Estado-Ate_Rev2007_teste ampla_Balanço" xfId="626" xr:uid="{00000000-0005-0000-0000-00008A0A0000}"/>
    <cellStyle name="_PLPT_PLANILHA_CÁLCULO_DÉFICIT_RESOLUÇÃO_294_2007_COELCE_Sem_Gov_Estado-Ate_Rev2007_teste ampla_Balanço 2" xfId="1452" xr:uid="{00000000-0005-0000-0000-00008B0A0000}"/>
    <cellStyle name="_PLPT_PLANILHA_CÁLCULO_DÉFICIT_RESOLUÇÃO_294_2007_COELCE_Sem_Gov_Estado-Ate_Rev2007_teste ampla_casulo 15" xfId="627" xr:uid="{00000000-0005-0000-0000-00008C0A0000}"/>
    <cellStyle name="_PLPT_PLANILHA_CÁLCULO_DÉFICIT_RESOLUÇÃO_294_2007_COELCE_Sem_Gov_Estado-Ate_Rev2007_teste ampla_casulo 5" xfId="628" xr:uid="{00000000-0005-0000-0000-00008D0A0000}"/>
    <cellStyle name="_PLPT_PLANILHA_CÁLCULO_DÉFICIT_RESOLUÇÃO_294_2007_COELCE_Sem_Gov_Estado-Ate_Rev2007_teste ampla_casulo 5 2" xfId="1453" xr:uid="{00000000-0005-0000-0000-00008E0A0000}"/>
    <cellStyle name="_PLPT_PLANILHA_CÁLCULO_DÉFICIT_RESOLUÇÃO_294_2007_COELCE_Sem_Gov_Estado-Ate_Rev2007_teste ampla_casulo 5_Balanço" xfId="629" xr:uid="{00000000-0005-0000-0000-00008F0A0000}"/>
    <cellStyle name="_PLPT_PLANILHA_CÁLCULO_DÉFICIT_RESOLUÇÃO_294_2007_COELCE_Sem_Gov_Estado-Ate_Rev2007_teste ampla_casulo 5_casulo 15" xfId="630" xr:uid="{00000000-0005-0000-0000-0000900A0000}"/>
    <cellStyle name="_PLPT_PLANILHA_CÁLCULO_DÉFICIT_RESOLUÇÃO_294_2007_COELCE_Sem_Gov_Estado-Ate_Rev2007_teste ampla_casulo 5_IRT EEB 2010" xfId="4330" xr:uid="{00000000-0005-0000-0000-0000910A0000}"/>
    <cellStyle name="_PLPT_PLANILHA_CÁLCULO_DÉFICIT_RESOLUÇÃO_294_2007_COELCE_Sem_Gov_Estado-Ate_Rev2007_teste ampla_IRT EEB 2010" xfId="4331" xr:uid="{00000000-0005-0000-0000-0000920A0000}"/>
    <cellStyle name="_PLPT_PLANILHA_CÁLCULO_DÉFICIT_RESOLUÇÃO_294_2007_V2" xfId="4332" xr:uid="{00000000-0005-0000-0000-0000930A0000}"/>
    <cellStyle name="_PLPT_PLANILHA_CÁLCULO_DÉFICIT_RESOLUÇÃO_294_2007_V3" xfId="4333" xr:uid="{00000000-0005-0000-0000-0000940A0000}"/>
    <cellStyle name="_PLPT_PLANILHA_CÁLCULO_DÉFICIT_RESOLUÇÃO_294_2007_V3_IRT CEEE 2009" xfId="4334" xr:uid="{00000000-0005-0000-0000-0000950A0000}"/>
    <cellStyle name="_PLPT_Res294_v3_COSERN_IRT-2010" xfId="1624" xr:uid="{00000000-0005-0000-0000-0000960A0000}"/>
    <cellStyle name="_PLPT_RES294_V4_IRT2010_ELEKTRO" xfId="1625" xr:uid="{00000000-0005-0000-0000-0000970A0000}"/>
    <cellStyle name="_Projeção Refrescos Guararapes" xfId="4335" xr:uid="{00000000-0005-0000-0000-0000980A0000}"/>
    <cellStyle name="_PRTP_ EBO vFINAL" xfId="4336" xr:uid="{00000000-0005-0000-0000-0000990A0000}"/>
    <cellStyle name="_PRTP_Santa Cruz-AP2" xfId="4337" xr:uid="{00000000-0005-0000-0000-00009A0A0000}"/>
    <cellStyle name="_PRTP_Santa Cruz-Final" xfId="4338" xr:uid="{00000000-0005-0000-0000-00009B0A0000}"/>
    <cellStyle name="_PRTP_v5-COELCE-HOM" xfId="4339" xr:uid="{00000000-0005-0000-0000-00009C0A0000}"/>
    <cellStyle name="_PRTP_v5-COELCE-HOM_Abertura Tarifária CEB RTP 2008" xfId="4340" xr:uid="{00000000-0005-0000-0000-00009D0A0000}"/>
    <cellStyle name="_PRTP_v5-COELCE-HOM_Cópia de Cópia de SIMULAÇÃO ESTRUTURAv103 - REAJUSTE - teste ELETROPAULO 2008-C51" xfId="4341" xr:uid="{00000000-0005-0000-0000-00009E0A0000}"/>
    <cellStyle name="_PRTP_v5-COELCE-HOM_IRT-cálculo" xfId="4342" xr:uid="{00000000-0005-0000-0000-00009F0A0000}"/>
    <cellStyle name="_PRTP_v5-COELCE-HOM_IRT-cálculo CAPA NEUTRALIDADE" xfId="4343" xr:uid="{00000000-0005-0000-0000-0000A00A0000}"/>
    <cellStyle name="_PRTP_v5-COELCE-HOM_NOVA PLANIILHA - REAJUSTE-5" xfId="4344" xr:uid="{00000000-0005-0000-0000-0000A10A0000}"/>
    <cellStyle name="_PRTP_v5-COELCE-HOM_NOVA PLANIILHA - REVISÃO 3" xfId="4345" xr:uid="{00000000-0005-0000-0000-0000A20A0000}"/>
    <cellStyle name="_PRTP_v5-COELCE-HOM_NOVA PLANIILHA - REVISÃO 4" xfId="4346" xr:uid="{00000000-0005-0000-0000-0000A30A0000}"/>
    <cellStyle name="_PRTP_v5-COELCE-HOM_NOVA PLANILHA REVISÃO 1" xfId="4347" xr:uid="{00000000-0005-0000-0000-0000A40A0000}"/>
    <cellStyle name="_PRTP_v5-COELCE-HOM_SIMULAÇÃO ESTRUTURAv103 - REAJUSTE - teste ELETROPAULO 2008-C33" xfId="4348" xr:uid="{00000000-0005-0000-0000-0000A50A0000}"/>
    <cellStyle name="_PRTP_v6-xxxxx" xfId="4349" xr:uid="{00000000-0005-0000-0000-0000A60A0000}"/>
    <cellStyle name="_PRTP_vPUBLICAÇÃO_FINAL_-_CEMAT" xfId="4350" xr:uid="{00000000-0005-0000-0000-0000A70A0000}"/>
    <cellStyle name="_QUADRO I -Desconto irrigantes 2007" xfId="4351" xr:uid="{00000000-0005-0000-0000-0000A80A0000}"/>
    <cellStyle name="_QUADRO I -Desconto irrigantes 2007_IF - Autoprodutores 2" xfId="4352" xr:uid="{00000000-0005-0000-0000-0000A90A0000}"/>
    <cellStyle name="_QUADRO I -Desconto irrigantes 2007_IF_Consumidores livres e geradoras_2010" xfId="4353" xr:uid="{00000000-0005-0000-0000-0000AA0A0000}"/>
    <cellStyle name="_QUADRO I -Desconto irrigantes 2007_Sheet1" xfId="4354" xr:uid="{00000000-0005-0000-0000-0000AB0A0000}"/>
    <cellStyle name="_QUADRO II - CUSD's concatenação_elektro" xfId="4355" xr:uid="{00000000-0005-0000-0000-0000AC0A0000}"/>
    <cellStyle name="_QUADRO II - CUSD's concatenação_elektro_IF - Autoprodutores 2" xfId="4356" xr:uid="{00000000-0005-0000-0000-0000AD0A0000}"/>
    <cellStyle name="_QUADRO II - CUSD's concatenação_elektro_IF_Consumidores livres e geradoras_2010" xfId="4357" xr:uid="{00000000-0005-0000-0000-0000AE0A0000}"/>
    <cellStyle name="_QUADRO II - CUSD's concatenação_elektro_Sheet1" xfId="4358" xr:uid="{00000000-0005-0000-0000-0000AF0A0000}"/>
    <cellStyle name="_QUADRO X - Baixa Renda" xfId="4359" xr:uid="{00000000-0005-0000-0000-0000B00A0000}"/>
    <cellStyle name="_QUADRO X - Baixa Renda_IF - Autoprodutores 2" xfId="4360" xr:uid="{00000000-0005-0000-0000-0000B10A0000}"/>
    <cellStyle name="_QUADRO X - Baixa Renda_IF_Consumidores livres e geradoras_2010" xfId="4361" xr:uid="{00000000-0005-0000-0000-0000B20A0000}"/>
    <cellStyle name="_QUADRO X - Baixa Renda_Sheet1" xfId="4362" xr:uid="{00000000-0005-0000-0000-0000B30A0000}"/>
    <cellStyle name="_REDE BÁSICA" xfId="4363" xr:uid="{00000000-0005-0000-0000-0000B40A0000}"/>
    <cellStyle name="_Resultados_DEA_RND_QUAL_PERDAS" xfId="4364" xr:uid="{00000000-0005-0000-0000-0000B50A0000}"/>
    <cellStyle name="_RGE - Repasse sobrecontratação" xfId="631" xr:uid="{00000000-0005-0000-0000-0000B60A0000}"/>
    <cellStyle name="_RGE - Repasse sobrecontratação 2" xfId="1454" xr:uid="{00000000-0005-0000-0000-0000B70A0000}"/>
    <cellStyle name="_RGE - Repasse sobrecontratação 3" xfId="4365" xr:uid="{00000000-0005-0000-0000-0000B80A0000}"/>
    <cellStyle name="_RGE - Repasse sobrecontratação_Exposição_Agosto 2" xfId="4366" xr:uid="{00000000-0005-0000-0000-0000B90A0000}"/>
    <cellStyle name="_RGE - Repasse sobrecontratação_IRT_Revisão A-2" xfId="4367" xr:uid="{00000000-0005-0000-0000-0000BA0A0000}"/>
    <cellStyle name="_RTP_EMG" xfId="4368" xr:uid="{00000000-0005-0000-0000-0000BB0A0000}"/>
    <cellStyle name="_RTP_ESCELSA_Subsidio_077_fiscalizada_sff" xfId="632" xr:uid="{00000000-0005-0000-0000-0000BC0A0000}"/>
    <cellStyle name="_RTP_ESCELSA_Subsidio_077_fiscalizada_sff_Cálculo do Financeiro do Baixa Renda" xfId="4369" xr:uid="{00000000-0005-0000-0000-0000BD0A0000}"/>
    <cellStyle name="_RTP_ESCELSA_Subsidio_077_fiscalizada_sff_Cálculo do Financeiro do Baixa Renda_IRT-cálculo" xfId="4370" xr:uid="{00000000-0005-0000-0000-0000BE0A0000}"/>
    <cellStyle name="_RTP_ESCELSA_Subsidio_077_fiscalizada_sff_Cálculo do Financeiro do Baixa Renda_IRT-cálculo CAPA NEUTRALIDADE" xfId="4371" xr:uid="{00000000-0005-0000-0000-0000BF0A0000}"/>
    <cellStyle name="_RTP_ESCELSA_Subsidio_077_fiscalizada_sff_Calculo_Subsidio_ELFSM_26_06_08_Modelo_ANEEL" xfId="4372" xr:uid="{00000000-0005-0000-0000-0000C00A0000}"/>
    <cellStyle name="_RTP_ESCELSA_Subsidio_077_fiscalizada_sff_Calculo_Subsidio_ELFSM_26_06_08_Modelo_ANEEL_IRT-cálculo" xfId="4373" xr:uid="{00000000-0005-0000-0000-0000C10A0000}"/>
    <cellStyle name="_RTP_ESCELSA_Subsidio_077_fiscalizada_sff_Calculo_Subsidio_ELFSM_26_06_08_Modelo_ANEEL_IRT-cálculo CAPA NEUTRALIDADE" xfId="4374" xr:uid="{00000000-0005-0000-0000-0000C20A0000}"/>
    <cellStyle name="_RTP_ESCELSA_Subsidio_077_fiscalizada_sff_Custo com Avaliação de Ativos para Base de Remuneração" xfId="4375" xr:uid="{00000000-0005-0000-0000-0000C30A0000}"/>
    <cellStyle name="_RTP_ESCELSA_Subsidio_077_fiscalizada_sff_Custo com Avaliação de Ativos para Base de Remuneração_IRT-cálculo" xfId="4376" xr:uid="{00000000-0005-0000-0000-0000C40A0000}"/>
    <cellStyle name="_RTP_ESCELSA_Subsidio_077_fiscalizada_sff_Custo com Avaliação de Ativos para Base de Remuneração_IRT-cálculo CAPA NEUTRALIDADE" xfId="4377" xr:uid="{00000000-0005-0000-0000-0000C50A0000}"/>
    <cellStyle name="_RTP_ESCELSA_Subsidio_077_fiscalizada_sff_Energia Comprada" xfId="4378" xr:uid="{00000000-0005-0000-0000-0000C60A0000}"/>
    <cellStyle name="_RTP_ESCELSA_Subsidio_077_fiscalizada_sff_Energia Comprada_IRT-cálculo" xfId="4379" xr:uid="{00000000-0005-0000-0000-0000C70A0000}"/>
    <cellStyle name="_RTP_ESCELSA_Subsidio_077_fiscalizada_sff_Energia Comprada_IRT-cálculo CAPA NEUTRALIDADE" xfId="4380" xr:uid="{00000000-0005-0000-0000-0000C80A0000}"/>
    <cellStyle name="_RTP_ESCELSA_Subsidio_077_fiscalizada_sff_Fator X" xfId="1626" xr:uid="{00000000-0005-0000-0000-0000C90A0000}"/>
    <cellStyle name="_RTP_ESCELSA_Subsidio_077_fiscalizada_sff_Fator X_IRT-cálculo" xfId="4381" xr:uid="{00000000-0005-0000-0000-0000CA0A0000}"/>
    <cellStyle name="_RTP_ESCELSA_Subsidio_077_fiscalizada_sff_Fator X_IRT-cálculo CAPA NEUTRALIDADE" xfId="4382" xr:uid="{00000000-0005-0000-0000-0000CB0A0000}"/>
    <cellStyle name="_RTP_ESCELSA_Subsidio_077_fiscalizada_sff_Fator X_SOBRECONTRATAÇÃO E CVA" xfId="4383" xr:uid="{00000000-0005-0000-0000-0000CC0A0000}"/>
    <cellStyle name="_RTP_ESCELSA_Subsidio_077_fiscalizada_sff_IF - Autoprodutores 2" xfId="4384" xr:uid="{00000000-0005-0000-0000-0000CD0A0000}"/>
    <cellStyle name="_RTP_ESCELSA_Subsidio_077_fiscalizada_sff_IF_Consumidores livres e geradoras_2010" xfId="4385" xr:uid="{00000000-0005-0000-0000-0000CE0A0000}"/>
    <cellStyle name="_RTP_ESCELSA_Subsidio_077_fiscalizada_sff_IRT (2)" xfId="1627" xr:uid="{00000000-0005-0000-0000-0000CF0A0000}"/>
    <cellStyle name="_RTP_ESCELSA_Subsidio_077_fiscalizada_sff_IRT (2) 2" xfId="4386" xr:uid="{00000000-0005-0000-0000-0000D00A0000}"/>
    <cellStyle name="_RTP_ESCELSA_Subsidio_077_fiscalizada_sff_IRT_1" xfId="1628" xr:uid="{00000000-0005-0000-0000-0000D10A0000}"/>
    <cellStyle name="_RTP_ESCELSA_Subsidio_077_fiscalizada_sff_IRT_1_IRT-cálculo" xfId="4387" xr:uid="{00000000-0005-0000-0000-0000D20A0000}"/>
    <cellStyle name="_RTP_ESCELSA_Subsidio_077_fiscalizada_sff_IRT_1_IRT-cálculo CAPA NEUTRALIDADE" xfId="4388" xr:uid="{00000000-0005-0000-0000-0000D30A0000}"/>
    <cellStyle name="_RTP_ESCELSA_Subsidio_077_fiscalizada_sff_IRT_1_SOBRECONTRATAÇÃO E CVA" xfId="4389" xr:uid="{00000000-0005-0000-0000-0000D40A0000}"/>
    <cellStyle name="_RTP_ESCELSA_Subsidio_077_fiscalizada_sff_IRT_Pleito" xfId="4390" xr:uid="{00000000-0005-0000-0000-0000D50A0000}"/>
    <cellStyle name="_RTP_ESCELSA_Subsidio_077_fiscalizada_sff_IRT_Pleito_IRT-cálculo" xfId="4391" xr:uid="{00000000-0005-0000-0000-0000D60A0000}"/>
    <cellStyle name="_RTP_ESCELSA_Subsidio_077_fiscalizada_sff_IRT_Pleito_IRT-cálculo CAPA NEUTRALIDADE" xfId="4392" xr:uid="{00000000-0005-0000-0000-0000D70A0000}"/>
    <cellStyle name="_RTP_ESCELSA_Subsidio_077_fiscalizada_sff_IRT_Revisão A-1" xfId="4393" xr:uid="{00000000-0005-0000-0000-0000D80A0000}"/>
    <cellStyle name="_RTP_ESCELSA_Subsidio_077_fiscalizada_sff_IRT-cálculo" xfId="4394" xr:uid="{00000000-0005-0000-0000-0000D90A0000}"/>
    <cellStyle name="_RTP_ESCELSA_Subsidio_077_fiscalizada_sff_IRT-cálculo CAPA NEUTRALIDADE" xfId="4395" xr:uid="{00000000-0005-0000-0000-0000DA0A0000}"/>
    <cellStyle name="_RTP_ESCELSA_Subsidio_077_fiscalizada_sff_Pasta1" xfId="1629" xr:uid="{00000000-0005-0000-0000-0000DB0A0000}"/>
    <cellStyle name="_RTP_ESCELSA_Subsidio_077_fiscalizada_sff_Pasta1_IRT-cálculo" xfId="4396" xr:uid="{00000000-0005-0000-0000-0000DC0A0000}"/>
    <cellStyle name="_RTP_ESCELSA_Subsidio_077_fiscalizada_sff_Pasta1_IRT-cálculo CAPA NEUTRALIDADE" xfId="4397" xr:uid="{00000000-0005-0000-0000-0000DD0A0000}"/>
    <cellStyle name="_RTP_ESCELSA_Subsidio_077_fiscalizada_sff_Pasta1_SOBRECONTRATAÇÃO E CVA" xfId="4398" xr:uid="{00000000-0005-0000-0000-0000DE0A0000}"/>
    <cellStyle name="_RTP_ESCELSA_Subsidio_077_fiscalizada_sff_Sheet1" xfId="4399" xr:uid="{00000000-0005-0000-0000-0000DF0A0000}"/>
    <cellStyle name="_RTP_ESCELSA_Subsidio_077_fiscalizada_sff_Sheet2" xfId="4400" xr:uid="{00000000-0005-0000-0000-0000E00A0000}"/>
    <cellStyle name="_RTP_ESCELSA_Subsidio_077_fiscalizada_sff_SOBRECONTRATAÇÃO E CVA" xfId="4401" xr:uid="{00000000-0005-0000-0000-0000E10A0000}"/>
    <cellStyle name="_Santa Cruz Cliente por área 27062007" xfId="4402" xr:uid="{00000000-0005-0000-0000-0000E20A0000}"/>
    <cellStyle name="_SANTA CRUZ_2_CICLO_DADOS_INICIAIS" xfId="4403" xr:uid="{00000000-0005-0000-0000-0000E30A0000}"/>
    <cellStyle name="_SANTA CRUZ_2_CICLO_DADOS_INICIAIS (v 26-06)" xfId="4404" xr:uid="{00000000-0005-0000-0000-0000E40A0000}"/>
    <cellStyle name="_SANTA CRUZ_2_CICLO_DADOS_INICIAIS (Vx)" xfId="4405" xr:uid="{00000000-0005-0000-0000-0000E50A0000}"/>
    <cellStyle name="_SANTA CRUZ_2_CICLO_DADOS_INICIAIS(v4)" xfId="4406" xr:uid="{00000000-0005-0000-0000-0000E60A0000}"/>
    <cellStyle name="_SANTA CRUZ_2_CICLO_DADOS_INICIAIS_E3" xfId="4407" xr:uid="{00000000-0005-0000-0000-0000E70A0000}"/>
    <cellStyle name="_SANTA CRUZ_2_CICLO_DADOS_INICIAIS-28jun - EV" xfId="4408" xr:uid="{00000000-0005-0000-0000-0000E80A0000}"/>
    <cellStyle name="_SANTA CRUZ_2_CICLO_DADOS_MERCADO_E1 (14jun)" xfId="4409" xr:uid="{00000000-0005-0000-0000-0000E90A0000}"/>
    <cellStyle name="_SANTA CRUZ_2_CICLO_DADOS_MERCADO_E1 (15jun)" xfId="4410" xr:uid="{00000000-0005-0000-0000-0000EA0A0000}"/>
    <cellStyle name="_Santa Maria - Cons por municipio" xfId="4411" xr:uid="{00000000-0005-0000-0000-0000EB0A0000}"/>
    <cellStyle name="_Simulação AES SUL 03_04_07" xfId="633" xr:uid="{00000000-0005-0000-0000-0000EC0A0000}"/>
    <cellStyle name="_Simulação AES SUL 03_04_07 2" xfId="1455" xr:uid="{00000000-0005-0000-0000-0000ED0A0000}"/>
    <cellStyle name="_Simulação AES SUL 03_04_07_Balanço" xfId="634" xr:uid="{00000000-0005-0000-0000-0000EE0A0000}"/>
    <cellStyle name="_Simulação AES SUL 03_04_07_casulo 15" xfId="635" xr:uid="{00000000-0005-0000-0000-0000EF0A0000}"/>
    <cellStyle name="_Simulação AES SUL 03_04_07_IRT EEB 2010" xfId="4412" xr:uid="{00000000-0005-0000-0000-0000F00A0000}"/>
    <cellStyle name="_Simulação CAIUA - ANEEL" xfId="4413" xr:uid="{00000000-0005-0000-0000-0000F10A0000}"/>
    <cellStyle name="_Simulação CAIUA - ANEEL_2009.04.09 EEB IRT2009 Conexao CEMIG C Financeiro" xfId="4414" xr:uid="{00000000-0005-0000-0000-0000F20A0000}"/>
    <cellStyle name="_Simulação CAIUA - ANEEL_CVA Borborema 2010 - Fiscalizada Final" xfId="4415" xr:uid="{00000000-0005-0000-0000-0000F30A0000}"/>
    <cellStyle name="_Simulação CAIUA - ANEEL_IF - Autoprodutores 2" xfId="4416" xr:uid="{00000000-0005-0000-0000-0000F40A0000}"/>
    <cellStyle name="_Simulação CAIUA - ANEEL_IF_Consumidores livres e geradoras_2010" xfId="4417" xr:uid="{00000000-0005-0000-0000-0000F50A0000}"/>
    <cellStyle name="_Simulação CAIUA - ANEEL_Sheet1" xfId="4418" xr:uid="{00000000-0005-0000-0000-0000F60A0000}"/>
    <cellStyle name="_Simulação CENF - ANEEL sobrecontratação" xfId="4419" xr:uid="{00000000-0005-0000-0000-0000F70A0000}"/>
    <cellStyle name="_Simulação CENF - ANEEL sobrecontratação_CVA Borborema 2010 - Fiscalizada Final" xfId="4420" xr:uid="{00000000-0005-0000-0000-0000F80A0000}"/>
    <cellStyle name="_Simulação congelamento COELCE 2011 - Propostas 3ª Fase AP040 (20.12.2011)" xfId="4421" xr:uid="{00000000-0005-0000-0000-0000F90A0000}"/>
    <cellStyle name="_Simulação Nova Carga Coteminas RT EBO" xfId="4422" xr:uid="{00000000-0005-0000-0000-0000FA0A0000}"/>
    <cellStyle name="_Simulacao_4ª_RTP_ESCELSA_1" xfId="636" xr:uid="{00000000-0005-0000-0000-0000FB0A0000}"/>
    <cellStyle name="_Simulacao_4ª_RTP_ESCELSA_1_IF - Autoprodutores 2" xfId="4423" xr:uid="{00000000-0005-0000-0000-0000FC0A0000}"/>
    <cellStyle name="_Simulacao_4ª_RTP_ESCELSA_1_IF_Consumidores livres e geradoras_2010" xfId="4424" xr:uid="{00000000-0005-0000-0000-0000FD0A0000}"/>
    <cellStyle name="_Simulacao_4ª_RTP_ESCELSA_1_IRT-cálculo" xfId="4425" xr:uid="{00000000-0005-0000-0000-0000FE0A0000}"/>
    <cellStyle name="_Simulacao_4ª_RTP_ESCELSA_1_Sheet1" xfId="4426" xr:uid="{00000000-0005-0000-0000-0000FF0A0000}"/>
    <cellStyle name="_Simulador Ampla - Proposta Preliminar" xfId="4427" xr:uid="{00000000-0005-0000-0000-0000000B0000}"/>
    <cellStyle name="_Simulador Ampla_AP" xfId="4428" xr:uid="{00000000-0005-0000-0000-0000010B0000}"/>
    <cellStyle name="_Simulador COSERN-final" xfId="4429" xr:uid="{00000000-0005-0000-0000-0000020B0000}"/>
    <cellStyle name="_Simulador COSERN-final_IF - Autoprodutores 2" xfId="4430" xr:uid="{00000000-0005-0000-0000-0000030B0000}"/>
    <cellStyle name="_Simulador COSERN-final_IF_Consumidores livres e geradoras_2010" xfId="4431" xr:uid="{00000000-0005-0000-0000-0000040B0000}"/>
    <cellStyle name="_Simulador COSERN-final_Sheet1" xfId="4432" xr:uid="{00000000-0005-0000-0000-0000050B0000}"/>
    <cellStyle name="_Simulador modelo" xfId="4433" xr:uid="{00000000-0005-0000-0000-0000060B0000}"/>
    <cellStyle name="_Síntese Capex EBO encaminhado para Aneel" xfId="4434" xr:uid="{00000000-0005-0000-0000-0000070B0000}"/>
    <cellStyle name="_Síntese Executiva" xfId="4435" xr:uid="{00000000-0005-0000-0000-0000080B0000}"/>
    <cellStyle name="_Sobrecontr - Plan Cabral_CEAL" xfId="4436" xr:uid="{00000000-0005-0000-0000-0000090B0000}"/>
    <cellStyle name="_Sobrecontr - Plan Cabral_CEAL (!)" xfId="4437" xr:uid="{00000000-0005-0000-0000-00000A0B0000}"/>
    <cellStyle name="_Sobrecontr_CELPA - Plan.Cabral" xfId="4438" xr:uid="{00000000-0005-0000-0000-00000B0B0000}"/>
    <cellStyle name="_Sobrecontr_ELEKTRO - Plan Cabral_2007" xfId="4439" xr:uid="{00000000-0005-0000-0000-00000C0B0000}"/>
    <cellStyle name="_Sobrecontratação - Dados - Estimativa - Celpa CCEE" xfId="1630" xr:uid="{00000000-0005-0000-0000-00000D0B0000}"/>
    <cellStyle name="_Sobrecontratação - Dados - Estimativa - Celpa CCEE 2" xfId="4440" xr:uid="{00000000-0005-0000-0000-00000E0B0000}"/>
    <cellStyle name="_Sobrecontratação - Dados - Estimativa - Celpa CCEE_COELCE - RTO 2011 - PLPT_PLANILHA_CÁLCULO_DÉFICIT" xfId="4441" xr:uid="{00000000-0005-0000-0000-00000F0B0000}"/>
    <cellStyle name="_SOBRECONTRATAÇÃO - RES  255-2007 AES (2)" xfId="637" xr:uid="{00000000-0005-0000-0000-0000100B0000}"/>
    <cellStyle name="_SOBRECONTRATAÇÃO - RES  255-2007 AES (2) 2" xfId="1456" xr:uid="{00000000-0005-0000-0000-0000110B0000}"/>
    <cellStyle name="_SOBRECONTRATAÇÃO - RES  255-2007 AES (2)_Balanço" xfId="638" xr:uid="{00000000-0005-0000-0000-0000120B0000}"/>
    <cellStyle name="_SOBRECONTRATAÇÃO - RES  255-2007 AES (2)_casulo 15" xfId="639" xr:uid="{00000000-0005-0000-0000-0000130B0000}"/>
    <cellStyle name="_SOBRECONTRATAÇÃO - RES  255-2007 AES (2)_IRT EEB 2010" xfId="4442" xr:uid="{00000000-0005-0000-0000-0000140B0000}"/>
    <cellStyle name="_SOBRECONTRATAÇÃO - RES  255-2007 AES (3)" xfId="640" xr:uid="{00000000-0005-0000-0000-0000150B0000}"/>
    <cellStyle name="_SOBRECONTRATAÇÃO - RES  255-2007 AES (3) 2" xfId="1457" xr:uid="{00000000-0005-0000-0000-0000160B0000}"/>
    <cellStyle name="_SOBRECONTRATAÇÃO - RES  255-2007 AES (3)_Balanço" xfId="641" xr:uid="{00000000-0005-0000-0000-0000170B0000}"/>
    <cellStyle name="_SOBRECONTRATAÇÃO - RES  255-2007 AES (3)_casulo 15" xfId="642" xr:uid="{00000000-0005-0000-0000-0000180B0000}"/>
    <cellStyle name="_SOBRECONTRATAÇÃO - RES  255-2007 AES (3)_IRT EEB 2010" xfId="4443" xr:uid="{00000000-0005-0000-0000-0000190B0000}"/>
    <cellStyle name="_SOBRECONTRATAÇÃO - RES  255-2007-ELEKTRO-Rec.PROINFA" xfId="4444" xr:uid="{00000000-0005-0000-0000-00001A0B0000}"/>
    <cellStyle name="_SOBRECONTRATAÇÃO - RES. 255-2007, AES" xfId="643" xr:uid="{00000000-0005-0000-0000-00001B0B0000}"/>
    <cellStyle name="_SOBRECONTRATAÇÃO - RES. 255-2007, AES 2" xfId="1458" xr:uid="{00000000-0005-0000-0000-00001C0B0000}"/>
    <cellStyle name="_SOBRECONTRATAÇÃO - RES. 255-2007, AES_Balanço" xfId="644" xr:uid="{00000000-0005-0000-0000-00001D0B0000}"/>
    <cellStyle name="_SOBRECONTRATAÇÃO - RES. 255-2007, AES_casulo 15" xfId="645" xr:uid="{00000000-0005-0000-0000-00001E0B0000}"/>
    <cellStyle name="_SOBRECONTRATAÇÃO - RES. 255-2007, AES_IRT EEB 2010" xfId="4445" xr:uid="{00000000-0005-0000-0000-00001F0B0000}"/>
    <cellStyle name="_SOBRECONTRATAÇÃO - SAELPA 2007" xfId="4446" xr:uid="{00000000-0005-0000-0000-0000200B0000}"/>
    <cellStyle name="_Sobrecontratação AES (2)" xfId="646" xr:uid="{00000000-0005-0000-0000-0000210B0000}"/>
    <cellStyle name="_Sobrecontratação AES (2) 2" xfId="1459" xr:uid="{00000000-0005-0000-0000-0000220B0000}"/>
    <cellStyle name="_Sobrecontratação AES (2)_Balanço" xfId="647" xr:uid="{00000000-0005-0000-0000-0000230B0000}"/>
    <cellStyle name="_Sobrecontratação AES (2)_casulo 15" xfId="648" xr:uid="{00000000-0005-0000-0000-0000240B0000}"/>
    <cellStyle name="_Sobrecontratação AES (2)_IRT EEB 2010" xfId="4447" xr:uid="{00000000-0005-0000-0000-0000250B0000}"/>
    <cellStyle name="_SOBRECONTRATAÇÃO ANO CIVIL 2005 - CVA - APROVADO" xfId="4448" xr:uid="{00000000-0005-0000-0000-0000260B0000}"/>
    <cellStyle name="_SOBRECONTRATAÇÃO E CVA" xfId="4449" xr:uid="{00000000-0005-0000-0000-0000270B0000}"/>
    <cellStyle name="_SOBRECONTRATAÇÃO E CVA A-1" xfId="4450" xr:uid="{00000000-0005-0000-0000-0000280B0000}"/>
    <cellStyle name="_SOBRECONTRATAÇÃO E CVA A-1_IRT-cálculo" xfId="4451" xr:uid="{00000000-0005-0000-0000-0000290B0000}"/>
    <cellStyle name="_SOBRECONTRATAÇÃO E CVA A-1_IRT-cálculo CAPA NEUTRALIDADE" xfId="4452" xr:uid="{00000000-0005-0000-0000-00002A0B0000}"/>
    <cellStyle name="_SOBRECONTRATAÇÃO E CVA Energisa Paraíba" xfId="4453" xr:uid="{00000000-0005-0000-0000-00002B0B0000}"/>
    <cellStyle name="_SOBRECONTRATAÇÃO E CVAlinhas_EMG_08" xfId="4454" xr:uid="{00000000-0005-0000-0000-00002C0B0000}"/>
    <cellStyle name="_Sobrecontratação e exposição_CCEE_SRE" xfId="1631" xr:uid="{00000000-0005-0000-0000-00002D0B0000}"/>
    <cellStyle name="_Sobrecontratação e exposição_CCEE_SRE 2" xfId="4455" xr:uid="{00000000-0005-0000-0000-00002E0B0000}"/>
    <cellStyle name="_Sobrecontratação e exposição_CCEE_SRE_Energia Comprada" xfId="4456" xr:uid="{00000000-0005-0000-0000-00002F0B0000}"/>
    <cellStyle name="_Sobrecontratação e exposição_CCEE_SRE_Energia Comprada_IRT-cálculo" xfId="4457" xr:uid="{00000000-0005-0000-0000-0000300B0000}"/>
    <cellStyle name="_Sobrecontratação e exposição_CCEE_SRE_Energia Comprada_IRT-cálculo CAPA NEUTRALIDADE" xfId="4458" xr:uid="{00000000-0005-0000-0000-0000310B0000}"/>
    <cellStyle name="_Sobrecontratação e exposição_CCEE_SRE_Fator X" xfId="1632" xr:uid="{00000000-0005-0000-0000-0000320B0000}"/>
    <cellStyle name="_Sobrecontratação e exposição_CCEE_SRE_Fator X 2" xfId="4459" xr:uid="{00000000-0005-0000-0000-0000330B0000}"/>
    <cellStyle name="_Sobrecontratação e exposição_CCEE_SRE_Fator X_IRT-cálculo" xfId="4460" xr:uid="{00000000-0005-0000-0000-0000340B0000}"/>
    <cellStyle name="_Sobrecontratação e exposição_CCEE_SRE_Fator X_IRT-cálculo CAPA NEUTRALIDADE" xfId="4461" xr:uid="{00000000-0005-0000-0000-0000350B0000}"/>
    <cellStyle name="_Sobrecontratação e exposição_CCEE_SRE_Fator X_SOBRECONTRATAÇÃO E CVA" xfId="4462" xr:uid="{00000000-0005-0000-0000-0000360B0000}"/>
    <cellStyle name="_Sobrecontratação e exposição_CCEE_SRE_IRT (2)" xfId="1633" xr:uid="{00000000-0005-0000-0000-0000370B0000}"/>
    <cellStyle name="_Sobrecontratação e exposição_CCEE_SRE_IRT_1" xfId="1634" xr:uid="{00000000-0005-0000-0000-0000380B0000}"/>
    <cellStyle name="_Sobrecontratação e exposição_CCEE_SRE_IRT_1 2" xfId="4463" xr:uid="{00000000-0005-0000-0000-0000390B0000}"/>
    <cellStyle name="_Sobrecontratação e exposição_CCEE_SRE_IRT_1_IRT-cálculo" xfId="4464" xr:uid="{00000000-0005-0000-0000-00003A0B0000}"/>
    <cellStyle name="_Sobrecontratação e exposição_CCEE_SRE_IRT_1_IRT-cálculo CAPA NEUTRALIDADE" xfId="4465" xr:uid="{00000000-0005-0000-0000-00003B0B0000}"/>
    <cellStyle name="_Sobrecontratação e exposição_CCEE_SRE_IRT_1_SOBRECONTRATAÇÃO E CVA" xfId="4466" xr:uid="{00000000-0005-0000-0000-00003C0B0000}"/>
    <cellStyle name="_Sobrecontratação e exposição_CCEE_SRE_IRT-cálculo" xfId="4467" xr:uid="{00000000-0005-0000-0000-00003D0B0000}"/>
    <cellStyle name="_Sobrecontratação e exposição_CCEE_SRE_IRT-cálculo CAPA NEUTRALIDADE" xfId="4468" xr:uid="{00000000-0005-0000-0000-00003E0B0000}"/>
    <cellStyle name="_Sobrecontratação e exposição_CCEE_SRE_Pasta1" xfId="1635" xr:uid="{00000000-0005-0000-0000-00003F0B0000}"/>
    <cellStyle name="_Sobrecontratação e exposição_CCEE_SRE_Pasta1 2" xfId="4469" xr:uid="{00000000-0005-0000-0000-0000400B0000}"/>
    <cellStyle name="_Sobrecontratação e exposição_CCEE_SRE_Pasta1_IRT-cálculo" xfId="4470" xr:uid="{00000000-0005-0000-0000-0000410B0000}"/>
    <cellStyle name="_Sobrecontratação e exposição_CCEE_SRE_Pasta1_IRT-cálculo CAPA NEUTRALIDADE" xfId="4471" xr:uid="{00000000-0005-0000-0000-0000420B0000}"/>
    <cellStyle name="_Sobrecontratação e exposição_CCEE_SRE_Pasta1_SOBRECONTRATAÇÃO E CVA" xfId="4472" xr:uid="{00000000-0005-0000-0000-0000430B0000}"/>
    <cellStyle name="_Sobrecontratação e exposição_CCEE_SRE_SOBRECONTRATAÇÃO E CVA" xfId="4473" xr:uid="{00000000-0005-0000-0000-0000440B0000}"/>
    <cellStyle name="_SOBRECONTRATAÇÃO EPB 2010" xfId="4474" xr:uid="{00000000-0005-0000-0000-0000450B0000}"/>
    <cellStyle name="_Sobrecontratação_e_CVA_Energia" xfId="4475" xr:uid="{00000000-0005-0000-0000-0000460B0000}"/>
    <cellStyle name="_Sobrecontratacao_ESE_IRT_2009" xfId="4476" xr:uid="{00000000-0005-0000-0000-0000470B0000}"/>
    <cellStyle name="_SOBRECONTRATAÇÃO-2008" xfId="4477" xr:uid="{00000000-0005-0000-0000-0000480B0000}"/>
    <cellStyle name="_Subsídios para análise da SRE" xfId="649" xr:uid="{00000000-0005-0000-0000-0000490B0000}"/>
    <cellStyle name="_Subsídios para análise da SRE_IRT Piratininga 2009" xfId="650" xr:uid="{00000000-0005-0000-0000-00004A0B0000}"/>
    <cellStyle name="_Subsídios para análise da SRE_IRT Piratininga 2009 2" xfId="1460" xr:uid="{00000000-0005-0000-0000-00004B0B0000}"/>
    <cellStyle name="_Subsídios para análise da SRE_IRT_Planilha Básica_ CETRIL" xfId="651" xr:uid="{00000000-0005-0000-0000-00004C0B0000}"/>
    <cellStyle name="_Subsídios para análise da SRE_IRT_Planilha Básica_ CETRIL 2" xfId="1461" xr:uid="{00000000-0005-0000-0000-00004D0B0000}"/>
    <cellStyle name="_Subsídios para análise da SRE_IRT_Planilha Básica_mar2010b" xfId="4478" xr:uid="{00000000-0005-0000-0000-00004E0B0000}"/>
    <cellStyle name="_Subsídios para análise da SRE_IRT-cálculo" xfId="4479" xr:uid="{00000000-0005-0000-0000-00004F0B0000}"/>
    <cellStyle name="_SubsídiosAnáliseSRE_COSERN_IRT-2010" xfId="1636" xr:uid="{00000000-0005-0000-0000-0000500B0000}"/>
    <cellStyle name="_TARIFAS 2008 modelo" xfId="4480" xr:uid="{00000000-0005-0000-0000-0000510B0000}"/>
    <cellStyle name="_Tarifas de Suprimento_Final" xfId="652" xr:uid="{00000000-0005-0000-0000-0000520B0000}"/>
    <cellStyle name="_Tarifas de Suprimento_Final 2" xfId="1462" xr:uid="{00000000-0005-0000-0000-0000530B0000}"/>
    <cellStyle name="_Tarifas de Suprimento_Final 3" xfId="4481" xr:uid="{00000000-0005-0000-0000-0000540B0000}"/>
    <cellStyle name="_Tarifas de Suprimento_Final_COELCE  ICMS Não Compensado RTO 2012 281211" xfId="4482" xr:uid="{00000000-0005-0000-0000-0000550B0000}"/>
    <cellStyle name="_Tarifas de Suprimento_Final_COELCE - RTO 2011 - PLPT_PLANILHA_CÁLCULO_DÉFICIT" xfId="4483" xr:uid="{00000000-0005-0000-0000-0000560B0000}"/>
    <cellStyle name="_Tarifas de Suprimento_Final_Exposição_Agosto 2" xfId="4484" xr:uid="{00000000-0005-0000-0000-0000570B0000}"/>
    <cellStyle name="_Tarifas de Suprimento_Final_IRT_Revisão A-2" xfId="4485" xr:uid="{00000000-0005-0000-0000-0000580B0000}"/>
    <cellStyle name="_Tarifas de Suprimento_Final_IRT-cálculo" xfId="4486" xr:uid="{00000000-0005-0000-0000-0000590B0000}"/>
    <cellStyle name="_Tarifas de Suprimento_Final_Simulação AES SUL 03_04_07" xfId="653" xr:uid="{00000000-0005-0000-0000-00005A0B0000}"/>
    <cellStyle name="_Tarifas de Suprimento_Final_Simulação AES SUL 03_04_07 2" xfId="1463" xr:uid="{00000000-0005-0000-0000-00005B0B0000}"/>
    <cellStyle name="_Tarifas de Suprimento_Final_Simulação AES SUL 03_04_07 3" xfId="4487" xr:uid="{00000000-0005-0000-0000-00005C0B0000}"/>
    <cellStyle name="_Tarifas de Suprimento_Final_Simulação congelamento COELCE 2011 - Propostas 3ª Fase AP040 (20.12.2011)" xfId="4488" xr:uid="{00000000-0005-0000-0000-00005D0B0000}"/>
    <cellStyle name="_Tarifas de Suprimento_Final_Sobrecontratação AES (2)" xfId="654" xr:uid="{00000000-0005-0000-0000-00005E0B0000}"/>
    <cellStyle name="_Tarifas de Suprimento_Final_Sobrecontratação AES (2) 2" xfId="1464" xr:uid="{00000000-0005-0000-0000-00005F0B0000}"/>
    <cellStyle name="_Tarifas de Suprimento_Final_Sobrecontratação AES (2) 3" xfId="4489" xr:uid="{00000000-0005-0000-0000-0000600B0000}"/>
    <cellStyle name="_Tarifas de Suprimento_Final_SOBRECONTRATAÇÃO E CVA" xfId="4490" xr:uid="{00000000-0005-0000-0000-0000610B0000}"/>
    <cellStyle name="_Tarifas suprimento_TUSD DMEPC" xfId="655" xr:uid="{00000000-0005-0000-0000-0000620B0000}"/>
    <cellStyle name="_Tarifas suprimento_TUSD DMEPC_IRT Piratininga 2009" xfId="656" xr:uid="{00000000-0005-0000-0000-0000630B0000}"/>
    <cellStyle name="_Tarifas suprimento_TUSD DMEPC_IRT Piratininga 2009 2" xfId="1465" xr:uid="{00000000-0005-0000-0000-0000640B0000}"/>
    <cellStyle name="_Tarifas suprimento_TUSD DMEPC_IRT_Planilha Básica_ CETRIL" xfId="657" xr:uid="{00000000-0005-0000-0000-0000650B0000}"/>
    <cellStyle name="_Tarifas suprimento_TUSD DMEPC_IRT_Planilha Básica_ CETRIL 2" xfId="1466" xr:uid="{00000000-0005-0000-0000-0000660B0000}"/>
    <cellStyle name="_Tarifas suprimento_TUSD DMEPC_IRT_Planilha Básica_mar2010b" xfId="4491" xr:uid="{00000000-0005-0000-0000-0000670B0000}"/>
    <cellStyle name="_Tarifas suprimento_TUSD DMEPC_IRT-cálculo" xfId="4492" xr:uid="{00000000-0005-0000-0000-0000680B0000}"/>
    <cellStyle name="_teste ampla" xfId="658" xr:uid="{00000000-0005-0000-0000-0000690B0000}"/>
    <cellStyle name="_teste ampla 2" xfId="1467" xr:uid="{00000000-0005-0000-0000-00006A0B0000}"/>
    <cellStyle name="_teste ampla_Balanço" xfId="659" xr:uid="{00000000-0005-0000-0000-00006B0B0000}"/>
    <cellStyle name="_teste ampla_casulo 15" xfId="660" xr:uid="{00000000-0005-0000-0000-00006C0B0000}"/>
    <cellStyle name="_teste ampla_IRT EEB 2010" xfId="4493" xr:uid="{00000000-0005-0000-0000-00006D0B0000}"/>
    <cellStyle name="_Tracking Account Coteminas EBO - FINAL" xfId="4494" xr:uid="{00000000-0005-0000-0000-00006E0B0000}"/>
    <cellStyle name="_Tracking Account Coteminas EBO - FINAL 2010" xfId="4495" xr:uid="{00000000-0005-0000-0000-00006F0B0000}"/>
    <cellStyle name="_TUSD AP PIE - ESE 2010" xfId="4496" xr:uid="{00000000-0005-0000-0000-0000700B0000}"/>
    <cellStyle name="_TUSD FIO-B - ESE 2010" xfId="4497" xr:uid="{00000000-0005-0000-0000-0000710B0000}"/>
    <cellStyle name="_TUSD G - ESE 2010" xfId="4498" xr:uid="{00000000-0005-0000-0000-0000720B0000}"/>
    <cellStyle name="_VERSAO 800" xfId="4499" xr:uid="{00000000-0005-0000-0000-0000730B0000}"/>
    <cellStyle name="£ BP" xfId="4500" xr:uid="{00000000-0005-0000-0000-0000740B0000}"/>
    <cellStyle name="¥ JY" xfId="4501" xr:uid="{00000000-0005-0000-0000-0000750B0000}"/>
    <cellStyle name="=C:\WINDOWS\SYSTEM32\COMMAND.COM" xfId="4502" xr:uid="{00000000-0005-0000-0000-0000760B0000}"/>
    <cellStyle name="=C:\WINDOWS\SYSTEM32\COMMAND.COM 2" xfId="4503" xr:uid="{00000000-0005-0000-0000-0000770B0000}"/>
    <cellStyle name="=C:\WINDOWS\SYSTEM32\COMMAND.COM 3" xfId="4504" xr:uid="{00000000-0005-0000-0000-0000780B0000}"/>
    <cellStyle name="=C:\WINDOWS\SYSTEM32\COMMAND.COM_IF - Autoprodutores" xfId="4505" xr:uid="{00000000-0005-0000-0000-0000790B0000}"/>
    <cellStyle name="=C:\WINNT\SYSTEM32\COMMAND.COM" xfId="1800" xr:uid="{00000000-0005-0000-0000-00007A0B0000}"/>
    <cellStyle name="‡" xfId="4506" xr:uid="{00000000-0005-0000-0000-00007B0B0000}"/>
    <cellStyle name="‡_IRT-cálculo" xfId="4507" xr:uid="{00000000-0005-0000-0000-00007C0B0000}"/>
    <cellStyle name="‡_IRT-cálculo CAPA NEUTRALIDADE" xfId="4508" xr:uid="{00000000-0005-0000-0000-00007D0B0000}"/>
    <cellStyle name="•W_laroux" xfId="4509" xr:uid="{00000000-0005-0000-0000-00007E0B0000}"/>
    <cellStyle name="0%" xfId="1637" xr:uid="{00000000-0005-0000-0000-00007F0B0000}"/>
    <cellStyle name="0% 2" xfId="2480" xr:uid="{00000000-0005-0000-0000-0000800B0000}"/>
    <cellStyle name="0,0%" xfId="1638" xr:uid="{00000000-0005-0000-0000-0000810B0000}"/>
    <cellStyle name="0,0% 2" xfId="1863" xr:uid="{00000000-0005-0000-0000-0000820B0000}"/>
    <cellStyle name="0,0% 2 2" xfId="2113" xr:uid="{00000000-0005-0000-0000-0000830B0000}"/>
    <cellStyle name="0,0% 2 2 2" xfId="2628" xr:uid="{00000000-0005-0000-0000-0000840B0000}"/>
    <cellStyle name="0,0% 2 2 3" xfId="2302" xr:uid="{00000000-0005-0000-0000-0000850B0000}"/>
    <cellStyle name="0,0% 2 3" xfId="2615" xr:uid="{00000000-0005-0000-0000-0000860B0000}"/>
    <cellStyle name="0,0% 2 4" xfId="2290" xr:uid="{00000000-0005-0000-0000-0000870B0000}"/>
    <cellStyle name="0,0% 2 5" xfId="43206" xr:uid="{00000000-0005-0000-0000-0000880B0000}"/>
    <cellStyle name="0,0% 3" xfId="1971" xr:uid="{00000000-0005-0000-0000-0000890B0000}"/>
    <cellStyle name="0,0% 3 2" xfId="2410" xr:uid="{00000000-0005-0000-0000-00008A0B0000}"/>
    <cellStyle name="0,0% 3 3" xfId="2627" xr:uid="{00000000-0005-0000-0000-00008B0B0000}"/>
    <cellStyle name="0,0% 3 4" xfId="2228" xr:uid="{00000000-0005-0000-0000-00008C0B0000}"/>
    <cellStyle name="0,0% 4" xfId="2255" xr:uid="{00000000-0005-0000-0000-00008D0B0000}"/>
    <cellStyle name="0,0% 5" xfId="43205" xr:uid="{00000000-0005-0000-0000-00008E0B0000}"/>
    <cellStyle name="0.0%" xfId="1639" xr:uid="{00000000-0005-0000-0000-00008F0B0000}"/>
    <cellStyle name="0.00%" xfId="1640" xr:uid="{00000000-0005-0000-0000-0000900B0000}"/>
    <cellStyle name="0.00% 2" xfId="2481" xr:uid="{00000000-0005-0000-0000-0000910B0000}"/>
    <cellStyle name="0000" xfId="4510" xr:uid="{00000000-0005-0000-0000-0000920B0000}"/>
    <cellStyle name="0000 2" xfId="4511" xr:uid="{00000000-0005-0000-0000-0000930B0000}"/>
    <cellStyle name="0000 3" xfId="4512" xr:uid="{00000000-0005-0000-0000-0000940B0000}"/>
    <cellStyle name="0000_IF - Autoprodutores" xfId="4513" xr:uid="{00000000-0005-0000-0000-0000950B0000}"/>
    <cellStyle name="000000" xfId="4514" xr:uid="{00000000-0005-0000-0000-0000960B0000}"/>
    <cellStyle name="1o.nível" xfId="661" xr:uid="{00000000-0005-0000-0000-0000970B0000}"/>
    <cellStyle name="1o.nível 2" xfId="4515" xr:uid="{00000000-0005-0000-0000-0000980B0000}"/>
    <cellStyle name="1o.nível 3" xfId="4516" xr:uid="{00000000-0005-0000-0000-0000990B0000}"/>
    <cellStyle name="20% - Accent1" xfId="662" xr:uid="{00000000-0005-0000-0000-00009A0B0000}"/>
    <cellStyle name="20% - Accent1 2" xfId="4517" xr:uid="{00000000-0005-0000-0000-00009B0B0000}"/>
    <cellStyle name="20% - Accent2" xfId="663" xr:uid="{00000000-0005-0000-0000-00009C0B0000}"/>
    <cellStyle name="20% - Accent2 2" xfId="4518" xr:uid="{00000000-0005-0000-0000-00009D0B0000}"/>
    <cellStyle name="20% - Accent3" xfId="664" xr:uid="{00000000-0005-0000-0000-00009E0B0000}"/>
    <cellStyle name="20% - Accent3 2" xfId="4519" xr:uid="{00000000-0005-0000-0000-00009F0B0000}"/>
    <cellStyle name="20% - Accent4" xfId="665" xr:uid="{00000000-0005-0000-0000-0000A00B0000}"/>
    <cellStyle name="20% - Accent4 2" xfId="4520" xr:uid="{00000000-0005-0000-0000-0000A10B0000}"/>
    <cellStyle name="20% - Accent5" xfId="666" xr:uid="{00000000-0005-0000-0000-0000A20B0000}"/>
    <cellStyle name="20% - Accent5 2" xfId="4521" xr:uid="{00000000-0005-0000-0000-0000A30B0000}"/>
    <cellStyle name="20% - Accent6" xfId="667" xr:uid="{00000000-0005-0000-0000-0000A40B0000}"/>
    <cellStyle name="20% - Accent6 2" xfId="4522" xr:uid="{00000000-0005-0000-0000-0000A50B0000}"/>
    <cellStyle name="20% - Ênfase1" xfId="668" xr:uid="{00000000-0005-0000-0000-0000A60B0000}"/>
    <cellStyle name="20% - Ênfase1 10" xfId="4523" xr:uid="{00000000-0005-0000-0000-0000A70B0000}"/>
    <cellStyle name="20% - Ênfase1 2" xfId="913" xr:uid="{00000000-0005-0000-0000-0000A80B0000}"/>
    <cellStyle name="20% - Ênfase1 2 2" xfId="4524" xr:uid="{00000000-0005-0000-0000-0000A90B0000}"/>
    <cellStyle name="20% - Ênfase1 3" xfId="1721" xr:uid="{00000000-0005-0000-0000-0000AA0B0000}"/>
    <cellStyle name="20% - Ênfase1 3 2" xfId="4525" xr:uid="{00000000-0005-0000-0000-0000AB0B0000}"/>
    <cellStyle name="20% - Ênfase1 4" xfId="4526" xr:uid="{00000000-0005-0000-0000-0000AC0B0000}"/>
    <cellStyle name="20% - Ênfase1 4 2" xfId="4527" xr:uid="{00000000-0005-0000-0000-0000AD0B0000}"/>
    <cellStyle name="20% - Ênfase1 5" xfId="4528" xr:uid="{00000000-0005-0000-0000-0000AE0B0000}"/>
    <cellStyle name="20% - Ênfase1 6" xfId="4529" xr:uid="{00000000-0005-0000-0000-0000AF0B0000}"/>
    <cellStyle name="20% - Ênfase1 7" xfId="4530" xr:uid="{00000000-0005-0000-0000-0000B00B0000}"/>
    <cellStyle name="20% - Ênfase1 8" xfId="4531" xr:uid="{00000000-0005-0000-0000-0000B10B0000}"/>
    <cellStyle name="20% - Ênfase1 9" xfId="4532" xr:uid="{00000000-0005-0000-0000-0000B20B0000}"/>
    <cellStyle name="20% - Ênfase2" xfId="669" xr:uid="{00000000-0005-0000-0000-0000B30B0000}"/>
    <cellStyle name="20% - Ênfase2 10" xfId="4533" xr:uid="{00000000-0005-0000-0000-0000B40B0000}"/>
    <cellStyle name="20% - Ênfase2 2" xfId="914" xr:uid="{00000000-0005-0000-0000-0000B50B0000}"/>
    <cellStyle name="20% - Ênfase2 2 2" xfId="4534" xr:uid="{00000000-0005-0000-0000-0000B60B0000}"/>
    <cellStyle name="20% - Ênfase2 3" xfId="1722" xr:uid="{00000000-0005-0000-0000-0000B70B0000}"/>
    <cellStyle name="20% - Ênfase2 3 2" xfId="4535" xr:uid="{00000000-0005-0000-0000-0000B80B0000}"/>
    <cellStyle name="20% - Ênfase2 4" xfId="4536" xr:uid="{00000000-0005-0000-0000-0000B90B0000}"/>
    <cellStyle name="20% - Ênfase2 4 2" xfId="4537" xr:uid="{00000000-0005-0000-0000-0000BA0B0000}"/>
    <cellStyle name="20% - Ênfase2 5" xfId="4538" xr:uid="{00000000-0005-0000-0000-0000BB0B0000}"/>
    <cellStyle name="20% - Ênfase2 6" xfId="4539" xr:uid="{00000000-0005-0000-0000-0000BC0B0000}"/>
    <cellStyle name="20% - Ênfase2 7" xfId="4540" xr:uid="{00000000-0005-0000-0000-0000BD0B0000}"/>
    <cellStyle name="20% - Ênfase2 8" xfId="4541" xr:uid="{00000000-0005-0000-0000-0000BE0B0000}"/>
    <cellStyle name="20% - Ênfase2 9" xfId="4542" xr:uid="{00000000-0005-0000-0000-0000BF0B0000}"/>
    <cellStyle name="20% - Ênfase3" xfId="670" xr:uid="{00000000-0005-0000-0000-0000C00B0000}"/>
    <cellStyle name="20% - Ênfase3 10" xfId="4543" xr:uid="{00000000-0005-0000-0000-0000C10B0000}"/>
    <cellStyle name="20% - Ênfase3 2" xfId="915" xr:uid="{00000000-0005-0000-0000-0000C20B0000}"/>
    <cellStyle name="20% - Ênfase3 2 2" xfId="4544" xr:uid="{00000000-0005-0000-0000-0000C30B0000}"/>
    <cellStyle name="20% - Ênfase3 3" xfId="1723" xr:uid="{00000000-0005-0000-0000-0000C40B0000}"/>
    <cellStyle name="20% - Ênfase3 3 2" xfId="4545" xr:uid="{00000000-0005-0000-0000-0000C50B0000}"/>
    <cellStyle name="20% - Ênfase3 4" xfId="4546" xr:uid="{00000000-0005-0000-0000-0000C60B0000}"/>
    <cellStyle name="20% - Ênfase3 4 2" xfId="4547" xr:uid="{00000000-0005-0000-0000-0000C70B0000}"/>
    <cellStyle name="20% - Ênfase3 5" xfId="4548" xr:uid="{00000000-0005-0000-0000-0000C80B0000}"/>
    <cellStyle name="20% - Ênfase3 6" xfId="4549" xr:uid="{00000000-0005-0000-0000-0000C90B0000}"/>
    <cellStyle name="20% - Ênfase3 7" xfId="4550" xr:uid="{00000000-0005-0000-0000-0000CA0B0000}"/>
    <cellStyle name="20% - Ênfase3 8" xfId="4551" xr:uid="{00000000-0005-0000-0000-0000CB0B0000}"/>
    <cellStyle name="20% - Ênfase3 9" xfId="4552" xr:uid="{00000000-0005-0000-0000-0000CC0B0000}"/>
    <cellStyle name="20% - Ênfase4" xfId="671" xr:uid="{00000000-0005-0000-0000-0000CD0B0000}"/>
    <cellStyle name="20% - Ênfase4 10" xfId="4553" xr:uid="{00000000-0005-0000-0000-0000CE0B0000}"/>
    <cellStyle name="20% - Ênfase4 2" xfId="916" xr:uid="{00000000-0005-0000-0000-0000CF0B0000}"/>
    <cellStyle name="20% - Ênfase4 2 2" xfId="4554" xr:uid="{00000000-0005-0000-0000-0000D00B0000}"/>
    <cellStyle name="20% - Ênfase4 3" xfId="1724" xr:uid="{00000000-0005-0000-0000-0000D10B0000}"/>
    <cellStyle name="20% - Ênfase4 3 2" xfId="4555" xr:uid="{00000000-0005-0000-0000-0000D20B0000}"/>
    <cellStyle name="20% - Ênfase4 4" xfId="4556" xr:uid="{00000000-0005-0000-0000-0000D30B0000}"/>
    <cellStyle name="20% - Ênfase4 4 2" xfId="4557" xr:uid="{00000000-0005-0000-0000-0000D40B0000}"/>
    <cellStyle name="20% - Ênfase4 5" xfId="4558" xr:uid="{00000000-0005-0000-0000-0000D50B0000}"/>
    <cellStyle name="20% - Ênfase4 6" xfId="4559" xr:uid="{00000000-0005-0000-0000-0000D60B0000}"/>
    <cellStyle name="20% - Ênfase4 7" xfId="4560" xr:uid="{00000000-0005-0000-0000-0000D70B0000}"/>
    <cellStyle name="20% - Ênfase4 8" xfId="4561" xr:uid="{00000000-0005-0000-0000-0000D80B0000}"/>
    <cellStyle name="20% - Ênfase4 9" xfId="4562" xr:uid="{00000000-0005-0000-0000-0000D90B0000}"/>
    <cellStyle name="20% - Ênfase5" xfId="672" xr:uid="{00000000-0005-0000-0000-0000DA0B0000}"/>
    <cellStyle name="20% - Ênfase5 10" xfId="4563" xr:uid="{00000000-0005-0000-0000-0000DB0B0000}"/>
    <cellStyle name="20% - Ênfase5 2" xfId="917" xr:uid="{00000000-0005-0000-0000-0000DC0B0000}"/>
    <cellStyle name="20% - Ênfase5 2 2" xfId="4564" xr:uid="{00000000-0005-0000-0000-0000DD0B0000}"/>
    <cellStyle name="20% - Ênfase5 3" xfId="1725" xr:uid="{00000000-0005-0000-0000-0000DE0B0000}"/>
    <cellStyle name="20% - Ênfase5 3 2" xfId="4565" xr:uid="{00000000-0005-0000-0000-0000DF0B0000}"/>
    <cellStyle name="20% - Ênfase5 4" xfId="4566" xr:uid="{00000000-0005-0000-0000-0000E00B0000}"/>
    <cellStyle name="20% - Ênfase5 4 2" xfId="4567" xr:uid="{00000000-0005-0000-0000-0000E10B0000}"/>
    <cellStyle name="20% - Ênfase5 5" xfId="4568" xr:uid="{00000000-0005-0000-0000-0000E20B0000}"/>
    <cellStyle name="20% - Ênfase5 6" xfId="4569" xr:uid="{00000000-0005-0000-0000-0000E30B0000}"/>
    <cellStyle name="20% - Ênfase5 7" xfId="4570" xr:uid="{00000000-0005-0000-0000-0000E40B0000}"/>
    <cellStyle name="20% - Ênfase5 8" xfId="4571" xr:uid="{00000000-0005-0000-0000-0000E50B0000}"/>
    <cellStyle name="20% - Ênfase5 9" xfId="4572" xr:uid="{00000000-0005-0000-0000-0000E60B0000}"/>
    <cellStyle name="20% - Ênfase6" xfId="673" xr:uid="{00000000-0005-0000-0000-0000E70B0000}"/>
    <cellStyle name="20% - Ênfase6 10" xfId="4573" xr:uid="{00000000-0005-0000-0000-0000E80B0000}"/>
    <cellStyle name="20% - Ênfase6 2" xfId="918" xr:uid="{00000000-0005-0000-0000-0000E90B0000}"/>
    <cellStyle name="20% - Ênfase6 2 2" xfId="4574" xr:uid="{00000000-0005-0000-0000-0000EA0B0000}"/>
    <cellStyle name="20% - Ênfase6 3" xfId="1726" xr:uid="{00000000-0005-0000-0000-0000EB0B0000}"/>
    <cellStyle name="20% - Ênfase6 3 2" xfId="4575" xr:uid="{00000000-0005-0000-0000-0000EC0B0000}"/>
    <cellStyle name="20% - Ênfase6 4" xfId="4576" xr:uid="{00000000-0005-0000-0000-0000ED0B0000}"/>
    <cellStyle name="20% - Ênfase6 4 2" xfId="4577" xr:uid="{00000000-0005-0000-0000-0000EE0B0000}"/>
    <cellStyle name="20% - Ênfase6 5" xfId="4578" xr:uid="{00000000-0005-0000-0000-0000EF0B0000}"/>
    <cellStyle name="20% - Ênfase6 6" xfId="4579" xr:uid="{00000000-0005-0000-0000-0000F00B0000}"/>
    <cellStyle name="20% - Ênfase6 7" xfId="4580" xr:uid="{00000000-0005-0000-0000-0000F10B0000}"/>
    <cellStyle name="20% - Ênfase6 8" xfId="4581" xr:uid="{00000000-0005-0000-0000-0000F20B0000}"/>
    <cellStyle name="20% - Ênfase6 9" xfId="4582" xr:uid="{00000000-0005-0000-0000-0000F30B0000}"/>
    <cellStyle name="20% - Énfasis1" xfId="919" xr:uid="{00000000-0005-0000-0000-0000F40B0000}"/>
    <cellStyle name="20% - Énfasis1 10" xfId="4583" xr:uid="{00000000-0005-0000-0000-0000F50B0000}"/>
    <cellStyle name="20% - Énfasis1 11" xfId="4584" xr:uid="{00000000-0005-0000-0000-0000F60B0000}"/>
    <cellStyle name="20% - Énfasis1 12" xfId="4585" xr:uid="{00000000-0005-0000-0000-0000F70B0000}"/>
    <cellStyle name="20% - Énfasis1 13" xfId="4586" xr:uid="{00000000-0005-0000-0000-0000F80B0000}"/>
    <cellStyle name="20% - Énfasis1 14" xfId="4587" xr:uid="{00000000-0005-0000-0000-0000F90B0000}"/>
    <cellStyle name="20% - Énfasis1 15" xfId="4588" xr:uid="{00000000-0005-0000-0000-0000FA0B0000}"/>
    <cellStyle name="20% - Énfasis1 16" xfId="4589" xr:uid="{00000000-0005-0000-0000-0000FB0B0000}"/>
    <cellStyle name="20% - Énfasis1 17" xfId="4590" xr:uid="{00000000-0005-0000-0000-0000FC0B0000}"/>
    <cellStyle name="20% - Énfasis1 18" xfId="4591" xr:uid="{00000000-0005-0000-0000-0000FD0B0000}"/>
    <cellStyle name="20% - Énfasis1 19" xfId="4592" xr:uid="{00000000-0005-0000-0000-0000FE0B0000}"/>
    <cellStyle name="20% - Énfasis1 2" xfId="4593" xr:uid="{00000000-0005-0000-0000-0000FF0B0000}"/>
    <cellStyle name="20% - Énfasis1 2 2" xfId="4594" xr:uid="{00000000-0005-0000-0000-0000000C0000}"/>
    <cellStyle name="20% - Énfasis1 20" xfId="4595" xr:uid="{00000000-0005-0000-0000-0000010C0000}"/>
    <cellStyle name="20% - Énfasis1 21" xfId="4596" xr:uid="{00000000-0005-0000-0000-0000020C0000}"/>
    <cellStyle name="20% - Énfasis1 22" xfId="4597" xr:uid="{00000000-0005-0000-0000-0000030C0000}"/>
    <cellStyle name="20% - Énfasis1 23" xfId="4598" xr:uid="{00000000-0005-0000-0000-0000040C0000}"/>
    <cellStyle name="20% - Énfasis1 24" xfId="4599" xr:uid="{00000000-0005-0000-0000-0000050C0000}"/>
    <cellStyle name="20% - Énfasis1 25" xfId="4600" xr:uid="{00000000-0005-0000-0000-0000060C0000}"/>
    <cellStyle name="20% - Énfasis1 3" xfId="4601" xr:uid="{00000000-0005-0000-0000-0000070C0000}"/>
    <cellStyle name="20% - Énfasis1 3 2" xfId="4602" xr:uid="{00000000-0005-0000-0000-0000080C0000}"/>
    <cellStyle name="20% - Énfasis1 4" xfId="4603" xr:uid="{00000000-0005-0000-0000-0000090C0000}"/>
    <cellStyle name="20% - Énfasis1 5" xfId="4604" xr:uid="{00000000-0005-0000-0000-00000A0C0000}"/>
    <cellStyle name="20% - Énfasis1 6" xfId="4605" xr:uid="{00000000-0005-0000-0000-00000B0C0000}"/>
    <cellStyle name="20% - Énfasis1 7" xfId="4606" xr:uid="{00000000-0005-0000-0000-00000C0C0000}"/>
    <cellStyle name="20% - Énfasis1 8" xfId="4607" xr:uid="{00000000-0005-0000-0000-00000D0C0000}"/>
    <cellStyle name="20% - Énfasis1 9" xfId="4608" xr:uid="{00000000-0005-0000-0000-00000E0C0000}"/>
    <cellStyle name="20% - Énfasis2" xfId="920" xr:uid="{00000000-0005-0000-0000-00000F0C0000}"/>
    <cellStyle name="20% - Énfasis2 10" xfId="4609" xr:uid="{00000000-0005-0000-0000-0000100C0000}"/>
    <cellStyle name="20% - Énfasis2 11" xfId="4610" xr:uid="{00000000-0005-0000-0000-0000110C0000}"/>
    <cellStyle name="20% - Énfasis2 12" xfId="4611" xr:uid="{00000000-0005-0000-0000-0000120C0000}"/>
    <cellStyle name="20% - Énfasis2 13" xfId="4612" xr:uid="{00000000-0005-0000-0000-0000130C0000}"/>
    <cellStyle name="20% - Énfasis2 14" xfId="4613" xr:uid="{00000000-0005-0000-0000-0000140C0000}"/>
    <cellStyle name="20% - Énfasis2 15" xfId="4614" xr:uid="{00000000-0005-0000-0000-0000150C0000}"/>
    <cellStyle name="20% - Énfasis2 16" xfId="4615" xr:uid="{00000000-0005-0000-0000-0000160C0000}"/>
    <cellStyle name="20% - Énfasis2 17" xfId="4616" xr:uid="{00000000-0005-0000-0000-0000170C0000}"/>
    <cellStyle name="20% - Énfasis2 18" xfId="4617" xr:uid="{00000000-0005-0000-0000-0000180C0000}"/>
    <cellStyle name="20% - Énfasis2 19" xfId="4618" xr:uid="{00000000-0005-0000-0000-0000190C0000}"/>
    <cellStyle name="20% - Énfasis2 2" xfId="4619" xr:uid="{00000000-0005-0000-0000-00001A0C0000}"/>
    <cellStyle name="20% - Énfasis2 2 2" xfId="4620" xr:uid="{00000000-0005-0000-0000-00001B0C0000}"/>
    <cellStyle name="20% - Énfasis2 20" xfId="4621" xr:uid="{00000000-0005-0000-0000-00001C0C0000}"/>
    <cellStyle name="20% - Énfasis2 21" xfId="4622" xr:uid="{00000000-0005-0000-0000-00001D0C0000}"/>
    <cellStyle name="20% - Énfasis2 22" xfId="4623" xr:uid="{00000000-0005-0000-0000-00001E0C0000}"/>
    <cellStyle name="20% - Énfasis2 23" xfId="4624" xr:uid="{00000000-0005-0000-0000-00001F0C0000}"/>
    <cellStyle name="20% - Énfasis2 24" xfId="4625" xr:uid="{00000000-0005-0000-0000-0000200C0000}"/>
    <cellStyle name="20% - Énfasis2 25" xfId="4626" xr:uid="{00000000-0005-0000-0000-0000210C0000}"/>
    <cellStyle name="20% - Énfasis2 3" xfId="4627" xr:uid="{00000000-0005-0000-0000-0000220C0000}"/>
    <cellStyle name="20% - Énfasis2 3 2" xfId="4628" xr:uid="{00000000-0005-0000-0000-0000230C0000}"/>
    <cellStyle name="20% - Énfasis2 4" xfId="4629" xr:uid="{00000000-0005-0000-0000-0000240C0000}"/>
    <cellStyle name="20% - Énfasis2 5" xfId="4630" xr:uid="{00000000-0005-0000-0000-0000250C0000}"/>
    <cellStyle name="20% - Énfasis2 6" xfId="4631" xr:uid="{00000000-0005-0000-0000-0000260C0000}"/>
    <cellStyle name="20% - Énfasis2 7" xfId="4632" xr:uid="{00000000-0005-0000-0000-0000270C0000}"/>
    <cellStyle name="20% - Énfasis2 8" xfId="4633" xr:uid="{00000000-0005-0000-0000-0000280C0000}"/>
    <cellStyle name="20% - Énfasis2 9" xfId="4634" xr:uid="{00000000-0005-0000-0000-0000290C0000}"/>
    <cellStyle name="20% - Énfasis3" xfId="921" xr:uid="{00000000-0005-0000-0000-00002A0C0000}"/>
    <cellStyle name="20% - Énfasis3 10" xfId="4635" xr:uid="{00000000-0005-0000-0000-00002B0C0000}"/>
    <cellStyle name="20% - Énfasis3 11" xfId="4636" xr:uid="{00000000-0005-0000-0000-00002C0C0000}"/>
    <cellStyle name="20% - Énfasis3 12" xfId="4637" xr:uid="{00000000-0005-0000-0000-00002D0C0000}"/>
    <cellStyle name="20% - Énfasis3 13" xfId="4638" xr:uid="{00000000-0005-0000-0000-00002E0C0000}"/>
    <cellStyle name="20% - Énfasis3 14" xfId="4639" xr:uid="{00000000-0005-0000-0000-00002F0C0000}"/>
    <cellStyle name="20% - Énfasis3 15" xfId="4640" xr:uid="{00000000-0005-0000-0000-0000300C0000}"/>
    <cellStyle name="20% - Énfasis3 16" xfId="4641" xr:uid="{00000000-0005-0000-0000-0000310C0000}"/>
    <cellStyle name="20% - Énfasis3 17" xfId="4642" xr:uid="{00000000-0005-0000-0000-0000320C0000}"/>
    <cellStyle name="20% - Énfasis3 18" xfId="4643" xr:uid="{00000000-0005-0000-0000-0000330C0000}"/>
    <cellStyle name="20% - Énfasis3 19" xfId="4644" xr:uid="{00000000-0005-0000-0000-0000340C0000}"/>
    <cellStyle name="20% - Énfasis3 2" xfId="4645" xr:uid="{00000000-0005-0000-0000-0000350C0000}"/>
    <cellStyle name="20% - Énfasis3 2 2" xfId="4646" xr:uid="{00000000-0005-0000-0000-0000360C0000}"/>
    <cellStyle name="20% - Énfasis3 20" xfId="4647" xr:uid="{00000000-0005-0000-0000-0000370C0000}"/>
    <cellStyle name="20% - Énfasis3 21" xfId="4648" xr:uid="{00000000-0005-0000-0000-0000380C0000}"/>
    <cellStyle name="20% - Énfasis3 22" xfId="4649" xr:uid="{00000000-0005-0000-0000-0000390C0000}"/>
    <cellStyle name="20% - Énfasis3 23" xfId="4650" xr:uid="{00000000-0005-0000-0000-00003A0C0000}"/>
    <cellStyle name="20% - Énfasis3 24" xfId="4651" xr:uid="{00000000-0005-0000-0000-00003B0C0000}"/>
    <cellStyle name="20% - Énfasis3 25" xfId="4652" xr:uid="{00000000-0005-0000-0000-00003C0C0000}"/>
    <cellStyle name="20% - Énfasis3 3" xfId="4653" xr:uid="{00000000-0005-0000-0000-00003D0C0000}"/>
    <cellStyle name="20% - Énfasis3 3 2" xfId="4654" xr:uid="{00000000-0005-0000-0000-00003E0C0000}"/>
    <cellStyle name="20% - Énfasis3 4" xfId="4655" xr:uid="{00000000-0005-0000-0000-00003F0C0000}"/>
    <cellStyle name="20% - Énfasis3 5" xfId="4656" xr:uid="{00000000-0005-0000-0000-0000400C0000}"/>
    <cellStyle name="20% - Énfasis3 6" xfId="4657" xr:uid="{00000000-0005-0000-0000-0000410C0000}"/>
    <cellStyle name="20% - Énfasis3 7" xfId="4658" xr:uid="{00000000-0005-0000-0000-0000420C0000}"/>
    <cellStyle name="20% - Énfasis3 8" xfId="4659" xr:uid="{00000000-0005-0000-0000-0000430C0000}"/>
    <cellStyle name="20% - Énfasis3 9" xfId="4660" xr:uid="{00000000-0005-0000-0000-0000440C0000}"/>
    <cellStyle name="20% - Énfasis4" xfId="922" xr:uid="{00000000-0005-0000-0000-0000450C0000}"/>
    <cellStyle name="20% - Énfasis4 10" xfId="4661" xr:uid="{00000000-0005-0000-0000-0000460C0000}"/>
    <cellStyle name="20% - Énfasis4 11" xfId="4662" xr:uid="{00000000-0005-0000-0000-0000470C0000}"/>
    <cellStyle name="20% - Énfasis4 12" xfId="4663" xr:uid="{00000000-0005-0000-0000-0000480C0000}"/>
    <cellStyle name="20% - Énfasis4 13" xfId="4664" xr:uid="{00000000-0005-0000-0000-0000490C0000}"/>
    <cellStyle name="20% - Énfasis4 14" xfId="4665" xr:uid="{00000000-0005-0000-0000-00004A0C0000}"/>
    <cellStyle name="20% - Énfasis4 15" xfId="4666" xr:uid="{00000000-0005-0000-0000-00004B0C0000}"/>
    <cellStyle name="20% - Énfasis4 16" xfId="4667" xr:uid="{00000000-0005-0000-0000-00004C0C0000}"/>
    <cellStyle name="20% - Énfasis4 17" xfId="4668" xr:uid="{00000000-0005-0000-0000-00004D0C0000}"/>
    <cellStyle name="20% - Énfasis4 18" xfId="4669" xr:uid="{00000000-0005-0000-0000-00004E0C0000}"/>
    <cellStyle name="20% - Énfasis4 19" xfId="4670" xr:uid="{00000000-0005-0000-0000-00004F0C0000}"/>
    <cellStyle name="20% - Énfasis4 2" xfId="4671" xr:uid="{00000000-0005-0000-0000-0000500C0000}"/>
    <cellStyle name="20% - Énfasis4 2 2" xfId="4672" xr:uid="{00000000-0005-0000-0000-0000510C0000}"/>
    <cellStyle name="20% - Énfasis4 20" xfId="4673" xr:uid="{00000000-0005-0000-0000-0000520C0000}"/>
    <cellStyle name="20% - Énfasis4 21" xfId="4674" xr:uid="{00000000-0005-0000-0000-0000530C0000}"/>
    <cellStyle name="20% - Énfasis4 22" xfId="4675" xr:uid="{00000000-0005-0000-0000-0000540C0000}"/>
    <cellStyle name="20% - Énfasis4 23" xfId="4676" xr:uid="{00000000-0005-0000-0000-0000550C0000}"/>
    <cellStyle name="20% - Énfasis4 24" xfId="4677" xr:uid="{00000000-0005-0000-0000-0000560C0000}"/>
    <cellStyle name="20% - Énfasis4 25" xfId="4678" xr:uid="{00000000-0005-0000-0000-0000570C0000}"/>
    <cellStyle name="20% - Énfasis4 3" xfId="4679" xr:uid="{00000000-0005-0000-0000-0000580C0000}"/>
    <cellStyle name="20% - Énfasis4 3 2" xfId="4680" xr:uid="{00000000-0005-0000-0000-0000590C0000}"/>
    <cellStyle name="20% - Énfasis4 4" xfId="4681" xr:uid="{00000000-0005-0000-0000-00005A0C0000}"/>
    <cellStyle name="20% - Énfasis4 5" xfId="4682" xr:uid="{00000000-0005-0000-0000-00005B0C0000}"/>
    <cellStyle name="20% - Énfasis4 6" xfId="4683" xr:uid="{00000000-0005-0000-0000-00005C0C0000}"/>
    <cellStyle name="20% - Énfasis4 7" xfId="4684" xr:uid="{00000000-0005-0000-0000-00005D0C0000}"/>
    <cellStyle name="20% - Énfasis4 8" xfId="4685" xr:uid="{00000000-0005-0000-0000-00005E0C0000}"/>
    <cellStyle name="20% - Énfasis4 9" xfId="4686" xr:uid="{00000000-0005-0000-0000-00005F0C0000}"/>
    <cellStyle name="20% - Énfasis5" xfId="923" xr:uid="{00000000-0005-0000-0000-0000600C0000}"/>
    <cellStyle name="20% - Énfasis5 10" xfId="4687" xr:uid="{00000000-0005-0000-0000-0000610C0000}"/>
    <cellStyle name="20% - Énfasis5 11" xfId="4688" xr:uid="{00000000-0005-0000-0000-0000620C0000}"/>
    <cellStyle name="20% - Énfasis5 12" xfId="4689" xr:uid="{00000000-0005-0000-0000-0000630C0000}"/>
    <cellStyle name="20% - Énfasis5 13" xfId="4690" xr:uid="{00000000-0005-0000-0000-0000640C0000}"/>
    <cellStyle name="20% - Énfasis5 14" xfId="4691" xr:uid="{00000000-0005-0000-0000-0000650C0000}"/>
    <cellStyle name="20% - Énfasis5 15" xfId="4692" xr:uid="{00000000-0005-0000-0000-0000660C0000}"/>
    <cellStyle name="20% - Énfasis5 16" xfId="4693" xr:uid="{00000000-0005-0000-0000-0000670C0000}"/>
    <cellStyle name="20% - Énfasis5 17" xfId="4694" xr:uid="{00000000-0005-0000-0000-0000680C0000}"/>
    <cellStyle name="20% - Énfasis5 18" xfId="4695" xr:uid="{00000000-0005-0000-0000-0000690C0000}"/>
    <cellStyle name="20% - Énfasis5 19" xfId="4696" xr:uid="{00000000-0005-0000-0000-00006A0C0000}"/>
    <cellStyle name="20% - Énfasis5 2" xfId="4697" xr:uid="{00000000-0005-0000-0000-00006B0C0000}"/>
    <cellStyle name="20% - Énfasis5 2 2" xfId="4698" xr:uid="{00000000-0005-0000-0000-00006C0C0000}"/>
    <cellStyle name="20% - Énfasis5 20" xfId="4699" xr:uid="{00000000-0005-0000-0000-00006D0C0000}"/>
    <cellStyle name="20% - Énfasis5 21" xfId="4700" xr:uid="{00000000-0005-0000-0000-00006E0C0000}"/>
    <cellStyle name="20% - Énfasis5 22" xfId="4701" xr:uid="{00000000-0005-0000-0000-00006F0C0000}"/>
    <cellStyle name="20% - Énfasis5 23" xfId="4702" xr:uid="{00000000-0005-0000-0000-0000700C0000}"/>
    <cellStyle name="20% - Énfasis5 24" xfId="4703" xr:uid="{00000000-0005-0000-0000-0000710C0000}"/>
    <cellStyle name="20% - Énfasis5 25" xfId="4704" xr:uid="{00000000-0005-0000-0000-0000720C0000}"/>
    <cellStyle name="20% - Énfasis5 3" xfId="4705" xr:uid="{00000000-0005-0000-0000-0000730C0000}"/>
    <cellStyle name="20% - Énfasis5 3 2" xfId="4706" xr:uid="{00000000-0005-0000-0000-0000740C0000}"/>
    <cellStyle name="20% - Énfasis5 4" xfId="4707" xr:uid="{00000000-0005-0000-0000-0000750C0000}"/>
    <cellStyle name="20% - Énfasis5 5" xfId="4708" xr:uid="{00000000-0005-0000-0000-0000760C0000}"/>
    <cellStyle name="20% - Énfasis5 6" xfId="4709" xr:uid="{00000000-0005-0000-0000-0000770C0000}"/>
    <cellStyle name="20% - Énfasis5 7" xfId="4710" xr:uid="{00000000-0005-0000-0000-0000780C0000}"/>
    <cellStyle name="20% - Énfasis5 8" xfId="4711" xr:uid="{00000000-0005-0000-0000-0000790C0000}"/>
    <cellStyle name="20% - Énfasis5 9" xfId="4712" xr:uid="{00000000-0005-0000-0000-00007A0C0000}"/>
    <cellStyle name="20% - Énfasis6" xfId="924" xr:uid="{00000000-0005-0000-0000-00007B0C0000}"/>
    <cellStyle name="20% - Énfasis6 10" xfId="4713" xr:uid="{00000000-0005-0000-0000-00007C0C0000}"/>
    <cellStyle name="20% - Énfasis6 11" xfId="4714" xr:uid="{00000000-0005-0000-0000-00007D0C0000}"/>
    <cellStyle name="20% - Énfasis6 12" xfId="4715" xr:uid="{00000000-0005-0000-0000-00007E0C0000}"/>
    <cellStyle name="20% - Énfasis6 13" xfId="4716" xr:uid="{00000000-0005-0000-0000-00007F0C0000}"/>
    <cellStyle name="20% - Énfasis6 14" xfId="4717" xr:uid="{00000000-0005-0000-0000-0000800C0000}"/>
    <cellStyle name="20% - Énfasis6 15" xfId="4718" xr:uid="{00000000-0005-0000-0000-0000810C0000}"/>
    <cellStyle name="20% - Énfasis6 16" xfId="4719" xr:uid="{00000000-0005-0000-0000-0000820C0000}"/>
    <cellStyle name="20% - Énfasis6 17" xfId="4720" xr:uid="{00000000-0005-0000-0000-0000830C0000}"/>
    <cellStyle name="20% - Énfasis6 18" xfId="4721" xr:uid="{00000000-0005-0000-0000-0000840C0000}"/>
    <cellStyle name="20% - Énfasis6 19" xfId="4722" xr:uid="{00000000-0005-0000-0000-0000850C0000}"/>
    <cellStyle name="20% - Énfasis6 2" xfId="4723" xr:uid="{00000000-0005-0000-0000-0000860C0000}"/>
    <cellStyle name="20% - Énfasis6 2 2" xfId="4724" xr:uid="{00000000-0005-0000-0000-0000870C0000}"/>
    <cellStyle name="20% - Énfasis6 20" xfId="4725" xr:uid="{00000000-0005-0000-0000-0000880C0000}"/>
    <cellStyle name="20% - Énfasis6 21" xfId="4726" xr:uid="{00000000-0005-0000-0000-0000890C0000}"/>
    <cellStyle name="20% - Énfasis6 22" xfId="4727" xr:uid="{00000000-0005-0000-0000-00008A0C0000}"/>
    <cellStyle name="20% - Énfasis6 23" xfId="4728" xr:uid="{00000000-0005-0000-0000-00008B0C0000}"/>
    <cellStyle name="20% - Énfasis6 24" xfId="4729" xr:uid="{00000000-0005-0000-0000-00008C0C0000}"/>
    <cellStyle name="20% - Énfasis6 25" xfId="4730" xr:uid="{00000000-0005-0000-0000-00008D0C0000}"/>
    <cellStyle name="20% - Énfasis6 3" xfId="4731" xr:uid="{00000000-0005-0000-0000-00008E0C0000}"/>
    <cellStyle name="20% - Énfasis6 3 2" xfId="4732" xr:uid="{00000000-0005-0000-0000-00008F0C0000}"/>
    <cellStyle name="20% - Énfasis6 4" xfId="4733" xr:uid="{00000000-0005-0000-0000-0000900C0000}"/>
    <cellStyle name="20% - Énfasis6 5" xfId="4734" xr:uid="{00000000-0005-0000-0000-0000910C0000}"/>
    <cellStyle name="20% - Énfasis6 6" xfId="4735" xr:uid="{00000000-0005-0000-0000-0000920C0000}"/>
    <cellStyle name="20% - Énfasis6 7" xfId="4736" xr:uid="{00000000-0005-0000-0000-0000930C0000}"/>
    <cellStyle name="20% - Énfasis6 8" xfId="4737" xr:uid="{00000000-0005-0000-0000-0000940C0000}"/>
    <cellStyle name="20% - Énfasis6 9" xfId="4738" xr:uid="{00000000-0005-0000-0000-0000950C0000}"/>
    <cellStyle name="2o.nível" xfId="674" xr:uid="{00000000-0005-0000-0000-0000960C0000}"/>
    <cellStyle name="40% - Accent1" xfId="675" xr:uid="{00000000-0005-0000-0000-0000970C0000}"/>
    <cellStyle name="40% - Accent1 2" xfId="4739" xr:uid="{00000000-0005-0000-0000-0000980C0000}"/>
    <cellStyle name="40% - Accent2" xfId="676" xr:uid="{00000000-0005-0000-0000-0000990C0000}"/>
    <cellStyle name="40% - Accent2 2" xfId="4740" xr:uid="{00000000-0005-0000-0000-00009A0C0000}"/>
    <cellStyle name="40% - Accent3" xfId="677" xr:uid="{00000000-0005-0000-0000-00009B0C0000}"/>
    <cellStyle name="40% - Accent3 2" xfId="4741" xr:uid="{00000000-0005-0000-0000-00009C0C0000}"/>
    <cellStyle name="40% - Accent4" xfId="678" xr:uid="{00000000-0005-0000-0000-00009D0C0000}"/>
    <cellStyle name="40% - Accent4 2" xfId="4742" xr:uid="{00000000-0005-0000-0000-00009E0C0000}"/>
    <cellStyle name="40% - Accent5" xfId="679" xr:uid="{00000000-0005-0000-0000-00009F0C0000}"/>
    <cellStyle name="40% - Accent5 2" xfId="4743" xr:uid="{00000000-0005-0000-0000-0000A00C0000}"/>
    <cellStyle name="40% - Accent6" xfId="680" xr:uid="{00000000-0005-0000-0000-0000A10C0000}"/>
    <cellStyle name="40% - Accent6 2" xfId="4744" xr:uid="{00000000-0005-0000-0000-0000A20C0000}"/>
    <cellStyle name="40% - Ênfase1" xfId="681" xr:uid="{00000000-0005-0000-0000-0000A30C0000}"/>
    <cellStyle name="40% - Ênfase1 10" xfId="4745" xr:uid="{00000000-0005-0000-0000-0000A40C0000}"/>
    <cellStyle name="40% - Ênfase1 2" xfId="925" xr:uid="{00000000-0005-0000-0000-0000A50C0000}"/>
    <cellStyle name="40% - Ênfase1 2 2" xfId="4746" xr:uid="{00000000-0005-0000-0000-0000A60C0000}"/>
    <cellStyle name="40% - Ênfase1 3" xfId="1727" xr:uid="{00000000-0005-0000-0000-0000A70C0000}"/>
    <cellStyle name="40% - Ênfase1 3 2" xfId="4747" xr:uid="{00000000-0005-0000-0000-0000A80C0000}"/>
    <cellStyle name="40% - Ênfase1 4" xfId="4748" xr:uid="{00000000-0005-0000-0000-0000A90C0000}"/>
    <cellStyle name="40% - Ênfase1 4 2" xfId="4749" xr:uid="{00000000-0005-0000-0000-0000AA0C0000}"/>
    <cellStyle name="40% - Ênfase1 5" xfId="4750" xr:uid="{00000000-0005-0000-0000-0000AB0C0000}"/>
    <cellStyle name="40% - Ênfase1 6" xfId="4751" xr:uid="{00000000-0005-0000-0000-0000AC0C0000}"/>
    <cellStyle name="40% - Ênfase1 7" xfId="4752" xr:uid="{00000000-0005-0000-0000-0000AD0C0000}"/>
    <cellStyle name="40% - Ênfase1 8" xfId="4753" xr:uid="{00000000-0005-0000-0000-0000AE0C0000}"/>
    <cellStyle name="40% - Ênfase1 9" xfId="4754" xr:uid="{00000000-0005-0000-0000-0000AF0C0000}"/>
    <cellStyle name="40% - Ênfase2" xfId="682" xr:uid="{00000000-0005-0000-0000-0000B00C0000}"/>
    <cellStyle name="40% - Ênfase2 10" xfId="4755" xr:uid="{00000000-0005-0000-0000-0000B10C0000}"/>
    <cellStyle name="40% - Ênfase2 2" xfId="926" xr:uid="{00000000-0005-0000-0000-0000B20C0000}"/>
    <cellStyle name="40% - Ênfase2 2 2" xfId="4756" xr:uid="{00000000-0005-0000-0000-0000B30C0000}"/>
    <cellStyle name="40% - Ênfase2 3" xfId="1728" xr:uid="{00000000-0005-0000-0000-0000B40C0000}"/>
    <cellStyle name="40% - Ênfase2 3 2" xfId="4757" xr:uid="{00000000-0005-0000-0000-0000B50C0000}"/>
    <cellStyle name="40% - Ênfase2 4" xfId="4758" xr:uid="{00000000-0005-0000-0000-0000B60C0000}"/>
    <cellStyle name="40% - Ênfase2 4 2" xfId="4759" xr:uid="{00000000-0005-0000-0000-0000B70C0000}"/>
    <cellStyle name="40% - Ênfase2 5" xfId="4760" xr:uid="{00000000-0005-0000-0000-0000B80C0000}"/>
    <cellStyle name="40% - Ênfase2 6" xfId="4761" xr:uid="{00000000-0005-0000-0000-0000B90C0000}"/>
    <cellStyle name="40% - Ênfase2 7" xfId="4762" xr:uid="{00000000-0005-0000-0000-0000BA0C0000}"/>
    <cellStyle name="40% - Ênfase2 8" xfId="4763" xr:uid="{00000000-0005-0000-0000-0000BB0C0000}"/>
    <cellStyle name="40% - Ênfase2 9" xfId="4764" xr:uid="{00000000-0005-0000-0000-0000BC0C0000}"/>
    <cellStyle name="40% - Ênfase3" xfId="683" xr:uid="{00000000-0005-0000-0000-0000BD0C0000}"/>
    <cellStyle name="40% - Ênfase3 10" xfId="4765" xr:uid="{00000000-0005-0000-0000-0000BE0C0000}"/>
    <cellStyle name="40% - Ênfase3 2" xfId="927" xr:uid="{00000000-0005-0000-0000-0000BF0C0000}"/>
    <cellStyle name="40% - Ênfase3 2 2" xfId="4766" xr:uid="{00000000-0005-0000-0000-0000C00C0000}"/>
    <cellStyle name="40% - Ênfase3 3" xfId="1729" xr:uid="{00000000-0005-0000-0000-0000C10C0000}"/>
    <cellStyle name="40% - Ênfase3 3 2" xfId="4767" xr:uid="{00000000-0005-0000-0000-0000C20C0000}"/>
    <cellStyle name="40% - Ênfase3 4" xfId="4768" xr:uid="{00000000-0005-0000-0000-0000C30C0000}"/>
    <cellStyle name="40% - Ênfase3 4 2" xfId="4769" xr:uid="{00000000-0005-0000-0000-0000C40C0000}"/>
    <cellStyle name="40% - Ênfase3 5" xfId="4770" xr:uid="{00000000-0005-0000-0000-0000C50C0000}"/>
    <cellStyle name="40% - Ênfase3 6" xfId="4771" xr:uid="{00000000-0005-0000-0000-0000C60C0000}"/>
    <cellStyle name="40% - Ênfase3 7" xfId="4772" xr:uid="{00000000-0005-0000-0000-0000C70C0000}"/>
    <cellStyle name="40% - Ênfase3 8" xfId="4773" xr:uid="{00000000-0005-0000-0000-0000C80C0000}"/>
    <cellStyle name="40% - Ênfase3 9" xfId="4774" xr:uid="{00000000-0005-0000-0000-0000C90C0000}"/>
    <cellStyle name="40% - Ênfase4" xfId="684" xr:uid="{00000000-0005-0000-0000-0000CA0C0000}"/>
    <cellStyle name="40% - Ênfase4 10" xfId="4775" xr:uid="{00000000-0005-0000-0000-0000CB0C0000}"/>
    <cellStyle name="40% - Ênfase4 2" xfId="928" xr:uid="{00000000-0005-0000-0000-0000CC0C0000}"/>
    <cellStyle name="40% - Ênfase4 2 2" xfId="4776" xr:uid="{00000000-0005-0000-0000-0000CD0C0000}"/>
    <cellStyle name="40% - Ênfase4 3" xfId="1730" xr:uid="{00000000-0005-0000-0000-0000CE0C0000}"/>
    <cellStyle name="40% - Ênfase4 3 2" xfId="4777" xr:uid="{00000000-0005-0000-0000-0000CF0C0000}"/>
    <cellStyle name="40% - Ênfase4 4" xfId="4778" xr:uid="{00000000-0005-0000-0000-0000D00C0000}"/>
    <cellStyle name="40% - Ênfase4 4 2" xfId="4779" xr:uid="{00000000-0005-0000-0000-0000D10C0000}"/>
    <cellStyle name="40% - Ênfase4 5" xfId="4780" xr:uid="{00000000-0005-0000-0000-0000D20C0000}"/>
    <cellStyle name="40% - Ênfase4 6" xfId="4781" xr:uid="{00000000-0005-0000-0000-0000D30C0000}"/>
    <cellStyle name="40% - Ênfase4 7" xfId="4782" xr:uid="{00000000-0005-0000-0000-0000D40C0000}"/>
    <cellStyle name="40% - Ênfase4 8" xfId="4783" xr:uid="{00000000-0005-0000-0000-0000D50C0000}"/>
    <cellStyle name="40% - Ênfase4 9" xfId="4784" xr:uid="{00000000-0005-0000-0000-0000D60C0000}"/>
    <cellStyle name="40% - Ênfase5" xfId="685" xr:uid="{00000000-0005-0000-0000-0000D70C0000}"/>
    <cellStyle name="40% - Ênfase5 10" xfId="4785" xr:uid="{00000000-0005-0000-0000-0000D80C0000}"/>
    <cellStyle name="40% - Ênfase5 2" xfId="929" xr:uid="{00000000-0005-0000-0000-0000D90C0000}"/>
    <cellStyle name="40% - Ênfase5 2 2" xfId="4786" xr:uid="{00000000-0005-0000-0000-0000DA0C0000}"/>
    <cellStyle name="40% - Ênfase5 3" xfId="1731" xr:uid="{00000000-0005-0000-0000-0000DB0C0000}"/>
    <cellStyle name="40% - Ênfase5 3 2" xfId="4787" xr:uid="{00000000-0005-0000-0000-0000DC0C0000}"/>
    <cellStyle name="40% - Ênfase5 4" xfId="4788" xr:uid="{00000000-0005-0000-0000-0000DD0C0000}"/>
    <cellStyle name="40% - Ênfase5 4 2" xfId="4789" xr:uid="{00000000-0005-0000-0000-0000DE0C0000}"/>
    <cellStyle name="40% - Ênfase5 5" xfId="4790" xr:uid="{00000000-0005-0000-0000-0000DF0C0000}"/>
    <cellStyle name="40% - Ênfase5 6" xfId="4791" xr:uid="{00000000-0005-0000-0000-0000E00C0000}"/>
    <cellStyle name="40% - Ênfase5 7" xfId="4792" xr:uid="{00000000-0005-0000-0000-0000E10C0000}"/>
    <cellStyle name="40% - Ênfase5 8" xfId="4793" xr:uid="{00000000-0005-0000-0000-0000E20C0000}"/>
    <cellStyle name="40% - Ênfase5 9" xfId="4794" xr:uid="{00000000-0005-0000-0000-0000E30C0000}"/>
    <cellStyle name="40% - Ênfase6" xfId="686" xr:uid="{00000000-0005-0000-0000-0000E40C0000}"/>
    <cellStyle name="40% - Ênfase6 10" xfId="4795" xr:uid="{00000000-0005-0000-0000-0000E50C0000}"/>
    <cellStyle name="40% - Ênfase6 2" xfId="930" xr:uid="{00000000-0005-0000-0000-0000E60C0000}"/>
    <cellStyle name="40% - Ênfase6 2 2" xfId="4796" xr:uid="{00000000-0005-0000-0000-0000E70C0000}"/>
    <cellStyle name="40% - Ênfase6 3" xfId="1732" xr:uid="{00000000-0005-0000-0000-0000E80C0000}"/>
    <cellStyle name="40% - Ênfase6 3 2" xfId="4797" xr:uid="{00000000-0005-0000-0000-0000E90C0000}"/>
    <cellStyle name="40% - Ênfase6 4" xfId="4798" xr:uid="{00000000-0005-0000-0000-0000EA0C0000}"/>
    <cellStyle name="40% - Ênfase6 4 2" xfId="4799" xr:uid="{00000000-0005-0000-0000-0000EB0C0000}"/>
    <cellStyle name="40% - Ênfase6 5" xfId="4800" xr:uid="{00000000-0005-0000-0000-0000EC0C0000}"/>
    <cellStyle name="40% - Ênfase6 6" xfId="4801" xr:uid="{00000000-0005-0000-0000-0000ED0C0000}"/>
    <cellStyle name="40% - Ênfase6 7" xfId="4802" xr:uid="{00000000-0005-0000-0000-0000EE0C0000}"/>
    <cellStyle name="40% - Ênfase6 8" xfId="4803" xr:uid="{00000000-0005-0000-0000-0000EF0C0000}"/>
    <cellStyle name="40% - Ênfase6 9" xfId="4804" xr:uid="{00000000-0005-0000-0000-0000F00C0000}"/>
    <cellStyle name="40% - Énfasis1" xfId="931" xr:uid="{00000000-0005-0000-0000-0000F10C0000}"/>
    <cellStyle name="40% - Énfasis1 10" xfId="4805" xr:uid="{00000000-0005-0000-0000-0000F20C0000}"/>
    <cellStyle name="40% - Énfasis1 11" xfId="4806" xr:uid="{00000000-0005-0000-0000-0000F30C0000}"/>
    <cellStyle name="40% - Énfasis1 12" xfId="4807" xr:uid="{00000000-0005-0000-0000-0000F40C0000}"/>
    <cellStyle name="40% - Énfasis1 13" xfId="4808" xr:uid="{00000000-0005-0000-0000-0000F50C0000}"/>
    <cellStyle name="40% - Énfasis1 14" xfId="4809" xr:uid="{00000000-0005-0000-0000-0000F60C0000}"/>
    <cellStyle name="40% - Énfasis1 15" xfId="4810" xr:uid="{00000000-0005-0000-0000-0000F70C0000}"/>
    <cellStyle name="40% - Énfasis1 16" xfId="4811" xr:uid="{00000000-0005-0000-0000-0000F80C0000}"/>
    <cellStyle name="40% - Énfasis1 17" xfId="4812" xr:uid="{00000000-0005-0000-0000-0000F90C0000}"/>
    <cellStyle name="40% - Énfasis1 18" xfId="4813" xr:uid="{00000000-0005-0000-0000-0000FA0C0000}"/>
    <cellStyle name="40% - Énfasis1 19" xfId="4814" xr:uid="{00000000-0005-0000-0000-0000FB0C0000}"/>
    <cellStyle name="40% - Énfasis1 2" xfId="4815" xr:uid="{00000000-0005-0000-0000-0000FC0C0000}"/>
    <cellStyle name="40% - Énfasis1 2 2" xfId="4816" xr:uid="{00000000-0005-0000-0000-0000FD0C0000}"/>
    <cellStyle name="40% - Énfasis1 20" xfId="4817" xr:uid="{00000000-0005-0000-0000-0000FE0C0000}"/>
    <cellStyle name="40% - Énfasis1 21" xfId="4818" xr:uid="{00000000-0005-0000-0000-0000FF0C0000}"/>
    <cellStyle name="40% - Énfasis1 22" xfId="4819" xr:uid="{00000000-0005-0000-0000-0000000D0000}"/>
    <cellStyle name="40% - Énfasis1 23" xfId="4820" xr:uid="{00000000-0005-0000-0000-0000010D0000}"/>
    <cellStyle name="40% - Énfasis1 24" xfId="4821" xr:uid="{00000000-0005-0000-0000-0000020D0000}"/>
    <cellStyle name="40% - Énfasis1 25" xfId="4822" xr:uid="{00000000-0005-0000-0000-0000030D0000}"/>
    <cellStyle name="40% - Énfasis1 3" xfId="4823" xr:uid="{00000000-0005-0000-0000-0000040D0000}"/>
    <cellStyle name="40% - Énfasis1 3 2" xfId="4824" xr:uid="{00000000-0005-0000-0000-0000050D0000}"/>
    <cellStyle name="40% - Énfasis1 4" xfId="4825" xr:uid="{00000000-0005-0000-0000-0000060D0000}"/>
    <cellStyle name="40% - Énfasis1 5" xfId="4826" xr:uid="{00000000-0005-0000-0000-0000070D0000}"/>
    <cellStyle name="40% - Énfasis1 6" xfId="4827" xr:uid="{00000000-0005-0000-0000-0000080D0000}"/>
    <cellStyle name="40% - Énfasis1 7" xfId="4828" xr:uid="{00000000-0005-0000-0000-0000090D0000}"/>
    <cellStyle name="40% - Énfasis1 8" xfId="4829" xr:uid="{00000000-0005-0000-0000-00000A0D0000}"/>
    <cellStyle name="40% - Énfasis1 9" xfId="4830" xr:uid="{00000000-0005-0000-0000-00000B0D0000}"/>
    <cellStyle name="40% - Énfasis2" xfId="932" xr:uid="{00000000-0005-0000-0000-00000C0D0000}"/>
    <cellStyle name="40% - Énfasis2 10" xfId="4831" xr:uid="{00000000-0005-0000-0000-00000D0D0000}"/>
    <cellStyle name="40% - Énfasis2 11" xfId="4832" xr:uid="{00000000-0005-0000-0000-00000E0D0000}"/>
    <cellStyle name="40% - Énfasis2 12" xfId="4833" xr:uid="{00000000-0005-0000-0000-00000F0D0000}"/>
    <cellStyle name="40% - Énfasis2 13" xfId="4834" xr:uid="{00000000-0005-0000-0000-0000100D0000}"/>
    <cellStyle name="40% - Énfasis2 14" xfId="4835" xr:uid="{00000000-0005-0000-0000-0000110D0000}"/>
    <cellStyle name="40% - Énfasis2 15" xfId="4836" xr:uid="{00000000-0005-0000-0000-0000120D0000}"/>
    <cellStyle name="40% - Énfasis2 16" xfId="4837" xr:uid="{00000000-0005-0000-0000-0000130D0000}"/>
    <cellStyle name="40% - Énfasis2 17" xfId="4838" xr:uid="{00000000-0005-0000-0000-0000140D0000}"/>
    <cellStyle name="40% - Énfasis2 18" xfId="4839" xr:uid="{00000000-0005-0000-0000-0000150D0000}"/>
    <cellStyle name="40% - Énfasis2 19" xfId="4840" xr:uid="{00000000-0005-0000-0000-0000160D0000}"/>
    <cellStyle name="40% - Énfasis2 2" xfId="4841" xr:uid="{00000000-0005-0000-0000-0000170D0000}"/>
    <cellStyle name="40% - Énfasis2 2 2" xfId="4842" xr:uid="{00000000-0005-0000-0000-0000180D0000}"/>
    <cellStyle name="40% - Énfasis2 20" xfId="4843" xr:uid="{00000000-0005-0000-0000-0000190D0000}"/>
    <cellStyle name="40% - Énfasis2 21" xfId="4844" xr:uid="{00000000-0005-0000-0000-00001A0D0000}"/>
    <cellStyle name="40% - Énfasis2 22" xfId="4845" xr:uid="{00000000-0005-0000-0000-00001B0D0000}"/>
    <cellStyle name="40% - Énfasis2 23" xfId="4846" xr:uid="{00000000-0005-0000-0000-00001C0D0000}"/>
    <cellStyle name="40% - Énfasis2 24" xfId="4847" xr:uid="{00000000-0005-0000-0000-00001D0D0000}"/>
    <cellStyle name="40% - Énfasis2 25" xfId="4848" xr:uid="{00000000-0005-0000-0000-00001E0D0000}"/>
    <cellStyle name="40% - Énfasis2 3" xfId="4849" xr:uid="{00000000-0005-0000-0000-00001F0D0000}"/>
    <cellStyle name="40% - Énfasis2 3 2" xfId="4850" xr:uid="{00000000-0005-0000-0000-0000200D0000}"/>
    <cellStyle name="40% - Énfasis2 4" xfId="4851" xr:uid="{00000000-0005-0000-0000-0000210D0000}"/>
    <cellStyle name="40% - Énfasis2 5" xfId="4852" xr:uid="{00000000-0005-0000-0000-0000220D0000}"/>
    <cellStyle name="40% - Énfasis2 6" xfId="4853" xr:uid="{00000000-0005-0000-0000-0000230D0000}"/>
    <cellStyle name="40% - Énfasis2 7" xfId="4854" xr:uid="{00000000-0005-0000-0000-0000240D0000}"/>
    <cellStyle name="40% - Énfasis2 8" xfId="4855" xr:uid="{00000000-0005-0000-0000-0000250D0000}"/>
    <cellStyle name="40% - Énfasis2 9" xfId="4856" xr:uid="{00000000-0005-0000-0000-0000260D0000}"/>
    <cellStyle name="40% - Énfasis3" xfId="933" xr:uid="{00000000-0005-0000-0000-0000270D0000}"/>
    <cellStyle name="40% - Énfasis3 10" xfId="4857" xr:uid="{00000000-0005-0000-0000-0000280D0000}"/>
    <cellStyle name="40% - Énfasis3 11" xfId="4858" xr:uid="{00000000-0005-0000-0000-0000290D0000}"/>
    <cellStyle name="40% - Énfasis3 12" xfId="4859" xr:uid="{00000000-0005-0000-0000-00002A0D0000}"/>
    <cellStyle name="40% - Énfasis3 13" xfId="4860" xr:uid="{00000000-0005-0000-0000-00002B0D0000}"/>
    <cellStyle name="40% - Énfasis3 14" xfId="4861" xr:uid="{00000000-0005-0000-0000-00002C0D0000}"/>
    <cellStyle name="40% - Énfasis3 15" xfId="4862" xr:uid="{00000000-0005-0000-0000-00002D0D0000}"/>
    <cellStyle name="40% - Énfasis3 16" xfId="4863" xr:uid="{00000000-0005-0000-0000-00002E0D0000}"/>
    <cellStyle name="40% - Énfasis3 17" xfId="4864" xr:uid="{00000000-0005-0000-0000-00002F0D0000}"/>
    <cellStyle name="40% - Énfasis3 18" xfId="4865" xr:uid="{00000000-0005-0000-0000-0000300D0000}"/>
    <cellStyle name="40% - Énfasis3 19" xfId="4866" xr:uid="{00000000-0005-0000-0000-0000310D0000}"/>
    <cellStyle name="40% - Énfasis3 2" xfId="4867" xr:uid="{00000000-0005-0000-0000-0000320D0000}"/>
    <cellStyle name="40% - Énfasis3 2 2" xfId="4868" xr:uid="{00000000-0005-0000-0000-0000330D0000}"/>
    <cellStyle name="40% - Énfasis3 20" xfId="4869" xr:uid="{00000000-0005-0000-0000-0000340D0000}"/>
    <cellStyle name="40% - Énfasis3 21" xfId="4870" xr:uid="{00000000-0005-0000-0000-0000350D0000}"/>
    <cellStyle name="40% - Énfasis3 22" xfId="4871" xr:uid="{00000000-0005-0000-0000-0000360D0000}"/>
    <cellStyle name="40% - Énfasis3 23" xfId="4872" xr:uid="{00000000-0005-0000-0000-0000370D0000}"/>
    <cellStyle name="40% - Énfasis3 24" xfId="4873" xr:uid="{00000000-0005-0000-0000-0000380D0000}"/>
    <cellStyle name="40% - Énfasis3 25" xfId="4874" xr:uid="{00000000-0005-0000-0000-0000390D0000}"/>
    <cellStyle name="40% - Énfasis3 3" xfId="4875" xr:uid="{00000000-0005-0000-0000-00003A0D0000}"/>
    <cellStyle name="40% - Énfasis3 3 2" xfId="4876" xr:uid="{00000000-0005-0000-0000-00003B0D0000}"/>
    <cellStyle name="40% - Énfasis3 4" xfId="4877" xr:uid="{00000000-0005-0000-0000-00003C0D0000}"/>
    <cellStyle name="40% - Énfasis3 5" xfId="4878" xr:uid="{00000000-0005-0000-0000-00003D0D0000}"/>
    <cellStyle name="40% - Énfasis3 6" xfId="4879" xr:uid="{00000000-0005-0000-0000-00003E0D0000}"/>
    <cellStyle name="40% - Énfasis3 7" xfId="4880" xr:uid="{00000000-0005-0000-0000-00003F0D0000}"/>
    <cellStyle name="40% - Énfasis3 8" xfId="4881" xr:uid="{00000000-0005-0000-0000-0000400D0000}"/>
    <cellStyle name="40% - Énfasis3 9" xfId="4882" xr:uid="{00000000-0005-0000-0000-0000410D0000}"/>
    <cellStyle name="40% - Énfasis4" xfId="934" xr:uid="{00000000-0005-0000-0000-0000420D0000}"/>
    <cellStyle name="40% - Énfasis4 10" xfId="4883" xr:uid="{00000000-0005-0000-0000-0000430D0000}"/>
    <cellStyle name="40% - Énfasis4 11" xfId="4884" xr:uid="{00000000-0005-0000-0000-0000440D0000}"/>
    <cellStyle name="40% - Énfasis4 12" xfId="4885" xr:uid="{00000000-0005-0000-0000-0000450D0000}"/>
    <cellStyle name="40% - Énfasis4 13" xfId="4886" xr:uid="{00000000-0005-0000-0000-0000460D0000}"/>
    <cellStyle name="40% - Énfasis4 14" xfId="4887" xr:uid="{00000000-0005-0000-0000-0000470D0000}"/>
    <cellStyle name="40% - Énfasis4 15" xfId="4888" xr:uid="{00000000-0005-0000-0000-0000480D0000}"/>
    <cellStyle name="40% - Énfasis4 16" xfId="4889" xr:uid="{00000000-0005-0000-0000-0000490D0000}"/>
    <cellStyle name="40% - Énfasis4 17" xfId="4890" xr:uid="{00000000-0005-0000-0000-00004A0D0000}"/>
    <cellStyle name="40% - Énfasis4 18" xfId="4891" xr:uid="{00000000-0005-0000-0000-00004B0D0000}"/>
    <cellStyle name="40% - Énfasis4 19" xfId="4892" xr:uid="{00000000-0005-0000-0000-00004C0D0000}"/>
    <cellStyle name="40% - Énfasis4 2" xfId="4893" xr:uid="{00000000-0005-0000-0000-00004D0D0000}"/>
    <cellStyle name="40% - Énfasis4 2 2" xfId="4894" xr:uid="{00000000-0005-0000-0000-00004E0D0000}"/>
    <cellStyle name="40% - Énfasis4 20" xfId="4895" xr:uid="{00000000-0005-0000-0000-00004F0D0000}"/>
    <cellStyle name="40% - Énfasis4 21" xfId="4896" xr:uid="{00000000-0005-0000-0000-0000500D0000}"/>
    <cellStyle name="40% - Énfasis4 22" xfId="4897" xr:uid="{00000000-0005-0000-0000-0000510D0000}"/>
    <cellStyle name="40% - Énfasis4 23" xfId="4898" xr:uid="{00000000-0005-0000-0000-0000520D0000}"/>
    <cellStyle name="40% - Énfasis4 24" xfId="4899" xr:uid="{00000000-0005-0000-0000-0000530D0000}"/>
    <cellStyle name="40% - Énfasis4 25" xfId="4900" xr:uid="{00000000-0005-0000-0000-0000540D0000}"/>
    <cellStyle name="40% - Énfasis4 3" xfId="4901" xr:uid="{00000000-0005-0000-0000-0000550D0000}"/>
    <cellStyle name="40% - Énfasis4 3 2" xfId="4902" xr:uid="{00000000-0005-0000-0000-0000560D0000}"/>
    <cellStyle name="40% - Énfasis4 4" xfId="4903" xr:uid="{00000000-0005-0000-0000-0000570D0000}"/>
    <cellStyle name="40% - Énfasis4 5" xfId="4904" xr:uid="{00000000-0005-0000-0000-0000580D0000}"/>
    <cellStyle name="40% - Énfasis4 6" xfId="4905" xr:uid="{00000000-0005-0000-0000-0000590D0000}"/>
    <cellStyle name="40% - Énfasis4 7" xfId="4906" xr:uid="{00000000-0005-0000-0000-00005A0D0000}"/>
    <cellStyle name="40% - Énfasis4 8" xfId="4907" xr:uid="{00000000-0005-0000-0000-00005B0D0000}"/>
    <cellStyle name="40% - Énfasis4 9" xfId="4908" xr:uid="{00000000-0005-0000-0000-00005C0D0000}"/>
    <cellStyle name="40% - Énfasis5" xfId="935" xr:uid="{00000000-0005-0000-0000-00005D0D0000}"/>
    <cellStyle name="40% - Énfasis5 10" xfId="4909" xr:uid="{00000000-0005-0000-0000-00005E0D0000}"/>
    <cellStyle name="40% - Énfasis5 11" xfId="4910" xr:uid="{00000000-0005-0000-0000-00005F0D0000}"/>
    <cellStyle name="40% - Énfasis5 12" xfId="4911" xr:uid="{00000000-0005-0000-0000-0000600D0000}"/>
    <cellStyle name="40% - Énfasis5 13" xfId="4912" xr:uid="{00000000-0005-0000-0000-0000610D0000}"/>
    <cellStyle name="40% - Énfasis5 14" xfId="4913" xr:uid="{00000000-0005-0000-0000-0000620D0000}"/>
    <cellStyle name="40% - Énfasis5 15" xfId="4914" xr:uid="{00000000-0005-0000-0000-0000630D0000}"/>
    <cellStyle name="40% - Énfasis5 16" xfId="4915" xr:uid="{00000000-0005-0000-0000-0000640D0000}"/>
    <cellStyle name="40% - Énfasis5 17" xfId="4916" xr:uid="{00000000-0005-0000-0000-0000650D0000}"/>
    <cellStyle name="40% - Énfasis5 18" xfId="4917" xr:uid="{00000000-0005-0000-0000-0000660D0000}"/>
    <cellStyle name="40% - Énfasis5 19" xfId="4918" xr:uid="{00000000-0005-0000-0000-0000670D0000}"/>
    <cellStyle name="40% - Énfasis5 2" xfId="4919" xr:uid="{00000000-0005-0000-0000-0000680D0000}"/>
    <cellStyle name="40% - Énfasis5 2 2" xfId="4920" xr:uid="{00000000-0005-0000-0000-0000690D0000}"/>
    <cellStyle name="40% - Énfasis5 20" xfId="4921" xr:uid="{00000000-0005-0000-0000-00006A0D0000}"/>
    <cellStyle name="40% - Énfasis5 21" xfId="4922" xr:uid="{00000000-0005-0000-0000-00006B0D0000}"/>
    <cellStyle name="40% - Énfasis5 22" xfId="4923" xr:uid="{00000000-0005-0000-0000-00006C0D0000}"/>
    <cellStyle name="40% - Énfasis5 23" xfId="4924" xr:uid="{00000000-0005-0000-0000-00006D0D0000}"/>
    <cellStyle name="40% - Énfasis5 24" xfId="4925" xr:uid="{00000000-0005-0000-0000-00006E0D0000}"/>
    <cellStyle name="40% - Énfasis5 25" xfId="4926" xr:uid="{00000000-0005-0000-0000-00006F0D0000}"/>
    <cellStyle name="40% - Énfasis5 3" xfId="4927" xr:uid="{00000000-0005-0000-0000-0000700D0000}"/>
    <cellStyle name="40% - Énfasis5 3 2" xfId="4928" xr:uid="{00000000-0005-0000-0000-0000710D0000}"/>
    <cellStyle name="40% - Énfasis5 4" xfId="4929" xr:uid="{00000000-0005-0000-0000-0000720D0000}"/>
    <cellStyle name="40% - Énfasis5 5" xfId="4930" xr:uid="{00000000-0005-0000-0000-0000730D0000}"/>
    <cellStyle name="40% - Énfasis5 6" xfId="4931" xr:uid="{00000000-0005-0000-0000-0000740D0000}"/>
    <cellStyle name="40% - Énfasis5 7" xfId="4932" xr:uid="{00000000-0005-0000-0000-0000750D0000}"/>
    <cellStyle name="40% - Énfasis5 8" xfId="4933" xr:uid="{00000000-0005-0000-0000-0000760D0000}"/>
    <cellStyle name="40% - Énfasis5 9" xfId="4934" xr:uid="{00000000-0005-0000-0000-0000770D0000}"/>
    <cellStyle name="40% - Énfasis6" xfId="936" xr:uid="{00000000-0005-0000-0000-0000780D0000}"/>
    <cellStyle name="40% - Énfasis6 10" xfId="4935" xr:uid="{00000000-0005-0000-0000-0000790D0000}"/>
    <cellStyle name="40% - Énfasis6 11" xfId="4936" xr:uid="{00000000-0005-0000-0000-00007A0D0000}"/>
    <cellStyle name="40% - Énfasis6 12" xfId="4937" xr:uid="{00000000-0005-0000-0000-00007B0D0000}"/>
    <cellStyle name="40% - Énfasis6 13" xfId="4938" xr:uid="{00000000-0005-0000-0000-00007C0D0000}"/>
    <cellStyle name="40% - Énfasis6 14" xfId="4939" xr:uid="{00000000-0005-0000-0000-00007D0D0000}"/>
    <cellStyle name="40% - Énfasis6 15" xfId="4940" xr:uid="{00000000-0005-0000-0000-00007E0D0000}"/>
    <cellStyle name="40% - Énfasis6 16" xfId="4941" xr:uid="{00000000-0005-0000-0000-00007F0D0000}"/>
    <cellStyle name="40% - Énfasis6 17" xfId="4942" xr:uid="{00000000-0005-0000-0000-0000800D0000}"/>
    <cellStyle name="40% - Énfasis6 18" xfId="4943" xr:uid="{00000000-0005-0000-0000-0000810D0000}"/>
    <cellStyle name="40% - Énfasis6 19" xfId="4944" xr:uid="{00000000-0005-0000-0000-0000820D0000}"/>
    <cellStyle name="40% - Énfasis6 2" xfId="4945" xr:uid="{00000000-0005-0000-0000-0000830D0000}"/>
    <cellStyle name="40% - Énfasis6 2 2" xfId="4946" xr:uid="{00000000-0005-0000-0000-0000840D0000}"/>
    <cellStyle name="40% - Énfasis6 20" xfId="4947" xr:uid="{00000000-0005-0000-0000-0000850D0000}"/>
    <cellStyle name="40% - Énfasis6 21" xfId="4948" xr:uid="{00000000-0005-0000-0000-0000860D0000}"/>
    <cellStyle name="40% - Énfasis6 22" xfId="4949" xr:uid="{00000000-0005-0000-0000-0000870D0000}"/>
    <cellStyle name="40% - Énfasis6 23" xfId="4950" xr:uid="{00000000-0005-0000-0000-0000880D0000}"/>
    <cellStyle name="40% - Énfasis6 24" xfId="4951" xr:uid="{00000000-0005-0000-0000-0000890D0000}"/>
    <cellStyle name="40% - Énfasis6 25" xfId="4952" xr:uid="{00000000-0005-0000-0000-00008A0D0000}"/>
    <cellStyle name="40% - Énfasis6 3" xfId="4953" xr:uid="{00000000-0005-0000-0000-00008B0D0000}"/>
    <cellStyle name="40% - Énfasis6 3 2" xfId="4954" xr:uid="{00000000-0005-0000-0000-00008C0D0000}"/>
    <cellStyle name="40% - Énfasis6 4" xfId="4955" xr:uid="{00000000-0005-0000-0000-00008D0D0000}"/>
    <cellStyle name="40% - Énfasis6 5" xfId="4956" xr:uid="{00000000-0005-0000-0000-00008E0D0000}"/>
    <cellStyle name="40% - Énfasis6 6" xfId="4957" xr:uid="{00000000-0005-0000-0000-00008F0D0000}"/>
    <cellStyle name="40% - Énfasis6 7" xfId="4958" xr:uid="{00000000-0005-0000-0000-0000900D0000}"/>
    <cellStyle name="40% - Énfasis6 8" xfId="4959" xr:uid="{00000000-0005-0000-0000-0000910D0000}"/>
    <cellStyle name="40% - Énfasis6 9" xfId="4960" xr:uid="{00000000-0005-0000-0000-0000920D0000}"/>
    <cellStyle name="60% - Accent1" xfId="687" xr:uid="{00000000-0005-0000-0000-0000930D0000}"/>
    <cellStyle name="60% - Accent1 2" xfId="4961" xr:uid="{00000000-0005-0000-0000-0000940D0000}"/>
    <cellStyle name="60% - Accent2" xfId="688" xr:uid="{00000000-0005-0000-0000-0000950D0000}"/>
    <cellStyle name="60% - Accent2 2" xfId="4962" xr:uid="{00000000-0005-0000-0000-0000960D0000}"/>
    <cellStyle name="60% - Accent3" xfId="689" xr:uid="{00000000-0005-0000-0000-0000970D0000}"/>
    <cellStyle name="60% - Accent3 2" xfId="4963" xr:uid="{00000000-0005-0000-0000-0000980D0000}"/>
    <cellStyle name="60% - Accent4" xfId="690" xr:uid="{00000000-0005-0000-0000-0000990D0000}"/>
    <cellStyle name="60% - Accent4 2" xfId="4964" xr:uid="{00000000-0005-0000-0000-00009A0D0000}"/>
    <cellStyle name="60% - Accent5" xfId="691" xr:uid="{00000000-0005-0000-0000-00009B0D0000}"/>
    <cellStyle name="60% - Accent5 2" xfId="4965" xr:uid="{00000000-0005-0000-0000-00009C0D0000}"/>
    <cellStyle name="60% - Accent6" xfId="692" xr:uid="{00000000-0005-0000-0000-00009D0D0000}"/>
    <cellStyle name="60% - Accent6 2" xfId="4966" xr:uid="{00000000-0005-0000-0000-00009E0D0000}"/>
    <cellStyle name="60% - Ênfase1" xfId="693" xr:uid="{00000000-0005-0000-0000-00009F0D0000}"/>
    <cellStyle name="60% - Ênfase1 10" xfId="4967" xr:uid="{00000000-0005-0000-0000-0000A00D0000}"/>
    <cellStyle name="60% - Ênfase1 2" xfId="937" xr:uid="{00000000-0005-0000-0000-0000A10D0000}"/>
    <cellStyle name="60% - Ênfase1 2 2" xfId="4968" xr:uid="{00000000-0005-0000-0000-0000A20D0000}"/>
    <cellStyle name="60% - Ênfase1 3" xfId="1733" xr:uid="{00000000-0005-0000-0000-0000A30D0000}"/>
    <cellStyle name="60% - Ênfase1 3 2" xfId="4969" xr:uid="{00000000-0005-0000-0000-0000A40D0000}"/>
    <cellStyle name="60% - Ênfase1 4" xfId="4970" xr:uid="{00000000-0005-0000-0000-0000A50D0000}"/>
    <cellStyle name="60% - Ênfase1 4 2" xfId="4971" xr:uid="{00000000-0005-0000-0000-0000A60D0000}"/>
    <cellStyle name="60% - Ênfase1 5" xfId="4972" xr:uid="{00000000-0005-0000-0000-0000A70D0000}"/>
    <cellStyle name="60% - Ênfase1 6" xfId="4973" xr:uid="{00000000-0005-0000-0000-0000A80D0000}"/>
    <cellStyle name="60% - Ênfase1 7" xfId="4974" xr:uid="{00000000-0005-0000-0000-0000A90D0000}"/>
    <cellStyle name="60% - Ênfase1 8" xfId="4975" xr:uid="{00000000-0005-0000-0000-0000AA0D0000}"/>
    <cellStyle name="60% - Ênfase1 9" xfId="4976" xr:uid="{00000000-0005-0000-0000-0000AB0D0000}"/>
    <cellStyle name="60% - Ênfase2" xfId="694" xr:uid="{00000000-0005-0000-0000-0000AC0D0000}"/>
    <cellStyle name="60% - Ênfase2 10" xfId="4977" xr:uid="{00000000-0005-0000-0000-0000AD0D0000}"/>
    <cellStyle name="60% - Ênfase2 2" xfId="938" xr:uid="{00000000-0005-0000-0000-0000AE0D0000}"/>
    <cellStyle name="60% - Ênfase2 2 2" xfId="4978" xr:uid="{00000000-0005-0000-0000-0000AF0D0000}"/>
    <cellStyle name="60% - Ênfase2 3" xfId="1734" xr:uid="{00000000-0005-0000-0000-0000B00D0000}"/>
    <cellStyle name="60% - Ênfase2 3 2" xfId="4979" xr:uid="{00000000-0005-0000-0000-0000B10D0000}"/>
    <cellStyle name="60% - Ênfase2 4" xfId="4980" xr:uid="{00000000-0005-0000-0000-0000B20D0000}"/>
    <cellStyle name="60% - Ênfase2 4 2" xfId="4981" xr:uid="{00000000-0005-0000-0000-0000B30D0000}"/>
    <cellStyle name="60% - Ênfase2 5" xfId="4982" xr:uid="{00000000-0005-0000-0000-0000B40D0000}"/>
    <cellStyle name="60% - Ênfase2 6" xfId="4983" xr:uid="{00000000-0005-0000-0000-0000B50D0000}"/>
    <cellStyle name="60% - Ênfase2 7" xfId="4984" xr:uid="{00000000-0005-0000-0000-0000B60D0000}"/>
    <cellStyle name="60% - Ênfase2 8" xfId="4985" xr:uid="{00000000-0005-0000-0000-0000B70D0000}"/>
    <cellStyle name="60% - Ênfase2 9" xfId="4986" xr:uid="{00000000-0005-0000-0000-0000B80D0000}"/>
    <cellStyle name="60% - Ênfase3" xfId="695" xr:uid="{00000000-0005-0000-0000-0000B90D0000}"/>
    <cellStyle name="60% - Ênfase3 10" xfId="4987" xr:uid="{00000000-0005-0000-0000-0000BA0D0000}"/>
    <cellStyle name="60% - Ênfase3 2" xfId="939" xr:uid="{00000000-0005-0000-0000-0000BB0D0000}"/>
    <cellStyle name="60% - Ênfase3 2 2" xfId="4988" xr:uid="{00000000-0005-0000-0000-0000BC0D0000}"/>
    <cellStyle name="60% - Ênfase3 3" xfId="1735" xr:uid="{00000000-0005-0000-0000-0000BD0D0000}"/>
    <cellStyle name="60% - Ênfase3 3 2" xfId="4989" xr:uid="{00000000-0005-0000-0000-0000BE0D0000}"/>
    <cellStyle name="60% - Ênfase3 4" xfId="4990" xr:uid="{00000000-0005-0000-0000-0000BF0D0000}"/>
    <cellStyle name="60% - Ênfase3 4 2" xfId="4991" xr:uid="{00000000-0005-0000-0000-0000C00D0000}"/>
    <cellStyle name="60% - Ênfase3 5" xfId="4992" xr:uid="{00000000-0005-0000-0000-0000C10D0000}"/>
    <cellStyle name="60% - Ênfase3 6" xfId="4993" xr:uid="{00000000-0005-0000-0000-0000C20D0000}"/>
    <cellStyle name="60% - Ênfase3 7" xfId="4994" xr:uid="{00000000-0005-0000-0000-0000C30D0000}"/>
    <cellStyle name="60% - Ênfase3 8" xfId="4995" xr:uid="{00000000-0005-0000-0000-0000C40D0000}"/>
    <cellStyle name="60% - Ênfase3 9" xfId="4996" xr:uid="{00000000-0005-0000-0000-0000C50D0000}"/>
    <cellStyle name="60% - Ênfase4" xfId="696" xr:uid="{00000000-0005-0000-0000-0000C60D0000}"/>
    <cellStyle name="60% - Ênfase4 10" xfId="4997" xr:uid="{00000000-0005-0000-0000-0000C70D0000}"/>
    <cellStyle name="60% - Ênfase4 2" xfId="940" xr:uid="{00000000-0005-0000-0000-0000C80D0000}"/>
    <cellStyle name="60% - Ênfase4 2 2" xfId="4998" xr:uid="{00000000-0005-0000-0000-0000C90D0000}"/>
    <cellStyle name="60% - Ênfase4 3" xfId="1736" xr:uid="{00000000-0005-0000-0000-0000CA0D0000}"/>
    <cellStyle name="60% - Ênfase4 3 2" xfId="4999" xr:uid="{00000000-0005-0000-0000-0000CB0D0000}"/>
    <cellStyle name="60% - Ênfase4 4" xfId="5000" xr:uid="{00000000-0005-0000-0000-0000CC0D0000}"/>
    <cellStyle name="60% - Ênfase4 4 2" xfId="5001" xr:uid="{00000000-0005-0000-0000-0000CD0D0000}"/>
    <cellStyle name="60% - Ênfase4 5" xfId="5002" xr:uid="{00000000-0005-0000-0000-0000CE0D0000}"/>
    <cellStyle name="60% - Ênfase4 6" xfId="5003" xr:uid="{00000000-0005-0000-0000-0000CF0D0000}"/>
    <cellStyle name="60% - Ênfase4 7" xfId="5004" xr:uid="{00000000-0005-0000-0000-0000D00D0000}"/>
    <cellStyle name="60% - Ênfase4 8" xfId="5005" xr:uid="{00000000-0005-0000-0000-0000D10D0000}"/>
    <cellStyle name="60% - Ênfase4 9" xfId="5006" xr:uid="{00000000-0005-0000-0000-0000D20D0000}"/>
    <cellStyle name="60% - Ênfase5" xfId="697" xr:uid="{00000000-0005-0000-0000-0000D30D0000}"/>
    <cellStyle name="60% - Ênfase5 10" xfId="5007" xr:uid="{00000000-0005-0000-0000-0000D40D0000}"/>
    <cellStyle name="60% - Ênfase5 2" xfId="941" xr:uid="{00000000-0005-0000-0000-0000D50D0000}"/>
    <cellStyle name="60% - Ênfase5 2 2" xfId="5008" xr:uid="{00000000-0005-0000-0000-0000D60D0000}"/>
    <cellStyle name="60% - Ênfase5 3" xfId="1737" xr:uid="{00000000-0005-0000-0000-0000D70D0000}"/>
    <cellStyle name="60% - Ênfase5 3 2" xfId="5009" xr:uid="{00000000-0005-0000-0000-0000D80D0000}"/>
    <cellStyle name="60% - Ênfase5 4" xfId="5010" xr:uid="{00000000-0005-0000-0000-0000D90D0000}"/>
    <cellStyle name="60% - Ênfase5 4 2" xfId="5011" xr:uid="{00000000-0005-0000-0000-0000DA0D0000}"/>
    <cellStyle name="60% - Ênfase5 5" xfId="5012" xr:uid="{00000000-0005-0000-0000-0000DB0D0000}"/>
    <cellStyle name="60% - Ênfase5 6" xfId="5013" xr:uid="{00000000-0005-0000-0000-0000DC0D0000}"/>
    <cellStyle name="60% - Ênfase5 7" xfId="5014" xr:uid="{00000000-0005-0000-0000-0000DD0D0000}"/>
    <cellStyle name="60% - Ênfase5 8" xfId="5015" xr:uid="{00000000-0005-0000-0000-0000DE0D0000}"/>
    <cellStyle name="60% - Ênfase5 9" xfId="5016" xr:uid="{00000000-0005-0000-0000-0000DF0D0000}"/>
    <cellStyle name="60% - Ênfase6" xfId="698" xr:uid="{00000000-0005-0000-0000-0000E00D0000}"/>
    <cellStyle name="60% - Ênfase6 10" xfId="5017" xr:uid="{00000000-0005-0000-0000-0000E10D0000}"/>
    <cellStyle name="60% - Ênfase6 2" xfId="942" xr:uid="{00000000-0005-0000-0000-0000E20D0000}"/>
    <cellStyle name="60% - Ênfase6 2 2" xfId="5018" xr:uid="{00000000-0005-0000-0000-0000E30D0000}"/>
    <cellStyle name="60% - Ênfase6 3" xfId="1738" xr:uid="{00000000-0005-0000-0000-0000E40D0000}"/>
    <cellStyle name="60% - Ênfase6 3 2" xfId="5019" xr:uid="{00000000-0005-0000-0000-0000E50D0000}"/>
    <cellStyle name="60% - Ênfase6 4" xfId="5020" xr:uid="{00000000-0005-0000-0000-0000E60D0000}"/>
    <cellStyle name="60% - Ênfase6 4 2" xfId="5021" xr:uid="{00000000-0005-0000-0000-0000E70D0000}"/>
    <cellStyle name="60% - Ênfase6 5" xfId="5022" xr:uid="{00000000-0005-0000-0000-0000E80D0000}"/>
    <cellStyle name="60% - Ênfase6 6" xfId="5023" xr:uid="{00000000-0005-0000-0000-0000E90D0000}"/>
    <cellStyle name="60% - Ênfase6 7" xfId="5024" xr:uid="{00000000-0005-0000-0000-0000EA0D0000}"/>
    <cellStyle name="60% - Ênfase6 8" xfId="5025" xr:uid="{00000000-0005-0000-0000-0000EB0D0000}"/>
    <cellStyle name="60% - Ênfase6 9" xfId="5026" xr:uid="{00000000-0005-0000-0000-0000EC0D0000}"/>
    <cellStyle name="60% - Énfasis1" xfId="943" xr:uid="{00000000-0005-0000-0000-0000ED0D0000}"/>
    <cellStyle name="60% - Énfasis1 2" xfId="5027" xr:uid="{00000000-0005-0000-0000-0000EE0D0000}"/>
    <cellStyle name="60% - Énfasis2" xfId="944" xr:uid="{00000000-0005-0000-0000-0000EF0D0000}"/>
    <cellStyle name="60% - Énfasis2 2" xfId="5028" xr:uid="{00000000-0005-0000-0000-0000F00D0000}"/>
    <cellStyle name="60% - Énfasis3" xfId="945" xr:uid="{00000000-0005-0000-0000-0000F10D0000}"/>
    <cellStyle name="60% - Énfasis3 2" xfId="5029" xr:uid="{00000000-0005-0000-0000-0000F20D0000}"/>
    <cellStyle name="60% - Énfasis4" xfId="946" xr:uid="{00000000-0005-0000-0000-0000F30D0000}"/>
    <cellStyle name="60% - Énfasis4 2" xfId="5030" xr:uid="{00000000-0005-0000-0000-0000F40D0000}"/>
    <cellStyle name="60% - Énfasis5" xfId="947" xr:uid="{00000000-0005-0000-0000-0000F50D0000}"/>
    <cellStyle name="60% - Énfasis5 2" xfId="5031" xr:uid="{00000000-0005-0000-0000-0000F60D0000}"/>
    <cellStyle name="60% - Énfasis6" xfId="948" xr:uid="{00000000-0005-0000-0000-0000F70D0000}"/>
    <cellStyle name="60% - Énfasis6 2" xfId="5032" xr:uid="{00000000-0005-0000-0000-0000F80D0000}"/>
    <cellStyle name="8" xfId="699" xr:uid="{00000000-0005-0000-0000-0000F90D0000}"/>
    <cellStyle name="8_Cálculo do Financeiro do Baixa Renda" xfId="5033" xr:uid="{00000000-0005-0000-0000-0000FA0D0000}"/>
    <cellStyle name="8_Cálculo do Financeiro do Baixa Renda_IRT-cálculo" xfId="5034" xr:uid="{00000000-0005-0000-0000-0000FB0D0000}"/>
    <cellStyle name="8_Cálculo do Financeiro do Baixa Renda_IRT-cálculo CAPA NEUTRALIDADE" xfId="5035" xr:uid="{00000000-0005-0000-0000-0000FC0D0000}"/>
    <cellStyle name="8_Calculo_Subsidio_ELFSM_26_06_08_Modelo_ANEEL" xfId="5036" xr:uid="{00000000-0005-0000-0000-0000FD0D0000}"/>
    <cellStyle name="8_Calculo_Subsidio_ELFSM_26_06_08_Modelo_ANEEL_IRT-cálculo" xfId="5037" xr:uid="{00000000-0005-0000-0000-0000FE0D0000}"/>
    <cellStyle name="8_Calculo_Subsidio_ELFSM_26_06_08_Modelo_ANEEL_IRT-cálculo CAPA NEUTRALIDADE" xfId="5038" xr:uid="{00000000-0005-0000-0000-0000FF0D0000}"/>
    <cellStyle name="8_Cópia de COELBA_06_DIFERENÃAS_FINANCEIRAS_EM_CONSTITUIÃ+O_Jul08" xfId="5039" xr:uid="{00000000-0005-0000-0000-0000000E0000}"/>
    <cellStyle name="8_Custo com Avaliação de Ativos para Base de Remuneração" xfId="5040" xr:uid="{00000000-0005-0000-0000-0000010E0000}"/>
    <cellStyle name="8_Custo com Avaliação de Ativos para Base de Remuneração_IRT-cálculo" xfId="5041" xr:uid="{00000000-0005-0000-0000-0000020E0000}"/>
    <cellStyle name="8_Custo com Avaliação de Ativos para Base de Remuneração_IRT-cálculo CAPA NEUTRALIDADE" xfId="5042" xr:uid="{00000000-0005-0000-0000-0000030E0000}"/>
    <cellStyle name="8_CVA_Projetada até dez-2008_Setembro" xfId="5043" xr:uid="{00000000-0005-0000-0000-0000040E0000}"/>
    <cellStyle name="8_CVA_Projetada até dez-2008_Setembro_CVA Outros Componentes PROVISÃO" xfId="5044" xr:uid="{00000000-0005-0000-0000-0000050E0000}"/>
    <cellStyle name="8_CVA_Projetada até dez-2008_Setembro_PROVISÃO" xfId="5045" xr:uid="{00000000-0005-0000-0000-0000060E0000}"/>
    <cellStyle name="8_Energia Comprada" xfId="5046" xr:uid="{00000000-0005-0000-0000-0000070E0000}"/>
    <cellStyle name="8_Energia Comprada_IRT-cálculo" xfId="5047" xr:uid="{00000000-0005-0000-0000-0000080E0000}"/>
    <cellStyle name="8_Energia Comprada_IRT-cálculo CAPA NEUTRALIDADE" xfId="5048" xr:uid="{00000000-0005-0000-0000-0000090E0000}"/>
    <cellStyle name="8_Fator X" xfId="1641" xr:uid="{00000000-0005-0000-0000-00000A0E0000}"/>
    <cellStyle name="8_Fator X_IRT-cálculo" xfId="5049" xr:uid="{00000000-0005-0000-0000-00000B0E0000}"/>
    <cellStyle name="8_Fator X_IRT-cálculo CAPA NEUTRALIDADE" xfId="5050" xr:uid="{00000000-0005-0000-0000-00000C0E0000}"/>
    <cellStyle name="8_Fator X_SOBRECONTRATAÇÃO E CVA" xfId="5051" xr:uid="{00000000-0005-0000-0000-00000D0E0000}"/>
    <cellStyle name="8_IF - Autoprodutores 2" xfId="5052" xr:uid="{00000000-0005-0000-0000-00000E0E0000}"/>
    <cellStyle name="8_IF_Consumidores livres e geradoras_2010" xfId="5053" xr:uid="{00000000-0005-0000-0000-00000F0E0000}"/>
    <cellStyle name="8_IRT (2)" xfId="1642" xr:uid="{00000000-0005-0000-0000-0000100E0000}"/>
    <cellStyle name="8_IRT (2) 2" xfId="5054" xr:uid="{00000000-0005-0000-0000-0000110E0000}"/>
    <cellStyle name="8_IRT Piratininga 2009" xfId="700" xr:uid="{00000000-0005-0000-0000-0000120E0000}"/>
    <cellStyle name="8_IRT Piratininga 2009 2" xfId="1468" xr:uid="{00000000-0005-0000-0000-0000130E0000}"/>
    <cellStyle name="8_IRT_1" xfId="1643" xr:uid="{00000000-0005-0000-0000-0000140E0000}"/>
    <cellStyle name="8_IRT_1_IRT-cálculo" xfId="5055" xr:uid="{00000000-0005-0000-0000-0000150E0000}"/>
    <cellStyle name="8_IRT_1_IRT-cálculo CAPA NEUTRALIDADE" xfId="5056" xr:uid="{00000000-0005-0000-0000-0000160E0000}"/>
    <cellStyle name="8_IRT_1_SOBRECONTRATAÇÃO E CVA" xfId="5057" xr:uid="{00000000-0005-0000-0000-0000170E0000}"/>
    <cellStyle name="8_IRT_LIGHT_nov2007" xfId="1644" xr:uid="{00000000-0005-0000-0000-0000180E0000}"/>
    <cellStyle name="8_IRT_LIGHT_nov2007_IRT-cálculo" xfId="5058" xr:uid="{00000000-0005-0000-0000-0000190E0000}"/>
    <cellStyle name="8_IRT_LIGHT_nov2007_IRT-cálculo CAPA NEUTRALIDADE" xfId="5059" xr:uid="{00000000-0005-0000-0000-00001A0E0000}"/>
    <cellStyle name="8_IRT_LIGHT_nov2007_SOBRECONTRATAÇÃO E CVA" xfId="5060" xr:uid="{00000000-0005-0000-0000-00001B0E0000}"/>
    <cellStyle name="8_IRT_Planilha Básica_ CETRIL" xfId="701" xr:uid="{00000000-0005-0000-0000-00001C0E0000}"/>
    <cellStyle name="8_IRT_Planilha Básica_ CETRIL 2" xfId="1469" xr:uid="{00000000-0005-0000-0000-00001D0E0000}"/>
    <cellStyle name="8_IRT_Planilha Básica_mar2010b" xfId="5061" xr:uid="{00000000-0005-0000-0000-00001E0E0000}"/>
    <cellStyle name="8_IRT_Pleito" xfId="5062" xr:uid="{00000000-0005-0000-0000-00001F0E0000}"/>
    <cellStyle name="8_IRT_Pleito_IRT-cálculo" xfId="5063" xr:uid="{00000000-0005-0000-0000-0000200E0000}"/>
    <cellStyle name="8_IRT_Pleito_IRT-cálculo CAPA NEUTRALIDADE" xfId="5064" xr:uid="{00000000-0005-0000-0000-0000210E0000}"/>
    <cellStyle name="8_IRT1" xfId="5065" xr:uid="{00000000-0005-0000-0000-0000220E0000}"/>
    <cellStyle name="8_IRT1_IRT-cálculo" xfId="5066" xr:uid="{00000000-0005-0000-0000-0000230E0000}"/>
    <cellStyle name="8_IRT1_IRT-cálculo CAPA NEUTRALIDADE" xfId="5067" xr:uid="{00000000-0005-0000-0000-0000240E0000}"/>
    <cellStyle name="8_IRT-cálculo" xfId="5068" xr:uid="{00000000-0005-0000-0000-0000250E0000}"/>
    <cellStyle name="8_Pasta1" xfId="1645" xr:uid="{00000000-0005-0000-0000-0000260E0000}"/>
    <cellStyle name="8_Pasta1_IRT-cálculo" xfId="5069" xr:uid="{00000000-0005-0000-0000-0000270E0000}"/>
    <cellStyle name="8_Pasta1_IRT-cálculo CAPA NEUTRALIDADE" xfId="5070" xr:uid="{00000000-0005-0000-0000-0000280E0000}"/>
    <cellStyle name="8_Pasta1_SOBRECONTRATAÇÃO E CVA" xfId="5071" xr:uid="{00000000-0005-0000-0000-0000290E0000}"/>
    <cellStyle name="8_Receita de Venda Leilão Nova Térmico" xfId="5072" xr:uid="{00000000-0005-0000-0000-00002A0E0000}"/>
    <cellStyle name="8_Receita de Venda Leilão Nova Térmico_IRT-cálculo" xfId="5073" xr:uid="{00000000-0005-0000-0000-00002B0E0000}"/>
    <cellStyle name="8_Receita de Venda Leilão Nova Térmico_IRT-cálculo CAPA NEUTRALIDADE" xfId="5074" xr:uid="{00000000-0005-0000-0000-00002C0E0000}"/>
    <cellStyle name="8_Recurso Administrativo IRT 2006 - Erro Receita Verificada" xfId="5075" xr:uid="{00000000-0005-0000-0000-00002D0E0000}"/>
    <cellStyle name="8_Recurso Administrativo IRT 2006 - Erro Receita Verificada_IRT-cálculo" xfId="5076" xr:uid="{00000000-0005-0000-0000-00002E0E0000}"/>
    <cellStyle name="8_Recurso Administrativo IRT 2006 - Erro Receita Verificada_IRT-cálculo CAPA NEUTRALIDADE" xfId="5077" xr:uid="{00000000-0005-0000-0000-00002F0E0000}"/>
    <cellStyle name="8_Sheet1" xfId="5078" xr:uid="{00000000-0005-0000-0000-0000300E0000}"/>
    <cellStyle name="8_Sheet2" xfId="5079" xr:uid="{00000000-0005-0000-0000-0000310E0000}"/>
    <cellStyle name="8_Simulação CEPISA XX_08_07" xfId="1646" xr:uid="{00000000-0005-0000-0000-0000320E0000}"/>
    <cellStyle name="8_Simulação CEPISA XX_08_07 2" xfId="5080" xr:uid="{00000000-0005-0000-0000-0000330E0000}"/>
    <cellStyle name="8_SOBRECONTRATAÇÃO E CVA" xfId="5081" xr:uid="{00000000-0005-0000-0000-0000340E0000}"/>
    <cellStyle name="8_SOBRECONTRATAÇÃO E CVA A-1" xfId="5082" xr:uid="{00000000-0005-0000-0000-0000350E0000}"/>
    <cellStyle name="8_SOBRECONTRATAÇÃO E CVA A-1_IRT-cálculo" xfId="5083" xr:uid="{00000000-0005-0000-0000-0000360E0000}"/>
    <cellStyle name="8_SOBRECONTRATAÇÃO E CVA A-1_IRT-cálculo CAPA NEUTRALIDADE" xfId="5084" xr:uid="{00000000-0005-0000-0000-0000370E0000}"/>
    <cellStyle name="8_TUSD e TE 243_2006" xfId="5085" xr:uid="{00000000-0005-0000-0000-0000380E0000}"/>
    <cellStyle name="A3 297 x 420 mm" xfId="702" xr:uid="{00000000-0005-0000-0000-0000390E0000}"/>
    <cellStyle name="A3 297 x 420 mm 2" xfId="1798" xr:uid="{00000000-0005-0000-0000-00003A0E0000}"/>
    <cellStyle name="ac" xfId="703" xr:uid="{00000000-0005-0000-0000-00003B0E0000}"/>
    <cellStyle name="ac 2" xfId="949" xr:uid="{00000000-0005-0000-0000-00003C0E0000}"/>
    <cellStyle name="ac 2 2" xfId="1827" xr:uid="{00000000-0005-0000-0000-00003D0E0000}"/>
    <cellStyle name="ac 2 2 2" xfId="2482" xr:uid="{00000000-0005-0000-0000-00003E0E0000}"/>
    <cellStyle name="ac 2 2 2 2" xfId="43311" xr:uid="{00000000-0005-0000-0000-00003F0E0000}"/>
    <cellStyle name="ac 2 2 3" xfId="43209" xr:uid="{00000000-0005-0000-0000-0000400E0000}"/>
    <cellStyle name="ac 2 3" xfId="2483" xr:uid="{00000000-0005-0000-0000-0000410E0000}"/>
    <cellStyle name="ac 2 3 2" xfId="43312" xr:uid="{00000000-0005-0000-0000-0000420E0000}"/>
    <cellStyle name="ac 2 4" xfId="43208" xr:uid="{00000000-0005-0000-0000-0000430E0000}"/>
    <cellStyle name="ac 3" xfId="1815" xr:uid="{00000000-0005-0000-0000-0000440E0000}"/>
    <cellStyle name="ac 3 2" xfId="2484" xr:uid="{00000000-0005-0000-0000-0000450E0000}"/>
    <cellStyle name="ac 3 2 2" xfId="43313" xr:uid="{00000000-0005-0000-0000-0000460E0000}"/>
    <cellStyle name="ac 3 3" xfId="43210" xr:uid="{00000000-0005-0000-0000-0000470E0000}"/>
    <cellStyle name="ac 4" xfId="2485" xr:uid="{00000000-0005-0000-0000-0000480E0000}"/>
    <cellStyle name="ac 4 2" xfId="43314" xr:uid="{00000000-0005-0000-0000-0000490E0000}"/>
    <cellStyle name="ac 5" xfId="43207" xr:uid="{00000000-0005-0000-0000-00004A0E0000}"/>
    <cellStyle name="Accent1" xfId="704" xr:uid="{00000000-0005-0000-0000-00004B0E0000}"/>
    <cellStyle name="Accent1 - 20%" xfId="5086" xr:uid="{00000000-0005-0000-0000-00004C0E0000}"/>
    <cellStyle name="Accent1 - 40%" xfId="5087" xr:uid="{00000000-0005-0000-0000-00004D0E0000}"/>
    <cellStyle name="Accent1 - 60%" xfId="5088" xr:uid="{00000000-0005-0000-0000-00004E0E0000}"/>
    <cellStyle name="Accent1 2" xfId="5089" xr:uid="{00000000-0005-0000-0000-00004F0E0000}"/>
    <cellStyle name="Accent1_Escelsa_2008_Versao regulatorio_Dyogenes" xfId="5090" xr:uid="{00000000-0005-0000-0000-0000500E0000}"/>
    <cellStyle name="Accent2" xfId="705" xr:uid="{00000000-0005-0000-0000-0000510E0000}"/>
    <cellStyle name="Accent2 - 20%" xfId="5091" xr:uid="{00000000-0005-0000-0000-0000520E0000}"/>
    <cellStyle name="Accent2 - 40%" xfId="5092" xr:uid="{00000000-0005-0000-0000-0000530E0000}"/>
    <cellStyle name="Accent2 - 60%" xfId="5093" xr:uid="{00000000-0005-0000-0000-0000540E0000}"/>
    <cellStyle name="Accent2 2" xfId="5094" xr:uid="{00000000-0005-0000-0000-0000550E0000}"/>
    <cellStyle name="Accent2 3" xfId="5095" xr:uid="{00000000-0005-0000-0000-0000560E0000}"/>
    <cellStyle name="Accent2_Escelsa_2008_Versao regulatorio_Dyogenes" xfId="5096" xr:uid="{00000000-0005-0000-0000-0000570E0000}"/>
    <cellStyle name="Accent3" xfId="706" xr:uid="{00000000-0005-0000-0000-0000580E0000}"/>
    <cellStyle name="Accent3 - 20%" xfId="5097" xr:uid="{00000000-0005-0000-0000-0000590E0000}"/>
    <cellStyle name="Accent3 - 40%" xfId="5098" xr:uid="{00000000-0005-0000-0000-00005A0E0000}"/>
    <cellStyle name="Accent3 - 60%" xfId="5099" xr:uid="{00000000-0005-0000-0000-00005B0E0000}"/>
    <cellStyle name="Accent3 2" xfId="5100" xr:uid="{00000000-0005-0000-0000-00005C0E0000}"/>
    <cellStyle name="Accent3 3" xfId="5101" xr:uid="{00000000-0005-0000-0000-00005D0E0000}"/>
    <cellStyle name="Accent3_Escelsa_2008_Versao regulatorio_Dyogenes" xfId="5102" xr:uid="{00000000-0005-0000-0000-00005E0E0000}"/>
    <cellStyle name="Accent4" xfId="707" xr:uid="{00000000-0005-0000-0000-00005F0E0000}"/>
    <cellStyle name="Accent4 - 20%" xfId="5103" xr:uid="{00000000-0005-0000-0000-0000600E0000}"/>
    <cellStyle name="Accent4 - 40%" xfId="5104" xr:uid="{00000000-0005-0000-0000-0000610E0000}"/>
    <cellStyle name="Accent4 - 60%" xfId="5105" xr:uid="{00000000-0005-0000-0000-0000620E0000}"/>
    <cellStyle name="Accent4 2" xfId="5106" xr:uid="{00000000-0005-0000-0000-0000630E0000}"/>
    <cellStyle name="Accent4_Escelsa_2008_Versao regulatorio_Dyogenes" xfId="5107" xr:uid="{00000000-0005-0000-0000-0000640E0000}"/>
    <cellStyle name="Accent5" xfId="708" xr:uid="{00000000-0005-0000-0000-0000650E0000}"/>
    <cellStyle name="Accent5 - 20%" xfId="5108" xr:uid="{00000000-0005-0000-0000-0000660E0000}"/>
    <cellStyle name="Accent5 - 40%" xfId="5109" xr:uid="{00000000-0005-0000-0000-0000670E0000}"/>
    <cellStyle name="Accent5 - 60%" xfId="5110" xr:uid="{00000000-0005-0000-0000-0000680E0000}"/>
    <cellStyle name="Accent5 2" xfId="5111" xr:uid="{00000000-0005-0000-0000-0000690E0000}"/>
    <cellStyle name="Accent5_Escelsa_2008_Versao regulatorio_Dyogenes" xfId="5112" xr:uid="{00000000-0005-0000-0000-00006A0E0000}"/>
    <cellStyle name="Accent6" xfId="709" xr:uid="{00000000-0005-0000-0000-00006B0E0000}"/>
    <cellStyle name="Accent6 - 20%" xfId="5113" xr:uid="{00000000-0005-0000-0000-00006C0E0000}"/>
    <cellStyle name="Accent6 - 40%" xfId="5114" xr:uid="{00000000-0005-0000-0000-00006D0E0000}"/>
    <cellStyle name="Accent6 - 60%" xfId="5115" xr:uid="{00000000-0005-0000-0000-00006E0E0000}"/>
    <cellStyle name="Accent6 2" xfId="5116" xr:uid="{00000000-0005-0000-0000-00006F0E0000}"/>
    <cellStyle name="Accent6_Escelsa_2008_Versao regulatorio_Dyogenes" xfId="5117" xr:uid="{00000000-0005-0000-0000-0000700E0000}"/>
    <cellStyle name="Actual Date" xfId="710" xr:uid="{00000000-0005-0000-0000-0000710E0000}"/>
    <cellStyle name="Actual Date 2" xfId="950" xr:uid="{00000000-0005-0000-0000-0000720E0000}"/>
    <cellStyle name="Actual Date 3" xfId="951" xr:uid="{00000000-0005-0000-0000-0000730E0000}"/>
    <cellStyle name="Actual Date 4" xfId="952" xr:uid="{00000000-0005-0000-0000-0000740E0000}"/>
    <cellStyle name="Actual Date 5" xfId="953" xr:uid="{00000000-0005-0000-0000-0000750E0000}"/>
    <cellStyle name="Actual Date_COELCE CVA SRE (4)" xfId="5118" xr:uid="{00000000-0005-0000-0000-0000760E0000}"/>
    <cellStyle name="AFE" xfId="711" xr:uid="{00000000-0005-0000-0000-0000770E0000}"/>
    <cellStyle name="AFE 2" xfId="905" xr:uid="{00000000-0005-0000-0000-0000780E0000}"/>
    <cellStyle name="AFE 2 2" xfId="5119" xr:uid="{00000000-0005-0000-0000-0000790E0000}"/>
    <cellStyle name="AFE 2 2 2" xfId="5120" xr:uid="{00000000-0005-0000-0000-00007A0E0000}"/>
    <cellStyle name="AFE 2 3" xfId="5121" xr:uid="{00000000-0005-0000-0000-00007B0E0000}"/>
    <cellStyle name="AFE 2 4" xfId="5122" xr:uid="{00000000-0005-0000-0000-00007C0E0000}"/>
    <cellStyle name="AFE 2 4 2" xfId="5123" xr:uid="{00000000-0005-0000-0000-00007D0E0000}"/>
    <cellStyle name="AFE 3" xfId="954" xr:uid="{00000000-0005-0000-0000-00007E0E0000}"/>
    <cellStyle name="AFE 3 2" xfId="5124" xr:uid="{00000000-0005-0000-0000-00007F0E0000}"/>
    <cellStyle name="AFE 4" xfId="1647" xr:uid="{00000000-0005-0000-0000-0000800E0000}"/>
    <cellStyle name="AFE 4 2" xfId="5125" xr:uid="{00000000-0005-0000-0000-0000810E0000}"/>
    <cellStyle name="AFE 5" xfId="5126" xr:uid="{00000000-0005-0000-0000-0000820E0000}"/>
    <cellStyle name="AFE 5 2" xfId="5127" xr:uid="{00000000-0005-0000-0000-0000830E0000}"/>
    <cellStyle name="AFE 8" xfId="5128" xr:uid="{00000000-0005-0000-0000-0000840E0000}"/>
    <cellStyle name="AFE 8 2" xfId="5129" xr:uid="{00000000-0005-0000-0000-0000850E0000}"/>
    <cellStyle name="AFE_Ajuste SALDO CVA ANO ANTERIOR PÓS-REVISÃOx" xfId="5130" xr:uid="{00000000-0005-0000-0000-0000860E0000}"/>
    <cellStyle name="AFE_IRT_Planilha Básica_ v2010_CERRP" xfId="43187" xr:uid="{00000000-0005-0000-0000-0000870E0000}"/>
    <cellStyle name="Amarelo%" xfId="712" xr:uid="{00000000-0005-0000-0000-0000880E0000}"/>
    <cellStyle name="Amarelo% 2" xfId="5131" xr:uid="{00000000-0005-0000-0000-0000890E0000}"/>
    <cellStyle name="Amarelo% 3" xfId="5132" xr:uid="{00000000-0005-0000-0000-00008A0E0000}"/>
    <cellStyle name="Amarelo% 3 2" xfId="5133" xr:uid="{00000000-0005-0000-0000-00008B0E0000}"/>
    <cellStyle name="Amarelocot" xfId="713" xr:uid="{00000000-0005-0000-0000-00008C0E0000}"/>
    <cellStyle name="Amarelocot 2" xfId="5134" xr:uid="{00000000-0005-0000-0000-00008D0E0000}"/>
    <cellStyle name="Amarelocot 3" xfId="5135" xr:uid="{00000000-0005-0000-0000-00008E0E0000}"/>
    <cellStyle name="Amarelocot 3 2" xfId="5136" xr:uid="{00000000-0005-0000-0000-00008F0E0000}"/>
    <cellStyle name="Amarelocot_IF - Autoprodutores 2" xfId="5137" xr:uid="{00000000-0005-0000-0000-0000900E0000}"/>
    <cellStyle name="apolo" xfId="5138" xr:uid="{00000000-0005-0000-0000-0000910E0000}"/>
    <cellStyle name="apolo 2" xfId="5139" xr:uid="{00000000-0005-0000-0000-0000920E0000}"/>
    <cellStyle name="apolo 3" xfId="5140" xr:uid="{00000000-0005-0000-0000-0000930E0000}"/>
    <cellStyle name="arial12" xfId="714" xr:uid="{00000000-0005-0000-0000-0000940E0000}"/>
    <cellStyle name="arial12 2" xfId="955" xr:uid="{00000000-0005-0000-0000-0000950E0000}"/>
    <cellStyle name="arial12 3" xfId="5141" xr:uid="{00000000-0005-0000-0000-0000960E0000}"/>
    <cellStyle name="arial12_IRT_Planilha Básica_ v2010_CERRP" xfId="1739" xr:uid="{00000000-0005-0000-0000-0000970E0000}"/>
    <cellStyle name="arial14" xfId="715" xr:uid="{00000000-0005-0000-0000-0000980E0000}"/>
    <cellStyle name="Array" xfId="5142" xr:uid="{00000000-0005-0000-0000-0000990E0000}"/>
    <cellStyle name="Array Enter" xfId="5143" xr:uid="{00000000-0005-0000-0000-00009A0E0000}"/>
    <cellStyle name="Array_IF - Autoprodutores" xfId="5144" xr:uid="{00000000-0005-0000-0000-00009B0E0000}"/>
    <cellStyle name="axlcolour" xfId="5145" xr:uid="{00000000-0005-0000-0000-00009C0E0000}"/>
    <cellStyle name="Bad" xfId="716" xr:uid="{00000000-0005-0000-0000-00009D0E0000}"/>
    <cellStyle name="Bad 2" xfId="5146" xr:uid="{00000000-0005-0000-0000-00009E0E0000}"/>
    <cellStyle name="blank" xfId="5147" xr:uid="{00000000-0005-0000-0000-00009F0E0000}"/>
    <cellStyle name="Body" xfId="717" xr:uid="{00000000-0005-0000-0000-0000A00E0000}"/>
    <cellStyle name="Bold 11" xfId="718" xr:uid="{00000000-0005-0000-0000-0000A10E0000}"/>
    <cellStyle name="Bold 11 2" xfId="5148" xr:uid="{00000000-0005-0000-0000-0000A20E0000}"/>
    <cellStyle name="Bold 11 3" xfId="5149" xr:uid="{00000000-0005-0000-0000-0000A30E0000}"/>
    <cellStyle name="Bold 11 3 2" xfId="5150" xr:uid="{00000000-0005-0000-0000-0000A40E0000}"/>
    <cellStyle name="Bold 11_IF - Autoprodutores 2" xfId="5151" xr:uid="{00000000-0005-0000-0000-0000A50E0000}"/>
    <cellStyle name="Bold/Border" xfId="5152" xr:uid="{00000000-0005-0000-0000-0000A60E0000}"/>
    <cellStyle name="Bol-Data" xfId="719" xr:uid="{00000000-0005-0000-0000-0000A70E0000}"/>
    <cellStyle name="bolet" xfId="720" xr:uid="{00000000-0005-0000-0000-0000A80E0000}"/>
    <cellStyle name="bolet 2" xfId="5153" xr:uid="{00000000-0005-0000-0000-0000A90E0000}"/>
    <cellStyle name="Bom" xfId="721" xr:uid="{00000000-0005-0000-0000-0000AA0E0000}"/>
    <cellStyle name="Bom 10" xfId="5154" xr:uid="{00000000-0005-0000-0000-0000AB0E0000}"/>
    <cellStyle name="Bom 2" xfId="956" xr:uid="{00000000-0005-0000-0000-0000AC0E0000}"/>
    <cellStyle name="Bom 2 2" xfId="5155" xr:uid="{00000000-0005-0000-0000-0000AD0E0000}"/>
    <cellStyle name="Bom 3" xfId="1740" xr:uid="{00000000-0005-0000-0000-0000AE0E0000}"/>
    <cellStyle name="Bom 3 2" xfId="5156" xr:uid="{00000000-0005-0000-0000-0000AF0E0000}"/>
    <cellStyle name="Bom 4" xfId="5157" xr:uid="{00000000-0005-0000-0000-0000B00E0000}"/>
    <cellStyle name="Bom 4 2" xfId="5158" xr:uid="{00000000-0005-0000-0000-0000B10E0000}"/>
    <cellStyle name="Bom 5" xfId="5159" xr:uid="{00000000-0005-0000-0000-0000B20E0000}"/>
    <cellStyle name="Bom 6" xfId="5160" xr:uid="{00000000-0005-0000-0000-0000B30E0000}"/>
    <cellStyle name="Bom 7" xfId="5161" xr:uid="{00000000-0005-0000-0000-0000B40E0000}"/>
    <cellStyle name="Bom 8" xfId="5162" xr:uid="{00000000-0005-0000-0000-0000B50E0000}"/>
    <cellStyle name="Bom 9" xfId="5163" xr:uid="{00000000-0005-0000-0000-0000B60E0000}"/>
    <cellStyle name="Border" xfId="5164" xr:uid="{00000000-0005-0000-0000-0000B70E0000}"/>
    <cellStyle name="Buena" xfId="957" xr:uid="{00000000-0005-0000-0000-0000B80E0000}"/>
    <cellStyle name="Buena 2" xfId="5165" xr:uid="{00000000-0005-0000-0000-0000B90E0000}"/>
    <cellStyle name="Bullet" xfId="5166" xr:uid="{00000000-0005-0000-0000-0000BA0E0000}"/>
    <cellStyle name="Cabe‡alho 1" xfId="722" xr:uid="{00000000-0005-0000-0000-0000BB0E0000}"/>
    <cellStyle name="Cabe‡alho 1 2" xfId="5167" xr:uid="{00000000-0005-0000-0000-0000BC0E0000}"/>
    <cellStyle name="Cabe‡alho 1 3" xfId="5168" xr:uid="{00000000-0005-0000-0000-0000BD0E0000}"/>
    <cellStyle name="Cabe‡alho 2" xfId="723" xr:uid="{00000000-0005-0000-0000-0000BE0E0000}"/>
    <cellStyle name="Cabe‡alho 2 2" xfId="5169" xr:uid="{00000000-0005-0000-0000-0000BF0E0000}"/>
    <cellStyle name="Cabe‡alho 2 3" xfId="5170" xr:uid="{00000000-0005-0000-0000-0000C00E0000}"/>
    <cellStyle name="CABEÇALHO" xfId="724" xr:uid="{00000000-0005-0000-0000-0000C10E0000}"/>
    <cellStyle name="Cabeçalho 1" xfId="5171" xr:uid="{00000000-0005-0000-0000-0000C20E0000}"/>
    <cellStyle name="Cabeçalho 2" xfId="5172" xr:uid="{00000000-0005-0000-0000-0000C30E0000}"/>
    <cellStyle name="CABEÇALHO2" xfId="725" xr:uid="{00000000-0005-0000-0000-0000C40E0000}"/>
    <cellStyle name="Calc Currency (0)" xfId="726" xr:uid="{00000000-0005-0000-0000-0000C50E0000}"/>
    <cellStyle name="Calc Currency (0) 2" xfId="958" xr:uid="{00000000-0005-0000-0000-0000C60E0000}"/>
    <cellStyle name="Calc Currency (0) 3" xfId="5173" xr:uid="{00000000-0005-0000-0000-0000C70E0000}"/>
    <cellStyle name="Calc Currency (0)_IRT_Planilha Básica_ v2010_CERRP" xfId="1741" xr:uid="{00000000-0005-0000-0000-0000C80E0000}"/>
    <cellStyle name="Calc Currency (2)" xfId="727" xr:uid="{00000000-0005-0000-0000-0000C90E0000}"/>
    <cellStyle name="Calc Percent (0)" xfId="728" xr:uid="{00000000-0005-0000-0000-0000CA0E0000}"/>
    <cellStyle name="Calc Percent (1)" xfId="729" xr:uid="{00000000-0005-0000-0000-0000CB0E0000}"/>
    <cellStyle name="Calc Percent (1) 2" xfId="959" xr:uid="{00000000-0005-0000-0000-0000CC0E0000}"/>
    <cellStyle name="Calc Percent (1) 3" xfId="5174" xr:uid="{00000000-0005-0000-0000-0000CD0E0000}"/>
    <cellStyle name="Calc Percent (1)_IRT_Planilha Básica_ v2010_CERRP" xfId="1742" xr:uid="{00000000-0005-0000-0000-0000CE0E0000}"/>
    <cellStyle name="Calc Percent (2)" xfId="730" xr:uid="{00000000-0005-0000-0000-0000CF0E0000}"/>
    <cellStyle name="Calc Percent (2) 2" xfId="5175" xr:uid="{00000000-0005-0000-0000-0000D00E0000}"/>
    <cellStyle name="Calc Percent (2) 3" xfId="5176" xr:uid="{00000000-0005-0000-0000-0000D10E0000}"/>
    <cellStyle name="Calc Percent (2) 3 2" xfId="5177" xr:uid="{00000000-0005-0000-0000-0000D20E0000}"/>
    <cellStyle name="Calc Percent (2)_IF - Autoprodutores 2" xfId="5178" xr:uid="{00000000-0005-0000-0000-0000D30E0000}"/>
    <cellStyle name="Calc Units (0)" xfId="731" xr:uid="{00000000-0005-0000-0000-0000D40E0000}"/>
    <cellStyle name="Calc Units (0) 2" xfId="960" xr:uid="{00000000-0005-0000-0000-0000D50E0000}"/>
    <cellStyle name="Calc Units (0) 3" xfId="5179" xr:uid="{00000000-0005-0000-0000-0000D60E0000}"/>
    <cellStyle name="Calc Units (0)_IRT_Planilha Básica_ v2010_CERRP" xfId="1743" xr:uid="{00000000-0005-0000-0000-0000D70E0000}"/>
    <cellStyle name="Calc Units (1)" xfId="732" xr:uid="{00000000-0005-0000-0000-0000D80E0000}"/>
    <cellStyle name="Calc Units (1) 2" xfId="961" xr:uid="{00000000-0005-0000-0000-0000D90E0000}"/>
    <cellStyle name="Calc Units (1) 3" xfId="5180" xr:uid="{00000000-0005-0000-0000-0000DA0E0000}"/>
    <cellStyle name="Calc Units (1)_IRT_Planilha Básica_ v2010_CERRP" xfId="1744" xr:uid="{00000000-0005-0000-0000-0000DB0E0000}"/>
    <cellStyle name="Calc Units (2)" xfId="733" xr:uid="{00000000-0005-0000-0000-0000DC0E0000}"/>
    <cellStyle name="Calculation" xfId="734" xr:uid="{00000000-0005-0000-0000-0000DD0E0000}"/>
    <cellStyle name="Calculation 2" xfId="1802" xr:uid="{00000000-0005-0000-0000-0000DE0E0000}"/>
    <cellStyle name="Calculation 2 2" xfId="1880" xr:uid="{00000000-0005-0000-0000-0000DF0E0000}"/>
    <cellStyle name="Calculation 2 2 2" xfId="2069" xr:uid="{00000000-0005-0000-0000-0000E00E0000}"/>
    <cellStyle name="Calculation 2 2 3" xfId="2122" xr:uid="{00000000-0005-0000-0000-0000E10E0000}"/>
    <cellStyle name="Calculation 2 2 4" xfId="2623" xr:uid="{00000000-0005-0000-0000-0000E20E0000}"/>
    <cellStyle name="Calculation 2 2 5" xfId="2227" xr:uid="{00000000-0005-0000-0000-0000E30E0000}"/>
    <cellStyle name="Calculation 2 3" xfId="2018" xr:uid="{00000000-0005-0000-0000-0000E40E0000}"/>
    <cellStyle name="Calculation 2 4" xfId="2345" xr:uid="{00000000-0005-0000-0000-0000E50E0000}"/>
    <cellStyle name="Calculation 3" xfId="1816" xr:uid="{00000000-0005-0000-0000-0000E60E0000}"/>
    <cellStyle name="Calculation 3 2" xfId="2027" xr:uid="{00000000-0005-0000-0000-0000E70E0000}"/>
    <cellStyle name="Calculation 3 3" xfId="2084" xr:uid="{00000000-0005-0000-0000-0000E80E0000}"/>
    <cellStyle name="Calculation 3 4" xfId="2322" xr:uid="{00000000-0005-0000-0000-0000E90E0000}"/>
    <cellStyle name="Calculation 3 5" xfId="2297" xr:uid="{00000000-0005-0000-0000-0000EA0E0000}"/>
    <cellStyle name="Calculation 4" xfId="1906" xr:uid="{00000000-0005-0000-0000-0000EB0E0000}"/>
    <cellStyle name="Calculation 5" xfId="2240" xr:uid="{00000000-0005-0000-0000-0000EC0E0000}"/>
    <cellStyle name="Cálculo" xfId="735" xr:uid="{00000000-0005-0000-0000-0000ED0E0000}"/>
    <cellStyle name="Cálculo 10" xfId="5181" xr:uid="{00000000-0005-0000-0000-0000EE0E0000}"/>
    <cellStyle name="Cálculo 11" xfId="43422" xr:uid="{00000000-0005-0000-0000-0000EF0E0000}"/>
    <cellStyle name="Cálculo 2" xfId="962" xr:uid="{00000000-0005-0000-0000-0000F00E0000}"/>
    <cellStyle name="Cálculo 2 2" xfId="1828" xr:uid="{00000000-0005-0000-0000-0000F10E0000}"/>
    <cellStyle name="Cálculo 2 2 2" xfId="2032" xr:uid="{00000000-0005-0000-0000-0000F20E0000}"/>
    <cellStyle name="Cálculo 2 2 3" xfId="2090" xr:uid="{00000000-0005-0000-0000-0000F30E0000}"/>
    <cellStyle name="Cálculo 2 2 4" xfId="2129" xr:uid="{00000000-0005-0000-0000-0000F40E0000}"/>
    <cellStyle name="Cálculo 2 2 5" xfId="2159" xr:uid="{00000000-0005-0000-0000-0000F50E0000}"/>
    <cellStyle name="Cálculo 2 3" xfId="1919" xr:uid="{00000000-0005-0000-0000-0000F60E0000}"/>
    <cellStyle name="Cálculo 2 4" xfId="2329" xr:uid="{00000000-0005-0000-0000-0000F70E0000}"/>
    <cellStyle name="Cálculo 3" xfId="1745" xr:uid="{00000000-0005-0000-0000-0000F80E0000}"/>
    <cellStyle name="Cálculo 3 2" xfId="2006" xr:uid="{00000000-0005-0000-0000-0000F90E0000}"/>
    <cellStyle name="Cálculo 3 3" xfId="2076" xr:uid="{00000000-0005-0000-0000-0000FA0E0000}"/>
    <cellStyle name="Cálculo 3 4" xfId="2323" xr:uid="{00000000-0005-0000-0000-0000FB0E0000}"/>
    <cellStyle name="Cálculo 3 5" xfId="2396" xr:uid="{00000000-0005-0000-0000-0000FC0E0000}"/>
    <cellStyle name="Cálculo 4" xfId="1907" xr:uid="{00000000-0005-0000-0000-0000FD0E0000}"/>
    <cellStyle name="Cálculo 4 2" xfId="5182" xr:uid="{00000000-0005-0000-0000-0000FE0E0000}"/>
    <cellStyle name="Cálculo 5" xfId="2346" xr:uid="{00000000-0005-0000-0000-0000FF0E0000}"/>
    <cellStyle name="Cálculo 6" xfId="5183" xr:uid="{00000000-0005-0000-0000-0000000F0000}"/>
    <cellStyle name="Cálculo 7" xfId="5184" xr:uid="{00000000-0005-0000-0000-0000010F0000}"/>
    <cellStyle name="Cálculo 8" xfId="5185" xr:uid="{00000000-0005-0000-0000-0000020F0000}"/>
    <cellStyle name="Cálculo 9" xfId="5186" xr:uid="{00000000-0005-0000-0000-0000030F0000}"/>
    <cellStyle name="CALDAS" xfId="736" xr:uid="{00000000-0005-0000-0000-0000040F0000}"/>
    <cellStyle name="CALDAS 2" xfId="1817" xr:uid="{00000000-0005-0000-0000-0000050F0000}"/>
    <cellStyle name="CALDAS 2 2" xfId="2085" xr:uid="{00000000-0005-0000-0000-0000060F0000}"/>
    <cellStyle name="CALDAS 2 2 2" xfId="2630" xr:uid="{00000000-0005-0000-0000-0000070F0000}"/>
    <cellStyle name="CALDAS 2 2 3" xfId="2273" xr:uid="{00000000-0005-0000-0000-0000080F0000}"/>
    <cellStyle name="CALDAS 2 3" xfId="2321" xr:uid="{00000000-0005-0000-0000-0000090F0000}"/>
    <cellStyle name="CALDAS 2 4" xfId="2392" xr:uid="{00000000-0005-0000-0000-00000A0F0000}"/>
    <cellStyle name="CALDAS 2 5" xfId="43212" xr:uid="{00000000-0005-0000-0000-00000B0F0000}"/>
    <cellStyle name="CALDAS 3" xfId="1908" xr:uid="{00000000-0005-0000-0000-00000C0F0000}"/>
    <cellStyle name="CALDAS 3 2" xfId="2411" xr:uid="{00000000-0005-0000-0000-00000D0F0000}"/>
    <cellStyle name="CALDAS 3 3" xfId="2629" xr:uid="{00000000-0005-0000-0000-00000E0F0000}"/>
    <cellStyle name="CALDAS 3 4" xfId="2229" xr:uid="{00000000-0005-0000-0000-00000F0F0000}"/>
    <cellStyle name="CALDAS 4" xfId="2202" xr:uid="{00000000-0005-0000-0000-0000100F0000}"/>
    <cellStyle name="CALDAS 5" xfId="43211" xr:uid="{00000000-0005-0000-0000-0000110F0000}"/>
    <cellStyle name="čárky [0]_Business Plan MCE" xfId="5187" xr:uid="{00000000-0005-0000-0000-0000120F0000}"/>
    <cellStyle name="čárky_Business Plan MCE" xfId="5188" xr:uid="{00000000-0005-0000-0000-0000130F0000}"/>
    <cellStyle name="Celda de comprobación" xfId="963" xr:uid="{00000000-0005-0000-0000-0000140F0000}"/>
    <cellStyle name="Celda de comprobación 2" xfId="1829" xr:uid="{00000000-0005-0000-0000-0000150F0000}"/>
    <cellStyle name="Celda de comprobación 2 2" xfId="2091" xr:uid="{00000000-0005-0000-0000-0000160F0000}"/>
    <cellStyle name="Celda de comprobación 2 3" xfId="2486" xr:uid="{00000000-0005-0000-0000-0000170F0000}"/>
    <cellStyle name="Celda de comprobación 3" xfId="2487" xr:uid="{00000000-0005-0000-0000-0000180F0000}"/>
    <cellStyle name="Celda vinculada" xfId="964" xr:uid="{00000000-0005-0000-0000-0000190F0000}"/>
    <cellStyle name="Célula de Verificação" xfId="737" xr:uid="{00000000-0005-0000-0000-00001A0F0000}"/>
    <cellStyle name="Célula de Verificação 2" xfId="965" xr:uid="{00000000-0005-0000-0000-00001B0F0000}"/>
    <cellStyle name="Célula de Verificação 2 2" xfId="1830" xr:uid="{00000000-0005-0000-0000-00001C0F0000}"/>
    <cellStyle name="Célula de Verificação 2 2 2" xfId="2092" xr:uid="{00000000-0005-0000-0000-00001D0F0000}"/>
    <cellStyle name="Célula de Verificação 2 2 3" xfId="2488" xr:uid="{00000000-0005-0000-0000-00001E0F0000}"/>
    <cellStyle name="Célula de Verificação 2 3" xfId="2489" xr:uid="{00000000-0005-0000-0000-00001F0F0000}"/>
    <cellStyle name="Célula de Verificação 2 4" xfId="2490" xr:uid="{00000000-0005-0000-0000-0000200F0000}"/>
    <cellStyle name="Célula de Verificação 3" xfId="1746" xr:uid="{00000000-0005-0000-0000-0000210F0000}"/>
    <cellStyle name="Célula de Verificação 3 2" xfId="1873" xr:uid="{00000000-0005-0000-0000-0000220F0000}"/>
    <cellStyle name="Célula de Verificação 3 2 2" xfId="2120" xr:uid="{00000000-0005-0000-0000-0000230F0000}"/>
    <cellStyle name="Célula de Verificação 3 2 3" xfId="2491" xr:uid="{00000000-0005-0000-0000-0000240F0000}"/>
    <cellStyle name="Célula de Verificação 3 3" xfId="2492" xr:uid="{00000000-0005-0000-0000-0000250F0000}"/>
    <cellStyle name="Célula de Verificação 3 4" xfId="2493" xr:uid="{00000000-0005-0000-0000-0000260F0000}"/>
    <cellStyle name="Célula de Verificação 4" xfId="5189" xr:uid="{00000000-0005-0000-0000-0000270F0000}"/>
    <cellStyle name="Célula Vinculada" xfId="738" xr:uid="{00000000-0005-0000-0000-0000280F0000}"/>
    <cellStyle name="Célula Vinculada 2" xfId="966" xr:uid="{00000000-0005-0000-0000-0000290F0000}"/>
    <cellStyle name="Célula Vinculada 2 2" xfId="5190" xr:uid="{00000000-0005-0000-0000-00002A0F0000}"/>
    <cellStyle name="Célula Vinculada 3" xfId="1747" xr:uid="{00000000-0005-0000-0000-00002B0F0000}"/>
    <cellStyle name="Célula Vinculada 4" xfId="5191" xr:uid="{00000000-0005-0000-0000-00002C0F0000}"/>
    <cellStyle name="Changed no." xfId="5192" xr:uid="{00000000-0005-0000-0000-00002D0F0000}"/>
    <cellStyle name="Check Cell" xfId="739" xr:uid="{00000000-0005-0000-0000-00002E0F0000}"/>
    <cellStyle name="Check Cell 2" xfId="1803" xr:uid="{00000000-0005-0000-0000-00002F0F0000}"/>
    <cellStyle name="Check Cell 2 2" xfId="1881" xr:uid="{00000000-0005-0000-0000-0000300F0000}"/>
    <cellStyle name="Check Cell 2 2 2" xfId="2123" xr:uid="{00000000-0005-0000-0000-0000310F0000}"/>
    <cellStyle name="Check Cell 2 2 3" xfId="2494" xr:uid="{00000000-0005-0000-0000-0000320F0000}"/>
    <cellStyle name="Check Cell 2 3" xfId="2495" xr:uid="{00000000-0005-0000-0000-0000330F0000}"/>
    <cellStyle name="Check Cell 3" xfId="2496" xr:uid="{00000000-0005-0000-0000-0000340F0000}"/>
    <cellStyle name="Check Cell_Escelsa_2008_Versao regulatorio_Dyogenes" xfId="5193" xr:uid="{00000000-0005-0000-0000-0000350F0000}"/>
    <cellStyle name="Code" xfId="740" xr:uid="{00000000-0005-0000-0000-0000360F0000}"/>
    <cellStyle name="Code 2" xfId="5194" xr:uid="{00000000-0005-0000-0000-0000370F0000}"/>
    <cellStyle name="Code Section" xfId="741" xr:uid="{00000000-0005-0000-0000-0000380F0000}"/>
    <cellStyle name="Code Section 2" xfId="5195" xr:uid="{00000000-0005-0000-0000-0000390F0000}"/>
    <cellStyle name="Code Section 3" xfId="5196" xr:uid="{00000000-0005-0000-0000-00003A0F0000}"/>
    <cellStyle name="Code Section_IF - Autoprodutores 2" xfId="5197" xr:uid="{00000000-0005-0000-0000-00003B0F0000}"/>
    <cellStyle name="Collegamento ipertestuale" xfId="5198" xr:uid="{00000000-0005-0000-0000-00003C0F0000}"/>
    <cellStyle name="Comma  - Style1" xfId="742" xr:uid="{00000000-0005-0000-0000-00003D0F0000}"/>
    <cellStyle name="Comma  - Style2" xfId="5199" xr:uid="{00000000-0005-0000-0000-00003E0F0000}"/>
    <cellStyle name="Comma  - Style3" xfId="5200" xr:uid="{00000000-0005-0000-0000-00003F0F0000}"/>
    <cellStyle name="Comma  - Style4" xfId="5201" xr:uid="{00000000-0005-0000-0000-0000400F0000}"/>
    <cellStyle name="Comma  - Style5" xfId="5202" xr:uid="{00000000-0005-0000-0000-0000410F0000}"/>
    <cellStyle name="Comma  - Style6" xfId="5203" xr:uid="{00000000-0005-0000-0000-0000420F0000}"/>
    <cellStyle name="Comma  - Style7" xfId="5204" xr:uid="{00000000-0005-0000-0000-0000430F0000}"/>
    <cellStyle name="Comma  - Style8" xfId="5205" xr:uid="{00000000-0005-0000-0000-0000440F0000}"/>
    <cellStyle name="Comma (0.0)" xfId="5206" xr:uid="{00000000-0005-0000-0000-0000450F0000}"/>
    <cellStyle name="Comma (0.00)" xfId="5207" xr:uid="{00000000-0005-0000-0000-0000460F0000}"/>
    <cellStyle name="Comma (hidden)" xfId="5208" xr:uid="{00000000-0005-0000-0000-0000470F0000}"/>
    <cellStyle name="Comma (index)" xfId="5209" xr:uid="{00000000-0005-0000-0000-0000480F0000}"/>
    <cellStyle name="Comma [0]_12matrix" xfId="743" xr:uid="{00000000-0005-0000-0000-0000490F0000}"/>
    <cellStyle name="Comma [00]" xfId="744" xr:uid="{00000000-0005-0000-0000-00004A0F0000}"/>
    <cellStyle name="Comma [00] 2" xfId="967" xr:uid="{00000000-0005-0000-0000-00004B0F0000}"/>
    <cellStyle name="Comma [00] 3" xfId="5210" xr:uid="{00000000-0005-0000-0000-00004C0F0000}"/>
    <cellStyle name="Comma 0" xfId="5211" xr:uid="{00000000-0005-0000-0000-00004D0F0000}"/>
    <cellStyle name="Comma 10" xfId="5212" xr:uid="{00000000-0005-0000-0000-00004E0F0000}"/>
    <cellStyle name="Comma 13" xfId="1648" xr:uid="{00000000-0005-0000-0000-00004F0F0000}"/>
    <cellStyle name="Comma 13 2" xfId="43213" xr:uid="{00000000-0005-0000-0000-0000500F0000}"/>
    <cellStyle name="Comma 2" xfId="745" xr:uid="{00000000-0005-0000-0000-0000510F0000}"/>
    <cellStyle name="Comma 2 2" xfId="968" xr:uid="{00000000-0005-0000-0000-0000520F0000}"/>
    <cellStyle name="Comma 2 2 2" xfId="5213" xr:uid="{00000000-0005-0000-0000-0000530F0000}"/>
    <cellStyle name="Comma 2 2 3" xfId="5214" xr:uid="{00000000-0005-0000-0000-0000540F0000}"/>
    <cellStyle name="Comma 2 2 4" xfId="5215" xr:uid="{00000000-0005-0000-0000-0000550F0000}"/>
    <cellStyle name="Comma 2 2 5" xfId="5216" xr:uid="{00000000-0005-0000-0000-0000560F0000}"/>
    <cellStyle name="Comma 2 2 6" xfId="43215" xr:uid="{00000000-0005-0000-0000-0000570F0000}"/>
    <cellStyle name="Comma 2 3" xfId="969" xr:uid="{00000000-0005-0000-0000-0000580F0000}"/>
    <cellStyle name="Comma 2 3 2" xfId="43216" xr:uid="{00000000-0005-0000-0000-0000590F0000}"/>
    <cellStyle name="Comma 2 4" xfId="5217" xr:uid="{00000000-0005-0000-0000-00005A0F0000}"/>
    <cellStyle name="Comma 2 5" xfId="43214" xr:uid="{00000000-0005-0000-0000-00005B0F0000}"/>
    <cellStyle name="Comma 2 5 2" xfId="43439" xr:uid="{CA59F4CD-3945-4FFC-BF05-4AA680FD5C6A}"/>
    <cellStyle name="Comma 3" xfId="970" xr:uid="{00000000-0005-0000-0000-00005C0F0000}"/>
    <cellStyle name="Comma 3 2" xfId="5218" xr:uid="{00000000-0005-0000-0000-00005D0F0000}"/>
    <cellStyle name="Comma 3 3" xfId="43217" xr:uid="{00000000-0005-0000-0000-00005E0F0000}"/>
    <cellStyle name="Comma 4" xfId="971" xr:uid="{00000000-0005-0000-0000-00005F0F0000}"/>
    <cellStyle name="Comma 4 2" xfId="5219" xr:uid="{00000000-0005-0000-0000-0000600F0000}"/>
    <cellStyle name="Comma 4 3" xfId="43218" xr:uid="{00000000-0005-0000-0000-0000610F0000}"/>
    <cellStyle name="Comma 5" xfId="5220" xr:uid="{00000000-0005-0000-0000-0000620F0000}"/>
    <cellStyle name="Comma 6" xfId="5221" xr:uid="{00000000-0005-0000-0000-0000630F0000}"/>
    <cellStyle name="Comma 6 2" xfId="5222" xr:uid="{00000000-0005-0000-0000-0000640F0000}"/>
    <cellStyle name="Comma 63" xfId="5223" xr:uid="{00000000-0005-0000-0000-0000650F0000}"/>
    <cellStyle name="Comma 7" xfId="5224" xr:uid="{00000000-0005-0000-0000-0000660F0000}"/>
    <cellStyle name="Comma Black [0]" xfId="5225" xr:uid="{00000000-0005-0000-0000-0000670F0000}"/>
    <cellStyle name="Comma Black [1]" xfId="5226" xr:uid="{00000000-0005-0000-0000-0000680F0000}"/>
    <cellStyle name="Comma Black [2]" xfId="5227" xr:uid="{00000000-0005-0000-0000-0000690F0000}"/>
    <cellStyle name="Comma Blue [0]" xfId="5228" xr:uid="{00000000-0005-0000-0000-00006A0F0000}"/>
    <cellStyle name="Comma Blue [1]" xfId="5229" xr:uid="{00000000-0005-0000-0000-00006B0F0000}"/>
    <cellStyle name="Comma Blue [2]" xfId="5230" xr:uid="{00000000-0005-0000-0000-00006C0F0000}"/>
    <cellStyle name="Comma_12matrix" xfId="746" xr:uid="{00000000-0005-0000-0000-00006D0F0000}"/>
    <cellStyle name="Comma0" xfId="747" xr:uid="{00000000-0005-0000-0000-00006E0F0000}"/>
    <cellStyle name="Comma0 - Estilo2" xfId="5231" xr:uid="{00000000-0005-0000-0000-00006F0F0000}"/>
    <cellStyle name="Comma0 - Estilo3" xfId="5232" xr:uid="{00000000-0005-0000-0000-0000700F0000}"/>
    <cellStyle name="Comma0 - Modelo1" xfId="5233" xr:uid="{00000000-0005-0000-0000-0000710F0000}"/>
    <cellStyle name="Comma0 - Style1" xfId="5234" xr:uid="{00000000-0005-0000-0000-0000720F0000}"/>
    <cellStyle name="Comma0 2" xfId="5235" xr:uid="{00000000-0005-0000-0000-0000730F0000}"/>
    <cellStyle name="Comma0 3" xfId="5236" xr:uid="{00000000-0005-0000-0000-0000740F0000}"/>
    <cellStyle name="Comma1 - Estilo1" xfId="5237" xr:uid="{00000000-0005-0000-0000-0000750F0000}"/>
    <cellStyle name="Comma1 - Modelo2" xfId="5238" xr:uid="{00000000-0005-0000-0000-0000760F0000}"/>
    <cellStyle name="Comma1 - Style2" xfId="5239" xr:uid="{00000000-0005-0000-0000-0000770F0000}"/>
    <cellStyle name="Conferência" xfId="748" xr:uid="{00000000-0005-0000-0000-0000780F0000}"/>
    <cellStyle name="Conferência 2" xfId="5240" xr:uid="{00000000-0005-0000-0000-0000790F0000}"/>
    <cellStyle name="Conferência 3" xfId="5241" xr:uid="{00000000-0005-0000-0000-00007A0F0000}"/>
    <cellStyle name="Conferência 3 2" xfId="5242" xr:uid="{00000000-0005-0000-0000-00007B0F0000}"/>
    <cellStyle name="Conferência 4" xfId="43219" xr:uid="{00000000-0005-0000-0000-00007C0F0000}"/>
    <cellStyle name="Curren - Style2" xfId="749" xr:uid="{00000000-0005-0000-0000-00007D0F0000}"/>
    <cellStyle name="Currency (0)" xfId="750" xr:uid="{00000000-0005-0000-0000-00007E0F0000}"/>
    <cellStyle name="Currency (0) 2" xfId="5243" xr:uid="{00000000-0005-0000-0000-00007F0F0000}"/>
    <cellStyle name="Currency (2)" xfId="751" xr:uid="{00000000-0005-0000-0000-0000800F0000}"/>
    <cellStyle name="Currency (2) 2" xfId="5244" xr:uid="{00000000-0005-0000-0000-0000810F0000}"/>
    <cellStyle name="Currency (hidden)" xfId="5245" xr:uid="{00000000-0005-0000-0000-0000820F0000}"/>
    <cellStyle name="Currency [0]_12matrix" xfId="752" xr:uid="{00000000-0005-0000-0000-0000830F0000}"/>
    <cellStyle name="Currency [00]" xfId="753" xr:uid="{00000000-0005-0000-0000-0000840F0000}"/>
    <cellStyle name="Currency 0" xfId="5246" xr:uid="{00000000-0005-0000-0000-0000850F0000}"/>
    <cellStyle name="Currency 2" xfId="5247" xr:uid="{00000000-0005-0000-0000-0000860F0000}"/>
    <cellStyle name="Currency_12matrix" xfId="754" xr:uid="{00000000-0005-0000-0000-0000870F0000}"/>
    <cellStyle name="Currency0" xfId="755" xr:uid="{00000000-0005-0000-0000-0000880F0000}"/>
    <cellStyle name="Currency0 2" xfId="5248" xr:uid="{00000000-0005-0000-0000-0000890F0000}"/>
    <cellStyle name="Currency0 3" xfId="5249" xr:uid="{00000000-0005-0000-0000-00008A0F0000}"/>
    <cellStyle name="Dash" xfId="5250" xr:uid="{00000000-0005-0000-0000-00008B0F0000}"/>
    <cellStyle name="Data" xfId="756" xr:uid="{00000000-0005-0000-0000-00008C0F0000}"/>
    <cellStyle name="Data 2" xfId="5251" xr:uid="{00000000-0005-0000-0000-00008D0F0000}"/>
    <cellStyle name="Data 3" xfId="5252" xr:uid="{00000000-0005-0000-0000-00008E0F0000}"/>
    <cellStyle name="Date" xfId="757" xr:uid="{00000000-0005-0000-0000-00008F0F0000}"/>
    <cellStyle name="Date [mmm-yy]" xfId="1649" xr:uid="{00000000-0005-0000-0000-0000900F0000}"/>
    <cellStyle name="Date Aligned" xfId="5253" xr:uid="{00000000-0005-0000-0000-0000910F0000}"/>
    <cellStyle name="Date Short" xfId="758" xr:uid="{00000000-0005-0000-0000-0000920F0000}"/>
    <cellStyle name="Date Short 2" xfId="972" xr:uid="{00000000-0005-0000-0000-0000930F0000}"/>
    <cellStyle name="Date Short 3" xfId="5254" xr:uid="{00000000-0005-0000-0000-0000940F0000}"/>
    <cellStyle name="Date Short_IRT_Planilha Básica_ v2010_CERRP" xfId="1748" xr:uid="{00000000-0005-0000-0000-0000950F0000}"/>
    <cellStyle name="Date_02 IRT COSERN 2009" xfId="1650" xr:uid="{00000000-0005-0000-0000-0000960F0000}"/>
    <cellStyle name="Date-Time" xfId="759" xr:uid="{00000000-0005-0000-0000-0000970F0000}"/>
    <cellStyle name="Date-Time 2" xfId="5255" xr:uid="{00000000-0005-0000-0000-0000980F0000}"/>
    <cellStyle name="Date-Time 3" xfId="5256" xr:uid="{00000000-0005-0000-0000-0000990F0000}"/>
    <cellStyle name="Date-Time 3 2" xfId="5257" xr:uid="{00000000-0005-0000-0000-00009A0F0000}"/>
    <cellStyle name="Dato" xfId="1651" xr:uid="{00000000-0005-0000-0000-00009B0F0000}"/>
    <cellStyle name="Decimal 1" xfId="760" xr:uid="{00000000-0005-0000-0000-00009C0F0000}"/>
    <cellStyle name="Decimal 1 2" xfId="5258" xr:uid="{00000000-0005-0000-0000-00009D0F0000}"/>
    <cellStyle name="Decimal 1 3" xfId="5259" xr:uid="{00000000-0005-0000-0000-00009E0F0000}"/>
    <cellStyle name="Decimal 1 3 2" xfId="5260" xr:uid="{00000000-0005-0000-0000-00009F0F0000}"/>
    <cellStyle name="Decimal 2" xfId="761" xr:uid="{00000000-0005-0000-0000-0000A00F0000}"/>
    <cellStyle name="Decimal 3" xfId="762" xr:uid="{00000000-0005-0000-0000-0000A10F0000}"/>
    <cellStyle name="Decimal 3 2" xfId="5261" xr:uid="{00000000-0005-0000-0000-0000A20F0000}"/>
    <cellStyle name="DELTA" xfId="763" xr:uid="{00000000-0005-0000-0000-0000A30F0000}"/>
    <cellStyle name="DELTA 2" xfId="973" xr:uid="{00000000-0005-0000-0000-0000A40F0000}"/>
    <cellStyle name="DELTA 3" xfId="5262" xr:uid="{00000000-0005-0000-0000-0000A50F0000}"/>
    <cellStyle name="DELTA_IRT_Planilha Básica_ v2010_CERRP" xfId="1749" xr:uid="{00000000-0005-0000-0000-0000A60F0000}"/>
    <cellStyle name="DESCRIÇÃO" xfId="5263" xr:uid="{00000000-0005-0000-0000-0000A70F0000}"/>
    <cellStyle name="Design" xfId="5264" xr:uid="{00000000-0005-0000-0000-0000A80F0000}"/>
    <cellStyle name="Design 2" xfId="5265" xr:uid="{00000000-0005-0000-0000-0000A90F0000}"/>
    <cellStyle name="Design 3" xfId="5266" xr:uid="{00000000-0005-0000-0000-0000AA0F0000}"/>
    <cellStyle name="Design_IF - Autoprodutores" xfId="5267" xr:uid="{00000000-0005-0000-0000-0000AB0F0000}"/>
    <cellStyle name="Dia" xfId="5268" xr:uid="{00000000-0005-0000-0000-0000AC0F0000}"/>
    <cellStyle name="Dotted Line" xfId="5269" xr:uid="{00000000-0005-0000-0000-0000AD0F0000}"/>
    <cellStyle name="E&amp;Y House" xfId="5270" xr:uid="{00000000-0005-0000-0000-0000AE0F0000}"/>
    <cellStyle name="Emphasis 1" xfId="5271" xr:uid="{00000000-0005-0000-0000-0000AF0F0000}"/>
    <cellStyle name="Emphasis 2" xfId="5272" xr:uid="{00000000-0005-0000-0000-0000B00F0000}"/>
    <cellStyle name="Emphasis 3" xfId="5273" xr:uid="{00000000-0005-0000-0000-0000B10F0000}"/>
    <cellStyle name="Encabez1" xfId="5274" xr:uid="{00000000-0005-0000-0000-0000B20F0000}"/>
    <cellStyle name="Encabez2" xfId="5275" xr:uid="{00000000-0005-0000-0000-0000B30F0000}"/>
    <cellStyle name="Encabezado 4" xfId="974" xr:uid="{00000000-0005-0000-0000-0000B40F0000}"/>
    <cellStyle name="Ênfase1" xfId="764" xr:uid="{00000000-0005-0000-0000-0000B50F0000}"/>
    <cellStyle name="Ênfase1 10" xfId="5276" xr:uid="{00000000-0005-0000-0000-0000B60F0000}"/>
    <cellStyle name="Ênfase1 2" xfId="975" xr:uid="{00000000-0005-0000-0000-0000B70F0000}"/>
    <cellStyle name="Ênfase1 2 2" xfId="5277" xr:uid="{00000000-0005-0000-0000-0000B80F0000}"/>
    <cellStyle name="Ênfase1 3" xfId="1750" xr:uid="{00000000-0005-0000-0000-0000B90F0000}"/>
    <cellStyle name="Ênfase1 3 2" xfId="5278" xr:uid="{00000000-0005-0000-0000-0000BA0F0000}"/>
    <cellStyle name="Ênfase1 4" xfId="5279" xr:uid="{00000000-0005-0000-0000-0000BB0F0000}"/>
    <cellStyle name="Ênfase1 4 2" xfId="5280" xr:uid="{00000000-0005-0000-0000-0000BC0F0000}"/>
    <cellStyle name="Ênfase1 5" xfId="5281" xr:uid="{00000000-0005-0000-0000-0000BD0F0000}"/>
    <cellStyle name="Ênfase1 6" xfId="5282" xr:uid="{00000000-0005-0000-0000-0000BE0F0000}"/>
    <cellStyle name="Ênfase1 7" xfId="5283" xr:uid="{00000000-0005-0000-0000-0000BF0F0000}"/>
    <cellStyle name="Ênfase1 8" xfId="5284" xr:uid="{00000000-0005-0000-0000-0000C00F0000}"/>
    <cellStyle name="Ênfase1 9" xfId="5285" xr:uid="{00000000-0005-0000-0000-0000C10F0000}"/>
    <cellStyle name="Ênfase2" xfId="765" xr:uid="{00000000-0005-0000-0000-0000C20F0000}"/>
    <cellStyle name="Ênfase2 10" xfId="5286" xr:uid="{00000000-0005-0000-0000-0000C30F0000}"/>
    <cellStyle name="Ênfase2 2" xfId="976" xr:uid="{00000000-0005-0000-0000-0000C40F0000}"/>
    <cellStyle name="Ênfase2 2 2" xfId="5287" xr:uid="{00000000-0005-0000-0000-0000C50F0000}"/>
    <cellStyle name="Ênfase2 3" xfId="1751" xr:uid="{00000000-0005-0000-0000-0000C60F0000}"/>
    <cellStyle name="Ênfase2 3 2" xfId="5288" xr:uid="{00000000-0005-0000-0000-0000C70F0000}"/>
    <cellStyle name="Ênfase2 4" xfId="5289" xr:uid="{00000000-0005-0000-0000-0000C80F0000}"/>
    <cellStyle name="Ênfase2 4 2" xfId="5290" xr:uid="{00000000-0005-0000-0000-0000C90F0000}"/>
    <cellStyle name="Ênfase2 5" xfId="5291" xr:uid="{00000000-0005-0000-0000-0000CA0F0000}"/>
    <cellStyle name="Ênfase2 6" xfId="5292" xr:uid="{00000000-0005-0000-0000-0000CB0F0000}"/>
    <cellStyle name="Ênfase2 7" xfId="5293" xr:uid="{00000000-0005-0000-0000-0000CC0F0000}"/>
    <cellStyle name="Ênfase2 8" xfId="5294" xr:uid="{00000000-0005-0000-0000-0000CD0F0000}"/>
    <cellStyle name="Ênfase2 9" xfId="5295" xr:uid="{00000000-0005-0000-0000-0000CE0F0000}"/>
    <cellStyle name="Ênfase3" xfId="766" xr:uid="{00000000-0005-0000-0000-0000CF0F0000}"/>
    <cellStyle name="Ênfase3 10" xfId="5296" xr:uid="{00000000-0005-0000-0000-0000D00F0000}"/>
    <cellStyle name="Ênfase3 2" xfId="977" xr:uid="{00000000-0005-0000-0000-0000D10F0000}"/>
    <cellStyle name="Ênfase3 2 2" xfId="5297" xr:uid="{00000000-0005-0000-0000-0000D20F0000}"/>
    <cellStyle name="Ênfase3 3" xfId="1752" xr:uid="{00000000-0005-0000-0000-0000D30F0000}"/>
    <cellStyle name="Ênfase3 3 2" xfId="5298" xr:uid="{00000000-0005-0000-0000-0000D40F0000}"/>
    <cellStyle name="Ênfase3 4" xfId="5299" xr:uid="{00000000-0005-0000-0000-0000D50F0000}"/>
    <cellStyle name="Ênfase3 4 2" xfId="5300" xr:uid="{00000000-0005-0000-0000-0000D60F0000}"/>
    <cellStyle name="Ênfase3 5" xfId="5301" xr:uid="{00000000-0005-0000-0000-0000D70F0000}"/>
    <cellStyle name="Ênfase3 6" xfId="5302" xr:uid="{00000000-0005-0000-0000-0000D80F0000}"/>
    <cellStyle name="Ênfase3 7" xfId="5303" xr:uid="{00000000-0005-0000-0000-0000D90F0000}"/>
    <cellStyle name="Ênfase3 8" xfId="5304" xr:uid="{00000000-0005-0000-0000-0000DA0F0000}"/>
    <cellStyle name="Ênfase3 9" xfId="5305" xr:uid="{00000000-0005-0000-0000-0000DB0F0000}"/>
    <cellStyle name="Ênfase4" xfId="767" xr:uid="{00000000-0005-0000-0000-0000DC0F0000}"/>
    <cellStyle name="Ênfase4 10" xfId="5306" xr:uid="{00000000-0005-0000-0000-0000DD0F0000}"/>
    <cellStyle name="Ênfase4 2" xfId="978" xr:uid="{00000000-0005-0000-0000-0000DE0F0000}"/>
    <cellStyle name="Ênfase4 2 2" xfId="5307" xr:uid="{00000000-0005-0000-0000-0000DF0F0000}"/>
    <cellStyle name="Ênfase4 3" xfId="1753" xr:uid="{00000000-0005-0000-0000-0000E00F0000}"/>
    <cellStyle name="Ênfase4 3 2" xfId="5308" xr:uid="{00000000-0005-0000-0000-0000E10F0000}"/>
    <cellStyle name="Ênfase4 4" xfId="5309" xr:uid="{00000000-0005-0000-0000-0000E20F0000}"/>
    <cellStyle name="Ênfase4 4 2" xfId="5310" xr:uid="{00000000-0005-0000-0000-0000E30F0000}"/>
    <cellStyle name="Ênfase4 5" xfId="5311" xr:uid="{00000000-0005-0000-0000-0000E40F0000}"/>
    <cellStyle name="Ênfase4 6" xfId="5312" xr:uid="{00000000-0005-0000-0000-0000E50F0000}"/>
    <cellStyle name="Ênfase4 7" xfId="5313" xr:uid="{00000000-0005-0000-0000-0000E60F0000}"/>
    <cellStyle name="Ênfase4 8" xfId="5314" xr:uid="{00000000-0005-0000-0000-0000E70F0000}"/>
    <cellStyle name="Ênfase4 9" xfId="5315" xr:uid="{00000000-0005-0000-0000-0000E80F0000}"/>
    <cellStyle name="Ênfase5" xfId="768" xr:uid="{00000000-0005-0000-0000-0000E90F0000}"/>
    <cellStyle name="Ênfase5 10" xfId="5316" xr:uid="{00000000-0005-0000-0000-0000EA0F0000}"/>
    <cellStyle name="Ênfase5 2" xfId="979" xr:uid="{00000000-0005-0000-0000-0000EB0F0000}"/>
    <cellStyle name="Ênfase5 2 2" xfId="5317" xr:uid="{00000000-0005-0000-0000-0000EC0F0000}"/>
    <cellStyle name="Ênfase5 3" xfId="1754" xr:uid="{00000000-0005-0000-0000-0000ED0F0000}"/>
    <cellStyle name="Ênfase5 3 2" xfId="5318" xr:uid="{00000000-0005-0000-0000-0000EE0F0000}"/>
    <cellStyle name="Ênfase5 4" xfId="5319" xr:uid="{00000000-0005-0000-0000-0000EF0F0000}"/>
    <cellStyle name="Ênfase5 4 2" xfId="5320" xr:uid="{00000000-0005-0000-0000-0000F00F0000}"/>
    <cellStyle name="Ênfase5 5" xfId="5321" xr:uid="{00000000-0005-0000-0000-0000F10F0000}"/>
    <cellStyle name="Ênfase5 6" xfId="5322" xr:uid="{00000000-0005-0000-0000-0000F20F0000}"/>
    <cellStyle name="Ênfase5 7" xfId="5323" xr:uid="{00000000-0005-0000-0000-0000F30F0000}"/>
    <cellStyle name="Ênfase5 8" xfId="5324" xr:uid="{00000000-0005-0000-0000-0000F40F0000}"/>
    <cellStyle name="Ênfase5 9" xfId="5325" xr:uid="{00000000-0005-0000-0000-0000F50F0000}"/>
    <cellStyle name="Ênfase6" xfId="769" xr:uid="{00000000-0005-0000-0000-0000F60F0000}"/>
    <cellStyle name="Ênfase6 10" xfId="5326" xr:uid="{00000000-0005-0000-0000-0000F70F0000}"/>
    <cellStyle name="Ênfase6 2" xfId="980" xr:uid="{00000000-0005-0000-0000-0000F80F0000}"/>
    <cellStyle name="Ênfase6 2 2" xfId="5327" xr:uid="{00000000-0005-0000-0000-0000F90F0000}"/>
    <cellStyle name="Ênfase6 3" xfId="1755" xr:uid="{00000000-0005-0000-0000-0000FA0F0000}"/>
    <cellStyle name="Ênfase6 3 2" xfId="5328" xr:uid="{00000000-0005-0000-0000-0000FB0F0000}"/>
    <cellStyle name="Ênfase6 4" xfId="5329" xr:uid="{00000000-0005-0000-0000-0000FC0F0000}"/>
    <cellStyle name="Ênfase6 4 2" xfId="5330" xr:uid="{00000000-0005-0000-0000-0000FD0F0000}"/>
    <cellStyle name="Ênfase6 5" xfId="5331" xr:uid="{00000000-0005-0000-0000-0000FE0F0000}"/>
    <cellStyle name="Ênfase6 6" xfId="5332" xr:uid="{00000000-0005-0000-0000-0000FF0F0000}"/>
    <cellStyle name="Ênfase6 7" xfId="5333" xr:uid="{00000000-0005-0000-0000-000000100000}"/>
    <cellStyle name="Ênfase6 8" xfId="5334" xr:uid="{00000000-0005-0000-0000-000001100000}"/>
    <cellStyle name="Ênfase6 9" xfId="5335" xr:uid="{00000000-0005-0000-0000-000002100000}"/>
    <cellStyle name="Énfasis1" xfId="981" xr:uid="{00000000-0005-0000-0000-000003100000}"/>
    <cellStyle name="Énfasis1 2" xfId="5336" xr:uid="{00000000-0005-0000-0000-000004100000}"/>
    <cellStyle name="Énfasis2" xfId="982" xr:uid="{00000000-0005-0000-0000-000005100000}"/>
    <cellStyle name="Énfasis2 2" xfId="5337" xr:uid="{00000000-0005-0000-0000-000006100000}"/>
    <cellStyle name="Énfasis3" xfId="983" xr:uid="{00000000-0005-0000-0000-000007100000}"/>
    <cellStyle name="Énfasis3 2" xfId="5338" xr:uid="{00000000-0005-0000-0000-000008100000}"/>
    <cellStyle name="Énfasis4" xfId="984" xr:uid="{00000000-0005-0000-0000-000009100000}"/>
    <cellStyle name="Énfasis4 2" xfId="5339" xr:uid="{00000000-0005-0000-0000-00000A100000}"/>
    <cellStyle name="Énfasis5" xfId="985" xr:uid="{00000000-0005-0000-0000-00000B100000}"/>
    <cellStyle name="Énfasis5 2" xfId="5340" xr:uid="{00000000-0005-0000-0000-00000C100000}"/>
    <cellStyle name="Énfasis6" xfId="986" xr:uid="{00000000-0005-0000-0000-00000D100000}"/>
    <cellStyle name="Énfasis6 2" xfId="5341" xr:uid="{00000000-0005-0000-0000-00000E100000}"/>
    <cellStyle name="Enter Currency (0)" xfId="770" xr:uid="{00000000-0005-0000-0000-00000F100000}"/>
    <cellStyle name="Enter Currency (0) 2" xfId="987" xr:uid="{00000000-0005-0000-0000-000010100000}"/>
    <cellStyle name="Enter Currency (0) 3" xfId="5342" xr:uid="{00000000-0005-0000-0000-000011100000}"/>
    <cellStyle name="Enter Currency (0)_IRT_Planilha Básica_ v2010_CERRP" xfId="1756" xr:uid="{00000000-0005-0000-0000-000012100000}"/>
    <cellStyle name="Enter Currency (2)" xfId="771" xr:uid="{00000000-0005-0000-0000-000013100000}"/>
    <cellStyle name="Enter Units (0)" xfId="772" xr:uid="{00000000-0005-0000-0000-000014100000}"/>
    <cellStyle name="Enter Units (0) 2" xfId="988" xr:uid="{00000000-0005-0000-0000-000015100000}"/>
    <cellStyle name="Enter Units (0) 3" xfId="5343" xr:uid="{00000000-0005-0000-0000-000016100000}"/>
    <cellStyle name="Enter Units (0)_IRT_Planilha Básica_ v2010_CERRP" xfId="1757" xr:uid="{00000000-0005-0000-0000-000017100000}"/>
    <cellStyle name="Enter Units (1)" xfId="773" xr:uid="{00000000-0005-0000-0000-000018100000}"/>
    <cellStyle name="Enter Units (1) 2" xfId="989" xr:uid="{00000000-0005-0000-0000-000019100000}"/>
    <cellStyle name="Enter Units (1) 3" xfId="5344" xr:uid="{00000000-0005-0000-0000-00001A100000}"/>
    <cellStyle name="Enter Units (1)_IRT_Planilha Básica_ v2010_CERRP" xfId="1758" xr:uid="{00000000-0005-0000-0000-00001B100000}"/>
    <cellStyle name="Enter Units (2)" xfId="774" xr:uid="{00000000-0005-0000-0000-00001C100000}"/>
    <cellStyle name="En-tête 1" xfId="5345" xr:uid="{00000000-0005-0000-0000-00001D100000}"/>
    <cellStyle name="En-tête 2" xfId="5346" xr:uid="{00000000-0005-0000-0000-00001E100000}"/>
    <cellStyle name="Entrada" xfId="775" xr:uid="{00000000-0005-0000-0000-00001F100000}"/>
    <cellStyle name="Entrada 10" xfId="5347" xr:uid="{00000000-0005-0000-0000-000020100000}"/>
    <cellStyle name="Entrada 2" xfId="990" xr:uid="{00000000-0005-0000-0000-000021100000}"/>
    <cellStyle name="Entrada 2 2" xfId="1831" xr:uid="{00000000-0005-0000-0000-000022100000}"/>
    <cellStyle name="Entrada 2 2 2" xfId="2033" xr:uid="{00000000-0005-0000-0000-000023100000}"/>
    <cellStyle name="Entrada 2 2 3" xfId="2093" xr:uid="{00000000-0005-0000-0000-000024100000}"/>
    <cellStyle name="Entrada 2 2 4" xfId="2320" xr:uid="{00000000-0005-0000-0000-000025100000}"/>
    <cellStyle name="Entrada 2 2 5" xfId="2299" xr:uid="{00000000-0005-0000-0000-000026100000}"/>
    <cellStyle name="Entrada 2 3" xfId="1920" xr:uid="{00000000-0005-0000-0000-000027100000}"/>
    <cellStyle name="Entrada 2 4" xfId="2203" xr:uid="{00000000-0005-0000-0000-000028100000}"/>
    <cellStyle name="Entrada 3" xfId="1759" xr:uid="{00000000-0005-0000-0000-000029100000}"/>
    <cellStyle name="Entrada 3 2" xfId="2007" xr:uid="{00000000-0005-0000-0000-00002A100000}"/>
    <cellStyle name="Entrada 3 3" xfId="2077" xr:uid="{00000000-0005-0000-0000-00002B100000}"/>
    <cellStyle name="Entrada 3 4" xfId="2281" xr:uid="{00000000-0005-0000-0000-00002C100000}"/>
    <cellStyle name="Entrada 3 5" xfId="2339" xr:uid="{00000000-0005-0000-0000-00002D100000}"/>
    <cellStyle name="Entrada 4" xfId="1760" xr:uid="{00000000-0005-0000-0000-00002E100000}"/>
    <cellStyle name="Entrada 4 2" xfId="2008" xr:uid="{00000000-0005-0000-0000-00002F100000}"/>
    <cellStyle name="Entrada 4 3" xfId="2078" xr:uid="{00000000-0005-0000-0000-000030100000}"/>
    <cellStyle name="Entrada 4 4" xfId="2138" xr:uid="{00000000-0005-0000-0000-000031100000}"/>
    <cellStyle name="Entrada 4 5" xfId="2177" xr:uid="{00000000-0005-0000-0000-000032100000}"/>
    <cellStyle name="Entrada 5" xfId="1909" xr:uid="{00000000-0005-0000-0000-000033100000}"/>
    <cellStyle name="Entrada 6" xfId="2197" xr:uid="{00000000-0005-0000-0000-000034100000}"/>
    <cellStyle name="Entrada 7" xfId="5348" xr:uid="{00000000-0005-0000-0000-000035100000}"/>
    <cellStyle name="Entrada 8" xfId="5349" xr:uid="{00000000-0005-0000-0000-000036100000}"/>
    <cellStyle name="Entrada 9" xfId="5350" xr:uid="{00000000-0005-0000-0000-000037100000}"/>
    <cellStyle name="Estilo 1" xfId="776" xr:uid="{00000000-0005-0000-0000-000038100000}"/>
    <cellStyle name="Estilo 1 2" xfId="904" xr:uid="{00000000-0005-0000-0000-000039100000}"/>
    <cellStyle name="Estilo 1 2 2" xfId="1719" xr:uid="{00000000-0005-0000-0000-00003A100000}"/>
    <cellStyle name="Estilo 1 2 2 2" xfId="5351" xr:uid="{00000000-0005-0000-0000-00003B100000}"/>
    <cellStyle name="Estilo 1 2 3" xfId="5352" xr:uid="{00000000-0005-0000-0000-00003C100000}"/>
    <cellStyle name="Estilo 1 3" xfId="1652" xr:uid="{00000000-0005-0000-0000-00003D100000}"/>
    <cellStyle name="Estilo 1 3 2" xfId="5353" xr:uid="{00000000-0005-0000-0000-00003E100000}"/>
    <cellStyle name="Estilo 1 4" xfId="1653" xr:uid="{00000000-0005-0000-0000-00003F100000}"/>
    <cellStyle name="Estilo 1 4 2" xfId="5354" xr:uid="{00000000-0005-0000-0000-000040100000}"/>
    <cellStyle name="Estilo 1 5" xfId="1654" xr:uid="{00000000-0005-0000-0000-000041100000}"/>
    <cellStyle name="Estilo 1 5 2" xfId="5355" xr:uid="{00000000-0005-0000-0000-000042100000}"/>
    <cellStyle name="Estilo 1 6" xfId="5356" xr:uid="{00000000-0005-0000-0000-000043100000}"/>
    <cellStyle name="Estilo 1_2008.08.07 CELPA IRT2008 Homologado" xfId="5357" xr:uid="{00000000-0005-0000-0000-000044100000}"/>
    <cellStyle name="Euro" xfId="777" xr:uid="{00000000-0005-0000-0000-000045100000}"/>
    <cellStyle name="Euro 2" xfId="1804" xr:uid="{00000000-0005-0000-0000-000046100000}"/>
    <cellStyle name="Euro 2 2" xfId="5358" xr:uid="{00000000-0005-0000-0000-000047100000}"/>
    <cellStyle name="Euro 3" xfId="5359" xr:uid="{00000000-0005-0000-0000-000048100000}"/>
    <cellStyle name="Euro 4" xfId="5360" xr:uid="{00000000-0005-0000-0000-000049100000}"/>
    <cellStyle name="Euro 4 2" xfId="5361" xr:uid="{00000000-0005-0000-0000-00004A100000}"/>
    <cellStyle name="Ex_MISTO" xfId="778" xr:uid="{00000000-0005-0000-0000-00004B100000}"/>
    <cellStyle name="Excel_BuiltIn_Comma 1" xfId="5362" xr:uid="{00000000-0005-0000-0000-00004C100000}"/>
    <cellStyle name="Explanatory Text" xfId="779" xr:uid="{00000000-0005-0000-0000-00004D100000}"/>
    <cellStyle name="Explanatory Text 2" xfId="5363" xr:uid="{00000000-0005-0000-0000-00004E100000}"/>
    <cellStyle name="EY House" xfId="5364" xr:uid="{00000000-0005-0000-0000-00004F100000}"/>
    <cellStyle name="EY House 2" xfId="5365" xr:uid="{00000000-0005-0000-0000-000050100000}"/>
    <cellStyle name="EY House 3" xfId="5366" xr:uid="{00000000-0005-0000-0000-000051100000}"/>
    <cellStyle name="F2" xfId="5367" xr:uid="{00000000-0005-0000-0000-000052100000}"/>
    <cellStyle name="F3" xfId="5368" xr:uid="{00000000-0005-0000-0000-000053100000}"/>
    <cellStyle name="F4" xfId="5369" xr:uid="{00000000-0005-0000-0000-000054100000}"/>
    <cellStyle name="F5" xfId="5370" xr:uid="{00000000-0005-0000-0000-000055100000}"/>
    <cellStyle name="F6" xfId="5371" xr:uid="{00000000-0005-0000-0000-000056100000}"/>
    <cellStyle name="F7" xfId="5372" xr:uid="{00000000-0005-0000-0000-000057100000}"/>
    <cellStyle name="F8" xfId="5373" xr:uid="{00000000-0005-0000-0000-000058100000}"/>
    <cellStyle name="Feature" xfId="5374" xr:uid="{00000000-0005-0000-0000-000059100000}"/>
    <cellStyle name="Feature 2" xfId="5375" xr:uid="{00000000-0005-0000-0000-00005A100000}"/>
    <cellStyle name="Feature 3" xfId="5376" xr:uid="{00000000-0005-0000-0000-00005B100000}"/>
    <cellStyle name="FIELD" xfId="780" xr:uid="{00000000-0005-0000-0000-00005C100000}"/>
    <cellStyle name="FIELD 2" xfId="5377" xr:uid="{00000000-0005-0000-0000-00005D100000}"/>
    <cellStyle name="FIELD 3" xfId="5378" xr:uid="{00000000-0005-0000-0000-00005E100000}"/>
    <cellStyle name="Fijo" xfId="5379" xr:uid="{00000000-0005-0000-0000-00005F100000}"/>
    <cellStyle name="Financier0" xfId="5380" xr:uid="{00000000-0005-0000-0000-000060100000}"/>
    <cellStyle name="Financiero" xfId="5381" xr:uid="{00000000-0005-0000-0000-000061100000}"/>
    <cellStyle name="Fixed" xfId="781" xr:uid="{00000000-0005-0000-0000-000062100000}"/>
    <cellStyle name="Fixed 2" xfId="991" xr:uid="{00000000-0005-0000-0000-000063100000}"/>
    <cellStyle name="Fixed 2 2" xfId="5382" xr:uid="{00000000-0005-0000-0000-000064100000}"/>
    <cellStyle name="Fixed 3" xfId="992" xr:uid="{00000000-0005-0000-0000-000065100000}"/>
    <cellStyle name="Fixed 4" xfId="993" xr:uid="{00000000-0005-0000-0000-000066100000}"/>
    <cellStyle name="Fixed 4 2" xfId="5383" xr:uid="{00000000-0005-0000-0000-000067100000}"/>
    <cellStyle name="Fixed_IF - Autoprodutores 2" xfId="5384" xr:uid="{00000000-0005-0000-0000-000068100000}"/>
    <cellStyle name="Fixo" xfId="782" xr:uid="{00000000-0005-0000-0000-000069100000}"/>
    <cellStyle name="Fixo 2" xfId="5385" xr:uid="{00000000-0005-0000-0000-00006A100000}"/>
    <cellStyle name="Fixo 3" xfId="5386" xr:uid="{00000000-0005-0000-0000-00006B100000}"/>
    <cellStyle name="Followed Hyperlink" xfId="783" xr:uid="{00000000-0005-0000-0000-00006C100000}"/>
    <cellStyle name="Footnote" xfId="5387" xr:uid="{00000000-0005-0000-0000-00006D100000}"/>
    <cellStyle name="forms" xfId="5388" xr:uid="{00000000-0005-0000-0000-00006E100000}"/>
    <cellStyle name="FORMULAS" xfId="5389" xr:uid="{00000000-0005-0000-0000-00006F100000}"/>
    <cellStyle name="fundoamarelo" xfId="784" xr:uid="{00000000-0005-0000-0000-000070100000}"/>
    <cellStyle name="fundoazul" xfId="785" xr:uid="{00000000-0005-0000-0000-000071100000}"/>
    <cellStyle name="fundocinza" xfId="786" xr:uid="{00000000-0005-0000-0000-000072100000}"/>
    <cellStyle name="fundodeentrada" xfId="787" xr:uid="{00000000-0005-0000-0000-000073100000}"/>
    <cellStyle name="fundodeentrada 10" xfId="5390" xr:uid="{00000000-0005-0000-0000-000074100000}"/>
    <cellStyle name="fundodeentrada 2" xfId="994" xr:uid="{00000000-0005-0000-0000-000075100000}"/>
    <cellStyle name="fundodeentrada 2 2" xfId="1921" xr:uid="{00000000-0005-0000-0000-000076100000}"/>
    <cellStyle name="fundodeentrada 2 3" xfId="2347" xr:uid="{00000000-0005-0000-0000-000077100000}"/>
    <cellStyle name="fundodeentrada 2 4" xfId="5391" xr:uid="{00000000-0005-0000-0000-000078100000}"/>
    <cellStyle name="fundodeentrada 3" xfId="1910" xr:uid="{00000000-0005-0000-0000-000079100000}"/>
    <cellStyle name="fundodeentrada 4" xfId="2334" xr:uid="{00000000-0005-0000-0000-00007A100000}"/>
    <cellStyle name="fundodeentrada 5" xfId="5392" xr:uid="{00000000-0005-0000-0000-00007B100000}"/>
    <cellStyle name="fundodeentrada 6" xfId="5393" xr:uid="{00000000-0005-0000-0000-00007C100000}"/>
    <cellStyle name="fundodeentrada 7" xfId="5394" xr:uid="{00000000-0005-0000-0000-00007D100000}"/>
    <cellStyle name="fundodeentrada 8" xfId="5395" xr:uid="{00000000-0005-0000-0000-00007E100000}"/>
    <cellStyle name="fundodeentrada 9" xfId="5396" xr:uid="{00000000-0005-0000-0000-00007F100000}"/>
    <cellStyle name="fundoentrada" xfId="788" xr:uid="{00000000-0005-0000-0000-000080100000}"/>
    <cellStyle name="fundoentrada 2" xfId="5397" xr:uid="{00000000-0005-0000-0000-000081100000}"/>
    <cellStyle name="fundoentrada 3" xfId="5398" xr:uid="{00000000-0005-0000-0000-000082100000}"/>
    <cellStyle name="fundoentrada 3 2" xfId="5399" xr:uid="{00000000-0005-0000-0000-000083100000}"/>
    <cellStyle name="Geral" xfId="5400" xr:uid="{00000000-0005-0000-0000-000084100000}"/>
    <cellStyle name="Geral 2" xfId="5401" xr:uid="{00000000-0005-0000-0000-000085100000}"/>
    <cellStyle name="Geral 3" xfId="5402" xr:uid="{00000000-0005-0000-0000-000086100000}"/>
    <cellStyle name="Geral_IF - Autoprodutores" xfId="5403" xr:uid="{00000000-0005-0000-0000-000087100000}"/>
    <cellStyle name="Good" xfId="789" xr:uid="{00000000-0005-0000-0000-000088100000}"/>
    <cellStyle name="Good 2" xfId="5404" xr:uid="{00000000-0005-0000-0000-000089100000}"/>
    <cellStyle name="Grey" xfId="790" xr:uid="{00000000-0005-0000-0000-00008A100000}"/>
    <cellStyle name="Grey 2" xfId="995" xr:uid="{00000000-0005-0000-0000-00008B100000}"/>
    <cellStyle name="Grey 3" xfId="996" xr:uid="{00000000-0005-0000-0000-00008C100000}"/>
    <cellStyle name="Grey 4" xfId="997" xr:uid="{00000000-0005-0000-0000-00008D100000}"/>
    <cellStyle name="Grey 5" xfId="998" xr:uid="{00000000-0005-0000-0000-00008E100000}"/>
    <cellStyle name="Grey 6" xfId="5405" xr:uid="{00000000-0005-0000-0000-00008F100000}"/>
    <cellStyle name="Grey 7" xfId="5406" xr:uid="{00000000-0005-0000-0000-000090100000}"/>
    <cellStyle name="Grey 8" xfId="5407" xr:uid="{00000000-0005-0000-0000-000091100000}"/>
    <cellStyle name="Grey 9" xfId="5408" xr:uid="{00000000-0005-0000-0000-000092100000}"/>
    <cellStyle name="Grey_COELCE CVA SRE (4)" xfId="5409" xr:uid="{00000000-0005-0000-0000-000093100000}"/>
    <cellStyle name="Hard Percent" xfId="5410" xr:uid="{00000000-0005-0000-0000-000094100000}"/>
    <cellStyle name="HEADER" xfId="791" xr:uid="{00000000-0005-0000-0000-000095100000}"/>
    <cellStyle name="Header1" xfId="792" xr:uid="{00000000-0005-0000-0000-000096100000}"/>
    <cellStyle name="Header1 2" xfId="5411" xr:uid="{00000000-0005-0000-0000-000097100000}"/>
    <cellStyle name="Header1 3" xfId="5412" xr:uid="{00000000-0005-0000-0000-000098100000}"/>
    <cellStyle name="Header1 4" xfId="5413" xr:uid="{00000000-0005-0000-0000-000099100000}"/>
    <cellStyle name="Header1 5" xfId="5414" xr:uid="{00000000-0005-0000-0000-00009A100000}"/>
    <cellStyle name="Header1 6" xfId="5415" xr:uid="{00000000-0005-0000-0000-00009B100000}"/>
    <cellStyle name="Header2" xfId="793" xr:uid="{00000000-0005-0000-0000-00009C100000}"/>
    <cellStyle name="Header2 2" xfId="1818" xr:uid="{00000000-0005-0000-0000-00009D100000}"/>
    <cellStyle name="Header2 2 2" xfId="2028" xr:uid="{00000000-0005-0000-0000-00009E100000}"/>
    <cellStyle name="Header2 2 2 2" xfId="2414" xr:uid="{00000000-0005-0000-0000-00009F100000}"/>
    <cellStyle name="Header2 2 2 3" xfId="2632" xr:uid="{00000000-0005-0000-0000-0000A0100000}"/>
    <cellStyle name="Header2 2 2 4" xfId="2189" xr:uid="{00000000-0005-0000-0000-0000A1100000}"/>
    <cellStyle name="Header2 2 3" xfId="2086" xr:uid="{00000000-0005-0000-0000-0000A2100000}"/>
    <cellStyle name="Header2 2 4" xfId="2132" xr:uid="{00000000-0005-0000-0000-0000A3100000}"/>
    <cellStyle name="Header2 2 5" xfId="2341" xr:uid="{00000000-0005-0000-0000-0000A4100000}"/>
    <cellStyle name="Header2 2 6" xfId="43221" xr:uid="{00000000-0005-0000-0000-0000A5100000}"/>
    <cellStyle name="Header2 3" xfId="1911" xr:uid="{00000000-0005-0000-0000-0000A6100000}"/>
    <cellStyle name="Header2 3 2" xfId="2413" xr:uid="{00000000-0005-0000-0000-0000A7100000}"/>
    <cellStyle name="Header2 3 3" xfId="2631" xr:uid="{00000000-0005-0000-0000-0000A8100000}"/>
    <cellStyle name="Header2 3 4" xfId="2364" xr:uid="{00000000-0005-0000-0000-0000A9100000}"/>
    <cellStyle name="Header2 4" xfId="2198" xr:uid="{00000000-0005-0000-0000-0000AA100000}"/>
    <cellStyle name="Header2 5" xfId="43220" xr:uid="{00000000-0005-0000-0000-0000AB100000}"/>
    <cellStyle name="Heading 1" xfId="794" xr:uid="{00000000-0005-0000-0000-0000AC100000}"/>
    <cellStyle name="Heading 1 2" xfId="999" xr:uid="{00000000-0005-0000-0000-0000AD100000}"/>
    <cellStyle name="Heading 1 3" xfId="5416" xr:uid="{00000000-0005-0000-0000-0000AE100000}"/>
    <cellStyle name="Heading 1_SOBRECONTRATAÇÃO E CVA" xfId="5417" xr:uid="{00000000-0005-0000-0000-0000AF100000}"/>
    <cellStyle name="Heading 2" xfId="795" xr:uid="{00000000-0005-0000-0000-0000B0100000}"/>
    <cellStyle name="Heading 2 2" xfId="1000" xr:uid="{00000000-0005-0000-0000-0000B1100000}"/>
    <cellStyle name="Heading 2 3" xfId="5418" xr:uid="{00000000-0005-0000-0000-0000B2100000}"/>
    <cellStyle name="Heading 2_SOBRECONTRATAÇÃO E CVA" xfId="5419" xr:uid="{00000000-0005-0000-0000-0000B3100000}"/>
    <cellStyle name="Heading 3" xfId="796" xr:uid="{00000000-0005-0000-0000-0000B4100000}"/>
    <cellStyle name="Heading 3 2" xfId="5420" xr:uid="{00000000-0005-0000-0000-0000B5100000}"/>
    <cellStyle name="Heading 4" xfId="797" xr:uid="{00000000-0005-0000-0000-0000B6100000}"/>
    <cellStyle name="Heading 4 2" xfId="5421" xr:uid="{00000000-0005-0000-0000-0000B7100000}"/>
    <cellStyle name="Heading1" xfId="798" xr:uid="{00000000-0005-0000-0000-0000B8100000}"/>
    <cellStyle name="Heading1 2" xfId="1001" xr:uid="{00000000-0005-0000-0000-0000B9100000}"/>
    <cellStyle name="Heading1 2 2" xfId="5422" xr:uid="{00000000-0005-0000-0000-0000BA100000}"/>
    <cellStyle name="Heading1 3" xfId="1002" xr:uid="{00000000-0005-0000-0000-0000BB100000}"/>
    <cellStyle name="Heading1 4" xfId="1003" xr:uid="{00000000-0005-0000-0000-0000BC100000}"/>
    <cellStyle name="Heading1 4 2" xfId="5423" xr:uid="{00000000-0005-0000-0000-0000BD100000}"/>
    <cellStyle name="Heading1 5" xfId="1004" xr:uid="{00000000-0005-0000-0000-0000BE100000}"/>
    <cellStyle name="Heading1_IF - Autoprodutores 2" xfId="5424" xr:uid="{00000000-0005-0000-0000-0000BF100000}"/>
    <cellStyle name="Heading2" xfId="799" xr:uid="{00000000-0005-0000-0000-0000C0100000}"/>
    <cellStyle name="Heading2 2" xfId="1005" xr:uid="{00000000-0005-0000-0000-0000C1100000}"/>
    <cellStyle name="Heading2 2 2" xfId="5425" xr:uid="{00000000-0005-0000-0000-0000C2100000}"/>
    <cellStyle name="Heading2 3" xfId="1006" xr:uid="{00000000-0005-0000-0000-0000C3100000}"/>
    <cellStyle name="Heading2 4" xfId="1007" xr:uid="{00000000-0005-0000-0000-0000C4100000}"/>
    <cellStyle name="Heading2 4 2" xfId="5426" xr:uid="{00000000-0005-0000-0000-0000C5100000}"/>
    <cellStyle name="Heading2 5" xfId="1008" xr:uid="{00000000-0005-0000-0000-0000C6100000}"/>
    <cellStyle name="Heading2_IF - Autoprodutores 2" xfId="5427" xr:uid="{00000000-0005-0000-0000-0000C7100000}"/>
    <cellStyle name="Hidden" xfId="5428" xr:uid="{00000000-0005-0000-0000-0000C8100000}"/>
    <cellStyle name="HIGHLIGHT" xfId="800" xr:uid="{00000000-0005-0000-0000-0000C9100000}"/>
    <cellStyle name="HIGHLIGHT 2" xfId="5429" xr:uid="{00000000-0005-0000-0000-0000CA100000}"/>
    <cellStyle name="HIGHLIGHT_COELCE CVA SRE (4)" xfId="5430" xr:uid="{00000000-0005-0000-0000-0000CB100000}"/>
    <cellStyle name="Hiperlink" xfId="801" builtinId="8"/>
    <cellStyle name="Hiperlink 2" xfId="43428" xr:uid="{185FB498-45B1-4BE1-A4EE-0A93A19473E3}"/>
    <cellStyle name="Hipervínculo visitado_ESSAL" xfId="1655" xr:uid="{00000000-0005-0000-0000-0000CD100000}"/>
    <cellStyle name="Hipervínculo_ESSAL" xfId="1656" xr:uid="{00000000-0005-0000-0000-0000CE100000}"/>
    <cellStyle name="Hyperlink 2" xfId="5431" xr:uid="{00000000-0005-0000-0000-0000CF100000}"/>
    <cellStyle name="Hyperlink 3" xfId="5432" xr:uid="{00000000-0005-0000-0000-0000D0100000}"/>
    <cellStyle name="Hyperlink 4" xfId="1805" xr:uid="{00000000-0005-0000-0000-0000D1100000}"/>
    <cellStyle name="Hyperlink_casulo 5" xfId="5433" xr:uid="{00000000-0005-0000-0000-0000D2100000}"/>
    <cellStyle name="Incorrecto" xfId="1009" xr:uid="{00000000-0005-0000-0000-0000D3100000}"/>
    <cellStyle name="Incorreto" xfId="802" xr:uid="{00000000-0005-0000-0000-0000D4100000}"/>
    <cellStyle name="Incorreto 2" xfId="1010" xr:uid="{00000000-0005-0000-0000-0000D5100000}"/>
    <cellStyle name="Incorreto 2 2" xfId="5434" xr:uid="{00000000-0005-0000-0000-0000D6100000}"/>
    <cellStyle name="Incorreto 3" xfId="1761" xr:uid="{00000000-0005-0000-0000-0000D7100000}"/>
    <cellStyle name="Incorreto 4" xfId="5435" xr:uid="{00000000-0005-0000-0000-0000D8100000}"/>
    <cellStyle name="Indefinido" xfId="803" xr:uid="{00000000-0005-0000-0000-0000D9100000}"/>
    <cellStyle name="Indefinido 2" xfId="5436" xr:uid="{00000000-0005-0000-0000-0000DA100000}"/>
    <cellStyle name="Info Cell" xfId="5437" xr:uid="{00000000-0005-0000-0000-0000DB100000}"/>
    <cellStyle name="Information" xfId="5438" xr:uid="{00000000-0005-0000-0000-0000DC100000}"/>
    <cellStyle name="Input" xfId="804" xr:uid="{00000000-0005-0000-0000-0000DD100000}"/>
    <cellStyle name="Input %" xfId="805" xr:uid="{00000000-0005-0000-0000-0000DE100000}"/>
    <cellStyle name="Input % 2" xfId="5439" xr:uid="{00000000-0005-0000-0000-0000DF100000}"/>
    <cellStyle name="Input % 3" xfId="5440" xr:uid="{00000000-0005-0000-0000-0000E0100000}"/>
    <cellStyle name="Input % 4" xfId="5441" xr:uid="{00000000-0005-0000-0000-0000E1100000}"/>
    <cellStyle name="Input (%)" xfId="5442" xr:uid="{00000000-0005-0000-0000-0000E2100000}"/>
    <cellStyle name="Input (%) 2" xfId="5443" xr:uid="{00000000-0005-0000-0000-0000E3100000}"/>
    <cellStyle name="Input (%) 3" xfId="5444" xr:uid="{00000000-0005-0000-0000-0000E4100000}"/>
    <cellStyle name="Input (£m)" xfId="5445" xr:uid="{00000000-0005-0000-0000-0000E5100000}"/>
    <cellStyle name="Input (£m) 2" xfId="5446" xr:uid="{00000000-0005-0000-0000-0000E6100000}"/>
    <cellStyle name="Input (£m) 3" xfId="5447" xr:uid="{00000000-0005-0000-0000-0000E7100000}"/>
    <cellStyle name="Input (No)" xfId="5448" xr:uid="{00000000-0005-0000-0000-0000E8100000}"/>
    <cellStyle name="Input (No) 2" xfId="5449" xr:uid="{00000000-0005-0000-0000-0000E9100000}"/>
    <cellStyle name="Input (No) 3" xfId="5450" xr:uid="{00000000-0005-0000-0000-0000EA100000}"/>
    <cellStyle name="Input [yellow]" xfId="806" xr:uid="{00000000-0005-0000-0000-0000EB100000}"/>
    <cellStyle name="Input [yellow] 10" xfId="43222" xr:uid="{00000000-0005-0000-0000-0000EC100000}"/>
    <cellStyle name="Input [yellow] 2" xfId="1011" xr:uid="{00000000-0005-0000-0000-0000ED100000}"/>
    <cellStyle name="Input [yellow] 2 2" xfId="1832" xr:uid="{00000000-0005-0000-0000-0000EE100000}"/>
    <cellStyle name="Input [yellow] 2 2 2" xfId="2094" xr:uid="{00000000-0005-0000-0000-0000EF100000}"/>
    <cellStyle name="Input [yellow] 2 2 2 2" xfId="2635" xr:uid="{00000000-0005-0000-0000-0000F0100000}"/>
    <cellStyle name="Input [yellow] 2 2 2 3" xfId="2274" xr:uid="{00000000-0005-0000-0000-0000F1100000}"/>
    <cellStyle name="Input [yellow] 2 2 3" xfId="2319" xr:uid="{00000000-0005-0000-0000-0000F2100000}"/>
    <cellStyle name="Input [yellow] 2 2 4" xfId="2358" xr:uid="{00000000-0005-0000-0000-0000F3100000}"/>
    <cellStyle name="Input [yellow] 2 2 5" xfId="43224" xr:uid="{00000000-0005-0000-0000-0000F4100000}"/>
    <cellStyle name="Input [yellow] 2 3" xfId="1922" xr:uid="{00000000-0005-0000-0000-0000F5100000}"/>
    <cellStyle name="Input [yellow] 2 3 2" xfId="2416" xr:uid="{00000000-0005-0000-0000-0000F6100000}"/>
    <cellStyle name="Input [yellow] 2 3 3" xfId="2634" xr:uid="{00000000-0005-0000-0000-0000F7100000}"/>
    <cellStyle name="Input [yellow] 2 3 4" xfId="2230" xr:uid="{00000000-0005-0000-0000-0000F8100000}"/>
    <cellStyle name="Input [yellow] 2 4" xfId="2168" xr:uid="{00000000-0005-0000-0000-0000F9100000}"/>
    <cellStyle name="Input [yellow] 2 5" xfId="43223" xr:uid="{00000000-0005-0000-0000-0000FA100000}"/>
    <cellStyle name="Input [yellow] 3" xfId="1012" xr:uid="{00000000-0005-0000-0000-0000FB100000}"/>
    <cellStyle name="Input [yellow] 3 2" xfId="1833" xr:uid="{00000000-0005-0000-0000-0000FC100000}"/>
    <cellStyle name="Input [yellow] 3 2 2" xfId="2095" xr:uid="{00000000-0005-0000-0000-0000FD100000}"/>
    <cellStyle name="Input [yellow] 3 2 2 2" xfId="2637" xr:uid="{00000000-0005-0000-0000-0000FE100000}"/>
    <cellStyle name="Input [yellow] 3 2 2 3" xfId="2366" xr:uid="{00000000-0005-0000-0000-0000FF100000}"/>
    <cellStyle name="Input [yellow] 3 2 3" xfId="2318" xr:uid="{00000000-0005-0000-0000-000000110000}"/>
    <cellStyle name="Input [yellow] 3 2 4" xfId="2222" xr:uid="{00000000-0005-0000-0000-000001110000}"/>
    <cellStyle name="Input [yellow] 3 2 5" xfId="43226" xr:uid="{00000000-0005-0000-0000-000002110000}"/>
    <cellStyle name="Input [yellow] 3 3" xfId="1923" xr:uid="{00000000-0005-0000-0000-000003110000}"/>
    <cellStyle name="Input [yellow] 3 3 2" xfId="2417" xr:uid="{00000000-0005-0000-0000-000004110000}"/>
    <cellStyle name="Input [yellow] 3 3 3" xfId="2636" xr:uid="{00000000-0005-0000-0000-000005110000}"/>
    <cellStyle name="Input [yellow] 3 3 4" xfId="2190" xr:uid="{00000000-0005-0000-0000-000006110000}"/>
    <cellStyle name="Input [yellow] 3 4" xfId="2404" xr:uid="{00000000-0005-0000-0000-000007110000}"/>
    <cellStyle name="Input [yellow] 3 5" xfId="43225" xr:uid="{00000000-0005-0000-0000-000008110000}"/>
    <cellStyle name="Input [yellow] 4" xfId="1013" xr:uid="{00000000-0005-0000-0000-000009110000}"/>
    <cellStyle name="Input [yellow] 4 2" xfId="1834" xr:uid="{00000000-0005-0000-0000-00000A110000}"/>
    <cellStyle name="Input [yellow] 4 2 2" xfId="2096" xr:uid="{00000000-0005-0000-0000-00000B110000}"/>
    <cellStyle name="Input [yellow] 4 2 2 2" xfId="2639" xr:uid="{00000000-0005-0000-0000-00000C110000}"/>
    <cellStyle name="Input [yellow] 4 2 2 3" xfId="2231" xr:uid="{00000000-0005-0000-0000-00000D110000}"/>
    <cellStyle name="Input [yellow] 4 2 3" xfId="2317" xr:uid="{00000000-0005-0000-0000-00000E110000}"/>
    <cellStyle name="Input [yellow] 4 2 4" xfId="2185" xr:uid="{00000000-0005-0000-0000-00000F110000}"/>
    <cellStyle name="Input [yellow] 4 2 5" xfId="43228" xr:uid="{00000000-0005-0000-0000-000010110000}"/>
    <cellStyle name="Input [yellow] 4 3" xfId="1924" xr:uid="{00000000-0005-0000-0000-000011110000}"/>
    <cellStyle name="Input [yellow] 4 3 2" xfId="2418" xr:uid="{00000000-0005-0000-0000-000012110000}"/>
    <cellStyle name="Input [yellow] 4 3 3" xfId="2638" xr:uid="{00000000-0005-0000-0000-000013110000}"/>
    <cellStyle name="Input [yellow] 4 3 4" xfId="2367" xr:uid="{00000000-0005-0000-0000-000014110000}"/>
    <cellStyle name="Input [yellow] 4 4" xfId="2376" xr:uid="{00000000-0005-0000-0000-000015110000}"/>
    <cellStyle name="Input [yellow] 4 5" xfId="43227" xr:uid="{00000000-0005-0000-0000-000016110000}"/>
    <cellStyle name="Input [yellow] 5" xfId="1014" xr:uid="{00000000-0005-0000-0000-000017110000}"/>
    <cellStyle name="Input [yellow] 5 2" xfId="1835" xr:uid="{00000000-0005-0000-0000-000018110000}"/>
    <cellStyle name="Input [yellow] 5 2 2" xfId="2097" xr:uid="{00000000-0005-0000-0000-000019110000}"/>
    <cellStyle name="Input [yellow] 5 2 2 2" xfId="2641" xr:uid="{00000000-0005-0000-0000-00001A110000}"/>
    <cellStyle name="Input [yellow] 5 2 2 3" xfId="2275" xr:uid="{00000000-0005-0000-0000-00001B110000}"/>
    <cellStyle name="Input [yellow] 5 2 3" xfId="2316" xr:uid="{00000000-0005-0000-0000-00001C110000}"/>
    <cellStyle name="Input [yellow] 5 2 4" xfId="2269" xr:uid="{00000000-0005-0000-0000-00001D110000}"/>
    <cellStyle name="Input [yellow] 5 2 5" xfId="43230" xr:uid="{00000000-0005-0000-0000-00001E110000}"/>
    <cellStyle name="Input [yellow] 5 3" xfId="1925" xr:uid="{00000000-0005-0000-0000-00001F110000}"/>
    <cellStyle name="Input [yellow] 5 3 2" xfId="2419" xr:uid="{00000000-0005-0000-0000-000020110000}"/>
    <cellStyle name="Input [yellow] 5 3 3" xfId="2640" xr:uid="{00000000-0005-0000-0000-000021110000}"/>
    <cellStyle name="Input [yellow] 5 3 4" xfId="2191" xr:uid="{00000000-0005-0000-0000-000022110000}"/>
    <cellStyle name="Input [yellow] 5 4" xfId="2293" xr:uid="{00000000-0005-0000-0000-000023110000}"/>
    <cellStyle name="Input [yellow] 5 5" xfId="43229" xr:uid="{00000000-0005-0000-0000-000024110000}"/>
    <cellStyle name="Input [yellow] 6" xfId="1819" xr:uid="{00000000-0005-0000-0000-000025110000}"/>
    <cellStyle name="Input [yellow] 6 2" xfId="2087" xr:uid="{00000000-0005-0000-0000-000026110000}"/>
    <cellStyle name="Input [yellow] 6 2 2" xfId="2642" xr:uid="{00000000-0005-0000-0000-000027110000}"/>
    <cellStyle name="Input [yellow] 6 2 3" xfId="2368" xr:uid="{00000000-0005-0000-0000-000028110000}"/>
    <cellStyle name="Input [yellow] 6 3" xfId="2131" xr:uid="{00000000-0005-0000-0000-000029110000}"/>
    <cellStyle name="Input [yellow] 6 4" xfId="2183" xr:uid="{00000000-0005-0000-0000-00002A110000}"/>
    <cellStyle name="Input [yellow] 6 5" xfId="43231" xr:uid="{00000000-0005-0000-0000-00002B110000}"/>
    <cellStyle name="Input [yellow] 7" xfId="1912" xr:uid="{00000000-0005-0000-0000-00002C110000}"/>
    <cellStyle name="Input [yellow] 7 2" xfId="2415" xr:uid="{00000000-0005-0000-0000-00002D110000}"/>
    <cellStyle name="Input [yellow] 7 3" xfId="2633" xr:uid="{00000000-0005-0000-0000-00002E110000}"/>
    <cellStyle name="Input [yellow] 7 4" xfId="2365" xr:uid="{00000000-0005-0000-0000-00002F110000}"/>
    <cellStyle name="Input [yellow] 8" xfId="2199" xr:uid="{00000000-0005-0000-0000-000030110000}"/>
    <cellStyle name="Input [yellow] 9" xfId="5451" xr:uid="{00000000-0005-0000-0000-000031110000}"/>
    <cellStyle name="Input [yellow]_COELCE CVA SRE (4)" xfId="5452" xr:uid="{00000000-0005-0000-0000-000032110000}"/>
    <cellStyle name="Input 1" xfId="807" xr:uid="{00000000-0005-0000-0000-000033110000}"/>
    <cellStyle name="Input 1 2" xfId="5453" xr:uid="{00000000-0005-0000-0000-000034110000}"/>
    <cellStyle name="Input 1 3" xfId="5454" xr:uid="{00000000-0005-0000-0000-000035110000}"/>
    <cellStyle name="Input 1 3 2" xfId="5455" xr:uid="{00000000-0005-0000-0000-000036110000}"/>
    <cellStyle name="Input 1_IF - Autoprodutores 2" xfId="5456" xr:uid="{00000000-0005-0000-0000-000037110000}"/>
    <cellStyle name="Input 10" xfId="1015" xr:uid="{00000000-0005-0000-0000-000038110000}"/>
    <cellStyle name="Input 10 2" xfId="1836" xr:uid="{00000000-0005-0000-0000-000039110000}"/>
    <cellStyle name="Input 10 2 2" xfId="2034" xr:uid="{00000000-0005-0000-0000-00003A110000}"/>
    <cellStyle name="Input 10 2 3" xfId="2098" xr:uid="{00000000-0005-0000-0000-00003B110000}"/>
    <cellStyle name="Input 10 2 4" xfId="2315" xr:uid="{00000000-0005-0000-0000-00003C110000}"/>
    <cellStyle name="Input 10 2 5" xfId="2186" xr:uid="{00000000-0005-0000-0000-00003D110000}"/>
    <cellStyle name="Input 10 3" xfId="1926" xr:uid="{00000000-0005-0000-0000-00003E110000}"/>
    <cellStyle name="Input 10 4" xfId="2204" xr:uid="{00000000-0005-0000-0000-00003F110000}"/>
    <cellStyle name="Input 11" xfId="1016" xr:uid="{00000000-0005-0000-0000-000040110000}"/>
    <cellStyle name="Input 11 2" xfId="1837" xr:uid="{00000000-0005-0000-0000-000041110000}"/>
    <cellStyle name="Input 11 2 2" xfId="2035" xr:uid="{00000000-0005-0000-0000-000042110000}"/>
    <cellStyle name="Input 11 2 3" xfId="2099" xr:uid="{00000000-0005-0000-0000-000043110000}"/>
    <cellStyle name="Input 11 2 4" xfId="2314" xr:uid="{00000000-0005-0000-0000-000044110000}"/>
    <cellStyle name="Input 11 2 5" xfId="2359" xr:uid="{00000000-0005-0000-0000-000045110000}"/>
    <cellStyle name="Input 11 3" xfId="1927" xr:uid="{00000000-0005-0000-0000-000046110000}"/>
    <cellStyle name="Input 11 4" xfId="2330" xr:uid="{00000000-0005-0000-0000-000047110000}"/>
    <cellStyle name="Input 12" xfId="1017" xr:uid="{00000000-0005-0000-0000-000048110000}"/>
    <cellStyle name="Input 12 2" xfId="1838" xr:uid="{00000000-0005-0000-0000-000049110000}"/>
    <cellStyle name="Input 12 2 2" xfId="2036" xr:uid="{00000000-0005-0000-0000-00004A110000}"/>
    <cellStyle name="Input 12 2 3" xfId="2100" xr:uid="{00000000-0005-0000-0000-00004B110000}"/>
    <cellStyle name="Input 12 2 4" xfId="2313" xr:uid="{00000000-0005-0000-0000-00004C110000}"/>
    <cellStyle name="Input 12 2 5" xfId="2223" xr:uid="{00000000-0005-0000-0000-00004D110000}"/>
    <cellStyle name="Input 12 3" xfId="1928" xr:uid="{00000000-0005-0000-0000-00004E110000}"/>
    <cellStyle name="Input 12 4" xfId="2242" xr:uid="{00000000-0005-0000-0000-00004F110000}"/>
    <cellStyle name="Input 13" xfId="1018" xr:uid="{00000000-0005-0000-0000-000050110000}"/>
    <cellStyle name="Input 13 2" xfId="1839" xr:uid="{00000000-0005-0000-0000-000051110000}"/>
    <cellStyle name="Input 13 2 2" xfId="2037" xr:uid="{00000000-0005-0000-0000-000052110000}"/>
    <cellStyle name="Input 13 2 3" xfId="2101" xr:uid="{00000000-0005-0000-0000-000053110000}"/>
    <cellStyle name="Input 13 2 4" xfId="2312" xr:uid="{00000000-0005-0000-0000-000054110000}"/>
    <cellStyle name="Input 13 2 5" xfId="2270" xr:uid="{00000000-0005-0000-0000-000055110000}"/>
    <cellStyle name="Input 13 3" xfId="1929" xr:uid="{00000000-0005-0000-0000-000056110000}"/>
    <cellStyle name="Input 13 4" xfId="2381" xr:uid="{00000000-0005-0000-0000-000057110000}"/>
    <cellStyle name="Input 14" xfId="1806" xr:uid="{00000000-0005-0000-0000-000058110000}"/>
    <cellStyle name="Input 14 2" xfId="1882" xr:uid="{00000000-0005-0000-0000-000059110000}"/>
    <cellStyle name="Input 14 2 2" xfId="2070" xr:uid="{00000000-0005-0000-0000-00005A110000}"/>
    <cellStyle name="Input 14 2 3" xfId="2124" xr:uid="{00000000-0005-0000-0000-00005B110000}"/>
    <cellStyle name="Input 14 2 4" xfId="2624" xr:uid="{00000000-0005-0000-0000-00005C110000}"/>
    <cellStyle name="Input 14 2 5" xfId="2272" xr:uid="{00000000-0005-0000-0000-00005D110000}"/>
    <cellStyle name="Input 14 3" xfId="2019" xr:uid="{00000000-0005-0000-0000-00005E110000}"/>
    <cellStyle name="Input 14 4" xfId="2267" xr:uid="{00000000-0005-0000-0000-00005F110000}"/>
    <cellStyle name="Input 15" xfId="1811" xr:uid="{00000000-0005-0000-0000-000060110000}"/>
    <cellStyle name="Input 15 2" xfId="1885" xr:uid="{00000000-0005-0000-0000-000061110000}"/>
    <cellStyle name="Input 15 2 2" xfId="2073" xr:uid="{00000000-0005-0000-0000-000062110000}"/>
    <cellStyle name="Input 15 2 3" xfId="2126" xr:uid="{00000000-0005-0000-0000-000063110000}"/>
    <cellStyle name="Input 15 2 4" xfId="2626" xr:uid="{00000000-0005-0000-0000-000064110000}"/>
    <cellStyle name="Input 15 2 5" xfId="2188" xr:uid="{00000000-0005-0000-0000-000065110000}"/>
    <cellStyle name="Input 15 3" xfId="2024" xr:uid="{00000000-0005-0000-0000-000066110000}"/>
    <cellStyle name="Input 15 4" xfId="2340" xr:uid="{00000000-0005-0000-0000-000067110000}"/>
    <cellStyle name="Input 16" xfId="1801" xr:uid="{00000000-0005-0000-0000-000068110000}"/>
    <cellStyle name="Input 16 2" xfId="1879" xr:uid="{00000000-0005-0000-0000-000069110000}"/>
    <cellStyle name="Input 16 2 2" xfId="2068" xr:uid="{00000000-0005-0000-0000-00006A110000}"/>
    <cellStyle name="Input 16 2 3" xfId="2121" xr:uid="{00000000-0005-0000-0000-00006B110000}"/>
    <cellStyle name="Input 16 2 4" xfId="2622" xr:uid="{00000000-0005-0000-0000-00006C110000}"/>
    <cellStyle name="Input 16 2 5" xfId="2362" xr:uid="{00000000-0005-0000-0000-00006D110000}"/>
    <cellStyle name="Input 16 3" xfId="2017" xr:uid="{00000000-0005-0000-0000-00006E110000}"/>
    <cellStyle name="Input 16 4" xfId="2180" xr:uid="{00000000-0005-0000-0000-00006F110000}"/>
    <cellStyle name="Input 17" xfId="1810" xr:uid="{00000000-0005-0000-0000-000070110000}"/>
    <cellStyle name="Input 17 2" xfId="1884" xr:uid="{00000000-0005-0000-0000-000071110000}"/>
    <cellStyle name="Input 17 2 2" xfId="2072" xr:uid="{00000000-0005-0000-0000-000072110000}"/>
    <cellStyle name="Input 17 2 3" xfId="2125" xr:uid="{00000000-0005-0000-0000-000073110000}"/>
    <cellStyle name="Input 17 2 4" xfId="2625" xr:uid="{00000000-0005-0000-0000-000074110000}"/>
    <cellStyle name="Input 17 2 5" xfId="2363" xr:uid="{00000000-0005-0000-0000-000075110000}"/>
    <cellStyle name="Input 17 3" xfId="2023" xr:uid="{00000000-0005-0000-0000-000076110000}"/>
    <cellStyle name="Input 17 4" xfId="2182" xr:uid="{00000000-0005-0000-0000-000077110000}"/>
    <cellStyle name="Input 2" xfId="1019" xr:uid="{00000000-0005-0000-0000-000078110000}"/>
    <cellStyle name="Input 2 2" xfId="1840" xr:uid="{00000000-0005-0000-0000-000079110000}"/>
    <cellStyle name="Input 2 2 2" xfId="2038" xr:uid="{00000000-0005-0000-0000-00007A110000}"/>
    <cellStyle name="Input 2 2 3" xfId="2102" xr:uid="{00000000-0005-0000-0000-00007B110000}"/>
    <cellStyle name="Input 2 2 4" xfId="2128" xr:uid="{00000000-0005-0000-0000-00007C110000}"/>
    <cellStyle name="Input 2 2 5" xfId="2300" xr:uid="{00000000-0005-0000-0000-00007D110000}"/>
    <cellStyle name="Input 2 3" xfId="1930" xr:uid="{00000000-0005-0000-0000-00007E110000}"/>
    <cellStyle name="Input 2 4" xfId="2348" xr:uid="{00000000-0005-0000-0000-00007F110000}"/>
    <cellStyle name="Input 3" xfId="808" xr:uid="{00000000-0005-0000-0000-000080110000}"/>
    <cellStyle name="Input 3 2" xfId="5457" xr:uid="{00000000-0005-0000-0000-000081110000}"/>
    <cellStyle name="Input 4" xfId="1020" xr:uid="{00000000-0005-0000-0000-000082110000}"/>
    <cellStyle name="Input 4 2" xfId="1841" xr:uid="{00000000-0005-0000-0000-000083110000}"/>
    <cellStyle name="Input 4 2 2" xfId="2039" xr:uid="{00000000-0005-0000-0000-000084110000}"/>
    <cellStyle name="Input 4 2 3" xfId="2103" xr:uid="{00000000-0005-0000-0000-000085110000}"/>
    <cellStyle name="Input 4 2 4" xfId="2311" xr:uid="{00000000-0005-0000-0000-000086110000}"/>
    <cellStyle name="Input 4 2 5" xfId="2360" xr:uid="{00000000-0005-0000-0000-000087110000}"/>
    <cellStyle name="Input 4 3" xfId="1931" xr:uid="{00000000-0005-0000-0000-000088110000}"/>
    <cellStyle name="Input 4 4" xfId="2169" xr:uid="{00000000-0005-0000-0000-000089110000}"/>
    <cellStyle name="Input 5" xfId="1021" xr:uid="{00000000-0005-0000-0000-00008A110000}"/>
    <cellStyle name="Input 5 2" xfId="1842" xr:uid="{00000000-0005-0000-0000-00008B110000}"/>
    <cellStyle name="Input 5 2 2" xfId="2040" xr:uid="{00000000-0005-0000-0000-00008C110000}"/>
    <cellStyle name="Input 5 2 3" xfId="2104" xr:uid="{00000000-0005-0000-0000-00008D110000}"/>
    <cellStyle name="Input 5 2 4" xfId="2310" xr:uid="{00000000-0005-0000-0000-00008E110000}"/>
    <cellStyle name="Input 5 2 5" xfId="2160" xr:uid="{00000000-0005-0000-0000-00008F110000}"/>
    <cellStyle name="Input 5 3" xfId="1932" xr:uid="{00000000-0005-0000-0000-000090110000}"/>
    <cellStyle name="Input 5 4" xfId="2205" xr:uid="{00000000-0005-0000-0000-000091110000}"/>
    <cellStyle name="Input 6" xfId="1022" xr:uid="{00000000-0005-0000-0000-000092110000}"/>
    <cellStyle name="Input 6 2" xfId="1843" xr:uid="{00000000-0005-0000-0000-000093110000}"/>
    <cellStyle name="Input 6 2 2" xfId="2041" xr:uid="{00000000-0005-0000-0000-000094110000}"/>
    <cellStyle name="Input 6 2 3" xfId="2105" xr:uid="{00000000-0005-0000-0000-000095110000}"/>
    <cellStyle name="Input 6 2 4" xfId="2309" xr:uid="{00000000-0005-0000-0000-000096110000}"/>
    <cellStyle name="Input 6 2 5" xfId="2239" xr:uid="{00000000-0005-0000-0000-000097110000}"/>
    <cellStyle name="Input 6 3" xfId="1933" xr:uid="{00000000-0005-0000-0000-000098110000}"/>
    <cellStyle name="Input 6 4" xfId="2377" xr:uid="{00000000-0005-0000-0000-000099110000}"/>
    <cellStyle name="Input 7" xfId="1023" xr:uid="{00000000-0005-0000-0000-00009A110000}"/>
    <cellStyle name="Input 7 2" xfId="1844" xr:uid="{00000000-0005-0000-0000-00009B110000}"/>
    <cellStyle name="Input 7 2 2" xfId="2042" xr:uid="{00000000-0005-0000-0000-00009C110000}"/>
    <cellStyle name="Input 7 2 3" xfId="2106" xr:uid="{00000000-0005-0000-0000-00009D110000}"/>
    <cellStyle name="Input 7 2 4" xfId="2308" xr:uid="{00000000-0005-0000-0000-00009E110000}"/>
    <cellStyle name="Input 7 2 5" xfId="2224" xr:uid="{00000000-0005-0000-0000-00009F110000}"/>
    <cellStyle name="Input 7 3" xfId="1934" xr:uid="{00000000-0005-0000-0000-0000A0110000}"/>
    <cellStyle name="Input 7 4" xfId="2294" xr:uid="{00000000-0005-0000-0000-0000A1110000}"/>
    <cellStyle name="Input 8" xfId="1024" xr:uid="{00000000-0005-0000-0000-0000A2110000}"/>
    <cellStyle name="Input 8 2" xfId="1845" xr:uid="{00000000-0005-0000-0000-0000A3110000}"/>
    <cellStyle name="Input 8 2 2" xfId="2043" xr:uid="{00000000-0005-0000-0000-0000A4110000}"/>
    <cellStyle name="Input 8 2 3" xfId="2107" xr:uid="{00000000-0005-0000-0000-0000A5110000}"/>
    <cellStyle name="Input 8 2 4" xfId="2307" xr:uid="{00000000-0005-0000-0000-0000A6110000}"/>
    <cellStyle name="Input 8 2 5" xfId="2225" xr:uid="{00000000-0005-0000-0000-0000A7110000}"/>
    <cellStyle name="Input 8 3" xfId="1935" xr:uid="{00000000-0005-0000-0000-0000A8110000}"/>
    <cellStyle name="Input 8 4" xfId="2412" xr:uid="{00000000-0005-0000-0000-0000A9110000}"/>
    <cellStyle name="Input 9" xfId="1025" xr:uid="{00000000-0005-0000-0000-0000AA110000}"/>
    <cellStyle name="Input 9 2" xfId="1846" xr:uid="{00000000-0005-0000-0000-0000AB110000}"/>
    <cellStyle name="Input 9 2 2" xfId="2044" xr:uid="{00000000-0005-0000-0000-0000AC110000}"/>
    <cellStyle name="Input 9 2 3" xfId="2108" xr:uid="{00000000-0005-0000-0000-0000AD110000}"/>
    <cellStyle name="Input 9 2 4" xfId="2306" xr:uid="{00000000-0005-0000-0000-0000AE110000}"/>
    <cellStyle name="Input 9 2 5" xfId="2187" xr:uid="{00000000-0005-0000-0000-0000AF110000}"/>
    <cellStyle name="Input 9 3" xfId="1936" xr:uid="{00000000-0005-0000-0000-0000B0110000}"/>
    <cellStyle name="Input 9 4" xfId="2170" xr:uid="{00000000-0005-0000-0000-0000B1110000}"/>
    <cellStyle name="input override" xfId="5458" xr:uid="{00000000-0005-0000-0000-0000B2110000}"/>
    <cellStyle name="Input_Análise CO" xfId="5459" xr:uid="{00000000-0005-0000-0000-0000B3110000}"/>
    <cellStyle name="Kristopher's model" xfId="5460" xr:uid="{00000000-0005-0000-0000-0000B4110000}"/>
    <cellStyle name="Lien hypertexte" xfId="5461" xr:uid="{00000000-0005-0000-0000-0000B5110000}"/>
    <cellStyle name="Link Currency (0)" xfId="809" xr:uid="{00000000-0005-0000-0000-0000B6110000}"/>
    <cellStyle name="Link Currency (0) 2" xfId="1026" xr:uid="{00000000-0005-0000-0000-0000B7110000}"/>
    <cellStyle name="Link Currency (0) 3" xfId="5462" xr:uid="{00000000-0005-0000-0000-0000B8110000}"/>
    <cellStyle name="Link Currency (0)_IRT_Planilha Básica_ v2010_CERRP" xfId="1762" xr:uid="{00000000-0005-0000-0000-0000B9110000}"/>
    <cellStyle name="Link Currency (2)" xfId="810" xr:uid="{00000000-0005-0000-0000-0000BA110000}"/>
    <cellStyle name="Link Units (0)" xfId="811" xr:uid="{00000000-0005-0000-0000-0000BB110000}"/>
    <cellStyle name="Link Units (0) 2" xfId="1027" xr:uid="{00000000-0005-0000-0000-0000BC110000}"/>
    <cellStyle name="Link Units (0) 3" xfId="5463" xr:uid="{00000000-0005-0000-0000-0000BD110000}"/>
    <cellStyle name="Link Units (0)_IRT_Planilha Básica_ v2010_CERRP" xfId="1763" xr:uid="{00000000-0005-0000-0000-0000BE110000}"/>
    <cellStyle name="Link Units (1)" xfId="812" xr:uid="{00000000-0005-0000-0000-0000BF110000}"/>
    <cellStyle name="Link Units (1) 2" xfId="1028" xr:uid="{00000000-0005-0000-0000-0000C0110000}"/>
    <cellStyle name="Link Units (1) 3" xfId="5464" xr:uid="{00000000-0005-0000-0000-0000C1110000}"/>
    <cellStyle name="Link Units (1)_IRT_Planilha Básica_ v2010_CERRP" xfId="1764" xr:uid="{00000000-0005-0000-0000-0000C2110000}"/>
    <cellStyle name="Link Units (2)" xfId="813" xr:uid="{00000000-0005-0000-0000-0000C3110000}"/>
    <cellStyle name="Linked Cell" xfId="814" xr:uid="{00000000-0005-0000-0000-0000C4110000}"/>
    <cellStyle name="Linked Cell 2" xfId="5465" xr:uid="{00000000-0005-0000-0000-0000C5110000}"/>
    <cellStyle name="MacroCode" xfId="5466" xr:uid="{00000000-0005-0000-0000-0000C6110000}"/>
    <cellStyle name="měny_Business Plan MCE" xfId="5467" xr:uid="{00000000-0005-0000-0000-0000C7110000}"/>
    <cellStyle name="Migliaia (0)_00_REV" xfId="5468" xr:uid="{00000000-0005-0000-0000-0000C8110000}"/>
    <cellStyle name="Migliaia_1320 NX" xfId="5469" xr:uid="{00000000-0005-0000-0000-0000C9110000}"/>
    <cellStyle name="Mike" xfId="5470" xr:uid="{00000000-0005-0000-0000-0000CA110000}"/>
    <cellStyle name="Millares [0]_10 AVERIAS MASIVAS + ANT" xfId="5471" xr:uid="{00000000-0005-0000-0000-0000CB110000}"/>
    <cellStyle name="Millares 2" xfId="1029" xr:uid="{00000000-0005-0000-0000-0000CC110000}"/>
    <cellStyle name="Millares 2 10" xfId="5472" xr:uid="{00000000-0005-0000-0000-0000CD110000}"/>
    <cellStyle name="Millares 2 11" xfId="5473" xr:uid="{00000000-0005-0000-0000-0000CE110000}"/>
    <cellStyle name="Millares 2 12" xfId="5474" xr:uid="{00000000-0005-0000-0000-0000CF110000}"/>
    <cellStyle name="Millares 2 13" xfId="5475" xr:uid="{00000000-0005-0000-0000-0000D0110000}"/>
    <cellStyle name="Millares 2 14" xfId="5476" xr:uid="{00000000-0005-0000-0000-0000D1110000}"/>
    <cellStyle name="Millares 2 15" xfId="5477" xr:uid="{00000000-0005-0000-0000-0000D2110000}"/>
    <cellStyle name="Millares 2 16" xfId="5478" xr:uid="{00000000-0005-0000-0000-0000D3110000}"/>
    <cellStyle name="Millares 2 17" xfId="5479" xr:uid="{00000000-0005-0000-0000-0000D4110000}"/>
    <cellStyle name="Millares 2 18" xfId="5480" xr:uid="{00000000-0005-0000-0000-0000D5110000}"/>
    <cellStyle name="Millares 2 19" xfId="5481" xr:uid="{00000000-0005-0000-0000-0000D6110000}"/>
    <cellStyle name="Millares 2 2" xfId="5482" xr:uid="{00000000-0005-0000-0000-0000D7110000}"/>
    <cellStyle name="Millares 2 20" xfId="5483" xr:uid="{00000000-0005-0000-0000-0000D8110000}"/>
    <cellStyle name="Millares 2 21" xfId="5484" xr:uid="{00000000-0005-0000-0000-0000D9110000}"/>
    <cellStyle name="Millares 2 22" xfId="5485" xr:uid="{00000000-0005-0000-0000-0000DA110000}"/>
    <cellStyle name="Millares 2 23" xfId="5486" xr:uid="{00000000-0005-0000-0000-0000DB110000}"/>
    <cellStyle name="Millares 2 24" xfId="5487" xr:uid="{00000000-0005-0000-0000-0000DC110000}"/>
    <cellStyle name="Millares 2 25" xfId="5488" xr:uid="{00000000-0005-0000-0000-0000DD110000}"/>
    <cellStyle name="Millares 2 26" xfId="43232" xr:uid="{00000000-0005-0000-0000-0000DE110000}"/>
    <cellStyle name="Millares 2 3" xfId="5489" xr:uid="{00000000-0005-0000-0000-0000DF110000}"/>
    <cellStyle name="Millares 2 4" xfId="5490" xr:uid="{00000000-0005-0000-0000-0000E0110000}"/>
    <cellStyle name="Millares 2 5" xfId="5491" xr:uid="{00000000-0005-0000-0000-0000E1110000}"/>
    <cellStyle name="Millares 2 6" xfId="5492" xr:uid="{00000000-0005-0000-0000-0000E2110000}"/>
    <cellStyle name="Millares 2 7" xfId="5493" xr:uid="{00000000-0005-0000-0000-0000E3110000}"/>
    <cellStyle name="Millares 2 8" xfId="5494" xr:uid="{00000000-0005-0000-0000-0000E4110000}"/>
    <cellStyle name="Millares 2 9" xfId="5495" xr:uid="{00000000-0005-0000-0000-0000E5110000}"/>
    <cellStyle name="Millares 3" xfId="1030" xr:uid="{00000000-0005-0000-0000-0000E6110000}"/>
    <cellStyle name="Millares 3 10" xfId="5496" xr:uid="{00000000-0005-0000-0000-0000E7110000}"/>
    <cellStyle name="Millares 3 11" xfId="5497" xr:uid="{00000000-0005-0000-0000-0000E8110000}"/>
    <cellStyle name="Millares 3 12" xfId="5498" xr:uid="{00000000-0005-0000-0000-0000E9110000}"/>
    <cellStyle name="Millares 3 13" xfId="5499" xr:uid="{00000000-0005-0000-0000-0000EA110000}"/>
    <cellStyle name="Millares 3 14" xfId="5500" xr:uid="{00000000-0005-0000-0000-0000EB110000}"/>
    <cellStyle name="Millares 3 15" xfId="5501" xr:uid="{00000000-0005-0000-0000-0000EC110000}"/>
    <cellStyle name="Millares 3 16" xfId="5502" xr:uid="{00000000-0005-0000-0000-0000ED110000}"/>
    <cellStyle name="Millares 3 17" xfId="5503" xr:uid="{00000000-0005-0000-0000-0000EE110000}"/>
    <cellStyle name="Millares 3 18" xfId="5504" xr:uid="{00000000-0005-0000-0000-0000EF110000}"/>
    <cellStyle name="Millares 3 19" xfId="5505" xr:uid="{00000000-0005-0000-0000-0000F0110000}"/>
    <cellStyle name="Millares 3 2" xfId="5506" xr:uid="{00000000-0005-0000-0000-0000F1110000}"/>
    <cellStyle name="Millares 3 20" xfId="5507" xr:uid="{00000000-0005-0000-0000-0000F2110000}"/>
    <cellStyle name="Millares 3 21" xfId="5508" xr:uid="{00000000-0005-0000-0000-0000F3110000}"/>
    <cellStyle name="Millares 3 22" xfId="5509" xr:uid="{00000000-0005-0000-0000-0000F4110000}"/>
    <cellStyle name="Millares 3 23" xfId="5510" xr:uid="{00000000-0005-0000-0000-0000F5110000}"/>
    <cellStyle name="Millares 3 24" xfId="5511" xr:uid="{00000000-0005-0000-0000-0000F6110000}"/>
    <cellStyle name="Millares 3 25" xfId="5512" xr:uid="{00000000-0005-0000-0000-0000F7110000}"/>
    <cellStyle name="Millares 3 3" xfId="5513" xr:uid="{00000000-0005-0000-0000-0000F8110000}"/>
    <cellStyle name="Millares 3 4" xfId="5514" xr:uid="{00000000-0005-0000-0000-0000F9110000}"/>
    <cellStyle name="Millares 3 5" xfId="5515" xr:uid="{00000000-0005-0000-0000-0000FA110000}"/>
    <cellStyle name="Millares 3 6" xfId="5516" xr:uid="{00000000-0005-0000-0000-0000FB110000}"/>
    <cellStyle name="Millares 3 7" xfId="5517" xr:uid="{00000000-0005-0000-0000-0000FC110000}"/>
    <cellStyle name="Millares 3 8" xfId="5518" xr:uid="{00000000-0005-0000-0000-0000FD110000}"/>
    <cellStyle name="Millares 3 9" xfId="5519" xr:uid="{00000000-0005-0000-0000-0000FE110000}"/>
    <cellStyle name="Millares 4" xfId="1031" xr:uid="{00000000-0005-0000-0000-0000FF110000}"/>
    <cellStyle name="Millares 4 10" xfId="5520" xr:uid="{00000000-0005-0000-0000-000000120000}"/>
    <cellStyle name="Millares 4 11" xfId="5521" xr:uid="{00000000-0005-0000-0000-000001120000}"/>
    <cellStyle name="Millares 4 12" xfId="5522" xr:uid="{00000000-0005-0000-0000-000002120000}"/>
    <cellStyle name="Millares 4 13" xfId="5523" xr:uid="{00000000-0005-0000-0000-000003120000}"/>
    <cellStyle name="Millares 4 14" xfId="5524" xr:uid="{00000000-0005-0000-0000-000004120000}"/>
    <cellStyle name="Millares 4 15" xfId="5525" xr:uid="{00000000-0005-0000-0000-000005120000}"/>
    <cellStyle name="Millares 4 16" xfId="5526" xr:uid="{00000000-0005-0000-0000-000006120000}"/>
    <cellStyle name="Millares 4 17" xfId="5527" xr:uid="{00000000-0005-0000-0000-000007120000}"/>
    <cellStyle name="Millares 4 18" xfId="5528" xr:uid="{00000000-0005-0000-0000-000008120000}"/>
    <cellStyle name="Millares 4 19" xfId="5529" xr:uid="{00000000-0005-0000-0000-000009120000}"/>
    <cellStyle name="Millares 4 2" xfId="5530" xr:uid="{00000000-0005-0000-0000-00000A120000}"/>
    <cellStyle name="Millares 4 20" xfId="5531" xr:uid="{00000000-0005-0000-0000-00000B120000}"/>
    <cellStyle name="Millares 4 21" xfId="5532" xr:uid="{00000000-0005-0000-0000-00000C120000}"/>
    <cellStyle name="Millares 4 22" xfId="5533" xr:uid="{00000000-0005-0000-0000-00000D120000}"/>
    <cellStyle name="Millares 4 23" xfId="5534" xr:uid="{00000000-0005-0000-0000-00000E120000}"/>
    <cellStyle name="Millares 4 24" xfId="5535" xr:uid="{00000000-0005-0000-0000-00000F120000}"/>
    <cellStyle name="Millares 4 25" xfId="5536" xr:uid="{00000000-0005-0000-0000-000010120000}"/>
    <cellStyle name="Millares 4 3" xfId="5537" xr:uid="{00000000-0005-0000-0000-000011120000}"/>
    <cellStyle name="Millares 4 4" xfId="5538" xr:uid="{00000000-0005-0000-0000-000012120000}"/>
    <cellStyle name="Millares 4 5" xfId="5539" xr:uid="{00000000-0005-0000-0000-000013120000}"/>
    <cellStyle name="Millares 4 6" xfId="5540" xr:uid="{00000000-0005-0000-0000-000014120000}"/>
    <cellStyle name="Millares 4 7" xfId="5541" xr:uid="{00000000-0005-0000-0000-000015120000}"/>
    <cellStyle name="Millares 4 8" xfId="5542" xr:uid="{00000000-0005-0000-0000-000016120000}"/>
    <cellStyle name="Millares 4 9" xfId="5543" xr:uid="{00000000-0005-0000-0000-000017120000}"/>
    <cellStyle name="Millares 5" xfId="1032" xr:uid="{00000000-0005-0000-0000-000018120000}"/>
    <cellStyle name="Millares 5 10" xfId="5544" xr:uid="{00000000-0005-0000-0000-000019120000}"/>
    <cellStyle name="Millares 5 11" xfId="5545" xr:uid="{00000000-0005-0000-0000-00001A120000}"/>
    <cellStyle name="Millares 5 12" xfId="5546" xr:uid="{00000000-0005-0000-0000-00001B120000}"/>
    <cellStyle name="Millares 5 13" xfId="5547" xr:uid="{00000000-0005-0000-0000-00001C120000}"/>
    <cellStyle name="Millares 5 14" xfId="5548" xr:uid="{00000000-0005-0000-0000-00001D120000}"/>
    <cellStyle name="Millares 5 15" xfId="5549" xr:uid="{00000000-0005-0000-0000-00001E120000}"/>
    <cellStyle name="Millares 5 16" xfId="5550" xr:uid="{00000000-0005-0000-0000-00001F120000}"/>
    <cellStyle name="Millares 5 17" xfId="5551" xr:uid="{00000000-0005-0000-0000-000020120000}"/>
    <cellStyle name="Millares 5 18" xfId="5552" xr:uid="{00000000-0005-0000-0000-000021120000}"/>
    <cellStyle name="Millares 5 19" xfId="5553" xr:uid="{00000000-0005-0000-0000-000022120000}"/>
    <cellStyle name="Millares 5 2" xfId="5554" xr:uid="{00000000-0005-0000-0000-000023120000}"/>
    <cellStyle name="Millares 5 20" xfId="5555" xr:uid="{00000000-0005-0000-0000-000024120000}"/>
    <cellStyle name="Millares 5 21" xfId="5556" xr:uid="{00000000-0005-0000-0000-000025120000}"/>
    <cellStyle name="Millares 5 22" xfId="5557" xr:uid="{00000000-0005-0000-0000-000026120000}"/>
    <cellStyle name="Millares 5 23" xfId="5558" xr:uid="{00000000-0005-0000-0000-000027120000}"/>
    <cellStyle name="Millares 5 24" xfId="5559" xr:uid="{00000000-0005-0000-0000-000028120000}"/>
    <cellStyle name="Millares 5 25" xfId="5560" xr:uid="{00000000-0005-0000-0000-000029120000}"/>
    <cellStyle name="Millares 5 3" xfId="5561" xr:uid="{00000000-0005-0000-0000-00002A120000}"/>
    <cellStyle name="Millares 5 4" xfId="5562" xr:uid="{00000000-0005-0000-0000-00002B120000}"/>
    <cellStyle name="Millares 5 5" xfId="5563" xr:uid="{00000000-0005-0000-0000-00002C120000}"/>
    <cellStyle name="Millares 5 6" xfId="5564" xr:uid="{00000000-0005-0000-0000-00002D120000}"/>
    <cellStyle name="Millares 5 7" xfId="5565" xr:uid="{00000000-0005-0000-0000-00002E120000}"/>
    <cellStyle name="Millares 5 8" xfId="5566" xr:uid="{00000000-0005-0000-0000-00002F120000}"/>
    <cellStyle name="Millares 5 9" xfId="5567" xr:uid="{00000000-0005-0000-0000-000030120000}"/>
    <cellStyle name="Millares_10 AVERIAS MASIVAS + ANT" xfId="5568" xr:uid="{00000000-0005-0000-0000-000031120000}"/>
    <cellStyle name="Milliers [0]_~S9STD" xfId="5569" xr:uid="{00000000-0005-0000-0000-000032120000}"/>
    <cellStyle name="Milliers_~S9STD" xfId="5570" xr:uid="{00000000-0005-0000-0000-000033120000}"/>
    <cellStyle name="Misto" xfId="1657" xr:uid="{00000000-0005-0000-0000-000034120000}"/>
    <cellStyle name="Moeda" xfId="815" builtinId="4"/>
    <cellStyle name="Moeda 2" xfId="902" xr:uid="{00000000-0005-0000-0000-000036120000}"/>
    <cellStyle name="Moeda 2 2" xfId="1033" xr:uid="{00000000-0005-0000-0000-000037120000}"/>
    <cellStyle name="Moeda 2 2 2" xfId="5571" xr:uid="{00000000-0005-0000-0000-000038120000}"/>
    <cellStyle name="Moeda 2 2 3" xfId="5572" xr:uid="{00000000-0005-0000-0000-000039120000}"/>
    <cellStyle name="Moeda 2 2 4" xfId="5573" xr:uid="{00000000-0005-0000-0000-00003A120000}"/>
    <cellStyle name="Moeda 2 2 5" xfId="5574" xr:uid="{00000000-0005-0000-0000-00003B120000}"/>
    <cellStyle name="Moeda 2 3" xfId="1717" xr:uid="{00000000-0005-0000-0000-00003C120000}"/>
    <cellStyle name="Moeda 2 3 2" xfId="5575" xr:uid="{00000000-0005-0000-0000-00003D120000}"/>
    <cellStyle name="Moeda 2 3 3" xfId="5576" xr:uid="{00000000-0005-0000-0000-00003E120000}"/>
    <cellStyle name="Moeda 2 3 4" xfId="5577" xr:uid="{00000000-0005-0000-0000-00003F120000}"/>
    <cellStyle name="Moeda 2 4" xfId="1797" xr:uid="{00000000-0005-0000-0000-000040120000}"/>
    <cellStyle name="Moeda 2 4 2" xfId="5578" xr:uid="{00000000-0005-0000-0000-000041120000}"/>
    <cellStyle name="Moeda 2 4 3" xfId="5579" xr:uid="{00000000-0005-0000-0000-000042120000}"/>
    <cellStyle name="Moeda 2 4 4" xfId="5580" xr:uid="{00000000-0005-0000-0000-000043120000}"/>
    <cellStyle name="Moeda 2 5" xfId="5581" xr:uid="{00000000-0005-0000-0000-000044120000}"/>
    <cellStyle name="Moeda 2 5 2" xfId="5582" xr:uid="{00000000-0005-0000-0000-000045120000}"/>
    <cellStyle name="Moeda 2 5 3" xfId="5583" xr:uid="{00000000-0005-0000-0000-000046120000}"/>
    <cellStyle name="Moeda 2 5 4" xfId="5584" xr:uid="{00000000-0005-0000-0000-000047120000}"/>
    <cellStyle name="Moeda 2 6" xfId="5585" xr:uid="{00000000-0005-0000-0000-000048120000}"/>
    <cellStyle name="Moeda 2 6 2" xfId="5586" xr:uid="{00000000-0005-0000-0000-000049120000}"/>
    <cellStyle name="Moeda 2 6 3" xfId="5587" xr:uid="{00000000-0005-0000-0000-00004A120000}"/>
    <cellStyle name="Moeda 2 6 4" xfId="5588" xr:uid="{00000000-0005-0000-0000-00004B120000}"/>
    <cellStyle name="Moeda 2 7" xfId="5589" xr:uid="{00000000-0005-0000-0000-00004C120000}"/>
    <cellStyle name="Moeda 2 8" xfId="5590" xr:uid="{00000000-0005-0000-0000-00004D120000}"/>
    <cellStyle name="Moeda 3" xfId="1034" xr:uid="{00000000-0005-0000-0000-00004E120000}"/>
    <cellStyle name="Moeda 3 2" xfId="2497" xr:uid="{00000000-0005-0000-0000-00004F120000}"/>
    <cellStyle name="Moeda 4" xfId="1658" xr:uid="{00000000-0005-0000-0000-000050120000}"/>
    <cellStyle name="Moeda 4 2" xfId="1864" xr:uid="{00000000-0005-0000-0000-000051120000}"/>
    <cellStyle name="Moeda 4 2 2" xfId="2059" xr:uid="{00000000-0005-0000-0000-000052120000}"/>
    <cellStyle name="Moeda 4 2 2 2" xfId="2498" xr:uid="{00000000-0005-0000-0000-000053120000}"/>
    <cellStyle name="Moeda 4 2 2 3" xfId="43315" xr:uid="{00000000-0005-0000-0000-000054120000}"/>
    <cellStyle name="Moeda 4 2 3" xfId="2499" xr:uid="{00000000-0005-0000-0000-000055120000}"/>
    <cellStyle name="Moeda 4 2 3 2" xfId="43316" xr:uid="{00000000-0005-0000-0000-000056120000}"/>
    <cellStyle name="Moeda 4 2 4" xfId="2421" xr:uid="{00000000-0005-0000-0000-000057120000}"/>
    <cellStyle name="Moeda 4 2 5" xfId="2394" xr:uid="{00000000-0005-0000-0000-000058120000}"/>
    <cellStyle name="Moeda 4 2 6" xfId="43234" xr:uid="{00000000-0005-0000-0000-000059120000}"/>
    <cellStyle name="Moeda 4 3" xfId="1972" xr:uid="{00000000-0005-0000-0000-00005A120000}"/>
    <cellStyle name="Moeda 4 3 2" xfId="2500" xr:uid="{00000000-0005-0000-0000-00005B120000}"/>
    <cellStyle name="Moeda 4 3 3" xfId="43317" xr:uid="{00000000-0005-0000-0000-00005C120000}"/>
    <cellStyle name="Moeda 4 4" xfId="2501" xr:uid="{00000000-0005-0000-0000-00005D120000}"/>
    <cellStyle name="Moeda 4 4 2" xfId="43318" xr:uid="{00000000-0005-0000-0000-00005E120000}"/>
    <cellStyle name="Moeda 4 5" xfId="2420" xr:uid="{00000000-0005-0000-0000-00005F120000}"/>
    <cellStyle name="Moeda 4 6" xfId="2336" xr:uid="{00000000-0005-0000-0000-000060120000}"/>
    <cellStyle name="Moeda 4 7" xfId="43233" xr:uid="{00000000-0005-0000-0000-000061120000}"/>
    <cellStyle name="Moeda 5" xfId="1474" xr:uid="{00000000-0005-0000-0000-000062120000}"/>
    <cellStyle name="Moeda 5 2" xfId="5591" xr:uid="{00000000-0005-0000-0000-000063120000}"/>
    <cellStyle name="Moeda 6" xfId="1765" xr:uid="{00000000-0005-0000-0000-000064120000}"/>
    <cellStyle name="Moeda 6 2" xfId="1874" xr:uid="{00000000-0005-0000-0000-000065120000}"/>
    <cellStyle name="Moeda 6 2 2" xfId="2063" xr:uid="{00000000-0005-0000-0000-000066120000}"/>
    <cellStyle name="Moeda 6 2 2 2" xfId="2502" xr:uid="{00000000-0005-0000-0000-000067120000}"/>
    <cellStyle name="Moeda 6 2 2 3" xfId="43319" xr:uid="{00000000-0005-0000-0000-000068120000}"/>
    <cellStyle name="Moeda 6 2 3" xfId="2503" xr:uid="{00000000-0005-0000-0000-000069120000}"/>
    <cellStyle name="Moeda 6 2 3 2" xfId="43320" xr:uid="{00000000-0005-0000-0000-00006A120000}"/>
    <cellStyle name="Moeda 6 2 4" xfId="2423" xr:uid="{00000000-0005-0000-0000-00006B120000}"/>
    <cellStyle name="Moeda 6 2 5" xfId="2399" xr:uid="{00000000-0005-0000-0000-00006C120000}"/>
    <cellStyle name="Moeda 6 2 6" xfId="43236" xr:uid="{00000000-0005-0000-0000-00006D120000}"/>
    <cellStyle name="Moeda 6 3" xfId="2009" xr:uid="{00000000-0005-0000-0000-00006E120000}"/>
    <cellStyle name="Moeda 6 3 2" xfId="2504" xr:uid="{00000000-0005-0000-0000-00006F120000}"/>
    <cellStyle name="Moeda 6 3 3" xfId="43321" xr:uid="{00000000-0005-0000-0000-000070120000}"/>
    <cellStyle name="Moeda 6 4" xfId="2505" xr:uid="{00000000-0005-0000-0000-000071120000}"/>
    <cellStyle name="Moeda 6 4 2" xfId="43322" xr:uid="{00000000-0005-0000-0000-000072120000}"/>
    <cellStyle name="Moeda 6 5" xfId="2506" xr:uid="{00000000-0005-0000-0000-000073120000}"/>
    <cellStyle name="Moeda 6 5 2" xfId="43323" xr:uid="{00000000-0005-0000-0000-000074120000}"/>
    <cellStyle name="Moeda 6 6" xfId="2422" xr:uid="{00000000-0005-0000-0000-000075120000}"/>
    <cellStyle name="Moeda 6 7" xfId="2352" xr:uid="{00000000-0005-0000-0000-000076120000}"/>
    <cellStyle name="Moeda 6 8" xfId="43235" xr:uid="{00000000-0005-0000-0000-000077120000}"/>
    <cellStyle name="Moeda 7" xfId="5592" xr:uid="{00000000-0005-0000-0000-000078120000}"/>
    <cellStyle name="Moeda 8" xfId="43184" xr:uid="{00000000-0005-0000-0000-000079120000}"/>
    <cellStyle name="Moeda0" xfId="816" xr:uid="{00000000-0005-0000-0000-00007A120000}"/>
    <cellStyle name="Moeda0 2" xfId="5593" xr:uid="{00000000-0005-0000-0000-00007B120000}"/>
    <cellStyle name="Moeda0 3" xfId="5594" xr:uid="{00000000-0005-0000-0000-00007C120000}"/>
    <cellStyle name="Moneda [0]_0499EJEG" xfId="5595" xr:uid="{00000000-0005-0000-0000-00007D120000}"/>
    <cellStyle name="Moneda_0499EJEG" xfId="5596" xr:uid="{00000000-0005-0000-0000-00007E120000}"/>
    <cellStyle name="Monétaire [0]_~S9STD" xfId="5597" xr:uid="{00000000-0005-0000-0000-00007F120000}"/>
    <cellStyle name="Monétaire_~S9STD" xfId="5598" xr:uid="{00000000-0005-0000-0000-000080120000}"/>
    <cellStyle name="Monétaire0" xfId="5599" xr:uid="{00000000-0005-0000-0000-000081120000}"/>
    <cellStyle name="Monetario" xfId="5600" xr:uid="{00000000-0005-0000-0000-000082120000}"/>
    <cellStyle name="Month" xfId="817" xr:uid="{00000000-0005-0000-0000-000083120000}"/>
    <cellStyle name="Month 2" xfId="5601" xr:uid="{00000000-0005-0000-0000-000084120000}"/>
    <cellStyle name="Month 3" xfId="5602" xr:uid="{00000000-0005-0000-0000-000085120000}"/>
    <cellStyle name="Month 3 2" xfId="5603" xr:uid="{00000000-0005-0000-0000-000086120000}"/>
    <cellStyle name="movimentação" xfId="818" xr:uid="{00000000-0005-0000-0000-000087120000}"/>
    <cellStyle name="movimentação 2" xfId="1035" xr:uid="{00000000-0005-0000-0000-000088120000}"/>
    <cellStyle name="movimentação 2 2" xfId="1847" xr:uid="{00000000-0005-0000-0000-000089120000}"/>
    <cellStyle name="movimentação 2 2 2" xfId="2507" xr:uid="{00000000-0005-0000-0000-00008A120000}"/>
    <cellStyle name="movimentação 2 2 2 2" xfId="43324" xr:uid="{00000000-0005-0000-0000-00008B120000}"/>
    <cellStyle name="movimentação 2 2 3" xfId="43239" xr:uid="{00000000-0005-0000-0000-00008C120000}"/>
    <cellStyle name="movimentação 2 3" xfId="2508" xr:uid="{00000000-0005-0000-0000-00008D120000}"/>
    <cellStyle name="movimentação 2 3 2" xfId="43325" xr:uid="{00000000-0005-0000-0000-00008E120000}"/>
    <cellStyle name="movimentação 2 4" xfId="43238" xr:uid="{00000000-0005-0000-0000-00008F120000}"/>
    <cellStyle name="movimentação 3" xfId="1820" xr:uid="{00000000-0005-0000-0000-000090120000}"/>
    <cellStyle name="movimentação 3 2" xfId="2509" xr:uid="{00000000-0005-0000-0000-000091120000}"/>
    <cellStyle name="movimentação 3 2 2" xfId="43326" xr:uid="{00000000-0005-0000-0000-000092120000}"/>
    <cellStyle name="movimentação 3 3" xfId="43240" xr:uid="{00000000-0005-0000-0000-000093120000}"/>
    <cellStyle name="movimentação 4" xfId="2510" xr:uid="{00000000-0005-0000-0000-000094120000}"/>
    <cellStyle name="movimentação 4 2" xfId="43327" xr:uid="{00000000-0005-0000-0000-000095120000}"/>
    <cellStyle name="movimentação 5" xfId="43237" xr:uid="{00000000-0005-0000-0000-000096120000}"/>
    <cellStyle name="Multiple" xfId="5604" xr:uid="{00000000-0005-0000-0000-000097120000}"/>
    <cellStyle name="Multiple Black [0]" xfId="5605" xr:uid="{00000000-0005-0000-0000-000098120000}"/>
    <cellStyle name="Multiple Black [1]" xfId="5606" xr:uid="{00000000-0005-0000-0000-000099120000}"/>
    <cellStyle name="Multiple Black [2]" xfId="5607" xr:uid="{00000000-0005-0000-0000-00009A120000}"/>
    <cellStyle name="Multiple Blue [0]" xfId="5608" xr:uid="{00000000-0005-0000-0000-00009B120000}"/>
    <cellStyle name="Multiple Blue [1]" xfId="5609" xr:uid="{00000000-0005-0000-0000-00009C120000}"/>
    <cellStyle name="Multiple Blue [2]" xfId="5610" xr:uid="{00000000-0005-0000-0000-00009D120000}"/>
    <cellStyle name="Neutra" xfId="819" xr:uid="{00000000-0005-0000-0000-00009E120000}"/>
    <cellStyle name="Neutra 10" xfId="5611" xr:uid="{00000000-0005-0000-0000-00009F120000}"/>
    <cellStyle name="Neutra 2" xfId="1036" xr:uid="{00000000-0005-0000-0000-0000A0120000}"/>
    <cellStyle name="Neutra 2 2" xfId="5612" xr:uid="{00000000-0005-0000-0000-0000A1120000}"/>
    <cellStyle name="Neutra 3" xfId="1766" xr:uid="{00000000-0005-0000-0000-0000A2120000}"/>
    <cellStyle name="Neutra 3 2" xfId="5613" xr:uid="{00000000-0005-0000-0000-0000A3120000}"/>
    <cellStyle name="Neutra 4" xfId="5614" xr:uid="{00000000-0005-0000-0000-0000A4120000}"/>
    <cellStyle name="Neutra 4 2" xfId="5615" xr:uid="{00000000-0005-0000-0000-0000A5120000}"/>
    <cellStyle name="Neutra 5" xfId="5616" xr:uid="{00000000-0005-0000-0000-0000A6120000}"/>
    <cellStyle name="Neutra 6" xfId="5617" xr:uid="{00000000-0005-0000-0000-0000A7120000}"/>
    <cellStyle name="Neutra 7" xfId="5618" xr:uid="{00000000-0005-0000-0000-0000A8120000}"/>
    <cellStyle name="Neutra 8" xfId="5619" xr:uid="{00000000-0005-0000-0000-0000A9120000}"/>
    <cellStyle name="Neutra 9" xfId="5620" xr:uid="{00000000-0005-0000-0000-0000AA120000}"/>
    <cellStyle name="Neutral" xfId="820" xr:uid="{00000000-0005-0000-0000-0000AB120000}"/>
    <cellStyle name="Neutral 2" xfId="5621" xr:uid="{00000000-0005-0000-0000-0000AC120000}"/>
    <cellStyle name="NívelLinha_2_1998" xfId="5622" xr:uid="{00000000-0005-0000-0000-0000AD120000}"/>
    <cellStyle name="no dec" xfId="821" xr:uid="{00000000-0005-0000-0000-0000AE120000}"/>
    <cellStyle name="no dec 2" xfId="5623" xr:uid="{00000000-0005-0000-0000-0000AF120000}"/>
    <cellStyle name="no dec 3" xfId="5624" xr:uid="{00000000-0005-0000-0000-0000B0120000}"/>
    <cellStyle name="No-definido" xfId="1659" xr:uid="{00000000-0005-0000-0000-0000B1120000}"/>
    <cellStyle name="Non_definito" xfId="5625" xr:uid="{00000000-0005-0000-0000-0000B2120000}"/>
    <cellStyle name="Normal" xfId="0" builtinId="0"/>
    <cellStyle name="Normal - Estilo1" xfId="5626" xr:uid="{00000000-0005-0000-0000-0000B4120000}"/>
    <cellStyle name="Normal - Estilo2" xfId="5627" xr:uid="{00000000-0005-0000-0000-0000B5120000}"/>
    <cellStyle name="Normal - Estilo3" xfId="5628" xr:uid="{00000000-0005-0000-0000-0000B6120000}"/>
    <cellStyle name="Normal - Estilo4" xfId="5629" xr:uid="{00000000-0005-0000-0000-0000B7120000}"/>
    <cellStyle name="Normal - Estilo5" xfId="5630" xr:uid="{00000000-0005-0000-0000-0000B8120000}"/>
    <cellStyle name="Normal - Estilo6" xfId="5631" xr:uid="{00000000-0005-0000-0000-0000B9120000}"/>
    <cellStyle name="Normal - Estilo7" xfId="5632" xr:uid="{00000000-0005-0000-0000-0000BA120000}"/>
    <cellStyle name="Normal - Estilo8" xfId="5633" xr:uid="{00000000-0005-0000-0000-0000BB120000}"/>
    <cellStyle name="Normal - Style1" xfId="822" xr:uid="{00000000-0005-0000-0000-0000BC120000}"/>
    <cellStyle name="Normal - Style1 10" xfId="5634" xr:uid="{00000000-0005-0000-0000-0000BD120000}"/>
    <cellStyle name="Normal - Style1 2" xfId="1037" xr:uid="{00000000-0005-0000-0000-0000BE120000}"/>
    <cellStyle name="Normal - Style1 3" xfId="1038" xr:uid="{00000000-0005-0000-0000-0000BF120000}"/>
    <cellStyle name="Normal - Style1 4" xfId="1039" xr:uid="{00000000-0005-0000-0000-0000C0120000}"/>
    <cellStyle name="Normal - Style1 5" xfId="1040" xr:uid="{00000000-0005-0000-0000-0000C1120000}"/>
    <cellStyle name="Normal - Style1 6" xfId="5635" xr:uid="{00000000-0005-0000-0000-0000C2120000}"/>
    <cellStyle name="Normal - Style1 7" xfId="5636" xr:uid="{00000000-0005-0000-0000-0000C3120000}"/>
    <cellStyle name="Normal - Style1 8" xfId="5637" xr:uid="{00000000-0005-0000-0000-0000C4120000}"/>
    <cellStyle name="Normal - Style1 9" xfId="5638" xr:uid="{00000000-0005-0000-0000-0000C5120000}"/>
    <cellStyle name="Normal (%)" xfId="823" xr:uid="{00000000-0005-0000-0000-0000C6120000}"/>
    <cellStyle name="Normal (%) 2" xfId="1041" xr:uid="{00000000-0005-0000-0000-0000C7120000}"/>
    <cellStyle name="Normal (%) 3" xfId="1767" xr:uid="{00000000-0005-0000-0000-0000C8120000}"/>
    <cellStyle name="Normal (%) 4" xfId="1768" xr:uid="{00000000-0005-0000-0000-0000C9120000}"/>
    <cellStyle name="Normal (£m)" xfId="5639" xr:uid="{00000000-0005-0000-0000-0000CA120000}"/>
    <cellStyle name="Normal (£m) 2" xfId="5640" xr:uid="{00000000-0005-0000-0000-0000CB120000}"/>
    <cellStyle name="Normal (£m) 3" xfId="5641" xr:uid="{00000000-0005-0000-0000-0000CC120000}"/>
    <cellStyle name="Normal (No)" xfId="824" xr:uid="{00000000-0005-0000-0000-0000CD120000}"/>
    <cellStyle name="Normal (No) 2" xfId="1042" xr:uid="{00000000-0005-0000-0000-0000CE120000}"/>
    <cellStyle name="Normal (No) 3" xfId="1769" xr:uid="{00000000-0005-0000-0000-0000CF120000}"/>
    <cellStyle name="Normal (No) 4" xfId="1770" xr:uid="{00000000-0005-0000-0000-0000D0120000}"/>
    <cellStyle name="Normal (x)" xfId="5642" xr:uid="{00000000-0005-0000-0000-0000D1120000}"/>
    <cellStyle name="Normal (x) 2" xfId="5643" xr:uid="{00000000-0005-0000-0000-0000D2120000}"/>
    <cellStyle name="Normal (x) 3" xfId="5644" xr:uid="{00000000-0005-0000-0000-0000D3120000}"/>
    <cellStyle name="Normal 10" xfId="1043" xr:uid="{00000000-0005-0000-0000-0000D4120000}"/>
    <cellStyle name="Normal 10 10" xfId="5645" xr:uid="{00000000-0005-0000-0000-0000D5120000}"/>
    <cellStyle name="Normal 10 10 10" xfId="5646" xr:uid="{00000000-0005-0000-0000-0000D6120000}"/>
    <cellStyle name="Normal 10 10 11" xfId="5647" xr:uid="{00000000-0005-0000-0000-0000D7120000}"/>
    <cellStyle name="Normal 10 10 12" xfId="5648" xr:uid="{00000000-0005-0000-0000-0000D8120000}"/>
    <cellStyle name="Normal 10 10 13" xfId="5649" xr:uid="{00000000-0005-0000-0000-0000D9120000}"/>
    <cellStyle name="Normal 10 10 2" xfId="5650" xr:uid="{00000000-0005-0000-0000-0000DA120000}"/>
    <cellStyle name="Normal 10 10 2 2" xfId="5651" xr:uid="{00000000-0005-0000-0000-0000DB120000}"/>
    <cellStyle name="Normal 10 10 2 3" xfId="5652" xr:uid="{00000000-0005-0000-0000-0000DC120000}"/>
    <cellStyle name="Normal 10 10 2 4" xfId="5653" xr:uid="{00000000-0005-0000-0000-0000DD120000}"/>
    <cellStyle name="Normal 10 10 2 5" xfId="5654" xr:uid="{00000000-0005-0000-0000-0000DE120000}"/>
    <cellStyle name="Normal 10 10 2 6" xfId="5655" xr:uid="{00000000-0005-0000-0000-0000DF120000}"/>
    <cellStyle name="Normal 10 10 3" xfId="5656" xr:uid="{00000000-0005-0000-0000-0000E0120000}"/>
    <cellStyle name="Normal 10 10 3 2" xfId="5657" xr:uid="{00000000-0005-0000-0000-0000E1120000}"/>
    <cellStyle name="Normal 10 10 3 3" xfId="5658" xr:uid="{00000000-0005-0000-0000-0000E2120000}"/>
    <cellStyle name="Normal 10 10 3 4" xfId="5659" xr:uid="{00000000-0005-0000-0000-0000E3120000}"/>
    <cellStyle name="Normal 10 10 3 5" xfId="5660" xr:uid="{00000000-0005-0000-0000-0000E4120000}"/>
    <cellStyle name="Normal 10 10 3 6" xfId="5661" xr:uid="{00000000-0005-0000-0000-0000E5120000}"/>
    <cellStyle name="Normal 10 10 4" xfId="5662" xr:uid="{00000000-0005-0000-0000-0000E6120000}"/>
    <cellStyle name="Normal 10 10 4 2" xfId="5663" xr:uid="{00000000-0005-0000-0000-0000E7120000}"/>
    <cellStyle name="Normal 10 10 4 3" xfId="5664" xr:uid="{00000000-0005-0000-0000-0000E8120000}"/>
    <cellStyle name="Normal 10 10 4 4" xfId="5665" xr:uid="{00000000-0005-0000-0000-0000E9120000}"/>
    <cellStyle name="Normal 10 10 4 5" xfId="5666" xr:uid="{00000000-0005-0000-0000-0000EA120000}"/>
    <cellStyle name="Normal 10 10 4 6" xfId="5667" xr:uid="{00000000-0005-0000-0000-0000EB120000}"/>
    <cellStyle name="Normal 10 10 5" xfId="5668" xr:uid="{00000000-0005-0000-0000-0000EC120000}"/>
    <cellStyle name="Normal 10 10 5 2" xfId="5669" xr:uid="{00000000-0005-0000-0000-0000ED120000}"/>
    <cellStyle name="Normal 10 10 5 3" xfId="5670" xr:uid="{00000000-0005-0000-0000-0000EE120000}"/>
    <cellStyle name="Normal 10 10 5 4" xfId="5671" xr:uid="{00000000-0005-0000-0000-0000EF120000}"/>
    <cellStyle name="Normal 10 10 5 5" xfId="5672" xr:uid="{00000000-0005-0000-0000-0000F0120000}"/>
    <cellStyle name="Normal 10 10 5 6" xfId="5673" xr:uid="{00000000-0005-0000-0000-0000F1120000}"/>
    <cellStyle name="Normal 10 10 6" xfId="5674" xr:uid="{00000000-0005-0000-0000-0000F2120000}"/>
    <cellStyle name="Normal 10 10 6 2" xfId="5675" xr:uid="{00000000-0005-0000-0000-0000F3120000}"/>
    <cellStyle name="Normal 10 10 6 3" xfId="5676" xr:uid="{00000000-0005-0000-0000-0000F4120000}"/>
    <cellStyle name="Normal 10 10 6 4" xfId="5677" xr:uid="{00000000-0005-0000-0000-0000F5120000}"/>
    <cellStyle name="Normal 10 10 6 5" xfId="5678" xr:uid="{00000000-0005-0000-0000-0000F6120000}"/>
    <cellStyle name="Normal 10 10 6 6" xfId="5679" xr:uid="{00000000-0005-0000-0000-0000F7120000}"/>
    <cellStyle name="Normal 10 10 7" xfId="5680" xr:uid="{00000000-0005-0000-0000-0000F8120000}"/>
    <cellStyle name="Normal 10 10 7 2" xfId="5681" xr:uid="{00000000-0005-0000-0000-0000F9120000}"/>
    <cellStyle name="Normal 10 10 7 3" xfId="5682" xr:uid="{00000000-0005-0000-0000-0000FA120000}"/>
    <cellStyle name="Normal 10 10 7 4" xfId="5683" xr:uid="{00000000-0005-0000-0000-0000FB120000}"/>
    <cellStyle name="Normal 10 10 7 5" xfId="5684" xr:uid="{00000000-0005-0000-0000-0000FC120000}"/>
    <cellStyle name="Normal 10 10 7 6" xfId="5685" xr:uid="{00000000-0005-0000-0000-0000FD120000}"/>
    <cellStyle name="Normal 10 10 8" xfId="5686" xr:uid="{00000000-0005-0000-0000-0000FE120000}"/>
    <cellStyle name="Normal 10 10 8 2" xfId="5687" xr:uid="{00000000-0005-0000-0000-0000FF120000}"/>
    <cellStyle name="Normal 10 10 8 3" xfId="5688" xr:uid="{00000000-0005-0000-0000-000000130000}"/>
    <cellStyle name="Normal 10 10 8 4" xfId="5689" xr:uid="{00000000-0005-0000-0000-000001130000}"/>
    <cellStyle name="Normal 10 10 8 5" xfId="5690" xr:uid="{00000000-0005-0000-0000-000002130000}"/>
    <cellStyle name="Normal 10 10 8 6" xfId="5691" xr:uid="{00000000-0005-0000-0000-000003130000}"/>
    <cellStyle name="Normal 10 10 9" xfId="5692" xr:uid="{00000000-0005-0000-0000-000004130000}"/>
    <cellStyle name="Normal 10 11" xfId="5693" xr:uid="{00000000-0005-0000-0000-000005130000}"/>
    <cellStyle name="Normal 10 11 10" xfId="5694" xr:uid="{00000000-0005-0000-0000-000006130000}"/>
    <cellStyle name="Normal 10 11 11" xfId="5695" xr:uid="{00000000-0005-0000-0000-000007130000}"/>
    <cellStyle name="Normal 10 11 12" xfId="5696" xr:uid="{00000000-0005-0000-0000-000008130000}"/>
    <cellStyle name="Normal 10 11 13" xfId="5697" xr:uid="{00000000-0005-0000-0000-000009130000}"/>
    <cellStyle name="Normal 10 11 2" xfId="5698" xr:uid="{00000000-0005-0000-0000-00000A130000}"/>
    <cellStyle name="Normal 10 11 2 2" xfId="5699" xr:uid="{00000000-0005-0000-0000-00000B130000}"/>
    <cellStyle name="Normal 10 11 2 3" xfId="5700" xr:uid="{00000000-0005-0000-0000-00000C130000}"/>
    <cellStyle name="Normal 10 11 2 4" xfId="5701" xr:uid="{00000000-0005-0000-0000-00000D130000}"/>
    <cellStyle name="Normal 10 11 2 5" xfId="5702" xr:uid="{00000000-0005-0000-0000-00000E130000}"/>
    <cellStyle name="Normal 10 11 2 6" xfId="5703" xr:uid="{00000000-0005-0000-0000-00000F130000}"/>
    <cellStyle name="Normal 10 11 3" xfId="5704" xr:uid="{00000000-0005-0000-0000-000010130000}"/>
    <cellStyle name="Normal 10 11 3 2" xfId="5705" xr:uid="{00000000-0005-0000-0000-000011130000}"/>
    <cellStyle name="Normal 10 11 3 3" xfId="5706" xr:uid="{00000000-0005-0000-0000-000012130000}"/>
    <cellStyle name="Normal 10 11 3 4" xfId="5707" xr:uid="{00000000-0005-0000-0000-000013130000}"/>
    <cellStyle name="Normal 10 11 3 5" xfId="5708" xr:uid="{00000000-0005-0000-0000-000014130000}"/>
    <cellStyle name="Normal 10 11 3 6" xfId="5709" xr:uid="{00000000-0005-0000-0000-000015130000}"/>
    <cellStyle name="Normal 10 11 4" xfId="5710" xr:uid="{00000000-0005-0000-0000-000016130000}"/>
    <cellStyle name="Normal 10 11 4 2" xfId="5711" xr:uid="{00000000-0005-0000-0000-000017130000}"/>
    <cellStyle name="Normal 10 11 4 3" xfId="5712" xr:uid="{00000000-0005-0000-0000-000018130000}"/>
    <cellStyle name="Normal 10 11 4 4" xfId="5713" xr:uid="{00000000-0005-0000-0000-000019130000}"/>
    <cellStyle name="Normal 10 11 4 5" xfId="5714" xr:uid="{00000000-0005-0000-0000-00001A130000}"/>
    <cellStyle name="Normal 10 11 4 6" xfId="5715" xr:uid="{00000000-0005-0000-0000-00001B130000}"/>
    <cellStyle name="Normal 10 11 5" xfId="5716" xr:uid="{00000000-0005-0000-0000-00001C130000}"/>
    <cellStyle name="Normal 10 11 5 2" xfId="5717" xr:uid="{00000000-0005-0000-0000-00001D130000}"/>
    <cellStyle name="Normal 10 11 5 3" xfId="5718" xr:uid="{00000000-0005-0000-0000-00001E130000}"/>
    <cellStyle name="Normal 10 11 5 4" xfId="5719" xr:uid="{00000000-0005-0000-0000-00001F130000}"/>
    <cellStyle name="Normal 10 11 5 5" xfId="5720" xr:uid="{00000000-0005-0000-0000-000020130000}"/>
    <cellStyle name="Normal 10 11 5 6" xfId="5721" xr:uid="{00000000-0005-0000-0000-000021130000}"/>
    <cellStyle name="Normal 10 11 6" xfId="5722" xr:uid="{00000000-0005-0000-0000-000022130000}"/>
    <cellStyle name="Normal 10 11 6 2" xfId="5723" xr:uid="{00000000-0005-0000-0000-000023130000}"/>
    <cellStyle name="Normal 10 11 6 3" xfId="5724" xr:uid="{00000000-0005-0000-0000-000024130000}"/>
    <cellStyle name="Normal 10 11 6 4" xfId="5725" xr:uid="{00000000-0005-0000-0000-000025130000}"/>
    <cellStyle name="Normal 10 11 6 5" xfId="5726" xr:uid="{00000000-0005-0000-0000-000026130000}"/>
    <cellStyle name="Normal 10 11 6 6" xfId="5727" xr:uid="{00000000-0005-0000-0000-000027130000}"/>
    <cellStyle name="Normal 10 11 7" xfId="5728" xr:uid="{00000000-0005-0000-0000-000028130000}"/>
    <cellStyle name="Normal 10 11 7 2" xfId="5729" xr:uid="{00000000-0005-0000-0000-000029130000}"/>
    <cellStyle name="Normal 10 11 7 3" xfId="5730" xr:uid="{00000000-0005-0000-0000-00002A130000}"/>
    <cellStyle name="Normal 10 11 7 4" xfId="5731" xr:uid="{00000000-0005-0000-0000-00002B130000}"/>
    <cellStyle name="Normal 10 11 7 5" xfId="5732" xr:uid="{00000000-0005-0000-0000-00002C130000}"/>
    <cellStyle name="Normal 10 11 7 6" xfId="5733" xr:uid="{00000000-0005-0000-0000-00002D130000}"/>
    <cellStyle name="Normal 10 11 8" xfId="5734" xr:uid="{00000000-0005-0000-0000-00002E130000}"/>
    <cellStyle name="Normal 10 11 8 2" xfId="5735" xr:uid="{00000000-0005-0000-0000-00002F130000}"/>
    <cellStyle name="Normal 10 11 8 3" xfId="5736" xr:uid="{00000000-0005-0000-0000-000030130000}"/>
    <cellStyle name="Normal 10 11 8 4" xfId="5737" xr:uid="{00000000-0005-0000-0000-000031130000}"/>
    <cellStyle name="Normal 10 11 8 5" xfId="5738" xr:uid="{00000000-0005-0000-0000-000032130000}"/>
    <cellStyle name="Normal 10 11 8 6" xfId="5739" xr:uid="{00000000-0005-0000-0000-000033130000}"/>
    <cellStyle name="Normal 10 11 9" xfId="5740" xr:uid="{00000000-0005-0000-0000-000034130000}"/>
    <cellStyle name="Normal 10 12" xfId="5741" xr:uid="{00000000-0005-0000-0000-000035130000}"/>
    <cellStyle name="Normal 10 12 10" xfId="5742" xr:uid="{00000000-0005-0000-0000-000036130000}"/>
    <cellStyle name="Normal 10 12 11" xfId="5743" xr:uid="{00000000-0005-0000-0000-000037130000}"/>
    <cellStyle name="Normal 10 12 12" xfId="5744" xr:uid="{00000000-0005-0000-0000-000038130000}"/>
    <cellStyle name="Normal 10 12 13" xfId="5745" xr:uid="{00000000-0005-0000-0000-000039130000}"/>
    <cellStyle name="Normal 10 12 2" xfId="5746" xr:uid="{00000000-0005-0000-0000-00003A130000}"/>
    <cellStyle name="Normal 10 12 2 2" xfId="5747" xr:uid="{00000000-0005-0000-0000-00003B130000}"/>
    <cellStyle name="Normal 10 12 2 3" xfId="5748" xr:uid="{00000000-0005-0000-0000-00003C130000}"/>
    <cellStyle name="Normal 10 12 2 4" xfId="5749" xr:uid="{00000000-0005-0000-0000-00003D130000}"/>
    <cellStyle name="Normal 10 12 2 5" xfId="5750" xr:uid="{00000000-0005-0000-0000-00003E130000}"/>
    <cellStyle name="Normal 10 12 2 6" xfId="5751" xr:uid="{00000000-0005-0000-0000-00003F130000}"/>
    <cellStyle name="Normal 10 12 3" xfId="5752" xr:uid="{00000000-0005-0000-0000-000040130000}"/>
    <cellStyle name="Normal 10 12 3 2" xfId="5753" xr:uid="{00000000-0005-0000-0000-000041130000}"/>
    <cellStyle name="Normal 10 12 3 3" xfId="5754" xr:uid="{00000000-0005-0000-0000-000042130000}"/>
    <cellStyle name="Normal 10 12 3 4" xfId="5755" xr:uid="{00000000-0005-0000-0000-000043130000}"/>
    <cellStyle name="Normal 10 12 3 5" xfId="5756" xr:uid="{00000000-0005-0000-0000-000044130000}"/>
    <cellStyle name="Normal 10 12 3 6" xfId="5757" xr:uid="{00000000-0005-0000-0000-000045130000}"/>
    <cellStyle name="Normal 10 12 4" xfId="5758" xr:uid="{00000000-0005-0000-0000-000046130000}"/>
    <cellStyle name="Normal 10 12 4 2" xfId="5759" xr:uid="{00000000-0005-0000-0000-000047130000}"/>
    <cellStyle name="Normal 10 12 4 3" xfId="5760" xr:uid="{00000000-0005-0000-0000-000048130000}"/>
    <cellStyle name="Normal 10 12 4 4" xfId="5761" xr:uid="{00000000-0005-0000-0000-000049130000}"/>
    <cellStyle name="Normal 10 12 4 5" xfId="5762" xr:uid="{00000000-0005-0000-0000-00004A130000}"/>
    <cellStyle name="Normal 10 12 4 6" xfId="5763" xr:uid="{00000000-0005-0000-0000-00004B130000}"/>
    <cellStyle name="Normal 10 12 5" xfId="5764" xr:uid="{00000000-0005-0000-0000-00004C130000}"/>
    <cellStyle name="Normal 10 12 5 2" xfId="5765" xr:uid="{00000000-0005-0000-0000-00004D130000}"/>
    <cellStyle name="Normal 10 12 5 3" xfId="5766" xr:uid="{00000000-0005-0000-0000-00004E130000}"/>
    <cellStyle name="Normal 10 12 5 4" xfId="5767" xr:uid="{00000000-0005-0000-0000-00004F130000}"/>
    <cellStyle name="Normal 10 12 5 5" xfId="5768" xr:uid="{00000000-0005-0000-0000-000050130000}"/>
    <cellStyle name="Normal 10 12 5 6" xfId="5769" xr:uid="{00000000-0005-0000-0000-000051130000}"/>
    <cellStyle name="Normal 10 12 6" xfId="5770" xr:uid="{00000000-0005-0000-0000-000052130000}"/>
    <cellStyle name="Normal 10 12 6 2" xfId="5771" xr:uid="{00000000-0005-0000-0000-000053130000}"/>
    <cellStyle name="Normal 10 12 6 3" xfId="5772" xr:uid="{00000000-0005-0000-0000-000054130000}"/>
    <cellStyle name="Normal 10 12 6 4" xfId="5773" xr:uid="{00000000-0005-0000-0000-000055130000}"/>
    <cellStyle name="Normal 10 12 6 5" xfId="5774" xr:uid="{00000000-0005-0000-0000-000056130000}"/>
    <cellStyle name="Normal 10 12 6 6" xfId="5775" xr:uid="{00000000-0005-0000-0000-000057130000}"/>
    <cellStyle name="Normal 10 12 7" xfId="5776" xr:uid="{00000000-0005-0000-0000-000058130000}"/>
    <cellStyle name="Normal 10 12 7 2" xfId="5777" xr:uid="{00000000-0005-0000-0000-000059130000}"/>
    <cellStyle name="Normal 10 12 7 3" xfId="5778" xr:uid="{00000000-0005-0000-0000-00005A130000}"/>
    <cellStyle name="Normal 10 12 7 4" xfId="5779" xr:uid="{00000000-0005-0000-0000-00005B130000}"/>
    <cellStyle name="Normal 10 12 7 5" xfId="5780" xr:uid="{00000000-0005-0000-0000-00005C130000}"/>
    <cellStyle name="Normal 10 12 7 6" xfId="5781" xr:uid="{00000000-0005-0000-0000-00005D130000}"/>
    <cellStyle name="Normal 10 12 8" xfId="5782" xr:uid="{00000000-0005-0000-0000-00005E130000}"/>
    <cellStyle name="Normal 10 12 8 2" xfId="5783" xr:uid="{00000000-0005-0000-0000-00005F130000}"/>
    <cellStyle name="Normal 10 12 8 3" xfId="5784" xr:uid="{00000000-0005-0000-0000-000060130000}"/>
    <cellStyle name="Normal 10 12 8 4" xfId="5785" xr:uid="{00000000-0005-0000-0000-000061130000}"/>
    <cellStyle name="Normal 10 12 8 5" xfId="5786" xr:uid="{00000000-0005-0000-0000-000062130000}"/>
    <cellStyle name="Normal 10 12 8 6" xfId="5787" xr:uid="{00000000-0005-0000-0000-000063130000}"/>
    <cellStyle name="Normal 10 12 9" xfId="5788" xr:uid="{00000000-0005-0000-0000-000064130000}"/>
    <cellStyle name="Normal 10 13" xfId="5789" xr:uid="{00000000-0005-0000-0000-000065130000}"/>
    <cellStyle name="Normal 10 13 10" xfId="5790" xr:uid="{00000000-0005-0000-0000-000066130000}"/>
    <cellStyle name="Normal 10 13 11" xfId="5791" xr:uid="{00000000-0005-0000-0000-000067130000}"/>
    <cellStyle name="Normal 10 13 12" xfId="5792" xr:uid="{00000000-0005-0000-0000-000068130000}"/>
    <cellStyle name="Normal 10 13 13" xfId="5793" xr:uid="{00000000-0005-0000-0000-000069130000}"/>
    <cellStyle name="Normal 10 13 2" xfId="5794" xr:uid="{00000000-0005-0000-0000-00006A130000}"/>
    <cellStyle name="Normal 10 13 2 2" xfId="5795" xr:uid="{00000000-0005-0000-0000-00006B130000}"/>
    <cellStyle name="Normal 10 13 2 3" xfId="5796" xr:uid="{00000000-0005-0000-0000-00006C130000}"/>
    <cellStyle name="Normal 10 13 2 4" xfId="5797" xr:uid="{00000000-0005-0000-0000-00006D130000}"/>
    <cellStyle name="Normal 10 13 2 5" xfId="5798" xr:uid="{00000000-0005-0000-0000-00006E130000}"/>
    <cellStyle name="Normal 10 13 2 6" xfId="5799" xr:uid="{00000000-0005-0000-0000-00006F130000}"/>
    <cellStyle name="Normal 10 13 3" xfId="5800" xr:uid="{00000000-0005-0000-0000-000070130000}"/>
    <cellStyle name="Normal 10 13 3 2" xfId="5801" xr:uid="{00000000-0005-0000-0000-000071130000}"/>
    <cellStyle name="Normal 10 13 3 3" xfId="5802" xr:uid="{00000000-0005-0000-0000-000072130000}"/>
    <cellStyle name="Normal 10 13 3 4" xfId="5803" xr:uid="{00000000-0005-0000-0000-000073130000}"/>
    <cellStyle name="Normal 10 13 3 5" xfId="5804" xr:uid="{00000000-0005-0000-0000-000074130000}"/>
    <cellStyle name="Normal 10 13 3 6" xfId="5805" xr:uid="{00000000-0005-0000-0000-000075130000}"/>
    <cellStyle name="Normal 10 13 4" xfId="5806" xr:uid="{00000000-0005-0000-0000-000076130000}"/>
    <cellStyle name="Normal 10 13 4 2" xfId="5807" xr:uid="{00000000-0005-0000-0000-000077130000}"/>
    <cellStyle name="Normal 10 13 4 3" xfId="5808" xr:uid="{00000000-0005-0000-0000-000078130000}"/>
    <cellStyle name="Normal 10 13 4 4" xfId="5809" xr:uid="{00000000-0005-0000-0000-000079130000}"/>
    <cellStyle name="Normal 10 13 4 5" xfId="5810" xr:uid="{00000000-0005-0000-0000-00007A130000}"/>
    <cellStyle name="Normal 10 13 4 6" xfId="5811" xr:uid="{00000000-0005-0000-0000-00007B130000}"/>
    <cellStyle name="Normal 10 13 5" xfId="5812" xr:uid="{00000000-0005-0000-0000-00007C130000}"/>
    <cellStyle name="Normal 10 13 5 2" xfId="5813" xr:uid="{00000000-0005-0000-0000-00007D130000}"/>
    <cellStyle name="Normal 10 13 5 3" xfId="5814" xr:uid="{00000000-0005-0000-0000-00007E130000}"/>
    <cellStyle name="Normal 10 13 5 4" xfId="5815" xr:uid="{00000000-0005-0000-0000-00007F130000}"/>
    <cellStyle name="Normal 10 13 5 5" xfId="5816" xr:uid="{00000000-0005-0000-0000-000080130000}"/>
    <cellStyle name="Normal 10 13 5 6" xfId="5817" xr:uid="{00000000-0005-0000-0000-000081130000}"/>
    <cellStyle name="Normal 10 13 6" xfId="5818" xr:uid="{00000000-0005-0000-0000-000082130000}"/>
    <cellStyle name="Normal 10 13 6 2" xfId="5819" xr:uid="{00000000-0005-0000-0000-000083130000}"/>
    <cellStyle name="Normal 10 13 6 3" xfId="5820" xr:uid="{00000000-0005-0000-0000-000084130000}"/>
    <cellStyle name="Normal 10 13 6 4" xfId="5821" xr:uid="{00000000-0005-0000-0000-000085130000}"/>
    <cellStyle name="Normal 10 13 6 5" xfId="5822" xr:uid="{00000000-0005-0000-0000-000086130000}"/>
    <cellStyle name="Normal 10 13 6 6" xfId="5823" xr:uid="{00000000-0005-0000-0000-000087130000}"/>
    <cellStyle name="Normal 10 13 7" xfId="5824" xr:uid="{00000000-0005-0000-0000-000088130000}"/>
    <cellStyle name="Normal 10 13 7 2" xfId="5825" xr:uid="{00000000-0005-0000-0000-000089130000}"/>
    <cellStyle name="Normal 10 13 7 3" xfId="5826" xr:uid="{00000000-0005-0000-0000-00008A130000}"/>
    <cellStyle name="Normal 10 13 7 4" xfId="5827" xr:uid="{00000000-0005-0000-0000-00008B130000}"/>
    <cellStyle name="Normal 10 13 7 5" xfId="5828" xr:uid="{00000000-0005-0000-0000-00008C130000}"/>
    <cellStyle name="Normal 10 13 7 6" xfId="5829" xr:uid="{00000000-0005-0000-0000-00008D130000}"/>
    <cellStyle name="Normal 10 13 8" xfId="5830" xr:uid="{00000000-0005-0000-0000-00008E130000}"/>
    <cellStyle name="Normal 10 13 8 2" xfId="5831" xr:uid="{00000000-0005-0000-0000-00008F130000}"/>
    <cellStyle name="Normal 10 13 8 3" xfId="5832" xr:uid="{00000000-0005-0000-0000-000090130000}"/>
    <cellStyle name="Normal 10 13 8 4" xfId="5833" xr:uid="{00000000-0005-0000-0000-000091130000}"/>
    <cellStyle name="Normal 10 13 8 5" xfId="5834" xr:uid="{00000000-0005-0000-0000-000092130000}"/>
    <cellStyle name="Normal 10 13 8 6" xfId="5835" xr:uid="{00000000-0005-0000-0000-000093130000}"/>
    <cellStyle name="Normal 10 13 9" xfId="5836" xr:uid="{00000000-0005-0000-0000-000094130000}"/>
    <cellStyle name="Normal 10 14" xfId="5837" xr:uid="{00000000-0005-0000-0000-000095130000}"/>
    <cellStyle name="Normal 10 14 10" xfId="5838" xr:uid="{00000000-0005-0000-0000-000096130000}"/>
    <cellStyle name="Normal 10 14 11" xfId="5839" xr:uid="{00000000-0005-0000-0000-000097130000}"/>
    <cellStyle name="Normal 10 14 12" xfId="5840" xr:uid="{00000000-0005-0000-0000-000098130000}"/>
    <cellStyle name="Normal 10 14 13" xfId="5841" xr:uid="{00000000-0005-0000-0000-000099130000}"/>
    <cellStyle name="Normal 10 14 2" xfId="5842" xr:uid="{00000000-0005-0000-0000-00009A130000}"/>
    <cellStyle name="Normal 10 14 2 2" xfId="5843" xr:uid="{00000000-0005-0000-0000-00009B130000}"/>
    <cellStyle name="Normal 10 14 2 3" xfId="5844" xr:uid="{00000000-0005-0000-0000-00009C130000}"/>
    <cellStyle name="Normal 10 14 2 4" xfId="5845" xr:uid="{00000000-0005-0000-0000-00009D130000}"/>
    <cellStyle name="Normal 10 14 2 5" xfId="5846" xr:uid="{00000000-0005-0000-0000-00009E130000}"/>
    <cellStyle name="Normal 10 14 2 6" xfId="5847" xr:uid="{00000000-0005-0000-0000-00009F130000}"/>
    <cellStyle name="Normal 10 14 3" xfId="5848" xr:uid="{00000000-0005-0000-0000-0000A0130000}"/>
    <cellStyle name="Normal 10 14 3 2" xfId="5849" xr:uid="{00000000-0005-0000-0000-0000A1130000}"/>
    <cellStyle name="Normal 10 14 3 3" xfId="5850" xr:uid="{00000000-0005-0000-0000-0000A2130000}"/>
    <cellStyle name="Normal 10 14 3 4" xfId="5851" xr:uid="{00000000-0005-0000-0000-0000A3130000}"/>
    <cellStyle name="Normal 10 14 3 5" xfId="5852" xr:uid="{00000000-0005-0000-0000-0000A4130000}"/>
    <cellStyle name="Normal 10 14 3 6" xfId="5853" xr:uid="{00000000-0005-0000-0000-0000A5130000}"/>
    <cellStyle name="Normal 10 14 4" xfId="5854" xr:uid="{00000000-0005-0000-0000-0000A6130000}"/>
    <cellStyle name="Normal 10 14 4 2" xfId="5855" xr:uid="{00000000-0005-0000-0000-0000A7130000}"/>
    <cellStyle name="Normal 10 14 4 3" xfId="5856" xr:uid="{00000000-0005-0000-0000-0000A8130000}"/>
    <cellStyle name="Normal 10 14 4 4" xfId="5857" xr:uid="{00000000-0005-0000-0000-0000A9130000}"/>
    <cellStyle name="Normal 10 14 4 5" xfId="5858" xr:uid="{00000000-0005-0000-0000-0000AA130000}"/>
    <cellStyle name="Normal 10 14 4 6" xfId="5859" xr:uid="{00000000-0005-0000-0000-0000AB130000}"/>
    <cellStyle name="Normal 10 14 5" xfId="5860" xr:uid="{00000000-0005-0000-0000-0000AC130000}"/>
    <cellStyle name="Normal 10 14 5 2" xfId="5861" xr:uid="{00000000-0005-0000-0000-0000AD130000}"/>
    <cellStyle name="Normal 10 14 5 3" xfId="5862" xr:uid="{00000000-0005-0000-0000-0000AE130000}"/>
    <cellStyle name="Normal 10 14 5 4" xfId="5863" xr:uid="{00000000-0005-0000-0000-0000AF130000}"/>
    <cellStyle name="Normal 10 14 5 5" xfId="5864" xr:uid="{00000000-0005-0000-0000-0000B0130000}"/>
    <cellStyle name="Normal 10 14 5 6" xfId="5865" xr:uid="{00000000-0005-0000-0000-0000B1130000}"/>
    <cellStyle name="Normal 10 14 6" xfId="5866" xr:uid="{00000000-0005-0000-0000-0000B2130000}"/>
    <cellStyle name="Normal 10 14 6 2" xfId="5867" xr:uid="{00000000-0005-0000-0000-0000B3130000}"/>
    <cellStyle name="Normal 10 14 6 3" xfId="5868" xr:uid="{00000000-0005-0000-0000-0000B4130000}"/>
    <cellStyle name="Normal 10 14 6 4" xfId="5869" xr:uid="{00000000-0005-0000-0000-0000B5130000}"/>
    <cellStyle name="Normal 10 14 6 5" xfId="5870" xr:uid="{00000000-0005-0000-0000-0000B6130000}"/>
    <cellStyle name="Normal 10 14 6 6" xfId="5871" xr:uid="{00000000-0005-0000-0000-0000B7130000}"/>
    <cellStyle name="Normal 10 14 7" xfId="5872" xr:uid="{00000000-0005-0000-0000-0000B8130000}"/>
    <cellStyle name="Normal 10 14 7 2" xfId="5873" xr:uid="{00000000-0005-0000-0000-0000B9130000}"/>
    <cellStyle name="Normal 10 14 7 3" xfId="5874" xr:uid="{00000000-0005-0000-0000-0000BA130000}"/>
    <cellStyle name="Normal 10 14 7 4" xfId="5875" xr:uid="{00000000-0005-0000-0000-0000BB130000}"/>
    <cellStyle name="Normal 10 14 7 5" xfId="5876" xr:uid="{00000000-0005-0000-0000-0000BC130000}"/>
    <cellStyle name="Normal 10 14 7 6" xfId="5877" xr:uid="{00000000-0005-0000-0000-0000BD130000}"/>
    <cellStyle name="Normal 10 14 8" xfId="5878" xr:uid="{00000000-0005-0000-0000-0000BE130000}"/>
    <cellStyle name="Normal 10 14 8 2" xfId="5879" xr:uid="{00000000-0005-0000-0000-0000BF130000}"/>
    <cellStyle name="Normal 10 14 8 3" xfId="5880" xr:uid="{00000000-0005-0000-0000-0000C0130000}"/>
    <cellStyle name="Normal 10 14 8 4" xfId="5881" xr:uid="{00000000-0005-0000-0000-0000C1130000}"/>
    <cellStyle name="Normal 10 14 8 5" xfId="5882" xr:uid="{00000000-0005-0000-0000-0000C2130000}"/>
    <cellStyle name="Normal 10 14 8 6" xfId="5883" xr:uid="{00000000-0005-0000-0000-0000C3130000}"/>
    <cellStyle name="Normal 10 14 9" xfId="5884" xr:uid="{00000000-0005-0000-0000-0000C4130000}"/>
    <cellStyle name="Normal 10 15" xfId="5885" xr:uid="{00000000-0005-0000-0000-0000C5130000}"/>
    <cellStyle name="Normal 10 15 10" xfId="5886" xr:uid="{00000000-0005-0000-0000-0000C6130000}"/>
    <cellStyle name="Normal 10 15 11" xfId="5887" xr:uid="{00000000-0005-0000-0000-0000C7130000}"/>
    <cellStyle name="Normal 10 15 12" xfId="5888" xr:uid="{00000000-0005-0000-0000-0000C8130000}"/>
    <cellStyle name="Normal 10 15 13" xfId="5889" xr:uid="{00000000-0005-0000-0000-0000C9130000}"/>
    <cellStyle name="Normal 10 15 2" xfId="5890" xr:uid="{00000000-0005-0000-0000-0000CA130000}"/>
    <cellStyle name="Normal 10 15 2 2" xfId="5891" xr:uid="{00000000-0005-0000-0000-0000CB130000}"/>
    <cellStyle name="Normal 10 15 2 3" xfId="5892" xr:uid="{00000000-0005-0000-0000-0000CC130000}"/>
    <cellStyle name="Normal 10 15 2 4" xfId="5893" xr:uid="{00000000-0005-0000-0000-0000CD130000}"/>
    <cellStyle name="Normal 10 15 2 5" xfId="5894" xr:uid="{00000000-0005-0000-0000-0000CE130000}"/>
    <cellStyle name="Normal 10 15 2 6" xfId="5895" xr:uid="{00000000-0005-0000-0000-0000CF130000}"/>
    <cellStyle name="Normal 10 15 3" xfId="5896" xr:uid="{00000000-0005-0000-0000-0000D0130000}"/>
    <cellStyle name="Normal 10 15 3 2" xfId="5897" xr:uid="{00000000-0005-0000-0000-0000D1130000}"/>
    <cellStyle name="Normal 10 15 3 3" xfId="5898" xr:uid="{00000000-0005-0000-0000-0000D2130000}"/>
    <cellStyle name="Normal 10 15 3 4" xfId="5899" xr:uid="{00000000-0005-0000-0000-0000D3130000}"/>
    <cellStyle name="Normal 10 15 3 5" xfId="5900" xr:uid="{00000000-0005-0000-0000-0000D4130000}"/>
    <cellStyle name="Normal 10 15 3 6" xfId="5901" xr:uid="{00000000-0005-0000-0000-0000D5130000}"/>
    <cellStyle name="Normal 10 15 4" xfId="5902" xr:uid="{00000000-0005-0000-0000-0000D6130000}"/>
    <cellStyle name="Normal 10 15 4 2" xfId="5903" xr:uid="{00000000-0005-0000-0000-0000D7130000}"/>
    <cellStyle name="Normal 10 15 4 3" xfId="5904" xr:uid="{00000000-0005-0000-0000-0000D8130000}"/>
    <cellStyle name="Normal 10 15 4 4" xfId="5905" xr:uid="{00000000-0005-0000-0000-0000D9130000}"/>
    <cellStyle name="Normal 10 15 4 5" xfId="5906" xr:uid="{00000000-0005-0000-0000-0000DA130000}"/>
    <cellStyle name="Normal 10 15 4 6" xfId="5907" xr:uid="{00000000-0005-0000-0000-0000DB130000}"/>
    <cellStyle name="Normal 10 15 5" xfId="5908" xr:uid="{00000000-0005-0000-0000-0000DC130000}"/>
    <cellStyle name="Normal 10 15 5 2" xfId="5909" xr:uid="{00000000-0005-0000-0000-0000DD130000}"/>
    <cellStyle name="Normal 10 15 5 3" xfId="5910" xr:uid="{00000000-0005-0000-0000-0000DE130000}"/>
    <cellStyle name="Normal 10 15 5 4" xfId="5911" xr:uid="{00000000-0005-0000-0000-0000DF130000}"/>
    <cellStyle name="Normal 10 15 5 5" xfId="5912" xr:uid="{00000000-0005-0000-0000-0000E0130000}"/>
    <cellStyle name="Normal 10 15 5 6" xfId="5913" xr:uid="{00000000-0005-0000-0000-0000E1130000}"/>
    <cellStyle name="Normal 10 15 6" xfId="5914" xr:uid="{00000000-0005-0000-0000-0000E2130000}"/>
    <cellStyle name="Normal 10 15 6 2" xfId="5915" xr:uid="{00000000-0005-0000-0000-0000E3130000}"/>
    <cellStyle name="Normal 10 15 6 3" xfId="5916" xr:uid="{00000000-0005-0000-0000-0000E4130000}"/>
    <cellStyle name="Normal 10 15 6 4" xfId="5917" xr:uid="{00000000-0005-0000-0000-0000E5130000}"/>
    <cellStyle name="Normal 10 15 6 5" xfId="5918" xr:uid="{00000000-0005-0000-0000-0000E6130000}"/>
    <cellStyle name="Normal 10 15 6 6" xfId="5919" xr:uid="{00000000-0005-0000-0000-0000E7130000}"/>
    <cellStyle name="Normal 10 15 7" xfId="5920" xr:uid="{00000000-0005-0000-0000-0000E8130000}"/>
    <cellStyle name="Normal 10 15 7 2" xfId="5921" xr:uid="{00000000-0005-0000-0000-0000E9130000}"/>
    <cellStyle name="Normal 10 15 7 3" xfId="5922" xr:uid="{00000000-0005-0000-0000-0000EA130000}"/>
    <cellStyle name="Normal 10 15 7 4" xfId="5923" xr:uid="{00000000-0005-0000-0000-0000EB130000}"/>
    <cellStyle name="Normal 10 15 7 5" xfId="5924" xr:uid="{00000000-0005-0000-0000-0000EC130000}"/>
    <cellStyle name="Normal 10 15 7 6" xfId="5925" xr:uid="{00000000-0005-0000-0000-0000ED130000}"/>
    <cellStyle name="Normal 10 15 8" xfId="5926" xr:uid="{00000000-0005-0000-0000-0000EE130000}"/>
    <cellStyle name="Normal 10 15 8 2" xfId="5927" xr:uid="{00000000-0005-0000-0000-0000EF130000}"/>
    <cellStyle name="Normal 10 15 8 3" xfId="5928" xr:uid="{00000000-0005-0000-0000-0000F0130000}"/>
    <cellStyle name="Normal 10 15 8 4" xfId="5929" xr:uid="{00000000-0005-0000-0000-0000F1130000}"/>
    <cellStyle name="Normal 10 15 8 5" xfId="5930" xr:uid="{00000000-0005-0000-0000-0000F2130000}"/>
    <cellStyle name="Normal 10 15 8 6" xfId="5931" xr:uid="{00000000-0005-0000-0000-0000F3130000}"/>
    <cellStyle name="Normal 10 15 9" xfId="5932" xr:uid="{00000000-0005-0000-0000-0000F4130000}"/>
    <cellStyle name="Normal 10 16" xfId="5933" xr:uid="{00000000-0005-0000-0000-0000F5130000}"/>
    <cellStyle name="Normal 10 16 10" xfId="5934" xr:uid="{00000000-0005-0000-0000-0000F6130000}"/>
    <cellStyle name="Normal 10 16 11" xfId="5935" xr:uid="{00000000-0005-0000-0000-0000F7130000}"/>
    <cellStyle name="Normal 10 16 12" xfId="5936" xr:uid="{00000000-0005-0000-0000-0000F8130000}"/>
    <cellStyle name="Normal 10 16 13" xfId="5937" xr:uid="{00000000-0005-0000-0000-0000F9130000}"/>
    <cellStyle name="Normal 10 16 2" xfId="5938" xr:uid="{00000000-0005-0000-0000-0000FA130000}"/>
    <cellStyle name="Normal 10 16 2 2" xfId="5939" xr:uid="{00000000-0005-0000-0000-0000FB130000}"/>
    <cellStyle name="Normal 10 16 2 3" xfId="5940" xr:uid="{00000000-0005-0000-0000-0000FC130000}"/>
    <cellStyle name="Normal 10 16 2 4" xfId="5941" xr:uid="{00000000-0005-0000-0000-0000FD130000}"/>
    <cellStyle name="Normal 10 16 2 5" xfId="5942" xr:uid="{00000000-0005-0000-0000-0000FE130000}"/>
    <cellStyle name="Normal 10 16 2 6" xfId="5943" xr:uid="{00000000-0005-0000-0000-0000FF130000}"/>
    <cellStyle name="Normal 10 16 3" xfId="5944" xr:uid="{00000000-0005-0000-0000-000000140000}"/>
    <cellStyle name="Normal 10 16 3 2" xfId="5945" xr:uid="{00000000-0005-0000-0000-000001140000}"/>
    <cellStyle name="Normal 10 16 3 3" xfId="5946" xr:uid="{00000000-0005-0000-0000-000002140000}"/>
    <cellStyle name="Normal 10 16 3 4" xfId="5947" xr:uid="{00000000-0005-0000-0000-000003140000}"/>
    <cellStyle name="Normal 10 16 3 5" xfId="5948" xr:uid="{00000000-0005-0000-0000-000004140000}"/>
    <cellStyle name="Normal 10 16 3 6" xfId="5949" xr:uid="{00000000-0005-0000-0000-000005140000}"/>
    <cellStyle name="Normal 10 16 4" xfId="5950" xr:uid="{00000000-0005-0000-0000-000006140000}"/>
    <cellStyle name="Normal 10 16 4 2" xfId="5951" xr:uid="{00000000-0005-0000-0000-000007140000}"/>
    <cellStyle name="Normal 10 16 4 3" xfId="5952" xr:uid="{00000000-0005-0000-0000-000008140000}"/>
    <cellStyle name="Normal 10 16 4 4" xfId="5953" xr:uid="{00000000-0005-0000-0000-000009140000}"/>
    <cellStyle name="Normal 10 16 4 5" xfId="5954" xr:uid="{00000000-0005-0000-0000-00000A140000}"/>
    <cellStyle name="Normal 10 16 4 6" xfId="5955" xr:uid="{00000000-0005-0000-0000-00000B140000}"/>
    <cellStyle name="Normal 10 16 5" xfId="5956" xr:uid="{00000000-0005-0000-0000-00000C140000}"/>
    <cellStyle name="Normal 10 16 5 2" xfId="5957" xr:uid="{00000000-0005-0000-0000-00000D140000}"/>
    <cellStyle name="Normal 10 16 5 3" xfId="5958" xr:uid="{00000000-0005-0000-0000-00000E140000}"/>
    <cellStyle name="Normal 10 16 5 4" xfId="5959" xr:uid="{00000000-0005-0000-0000-00000F140000}"/>
    <cellStyle name="Normal 10 16 5 5" xfId="5960" xr:uid="{00000000-0005-0000-0000-000010140000}"/>
    <cellStyle name="Normal 10 16 5 6" xfId="5961" xr:uid="{00000000-0005-0000-0000-000011140000}"/>
    <cellStyle name="Normal 10 16 6" xfId="5962" xr:uid="{00000000-0005-0000-0000-000012140000}"/>
    <cellStyle name="Normal 10 16 6 2" xfId="5963" xr:uid="{00000000-0005-0000-0000-000013140000}"/>
    <cellStyle name="Normal 10 16 6 3" xfId="5964" xr:uid="{00000000-0005-0000-0000-000014140000}"/>
    <cellStyle name="Normal 10 16 6 4" xfId="5965" xr:uid="{00000000-0005-0000-0000-000015140000}"/>
    <cellStyle name="Normal 10 16 6 5" xfId="5966" xr:uid="{00000000-0005-0000-0000-000016140000}"/>
    <cellStyle name="Normal 10 16 6 6" xfId="5967" xr:uid="{00000000-0005-0000-0000-000017140000}"/>
    <cellStyle name="Normal 10 16 7" xfId="5968" xr:uid="{00000000-0005-0000-0000-000018140000}"/>
    <cellStyle name="Normal 10 16 7 2" xfId="5969" xr:uid="{00000000-0005-0000-0000-000019140000}"/>
    <cellStyle name="Normal 10 16 7 3" xfId="5970" xr:uid="{00000000-0005-0000-0000-00001A140000}"/>
    <cellStyle name="Normal 10 16 7 4" xfId="5971" xr:uid="{00000000-0005-0000-0000-00001B140000}"/>
    <cellStyle name="Normal 10 16 7 5" xfId="5972" xr:uid="{00000000-0005-0000-0000-00001C140000}"/>
    <cellStyle name="Normal 10 16 7 6" xfId="5973" xr:uid="{00000000-0005-0000-0000-00001D140000}"/>
    <cellStyle name="Normal 10 16 8" xfId="5974" xr:uid="{00000000-0005-0000-0000-00001E140000}"/>
    <cellStyle name="Normal 10 16 8 2" xfId="5975" xr:uid="{00000000-0005-0000-0000-00001F140000}"/>
    <cellStyle name="Normal 10 16 8 3" xfId="5976" xr:uid="{00000000-0005-0000-0000-000020140000}"/>
    <cellStyle name="Normal 10 16 8 4" xfId="5977" xr:uid="{00000000-0005-0000-0000-000021140000}"/>
    <cellStyle name="Normal 10 16 8 5" xfId="5978" xr:uid="{00000000-0005-0000-0000-000022140000}"/>
    <cellStyle name="Normal 10 16 8 6" xfId="5979" xr:uid="{00000000-0005-0000-0000-000023140000}"/>
    <cellStyle name="Normal 10 16 9" xfId="5980" xr:uid="{00000000-0005-0000-0000-000024140000}"/>
    <cellStyle name="Normal 10 17" xfId="5981" xr:uid="{00000000-0005-0000-0000-000025140000}"/>
    <cellStyle name="Normal 10 17 10" xfId="5982" xr:uid="{00000000-0005-0000-0000-000026140000}"/>
    <cellStyle name="Normal 10 17 11" xfId="5983" xr:uid="{00000000-0005-0000-0000-000027140000}"/>
    <cellStyle name="Normal 10 17 12" xfId="5984" xr:uid="{00000000-0005-0000-0000-000028140000}"/>
    <cellStyle name="Normal 10 17 13" xfId="5985" xr:uid="{00000000-0005-0000-0000-000029140000}"/>
    <cellStyle name="Normal 10 17 2" xfId="5986" xr:uid="{00000000-0005-0000-0000-00002A140000}"/>
    <cellStyle name="Normal 10 17 2 2" xfId="5987" xr:uid="{00000000-0005-0000-0000-00002B140000}"/>
    <cellStyle name="Normal 10 17 2 3" xfId="5988" xr:uid="{00000000-0005-0000-0000-00002C140000}"/>
    <cellStyle name="Normal 10 17 2 4" xfId="5989" xr:uid="{00000000-0005-0000-0000-00002D140000}"/>
    <cellStyle name="Normal 10 17 2 5" xfId="5990" xr:uid="{00000000-0005-0000-0000-00002E140000}"/>
    <cellStyle name="Normal 10 17 2 6" xfId="5991" xr:uid="{00000000-0005-0000-0000-00002F140000}"/>
    <cellStyle name="Normal 10 17 3" xfId="5992" xr:uid="{00000000-0005-0000-0000-000030140000}"/>
    <cellStyle name="Normal 10 17 3 2" xfId="5993" xr:uid="{00000000-0005-0000-0000-000031140000}"/>
    <cellStyle name="Normal 10 17 3 3" xfId="5994" xr:uid="{00000000-0005-0000-0000-000032140000}"/>
    <cellStyle name="Normal 10 17 3 4" xfId="5995" xr:uid="{00000000-0005-0000-0000-000033140000}"/>
    <cellStyle name="Normal 10 17 3 5" xfId="5996" xr:uid="{00000000-0005-0000-0000-000034140000}"/>
    <cellStyle name="Normal 10 17 3 6" xfId="5997" xr:uid="{00000000-0005-0000-0000-000035140000}"/>
    <cellStyle name="Normal 10 17 4" xfId="5998" xr:uid="{00000000-0005-0000-0000-000036140000}"/>
    <cellStyle name="Normal 10 17 4 2" xfId="5999" xr:uid="{00000000-0005-0000-0000-000037140000}"/>
    <cellStyle name="Normal 10 17 4 3" xfId="6000" xr:uid="{00000000-0005-0000-0000-000038140000}"/>
    <cellStyle name="Normal 10 17 4 4" xfId="6001" xr:uid="{00000000-0005-0000-0000-000039140000}"/>
    <cellStyle name="Normal 10 17 4 5" xfId="6002" xr:uid="{00000000-0005-0000-0000-00003A140000}"/>
    <cellStyle name="Normal 10 17 4 6" xfId="6003" xr:uid="{00000000-0005-0000-0000-00003B140000}"/>
    <cellStyle name="Normal 10 17 5" xfId="6004" xr:uid="{00000000-0005-0000-0000-00003C140000}"/>
    <cellStyle name="Normal 10 17 5 2" xfId="6005" xr:uid="{00000000-0005-0000-0000-00003D140000}"/>
    <cellStyle name="Normal 10 17 5 3" xfId="6006" xr:uid="{00000000-0005-0000-0000-00003E140000}"/>
    <cellStyle name="Normal 10 17 5 4" xfId="6007" xr:uid="{00000000-0005-0000-0000-00003F140000}"/>
    <cellStyle name="Normal 10 17 5 5" xfId="6008" xr:uid="{00000000-0005-0000-0000-000040140000}"/>
    <cellStyle name="Normal 10 17 5 6" xfId="6009" xr:uid="{00000000-0005-0000-0000-000041140000}"/>
    <cellStyle name="Normal 10 17 6" xfId="6010" xr:uid="{00000000-0005-0000-0000-000042140000}"/>
    <cellStyle name="Normal 10 17 6 2" xfId="6011" xr:uid="{00000000-0005-0000-0000-000043140000}"/>
    <cellStyle name="Normal 10 17 6 3" xfId="6012" xr:uid="{00000000-0005-0000-0000-000044140000}"/>
    <cellStyle name="Normal 10 17 6 4" xfId="6013" xr:uid="{00000000-0005-0000-0000-000045140000}"/>
    <cellStyle name="Normal 10 17 6 5" xfId="6014" xr:uid="{00000000-0005-0000-0000-000046140000}"/>
    <cellStyle name="Normal 10 17 6 6" xfId="6015" xr:uid="{00000000-0005-0000-0000-000047140000}"/>
    <cellStyle name="Normal 10 17 7" xfId="6016" xr:uid="{00000000-0005-0000-0000-000048140000}"/>
    <cellStyle name="Normal 10 17 7 2" xfId="6017" xr:uid="{00000000-0005-0000-0000-000049140000}"/>
    <cellStyle name="Normal 10 17 7 3" xfId="6018" xr:uid="{00000000-0005-0000-0000-00004A140000}"/>
    <cellStyle name="Normal 10 17 7 4" xfId="6019" xr:uid="{00000000-0005-0000-0000-00004B140000}"/>
    <cellStyle name="Normal 10 17 7 5" xfId="6020" xr:uid="{00000000-0005-0000-0000-00004C140000}"/>
    <cellStyle name="Normal 10 17 7 6" xfId="6021" xr:uid="{00000000-0005-0000-0000-00004D140000}"/>
    <cellStyle name="Normal 10 17 8" xfId="6022" xr:uid="{00000000-0005-0000-0000-00004E140000}"/>
    <cellStyle name="Normal 10 17 8 2" xfId="6023" xr:uid="{00000000-0005-0000-0000-00004F140000}"/>
    <cellStyle name="Normal 10 17 8 3" xfId="6024" xr:uid="{00000000-0005-0000-0000-000050140000}"/>
    <cellStyle name="Normal 10 17 8 4" xfId="6025" xr:uid="{00000000-0005-0000-0000-000051140000}"/>
    <cellStyle name="Normal 10 17 8 5" xfId="6026" xr:uid="{00000000-0005-0000-0000-000052140000}"/>
    <cellStyle name="Normal 10 17 8 6" xfId="6027" xr:uid="{00000000-0005-0000-0000-000053140000}"/>
    <cellStyle name="Normal 10 17 9" xfId="6028" xr:uid="{00000000-0005-0000-0000-000054140000}"/>
    <cellStyle name="Normal 10 18" xfId="6029" xr:uid="{00000000-0005-0000-0000-000055140000}"/>
    <cellStyle name="Normal 10 18 10" xfId="6030" xr:uid="{00000000-0005-0000-0000-000056140000}"/>
    <cellStyle name="Normal 10 18 11" xfId="6031" xr:uid="{00000000-0005-0000-0000-000057140000}"/>
    <cellStyle name="Normal 10 18 12" xfId="6032" xr:uid="{00000000-0005-0000-0000-000058140000}"/>
    <cellStyle name="Normal 10 18 13" xfId="6033" xr:uid="{00000000-0005-0000-0000-000059140000}"/>
    <cellStyle name="Normal 10 18 2" xfId="6034" xr:uid="{00000000-0005-0000-0000-00005A140000}"/>
    <cellStyle name="Normal 10 18 2 2" xfId="6035" xr:uid="{00000000-0005-0000-0000-00005B140000}"/>
    <cellStyle name="Normal 10 18 2 3" xfId="6036" xr:uid="{00000000-0005-0000-0000-00005C140000}"/>
    <cellStyle name="Normal 10 18 2 4" xfId="6037" xr:uid="{00000000-0005-0000-0000-00005D140000}"/>
    <cellStyle name="Normal 10 18 2 5" xfId="6038" xr:uid="{00000000-0005-0000-0000-00005E140000}"/>
    <cellStyle name="Normal 10 18 2 6" xfId="6039" xr:uid="{00000000-0005-0000-0000-00005F140000}"/>
    <cellStyle name="Normal 10 18 3" xfId="6040" xr:uid="{00000000-0005-0000-0000-000060140000}"/>
    <cellStyle name="Normal 10 18 3 2" xfId="6041" xr:uid="{00000000-0005-0000-0000-000061140000}"/>
    <cellStyle name="Normal 10 18 3 3" xfId="6042" xr:uid="{00000000-0005-0000-0000-000062140000}"/>
    <cellStyle name="Normal 10 18 3 4" xfId="6043" xr:uid="{00000000-0005-0000-0000-000063140000}"/>
    <cellStyle name="Normal 10 18 3 5" xfId="6044" xr:uid="{00000000-0005-0000-0000-000064140000}"/>
    <cellStyle name="Normal 10 18 3 6" xfId="6045" xr:uid="{00000000-0005-0000-0000-000065140000}"/>
    <cellStyle name="Normal 10 18 4" xfId="6046" xr:uid="{00000000-0005-0000-0000-000066140000}"/>
    <cellStyle name="Normal 10 18 4 2" xfId="6047" xr:uid="{00000000-0005-0000-0000-000067140000}"/>
    <cellStyle name="Normal 10 18 4 3" xfId="6048" xr:uid="{00000000-0005-0000-0000-000068140000}"/>
    <cellStyle name="Normal 10 18 4 4" xfId="6049" xr:uid="{00000000-0005-0000-0000-000069140000}"/>
    <cellStyle name="Normal 10 18 4 5" xfId="6050" xr:uid="{00000000-0005-0000-0000-00006A140000}"/>
    <cellStyle name="Normal 10 18 4 6" xfId="6051" xr:uid="{00000000-0005-0000-0000-00006B140000}"/>
    <cellStyle name="Normal 10 18 5" xfId="6052" xr:uid="{00000000-0005-0000-0000-00006C140000}"/>
    <cellStyle name="Normal 10 18 5 2" xfId="6053" xr:uid="{00000000-0005-0000-0000-00006D140000}"/>
    <cellStyle name="Normal 10 18 5 3" xfId="6054" xr:uid="{00000000-0005-0000-0000-00006E140000}"/>
    <cellStyle name="Normal 10 18 5 4" xfId="6055" xr:uid="{00000000-0005-0000-0000-00006F140000}"/>
    <cellStyle name="Normal 10 18 5 5" xfId="6056" xr:uid="{00000000-0005-0000-0000-000070140000}"/>
    <cellStyle name="Normal 10 18 5 6" xfId="6057" xr:uid="{00000000-0005-0000-0000-000071140000}"/>
    <cellStyle name="Normal 10 18 6" xfId="6058" xr:uid="{00000000-0005-0000-0000-000072140000}"/>
    <cellStyle name="Normal 10 18 6 2" xfId="6059" xr:uid="{00000000-0005-0000-0000-000073140000}"/>
    <cellStyle name="Normal 10 18 6 3" xfId="6060" xr:uid="{00000000-0005-0000-0000-000074140000}"/>
    <cellStyle name="Normal 10 18 6 4" xfId="6061" xr:uid="{00000000-0005-0000-0000-000075140000}"/>
    <cellStyle name="Normal 10 18 6 5" xfId="6062" xr:uid="{00000000-0005-0000-0000-000076140000}"/>
    <cellStyle name="Normal 10 18 6 6" xfId="6063" xr:uid="{00000000-0005-0000-0000-000077140000}"/>
    <cellStyle name="Normal 10 18 7" xfId="6064" xr:uid="{00000000-0005-0000-0000-000078140000}"/>
    <cellStyle name="Normal 10 18 7 2" xfId="6065" xr:uid="{00000000-0005-0000-0000-000079140000}"/>
    <cellStyle name="Normal 10 18 7 3" xfId="6066" xr:uid="{00000000-0005-0000-0000-00007A140000}"/>
    <cellStyle name="Normal 10 18 7 4" xfId="6067" xr:uid="{00000000-0005-0000-0000-00007B140000}"/>
    <cellStyle name="Normal 10 18 7 5" xfId="6068" xr:uid="{00000000-0005-0000-0000-00007C140000}"/>
    <cellStyle name="Normal 10 18 7 6" xfId="6069" xr:uid="{00000000-0005-0000-0000-00007D140000}"/>
    <cellStyle name="Normal 10 18 8" xfId="6070" xr:uid="{00000000-0005-0000-0000-00007E140000}"/>
    <cellStyle name="Normal 10 18 8 2" xfId="6071" xr:uid="{00000000-0005-0000-0000-00007F140000}"/>
    <cellStyle name="Normal 10 18 8 3" xfId="6072" xr:uid="{00000000-0005-0000-0000-000080140000}"/>
    <cellStyle name="Normal 10 18 8 4" xfId="6073" xr:uid="{00000000-0005-0000-0000-000081140000}"/>
    <cellStyle name="Normal 10 18 8 5" xfId="6074" xr:uid="{00000000-0005-0000-0000-000082140000}"/>
    <cellStyle name="Normal 10 18 8 6" xfId="6075" xr:uid="{00000000-0005-0000-0000-000083140000}"/>
    <cellStyle name="Normal 10 18 9" xfId="6076" xr:uid="{00000000-0005-0000-0000-000084140000}"/>
    <cellStyle name="Normal 10 19" xfId="6077" xr:uid="{00000000-0005-0000-0000-000085140000}"/>
    <cellStyle name="Normal 10 19 10" xfId="6078" xr:uid="{00000000-0005-0000-0000-000086140000}"/>
    <cellStyle name="Normal 10 19 11" xfId="6079" xr:uid="{00000000-0005-0000-0000-000087140000}"/>
    <cellStyle name="Normal 10 19 12" xfId="6080" xr:uid="{00000000-0005-0000-0000-000088140000}"/>
    <cellStyle name="Normal 10 19 13" xfId="6081" xr:uid="{00000000-0005-0000-0000-000089140000}"/>
    <cellStyle name="Normal 10 19 2" xfId="6082" xr:uid="{00000000-0005-0000-0000-00008A140000}"/>
    <cellStyle name="Normal 10 19 2 2" xfId="6083" xr:uid="{00000000-0005-0000-0000-00008B140000}"/>
    <cellStyle name="Normal 10 19 2 3" xfId="6084" xr:uid="{00000000-0005-0000-0000-00008C140000}"/>
    <cellStyle name="Normal 10 19 2 4" xfId="6085" xr:uid="{00000000-0005-0000-0000-00008D140000}"/>
    <cellStyle name="Normal 10 19 2 5" xfId="6086" xr:uid="{00000000-0005-0000-0000-00008E140000}"/>
    <cellStyle name="Normal 10 19 2 6" xfId="6087" xr:uid="{00000000-0005-0000-0000-00008F140000}"/>
    <cellStyle name="Normal 10 19 3" xfId="6088" xr:uid="{00000000-0005-0000-0000-000090140000}"/>
    <cellStyle name="Normal 10 19 3 2" xfId="6089" xr:uid="{00000000-0005-0000-0000-000091140000}"/>
    <cellStyle name="Normal 10 19 3 3" xfId="6090" xr:uid="{00000000-0005-0000-0000-000092140000}"/>
    <cellStyle name="Normal 10 19 3 4" xfId="6091" xr:uid="{00000000-0005-0000-0000-000093140000}"/>
    <cellStyle name="Normal 10 19 3 5" xfId="6092" xr:uid="{00000000-0005-0000-0000-000094140000}"/>
    <cellStyle name="Normal 10 19 3 6" xfId="6093" xr:uid="{00000000-0005-0000-0000-000095140000}"/>
    <cellStyle name="Normal 10 19 4" xfId="6094" xr:uid="{00000000-0005-0000-0000-000096140000}"/>
    <cellStyle name="Normal 10 19 4 2" xfId="6095" xr:uid="{00000000-0005-0000-0000-000097140000}"/>
    <cellStyle name="Normal 10 19 4 3" xfId="6096" xr:uid="{00000000-0005-0000-0000-000098140000}"/>
    <cellStyle name="Normal 10 19 4 4" xfId="6097" xr:uid="{00000000-0005-0000-0000-000099140000}"/>
    <cellStyle name="Normal 10 19 4 5" xfId="6098" xr:uid="{00000000-0005-0000-0000-00009A140000}"/>
    <cellStyle name="Normal 10 19 4 6" xfId="6099" xr:uid="{00000000-0005-0000-0000-00009B140000}"/>
    <cellStyle name="Normal 10 19 5" xfId="6100" xr:uid="{00000000-0005-0000-0000-00009C140000}"/>
    <cellStyle name="Normal 10 19 5 2" xfId="6101" xr:uid="{00000000-0005-0000-0000-00009D140000}"/>
    <cellStyle name="Normal 10 19 5 3" xfId="6102" xr:uid="{00000000-0005-0000-0000-00009E140000}"/>
    <cellStyle name="Normal 10 19 5 4" xfId="6103" xr:uid="{00000000-0005-0000-0000-00009F140000}"/>
    <cellStyle name="Normal 10 19 5 5" xfId="6104" xr:uid="{00000000-0005-0000-0000-0000A0140000}"/>
    <cellStyle name="Normal 10 19 5 6" xfId="6105" xr:uid="{00000000-0005-0000-0000-0000A1140000}"/>
    <cellStyle name="Normal 10 19 6" xfId="6106" xr:uid="{00000000-0005-0000-0000-0000A2140000}"/>
    <cellStyle name="Normal 10 19 6 2" xfId="6107" xr:uid="{00000000-0005-0000-0000-0000A3140000}"/>
    <cellStyle name="Normal 10 19 6 3" xfId="6108" xr:uid="{00000000-0005-0000-0000-0000A4140000}"/>
    <cellStyle name="Normal 10 19 6 4" xfId="6109" xr:uid="{00000000-0005-0000-0000-0000A5140000}"/>
    <cellStyle name="Normal 10 19 6 5" xfId="6110" xr:uid="{00000000-0005-0000-0000-0000A6140000}"/>
    <cellStyle name="Normal 10 19 6 6" xfId="6111" xr:uid="{00000000-0005-0000-0000-0000A7140000}"/>
    <cellStyle name="Normal 10 19 7" xfId="6112" xr:uid="{00000000-0005-0000-0000-0000A8140000}"/>
    <cellStyle name="Normal 10 19 7 2" xfId="6113" xr:uid="{00000000-0005-0000-0000-0000A9140000}"/>
    <cellStyle name="Normal 10 19 7 3" xfId="6114" xr:uid="{00000000-0005-0000-0000-0000AA140000}"/>
    <cellStyle name="Normal 10 19 7 4" xfId="6115" xr:uid="{00000000-0005-0000-0000-0000AB140000}"/>
    <cellStyle name="Normal 10 19 7 5" xfId="6116" xr:uid="{00000000-0005-0000-0000-0000AC140000}"/>
    <cellStyle name="Normal 10 19 7 6" xfId="6117" xr:uid="{00000000-0005-0000-0000-0000AD140000}"/>
    <cellStyle name="Normal 10 19 8" xfId="6118" xr:uid="{00000000-0005-0000-0000-0000AE140000}"/>
    <cellStyle name="Normal 10 19 8 2" xfId="6119" xr:uid="{00000000-0005-0000-0000-0000AF140000}"/>
    <cellStyle name="Normal 10 19 8 3" xfId="6120" xr:uid="{00000000-0005-0000-0000-0000B0140000}"/>
    <cellStyle name="Normal 10 19 8 4" xfId="6121" xr:uid="{00000000-0005-0000-0000-0000B1140000}"/>
    <cellStyle name="Normal 10 19 8 5" xfId="6122" xr:uid="{00000000-0005-0000-0000-0000B2140000}"/>
    <cellStyle name="Normal 10 19 8 6" xfId="6123" xr:uid="{00000000-0005-0000-0000-0000B3140000}"/>
    <cellStyle name="Normal 10 19 9" xfId="6124" xr:uid="{00000000-0005-0000-0000-0000B4140000}"/>
    <cellStyle name="Normal 10 2" xfId="2697" xr:uid="{00000000-0005-0000-0000-0000B5140000}"/>
    <cellStyle name="Normal 10 2 10" xfId="6125" xr:uid="{00000000-0005-0000-0000-0000B6140000}"/>
    <cellStyle name="Normal 10 2 10 2" xfId="6126" xr:uid="{00000000-0005-0000-0000-0000B7140000}"/>
    <cellStyle name="Normal 10 2 10 2 2" xfId="6127" xr:uid="{00000000-0005-0000-0000-0000B8140000}"/>
    <cellStyle name="Normal 10 2 10 2 3" xfId="6128" xr:uid="{00000000-0005-0000-0000-0000B9140000}"/>
    <cellStyle name="Normal 10 2 10 2 4" xfId="6129" xr:uid="{00000000-0005-0000-0000-0000BA140000}"/>
    <cellStyle name="Normal 10 2 10 3" xfId="6130" xr:uid="{00000000-0005-0000-0000-0000BB140000}"/>
    <cellStyle name="Normal 10 2 10 3 2" xfId="6131" xr:uid="{00000000-0005-0000-0000-0000BC140000}"/>
    <cellStyle name="Normal 10 2 10 3 3" xfId="6132" xr:uid="{00000000-0005-0000-0000-0000BD140000}"/>
    <cellStyle name="Normal 10 2 10 3 4" xfId="6133" xr:uid="{00000000-0005-0000-0000-0000BE140000}"/>
    <cellStyle name="Normal 10 2 10 4" xfId="6134" xr:uid="{00000000-0005-0000-0000-0000BF140000}"/>
    <cellStyle name="Normal 10 2 10 5" xfId="6135" xr:uid="{00000000-0005-0000-0000-0000C0140000}"/>
    <cellStyle name="Normal 10 2 10 6" xfId="6136" xr:uid="{00000000-0005-0000-0000-0000C1140000}"/>
    <cellStyle name="Normal 10 2 11" xfId="6137" xr:uid="{00000000-0005-0000-0000-0000C2140000}"/>
    <cellStyle name="Normal 10 2 11 2" xfId="6138" xr:uid="{00000000-0005-0000-0000-0000C3140000}"/>
    <cellStyle name="Normal 10 2 11 2 2" xfId="6139" xr:uid="{00000000-0005-0000-0000-0000C4140000}"/>
    <cellStyle name="Normal 10 2 11 2 3" xfId="6140" xr:uid="{00000000-0005-0000-0000-0000C5140000}"/>
    <cellStyle name="Normal 10 2 11 2 4" xfId="6141" xr:uid="{00000000-0005-0000-0000-0000C6140000}"/>
    <cellStyle name="Normal 10 2 11 3" xfId="6142" xr:uid="{00000000-0005-0000-0000-0000C7140000}"/>
    <cellStyle name="Normal 10 2 11 3 2" xfId="6143" xr:uid="{00000000-0005-0000-0000-0000C8140000}"/>
    <cellStyle name="Normal 10 2 11 3 3" xfId="6144" xr:uid="{00000000-0005-0000-0000-0000C9140000}"/>
    <cellStyle name="Normal 10 2 11 3 4" xfId="6145" xr:uid="{00000000-0005-0000-0000-0000CA140000}"/>
    <cellStyle name="Normal 10 2 11 4" xfId="6146" xr:uid="{00000000-0005-0000-0000-0000CB140000}"/>
    <cellStyle name="Normal 10 2 11 5" xfId="6147" xr:uid="{00000000-0005-0000-0000-0000CC140000}"/>
    <cellStyle name="Normal 10 2 11 6" xfId="6148" xr:uid="{00000000-0005-0000-0000-0000CD140000}"/>
    <cellStyle name="Normal 10 2 12" xfId="6149" xr:uid="{00000000-0005-0000-0000-0000CE140000}"/>
    <cellStyle name="Normal 10 2 12 2" xfId="6150" xr:uid="{00000000-0005-0000-0000-0000CF140000}"/>
    <cellStyle name="Normal 10 2 12 2 2" xfId="6151" xr:uid="{00000000-0005-0000-0000-0000D0140000}"/>
    <cellStyle name="Normal 10 2 12 2 3" xfId="6152" xr:uid="{00000000-0005-0000-0000-0000D1140000}"/>
    <cellStyle name="Normal 10 2 12 2 4" xfId="6153" xr:uid="{00000000-0005-0000-0000-0000D2140000}"/>
    <cellStyle name="Normal 10 2 12 3" xfId="6154" xr:uid="{00000000-0005-0000-0000-0000D3140000}"/>
    <cellStyle name="Normal 10 2 12 3 2" xfId="6155" xr:uid="{00000000-0005-0000-0000-0000D4140000}"/>
    <cellStyle name="Normal 10 2 12 3 3" xfId="6156" xr:uid="{00000000-0005-0000-0000-0000D5140000}"/>
    <cellStyle name="Normal 10 2 12 3 4" xfId="6157" xr:uid="{00000000-0005-0000-0000-0000D6140000}"/>
    <cellStyle name="Normal 10 2 12 4" xfId="6158" xr:uid="{00000000-0005-0000-0000-0000D7140000}"/>
    <cellStyle name="Normal 10 2 12 5" xfId="6159" xr:uid="{00000000-0005-0000-0000-0000D8140000}"/>
    <cellStyle name="Normal 10 2 12 6" xfId="6160" xr:uid="{00000000-0005-0000-0000-0000D9140000}"/>
    <cellStyle name="Normal 10 2 13" xfId="6161" xr:uid="{00000000-0005-0000-0000-0000DA140000}"/>
    <cellStyle name="Normal 10 2 13 2" xfId="6162" xr:uid="{00000000-0005-0000-0000-0000DB140000}"/>
    <cellStyle name="Normal 10 2 13 2 2" xfId="6163" xr:uid="{00000000-0005-0000-0000-0000DC140000}"/>
    <cellStyle name="Normal 10 2 13 2 3" xfId="6164" xr:uid="{00000000-0005-0000-0000-0000DD140000}"/>
    <cellStyle name="Normal 10 2 13 2 4" xfId="6165" xr:uid="{00000000-0005-0000-0000-0000DE140000}"/>
    <cellStyle name="Normal 10 2 13 3" xfId="6166" xr:uid="{00000000-0005-0000-0000-0000DF140000}"/>
    <cellStyle name="Normal 10 2 13 3 2" xfId="6167" xr:uid="{00000000-0005-0000-0000-0000E0140000}"/>
    <cellStyle name="Normal 10 2 13 3 3" xfId="6168" xr:uid="{00000000-0005-0000-0000-0000E1140000}"/>
    <cellStyle name="Normal 10 2 13 3 4" xfId="6169" xr:uid="{00000000-0005-0000-0000-0000E2140000}"/>
    <cellStyle name="Normal 10 2 13 4" xfId="6170" xr:uid="{00000000-0005-0000-0000-0000E3140000}"/>
    <cellStyle name="Normal 10 2 13 5" xfId="6171" xr:uid="{00000000-0005-0000-0000-0000E4140000}"/>
    <cellStyle name="Normal 10 2 13 6" xfId="6172" xr:uid="{00000000-0005-0000-0000-0000E5140000}"/>
    <cellStyle name="Normal 10 2 14" xfId="6173" xr:uid="{00000000-0005-0000-0000-0000E6140000}"/>
    <cellStyle name="Normal 10 2 14 2" xfId="6174" xr:uid="{00000000-0005-0000-0000-0000E7140000}"/>
    <cellStyle name="Normal 10 2 14 2 2" xfId="6175" xr:uid="{00000000-0005-0000-0000-0000E8140000}"/>
    <cellStyle name="Normal 10 2 14 2 3" xfId="6176" xr:uid="{00000000-0005-0000-0000-0000E9140000}"/>
    <cellStyle name="Normal 10 2 14 2 4" xfId="6177" xr:uid="{00000000-0005-0000-0000-0000EA140000}"/>
    <cellStyle name="Normal 10 2 14 3" xfId="6178" xr:uid="{00000000-0005-0000-0000-0000EB140000}"/>
    <cellStyle name="Normal 10 2 14 3 2" xfId="6179" xr:uid="{00000000-0005-0000-0000-0000EC140000}"/>
    <cellStyle name="Normal 10 2 14 3 3" xfId="6180" xr:uid="{00000000-0005-0000-0000-0000ED140000}"/>
    <cellStyle name="Normal 10 2 14 3 4" xfId="6181" xr:uid="{00000000-0005-0000-0000-0000EE140000}"/>
    <cellStyle name="Normal 10 2 14 4" xfId="6182" xr:uid="{00000000-0005-0000-0000-0000EF140000}"/>
    <cellStyle name="Normal 10 2 14 5" xfId="6183" xr:uid="{00000000-0005-0000-0000-0000F0140000}"/>
    <cellStyle name="Normal 10 2 14 6" xfId="6184" xr:uid="{00000000-0005-0000-0000-0000F1140000}"/>
    <cellStyle name="Normal 10 2 15" xfId="6185" xr:uid="{00000000-0005-0000-0000-0000F2140000}"/>
    <cellStyle name="Normal 10 2 15 2" xfId="6186" xr:uid="{00000000-0005-0000-0000-0000F3140000}"/>
    <cellStyle name="Normal 10 2 15 2 2" xfId="6187" xr:uid="{00000000-0005-0000-0000-0000F4140000}"/>
    <cellStyle name="Normal 10 2 15 2 3" xfId="6188" xr:uid="{00000000-0005-0000-0000-0000F5140000}"/>
    <cellStyle name="Normal 10 2 15 2 4" xfId="6189" xr:uid="{00000000-0005-0000-0000-0000F6140000}"/>
    <cellStyle name="Normal 10 2 15 3" xfId="6190" xr:uid="{00000000-0005-0000-0000-0000F7140000}"/>
    <cellStyle name="Normal 10 2 15 3 2" xfId="6191" xr:uid="{00000000-0005-0000-0000-0000F8140000}"/>
    <cellStyle name="Normal 10 2 15 3 3" xfId="6192" xr:uid="{00000000-0005-0000-0000-0000F9140000}"/>
    <cellStyle name="Normal 10 2 15 3 4" xfId="6193" xr:uid="{00000000-0005-0000-0000-0000FA140000}"/>
    <cellStyle name="Normal 10 2 15 4" xfId="6194" xr:uid="{00000000-0005-0000-0000-0000FB140000}"/>
    <cellStyle name="Normal 10 2 15 5" xfId="6195" xr:uid="{00000000-0005-0000-0000-0000FC140000}"/>
    <cellStyle name="Normal 10 2 15 6" xfId="6196" xr:uid="{00000000-0005-0000-0000-0000FD140000}"/>
    <cellStyle name="Normal 10 2 16" xfId="6197" xr:uid="{00000000-0005-0000-0000-0000FE140000}"/>
    <cellStyle name="Normal 10 2 16 2" xfId="6198" xr:uid="{00000000-0005-0000-0000-0000FF140000}"/>
    <cellStyle name="Normal 10 2 16 2 2" xfId="6199" xr:uid="{00000000-0005-0000-0000-000000150000}"/>
    <cellStyle name="Normal 10 2 16 2 3" xfId="6200" xr:uid="{00000000-0005-0000-0000-000001150000}"/>
    <cellStyle name="Normal 10 2 16 2 4" xfId="6201" xr:uid="{00000000-0005-0000-0000-000002150000}"/>
    <cellStyle name="Normal 10 2 16 3" xfId="6202" xr:uid="{00000000-0005-0000-0000-000003150000}"/>
    <cellStyle name="Normal 10 2 16 3 2" xfId="6203" xr:uid="{00000000-0005-0000-0000-000004150000}"/>
    <cellStyle name="Normal 10 2 16 3 3" xfId="6204" xr:uid="{00000000-0005-0000-0000-000005150000}"/>
    <cellStyle name="Normal 10 2 16 3 4" xfId="6205" xr:uid="{00000000-0005-0000-0000-000006150000}"/>
    <cellStyle name="Normal 10 2 16 4" xfId="6206" xr:uid="{00000000-0005-0000-0000-000007150000}"/>
    <cellStyle name="Normal 10 2 16 5" xfId="6207" xr:uid="{00000000-0005-0000-0000-000008150000}"/>
    <cellStyle name="Normal 10 2 16 6" xfId="6208" xr:uid="{00000000-0005-0000-0000-000009150000}"/>
    <cellStyle name="Normal 10 2 17" xfId="6209" xr:uid="{00000000-0005-0000-0000-00000A150000}"/>
    <cellStyle name="Normal 10 2 17 2" xfId="6210" xr:uid="{00000000-0005-0000-0000-00000B150000}"/>
    <cellStyle name="Normal 10 2 17 2 2" xfId="6211" xr:uid="{00000000-0005-0000-0000-00000C150000}"/>
    <cellStyle name="Normal 10 2 17 2 3" xfId="6212" xr:uid="{00000000-0005-0000-0000-00000D150000}"/>
    <cellStyle name="Normal 10 2 17 2 4" xfId="6213" xr:uid="{00000000-0005-0000-0000-00000E150000}"/>
    <cellStyle name="Normal 10 2 17 3" xfId="6214" xr:uid="{00000000-0005-0000-0000-00000F150000}"/>
    <cellStyle name="Normal 10 2 17 3 2" xfId="6215" xr:uid="{00000000-0005-0000-0000-000010150000}"/>
    <cellStyle name="Normal 10 2 17 3 3" xfId="6216" xr:uid="{00000000-0005-0000-0000-000011150000}"/>
    <cellStyle name="Normal 10 2 17 3 4" xfId="6217" xr:uid="{00000000-0005-0000-0000-000012150000}"/>
    <cellStyle name="Normal 10 2 17 4" xfId="6218" xr:uid="{00000000-0005-0000-0000-000013150000}"/>
    <cellStyle name="Normal 10 2 17 5" xfId="6219" xr:uid="{00000000-0005-0000-0000-000014150000}"/>
    <cellStyle name="Normal 10 2 17 6" xfId="6220" xr:uid="{00000000-0005-0000-0000-000015150000}"/>
    <cellStyle name="Normal 10 2 18" xfId="6221" xr:uid="{00000000-0005-0000-0000-000016150000}"/>
    <cellStyle name="Normal 10 2 18 2" xfId="6222" xr:uid="{00000000-0005-0000-0000-000017150000}"/>
    <cellStyle name="Normal 10 2 18 3" xfId="6223" xr:uid="{00000000-0005-0000-0000-000018150000}"/>
    <cellStyle name="Normal 10 2 18 4" xfId="6224" xr:uid="{00000000-0005-0000-0000-000019150000}"/>
    <cellStyle name="Normal 10 2 19" xfId="6225" xr:uid="{00000000-0005-0000-0000-00001A150000}"/>
    <cellStyle name="Normal 10 2 19 2" xfId="6226" xr:uid="{00000000-0005-0000-0000-00001B150000}"/>
    <cellStyle name="Normal 10 2 19 3" xfId="6227" xr:uid="{00000000-0005-0000-0000-00001C150000}"/>
    <cellStyle name="Normal 10 2 19 4" xfId="6228" xr:uid="{00000000-0005-0000-0000-00001D150000}"/>
    <cellStyle name="Normal 10 2 2" xfId="6229" xr:uid="{00000000-0005-0000-0000-00001E150000}"/>
    <cellStyle name="Normal 10 2 2 2" xfId="6230" xr:uid="{00000000-0005-0000-0000-00001F150000}"/>
    <cellStyle name="Normal 10 2 2 2 2" xfId="6231" xr:uid="{00000000-0005-0000-0000-000020150000}"/>
    <cellStyle name="Normal 10 2 2 2 3" xfId="6232" xr:uid="{00000000-0005-0000-0000-000021150000}"/>
    <cellStyle name="Normal 10 2 2 2 4" xfId="6233" xr:uid="{00000000-0005-0000-0000-000022150000}"/>
    <cellStyle name="Normal 10 2 2 3" xfId="6234" xr:uid="{00000000-0005-0000-0000-000023150000}"/>
    <cellStyle name="Normal 10 2 2 3 2" xfId="6235" xr:uid="{00000000-0005-0000-0000-000024150000}"/>
    <cellStyle name="Normal 10 2 2 3 3" xfId="6236" xr:uid="{00000000-0005-0000-0000-000025150000}"/>
    <cellStyle name="Normal 10 2 2 3 4" xfId="6237" xr:uid="{00000000-0005-0000-0000-000026150000}"/>
    <cellStyle name="Normal 10 2 2 4" xfId="6238" xr:uid="{00000000-0005-0000-0000-000027150000}"/>
    <cellStyle name="Normal 10 2 2 5" xfId="6239" xr:uid="{00000000-0005-0000-0000-000028150000}"/>
    <cellStyle name="Normal 10 2 2 6" xfId="6240" xr:uid="{00000000-0005-0000-0000-000029150000}"/>
    <cellStyle name="Normal 10 2 20" xfId="6241" xr:uid="{00000000-0005-0000-0000-00002A150000}"/>
    <cellStyle name="Normal 10 2 20 2" xfId="6242" xr:uid="{00000000-0005-0000-0000-00002B150000}"/>
    <cellStyle name="Normal 10 2 20 3" xfId="6243" xr:uid="{00000000-0005-0000-0000-00002C150000}"/>
    <cellStyle name="Normal 10 2 20 4" xfId="6244" xr:uid="{00000000-0005-0000-0000-00002D150000}"/>
    <cellStyle name="Normal 10 2 21" xfId="6245" xr:uid="{00000000-0005-0000-0000-00002E150000}"/>
    <cellStyle name="Normal 10 2 22" xfId="6246" xr:uid="{00000000-0005-0000-0000-00002F150000}"/>
    <cellStyle name="Normal 10 2 23" xfId="6247" xr:uid="{00000000-0005-0000-0000-000030150000}"/>
    <cellStyle name="Normal 10 2 24" xfId="6248" xr:uid="{00000000-0005-0000-0000-000031150000}"/>
    <cellStyle name="Normal 10 2 3" xfId="6249" xr:uid="{00000000-0005-0000-0000-000032150000}"/>
    <cellStyle name="Normal 10 2 3 2" xfId="6250" xr:uid="{00000000-0005-0000-0000-000033150000}"/>
    <cellStyle name="Normal 10 2 3 2 2" xfId="6251" xr:uid="{00000000-0005-0000-0000-000034150000}"/>
    <cellStyle name="Normal 10 2 3 2 3" xfId="6252" xr:uid="{00000000-0005-0000-0000-000035150000}"/>
    <cellStyle name="Normal 10 2 3 2 4" xfId="6253" xr:uid="{00000000-0005-0000-0000-000036150000}"/>
    <cellStyle name="Normal 10 2 3 3" xfId="6254" xr:uid="{00000000-0005-0000-0000-000037150000}"/>
    <cellStyle name="Normal 10 2 3 3 2" xfId="6255" xr:uid="{00000000-0005-0000-0000-000038150000}"/>
    <cellStyle name="Normal 10 2 3 3 3" xfId="6256" xr:uid="{00000000-0005-0000-0000-000039150000}"/>
    <cellStyle name="Normal 10 2 3 3 4" xfId="6257" xr:uid="{00000000-0005-0000-0000-00003A150000}"/>
    <cellStyle name="Normal 10 2 3 4" xfId="6258" xr:uid="{00000000-0005-0000-0000-00003B150000}"/>
    <cellStyle name="Normal 10 2 3 5" xfId="6259" xr:uid="{00000000-0005-0000-0000-00003C150000}"/>
    <cellStyle name="Normal 10 2 3 6" xfId="6260" xr:uid="{00000000-0005-0000-0000-00003D150000}"/>
    <cellStyle name="Normal 10 2 4" xfId="6261" xr:uid="{00000000-0005-0000-0000-00003E150000}"/>
    <cellStyle name="Normal 10 2 4 2" xfId="6262" xr:uid="{00000000-0005-0000-0000-00003F150000}"/>
    <cellStyle name="Normal 10 2 4 2 2" xfId="6263" xr:uid="{00000000-0005-0000-0000-000040150000}"/>
    <cellStyle name="Normal 10 2 4 2 3" xfId="6264" xr:uid="{00000000-0005-0000-0000-000041150000}"/>
    <cellStyle name="Normal 10 2 4 2 4" xfId="6265" xr:uid="{00000000-0005-0000-0000-000042150000}"/>
    <cellStyle name="Normal 10 2 4 3" xfId="6266" xr:uid="{00000000-0005-0000-0000-000043150000}"/>
    <cellStyle name="Normal 10 2 4 3 2" xfId="6267" xr:uid="{00000000-0005-0000-0000-000044150000}"/>
    <cellStyle name="Normal 10 2 4 3 3" xfId="6268" xr:uid="{00000000-0005-0000-0000-000045150000}"/>
    <cellStyle name="Normal 10 2 4 3 4" xfId="6269" xr:uid="{00000000-0005-0000-0000-000046150000}"/>
    <cellStyle name="Normal 10 2 4 4" xfId="6270" xr:uid="{00000000-0005-0000-0000-000047150000}"/>
    <cellStyle name="Normal 10 2 4 5" xfId="6271" xr:uid="{00000000-0005-0000-0000-000048150000}"/>
    <cellStyle name="Normal 10 2 4 6" xfId="6272" xr:uid="{00000000-0005-0000-0000-000049150000}"/>
    <cellStyle name="Normal 10 2 5" xfId="6273" xr:uid="{00000000-0005-0000-0000-00004A150000}"/>
    <cellStyle name="Normal 10 2 5 2" xfId="6274" xr:uid="{00000000-0005-0000-0000-00004B150000}"/>
    <cellStyle name="Normal 10 2 5 2 2" xfId="6275" xr:uid="{00000000-0005-0000-0000-00004C150000}"/>
    <cellStyle name="Normal 10 2 5 2 3" xfId="6276" xr:uid="{00000000-0005-0000-0000-00004D150000}"/>
    <cellStyle name="Normal 10 2 5 2 4" xfId="6277" xr:uid="{00000000-0005-0000-0000-00004E150000}"/>
    <cellStyle name="Normal 10 2 5 3" xfId="6278" xr:uid="{00000000-0005-0000-0000-00004F150000}"/>
    <cellStyle name="Normal 10 2 5 3 2" xfId="6279" xr:uid="{00000000-0005-0000-0000-000050150000}"/>
    <cellStyle name="Normal 10 2 5 3 3" xfId="6280" xr:uid="{00000000-0005-0000-0000-000051150000}"/>
    <cellStyle name="Normal 10 2 5 3 4" xfId="6281" xr:uid="{00000000-0005-0000-0000-000052150000}"/>
    <cellStyle name="Normal 10 2 5 4" xfId="6282" xr:uid="{00000000-0005-0000-0000-000053150000}"/>
    <cellStyle name="Normal 10 2 5 5" xfId="6283" xr:uid="{00000000-0005-0000-0000-000054150000}"/>
    <cellStyle name="Normal 10 2 5 6" xfId="6284" xr:uid="{00000000-0005-0000-0000-000055150000}"/>
    <cellStyle name="Normal 10 2 6" xfId="6285" xr:uid="{00000000-0005-0000-0000-000056150000}"/>
    <cellStyle name="Normal 10 2 6 2" xfId="6286" xr:uid="{00000000-0005-0000-0000-000057150000}"/>
    <cellStyle name="Normal 10 2 6 2 2" xfId="6287" xr:uid="{00000000-0005-0000-0000-000058150000}"/>
    <cellStyle name="Normal 10 2 6 2 3" xfId="6288" xr:uid="{00000000-0005-0000-0000-000059150000}"/>
    <cellStyle name="Normal 10 2 6 2 4" xfId="6289" xr:uid="{00000000-0005-0000-0000-00005A150000}"/>
    <cellStyle name="Normal 10 2 6 3" xfId="6290" xr:uid="{00000000-0005-0000-0000-00005B150000}"/>
    <cellStyle name="Normal 10 2 6 3 2" xfId="6291" xr:uid="{00000000-0005-0000-0000-00005C150000}"/>
    <cellStyle name="Normal 10 2 6 3 3" xfId="6292" xr:uid="{00000000-0005-0000-0000-00005D150000}"/>
    <cellStyle name="Normal 10 2 6 3 4" xfId="6293" xr:uid="{00000000-0005-0000-0000-00005E150000}"/>
    <cellStyle name="Normal 10 2 6 4" xfId="6294" xr:uid="{00000000-0005-0000-0000-00005F150000}"/>
    <cellStyle name="Normal 10 2 6 5" xfId="6295" xr:uid="{00000000-0005-0000-0000-000060150000}"/>
    <cellStyle name="Normal 10 2 6 6" xfId="6296" xr:uid="{00000000-0005-0000-0000-000061150000}"/>
    <cellStyle name="Normal 10 2 7" xfId="6297" xr:uid="{00000000-0005-0000-0000-000062150000}"/>
    <cellStyle name="Normal 10 2 7 2" xfId="6298" xr:uid="{00000000-0005-0000-0000-000063150000}"/>
    <cellStyle name="Normal 10 2 7 2 2" xfId="6299" xr:uid="{00000000-0005-0000-0000-000064150000}"/>
    <cellStyle name="Normal 10 2 7 2 3" xfId="6300" xr:uid="{00000000-0005-0000-0000-000065150000}"/>
    <cellStyle name="Normal 10 2 7 2 4" xfId="6301" xr:uid="{00000000-0005-0000-0000-000066150000}"/>
    <cellStyle name="Normal 10 2 7 3" xfId="6302" xr:uid="{00000000-0005-0000-0000-000067150000}"/>
    <cellStyle name="Normal 10 2 7 3 2" xfId="6303" xr:uid="{00000000-0005-0000-0000-000068150000}"/>
    <cellStyle name="Normal 10 2 7 3 3" xfId="6304" xr:uid="{00000000-0005-0000-0000-000069150000}"/>
    <cellStyle name="Normal 10 2 7 3 4" xfId="6305" xr:uid="{00000000-0005-0000-0000-00006A150000}"/>
    <cellStyle name="Normal 10 2 7 4" xfId="6306" xr:uid="{00000000-0005-0000-0000-00006B150000}"/>
    <cellStyle name="Normal 10 2 7 5" xfId="6307" xr:uid="{00000000-0005-0000-0000-00006C150000}"/>
    <cellStyle name="Normal 10 2 7 6" xfId="6308" xr:uid="{00000000-0005-0000-0000-00006D150000}"/>
    <cellStyle name="Normal 10 2 8" xfId="6309" xr:uid="{00000000-0005-0000-0000-00006E150000}"/>
    <cellStyle name="Normal 10 2 8 2" xfId="6310" xr:uid="{00000000-0005-0000-0000-00006F150000}"/>
    <cellStyle name="Normal 10 2 8 2 2" xfId="6311" xr:uid="{00000000-0005-0000-0000-000070150000}"/>
    <cellStyle name="Normal 10 2 8 2 3" xfId="6312" xr:uid="{00000000-0005-0000-0000-000071150000}"/>
    <cellStyle name="Normal 10 2 8 2 4" xfId="6313" xr:uid="{00000000-0005-0000-0000-000072150000}"/>
    <cellStyle name="Normal 10 2 8 3" xfId="6314" xr:uid="{00000000-0005-0000-0000-000073150000}"/>
    <cellStyle name="Normal 10 2 8 3 2" xfId="6315" xr:uid="{00000000-0005-0000-0000-000074150000}"/>
    <cellStyle name="Normal 10 2 8 3 3" xfId="6316" xr:uid="{00000000-0005-0000-0000-000075150000}"/>
    <cellStyle name="Normal 10 2 8 3 4" xfId="6317" xr:uid="{00000000-0005-0000-0000-000076150000}"/>
    <cellStyle name="Normal 10 2 8 4" xfId="6318" xr:uid="{00000000-0005-0000-0000-000077150000}"/>
    <cellStyle name="Normal 10 2 8 5" xfId="6319" xr:uid="{00000000-0005-0000-0000-000078150000}"/>
    <cellStyle name="Normal 10 2 8 6" xfId="6320" xr:uid="{00000000-0005-0000-0000-000079150000}"/>
    <cellStyle name="Normal 10 2 9" xfId="6321" xr:uid="{00000000-0005-0000-0000-00007A150000}"/>
    <cellStyle name="Normal 10 2 9 2" xfId="6322" xr:uid="{00000000-0005-0000-0000-00007B150000}"/>
    <cellStyle name="Normal 10 2 9 2 2" xfId="6323" xr:uid="{00000000-0005-0000-0000-00007C150000}"/>
    <cellStyle name="Normal 10 2 9 2 3" xfId="6324" xr:uid="{00000000-0005-0000-0000-00007D150000}"/>
    <cellStyle name="Normal 10 2 9 2 4" xfId="6325" xr:uid="{00000000-0005-0000-0000-00007E150000}"/>
    <cellStyle name="Normal 10 2 9 3" xfId="6326" xr:uid="{00000000-0005-0000-0000-00007F150000}"/>
    <cellStyle name="Normal 10 2 9 3 2" xfId="6327" xr:uid="{00000000-0005-0000-0000-000080150000}"/>
    <cellStyle name="Normal 10 2 9 3 3" xfId="6328" xr:uid="{00000000-0005-0000-0000-000081150000}"/>
    <cellStyle name="Normal 10 2 9 3 4" xfId="6329" xr:uid="{00000000-0005-0000-0000-000082150000}"/>
    <cellStyle name="Normal 10 2 9 4" xfId="6330" xr:uid="{00000000-0005-0000-0000-000083150000}"/>
    <cellStyle name="Normal 10 2 9 5" xfId="6331" xr:uid="{00000000-0005-0000-0000-000084150000}"/>
    <cellStyle name="Normal 10 2 9 6" xfId="6332" xr:uid="{00000000-0005-0000-0000-000085150000}"/>
    <cellStyle name="Normal 10 20" xfId="6333" xr:uid="{00000000-0005-0000-0000-000086150000}"/>
    <cellStyle name="Normal 10 20 10" xfId="6334" xr:uid="{00000000-0005-0000-0000-000087150000}"/>
    <cellStyle name="Normal 10 20 11" xfId="6335" xr:uid="{00000000-0005-0000-0000-000088150000}"/>
    <cellStyle name="Normal 10 20 12" xfId="6336" xr:uid="{00000000-0005-0000-0000-000089150000}"/>
    <cellStyle name="Normal 10 20 13" xfId="6337" xr:uid="{00000000-0005-0000-0000-00008A150000}"/>
    <cellStyle name="Normal 10 20 2" xfId="6338" xr:uid="{00000000-0005-0000-0000-00008B150000}"/>
    <cellStyle name="Normal 10 20 2 2" xfId="6339" xr:uid="{00000000-0005-0000-0000-00008C150000}"/>
    <cellStyle name="Normal 10 20 2 3" xfId="6340" xr:uid="{00000000-0005-0000-0000-00008D150000}"/>
    <cellStyle name="Normal 10 20 2 4" xfId="6341" xr:uid="{00000000-0005-0000-0000-00008E150000}"/>
    <cellStyle name="Normal 10 20 2 5" xfId="6342" xr:uid="{00000000-0005-0000-0000-00008F150000}"/>
    <cellStyle name="Normal 10 20 2 6" xfId="6343" xr:uid="{00000000-0005-0000-0000-000090150000}"/>
    <cellStyle name="Normal 10 20 3" xfId="6344" xr:uid="{00000000-0005-0000-0000-000091150000}"/>
    <cellStyle name="Normal 10 20 3 2" xfId="6345" xr:uid="{00000000-0005-0000-0000-000092150000}"/>
    <cellStyle name="Normal 10 20 3 3" xfId="6346" xr:uid="{00000000-0005-0000-0000-000093150000}"/>
    <cellStyle name="Normal 10 20 3 4" xfId="6347" xr:uid="{00000000-0005-0000-0000-000094150000}"/>
    <cellStyle name="Normal 10 20 3 5" xfId="6348" xr:uid="{00000000-0005-0000-0000-000095150000}"/>
    <cellStyle name="Normal 10 20 3 6" xfId="6349" xr:uid="{00000000-0005-0000-0000-000096150000}"/>
    <cellStyle name="Normal 10 20 4" xfId="6350" xr:uid="{00000000-0005-0000-0000-000097150000}"/>
    <cellStyle name="Normal 10 20 4 2" xfId="6351" xr:uid="{00000000-0005-0000-0000-000098150000}"/>
    <cellStyle name="Normal 10 20 4 3" xfId="6352" xr:uid="{00000000-0005-0000-0000-000099150000}"/>
    <cellStyle name="Normal 10 20 4 4" xfId="6353" xr:uid="{00000000-0005-0000-0000-00009A150000}"/>
    <cellStyle name="Normal 10 20 4 5" xfId="6354" xr:uid="{00000000-0005-0000-0000-00009B150000}"/>
    <cellStyle name="Normal 10 20 4 6" xfId="6355" xr:uid="{00000000-0005-0000-0000-00009C150000}"/>
    <cellStyle name="Normal 10 20 5" xfId="6356" xr:uid="{00000000-0005-0000-0000-00009D150000}"/>
    <cellStyle name="Normal 10 20 5 2" xfId="6357" xr:uid="{00000000-0005-0000-0000-00009E150000}"/>
    <cellStyle name="Normal 10 20 5 3" xfId="6358" xr:uid="{00000000-0005-0000-0000-00009F150000}"/>
    <cellStyle name="Normal 10 20 5 4" xfId="6359" xr:uid="{00000000-0005-0000-0000-0000A0150000}"/>
    <cellStyle name="Normal 10 20 5 5" xfId="6360" xr:uid="{00000000-0005-0000-0000-0000A1150000}"/>
    <cellStyle name="Normal 10 20 5 6" xfId="6361" xr:uid="{00000000-0005-0000-0000-0000A2150000}"/>
    <cellStyle name="Normal 10 20 6" xfId="6362" xr:uid="{00000000-0005-0000-0000-0000A3150000}"/>
    <cellStyle name="Normal 10 20 6 2" xfId="6363" xr:uid="{00000000-0005-0000-0000-0000A4150000}"/>
    <cellStyle name="Normal 10 20 6 3" xfId="6364" xr:uid="{00000000-0005-0000-0000-0000A5150000}"/>
    <cellStyle name="Normal 10 20 6 4" xfId="6365" xr:uid="{00000000-0005-0000-0000-0000A6150000}"/>
    <cellStyle name="Normal 10 20 6 5" xfId="6366" xr:uid="{00000000-0005-0000-0000-0000A7150000}"/>
    <cellStyle name="Normal 10 20 6 6" xfId="6367" xr:uid="{00000000-0005-0000-0000-0000A8150000}"/>
    <cellStyle name="Normal 10 20 7" xfId="6368" xr:uid="{00000000-0005-0000-0000-0000A9150000}"/>
    <cellStyle name="Normal 10 20 7 2" xfId="6369" xr:uid="{00000000-0005-0000-0000-0000AA150000}"/>
    <cellStyle name="Normal 10 20 7 3" xfId="6370" xr:uid="{00000000-0005-0000-0000-0000AB150000}"/>
    <cellStyle name="Normal 10 20 7 4" xfId="6371" xr:uid="{00000000-0005-0000-0000-0000AC150000}"/>
    <cellStyle name="Normal 10 20 7 5" xfId="6372" xr:uid="{00000000-0005-0000-0000-0000AD150000}"/>
    <cellStyle name="Normal 10 20 7 6" xfId="6373" xr:uid="{00000000-0005-0000-0000-0000AE150000}"/>
    <cellStyle name="Normal 10 20 8" xfId="6374" xr:uid="{00000000-0005-0000-0000-0000AF150000}"/>
    <cellStyle name="Normal 10 20 8 2" xfId="6375" xr:uid="{00000000-0005-0000-0000-0000B0150000}"/>
    <cellStyle name="Normal 10 20 8 3" xfId="6376" xr:uid="{00000000-0005-0000-0000-0000B1150000}"/>
    <cellStyle name="Normal 10 20 8 4" xfId="6377" xr:uid="{00000000-0005-0000-0000-0000B2150000}"/>
    <cellStyle name="Normal 10 20 8 5" xfId="6378" xr:uid="{00000000-0005-0000-0000-0000B3150000}"/>
    <cellStyle name="Normal 10 20 8 6" xfId="6379" xr:uid="{00000000-0005-0000-0000-0000B4150000}"/>
    <cellStyle name="Normal 10 20 9" xfId="6380" xr:uid="{00000000-0005-0000-0000-0000B5150000}"/>
    <cellStyle name="Normal 10 21" xfId="6381" xr:uid="{00000000-0005-0000-0000-0000B6150000}"/>
    <cellStyle name="Normal 10 21 10" xfId="6382" xr:uid="{00000000-0005-0000-0000-0000B7150000}"/>
    <cellStyle name="Normal 10 21 11" xfId="6383" xr:uid="{00000000-0005-0000-0000-0000B8150000}"/>
    <cellStyle name="Normal 10 21 12" xfId="6384" xr:uid="{00000000-0005-0000-0000-0000B9150000}"/>
    <cellStyle name="Normal 10 21 13" xfId="6385" xr:uid="{00000000-0005-0000-0000-0000BA150000}"/>
    <cellStyle name="Normal 10 21 2" xfId="6386" xr:uid="{00000000-0005-0000-0000-0000BB150000}"/>
    <cellStyle name="Normal 10 21 2 2" xfId="6387" xr:uid="{00000000-0005-0000-0000-0000BC150000}"/>
    <cellStyle name="Normal 10 21 2 3" xfId="6388" xr:uid="{00000000-0005-0000-0000-0000BD150000}"/>
    <cellStyle name="Normal 10 21 2 4" xfId="6389" xr:uid="{00000000-0005-0000-0000-0000BE150000}"/>
    <cellStyle name="Normal 10 21 2 5" xfId="6390" xr:uid="{00000000-0005-0000-0000-0000BF150000}"/>
    <cellStyle name="Normal 10 21 2 6" xfId="6391" xr:uid="{00000000-0005-0000-0000-0000C0150000}"/>
    <cellStyle name="Normal 10 21 3" xfId="6392" xr:uid="{00000000-0005-0000-0000-0000C1150000}"/>
    <cellStyle name="Normal 10 21 3 2" xfId="6393" xr:uid="{00000000-0005-0000-0000-0000C2150000}"/>
    <cellStyle name="Normal 10 21 3 3" xfId="6394" xr:uid="{00000000-0005-0000-0000-0000C3150000}"/>
    <cellStyle name="Normal 10 21 3 4" xfId="6395" xr:uid="{00000000-0005-0000-0000-0000C4150000}"/>
    <cellStyle name="Normal 10 21 3 5" xfId="6396" xr:uid="{00000000-0005-0000-0000-0000C5150000}"/>
    <cellStyle name="Normal 10 21 3 6" xfId="6397" xr:uid="{00000000-0005-0000-0000-0000C6150000}"/>
    <cellStyle name="Normal 10 21 4" xfId="6398" xr:uid="{00000000-0005-0000-0000-0000C7150000}"/>
    <cellStyle name="Normal 10 21 4 2" xfId="6399" xr:uid="{00000000-0005-0000-0000-0000C8150000}"/>
    <cellStyle name="Normal 10 21 4 3" xfId="6400" xr:uid="{00000000-0005-0000-0000-0000C9150000}"/>
    <cellStyle name="Normal 10 21 4 4" xfId="6401" xr:uid="{00000000-0005-0000-0000-0000CA150000}"/>
    <cellStyle name="Normal 10 21 4 5" xfId="6402" xr:uid="{00000000-0005-0000-0000-0000CB150000}"/>
    <cellStyle name="Normal 10 21 4 6" xfId="6403" xr:uid="{00000000-0005-0000-0000-0000CC150000}"/>
    <cellStyle name="Normal 10 21 5" xfId="6404" xr:uid="{00000000-0005-0000-0000-0000CD150000}"/>
    <cellStyle name="Normal 10 21 5 2" xfId="6405" xr:uid="{00000000-0005-0000-0000-0000CE150000}"/>
    <cellStyle name="Normal 10 21 5 3" xfId="6406" xr:uid="{00000000-0005-0000-0000-0000CF150000}"/>
    <cellStyle name="Normal 10 21 5 4" xfId="6407" xr:uid="{00000000-0005-0000-0000-0000D0150000}"/>
    <cellStyle name="Normal 10 21 5 5" xfId="6408" xr:uid="{00000000-0005-0000-0000-0000D1150000}"/>
    <cellStyle name="Normal 10 21 5 6" xfId="6409" xr:uid="{00000000-0005-0000-0000-0000D2150000}"/>
    <cellStyle name="Normal 10 21 6" xfId="6410" xr:uid="{00000000-0005-0000-0000-0000D3150000}"/>
    <cellStyle name="Normal 10 21 6 2" xfId="6411" xr:uid="{00000000-0005-0000-0000-0000D4150000}"/>
    <cellStyle name="Normal 10 21 6 3" xfId="6412" xr:uid="{00000000-0005-0000-0000-0000D5150000}"/>
    <cellStyle name="Normal 10 21 6 4" xfId="6413" xr:uid="{00000000-0005-0000-0000-0000D6150000}"/>
    <cellStyle name="Normal 10 21 6 5" xfId="6414" xr:uid="{00000000-0005-0000-0000-0000D7150000}"/>
    <cellStyle name="Normal 10 21 6 6" xfId="6415" xr:uid="{00000000-0005-0000-0000-0000D8150000}"/>
    <cellStyle name="Normal 10 21 7" xfId="6416" xr:uid="{00000000-0005-0000-0000-0000D9150000}"/>
    <cellStyle name="Normal 10 21 7 2" xfId="6417" xr:uid="{00000000-0005-0000-0000-0000DA150000}"/>
    <cellStyle name="Normal 10 21 7 3" xfId="6418" xr:uid="{00000000-0005-0000-0000-0000DB150000}"/>
    <cellStyle name="Normal 10 21 7 4" xfId="6419" xr:uid="{00000000-0005-0000-0000-0000DC150000}"/>
    <cellStyle name="Normal 10 21 7 5" xfId="6420" xr:uid="{00000000-0005-0000-0000-0000DD150000}"/>
    <cellStyle name="Normal 10 21 7 6" xfId="6421" xr:uid="{00000000-0005-0000-0000-0000DE150000}"/>
    <cellStyle name="Normal 10 21 8" xfId="6422" xr:uid="{00000000-0005-0000-0000-0000DF150000}"/>
    <cellStyle name="Normal 10 21 8 2" xfId="6423" xr:uid="{00000000-0005-0000-0000-0000E0150000}"/>
    <cellStyle name="Normal 10 21 8 3" xfId="6424" xr:uid="{00000000-0005-0000-0000-0000E1150000}"/>
    <cellStyle name="Normal 10 21 8 4" xfId="6425" xr:uid="{00000000-0005-0000-0000-0000E2150000}"/>
    <cellStyle name="Normal 10 21 8 5" xfId="6426" xr:uid="{00000000-0005-0000-0000-0000E3150000}"/>
    <cellStyle name="Normal 10 21 8 6" xfId="6427" xr:uid="{00000000-0005-0000-0000-0000E4150000}"/>
    <cellStyle name="Normal 10 21 9" xfId="6428" xr:uid="{00000000-0005-0000-0000-0000E5150000}"/>
    <cellStyle name="Normal 10 22" xfId="6429" xr:uid="{00000000-0005-0000-0000-0000E6150000}"/>
    <cellStyle name="Normal 10 22 10" xfId="6430" xr:uid="{00000000-0005-0000-0000-0000E7150000}"/>
    <cellStyle name="Normal 10 22 11" xfId="6431" xr:uid="{00000000-0005-0000-0000-0000E8150000}"/>
    <cellStyle name="Normal 10 22 12" xfId="6432" xr:uid="{00000000-0005-0000-0000-0000E9150000}"/>
    <cellStyle name="Normal 10 22 13" xfId="6433" xr:uid="{00000000-0005-0000-0000-0000EA150000}"/>
    <cellStyle name="Normal 10 22 2" xfId="6434" xr:uid="{00000000-0005-0000-0000-0000EB150000}"/>
    <cellStyle name="Normal 10 22 2 2" xfId="6435" xr:uid="{00000000-0005-0000-0000-0000EC150000}"/>
    <cellStyle name="Normal 10 22 2 3" xfId="6436" xr:uid="{00000000-0005-0000-0000-0000ED150000}"/>
    <cellStyle name="Normal 10 22 2 4" xfId="6437" xr:uid="{00000000-0005-0000-0000-0000EE150000}"/>
    <cellStyle name="Normal 10 22 2 5" xfId="6438" xr:uid="{00000000-0005-0000-0000-0000EF150000}"/>
    <cellStyle name="Normal 10 22 2 6" xfId="6439" xr:uid="{00000000-0005-0000-0000-0000F0150000}"/>
    <cellStyle name="Normal 10 22 3" xfId="6440" xr:uid="{00000000-0005-0000-0000-0000F1150000}"/>
    <cellStyle name="Normal 10 22 3 2" xfId="6441" xr:uid="{00000000-0005-0000-0000-0000F2150000}"/>
    <cellStyle name="Normal 10 22 3 3" xfId="6442" xr:uid="{00000000-0005-0000-0000-0000F3150000}"/>
    <cellStyle name="Normal 10 22 3 4" xfId="6443" xr:uid="{00000000-0005-0000-0000-0000F4150000}"/>
    <cellStyle name="Normal 10 22 3 5" xfId="6444" xr:uid="{00000000-0005-0000-0000-0000F5150000}"/>
    <cellStyle name="Normal 10 22 3 6" xfId="6445" xr:uid="{00000000-0005-0000-0000-0000F6150000}"/>
    <cellStyle name="Normal 10 22 4" xfId="6446" xr:uid="{00000000-0005-0000-0000-0000F7150000}"/>
    <cellStyle name="Normal 10 22 4 2" xfId="6447" xr:uid="{00000000-0005-0000-0000-0000F8150000}"/>
    <cellStyle name="Normal 10 22 4 3" xfId="6448" xr:uid="{00000000-0005-0000-0000-0000F9150000}"/>
    <cellStyle name="Normal 10 22 4 4" xfId="6449" xr:uid="{00000000-0005-0000-0000-0000FA150000}"/>
    <cellStyle name="Normal 10 22 4 5" xfId="6450" xr:uid="{00000000-0005-0000-0000-0000FB150000}"/>
    <cellStyle name="Normal 10 22 4 6" xfId="6451" xr:uid="{00000000-0005-0000-0000-0000FC150000}"/>
    <cellStyle name="Normal 10 22 5" xfId="6452" xr:uid="{00000000-0005-0000-0000-0000FD150000}"/>
    <cellStyle name="Normal 10 22 5 2" xfId="6453" xr:uid="{00000000-0005-0000-0000-0000FE150000}"/>
    <cellStyle name="Normal 10 22 5 3" xfId="6454" xr:uid="{00000000-0005-0000-0000-0000FF150000}"/>
    <cellStyle name="Normal 10 22 5 4" xfId="6455" xr:uid="{00000000-0005-0000-0000-000000160000}"/>
    <cellStyle name="Normal 10 22 5 5" xfId="6456" xr:uid="{00000000-0005-0000-0000-000001160000}"/>
    <cellStyle name="Normal 10 22 5 6" xfId="6457" xr:uid="{00000000-0005-0000-0000-000002160000}"/>
    <cellStyle name="Normal 10 22 6" xfId="6458" xr:uid="{00000000-0005-0000-0000-000003160000}"/>
    <cellStyle name="Normal 10 22 6 2" xfId="6459" xr:uid="{00000000-0005-0000-0000-000004160000}"/>
    <cellStyle name="Normal 10 22 6 3" xfId="6460" xr:uid="{00000000-0005-0000-0000-000005160000}"/>
    <cellStyle name="Normal 10 22 6 4" xfId="6461" xr:uid="{00000000-0005-0000-0000-000006160000}"/>
    <cellStyle name="Normal 10 22 6 5" xfId="6462" xr:uid="{00000000-0005-0000-0000-000007160000}"/>
    <cellStyle name="Normal 10 22 6 6" xfId="6463" xr:uid="{00000000-0005-0000-0000-000008160000}"/>
    <cellStyle name="Normal 10 22 7" xfId="6464" xr:uid="{00000000-0005-0000-0000-000009160000}"/>
    <cellStyle name="Normal 10 22 7 2" xfId="6465" xr:uid="{00000000-0005-0000-0000-00000A160000}"/>
    <cellStyle name="Normal 10 22 7 3" xfId="6466" xr:uid="{00000000-0005-0000-0000-00000B160000}"/>
    <cellStyle name="Normal 10 22 7 4" xfId="6467" xr:uid="{00000000-0005-0000-0000-00000C160000}"/>
    <cellStyle name="Normal 10 22 7 5" xfId="6468" xr:uid="{00000000-0005-0000-0000-00000D160000}"/>
    <cellStyle name="Normal 10 22 7 6" xfId="6469" xr:uid="{00000000-0005-0000-0000-00000E160000}"/>
    <cellStyle name="Normal 10 22 8" xfId="6470" xr:uid="{00000000-0005-0000-0000-00000F160000}"/>
    <cellStyle name="Normal 10 22 8 2" xfId="6471" xr:uid="{00000000-0005-0000-0000-000010160000}"/>
    <cellStyle name="Normal 10 22 8 3" xfId="6472" xr:uid="{00000000-0005-0000-0000-000011160000}"/>
    <cellStyle name="Normal 10 22 8 4" xfId="6473" xr:uid="{00000000-0005-0000-0000-000012160000}"/>
    <cellStyle name="Normal 10 22 8 5" xfId="6474" xr:uid="{00000000-0005-0000-0000-000013160000}"/>
    <cellStyle name="Normal 10 22 8 6" xfId="6475" xr:uid="{00000000-0005-0000-0000-000014160000}"/>
    <cellStyle name="Normal 10 22 9" xfId="6476" xr:uid="{00000000-0005-0000-0000-000015160000}"/>
    <cellStyle name="Normal 10 23" xfId="6477" xr:uid="{00000000-0005-0000-0000-000016160000}"/>
    <cellStyle name="Normal 10 23 10" xfId="6478" xr:uid="{00000000-0005-0000-0000-000017160000}"/>
    <cellStyle name="Normal 10 23 11" xfId="6479" xr:uid="{00000000-0005-0000-0000-000018160000}"/>
    <cellStyle name="Normal 10 23 12" xfId="6480" xr:uid="{00000000-0005-0000-0000-000019160000}"/>
    <cellStyle name="Normal 10 23 13" xfId="6481" xr:uid="{00000000-0005-0000-0000-00001A160000}"/>
    <cellStyle name="Normal 10 23 2" xfId="6482" xr:uid="{00000000-0005-0000-0000-00001B160000}"/>
    <cellStyle name="Normal 10 23 2 2" xfId="6483" xr:uid="{00000000-0005-0000-0000-00001C160000}"/>
    <cellStyle name="Normal 10 23 2 3" xfId="6484" xr:uid="{00000000-0005-0000-0000-00001D160000}"/>
    <cellStyle name="Normal 10 23 2 4" xfId="6485" xr:uid="{00000000-0005-0000-0000-00001E160000}"/>
    <cellStyle name="Normal 10 23 2 5" xfId="6486" xr:uid="{00000000-0005-0000-0000-00001F160000}"/>
    <cellStyle name="Normal 10 23 2 6" xfId="6487" xr:uid="{00000000-0005-0000-0000-000020160000}"/>
    <cellStyle name="Normal 10 23 3" xfId="6488" xr:uid="{00000000-0005-0000-0000-000021160000}"/>
    <cellStyle name="Normal 10 23 3 2" xfId="6489" xr:uid="{00000000-0005-0000-0000-000022160000}"/>
    <cellStyle name="Normal 10 23 3 3" xfId="6490" xr:uid="{00000000-0005-0000-0000-000023160000}"/>
    <cellStyle name="Normal 10 23 3 4" xfId="6491" xr:uid="{00000000-0005-0000-0000-000024160000}"/>
    <cellStyle name="Normal 10 23 3 5" xfId="6492" xr:uid="{00000000-0005-0000-0000-000025160000}"/>
    <cellStyle name="Normal 10 23 3 6" xfId="6493" xr:uid="{00000000-0005-0000-0000-000026160000}"/>
    <cellStyle name="Normal 10 23 4" xfId="6494" xr:uid="{00000000-0005-0000-0000-000027160000}"/>
    <cellStyle name="Normal 10 23 4 2" xfId="6495" xr:uid="{00000000-0005-0000-0000-000028160000}"/>
    <cellStyle name="Normal 10 23 4 3" xfId="6496" xr:uid="{00000000-0005-0000-0000-000029160000}"/>
    <cellStyle name="Normal 10 23 4 4" xfId="6497" xr:uid="{00000000-0005-0000-0000-00002A160000}"/>
    <cellStyle name="Normal 10 23 4 5" xfId="6498" xr:uid="{00000000-0005-0000-0000-00002B160000}"/>
    <cellStyle name="Normal 10 23 4 6" xfId="6499" xr:uid="{00000000-0005-0000-0000-00002C160000}"/>
    <cellStyle name="Normal 10 23 5" xfId="6500" xr:uid="{00000000-0005-0000-0000-00002D160000}"/>
    <cellStyle name="Normal 10 23 5 2" xfId="6501" xr:uid="{00000000-0005-0000-0000-00002E160000}"/>
    <cellStyle name="Normal 10 23 5 3" xfId="6502" xr:uid="{00000000-0005-0000-0000-00002F160000}"/>
    <cellStyle name="Normal 10 23 5 4" xfId="6503" xr:uid="{00000000-0005-0000-0000-000030160000}"/>
    <cellStyle name="Normal 10 23 5 5" xfId="6504" xr:uid="{00000000-0005-0000-0000-000031160000}"/>
    <cellStyle name="Normal 10 23 5 6" xfId="6505" xr:uid="{00000000-0005-0000-0000-000032160000}"/>
    <cellStyle name="Normal 10 23 6" xfId="6506" xr:uid="{00000000-0005-0000-0000-000033160000}"/>
    <cellStyle name="Normal 10 23 6 2" xfId="6507" xr:uid="{00000000-0005-0000-0000-000034160000}"/>
    <cellStyle name="Normal 10 23 6 3" xfId="6508" xr:uid="{00000000-0005-0000-0000-000035160000}"/>
    <cellStyle name="Normal 10 23 6 4" xfId="6509" xr:uid="{00000000-0005-0000-0000-000036160000}"/>
    <cellStyle name="Normal 10 23 6 5" xfId="6510" xr:uid="{00000000-0005-0000-0000-000037160000}"/>
    <cellStyle name="Normal 10 23 6 6" xfId="6511" xr:uid="{00000000-0005-0000-0000-000038160000}"/>
    <cellStyle name="Normal 10 23 7" xfId="6512" xr:uid="{00000000-0005-0000-0000-000039160000}"/>
    <cellStyle name="Normal 10 23 7 2" xfId="6513" xr:uid="{00000000-0005-0000-0000-00003A160000}"/>
    <cellStyle name="Normal 10 23 7 3" xfId="6514" xr:uid="{00000000-0005-0000-0000-00003B160000}"/>
    <cellStyle name="Normal 10 23 7 4" xfId="6515" xr:uid="{00000000-0005-0000-0000-00003C160000}"/>
    <cellStyle name="Normal 10 23 7 5" xfId="6516" xr:uid="{00000000-0005-0000-0000-00003D160000}"/>
    <cellStyle name="Normal 10 23 7 6" xfId="6517" xr:uid="{00000000-0005-0000-0000-00003E160000}"/>
    <cellStyle name="Normal 10 23 8" xfId="6518" xr:uid="{00000000-0005-0000-0000-00003F160000}"/>
    <cellStyle name="Normal 10 23 8 2" xfId="6519" xr:uid="{00000000-0005-0000-0000-000040160000}"/>
    <cellStyle name="Normal 10 23 8 3" xfId="6520" xr:uid="{00000000-0005-0000-0000-000041160000}"/>
    <cellStyle name="Normal 10 23 8 4" xfId="6521" xr:uid="{00000000-0005-0000-0000-000042160000}"/>
    <cellStyle name="Normal 10 23 8 5" xfId="6522" xr:uid="{00000000-0005-0000-0000-000043160000}"/>
    <cellStyle name="Normal 10 23 8 6" xfId="6523" xr:uid="{00000000-0005-0000-0000-000044160000}"/>
    <cellStyle name="Normal 10 23 9" xfId="6524" xr:uid="{00000000-0005-0000-0000-000045160000}"/>
    <cellStyle name="Normal 10 24" xfId="6525" xr:uid="{00000000-0005-0000-0000-000046160000}"/>
    <cellStyle name="Normal 10 24 10" xfId="6526" xr:uid="{00000000-0005-0000-0000-000047160000}"/>
    <cellStyle name="Normal 10 24 11" xfId="6527" xr:uid="{00000000-0005-0000-0000-000048160000}"/>
    <cellStyle name="Normal 10 24 12" xfId="6528" xr:uid="{00000000-0005-0000-0000-000049160000}"/>
    <cellStyle name="Normal 10 24 13" xfId="6529" xr:uid="{00000000-0005-0000-0000-00004A160000}"/>
    <cellStyle name="Normal 10 24 2" xfId="6530" xr:uid="{00000000-0005-0000-0000-00004B160000}"/>
    <cellStyle name="Normal 10 24 2 2" xfId="6531" xr:uid="{00000000-0005-0000-0000-00004C160000}"/>
    <cellStyle name="Normal 10 24 2 3" xfId="6532" xr:uid="{00000000-0005-0000-0000-00004D160000}"/>
    <cellStyle name="Normal 10 24 2 4" xfId="6533" xr:uid="{00000000-0005-0000-0000-00004E160000}"/>
    <cellStyle name="Normal 10 24 2 5" xfId="6534" xr:uid="{00000000-0005-0000-0000-00004F160000}"/>
    <cellStyle name="Normal 10 24 2 6" xfId="6535" xr:uid="{00000000-0005-0000-0000-000050160000}"/>
    <cellStyle name="Normal 10 24 3" xfId="6536" xr:uid="{00000000-0005-0000-0000-000051160000}"/>
    <cellStyle name="Normal 10 24 3 2" xfId="6537" xr:uid="{00000000-0005-0000-0000-000052160000}"/>
    <cellStyle name="Normal 10 24 3 3" xfId="6538" xr:uid="{00000000-0005-0000-0000-000053160000}"/>
    <cellStyle name="Normal 10 24 3 4" xfId="6539" xr:uid="{00000000-0005-0000-0000-000054160000}"/>
    <cellStyle name="Normal 10 24 3 5" xfId="6540" xr:uid="{00000000-0005-0000-0000-000055160000}"/>
    <cellStyle name="Normal 10 24 3 6" xfId="6541" xr:uid="{00000000-0005-0000-0000-000056160000}"/>
    <cellStyle name="Normal 10 24 4" xfId="6542" xr:uid="{00000000-0005-0000-0000-000057160000}"/>
    <cellStyle name="Normal 10 24 4 2" xfId="6543" xr:uid="{00000000-0005-0000-0000-000058160000}"/>
    <cellStyle name="Normal 10 24 4 3" xfId="6544" xr:uid="{00000000-0005-0000-0000-000059160000}"/>
    <cellStyle name="Normal 10 24 4 4" xfId="6545" xr:uid="{00000000-0005-0000-0000-00005A160000}"/>
    <cellStyle name="Normal 10 24 4 5" xfId="6546" xr:uid="{00000000-0005-0000-0000-00005B160000}"/>
    <cellStyle name="Normal 10 24 4 6" xfId="6547" xr:uid="{00000000-0005-0000-0000-00005C160000}"/>
    <cellStyle name="Normal 10 24 5" xfId="6548" xr:uid="{00000000-0005-0000-0000-00005D160000}"/>
    <cellStyle name="Normal 10 24 5 2" xfId="6549" xr:uid="{00000000-0005-0000-0000-00005E160000}"/>
    <cellStyle name="Normal 10 24 5 3" xfId="6550" xr:uid="{00000000-0005-0000-0000-00005F160000}"/>
    <cellStyle name="Normal 10 24 5 4" xfId="6551" xr:uid="{00000000-0005-0000-0000-000060160000}"/>
    <cellStyle name="Normal 10 24 5 5" xfId="6552" xr:uid="{00000000-0005-0000-0000-000061160000}"/>
    <cellStyle name="Normal 10 24 5 6" xfId="6553" xr:uid="{00000000-0005-0000-0000-000062160000}"/>
    <cellStyle name="Normal 10 24 6" xfId="6554" xr:uid="{00000000-0005-0000-0000-000063160000}"/>
    <cellStyle name="Normal 10 24 6 2" xfId="6555" xr:uid="{00000000-0005-0000-0000-000064160000}"/>
    <cellStyle name="Normal 10 24 6 3" xfId="6556" xr:uid="{00000000-0005-0000-0000-000065160000}"/>
    <cellStyle name="Normal 10 24 6 4" xfId="6557" xr:uid="{00000000-0005-0000-0000-000066160000}"/>
    <cellStyle name="Normal 10 24 6 5" xfId="6558" xr:uid="{00000000-0005-0000-0000-000067160000}"/>
    <cellStyle name="Normal 10 24 6 6" xfId="6559" xr:uid="{00000000-0005-0000-0000-000068160000}"/>
    <cellStyle name="Normal 10 24 7" xfId="6560" xr:uid="{00000000-0005-0000-0000-000069160000}"/>
    <cellStyle name="Normal 10 24 7 2" xfId="6561" xr:uid="{00000000-0005-0000-0000-00006A160000}"/>
    <cellStyle name="Normal 10 24 7 3" xfId="6562" xr:uid="{00000000-0005-0000-0000-00006B160000}"/>
    <cellStyle name="Normal 10 24 7 4" xfId="6563" xr:uid="{00000000-0005-0000-0000-00006C160000}"/>
    <cellStyle name="Normal 10 24 7 5" xfId="6564" xr:uid="{00000000-0005-0000-0000-00006D160000}"/>
    <cellStyle name="Normal 10 24 7 6" xfId="6565" xr:uid="{00000000-0005-0000-0000-00006E160000}"/>
    <cellStyle name="Normal 10 24 8" xfId="6566" xr:uid="{00000000-0005-0000-0000-00006F160000}"/>
    <cellStyle name="Normal 10 24 8 2" xfId="6567" xr:uid="{00000000-0005-0000-0000-000070160000}"/>
    <cellStyle name="Normal 10 24 8 3" xfId="6568" xr:uid="{00000000-0005-0000-0000-000071160000}"/>
    <cellStyle name="Normal 10 24 8 4" xfId="6569" xr:uid="{00000000-0005-0000-0000-000072160000}"/>
    <cellStyle name="Normal 10 24 8 5" xfId="6570" xr:uid="{00000000-0005-0000-0000-000073160000}"/>
    <cellStyle name="Normal 10 24 8 6" xfId="6571" xr:uid="{00000000-0005-0000-0000-000074160000}"/>
    <cellStyle name="Normal 10 24 9" xfId="6572" xr:uid="{00000000-0005-0000-0000-000075160000}"/>
    <cellStyle name="Normal 10 25" xfId="6573" xr:uid="{00000000-0005-0000-0000-000076160000}"/>
    <cellStyle name="Normal 10 25 10" xfId="6574" xr:uid="{00000000-0005-0000-0000-000077160000}"/>
    <cellStyle name="Normal 10 25 11" xfId="6575" xr:uid="{00000000-0005-0000-0000-000078160000}"/>
    <cellStyle name="Normal 10 25 12" xfId="6576" xr:uid="{00000000-0005-0000-0000-000079160000}"/>
    <cellStyle name="Normal 10 25 13" xfId="6577" xr:uid="{00000000-0005-0000-0000-00007A160000}"/>
    <cellStyle name="Normal 10 25 2" xfId="6578" xr:uid="{00000000-0005-0000-0000-00007B160000}"/>
    <cellStyle name="Normal 10 25 2 2" xfId="6579" xr:uid="{00000000-0005-0000-0000-00007C160000}"/>
    <cellStyle name="Normal 10 25 2 3" xfId="6580" xr:uid="{00000000-0005-0000-0000-00007D160000}"/>
    <cellStyle name="Normal 10 25 2 4" xfId="6581" xr:uid="{00000000-0005-0000-0000-00007E160000}"/>
    <cellStyle name="Normal 10 25 2 5" xfId="6582" xr:uid="{00000000-0005-0000-0000-00007F160000}"/>
    <cellStyle name="Normal 10 25 2 6" xfId="6583" xr:uid="{00000000-0005-0000-0000-000080160000}"/>
    <cellStyle name="Normal 10 25 3" xfId="6584" xr:uid="{00000000-0005-0000-0000-000081160000}"/>
    <cellStyle name="Normal 10 25 3 2" xfId="6585" xr:uid="{00000000-0005-0000-0000-000082160000}"/>
    <cellStyle name="Normal 10 25 3 3" xfId="6586" xr:uid="{00000000-0005-0000-0000-000083160000}"/>
    <cellStyle name="Normal 10 25 3 4" xfId="6587" xr:uid="{00000000-0005-0000-0000-000084160000}"/>
    <cellStyle name="Normal 10 25 3 5" xfId="6588" xr:uid="{00000000-0005-0000-0000-000085160000}"/>
    <cellStyle name="Normal 10 25 3 6" xfId="6589" xr:uid="{00000000-0005-0000-0000-000086160000}"/>
    <cellStyle name="Normal 10 25 4" xfId="6590" xr:uid="{00000000-0005-0000-0000-000087160000}"/>
    <cellStyle name="Normal 10 25 4 2" xfId="6591" xr:uid="{00000000-0005-0000-0000-000088160000}"/>
    <cellStyle name="Normal 10 25 4 3" xfId="6592" xr:uid="{00000000-0005-0000-0000-000089160000}"/>
    <cellStyle name="Normal 10 25 4 4" xfId="6593" xr:uid="{00000000-0005-0000-0000-00008A160000}"/>
    <cellStyle name="Normal 10 25 4 5" xfId="6594" xr:uid="{00000000-0005-0000-0000-00008B160000}"/>
    <cellStyle name="Normal 10 25 4 6" xfId="6595" xr:uid="{00000000-0005-0000-0000-00008C160000}"/>
    <cellStyle name="Normal 10 25 5" xfId="6596" xr:uid="{00000000-0005-0000-0000-00008D160000}"/>
    <cellStyle name="Normal 10 25 5 2" xfId="6597" xr:uid="{00000000-0005-0000-0000-00008E160000}"/>
    <cellStyle name="Normal 10 25 5 3" xfId="6598" xr:uid="{00000000-0005-0000-0000-00008F160000}"/>
    <cellStyle name="Normal 10 25 5 4" xfId="6599" xr:uid="{00000000-0005-0000-0000-000090160000}"/>
    <cellStyle name="Normal 10 25 5 5" xfId="6600" xr:uid="{00000000-0005-0000-0000-000091160000}"/>
    <cellStyle name="Normal 10 25 5 6" xfId="6601" xr:uid="{00000000-0005-0000-0000-000092160000}"/>
    <cellStyle name="Normal 10 25 6" xfId="6602" xr:uid="{00000000-0005-0000-0000-000093160000}"/>
    <cellStyle name="Normal 10 25 6 2" xfId="6603" xr:uid="{00000000-0005-0000-0000-000094160000}"/>
    <cellStyle name="Normal 10 25 6 3" xfId="6604" xr:uid="{00000000-0005-0000-0000-000095160000}"/>
    <cellStyle name="Normal 10 25 6 4" xfId="6605" xr:uid="{00000000-0005-0000-0000-000096160000}"/>
    <cellStyle name="Normal 10 25 6 5" xfId="6606" xr:uid="{00000000-0005-0000-0000-000097160000}"/>
    <cellStyle name="Normal 10 25 6 6" xfId="6607" xr:uid="{00000000-0005-0000-0000-000098160000}"/>
    <cellStyle name="Normal 10 25 7" xfId="6608" xr:uid="{00000000-0005-0000-0000-000099160000}"/>
    <cellStyle name="Normal 10 25 7 2" xfId="6609" xr:uid="{00000000-0005-0000-0000-00009A160000}"/>
    <cellStyle name="Normal 10 25 7 3" xfId="6610" xr:uid="{00000000-0005-0000-0000-00009B160000}"/>
    <cellStyle name="Normal 10 25 7 4" xfId="6611" xr:uid="{00000000-0005-0000-0000-00009C160000}"/>
    <cellStyle name="Normal 10 25 7 5" xfId="6612" xr:uid="{00000000-0005-0000-0000-00009D160000}"/>
    <cellStyle name="Normal 10 25 7 6" xfId="6613" xr:uid="{00000000-0005-0000-0000-00009E160000}"/>
    <cellStyle name="Normal 10 25 8" xfId="6614" xr:uid="{00000000-0005-0000-0000-00009F160000}"/>
    <cellStyle name="Normal 10 25 8 2" xfId="6615" xr:uid="{00000000-0005-0000-0000-0000A0160000}"/>
    <cellStyle name="Normal 10 25 8 3" xfId="6616" xr:uid="{00000000-0005-0000-0000-0000A1160000}"/>
    <cellStyle name="Normal 10 25 8 4" xfId="6617" xr:uid="{00000000-0005-0000-0000-0000A2160000}"/>
    <cellStyle name="Normal 10 25 8 5" xfId="6618" xr:uid="{00000000-0005-0000-0000-0000A3160000}"/>
    <cellStyle name="Normal 10 25 8 6" xfId="6619" xr:uid="{00000000-0005-0000-0000-0000A4160000}"/>
    <cellStyle name="Normal 10 25 9" xfId="6620" xr:uid="{00000000-0005-0000-0000-0000A5160000}"/>
    <cellStyle name="Normal 10 26" xfId="6621" xr:uid="{00000000-0005-0000-0000-0000A6160000}"/>
    <cellStyle name="Normal 10 26 10" xfId="6622" xr:uid="{00000000-0005-0000-0000-0000A7160000}"/>
    <cellStyle name="Normal 10 26 11" xfId="6623" xr:uid="{00000000-0005-0000-0000-0000A8160000}"/>
    <cellStyle name="Normal 10 26 12" xfId="6624" xr:uid="{00000000-0005-0000-0000-0000A9160000}"/>
    <cellStyle name="Normal 10 26 13" xfId="6625" xr:uid="{00000000-0005-0000-0000-0000AA160000}"/>
    <cellStyle name="Normal 10 26 2" xfId="6626" xr:uid="{00000000-0005-0000-0000-0000AB160000}"/>
    <cellStyle name="Normal 10 26 2 2" xfId="6627" xr:uid="{00000000-0005-0000-0000-0000AC160000}"/>
    <cellStyle name="Normal 10 26 2 3" xfId="6628" xr:uid="{00000000-0005-0000-0000-0000AD160000}"/>
    <cellStyle name="Normal 10 26 2 4" xfId="6629" xr:uid="{00000000-0005-0000-0000-0000AE160000}"/>
    <cellStyle name="Normal 10 26 2 5" xfId="6630" xr:uid="{00000000-0005-0000-0000-0000AF160000}"/>
    <cellStyle name="Normal 10 26 2 6" xfId="6631" xr:uid="{00000000-0005-0000-0000-0000B0160000}"/>
    <cellStyle name="Normal 10 26 3" xfId="6632" xr:uid="{00000000-0005-0000-0000-0000B1160000}"/>
    <cellStyle name="Normal 10 26 3 2" xfId="6633" xr:uid="{00000000-0005-0000-0000-0000B2160000}"/>
    <cellStyle name="Normal 10 26 3 3" xfId="6634" xr:uid="{00000000-0005-0000-0000-0000B3160000}"/>
    <cellStyle name="Normal 10 26 3 4" xfId="6635" xr:uid="{00000000-0005-0000-0000-0000B4160000}"/>
    <cellStyle name="Normal 10 26 3 5" xfId="6636" xr:uid="{00000000-0005-0000-0000-0000B5160000}"/>
    <cellStyle name="Normal 10 26 3 6" xfId="6637" xr:uid="{00000000-0005-0000-0000-0000B6160000}"/>
    <cellStyle name="Normal 10 26 4" xfId="6638" xr:uid="{00000000-0005-0000-0000-0000B7160000}"/>
    <cellStyle name="Normal 10 26 4 2" xfId="6639" xr:uid="{00000000-0005-0000-0000-0000B8160000}"/>
    <cellStyle name="Normal 10 26 4 3" xfId="6640" xr:uid="{00000000-0005-0000-0000-0000B9160000}"/>
    <cellStyle name="Normal 10 26 4 4" xfId="6641" xr:uid="{00000000-0005-0000-0000-0000BA160000}"/>
    <cellStyle name="Normal 10 26 4 5" xfId="6642" xr:uid="{00000000-0005-0000-0000-0000BB160000}"/>
    <cellStyle name="Normal 10 26 4 6" xfId="6643" xr:uid="{00000000-0005-0000-0000-0000BC160000}"/>
    <cellStyle name="Normal 10 26 5" xfId="6644" xr:uid="{00000000-0005-0000-0000-0000BD160000}"/>
    <cellStyle name="Normal 10 26 5 2" xfId="6645" xr:uid="{00000000-0005-0000-0000-0000BE160000}"/>
    <cellStyle name="Normal 10 26 5 3" xfId="6646" xr:uid="{00000000-0005-0000-0000-0000BF160000}"/>
    <cellStyle name="Normal 10 26 5 4" xfId="6647" xr:uid="{00000000-0005-0000-0000-0000C0160000}"/>
    <cellStyle name="Normal 10 26 5 5" xfId="6648" xr:uid="{00000000-0005-0000-0000-0000C1160000}"/>
    <cellStyle name="Normal 10 26 5 6" xfId="6649" xr:uid="{00000000-0005-0000-0000-0000C2160000}"/>
    <cellStyle name="Normal 10 26 6" xfId="6650" xr:uid="{00000000-0005-0000-0000-0000C3160000}"/>
    <cellStyle name="Normal 10 26 6 2" xfId="6651" xr:uid="{00000000-0005-0000-0000-0000C4160000}"/>
    <cellStyle name="Normal 10 26 6 3" xfId="6652" xr:uid="{00000000-0005-0000-0000-0000C5160000}"/>
    <cellStyle name="Normal 10 26 6 4" xfId="6653" xr:uid="{00000000-0005-0000-0000-0000C6160000}"/>
    <cellStyle name="Normal 10 26 6 5" xfId="6654" xr:uid="{00000000-0005-0000-0000-0000C7160000}"/>
    <cellStyle name="Normal 10 26 6 6" xfId="6655" xr:uid="{00000000-0005-0000-0000-0000C8160000}"/>
    <cellStyle name="Normal 10 26 7" xfId="6656" xr:uid="{00000000-0005-0000-0000-0000C9160000}"/>
    <cellStyle name="Normal 10 26 7 2" xfId="6657" xr:uid="{00000000-0005-0000-0000-0000CA160000}"/>
    <cellStyle name="Normal 10 26 7 3" xfId="6658" xr:uid="{00000000-0005-0000-0000-0000CB160000}"/>
    <cellStyle name="Normal 10 26 7 4" xfId="6659" xr:uid="{00000000-0005-0000-0000-0000CC160000}"/>
    <cellStyle name="Normal 10 26 7 5" xfId="6660" xr:uid="{00000000-0005-0000-0000-0000CD160000}"/>
    <cellStyle name="Normal 10 26 7 6" xfId="6661" xr:uid="{00000000-0005-0000-0000-0000CE160000}"/>
    <cellStyle name="Normal 10 26 8" xfId="6662" xr:uid="{00000000-0005-0000-0000-0000CF160000}"/>
    <cellStyle name="Normal 10 26 8 2" xfId="6663" xr:uid="{00000000-0005-0000-0000-0000D0160000}"/>
    <cellStyle name="Normal 10 26 8 3" xfId="6664" xr:uid="{00000000-0005-0000-0000-0000D1160000}"/>
    <cellStyle name="Normal 10 26 8 4" xfId="6665" xr:uid="{00000000-0005-0000-0000-0000D2160000}"/>
    <cellStyle name="Normal 10 26 8 5" xfId="6666" xr:uid="{00000000-0005-0000-0000-0000D3160000}"/>
    <cellStyle name="Normal 10 26 8 6" xfId="6667" xr:uid="{00000000-0005-0000-0000-0000D4160000}"/>
    <cellStyle name="Normal 10 26 9" xfId="6668" xr:uid="{00000000-0005-0000-0000-0000D5160000}"/>
    <cellStyle name="Normal 10 27" xfId="6669" xr:uid="{00000000-0005-0000-0000-0000D6160000}"/>
    <cellStyle name="Normal 10 27 10" xfId="6670" xr:uid="{00000000-0005-0000-0000-0000D7160000}"/>
    <cellStyle name="Normal 10 27 11" xfId="6671" xr:uid="{00000000-0005-0000-0000-0000D8160000}"/>
    <cellStyle name="Normal 10 27 12" xfId="6672" xr:uid="{00000000-0005-0000-0000-0000D9160000}"/>
    <cellStyle name="Normal 10 27 13" xfId="6673" xr:uid="{00000000-0005-0000-0000-0000DA160000}"/>
    <cellStyle name="Normal 10 27 2" xfId="6674" xr:uid="{00000000-0005-0000-0000-0000DB160000}"/>
    <cellStyle name="Normal 10 27 2 2" xfId="6675" xr:uid="{00000000-0005-0000-0000-0000DC160000}"/>
    <cellStyle name="Normal 10 27 2 3" xfId="6676" xr:uid="{00000000-0005-0000-0000-0000DD160000}"/>
    <cellStyle name="Normal 10 27 2 4" xfId="6677" xr:uid="{00000000-0005-0000-0000-0000DE160000}"/>
    <cellStyle name="Normal 10 27 2 5" xfId="6678" xr:uid="{00000000-0005-0000-0000-0000DF160000}"/>
    <cellStyle name="Normal 10 27 2 6" xfId="6679" xr:uid="{00000000-0005-0000-0000-0000E0160000}"/>
    <cellStyle name="Normal 10 27 3" xfId="6680" xr:uid="{00000000-0005-0000-0000-0000E1160000}"/>
    <cellStyle name="Normal 10 27 3 2" xfId="6681" xr:uid="{00000000-0005-0000-0000-0000E2160000}"/>
    <cellStyle name="Normal 10 27 3 3" xfId="6682" xr:uid="{00000000-0005-0000-0000-0000E3160000}"/>
    <cellStyle name="Normal 10 27 3 4" xfId="6683" xr:uid="{00000000-0005-0000-0000-0000E4160000}"/>
    <cellStyle name="Normal 10 27 3 5" xfId="6684" xr:uid="{00000000-0005-0000-0000-0000E5160000}"/>
    <cellStyle name="Normal 10 27 3 6" xfId="6685" xr:uid="{00000000-0005-0000-0000-0000E6160000}"/>
    <cellStyle name="Normal 10 27 4" xfId="6686" xr:uid="{00000000-0005-0000-0000-0000E7160000}"/>
    <cellStyle name="Normal 10 27 4 2" xfId="6687" xr:uid="{00000000-0005-0000-0000-0000E8160000}"/>
    <cellStyle name="Normal 10 27 4 3" xfId="6688" xr:uid="{00000000-0005-0000-0000-0000E9160000}"/>
    <cellStyle name="Normal 10 27 4 4" xfId="6689" xr:uid="{00000000-0005-0000-0000-0000EA160000}"/>
    <cellStyle name="Normal 10 27 4 5" xfId="6690" xr:uid="{00000000-0005-0000-0000-0000EB160000}"/>
    <cellStyle name="Normal 10 27 4 6" xfId="6691" xr:uid="{00000000-0005-0000-0000-0000EC160000}"/>
    <cellStyle name="Normal 10 27 5" xfId="6692" xr:uid="{00000000-0005-0000-0000-0000ED160000}"/>
    <cellStyle name="Normal 10 27 5 2" xfId="6693" xr:uid="{00000000-0005-0000-0000-0000EE160000}"/>
    <cellStyle name="Normal 10 27 5 3" xfId="6694" xr:uid="{00000000-0005-0000-0000-0000EF160000}"/>
    <cellStyle name="Normal 10 27 5 4" xfId="6695" xr:uid="{00000000-0005-0000-0000-0000F0160000}"/>
    <cellStyle name="Normal 10 27 5 5" xfId="6696" xr:uid="{00000000-0005-0000-0000-0000F1160000}"/>
    <cellStyle name="Normal 10 27 5 6" xfId="6697" xr:uid="{00000000-0005-0000-0000-0000F2160000}"/>
    <cellStyle name="Normal 10 27 6" xfId="6698" xr:uid="{00000000-0005-0000-0000-0000F3160000}"/>
    <cellStyle name="Normal 10 27 6 2" xfId="6699" xr:uid="{00000000-0005-0000-0000-0000F4160000}"/>
    <cellStyle name="Normal 10 27 6 3" xfId="6700" xr:uid="{00000000-0005-0000-0000-0000F5160000}"/>
    <cellStyle name="Normal 10 27 6 4" xfId="6701" xr:uid="{00000000-0005-0000-0000-0000F6160000}"/>
    <cellStyle name="Normal 10 27 6 5" xfId="6702" xr:uid="{00000000-0005-0000-0000-0000F7160000}"/>
    <cellStyle name="Normal 10 27 6 6" xfId="6703" xr:uid="{00000000-0005-0000-0000-0000F8160000}"/>
    <cellStyle name="Normal 10 27 7" xfId="6704" xr:uid="{00000000-0005-0000-0000-0000F9160000}"/>
    <cellStyle name="Normal 10 27 7 2" xfId="6705" xr:uid="{00000000-0005-0000-0000-0000FA160000}"/>
    <cellStyle name="Normal 10 27 7 3" xfId="6706" xr:uid="{00000000-0005-0000-0000-0000FB160000}"/>
    <cellStyle name="Normal 10 27 7 4" xfId="6707" xr:uid="{00000000-0005-0000-0000-0000FC160000}"/>
    <cellStyle name="Normal 10 27 7 5" xfId="6708" xr:uid="{00000000-0005-0000-0000-0000FD160000}"/>
    <cellStyle name="Normal 10 27 7 6" xfId="6709" xr:uid="{00000000-0005-0000-0000-0000FE160000}"/>
    <cellStyle name="Normal 10 27 8" xfId="6710" xr:uid="{00000000-0005-0000-0000-0000FF160000}"/>
    <cellStyle name="Normal 10 27 8 2" xfId="6711" xr:uid="{00000000-0005-0000-0000-000000170000}"/>
    <cellStyle name="Normal 10 27 8 3" xfId="6712" xr:uid="{00000000-0005-0000-0000-000001170000}"/>
    <cellStyle name="Normal 10 27 8 4" xfId="6713" xr:uid="{00000000-0005-0000-0000-000002170000}"/>
    <cellStyle name="Normal 10 27 8 5" xfId="6714" xr:uid="{00000000-0005-0000-0000-000003170000}"/>
    <cellStyle name="Normal 10 27 8 6" xfId="6715" xr:uid="{00000000-0005-0000-0000-000004170000}"/>
    <cellStyle name="Normal 10 27 9" xfId="6716" xr:uid="{00000000-0005-0000-0000-000005170000}"/>
    <cellStyle name="Normal 10 28" xfId="6717" xr:uid="{00000000-0005-0000-0000-000006170000}"/>
    <cellStyle name="Normal 10 28 10" xfId="6718" xr:uid="{00000000-0005-0000-0000-000007170000}"/>
    <cellStyle name="Normal 10 28 11" xfId="6719" xr:uid="{00000000-0005-0000-0000-000008170000}"/>
    <cellStyle name="Normal 10 28 12" xfId="6720" xr:uid="{00000000-0005-0000-0000-000009170000}"/>
    <cellStyle name="Normal 10 28 13" xfId="6721" xr:uid="{00000000-0005-0000-0000-00000A170000}"/>
    <cellStyle name="Normal 10 28 2" xfId="6722" xr:uid="{00000000-0005-0000-0000-00000B170000}"/>
    <cellStyle name="Normal 10 28 2 2" xfId="6723" xr:uid="{00000000-0005-0000-0000-00000C170000}"/>
    <cellStyle name="Normal 10 28 2 3" xfId="6724" xr:uid="{00000000-0005-0000-0000-00000D170000}"/>
    <cellStyle name="Normal 10 28 2 4" xfId="6725" xr:uid="{00000000-0005-0000-0000-00000E170000}"/>
    <cellStyle name="Normal 10 28 2 5" xfId="6726" xr:uid="{00000000-0005-0000-0000-00000F170000}"/>
    <cellStyle name="Normal 10 28 2 6" xfId="6727" xr:uid="{00000000-0005-0000-0000-000010170000}"/>
    <cellStyle name="Normal 10 28 3" xfId="6728" xr:uid="{00000000-0005-0000-0000-000011170000}"/>
    <cellStyle name="Normal 10 28 3 2" xfId="6729" xr:uid="{00000000-0005-0000-0000-000012170000}"/>
    <cellStyle name="Normal 10 28 3 3" xfId="6730" xr:uid="{00000000-0005-0000-0000-000013170000}"/>
    <cellStyle name="Normal 10 28 3 4" xfId="6731" xr:uid="{00000000-0005-0000-0000-000014170000}"/>
    <cellStyle name="Normal 10 28 3 5" xfId="6732" xr:uid="{00000000-0005-0000-0000-000015170000}"/>
    <cellStyle name="Normal 10 28 3 6" xfId="6733" xr:uid="{00000000-0005-0000-0000-000016170000}"/>
    <cellStyle name="Normal 10 28 4" xfId="6734" xr:uid="{00000000-0005-0000-0000-000017170000}"/>
    <cellStyle name="Normal 10 28 4 2" xfId="6735" xr:uid="{00000000-0005-0000-0000-000018170000}"/>
    <cellStyle name="Normal 10 28 4 3" xfId="6736" xr:uid="{00000000-0005-0000-0000-000019170000}"/>
    <cellStyle name="Normal 10 28 4 4" xfId="6737" xr:uid="{00000000-0005-0000-0000-00001A170000}"/>
    <cellStyle name="Normal 10 28 4 5" xfId="6738" xr:uid="{00000000-0005-0000-0000-00001B170000}"/>
    <cellStyle name="Normal 10 28 4 6" xfId="6739" xr:uid="{00000000-0005-0000-0000-00001C170000}"/>
    <cellStyle name="Normal 10 28 5" xfId="6740" xr:uid="{00000000-0005-0000-0000-00001D170000}"/>
    <cellStyle name="Normal 10 28 5 2" xfId="6741" xr:uid="{00000000-0005-0000-0000-00001E170000}"/>
    <cellStyle name="Normal 10 28 5 3" xfId="6742" xr:uid="{00000000-0005-0000-0000-00001F170000}"/>
    <cellStyle name="Normal 10 28 5 4" xfId="6743" xr:uid="{00000000-0005-0000-0000-000020170000}"/>
    <cellStyle name="Normal 10 28 5 5" xfId="6744" xr:uid="{00000000-0005-0000-0000-000021170000}"/>
    <cellStyle name="Normal 10 28 5 6" xfId="6745" xr:uid="{00000000-0005-0000-0000-000022170000}"/>
    <cellStyle name="Normal 10 28 6" xfId="6746" xr:uid="{00000000-0005-0000-0000-000023170000}"/>
    <cellStyle name="Normal 10 28 6 2" xfId="6747" xr:uid="{00000000-0005-0000-0000-000024170000}"/>
    <cellStyle name="Normal 10 28 6 3" xfId="6748" xr:uid="{00000000-0005-0000-0000-000025170000}"/>
    <cellStyle name="Normal 10 28 6 4" xfId="6749" xr:uid="{00000000-0005-0000-0000-000026170000}"/>
    <cellStyle name="Normal 10 28 6 5" xfId="6750" xr:uid="{00000000-0005-0000-0000-000027170000}"/>
    <cellStyle name="Normal 10 28 6 6" xfId="6751" xr:uid="{00000000-0005-0000-0000-000028170000}"/>
    <cellStyle name="Normal 10 28 7" xfId="6752" xr:uid="{00000000-0005-0000-0000-000029170000}"/>
    <cellStyle name="Normal 10 28 7 2" xfId="6753" xr:uid="{00000000-0005-0000-0000-00002A170000}"/>
    <cellStyle name="Normal 10 28 7 3" xfId="6754" xr:uid="{00000000-0005-0000-0000-00002B170000}"/>
    <cellStyle name="Normal 10 28 7 4" xfId="6755" xr:uid="{00000000-0005-0000-0000-00002C170000}"/>
    <cellStyle name="Normal 10 28 7 5" xfId="6756" xr:uid="{00000000-0005-0000-0000-00002D170000}"/>
    <cellStyle name="Normal 10 28 7 6" xfId="6757" xr:uid="{00000000-0005-0000-0000-00002E170000}"/>
    <cellStyle name="Normal 10 28 8" xfId="6758" xr:uid="{00000000-0005-0000-0000-00002F170000}"/>
    <cellStyle name="Normal 10 28 8 2" xfId="6759" xr:uid="{00000000-0005-0000-0000-000030170000}"/>
    <cellStyle name="Normal 10 28 8 3" xfId="6760" xr:uid="{00000000-0005-0000-0000-000031170000}"/>
    <cellStyle name="Normal 10 28 8 4" xfId="6761" xr:uid="{00000000-0005-0000-0000-000032170000}"/>
    <cellStyle name="Normal 10 28 8 5" xfId="6762" xr:uid="{00000000-0005-0000-0000-000033170000}"/>
    <cellStyle name="Normal 10 28 8 6" xfId="6763" xr:uid="{00000000-0005-0000-0000-000034170000}"/>
    <cellStyle name="Normal 10 28 9" xfId="6764" xr:uid="{00000000-0005-0000-0000-000035170000}"/>
    <cellStyle name="Normal 10 29" xfId="6765" xr:uid="{00000000-0005-0000-0000-000036170000}"/>
    <cellStyle name="Normal 10 29 10" xfId="6766" xr:uid="{00000000-0005-0000-0000-000037170000}"/>
    <cellStyle name="Normal 10 29 11" xfId="6767" xr:uid="{00000000-0005-0000-0000-000038170000}"/>
    <cellStyle name="Normal 10 29 12" xfId="6768" xr:uid="{00000000-0005-0000-0000-000039170000}"/>
    <cellStyle name="Normal 10 29 13" xfId="6769" xr:uid="{00000000-0005-0000-0000-00003A170000}"/>
    <cellStyle name="Normal 10 29 2" xfId="6770" xr:uid="{00000000-0005-0000-0000-00003B170000}"/>
    <cellStyle name="Normal 10 29 2 2" xfId="6771" xr:uid="{00000000-0005-0000-0000-00003C170000}"/>
    <cellStyle name="Normal 10 29 2 3" xfId="6772" xr:uid="{00000000-0005-0000-0000-00003D170000}"/>
    <cellStyle name="Normal 10 29 2 4" xfId="6773" xr:uid="{00000000-0005-0000-0000-00003E170000}"/>
    <cellStyle name="Normal 10 29 2 5" xfId="6774" xr:uid="{00000000-0005-0000-0000-00003F170000}"/>
    <cellStyle name="Normal 10 29 2 6" xfId="6775" xr:uid="{00000000-0005-0000-0000-000040170000}"/>
    <cellStyle name="Normal 10 29 3" xfId="6776" xr:uid="{00000000-0005-0000-0000-000041170000}"/>
    <cellStyle name="Normal 10 29 3 2" xfId="6777" xr:uid="{00000000-0005-0000-0000-000042170000}"/>
    <cellStyle name="Normal 10 29 3 3" xfId="6778" xr:uid="{00000000-0005-0000-0000-000043170000}"/>
    <cellStyle name="Normal 10 29 3 4" xfId="6779" xr:uid="{00000000-0005-0000-0000-000044170000}"/>
    <cellStyle name="Normal 10 29 3 5" xfId="6780" xr:uid="{00000000-0005-0000-0000-000045170000}"/>
    <cellStyle name="Normal 10 29 3 6" xfId="6781" xr:uid="{00000000-0005-0000-0000-000046170000}"/>
    <cellStyle name="Normal 10 29 4" xfId="6782" xr:uid="{00000000-0005-0000-0000-000047170000}"/>
    <cellStyle name="Normal 10 29 4 2" xfId="6783" xr:uid="{00000000-0005-0000-0000-000048170000}"/>
    <cellStyle name="Normal 10 29 4 3" xfId="6784" xr:uid="{00000000-0005-0000-0000-000049170000}"/>
    <cellStyle name="Normal 10 29 4 4" xfId="6785" xr:uid="{00000000-0005-0000-0000-00004A170000}"/>
    <cellStyle name="Normal 10 29 4 5" xfId="6786" xr:uid="{00000000-0005-0000-0000-00004B170000}"/>
    <cellStyle name="Normal 10 29 4 6" xfId="6787" xr:uid="{00000000-0005-0000-0000-00004C170000}"/>
    <cellStyle name="Normal 10 29 5" xfId="6788" xr:uid="{00000000-0005-0000-0000-00004D170000}"/>
    <cellStyle name="Normal 10 29 5 2" xfId="6789" xr:uid="{00000000-0005-0000-0000-00004E170000}"/>
    <cellStyle name="Normal 10 29 5 3" xfId="6790" xr:uid="{00000000-0005-0000-0000-00004F170000}"/>
    <cellStyle name="Normal 10 29 5 4" xfId="6791" xr:uid="{00000000-0005-0000-0000-000050170000}"/>
    <cellStyle name="Normal 10 29 5 5" xfId="6792" xr:uid="{00000000-0005-0000-0000-000051170000}"/>
    <cellStyle name="Normal 10 29 5 6" xfId="6793" xr:uid="{00000000-0005-0000-0000-000052170000}"/>
    <cellStyle name="Normal 10 29 6" xfId="6794" xr:uid="{00000000-0005-0000-0000-000053170000}"/>
    <cellStyle name="Normal 10 29 6 2" xfId="6795" xr:uid="{00000000-0005-0000-0000-000054170000}"/>
    <cellStyle name="Normal 10 29 6 3" xfId="6796" xr:uid="{00000000-0005-0000-0000-000055170000}"/>
    <cellStyle name="Normal 10 29 6 4" xfId="6797" xr:uid="{00000000-0005-0000-0000-000056170000}"/>
    <cellStyle name="Normal 10 29 6 5" xfId="6798" xr:uid="{00000000-0005-0000-0000-000057170000}"/>
    <cellStyle name="Normal 10 29 6 6" xfId="6799" xr:uid="{00000000-0005-0000-0000-000058170000}"/>
    <cellStyle name="Normal 10 29 7" xfId="6800" xr:uid="{00000000-0005-0000-0000-000059170000}"/>
    <cellStyle name="Normal 10 29 7 2" xfId="6801" xr:uid="{00000000-0005-0000-0000-00005A170000}"/>
    <cellStyle name="Normal 10 29 7 3" xfId="6802" xr:uid="{00000000-0005-0000-0000-00005B170000}"/>
    <cellStyle name="Normal 10 29 7 4" xfId="6803" xr:uid="{00000000-0005-0000-0000-00005C170000}"/>
    <cellStyle name="Normal 10 29 7 5" xfId="6804" xr:uid="{00000000-0005-0000-0000-00005D170000}"/>
    <cellStyle name="Normal 10 29 7 6" xfId="6805" xr:uid="{00000000-0005-0000-0000-00005E170000}"/>
    <cellStyle name="Normal 10 29 8" xfId="6806" xr:uid="{00000000-0005-0000-0000-00005F170000}"/>
    <cellStyle name="Normal 10 29 8 2" xfId="6807" xr:uid="{00000000-0005-0000-0000-000060170000}"/>
    <cellStyle name="Normal 10 29 8 3" xfId="6808" xr:uid="{00000000-0005-0000-0000-000061170000}"/>
    <cellStyle name="Normal 10 29 8 4" xfId="6809" xr:uid="{00000000-0005-0000-0000-000062170000}"/>
    <cellStyle name="Normal 10 29 8 5" xfId="6810" xr:uid="{00000000-0005-0000-0000-000063170000}"/>
    <cellStyle name="Normal 10 29 8 6" xfId="6811" xr:uid="{00000000-0005-0000-0000-000064170000}"/>
    <cellStyle name="Normal 10 29 9" xfId="6812" xr:uid="{00000000-0005-0000-0000-000065170000}"/>
    <cellStyle name="Normal 10 3" xfId="6813" xr:uid="{00000000-0005-0000-0000-000066170000}"/>
    <cellStyle name="Normal 10 3 10" xfId="6814" xr:uid="{00000000-0005-0000-0000-000067170000}"/>
    <cellStyle name="Normal 10 3 10 2" xfId="6815" xr:uid="{00000000-0005-0000-0000-000068170000}"/>
    <cellStyle name="Normal 10 3 10 2 2" xfId="6816" xr:uid="{00000000-0005-0000-0000-000069170000}"/>
    <cellStyle name="Normal 10 3 10 2 3" xfId="6817" xr:uid="{00000000-0005-0000-0000-00006A170000}"/>
    <cellStyle name="Normal 10 3 10 2 4" xfId="6818" xr:uid="{00000000-0005-0000-0000-00006B170000}"/>
    <cellStyle name="Normal 10 3 10 3" xfId="6819" xr:uid="{00000000-0005-0000-0000-00006C170000}"/>
    <cellStyle name="Normal 10 3 10 3 2" xfId="6820" xr:uid="{00000000-0005-0000-0000-00006D170000}"/>
    <cellStyle name="Normal 10 3 10 3 3" xfId="6821" xr:uid="{00000000-0005-0000-0000-00006E170000}"/>
    <cellStyle name="Normal 10 3 10 3 4" xfId="6822" xr:uid="{00000000-0005-0000-0000-00006F170000}"/>
    <cellStyle name="Normal 10 3 10 4" xfId="6823" xr:uid="{00000000-0005-0000-0000-000070170000}"/>
    <cellStyle name="Normal 10 3 10 5" xfId="6824" xr:uid="{00000000-0005-0000-0000-000071170000}"/>
    <cellStyle name="Normal 10 3 10 6" xfId="6825" xr:uid="{00000000-0005-0000-0000-000072170000}"/>
    <cellStyle name="Normal 10 3 11" xfId="6826" xr:uid="{00000000-0005-0000-0000-000073170000}"/>
    <cellStyle name="Normal 10 3 11 2" xfId="6827" xr:uid="{00000000-0005-0000-0000-000074170000}"/>
    <cellStyle name="Normal 10 3 11 2 2" xfId="6828" xr:uid="{00000000-0005-0000-0000-000075170000}"/>
    <cellStyle name="Normal 10 3 11 2 3" xfId="6829" xr:uid="{00000000-0005-0000-0000-000076170000}"/>
    <cellStyle name="Normal 10 3 11 2 4" xfId="6830" xr:uid="{00000000-0005-0000-0000-000077170000}"/>
    <cellStyle name="Normal 10 3 11 3" xfId="6831" xr:uid="{00000000-0005-0000-0000-000078170000}"/>
    <cellStyle name="Normal 10 3 11 3 2" xfId="6832" xr:uid="{00000000-0005-0000-0000-000079170000}"/>
    <cellStyle name="Normal 10 3 11 3 3" xfId="6833" xr:uid="{00000000-0005-0000-0000-00007A170000}"/>
    <cellStyle name="Normal 10 3 11 3 4" xfId="6834" xr:uid="{00000000-0005-0000-0000-00007B170000}"/>
    <cellStyle name="Normal 10 3 11 4" xfId="6835" xr:uid="{00000000-0005-0000-0000-00007C170000}"/>
    <cellStyle name="Normal 10 3 11 5" xfId="6836" xr:uid="{00000000-0005-0000-0000-00007D170000}"/>
    <cellStyle name="Normal 10 3 11 6" xfId="6837" xr:uid="{00000000-0005-0000-0000-00007E170000}"/>
    <cellStyle name="Normal 10 3 12" xfId="6838" xr:uid="{00000000-0005-0000-0000-00007F170000}"/>
    <cellStyle name="Normal 10 3 12 2" xfId="6839" xr:uid="{00000000-0005-0000-0000-000080170000}"/>
    <cellStyle name="Normal 10 3 12 2 2" xfId="6840" xr:uid="{00000000-0005-0000-0000-000081170000}"/>
    <cellStyle name="Normal 10 3 12 2 3" xfId="6841" xr:uid="{00000000-0005-0000-0000-000082170000}"/>
    <cellStyle name="Normal 10 3 12 2 4" xfId="6842" xr:uid="{00000000-0005-0000-0000-000083170000}"/>
    <cellStyle name="Normal 10 3 12 3" xfId="6843" xr:uid="{00000000-0005-0000-0000-000084170000}"/>
    <cellStyle name="Normal 10 3 12 3 2" xfId="6844" xr:uid="{00000000-0005-0000-0000-000085170000}"/>
    <cellStyle name="Normal 10 3 12 3 3" xfId="6845" xr:uid="{00000000-0005-0000-0000-000086170000}"/>
    <cellStyle name="Normal 10 3 12 3 4" xfId="6846" xr:uid="{00000000-0005-0000-0000-000087170000}"/>
    <cellStyle name="Normal 10 3 12 4" xfId="6847" xr:uid="{00000000-0005-0000-0000-000088170000}"/>
    <cellStyle name="Normal 10 3 12 5" xfId="6848" xr:uid="{00000000-0005-0000-0000-000089170000}"/>
    <cellStyle name="Normal 10 3 12 6" xfId="6849" xr:uid="{00000000-0005-0000-0000-00008A170000}"/>
    <cellStyle name="Normal 10 3 13" xfId="6850" xr:uid="{00000000-0005-0000-0000-00008B170000}"/>
    <cellStyle name="Normal 10 3 13 2" xfId="6851" xr:uid="{00000000-0005-0000-0000-00008C170000}"/>
    <cellStyle name="Normal 10 3 13 2 2" xfId="6852" xr:uid="{00000000-0005-0000-0000-00008D170000}"/>
    <cellStyle name="Normal 10 3 13 2 3" xfId="6853" xr:uid="{00000000-0005-0000-0000-00008E170000}"/>
    <cellStyle name="Normal 10 3 13 2 4" xfId="6854" xr:uid="{00000000-0005-0000-0000-00008F170000}"/>
    <cellStyle name="Normal 10 3 13 3" xfId="6855" xr:uid="{00000000-0005-0000-0000-000090170000}"/>
    <cellStyle name="Normal 10 3 13 3 2" xfId="6856" xr:uid="{00000000-0005-0000-0000-000091170000}"/>
    <cellStyle name="Normal 10 3 13 3 3" xfId="6857" xr:uid="{00000000-0005-0000-0000-000092170000}"/>
    <cellStyle name="Normal 10 3 13 3 4" xfId="6858" xr:uid="{00000000-0005-0000-0000-000093170000}"/>
    <cellStyle name="Normal 10 3 13 4" xfId="6859" xr:uid="{00000000-0005-0000-0000-000094170000}"/>
    <cellStyle name="Normal 10 3 13 5" xfId="6860" xr:uid="{00000000-0005-0000-0000-000095170000}"/>
    <cellStyle name="Normal 10 3 13 6" xfId="6861" xr:uid="{00000000-0005-0000-0000-000096170000}"/>
    <cellStyle name="Normal 10 3 14" xfId="6862" xr:uid="{00000000-0005-0000-0000-000097170000}"/>
    <cellStyle name="Normal 10 3 14 2" xfId="6863" xr:uid="{00000000-0005-0000-0000-000098170000}"/>
    <cellStyle name="Normal 10 3 14 2 2" xfId="6864" xr:uid="{00000000-0005-0000-0000-000099170000}"/>
    <cellStyle name="Normal 10 3 14 2 3" xfId="6865" xr:uid="{00000000-0005-0000-0000-00009A170000}"/>
    <cellStyle name="Normal 10 3 14 2 4" xfId="6866" xr:uid="{00000000-0005-0000-0000-00009B170000}"/>
    <cellStyle name="Normal 10 3 14 3" xfId="6867" xr:uid="{00000000-0005-0000-0000-00009C170000}"/>
    <cellStyle name="Normal 10 3 14 3 2" xfId="6868" xr:uid="{00000000-0005-0000-0000-00009D170000}"/>
    <cellStyle name="Normal 10 3 14 3 3" xfId="6869" xr:uid="{00000000-0005-0000-0000-00009E170000}"/>
    <cellStyle name="Normal 10 3 14 3 4" xfId="6870" xr:uid="{00000000-0005-0000-0000-00009F170000}"/>
    <cellStyle name="Normal 10 3 14 4" xfId="6871" xr:uid="{00000000-0005-0000-0000-0000A0170000}"/>
    <cellStyle name="Normal 10 3 14 5" xfId="6872" xr:uid="{00000000-0005-0000-0000-0000A1170000}"/>
    <cellStyle name="Normal 10 3 14 6" xfId="6873" xr:uid="{00000000-0005-0000-0000-0000A2170000}"/>
    <cellStyle name="Normal 10 3 15" xfId="6874" xr:uid="{00000000-0005-0000-0000-0000A3170000}"/>
    <cellStyle name="Normal 10 3 15 2" xfId="6875" xr:uid="{00000000-0005-0000-0000-0000A4170000}"/>
    <cellStyle name="Normal 10 3 15 2 2" xfId="6876" xr:uid="{00000000-0005-0000-0000-0000A5170000}"/>
    <cellStyle name="Normal 10 3 15 2 3" xfId="6877" xr:uid="{00000000-0005-0000-0000-0000A6170000}"/>
    <cellStyle name="Normal 10 3 15 2 4" xfId="6878" xr:uid="{00000000-0005-0000-0000-0000A7170000}"/>
    <cellStyle name="Normal 10 3 15 3" xfId="6879" xr:uid="{00000000-0005-0000-0000-0000A8170000}"/>
    <cellStyle name="Normal 10 3 15 3 2" xfId="6880" xr:uid="{00000000-0005-0000-0000-0000A9170000}"/>
    <cellStyle name="Normal 10 3 15 3 3" xfId="6881" xr:uid="{00000000-0005-0000-0000-0000AA170000}"/>
    <cellStyle name="Normal 10 3 15 3 4" xfId="6882" xr:uid="{00000000-0005-0000-0000-0000AB170000}"/>
    <cellStyle name="Normal 10 3 15 4" xfId="6883" xr:uid="{00000000-0005-0000-0000-0000AC170000}"/>
    <cellStyle name="Normal 10 3 15 5" xfId="6884" xr:uid="{00000000-0005-0000-0000-0000AD170000}"/>
    <cellStyle name="Normal 10 3 15 6" xfId="6885" xr:uid="{00000000-0005-0000-0000-0000AE170000}"/>
    <cellStyle name="Normal 10 3 16" xfId="6886" xr:uid="{00000000-0005-0000-0000-0000AF170000}"/>
    <cellStyle name="Normal 10 3 16 2" xfId="6887" xr:uid="{00000000-0005-0000-0000-0000B0170000}"/>
    <cellStyle name="Normal 10 3 16 2 2" xfId="6888" xr:uid="{00000000-0005-0000-0000-0000B1170000}"/>
    <cellStyle name="Normal 10 3 16 2 3" xfId="6889" xr:uid="{00000000-0005-0000-0000-0000B2170000}"/>
    <cellStyle name="Normal 10 3 16 2 4" xfId="6890" xr:uid="{00000000-0005-0000-0000-0000B3170000}"/>
    <cellStyle name="Normal 10 3 16 3" xfId="6891" xr:uid="{00000000-0005-0000-0000-0000B4170000}"/>
    <cellStyle name="Normal 10 3 16 3 2" xfId="6892" xr:uid="{00000000-0005-0000-0000-0000B5170000}"/>
    <cellStyle name="Normal 10 3 16 3 3" xfId="6893" xr:uid="{00000000-0005-0000-0000-0000B6170000}"/>
    <cellStyle name="Normal 10 3 16 3 4" xfId="6894" xr:uid="{00000000-0005-0000-0000-0000B7170000}"/>
    <cellStyle name="Normal 10 3 16 4" xfId="6895" xr:uid="{00000000-0005-0000-0000-0000B8170000}"/>
    <cellStyle name="Normal 10 3 16 5" xfId="6896" xr:uid="{00000000-0005-0000-0000-0000B9170000}"/>
    <cellStyle name="Normal 10 3 16 6" xfId="6897" xr:uid="{00000000-0005-0000-0000-0000BA170000}"/>
    <cellStyle name="Normal 10 3 17" xfId="6898" xr:uid="{00000000-0005-0000-0000-0000BB170000}"/>
    <cellStyle name="Normal 10 3 17 2" xfId="6899" xr:uid="{00000000-0005-0000-0000-0000BC170000}"/>
    <cellStyle name="Normal 10 3 17 2 2" xfId="6900" xr:uid="{00000000-0005-0000-0000-0000BD170000}"/>
    <cellStyle name="Normal 10 3 17 2 3" xfId="6901" xr:uid="{00000000-0005-0000-0000-0000BE170000}"/>
    <cellStyle name="Normal 10 3 17 2 4" xfId="6902" xr:uid="{00000000-0005-0000-0000-0000BF170000}"/>
    <cellStyle name="Normal 10 3 17 3" xfId="6903" xr:uid="{00000000-0005-0000-0000-0000C0170000}"/>
    <cellStyle name="Normal 10 3 17 3 2" xfId="6904" xr:uid="{00000000-0005-0000-0000-0000C1170000}"/>
    <cellStyle name="Normal 10 3 17 3 3" xfId="6905" xr:uid="{00000000-0005-0000-0000-0000C2170000}"/>
    <cellStyle name="Normal 10 3 17 3 4" xfId="6906" xr:uid="{00000000-0005-0000-0000-0000C3170000}"/>
    <cellStyle name="Normal 10 3 17 4" xfId="6907" xr:uid="{00000000-0005-0000-0000-0000C4170000}"/>
    <cellStyle name="Normal 10 3 17 5" xfId="6908" xr:uid="{00000000-0005-0000-0000-0000C5170000}"/>
    <cellStyle name="Normal 10 3 17 6" xfId="6909" xr:uid="{00000000-0005-0000-0000-0000C6170000}"/>
    <cellStyle name="Normal 10 3 18" xfId="6910" xr:uid="{00000000-0005-0000-0000-0000C7170000}"/>
    <cellStyle name="Normal 10 3 18 2" xfId="6911" xr:uid="{00000000-0005-0000-0000-0000C8170000}"/>
    <cellStyle name="Normal 10 3 18 3" xfId="6912" xr:uid="{00000000-0005-0000-0000-0000C9170000}"/>
    <cellStyle name="Normal 10 3 18 4" xfId="6913" xr:uid="{00000000-0005-0000-0000-0000CA170000}"/>
    <cellStyle name="Normal 10 3 19" xfId="6914" xr:uid="{00000000-0005-0000-0000-0000CB170000}"/>
    <cellStyle name="Normal 10 3 19 2" xfId="6915" xr:uid="{00000000-0005-0000-0000-0000CC170000}"/>
    <cellStyle name="Normal 10 3 19 3" xfId="6916" xr:uid="{00000000-0005-0000-0000-0000CD170000}"/>
    <cellStyle name="Normal 10 3 19 4" xfId="6917" xr:uid="{00000000-0005-0000-0000-0000CE170000}"/>
    <cellStyle name="Normal 10 3 2" xfId="6918" xr:uid="{00000000-0005-0000-0000-0000CF170000}"/>
    <cellStyle name="Normal 10 3 2 2" xfId="6919" xr:uid="{00000000-0005-0000-0000-0000D0170000}"/>
    <cellStyle name="Normal 10 3 2 2 2" xfId="6920" xr:uid="{00000000-0005-0000-0000-0000D1170000}"/>
    <cellStyle name="Normal 10 3 2 2 3" xfId="6921" xr:uid="{00000000-0005-0000-0000-0000D2170000}"/>
    <cellStyle name="Normal 10 3 2 2 4" xfId="6922" xr:uid="{00000000-0005-0000-0000-0000D3170000}"/>
    <cellStyle name="Normal 10 3 2 3" xfId="6923" xr:uid="{00000000-0005-0000-0000-0000D4170000}"/>
    <cellStyle name="Normal 10 3 2 3 2" xfId="6924" xr:uid="{00000000-0005-0000-0000-0000D5170000}"/>
    <cellStyle name="Normal 10 3 2 3 3" xfId="6925" xr:uid="{00000000-0005-0000-0000-0000D6170000}"/>
    <cellStyle name="Normal 10 3 2 3 4" xfId="6926" xr:uid="{00000000-0005-0000-0000-0000D7170000}"/>
    <cellStyle name="Normal 10 3 2 4" xfId="6927" xr:uid="{00000000-0005-0000-0000-0000D8170000}"/>
    <cellStyle name="Normal 10 3 2 5" xfId="6928" xr:uid="{00000000-0005-0000-0000-0000D9170000}"/>
    <cellStyle name="Normal 10 3 2 6" xfId="6929" xr:uid="{00000000-0005-0000-0000-0000DA170000}"/>
    <cellStyle name="Normal 10 3 20" xfId="6930" xr:uid="{00000000-0005-0000-0000-0000DB170000}"/>
    <cellStyle name="Normal 10 3 20 2" xfId="6931" xr:uid="{00000000-0005-0000-0000-0000DC170000}"/>
    <cellStyle name="Normal 10 3 20 3" xfId="6932" xr:uid="{00000000-0005-0000-0000-0000DD170000}"/>
    <cellStyle name="Normal 10 3 20 4" xfId="6933" xr:uid="{00000000-0005-0000-0000-0000DE170000}"/>
    <cellStyle name="Normal 10 3 21" xfId="6934" xr:uid="{00000000-0005-0000-0000-0000DF170000}"/>
    <cellStyle name="Normal 10 3 22" xfId="6935" xr:uid="{00000000-0005-0000-0000-0000E0170000}"/>
    <cellStyle name="Normal 10 3 23" xfId="6936" xr:uid="{00000000-0005-0000-0000-0000E1170000}"/>
    <cellStyle name="Normal 10 3 3" xfId="6937" xr:uid="{00000000-0005-0000-0000-0000E2170000}"/>
    <cellStyle name="Normal 10 3 3 2" xfId="6938" xr:uid="{00000000-0005-0000-0000-0000E3170000}"/>
    <cellStyle name="Normal 10 3 3 2 2" xfId="6939" xr:uid="{00000000-0005-0000-0000-0000E4170000}"/>
    <cellStyle name="Normal 10 3 3 2 3" xfId="6940" xr:uid="{00000000-0005-0000-0000-0000E5170000}"/>
    <cellStyle name="Normal 10 3 3 2 4" xfId="6941" xr:uid="{00000000-0005-0000-0000-0000E6170000}"/>
    <cellStyle name="Normal 10 3 3 3" xfId="6942" xr:uid="{00000000-0005-0000-0000-0000E7170000}"/>
    <cellStyle name="Normal 10 3 3 3 2" xfId="6943" xr:uid="{00000000-0005-0000-0000-0000E8170000}"/>
    <cellStyle name="Normal 10 3 3 3 3" xfId="6944" xr:uid="{00000000-0005-0000-0000-0000E9170000}"/>
    <cellStyle name="Normal 10 3 3 3 4" xfId="6945" xr:uid="{00000000-0005-0000-0000-0000EA170000}"/>
    <cellStyle name="Normal 10 3 3 4" xfId="6946" xr:uid="{00000000-0005-0000-0000-0000EB170000}"/>
    <cellStyle name="Normal 10 3 3 5" xfId="6947" xr:uid="{00000000-0005-0000-0000-0000EC170000}"/>
    <cellStyle name="Normal 10 3 3 6" xfId="6948" xr:uid="{00000000-0005-0000-0000-0000ED170000}"/>
    <cellStyle name="Normal 10 3 4" xfId="6949" xr:uid="{00000000-0005-0000-0000-0000EE170000}"/>
    <cellStyle name="Normal 10 3 4 2" xfId="6950" xr:uid="{00000000-0005-0000-0000-0000EF170000}"/>
    <cellStyle name="Normal 10 3 4 2 2" xfId="6951" xr:uid="{00000000-0005-0000-0000-0000F0170000}"/>
    <cellStyle name="Normal 10 3 4 2 3" xfId="6952" xr:uid="{00000000-0005-0000-0000-0000F1170000}"/>
    <cellStyle name="Normal 10 3 4 2 4" xfId="6953" xr:uid="{00000000-0005-0000-0000-0000F2170000}"/>
    <cellStyle name="Normal 10 3 4 3" xfId="6954" xr:uid="{00000000-0005-0000-0000-0000F3170000}"/>
    <cellStyle name="Normal 10 3 4 3 2" xfId="6955" xr:uid="{00000000-0005-0000-0000-0000F4170000}"/>
    <cellStyle name="Normal 10 3 4 3 3" xfId="6956" xr:uid="{00000000-0005-0000-0000-0000F5170000}"/>
    <cellStyle name="Normal 10 3 4 3 4" xfId="6957" xr:uid="{00000000-0005-0000-0000-0000F6170000}"/>
    <cellStyle name="Normal 10 3 4 4" xfId="6958" xr:uid="{00000000-0005-0000-0000-0000F7170000}"/>
    <cellStyle name="Normal 10 3 4 5" xfId="6959" xr:uid="{00000000-0005-0000-0000-0000F8170000}"/>
    <cellStyle name="Normal 10 3 4 6" xfId="6960" xr:uid="{00000000-0005-0000-0000-0000F9170000}"/>
    <cellStyle name="Normal 10 3 5" xfId="6961" xr:uid="{00000000-0005-0000-0000-0000FA170000}"/>
    <cellStyle name="Normal 10 3 5 2" xfId="6962" xr:uid="{00000000-0005-0000-0000-0000FB170000}"/>
    <cellStyle name="Normal 10 3 5 2 2" xfId="6963" xr:uid="{00000000-0005-0000-0000-0000FC170000}"/>
    <cellStyle name="Normal 10 3 5 2 3" xfId="6964" xr:uid="{00000000-0005-0000-0000-0000FD170000}"/>
    <cellStyle name="Normal 10 3 5 2 4" xfId="6965" xr:uid="{00000000-0005-0000-0000-0000FE170000}"/>
    <cellStyle name="Normal 10 3 5 3" xfId="6966" xr:uid="{00000000-0005-0000-0000-0000FF170000}"/>
    <cellStyle name="Normal 10 3 5 3 2" xfId="6967" xr:uid="{00000000-0005-0000-0000-000000180000}"/>
    <cellStyle name="Normal 10 3 5 3 3" xfId="6968" xr:uid="{00000000-0005-0000-0000-000001180000}"/>
    <cellStyle name="Normal 10 3 5 3 4" xfId="6969" xr:uid="{00000000-0005-0000-0000-000002180000}"/>
    <cellStyle name="Normal 10 3 5 4" xfId="6970" xr:uid="{00000000-0005-0000-0000-000003180000}"/>
    <cellStyle name="Normal 10 3 5 5" xfId="6971" xr:uid="{00000000-0005-0000-0000-000004180000}"/>
    <cellStyle name="Normal 10 3 5 6" xfId="6972" xr:uid="{00000000-0005-0000-0000-000005180000}"/>
    <cellStyle name="Normal 10 3 6" xfId="6973" xr:uid="{00000000-0005-0000-0000-000006180000}"/>
    <cellStyle name="Normal 10 3 6 2" xfId="6974" xr:uid="{00000000-0005-0000-0000-000007180000}"/>
    <cellStyle name="Normal 10 3 6 2 2" xfId="6975" xr:uid="{00000000-0005-0000-0000-000008180000}"/>
    <cellStyle name="Normal 10 3 6 2 3" xfId="6976" xr:uid="{00000000-0005-0000-0000-000009180000}"/>
    <cellStyle name="Normal 10 3 6 2 4" xfId="6977" xr:uid="{00000000-0005-0000-0000-00000A180000}"/>
    <cellStyle name="Normal 10 3 6 3" xfId="6978" xr:uid="{00000000-0005-0000-0000-00000B180000}"/>
    <cellStyle name="Normal 10 3 6 3 2" xfId="6979" xr:uid="{00000000-0005-0000-0000-00000C180000}"/>
    <cellStyle name="Normal 10 3 6 3 3" xfId="6980" xr:uid="{00000000-0005-0000-0000-00000D180000}"/>
    <cellStyle name="Normal 10 3 6 3 4" xfId="6981" xr:uid="{00000000-0005-0000-0000-00000E180000}"/>
    <cellStyle name="Normal 10 3 6 4" xfId="6982" xr:uid="{00000000-0005-0000-0000-00000F180000}"/>
    <cellStyle name="Normal 10 3 6 5" xfId="6983" xr:uid="{00000000-0005-0000-0000-000010180000}"/>
    <cellStyle name="Normal 10 3 6 6" xfId="6984" xr:uid="{00000000-0005-0000-0000-000011180000}"/>
    <cellStyle name="Normal 10 3 7" xfId="6985" xr:uid="{00000000-0005-0000-0000-000012180000}"/>
    <cellStyle name="Normal 10 3 7 2" xfId="6986" xr:uid="{00000000-0005-0000-0000-000013180000}"/>
    <cellStyle name="Normal 10 3 7 2 2" xfId="6987" xr:uid="{00000000-0005-0000-0000-000014180000}"/>
    <cellStyle name="Normal 10 3 7 2 3" xfId="6988" xr:uid="{00000000-0005-0000-0000-000015180000}"/>
    <cellStyle name="Normal 10 3 7 2 4" xfId="6989" xr:uid="{00000000-0005-0000-0000-000016180000}"/>
    <cellStyle name="Normal 10 3 7 3" xfId="6990" xr:uid="{00000000-0005-0000-0000-000017180000}"/>
    <cellStyle name="Normal 10 3 7 3 2" xfId="6991" xr:uid="{00000000-0005-0000-0000-000018180000}"/>
    <cellStyle name="Normal 10 3 7 3 3" xfId="6992" xr:uid="{00000000-0005-0000-0000-000019180000}"/>
    <cellStyle name="Normal 10 3 7 3 4" xfId="6993" xr:uid="{00000000-0005-0000-0000-00001A180000}"/>
    <cellStyle name="Normal 10 3 7 4" xfId="6994" xr:uid="{00000000-0005-0000-0000-00001B180000}"/>
    <cellStyle name="Normal 10 3 7 5" xfId="6995" xr:uid="{00000000-0005-0000-0000-00001C180000}"/>
    <cellStyle name="Normal 10 3 7 6" xfId="6996" xr:uid="{00000000-0005-0000-0000-00001D180000}"/>
    <cellStyle name="Normal 10 3 8" xfId="6997" xr:uid="{00000000-0005-0000-0000-00001E180000}"/>
    <cellStyle name="Normal 10 3 8 2" xfId="6998" xr:uid="{00000000-0005-0000-0000-00001F180000}"/>
    <cellStyle name="Normal 10 3 8 2 2" xfId="6999" xr:uid="{00000000-0005-0000-0000-000020180000}"/>
    <cellStyle name="Normal 10 3 8 2 3" xfId="7000" xr:uid="{00000000-0005-0000-0000-000021180000}"/>
    <cellStyle name="Normal 10 3 8 2 4" xfId="7001" xr:uid="{00000000-0005-0000-0000-000022180000}"/>
    <cellStyle name="Normal 10 3 8 3" xfId="7002" xr:uid="{00000000-0005-0000-0000-000023180000}"/>
    <cellStyle name="Normal 10 3 8 3 2" xfId="7003" xr:uid="{00000000-0005-0000-0000-000024180000}"/>
    <cellStyle name="Normal 10 3 8 3 3" xfId="7004" xr:uid="{00000000-0005-0000-0000-000025180000}"/>
    <cellStyle name="Normal 10 3 8 3 4" xfId="7005" xr:uid="{00000000-0005-0000-0000-000026180000}"/>
    <cellStyle name="Normal 10 3 8 4" xfId="7006" xr:uid="{00000000-0005-0000-0000-000027180000}"/>
    <cellStyle name="Normal 10 3 8 5" xfId="7007" xr:uid="{00000000-0005-0000-0000-000028180000}"/>
    <cellStyle name="Normal 10 3 8 6" xfId="7008" xr:uid="{00000000-0005-0000-0000-000029180000}"/>
    <cellStyle name="Normal 10 3 9" xfId="7009" xr:uid="{00000000-0005-0000-0000-00002A180000}"/>
    <cellStyle name="Normal 10 3 9 2" xfId="7010" xr:uid="{00000000-0005-0000-0000-00002B180000}"/>
    <cellStyle name="Normal 10 3 9 2 2" xfId="7011" xr:uid="{00000000-0005-0000-0000-00002C180000}"/>
    <cellStyle name="Normal 10 3 9 2 3" xfId="7012" xr:uid="{00000000-0005-0000-0000-00002D180000}"/>
    <cellStyle name="Normal 10 3 9 2 4" xfId="7013" xr:uid="{00000000-0005-0000-0000-00002E180000}"/>
    <cellStyle name="Normal 10 3 9 3" xfId="7014" xr:uid="{00000000-0005-0000-0000-00002F180000}"/>
    <cellStyle name="Normal 10 3 9 3 2" xfId="7015" xr:uid="{00000000-0005-0000-0000-000030180000}"/>
    <cellStyle name="Normal 10 3 9 3 3" xfId="7016" xr:uid="{00000000-0005-0000-0000-000031180000}"/>
    <cellStyle name="Normal 10 3 9 3 4" xfId="7017" xr:uid="{00000000-0005-0000-0000-000032180000}"/>
    <cellStyle name="Normal 10 3 9 4" xfId="7018" xr:uid="{00000000-0005-0000-0000-000033180000}"/>
    <cellStyle name="Normal 10 3 9 5" xfId="7019" xr:uid="{00000000-0005-0000-0000-000034180000}"/>
    <cellStyle name="Normal 10 3 9 6" xfId="7020" xr:uid="{00000000-0005-0000-0000-000035180000}"/>
    <cellStyle name="Normal 10 30" xfId="7021" xr:uid="{00000000-0005-0000-0000-000036180000}"/>
    <cellStyle name="Normal 10 30 10" xfId="7022" xr:uid="{00000000-0005-0000-0000-000037180000}"/>
    <cellStyle name="Normal 10 30 11" xfId="7023" xr:uid="{00000000-0005-0000-0000-000038180000}"/>
    <cellStyle name="Normal 10 30 12" xfId="7024" xr:uid="{00000000-0005-0000-0000-000039180000}"/>
    <cellStyle name="Normal 10 30 13" xfId="7025" xr:uid="{00000000-0005-0000-0000-00003A180000}"/>
    <cellStyle name="Normal 10 30 2" xfId="7026" xr:uid="{00000000-0005-0000-0000-00003B180000}"/>
    <cellStyle name="Normal 10 30 2 2" xfId="7027" xr:uid="{00000000-0005-0000-0000-00003C180000}"/>
    <cellStyle name="Normal 10 30 2 3" xfId="7028" xr:uid="{00000000-0005-0000-0000-00003D180000}"/>
    <cellStyle name="Normal 10 30 2 4" xfId="7029" xr:uid="{00000000-0005-0000-0000-00003E180000}"/>
    <cellStyle name="Normal 10 30 2 5" xfId="7030" xr:uid="{00000000-0005-0000-0000-00003F180000}"/>
    <cellStyle name="Normal 10 30 2 6" xfId="7031" xr:uid="{00000000-0005-0000-0000-000040180000}"/>
    <cellStyle name="Normal 10 30 3" xfId="7032" xr:uid="{00000000-0005-0000-0000-000041180000}"/>
    <cellStyle name="Normal 10 30 3 2" xfId="7033" xr:uid="{00000000-0005-0000-0000-000042180000}"/>
    <cellStyle name="Normal 10 30 3 3" xfId="7034" xr:uid="{00000000-0005-0000-0000-000043180000}"/>
    <cellStyle name="Normal 10 30 3 4" xfId="7035" xr:uid="{00000000-0005-0000-0000-000044180000}"/>
    <cellStyle name="Normal 10 30 3 5" xfId="7036" xr:uid="{00000000-0005-0000-0000-000045180000}"/>
    <cellStyle name="Normal 10 30 3 6" xfId="7037" xr:uid="{00000000-0005-0000-0000-000046180000}"/>
    <cellStyle name="Normal 10 30 4" xfId="7038" xr:uid="{00000000-0005-0000-0000-000047180000}"/>
    <cellStyle name="Normal 10 30 4 2" xfId="7039" xr:uid="{00000000-0005-0000-0000-000048180000}"/>
    <cellStyle name="Normal 10 30 4 3" xfId="7040" xr:uid="{00000000-0005-0000-0000-000049180000}"/>
    <cellStyle name="Normal 10 30 4 4" xfId="7041" xr:uid="{00000000-0005-0000-0000-00004A180000}"/>
    <cellStyle name="Normal 10 30 4 5" xfId="7042" xr:uid="{00000000-0005-0000-0000-00004B180000}"/>
    <cellStyle name="Normal 10 30 4 6" xfId="7043" xr:uid="{00000000-0005-0000-0000-00004C180000}"/>
    <cellStyle name="Normal 10 30 5" xfId="7044" xr:uid="{00000000-0005-0000-0000-00004D180000}"/>
    <cellStyle name="Normal 10 30 5 2" xfId="7045" xr:uid="{00000000-0005-0000-0000-00004E180000}"/>
    <cellStyle name="Normal 10 30 5 3" xfId="7046" xr:uid="{00000000-0005-0000-0000-00004F180000}"/>
    <cellStyle name="Normal 10 30 5 4" xfId="7047" xr:uid="{00000000-0005-0000-0000-000050180000}"/>
    <cellStyle name="Normal 10 30 5 5" xfId="7048" xr:uid="{00000000-0005-0000-0000-000051180000}"/>
    <cellStyle name="Normal 10 30 5 6" xfId="7049" xr:uid="{00000000-0005-0000-0000-000052180000}"/>
    <cellStyle name="Normal 10 30 6" xfId="7050" xr:uid="{00000000-0005-0000-0000-000053180000}"/>
    <cellStyle name="Normal 10 30 6 2" xfId="7051" xr:uid="{00000000-0005-0000-0000-000054180000}"/>
    <cellStyle name="Normal 10 30 6 3" xfId="7052" xr:uid="{00000000-0005-0000-0000-000055180000}"/>
    <cellStyle name="Normal 10 30 6 4" xfId="7053" xr:uid="{00000000-0005-0000-0000-000056180000}"/>
    <cellStyle name="Normal 10 30 6 5" xfId="7054" xr:uid="{00000000-0005-0000-0000-000057180000}"/>
    <cellStyle name="Normal 10 30 6 6" xfId="7055" xr:uid="{00000000-0005-0000-0000-000058180000}"/>
    <cellStyle name="Normal 10 30 7" xfId="7056" xr:uid="{00000000-0005-0000-0000-000059180000}"/>
    <cellStyle name="Normal 10 30 7 2" xfId="7057" xr:uid="{00000000-0005-0000-0000-00005A180000}"/>
    <cellStyle name="Normal 10 30 7 3" xfId="7058" xr:uid="{00000000-0005-0000-0000-00005B180000}"/>
    <cellStyle name="Normal 10 30 7 4" xfId="7059" xr:uid="{00000000-0005-0000-0000-00005C180000}"/>
    <cellStyle name="Normal 10 30 7 5" xfId="7060" xr:uid="{00000000-0005-0000-0000-00005D180000}"/>
    <cellStyle name="Normal 10 30 7 6" xfId="7061" xr:uid="{00000000-0005-0000-0000-00005E180000}"/>
    <cellStyle name="Normal 10 30 8" xfId="7062" xr:uid="{00000000-0005-0000-0000-00005F180000}"/>
    <cellStyle name="Normal 10 30 8 2" xfId="7063" xr:uid="{00000000-0005-0000-0000-000060180000}"/>
    <cellStyle name="Normal 10 30 8 3" xfId="7064" xr:uid="{00000000-0005-0000-0000-000061180000}"/>
    <cellStyle name="Normal 10 30 8 4" xfId="7065" xr:uid="{00000000-0005-0000-0000-000062180000}"/>
    <cellStyle name="Normal 10 30 8 5" xfId="7066" xr:uid="{00000000-0005-0000-0000-000063180000}"/>
    <cellStyle name="Normal 10 30 8 6" xfId="7067" xr:uid="{00000000-0005-0000-0000-000064180000}"/>
    <cellStyle name="Normal 10 30 9" xfId="7068" xr:uid="{00000000-0005-0000-0000-000065180000}"/>
    <cellStyle name="Normal 10 31" xfId="7069" xr:uid="{00000000-0005-0000-0000-000066180000}"/>
    <cellStyle name="Normal 10 31 10" xfId="7070" xr:uid="{00000000-0005-0000-0000-000067180000}"/>
    <cellStyle name="Normal 10 31 11" xfId="7071" xr:uid="{00000000-0005-0000-0000-000068180000}"/>
    <cellStyle name="Normal 10 31 12" xfId="7072" xr:uid="{00000000-0005-0000-0000-000069180000}"/>
    <cellStyle name="Normal 10 31 13" xfId="7073" xr:uid="{00000000-0005-0000-0000-00006A180000}"/>
    <cellStyle name="Normal 10 31 2" xfId="7074" xr:uid="{00000000-0005-0000-0000-00006B180000}"/>
    <cellStyle name="Normal 10 31 2 2" xfId="7075" xr:uid="{00000000-0005-0000-0000-00006C180000}"/>
    <cellStyle name="Normal 10 31 2 3" xfId="7076" xr:uid="{00000000-0005-0000-0000-00006D180000}"/>
    <cellStyle name="Normal 10 31 2 4" xfId="7077" xr:uid="{00000000-0005-0000-0000-00006E180000}"/>
    <cellStyle name="Normal 10 31 2 5" xfId="7078" xr:uid="{00000000-0005-0000-0000-00006F180000}"/>
    <cellStyle name="Normal 10 31 2 6" xfId="7079" xr:uid="{00000000-0005-0000-0000-000070180000}"/>
    <cellStyle name="Normal 10 31 3" xfId="7080" xr:uid="{00000000-0005-0000-0000-000071180000}"/>
    <cellStyle name="Normal 10 31 3 2" xfId="7081" xr:uid="{00000000-0005-0000-0000-000072180000}"/>
    <cellStyle name="Normal 10 31 3 3" xfId="7082" xr:uid="{00000000-0005-0000-0000-000073180000}"/>
    <cellStyle name="Normal 10 31 3 4" xfId="7083" xr:uid="{00000000-0005-0000-0000-000074180000}"/>
    <cellStyle name="Normal 10 31 3 5" xfId="7084" xr:uid="{00000000-0005-0000-0000-000075180000}"/>
    <cellStyle name="Normal 10 31 3 6" xfId="7085" xr:uid="{00000000-0005-0000-0000-000076180000}"/>
    <cellStyle name="Normal 10 31 4" xfId="7086" xr:uid="{00000000-0005-0000-0000-000077180000}"/>
    <cellStyle name="Normal 10 31 4 2" xfId="7087" xr:uid="{00000000-0005-0000-0000-000078180000}"/>
    <cellStyle name="Normal 10 31 4 3" xfId="7088" xr:uid="{00000000-0005-0000-0000-000079180000}"/>
    <cellStyle name="Normal 10 31 4 4" xfId="7089" xr:uid="{00000000-0005-0000-0000-00007A180000}"/>
    <cellStyle name="Normal 10 31 4 5" xfId="7090" xr:uid="{00000000-0005-0000-0000-00007B180000}"/>
    <cellStyle name="Normal 10 31 4 6" xfId="7091" xr:uid="{00000000-0005-0000-0000-00007C180000}"/>
    <cellStyle name="Normal 10 31 5" xfId="7092" xr:uid="{00000000-0005-0000-0000-00007D180000}"/>
    <cellStyle name="Normal 10 31 5 2" xfId="7093" xr:uid="{00000000-0005-0000-0000-00007E180000}"/>
    <cellStyle name="Normal 10 31 5 3" xfId="7094" xr:uid="{00000000-0005-0000-0000-00007F180000}"/>
    <cellStyle name="Normal 10 31 5 4" xfId="7095" xr:uid="{00000000-0005-0000-0000-000080180000}"/>
    <cellStyle name="Normal 10 31 5 5" xfId="7096" xr:uid="{00000000-0005-0000-0000-000081180000}"/>
    <cellStyle name="Normal 10 31 5 6" xfId="7097" xr:uid="{00000000-0005-0000-0000-000082180000}"/>
    <cellStyle name="Normal 10 31 6" xfId="7098" xr:uid="{00000000-0005-0000-0000-000083180000}"/>
    <cellStyle name="Normal 10 31 6 2" xfId="7099" xr:uid="{00000000-0005-0000-0000-000084180000}"/>
    <cellStyle name="Normal 10 31 6 3" xfId="7100" xr:uid="{00000000-0005-0000-0000-000085180000}"/>
    <cellStyle name="Normal 10 31 6 4" xfId="7101" xr:uid="{00000000-0005-0000-0000-000086180000}"/>
    <cellStyle name="Normal 10 31 6 5" xfId="7102" xr:uid="{00000000-0005-0000-0000-000087180000}"/>
    <cellStyle name="Normal 10 31 6 6" xfId="7103" xr:uid="{00000000-0005-0000-0000-000088180000}"/>
    <cellStyle name="Normal 10 31 7" xfId="7104" xr:uid="{00000000-0005-0000-0000-000089180000}"/>
    <cellStyle name="Normal 10 31 7 2" xfId="7105" xr:uid="{00000000-0005-0000-0000-00008A180000}"/>
    <cellStyle name="Normal 10 31 7 3" xfId="7106" xr:uid="{00000000-0005-0000-0000-00008B180000}"/>
    <cellStyle name="Normal 10 31 7 4" xfId="7107" xr:uid="{00000000-0005-0000-0000-00008C180000}"/>
    <cellStyle name="Normal 10 31 7 5" xfId="7108" xr:uid="{00000000-0005-0000-0000-00008D180000}"/>
    <cellStyle name="Normal 10 31 7 6" xfId="7109" xr:uid="{00000000-0005-0000-0000-00008E180000}"/>
    <cellStyle name="Normal 10 31 8" xfId="7110" xr:uid="{00000000-0005-0000-0000-00008F180000}"/>
    <cellStyle name="Normal 10 31 8 2" xfId="7111" xr:uid="{00000000-0005-0000-0000-000090180000}"/>
    <cellStyle name="Normal 10 31 8 3" xfId="7112" xr:uid="{00000000-0005-0000-0000-000091180000}"/>
    <cellStyle name="Normal 10 31 8 4" xfId="7113" xr:uid="{00000000-0005-0000-0000-000092180000}"/>
    <cellStyle name="Normal 10 31 8 5" xfId="7114" xr:uid="{00000000-0005-0000-0000-000093180000}"/>
    <cellStyle name="Normal 10 31 8 6" xfId="7115" xr:uid="{00000000-0005-0000-0000-000094180000}"/>
    <cellStyle name="Normal 10 31 9" xfId="7116" xr:uid="{00000000-0005-0000-0000-000095180000}"/>
    <cellStyle name="Normal 10 32" xfId="7117" xr:uid="{00000000-0005-0000-0000-000096180000}"/>
    <cellStyle name="Normal 10 32 10" xfId="7118" xr:uid="{00000000-0005-0000-0000-000097180000}"/>
    <cellStyle name="Normal 10 32 11" xfId="7119" xr:uid="{00000000-0005-0000-0000-000098180000}"/>
    <cellStyle name="Normal 10 32 12" xfId="7120" xr:uid="{00000000-0005-0000-0000-000099180000}"/>
    <cellStyle name="Normal 10 32 13" xfId="7121" xr:uid="{00000000-0005-0000-0000-00009A180000}"/>
    <cellStyle name="Normal 10 32 2" xfId="7122" xr:uid="{00000000-0005-0000-0000-00009B180000}"/>
    <cellStyle name="Normal 10 32 2 2" xfId="7123" xr:uid="{00000000-0005-0000-0000-00009C180000}"/>
    <cellStyle name="Normal 10 32 2 3" xfId="7124" xr:uid="{00000000-0005-0000-0000-00009D180000}"/>
    <cellStyle name="Normal 10 32 2 4" xfId="7125" xr:uid="{00000000-0005-0000-0000-00009E180000}"/>
    <cellStyle name="Normal 10 32 2 5" xfId="7126" xr:uid="{00000000-0005-0000-0000-00009F180000}"/>
    <cellStyle name="Normal 10 32 2 6" xfId="7127" xr:uid="{00000000-0005-0000-0000-0000A0180000}"/>
    <cellStyle name="Normal 10 32 3" xfId="7128" xr:uid="{00000000-0005-0000-0000-0000A1180000}"/>
    <cellStyle name="Normal 10 32 3 2" xfId="7129" xr:uid="{00000000-0005-0000-0000-0000A2180000}"/>
    <cellStyle name="Normal 10 32 3 3" xfId="7130" xr:uid="{00000000-0005-0000-0000-0000A3180000}"/>
    <cellStyle name="Normal 10 32 3 4" xfId="7131" xr:uid="{00000000-0005-0000-0000-0000A4180000}"/>
    <cellStyle name="Normal 10 32 3 5" xfId="7132" xr:uid="{00000000-0005-0000-0000-0000A5180000}"/>
    <cellStyle name="Normal 10 32 3 6" xfId="7133" xr:uid="{00000000-0005-0000-0000-0000A6180000}"/>
    <cellStyle name="Normal 10 32 4" xfId="7134" xr:uid="{00000000-0005-0000-0000-0000A7180000}"/>
    <cellStyle name="Normal 10 32 4 2" xfId="7135" xr:uid="{00000000-0005-0000-0000-0000A8180000}"/>
    <cellStyle name="Normal 10 32 4 3" xfId="7136" xr:uid="{00000000-0005-0000-0000-0000A9180000}"/>
    <cellStyle name="Normal 10 32 4 4" xfId="7137" xr:uid="{00000000-0005-0000-0000-0000AA180000}"/>
    <cellStyle name="Normal 10 32 4 5" xfId="7138" xr:uid="{00000000-0005-0000-0000-0000AB180000}"/>
    <cellStyle name="Normal 10 32 4 6" xfId="7139" xr:uid="{00000000-0005-0000-0000-0000AC180000}"/>
    <cellStyle name="Normal 10 32 5" xfId="7140" xr:uid="{00000000-0005-0000-0000-0000AD180000}"/>
    <cellStyle name="Normal 10 32 5 2" xfId="7141" xr:uid="{00000000-0005-0000-0000-0000AE180000}"/>
    <cellStyle name="Normal 10 32 5 3" xfId="7142" xr:uid="{00000000-0005-0000-0000-0000AF180000}"/>
    <cellStyle name="Normal 10 32 5 4" xfId="7143" xr:uid="{00000000-0005-0000-0000-0000B0180000}"/>
    <cellStyle name="Normal 10 32 5 5" xfId="7144" xr:uid="{00000000-0005-0000-0000-0000B1180000}"/>
    <cellStyle name="Normal 10 32 5 6" xfId="7145" xr:uid="{00000000-0005-0000-0000-0000B2180000}"/>
    <cellStyle name="Normal 10 32 6" xfId="7146" xr:uid="{00000000-0005-0000-0000-0000B3180000}"/>
    <cellStyle name="Normal 10 32 6 2" xfId="7147" xr:uid="{00000000-0005-0000-0000-0000B4180000}"/>
    <cellStyle name="Normal 10 32 6 3" xfId="7148" xr:uid="{00000000-0005-0000-0000-0000B5180000}"/>
    <cellStyle name="Normal 10 32 6 4" xfId="7149" xr:uid="{00000000-0005-0000-0000-0000B6180000}"/>
    <cellStyle name="Normal 10 32 6 5" xfId="7150" xr:uid="{00000000-0005-0000-0000-0000B7180000}"/>
    <cellStyle name="Normal 10 32 6 6" xfId="7151" xr:uid="{00000000-0005-0000-0000-0000B8180000}"/>
    <cellStyle name="Normal 10 32 7" xfId="7152" xr:uid="{00000000-0005-0000-0000-0000B9180000}"/>
    <cellStyle name="Normal 10 32 7 2" xfId="7153" xr:uid="{00000000-0005-0000-0000-0000BA180000}"/>
    <cellStyle name="Normal 10 32 7 3" xfId="7154" xr:uid="{00000000-0005-0000-0000-0000BB180000}"/>
    <cellStyle name="Normal 10 32 7 4" xfId="7155" xr:uid="{00000000-0005-0000-0000-0000BC180000}"/>
    <cellStyle name="Normal 10 32 7 5" xfId="7156" xr:uid="{00000000-0005-0000-0000-0000BD180000}"/>
    <cellStyle name="Normal 10 32 7 6" xfId="7157" xr:uid="{00000000-0005-0000-0000-0000BE180000}"/>
    <cellStyle name="Normal 10 32 8" xfId="7158" xr:uid="{00000000-0005-0000-0000-0000BF180000}"/>
    <cellStyle name="Normal 10 32 8 2" xfId="7159" xr:uid="{00000000-0005-0000-0000-0000C0180000}"/>
    <cellStyle name="Normal 10 32 8 3" xfId="7160" xr:uid="{00000000-0005-0000-0000-0000C1180000}"/>
    <cellStyle name="Normal 10 32 8 4" xfId="7161" xr:uid="{00000000-0005-0000-0000-0000C2180000}"/>
    <cellStyle name="Normal 10 32 8 5" xfId="7162" xr:uid="{00000000-0005-0000-0000-0000C3180000}"/>
    <cellStyle name="Normal 10 32 8 6" xfId="7163" xr:uid="{00000000-0005-0000-0000-0000C4180000}"/>
    <cellStyle name="Normal 10 32 9" xfId="7164" xr:uid="{00000000-0005-0000-0000-0000C5180000}"/>
    <cellStyle name="Normal 10 33" xfId="7165" xr:uid="{00000000-0005-0000-0000-0000C6180000}"/>
    <cellStyle name="Normal 10 33 10" xfId="7166" xr:uid="{00000000-0005-0000-0000-0000C7180000}"/>
    <cellStyle name="Normal 10 33 11" xfId="7167" xr:uid="{00000000-0005-0000-0000-0000C8180000}"/>
    <cellStyle name="Normal 10 33 12" xfId="7168" xr:uid="{00000000-0005-0000-0000-0000C9180000}"/>
    <cellStyle name="Normal 10 33 13" xfId="7169" xr:uid="{00000000-0005-0000-0000-0000CA180000}"/>
    <cellStyle name="Normal 10 33 2" xfId="7170" xr:uid="{00000000-0005-0000-0000-0000CB180000}"/>
    <cellStyle name="Normal 10 33 2 2" xfId="7171" xr:uid="{00000000-0005-0000-0000-0000CC180000}"/>
    <cellStyle name="Normal 10 33 2 3" xfId="7172" xr:uid="{00000000-0005-0000-0000-0000CD180000}"/>
    <cellStyle name="Normal 10 33 2 4" xfId="7173" xr:uid="{00000000-0005-0000-0000-0000CE180000}"/>
    <cellStyle name="Normal 10 33 2 5" xfId="7174" xr:uid="{00000000-0005-0000-0000-0000CF180000}"/>
    <cellStyle name="Normal 10 33 2 6" xfId="7175" xr:uid="{00000000-0005-0000-0000-0000D0180000}"/>
    <cellStyle name="Normal 10 33 3" xfId="7176" xr:uid="{00000000-0005-0000-0000-0000D1180000}"/>
    <cellStyle name="Normal 10 33 3 2" xfId="7177" xr:uid="{00000000-0005-0000-0000-0000D2180000}"/>
    <cellStyle name="Normal 10 33 3 3" xfId="7178" xr:uid="{00000000-0005-0000-0000-0000D3180000}"/>
    <cellStyle name="Normal 10 33 3 4" xfId="7179" xr:uid="{00000000-0005-0000-0000-0000D4180000}"/>
    <cellStyle name="Normal 10 33 3 5" xfId="7180" xr:uid="{00000000-0005-0000-0000-0000D5180000}"/>
    <cellStyle name="Normal 10 33 3 6" xfId="7181" xr:uid="{00000000-0005-0000-0000-0000D6180000}"/>
    <cellStyle name="Normal 10 33 4" xfId="7182" xr:uid="{00000000-0005-0000-0000-0000D7180000}"/>
    <cellStyle name="Normal 10 33 4 2" xfId="7183" xr:uid="{00000000-0005-0000-0000-0000D8180000}"/>
    <cellStyle name="Normal 10 33 4 3" xfId="7184" xr:uid="{00000000-0005-0000-0000-0000D9180000}"/>
    <cellStyle name="Normal 10 33 4 4" xfId="7185" xr:uid="{00000000-0005-0000-0000-0000DA180000}"/>
    <cellStyle name="Normal 10 33 4 5" xfId="7186" xr:uid="{00000000-0005-0000-0000-0000DB180000}"/>
    <cellStyle name="Normal 10 33 4 6" xfId="7187" xr:uid="{00000000-0005-0000-0000-0000DC180000}"/>
    <cellStyle name="Normal 10 33 5" xfId="7188" xr:uid="{00000000-0005-0000-0000-0000DD180000}"/>
    <cellStyle name="Normal 10 33 5 2" xfId="7189" xr:uid="{00000000-0005-0000-0000-0000DE180000}"/>
    <cellStyle name="Normal 10 33 5 3" xfId="7190" xr:uid="{00000000-0005-0000-0000-0000DF180000}"/>
    <cellStyle name="Normal 10 33 5 4" xfId="7191" xr:uid="{00000000-0005-0000-0000-0000E0180000}"/>
    <cellStyle name="Normal 10 33 5 5" xfId="7192" xr:uid="{00000000-0005-0000-0000-0000E1180000}"/>
    <cellStyle name="Normal 10 33 5 6" xfId="7193" xr:uid="{00000000-0005-0000-0000-0000E2180000}"/>
    <cellStyle name="Normal 10 33 6" xfId="7194" xr:uid="{00000000-0005-0000-0000-0000E3180000}"/>
    <cellStyle name="Normal 10 33 6 2" xfId="7195" xr:uid="{00000000-0005-0000-0000-0000E4180000}"/>
    <cellStyle name="Normal 10 33 6 3" xfId="7196" xr:uid="{00000000-0005-0000-0000-0000E5180000}"/>
    <cellStyle name="Normal 10 33 6 4" xfId="7197" xr:uid="{00000000-0005-0000-0000-0000E6180000}"/>
    <cellStyle name="Normal 10 33 6 5" xfId="7198" xr:uid="{00000000-0005-0000-0000-0000E7180000}"/>
    <cellStyle name="Normal 10 33 6 6" xfId="7199" xr:uid="{00000000-0005-0000-0000-0000E8180000}"/>
    <cellStyle name="Normal 10 33 7" xfId="7200" xr:uid="{00000000-0005-0000-0000-0000E9180000}"/>
    <cellStyle name="Normal 10 33 7 2" xfId="7201" xr:uid="{00000000-0005-0000-0000-0000EA180000}"/>
    <cellStyle name="Normal 10 33 7 3" xfId="7202" xr:uid="{00000000-0005-0000-0000-0000EB180000}"/>
    <cellStyle name="Normal 10 33 7 4" xfId="7203" xr:uid="{00000000-0005-0000-0000-0000EC180000}"/>
    <cellStyle name="Normal 10 33 7 5" xfId="7204" xr:uid="{00000000-0005-0000-0000-0000ED180000}"/>
    <cellStyle name="Normal 10 33 7 6" xfId="7205" xr:uid="{00000000-0005-0000-0000-0000EE180000}"/>
    <cellStyle name="Normal 10 33 8" xfId="7206" xr:uid="{00000000-0005-0000-0000-0000EF180000}"/>
    <cellStyle name="Normal 10 33 8 2" xfId="7207" xr:uid="{00000000-0005-0000-0000-0000F0180000}"/>
    <cellStyle name="Normal 10 33 8 3" xfId="7208" xr:uid="{00000000-0005-0000-0000-0000F1180000}"/>
    <cellStyle name="Normal 10 33 8 4" xfId="7209" xr:uid="{00000000-0005-0000-0000-0000F2180000}"/>
    <cellStyle name="Normal 10 33 8 5" xfId="7210" xr:uid="{00000000-0005-0000-0000-0000F3180000}"/>
    <cellStyle name="Normal 10 33 8 6" xfId="7211" xr:uid="{00000000-0005-0000-0000-0000F4180000}"/>
    <cellStyle name="Normal 10 33 9" xfId="7212" xr:uid="{00000000-0005-0000-0000-0000F5180000}"/>
    <cellStyle name="Normal 10 34" xfId="7213" xr:uid="{00000000-0005-0000-0000-0000F6180000}"/>
    <cellStyle name="Normal 10 34 2" xfId="7214" xr:uid="{00000000-0005-0000-0000-0000F7180000}"/>
    <cellStyle name="Normal 10 34 3" xfId="7215" xr:uid="{00000000-0005-0000-0000-0000F8180000}"/>
    <cellStyle name="Normal 10 34 4" xfId="7216" xr:uid="{00000000-0005-0000-0000-0000F9180000}"/>
    <cellStyle name="Normal 10 34 5" xfId="7217" xr:uid="{00000000-0005-0000-0000-0000FA180000}"/>
    <cellStyle name="Normal 10 34 6" xfId="7218" xr:uid="{00000000-0005-0000-0000-0000FB180000}"/>
    <cellStyle name="Normal 10 35" xfId="7219" xr:uid="{00000000-0005-0000-0000-0000FC180000}"/>
    <cellStyle name="Normal 10 35 2" xfId="7220" xr:uid="{00000000-0005-0000-0000-0000FD180000}"/>
    <cellStyle name="Normal 10 35 3" xfId="7221" xr:uid="{00000000-0005-0000-0000-0000FE180000}"/>
    <cellStyle name="Normal 10 35 4" xfId="7222" xr:uid="{00000000-0005-0000-0000-0000FF180000}"/>
    <cellStyle name="Normal 10 35 5" xfId="7223" xr:uid="{00000000-0005-0000-0000-000000190000}"/>
    <cellStyle name="Normal 10 35 6" xfId="7224" xr:uid="{00000000-0005-0000-0000-000001190000}"/>
    <cellStyle name="Normal 10 36" xfId="7225" xr:uid="{00000000-0005-0000-0000-000002190000}"/>
    <cellStyle name="Normal 10 36 2" xfId="7226" xr:uid="{00000000-0005-0000-0000-000003190000}"/>
    <cellStyle name="Normal 10 36 3" xfId="7227" xr:uid="{00000000-0005-0000-0000-000004190000}"/>
    <cellStyle name="Normal 10 36 4" xfId="7228" xr:uid="{00000000-0005-0000-0000-000005190000}"/>
    <cellStyle name="Normal 10 36 5" xfId="7229" xr:uid="{00000000-0005-0000-0000-000006190000}"/>
    <cellStyle name="Normal 10 36 6" xfId="7230" xr:uid="{00000000-0005-0000-0000-000007190000}"/>
    <cellStyle name="Normal 10 37" xfId="7231" xr:uid="{00000000-0005-0000-0000-000008190000}"/>
    <cellStyle name="Normal 10 37 2" xfId="7232" xr:uid="{00000000-0005-0000-0000-000009190000}"/>
    <cellStyle name="Normal 10 37 3" xfId="7233" xr:uid="{00000000-0005-0000-0000-00000A190000}"/>
    <cellStyle name="Normal 10 37 4" xfId="7234" xr:uid="{00000000-0005-0000-0000-00000B190000}"/>
    <cellStyle name="Normal 10 37 5" xfId="7235" xr:uid="{00000000-0005-0000-0000-00000C190000}"/>
    <cellStyle name="Normal 10 37 6" xfId="7236" xr:uid="{00000000-0005-0000-0000-00000D190000}"/>
    <cellStyle name="Normal 10 38" xfId="7237" xr:uid="{00000000-0005-0000-0000-00000E190000}"/>
    <cellStyle name="Normal 10 38 2" xfId="7238" xr:uid="{00000000-0005-0000-0000-00000F190000}"/>
    <cellStyle name="Normal 10 38 3" xfId="7239" xr:uid="{00000000-0005-0000-0000-000010190000}"/>
    <cellStyle name="Normal 10 38 4" xfId="7240" xr:uid="{00000000-0005-0000-0000-000011190000}"/>
    <cellStyle name="Normal 10 38 5" xfId="7241" xr:uid="{00000000-0005-0000-0000-000012190000}"/>
    <cellStyle name="Normal 10 38 6" xfId="7242" xr:uid="{00000000-0005-0000-0000-000013190000}"/>
    <cellStyle name="Normal 10 39" xfId="7243" xr:uid="{00000000-0005-0000-0000-000014190000}"/>
    <cellStyle name="Normal 10 39 2" xfId="7244" xr:uid="{00000000-0005-0000-0000-000015190000}"/>
    <cellStyle name="Normal 10 39 3" xfId="7245" xr:uid="{00000000-0005-0000-0000-000016190000}"/>
    <cellStyle name="Normal 10 39 4" xfId="7246" xr:uid="{00000000-0005-0000-0000-000017190000}"/>
    <cellStyle name="Normal 10 39 5" xfId="7247" xr:uid="{00000000-0005-0000-0000-000018190000}"/>
    <cellStyle name="Normal 10 39 6" xfId="7248" xr:uid="{00000000-0005-0000-0000-000019190000}"/>
    <cellStyle name="Normal 10 4" xfId="7249" xr:uid="{00000000-0005-0000-0000-00001A190000}"/>
    <cellStyle name="Normal 10 4 10" xfId="7250" xr:uid="{00000000-0005-0000-0000-00001B190000}"/>
    <cellStyle name="Normal 10 4 11" xfId="7251" xr:uid="{00000000-0005-0000-0000-00001C190000}"/>
    <cellStyle name="Normal 10 4 12" xfId="7252" xr:uid="{00000000-0005-0000-0000-00001D190000}"/>
    <cellStyle name="Normal 10 4 13" xfId="7253" xr:uid="{00000000-0005-0000-0000-00001E190000}"/>
    <cellStyle name="Normal 10 4 2" xfId="7254" xr:uid="{00000000-0005-0000-0000-00001F190000}"/>
    <cellStyle name="Normal 10 4 2 2" xfId="7255" xr:uid="{00000000-0005-0000-0000-000020190000}"/>
    <cellStyle name="Normal 10 4 2 3" xfId="7256" xr:uid="{00000000-0005-0000-0000-000021190000}"/>
    <cellStyle name="Normal 10 4 2 4" xfId="7257" xr:uid="{00000000-0005-0000-0000-000022190000}"/>
    <cellStyle name="Normal 10 4 2 5" xfId="7258" xr:uid="{00000000-0005-0000-0000-000023190000}"/>
    <cellStyle name="Normal 10 4 2 6" xfId="7259" xr:uid="{00000000-0005-0000-0000-000024190000}"/>
    <cellStyle name="Normal 10 4 3" xfId="7260" xr:uid="{00000000-0005-0000-0000-000025190000}"/>
    <cellStyle name="Normal 10 4 3 2" xfId="7261" xr:uid="{00000000-0005-0000-0000-000026190000}"/>
    <cellStyle name="Normal 10 4 3 3" xfId="7262" xr:uid="{00000000-0005-0000-0000-000027190000}"/>
    <cellStyle name="Normal 10 4 3 4" xfId="7263" xr:uid="{00000000-0005-0000-0000-000028190000}"/>
    <cellStyle name="Normal 10 4 3 5" xfId="7264" xr:uid="{00000000-0005-0000-0000-000029190000}"/>
    <cellStyle name="Normal 10 4 3 6" xfId="7265" xr:uid="{00000000-0005-0000-0000-00002A190000}"/>
    <cellStyle name="Normal 10 4 4" xfId="7266" xr:uid="{00000000-0005-0000-0000-00002B190000}"/>
    <cellStyle name="Normal 10 4 4 2" xfId="7267" xr:uid="{00000000-0005-0000-0000-00002C190000}"/>
    <cellStyle name="Normal 10 4 4 3" xfId="7268" xr:uid="{00000000-0005-0000-0000-00002D190000}"/>
    <cellStyle name="Normal 10 4 4 4" xfId="7269" xr:uid="{00000000-0005-0000-0000-00002E190000}"/>
    <cellStyle name="Normal 10 4 4 5" xfId="7270" xr:uid="{00000000-0005-0000-0000-00002F190000}"/>
    <cellStyle name="Normal 10 4 4 6" xfId="7271" xr:uid="{00000000-0005-0000-0000-000030190000}"/>
    <cellStyle name="Normal 10 4 5" xfId="7272" xr:uid="{00000000-0005-0000-0000-000031190000}"/>
    <cellStyle name="Normal 10 4 5 2" xfId="7273" xr:uid="{00000000-0005-0000-0000-000032190000}"/>
    <cellStyle name="Normal 10 4 5 3" xfId="7274" xr:uid="{00000000-0005-0000-0000-000033190000}"/>
    <cellStyle name="Normal 10 4 5 4" xfId="7275" xr:uid="{00000000-0005-0000-0000-000034190000}"/>
    <cellStyle name="Normal 10 4 5 5" xfId="7276" xr:uid="{00000000-0005-0000-0000-000035190000}"/>
    <cellStyle name="Normal 10 4 5 6" xfId="7277" xr:uid="{00000000-0005-0000-0000-000036190000}"/>
    <cellStyle name="Normal 10 4 6" xfId="7278" xr:uid="{00000000-0005-0000-0000-000037190000}"/>
    <cellStyle name="Normal 10 4 6 2" xfId="7279" xr:uid="{00000000-0005-0000-0000-000038190000}"/>
    <cellStyle name="Normal 10 4 6 3" xfId="7280" xr:uid="{00000000-0005-0000-0000-000039190000}"/>
    <cellStyle name="Normal 10 4 6 4" xfId="7281" xr:uid="{00000000-0005-0000-0000-00003A190000}"/>
    <cellStyle name="Normal 10 4 6 5" xfId="7282" xr:uid="{00000000-0005-0000-0000-00003B190000}"/>
    <cellStyle name="Normal 10 4 6 6" xfId="7283" xr:uid="{00000000-0005-0000-0000-00003C190000}"/>
    <cellStyle name="Normal 10 4 7" xfId="7284" xr:uid="{00000000-0005-0000-0000-00003D190000}"/>
    <cellStyle name="Normal 10 4 7 2" xfId="7285" xr:uid="{00000000-0005-0000-0000-00003E190000}"/>
    <cellStyle name="Normal 10 4 7 3" xfId="7286" xr:uid="{00000000-0005-0000-0000-00003F190000}"/>
    <cellStyle name="Normal 10 4 7 4" xfId="7287" xr:uid="{00000000-0005-0000-0000-000040190000}"/>
    <cellStyle name="Normal 10 4 7 5" xfId="7288" xr:uid="{00000000-0005-0000-0000-000041190000}"/>
    <cellStyle name="Normal 10 4 7 6" xfId="7289" xr:uid="{00000000-0005-0000-0000-000042190000}"/>
    <cellStyle name="Normal 10 4 8" xfId="7290" xr:uid="{00000000-0005-0000-0000-000043190000}"/>
    <cellStyle name="Normal 10 4 8 2" xfId="7291" xr:uid="{00000000-0005-0000-0000-000044190000}"/>
    <cellStyle name="Normal 10 4 8 3" xfId="7292" xr:uid="{00000000-0005-0000-0000-000045190000}"/>
    <cellStyle name="Normal 10 4 8 4" xfId="7293" xr:uid="{00000000-0005-0000-0000-000046190000}"/>
    <cellStyle name="Normal 10 4 8 5" xfId="7294" xr:uid="{00000000-0005-0000-0000-000047190000}"/>
    <cellStyle name="Normal 10 4 8 6" xfId="7295" xr:uid="{00000000-0005-0000-0000-000048190000}"/>
    <cellStyle name="Normal 10 4 9" xfId="7296" xr:uid="{00000000-0005-0000-0000-000049190000}"/>
    <cellStyle name="Normal 10 40" xfId="7297" xr:uid="{00000000-0005-0000-0000-00004A190000}"/>
    <cellStyle name="Normal 10 40 2" xfId="7298" xr:uid="{00000000-0005-0000-0000-00004B190000}"/>
    <cellStyle name="Normal 10 40 3" xfId="7299" xr:uid="{00000000-0005-0000-0000-00004C190000}"/>
    <cellStyle name="Normal 10 40 4" xfId="7300" xr:uid="{00000000-0005-0000-0000-00004D190000}"/>
    <cellStyle name="Normal 10 40 5" xfId="7301" xr:uid="{00000000-0005-0000-0000-00004E190000}"/>
    <cellStyle name="Normal 10 40 6" xfId="7302" xr:uid="{00000000-0005-0000-0000-00004F190000}"/>
    <cellStyle name="Normal 10 41" xfId="7303" xr:uid="{00000000-0005-0000-0000-000050190000}"/>
    <cellStyle name="Normal 10 42" xfId="7304" xr:uid="{00000000-0005-0000-0000-000051190000}"/>
    <cellStyle name="Normal 10 43" xfId="7305" xr:uid="{00000000-0005-0000-0000-000052190000}"/>
    <cellStyle name="Normal 10 44" xfId="7306" xr:uid="{00000000-0005-0000-0000-000053190000}"/>
    <cellStyle name="Normal 10 45" xfId="7307" xr:uid="{00000000-0005-0000-0000-000054190000}"/>
    <cellStyle name="Normal 10 46" xfId="7308" xr:uid="{00000000-0005-0000-0000-000055190000}"/>
    <cellStyle name="Normal 10 5" xfId="7309" xr:uid="{00000000-0005-0000-0000-000056190000}"/>
    <cellStyle name="Normal 10 5 10" xfId="7310" xr:uid="{00000000-0005-0000-0000-000057190000}"/>
    <cellStyle name="Normal 10 5 11" xfId="7311" xr:uid="{00000000-0005-0000-0000-000058190000}"/>
    <cellStyle name="Normal 10 5 12" xfId="7312" xr:uid="{00000000-0005-0000-0000-000059190000}"/>
    <cellStyle name="Normal 10 5 13" xfId="7313" xr:uid="{00000000-0005-0000-0000-00005A190000}"/>
    <cellStyle name="Normal 10 5 2" xfId="7314" xr:uid="{00000000-0005-0000-0000-00005B190000}"/>
    <cellStyle name="Normal 10 5 2 2" xfId="7315" xr:uid="{00000000-0005-0000-0000-00005C190000}"/>
    <cellStyle name="Normal 10 5 2 3" xfId="7316" xr:uid="{00000000-0005-0000-0000-00005D190000}"/>
    <cellStyle name="Normal 10 5 2 4" xfId="7317" xr:uid="{00000000-0005-0000-0000-00005E190000}"/>
    <cellStyle name="Normal 10 5 2 5" xfId="7318" xr:uid="{00000000-0005-0000-0000-00005F190000}"/>
    <cellStyle name="Normal 10 5 2 6" xfId="7319" xr:uid="{00000000-0005-0000-0000-000060190000}"/>
    <cellStyle name="Normal 10 5 3" xfId="7320" xr:uid="{00000000-0005-0000-0000-000061190000}"/>
    <cellStyle name="Normal 10 5 3 2" xfId="7321" xr:uid="{00000000-0005-0000-0000-000062190000}"/>
    <cellStyle name="Normal 10 5 3 3" xfId="7322" xr:uid="{00000000-0005-0000-0000-000063190000}"/>
    <cellStyle name="Normal 10 5 3 4" xfId="7323" xr:uid="{00000000-0005-0000-0000-000064190000}"/>
    <cellStyle name="Normal 10 5 3 5" xfId="7324" xr:uid="{00000000-0005-0000-0000-000065190000}"/>
    <cellStyle name="Normal 10 5 3 6" xfId="7325" xr:uid="{00000000-0005-0000-0000-000066190000}"/>
    <cellStyle name="Normal 10 5 4" xfId="7326" xr:uid="{00000000-0005-0000-0000-000067190000}"/>
    <cellStyle name="Normal 10 5 4 2" xfId="7327" xr:uid="{00000000-0005-0000-0000-000068190000}"/>
    <cellStyle name="Normal 10 5 4 3" xfId="7328" xr:uid="{00000000-0005-0000-0000-000069190000}"/>
    <cellStyle name="Normal 10 5 4 4" xfId="7329" xr:uid="{00000000-0005-0000-0000-00006A190000}"/>
    <cellStyle name="Normal 10 5 4 5" xfId="7330" xr:uid="{00000000-0005-0000-0000-00006B190000}"/>
    <cellStyle name="Normal 10 5 4 6" xfId="7331" xr:uid="{00000000-0005-0000-0000-00006C190000}"/>
    <cellStyle name="Normal 10 5 5" xfId="7332" xr:uid="{00000000-0005-0000-0000-00006D190000}"/>
    <cellStyle name="Normal 10 5 5 2" xfId="7333" xr:uid="{00000000-0005-0000-0000-00006E190000}"/>
    <cellStyle name="Normal 10 5 5 3" xfId="7334" xr:uid="{00000000-0005-0000-0000-00006F190000}"/>
    <cellStyle name="Normal 10 5 5 4" xfId="7335" xr:uid="{00000000-0005-0000-0000-000070190000}"/>
    <cellStyle name="Normal 10 5 5 5" xfId="7336" xr:uid="{00000000-0005-0000-0000-000071190000}"/>
    <cellStyle name="Normal 10 5 5 6" xfId="7337" xr:uid="{00000000-0005-0000-0000-000072190000}"/>
    <cellStyle name="Normal 10 5 6" xfId="7338" xr:uid="{00000000-0005-0000-0000-000073190000}"/>
    <cellStyle name="Normal 10 5 6 2" xfId="7339" xr:uid="{00000000-0005-0000-0000-000074190000}"/>
    <cellStyle name="Normal 10 5 6 3" xfId="7340" xr:uid="{00000000-0005-0000-0000-000075190000}"/>
    <cellStyle name="Normal 10 5 6 4" xfId="7341" xr:uid="{00000000-0005-0000-0000-000076190000}"/>
    <cellStyle name="Normal 10 5 6 5" xfId="7342" xr:uid="{00000000-0005-0000-0000-000077190000}"/>
    <cellStyle name="Normal 10 5 6 6" xfId="7343" xr:uid="{00000000-0005-0000-0000-000078190000}"/>
    <cellStyle name="Normal 10 5 7" xfId="7344" xr:uid="{00000000-0005-0000-0000-000079190000}"/>
    <cellStyle name="Normal 10 5 7 2" xfId="7345" xr:uid="{00000000-0005-0000-0000-00007A190000}"/>
    <cellStyle name="Normal 10 5 7 3" xfId="7346" xr:uid="{00000000-0005-0000-0000-00007B190000}"/>
    <cellStyle name="Normal 10 5 7 4" xfId="7347" xr:uid="{00000000-0005-0000-0000-00007C190000}"/>
    <cellStyle name="Normal 10 5 7 5" xfId="7348" xr:uid="{00000000-0005-0000-0000-00007D190000}"/>
    <cellStyle name="Normal 10 5 7 6" xfId="7349" xr:uid="{00000000-0005-0000-0000-00007E190000}"/>
    <cellStyle name="Normal 10 5 8" xfId="7350" xr:uid="{00000000-0005-0000-0000-00007F190000}"/>
    <cellStyle name="Normal 10 5 8 2" xfId="7351" xr:uid="{00000000-0005-0000-0000-000080190000}"/>
    <cellStyle name="Normal 10 5 8 3" xfId="7352" xr:uid="{00000000-0005-0000-0000-000081190000}"/>
    <cellStyle name="Normal 10 5 8 4" xfId="7353" xr:uid="{00000000-0005-0000-0000-000082190000}"/>
    <cellStyle name="Normal 10 5 8 5" xfId="7354" xr:uid="{00000000-0005-0000-0000-000083190000}"/>
    <cellStyle name="Normal 10 5 8 6" xfId="7355" xr:uid="{00000000-0005-0000-0000-000084190000}"/>
    <cellStyle name="Normal 10 5 9" xfId="7356" xr:uid="{00000000-0005-0000-0000-000085190000}"/>
    <cellStyle name="Normal 10 6" xfId="7357" xr:uid="{00000000-0005-0000-0000-000086190000}"/>
    <cellStyle name="Normal 10 6 10" xfId="7358" xr:uid="{00000000-0005-0000-0000-000087190000}"/>
    <cellStyle name="Normal 10 6 11" xfId="7359" xr:uid="{00000000-0005-0000-0000-000088190000}"/>
    <cellStyle name="Normal 10 6 12" xfId="7360" xr:uid="{00000000-0005-0000-0000-000089190000}"/>
    <cellStyle name="Normal 10 6 13" xfId="7361" xr:uid="{00000000-0005-0000-0000-00008A190000}"/>
    <cellStyle name="Normal 10 6 2" xfId="7362" xr:uid="{00000000-0005-0000-0000-00008B190000}"/>
    <cellStyle name="Normal 10 6 2 2" xfId="7363" xr:uid="{00000000-0005-0000-0000-00008C190000}"/>
    <cellStyle name="Normal 10 6 2 3" xfId="7364" xr:uid="{00000000-0005-0000-0000-00008D190000}"/>
    <cellStyle name="Normal 10 6 2 4" xfId="7365" xr:uid="{00000000-0005-0000-0000-00008E190000}"/>
    <cellStyle name="Normal 10 6 2 5" xfId="7366" xr:uid="{00000000-0005-0000-0000-00008F190000}"/>
    <cellStyle name="Normal 10 6 2 6" xfId="7367" xr:uid="{00000000-0005-0000-0000-000090190000}"/>
    <cellStyle name="Normal 10 6 3" xfId="7368" xr:uid="{00000000-0005-0000-0000-000091190000}"/>
    <cellStyle name="Normal 10 6 3 2" xfId="7369" xr:uid="{00000000-0005-0000-0000-000092190000}"/>
    <cellStyle name="Normal 10 6 3 3" xfId="7370" xr:uid="{00000000-0005-0000-0000-000093190000}"/>
    <cellStyle name="Normal 10 6 3 4" xfId="7371" xr:uid="{00000000-0005-0000-0000-000094190000}"/>
    <cellStyle name="Normal 10 6 3 5" xfId="7372" xr:uid="{00000000-0005-0000-0000-000095190000}"/>
    <cellStyle name="Normal 10 6 3 6" xfId="7373" xr:uid="{00000000-0005-0000-0000-000096190000}"/>
    <cellStyle name="Normal 10 6 4" xfId="7374" xr:uid="{00000000-0005-0000-0000-000097190000}"/>
    <cellStyle name="Normal 10 6 4 2" xfId="7375" xr:uid="{00000000-0005-0000-0000-000098190000}"/>
    <cellStyle name="Normal 10 6 4 3" xfId="7376" xr:uid="{00000000-0005-0000-0000-000099190000}"/>
    <cellStyle name="Normal 10 6 4 4" xfId="7377" xr:uid="{00000000-0005-0000-0000-00009A190000}"/>
    <cellStyle name="Normal 10 6 4 5" xfId="7378" xr:uid="{00000000-0005-0000-0000-00009B190000}"/>
    <cellStyle name="Normal 10 6 4 6" xfId="7379" xr:uid="{00000000-0005-0000-0000-00009C190000}"/>
    <cellStyle name="Normal 10 6 5" xfId="7380" xr:uid="{00000000-0005-0000-0000-00009D190000}"/>
    <cellStyle name="Normal 10 6 5 2" xfId="7381" xr:uid="{00000000-0005-0000-0000-00009E190000}"/>
    <cellStyle name="Normal 10 6 5 3" xfId="7382" xr:uid="{00000000-0005-0000-0000-00009F190000}"/>
    <cellStyle name="Normal 10 6 5 4" xfId="7383" xr:uid="{00000000-0005-0000-0000-0000A0190000}"/>
    <cellStyle name="Normal 10 6 5 5" xfId="7384" xr:uid="{00000000-0005-0000-0000-0000A1190000}"/>
    <cellStyle name="Normal 10 6 5 6" xfId="7385" xr:uid="{00000000-0005-0000-0000-0000A2190000}"/>
    <cellStyle name="Normal 10 6 6" xfId="7386" xr:uid="{00000000-0005-0000-0000-0000A3190000}"/>
    <cellStyle name="Normal 10 6 6 2" xfId="7387" xr:uid="{00000000-0005-0000-0000-0000A4190000}"/>
    <cellStyle name="Normal 10 6 6 3" xfId="7388" xr:uid="{00000000-0005-0000-0000-0000A5190000}"/>
    <cellStyle name="Normal 10 6 6 4" xfId="7389" xr:uid="{00000000-0005-0000-0000-0000A6190000}"/>
    <cellStyle name="Normal 10 6 6 5" xfId="7390" xr:uid="{00000000-0005-0000-0000-0000A7190000}"/>
    <cellStyle name="Normal 10 6 6 6" xfId="7391" xr:uid="{00000000-0005-0000-0000-0000A8190000}"/>
    <cellStyle name="Normal 10 6 7" xfId="7392" xr:uid="{00000000-0005-0000-0000-0000A9190000}"/>
    <cellStyle name="Normal 10 6 7 2" xfId="7393" xr:uid="{00000000-0005-0000-0000-0000AA190000}"/>
    <cellStyle name="Normal 10 6 7 3" xfId="7394" xr:uid="{00000000-0005-0000-0000-0000AB190000}"/>
    <cellStyle name="Normal 10 6 7 4" xfId="7395" xr:uid="{00000000-0005-0000-0000-0000AC190000}"/>
    <cellStyle name="Normal 10 6 7 5" xfId="7396" xr:uid="{00000000-0005-0000-0000-0000AD190000}"/>
    <cellStyle name="Normal 10 6 7 6" xfId="7397" xr:uid="{00000000-0005-0000-0000-0000AE190000}"/>
    <cellStyle name="Normal 10 6 8" xfId="7398" xr:uid="{00000000-0005-0000-0000-0000AF190000}"/>
    <cellStyle name="Normal 10 6 8 2" xfId="7399" xr:uid="{00000000-0005-0000-0000-0000B0190000}"/>
    <cellStyle name="Normal 10 6 8 3" xfId="7400" xr:uid="{00000000-0005-0000-0000-0000B1190000}"/>
    <cellStyle name="Normal 10 6 8 4" xfId="7401" xr:uid="{00000000-0005-0000-0000-0000B2190000}"/>
    <cellStyle name="Normal 10 6 8 5" xfId="7402" xr:uid="{00000000-0005-0000-0000-0000B3190000}"/>
    <cellStyle name="Normal 10 6 8 6" xfId="7403" xr:uid="{00000000-0005-0000-0000-0000B4190000}"/>
    <cellStyle name="Normal 10 6 9" xfId="7404" xr:uid="{00000000-0005-0000-0000-0000B5190000}"/>
    <cellStyle name="Normal 10 7" xfId="7405" xr:uid="{00000000-0005-0000-0000-0000B6190000}"/>
    <cellStyle name="Normal 10 7 10" xfId="7406" xr:uid="{00000000-0005-0000-0000-0000B7190000}"/>
    <cellStyle name="Normal 10 7 11" xfId="7407" xr:uid="{00000000-0005-0000-0000-0000B8190000}"/>
    <cellStyle name="Normal 10 7 12" xfId="7408" xr:uid="{00000000-0005-0000-0000-0000B9190000}"/>
    <cellStyle name="Normal 10 7 13" xfId="7409" xr:uid="{00000000-0005-0000-0000-0000BA190000}"/>
    <cellStyle name="Normal 10 7 2" xfId="7410" xr:uid="{00000000-0005-0000-0000-0000BB190000}"/>
    <cellStyle name="Normal 10 7 2 2" xfId="7411" xr:uid="{00000000-0005-0000-0000-0000BC190000}"/>
    <cellStyle name="Normal 10 7 2 3" xfId="7412" xr:uid="{00000000-0005-0000-0000-0000BD190000}"/>
    <cellStyle name="Normal 10 7 2 4" xfId="7413" xr:uid="{00000000-0005-0000-0000-0000BE190000}"/>
    <cellStyle name="Normal 10 7 2 5" xfId="7414" xr:uid="{00000000-0005-0000-0000-0000BF190000}"/>
    <cellStyle name="Normal 10 7 2 6" xfId="7415" xr:uid="{00000000-0005-0000-0000-0000C0190000}"/>
    <cellStyle name="Normal 10 7 3" xfId="7416" xr:uid="{00000000-0005-0000-0000-0000C1190000}"/>
    <cellStyle name="Normal 10 7 3 2" xfId="7417" xr:uid="{00000000-0005-0000-0000-0000C2190000}"/>
    <cellStyle name="Normal 10 7 3 3" xfId="7418" xr:uid="{00000000-0005-0000-0000-0000C3190000}"/>
    <cellStyle name="Normal 10 7 3 4" xfId="7419" xr:uid="{00000000-0005-0000-0000-0000C4190000}"/>
    <cellStyle name="Normal 10 7 3 5" xfId="7420" xr:uid="{00000000-0005-0000-0000-0000C5190000}"/>
    <cellStyle name="Normal 10 7 3 6" xfId="7421" xr:uid="{00000000-0005-0000-0000-0000C6190000}"/>
    <cellStyle name="Normal 10 7 4" xfId="7422" xr:uid="{00000000-0005-0000-0000-0000C7190000}"/>
    <cellStyle name="Normal 10 7 4 2" xfId="7423" xr:uid="{00000000-0005-0000-0000-0000C8190000}"/>
    <cellStyle name="Normal 10 7 4 3" xfId="7424" xr:uid="{00000000-0005-0000-0000-0000C9190000}"/>
    <cellStyle name="Normal 10 7 4 4" xfId="7425" xr:uid="{00000000-0005-0000-0000-0000CA190000}"/>
    <cellStyle name="Normal 10 7 4 5" xfId="7426" xr:uid="{00000000-0005-0000-0000-0000CB190000}"/>
    <cellStyle name="Normal 10 7 4 6" xfId="7427" xr:uid="{00000000-0005-0000-0000-0000CC190000}"/>
    <cellStyle name="Normal 10 7 5" xfId="7428" xr:uid="{00000000-0005-0000-0000-0000CD190000}"/>
    <cellStyle name="Normal 10 7 5 2" xfId="7429" xr:uid="{00000000-0005-0000-0000-0000CE190000}"/>
    <cellStyle name="Normal 10 7 5 3" xfId="7430" xr:uid="{00000000-0005-0000-0000-0000CF190000}"/>
    <cellStyle name="Normal 10 7 5 4" xfId="7431" xr:uid="{00000000-0005-0000-0000-0000D0190000}"/>
    <cellStyle name="Normal 10 7 5 5" xfId="7432" xr:uid="{00000000-0005-0000-0000-0000D1190000}"/>
    <cellStyle name="Normal 10 7 5 6" xfId="7433" xr:uid="{00000000-0005-0000-0000-0000D2190000}"/>
    <cellStyle name="Normal 10 7 6" xfId="7434" xr:uid="{00000000-0005-0000-0000-0000D3190000}"/>
    <cellStyle name="Normal 10 7 6 2" xfId="7435" xr:uid="{00000000-0005-0000-0000-0000D4190000}"/>
    <cellStyle name="Normal 10 7 6 3" xfId="7436" xr:uid="{00000000-0005-0000-0000-0000D5190000}"/>
    <cellStyle name="Normal 10 7 6 4" xfId="7437" xr:uid="{00000000-0005-0000-0000-0000D6190000}"/>
    <cellStyle name="Normal 10 7 6 5" xfId="7438" xr:uid="{00000000-0005-0000-0000-0000D7190000}"/>
    <cellStyle name="Normal 10 7 6 6" xfId="7439" xr:uid="{00000000-0005-0000-0000-0000D8190000}"/>
    <cellStyle name="Normal 10 7 7" xfId="7440" xr:uid="{00000000-0005-0000-0000-0000D9190000}"/>
    <cellStyle name="Normal 10 7 7 2" xfId="7441" xr:uid="{00000000-0005-0000-0000-0000DA190000}"/>
    <cellStyle name="Normal 10 7 7 3" xfId="7442" xr:uid="{00000000-0005-0000-0000-0000DB190000}"/>
    <cellStyle name="Normal 10 7 7 4" xfId="7443" xr:uid="{00000000-0005-0000-0000-0000DC190000}"/>
    <cellStyle name="Normal 10 7 7 5" xfId="7444" xr:uid="{00000000-0005-0000-0000-0000DD190000}"/>
    <cellStyle name="Normal 10 7 7 6" xfId="7445" xr:uid="{00000000-0005-0000-0000-0000DE190000}"/>
    <cellStyle name="Normal 10 7 8" xfId="7446" xr:uid="{00000000-0005-0000-0000-0000DF190000}"/>
    <cellStyle name="Normal 10 7 8 2" xfId="7447" xr:uid="{00000000-0005-0000-0000-0000E0190000}"/>
    <cellStyle name="Normal 10 7 8 3" xfId="7448" xr:uid="{00000000-0005-0000-0000-0000E1190000}"/>
    <cellStyle name="Normal 10 7 8 4" xfId="7449" xr:uid="{00000000-0005-0000-0000-0000E2190000}"/>
    <cellStyle name="Normal 10 7 8 5" xfId="7450" xr:uid="{00000000-0005-0000-0000-0000E3190000}"/>
    <cellStyle name="Normal 10 7 8 6" xfId="7451" xr:uid="{00000000-0005-0000-0000-0000E4190000}"/>
    <cellStyle name="Normal 10 7 9" xfId="7452" xr:uid="{00000000-0005-0000-0000-0000E5190000}"/>
    <cellStyle name="Normal 10 8" xfId="7453" xr:uid="{00000000-0005-0000-0000-0000E6190000}"/>
    <cellStyle name="Normal 10 8 10" xfId="7454" xr:uid="{00000000-0005-0000-0000-0000E7190000}"/>
    <cellStyle name="Normal 10 8 11" xfId="7455" xr:uid="{00000000-0005-0000-0000-0000E8190000}"/>
    <cellStyle name="Normal 10 8 12" xfId="7456" xr:uid="{00000000-0005-0000-0000-0000E9190000}"/>
    <cellStyle name="Normal 10 8 13" xfId="7457" xr:uid="{00000000-0005-0000-0000-0000EA190000}"/>
    <cellStyle name="Normal 10 8 2" xfId="7458" xr:uid="{00000000-0005-0000-0000-0000EB190000}"/>
    <cellStyle name="Normal 10 8 2 2" xfId="7459" xr:uid="{00000000-0005-0000-0000-0000EC190000}"/>
    <cellStyle name="Normal 10 8 2 3" xfId="7460" xr:uid="{00000000-0005-0000-0000-0000ED190000}"/>
    <cellStyle name="Normal 10 8 2 4" xfId="7461" xr:uid="{00000000-0005-0000-0000-0000EE190000}"/>
    <cellStyle name="Normal 10 8 2 5" xfId="7462" xr:uid="{00000000-0005-0000-0000-0000EF190000}"/>
    <cellStyle name="Normal 10 8 2 6" xfId="7463" xr:uid="{00000000-0005-0000-0000-0000F0190000}"/>
    <cellStyle name="Normal 10 8 3" xfId="7464" xr:uid="{00000000-0005-0000-0000-0000F1190000}"/>
    <cellStyle name="Normal 10 8 3 2" xfId="7465" xr:uid="{00000000-0005-0000-0000-0000F2190000}"/>
    <cellStyle name="Normal 10 8 3 3" xfId="7466" xr:uid="{00000000-0005-0000-0000-0000F3190000}"/>
    <cellStyle name="Normal 10 8 3 4" xfId="7467" xr:uid="{00000000-0005-0000-0000-0000F4190000}"/>
    <cellStyle name="Normal 10 8 3 5" xfId="7468" xr:uid="{00000000-0005-0000-0000-0000F5190000}"/>
    <cellStyle name="Normal 10 8 3 6" xfId="7469" xr:uid="{00000000-0005-0000-0000-0000F6190000}"/>
    <cellStyle name="Normal 10 8 4" xfId="7470" xr:uid="{00000000-0005-0000-0000-0000F7190000}"/>
    <cellStyle name="Normal 10 8 4 2" xfId="7471" xr:uid="{00000000-0005-0000-0000-0000F8190000}"/>
    <cellStyle name="Normal 10 8 4 3" xfId="7472" xr:uid="{00000000-0005-0000-0000-0000F9190000}"/>
    <cellStyle name="Normal 10 8 4 4" xfId="7473" xr:uid="{00000000-0005-0000-0000-0000FA190000}"/>
    <cellStyle name="Normal 10 8 4 5" xfId="7474" xr:uid="{00000000-0005-0000-0000-0000FB190000}"/>
    <cellStyle name="Normal 10 8 4 6" xfId="7475" xr:uid="{00000000-0005-0000-0000-0000FC190000}"/>
    <cellStyle name="Normal 10 8 5" xfId="7476" xr:uid="{00000000-0005-0000-0000-0000FD190000}"/>
    <cellStyle name="Normal 10 8 5 2" xfId="7477" xr:uid="{00000000-0005-0000-0000-0000FE190000}"/>
    <cellStyle name="Normal 10 8 5 3" xfId="7478" xr:uid="{00000000-0005-0000-0000-0000FF190000}"/>
    <cellStyle name="Normal 10 8 5 4" xfId="7479" xr:uid="{00000000-0005-0000-0000-0000001A0000}"/>
    <cellStyle name="Normal 10 8 5 5" xfId="7480" xr:uid="{00000000-0005-0000-0000-0000011A0000}"/>
    <cellStyle name="Normal 10 8 5 6" xfId="7481" xr:uid="{00000000-0005-0000-0000-0000021A0000}"/>
    <cellStyle name="Normal 10 8 6" xfId="7482" xr:uid="{00000000-0005-0000-0000-0000031A0000}"/>
    <cellStyle name="Normal 10 8 6 2" xfId="7483" xr:uid="{00000000-0005-0000-0000-0000041A0000}"/>
    <cellStyle name="Normal 10 8 6 3" xfId="7484" xr:uid="{00000000-0005-0000-0000-0000051A0000}"/>
    <cellStyle name="Normal 10 8 6 4" xfId="7485" xr:uid="{00000000-0005-0000-0000-0000061A0000}"/>
    <cellStyle name="Normal 10 8 6 5" xfId="7486" xr:uid="{00000000-0005-0000-0000-0000071A0000}"/>
    <cellStyle name="Normal 10 8 6 6" xfId="7487" xr:uid="{00000000-0005-0000-0000-0000081A0000}"/>
    <cellStyle name="Normal 10 8 7" xfId="7488" xr:uid="{00000000-0005-0000-0000-0000091A0000}"/>
    <cellStyle name="Normal 10 8 7 2" xfId="7489" xr:uid="{00000000-0005-0000-0000-00000A1A0000}"/>
    <cellStyle name="Normal 10 8 7 3" xfId="7490" xr:uid="{00000000-0005-0000-0000-00000B1A0000}"/>
    <cellStyle name="Normal 10 8 7 4" xfId="7491" xr:uid="{00000000-0005-0000-0000-00000C1A0000}"/>
    <cellStyle name="Normal 10 8 7 5" xfId="7492" xr:uid="{00000000-0005-0000-0000-00000D1A0000}"/>
    <cellStyle name="Normal 10 8 7 6" xfId="7493" xr:uid="{00000000-0005-0000-0000-00000E1A0000}"/>
    <cellStyle name="Normal 10 8 8" xfId="7494" xr:uid="{00000000-0005-0000-0000-00000F1A0000}"/>
    <cellStyle name="Normal 10 8 8 2" xfId="7495" xr:uid="{00000000-0005-0000-0000-0000101A0000}"/>
    <cellStyle name="Normal 10 8 8 3" xfId="7496" xr:uid="{00000000-0005-0000-0000-0000111A0000}"/>
    <cellStyle name="Normal 10 8 8 4" xfId="7497" xr:uid="{00000000-0005-0000-0000-0000121A0000}"/>
    <cellStyle name="Normal 10 8 8 5" xfId="7498" xr:uid="{00000000-0005-0000-0000-0000131A0000}"/>
    <cellStyle name="Normal 10 8 8 6" xfId="7499" xr:uid="{00000000-0005-0000-0000-0000141A0000}"/>
    <cellStyle name="Normal 10 8 9" xfId="7500" xr:uid="{00000000-0005-0000-0000-0000151A0000}"/>
    <cellStyle name="Normal 10 9" xfId="7501" xr:uid="{00000000-0005-0000-0000-0000161A0000}"/>
    <cellStyle name="Normal 10 9 10" xfId="7502" xr:uid="{00000000-0005-0000-0000-0000171A0000}"/>
    <cellStyle name="Normal 10 9 11" xfId="7503" xr:uid="{00000000-0005-0000-0000-0000181A0000}"/>
    <cellStyle name="Normal 10 9 12" xfId="7504" xr:uid="{00000000-0005-0000-0000-0000191A0000}"/>
    <cellStyle name="Normal 10 9 13" xfId="7505" xr:uid="{00000000-0005-0000-0000-00001A1A0000}"/>
    <cellStyle name="Normal 10 9 2" xfId="7506" xr:uid="{00000000-0005-0000-0000-00001B1A0000}"/>
    <cellStyle name="Normal 10 9 2 2" xfId="7507" xr:uid="{00000000-0005-0000-0000-00001C1A0000}"/>
    <cellStyle name="Normal 10 9 2 3" xfId="7508" xr:uid="{00000000-0005-0000-0000-00001D1A0000}"/>
    <cellStyle name="Normal 10 9 2 4" xfId="7509" xr:uid="{00000000-0005-0000-0000-00001E1A0000}"/>
    <cellStyle name="Normal 10 9 2 5" xfId="7510" xr:uid="{00000000-0005-0000-0000-00001F1A0000}"/>
    <cellStyle name="Normal 10 9 2 6" xfId="7511" xr:uid="{00000000-0005-0000-0000-0000201A0000}"/>
    <cellStyle name="Normal 10 9 3" xfId="7512" xr:uid="{00000000-0005-0000-0000-0000211A0000}"/>
    <cellStyle name="Normal 10 9 3 2" xfId="7513" xr:uid="{00000000-0005-0000-0000-0000221A0000}"/>
    <cellStyle name="Normal 10 9 3 3" xfId="7514" xr:uid="{00000000-0005-0000-0000-0000231A0000}"/>
    <cellStyle name="Normal 10 9 3 4" xfId="7515" xr:uid="{00000000-0005-0000-0000-0000241A0000}"/>
    <cellStyle name="Normal 10 9 3 5" xfId="7516" xr:uid="{00000000-0005-0000-0000-0000251A0000}"/>
    <cellStyle name="Normal 10 9 3 6" xfId="7517" xr:uid="{00000000-0005-0000-0000-0000261A0000}"/>
    <cellStyle name="Normal 10 9 4" xfId="7518" xr:uid="{00000000-0005-0000-0000-0000271A0000}"/>
    <cellStyle name="Normal 10 9 4 2" xfId="7519" xr:uid="{00000000-0005-0000-0000-0000281A0000}"/>
    <cellStyle name="Normal 10 9 4 3" xfId="7520" xr:uid="{00000000-0005-0000-0000-0000291A0000}"/>
    <cellStyle name="Normal 10 9 4 4" xfId="7521" xr:uid="{00000000-0005-0000-0000-00002A1A0000}"/>
    <cellStyle name="Normal 10 9 4 5" xfId="7522" xr:uid="{00000000-0005-0000-0000-00002B1A0000}"/>
    <cellStyle name="Normal 10 9 4 6" xfId="7523" xr:uid="{00000000-0005-0000-0000-00002C1A0000}"/>
    <cellStyle name="Normal 10 9 5" xfId="7524" xr:uid="{00000000-0005-0000-0000-00002D1A0000}"/>
    <cellStyle name="Normal 10 9 5 2" xfId="7525" xr:uid="{00000000-0005-0000-0000-00002E1A0000}"/>
    <cellStyle name="Normal 10 9 5 3" xfId="7526" xr:uid="{00000000-0005-0000-0000-00002F1A0000}"/>
    <cellStyle name="Normal 10 9 5 4" xfId="7527" xr:uid="{00000000-0005-0000-0000-0000301A0000}"/>
    <cellStyle name="Normal 10 9 5 5" xfId="7528" xr:uid="{00000000-0005-0000-0000-0000311A0000}"/>
    <cellStyle name="Normal 10 9 5 6" xfId="7529" xr:uid="{00000000-0005-0000-0000-0000321A0000}"/>
    <cellStyle name="Normal 10 9 6" xfId="7530" xr:uid="{00000000-0005-0000-0000-0000331A0000}"/>
    <cellStyle name="Normal 10 9 6 2" xfId="7531" xr:uid="{00000000-0005-0000-0000-0000341A0000}"/>
    <cellStyle name="Normal 10 9 6 3" xfId="7532" xr:uid="{00000000-0005-0000-0000-0000351A0000}"/>
    <cellStyle name="Normal 10 9 6 4" xfId="7533" xr:uid="{00000000-0005-0000-0000-0000361A0000}"/>
    <cellStyle name="Normal 10 9 6 5" xfId="7534" xr:uid="{00000000-0005-0000-0000-0000371A0000}"/>
    <cellStyle name="Normal 10 9 6 6" xfId="7535" xr:uid="{00000000-0005-0000-0000-0000381A0000}"/>
    <cellStyle name="Normal 10 9 7" xfId="7536" xr:uid="{00000000-0005-0000-0000-0000391A0000}"/>
    <cellStyle name="Normal 10 9 7 2" xfId="7537" xr:uid="{00000000-0005-0000-0000-00003A1A0000}"/>
    <cellStyle name="Normal 10 9 7 3" xfId="7538" xr:uid="{00000000-0005-0000-0000-00003B1A0000}"/>
    <cellStyle name="Normal 10 9 7 4" xfId="7539" xr:uid="{00000000-0005-0000-0000-00003C1A0000}"/>
    <cellStyle name="Normal 10 9 7 5" xfId="7540" xr:uid="{00000000-0005-0000-0000-00003D1A0000}"/>
    <cellStyle name="Normal 10 9 7 6" xfId="7541" xr:uid="{00000000-0005-0000-0000-00003E1A0000}"/>
    <cellStyle name="Normal 10 9 8" xfId="7542" xr:uid="{00000000-0005-0000-0000-00003F1A0000}"/>
    <cellStyle name="Normal 10 9 8 2" xfId="7543" xr:uid="{00000000-0005-0000-0000-0000401A0000}"/>
    <cellStyle name="Normal 10 9 8 3" xfId="7544" xr:uid="{00000000-0005-0000-0000-0000411A0000}"/>
    <cellStyle name="Normal 10 9 8 4" xfId="7545" xr:uid="{00000000-0005-0000-0000-0000421A0000}"/>
    <cellStyle name="Normal 10 9 8 5" xfId="7546" xr:uid="{00000000-0005-0000-0000-0000431A0000}"/>
    <cellStyle name="Normal 10 9 8 6" xfId="7547" xr:uid="{00000000-0005-0000-0000-0000441A0000}"/>
    <cellStyle name="Normal 10 9 9" xfId="7548" xr:uid="{00000000-0005-0000-0000-0000451A0000}"/>
    <cellStyle name="Normal 100" xfId="7549" xr:uid="{00000000-0005-0000-0000-0000461A0000}"/>
    <cellStyle name="Normal 101" xfId="7550" xr:uid="{00000000-0005-0000-0000-0000471A0000}"/>
    <cellStyle name="Normal 102" xfId="7551" xr:uid="{00000000-0005-0000-0000-0000481A0000}"/>
    <cellStyle name="Normal 103" xfId="7552" xr:uid="{00000000-0005-0000-0000-0000491A0000}"/>
    <cellStyle name="Normal 104" xfId="7553" xr:uid="{00000000-0005-0000-0000-00004A1A0000}"/>
    <cellStyle name="Normal 105" xfId="7554" xr:uid="{00000000-0005-0000-0000-00004B1A0000}"/>
    <cellStyle name="Normal 106" xfId="7555" xr:uid="{00000000-0005-0000-0000-00004C1A0000}"/>
    <cellStyle name="Normal 107" xfId="7556" xr:uid="{00000000-0005-0000-0000-00004D1A0000}"/>
    <cellStyle name="Normal 108" xfId="7557" xr:uid="{00000000-0005-0000-0000-00004E1A0000}"/>
    <cellStyle name="Normal 109" xfId="7558" xr:uid="{00000000-0005-0000-0000-00004F1A0000}"/>
    <cellStyle name="Normal 11" xfId="825" xr:uid="{00000000-0005-0000-0000-0000501A0000}"/>
    <cellStyle name="Normal 11 10" xfId="7559" xr:uid="{00000000-0005-0000-0000-0000511A0000}"/>
    <cellStyle name="Normal 11 10 10" xfId="7560" xr:uid="{00000000-0005-0000-0000-0000521A0000}"/>
    <cellStyle name="Normal 11 10 11" xfId="7561" xr:uid="{00000000-0005-0000-0000-0000531A0000}"/>
    <cellStyle name="Normal 11 10 12" xfId="7562" xr:uid="{00000000-0005-0000-0000-0000541A0000}"/>
    <cellStyle name="Normal 11 10 13" xfId="7563" xr:uid="{00000000-0005-0000-0000-0000551A0000}"/>
    <cellStyle name="Normal 11 10 14" xfId="7564" xr:uid="{00000000-0005-0000-0000-0000561A0000}"/>
    <cellStyle name="Normal 11 10 15" xfId="7565" xr:uid="{00000000-0005-0000-0000-0000571A0000}"/>
    <cellStyle name="Normal 11 10 16" xfId="7566" xr:uid="{00000000-0005-0000-0000-0000581A0000}"/>
    <cellStyle name="Normal 11 10 17" xfId="7567" xr:uid="{00000000-0005-0000-0000-0000591A0000}"/>
    <cellStyle name="Normal 11 10 18" xfId="7568" xr:uid="{00000000-0005-0000-0000-00005A1A0000}"/>
    <cellStyle name="Normal 11 10 19" xfId="7569" xr:uid="{00000000-0005-0000-0000-00005B1A0000}"/>
    <cellStyle name="Normal 11 10 2" xfId="7570" xr:uid="{00000000-0005-0000-0000-00005C1A0000}"/>
    <cellStyle name="Normal 11 10 2 2" xfId="7571" xr:uid="{00000000-0005-0000-0000-00005D1A0000}"/>
    <cellStyle name="Normal 11 10 2 3" xfId="7572" xr:uid="{00000000-0005-0000-0000-00005E1A0000}"/>
    <cellStyle name="Normal 11 10 2 4" xfId="7573" xr:uid="{00000000-0005-0000-0000-00005F1A0000}"/>
    <cellStyle name="Normal 11 10 20" xfId="7574" xr:uid="{00000000-0005-0000-0000-0000601A0000}"/>
    <cellStyle name="Normal 11 10 21" xfId="7575" xr:uid="{00000000-0005-0000-0000-0000611A0000}"/>
    <cellStyle name="Normal 11 10 22" xfId="7576" xr:uid="{00000000-0005-0000-0000-0000621A0000}"/>
    <cellStyle name="Normal 11 10 23" xfId="7577" xr:uid="{00000000-0005-0000-0000-0000631A0000}"/>
    <cellStyle name="Normal 11 10 24" xfId="7578" xr:uid="{00000000-0005-0000-0000-0000641A0000}"/>
    <cellStyle name="Normal 11 10 25" xfId="7579" xr:uid="{00000000-0005-0000-0000-0000651A0000}"/>
    <cellStyle name="Normal 11 10 26" xfId="7580" xr:uid="{00000000-0005-0000-0000-0000661A0000}"/>
    <cellStyle name="Normal 11 10 27" xfId="7581" xr:uid="{00000000-0005-0000-0000-0000671A0000}"/>
    <cellStyle name="Normal 11 10 28" xfId="7582" xr:uid="{00000000-0005-0000-0000-0000681A0000}"/>
    <cellStyle name="Normal 11 10 29" xfId="7583" xr:uid="{00000000-0005-0000-0000-0000691A0000}"/>
    <cellStyle name="Normal 11 10 3" xfId="7584" xr:uid="{00000000-0005-0000-0000-00006A1A0000}"/>
    <cellStyle name="Normal 11 10 3 2" xfId="7585" xr:uid="{00000000-0005-0000-0000-00006B1A0000}"/>
    <cellStyle name="Normal 11 10 3 3" xfId="7586" xr:uid="{00000000-0005-0000-0000-00006C1A0000}"/>
    <cellStyle name="Normal 11 10 3 4" xfId="7587" xr:uid="{00000000-0005-0000-0000-00006D1A0000}"/>
    <cellStyle name="Normal 11 10 30" xfId="7588" xr:uid="{00000000-0005-0000-0000-00006E1A0000}"/>
    <cellStyle name="Normal 11 10 31" xfId="7589" xr:uid="{00000000-0005-0000-0000-00006F1A0000}"/>
    <cellStyle name="Normal 11 10 32" xfId="7590" xr:uid="{00000000-0005-0000-0000-0000701A0000}"/>
    <cellStyle name="Normal 11 10 33" xfId="7591" xr:uid="{00000000-0005-0000-0000-0000711A0000}"/>
    <cellStyle name="Normal 11 10 34" xfId="7592" xr:uid="{00000000-0005-0000-0000-0000721A0000}"/>
    <cellStyle name="Normal 11 10 35" xfId="7593" xr:uid="{00000000-0005-0000-0000-0000731A0000}"/>
    <cellStyle name="Normal 11 10 36" xfId="7594" xr:uid="{00000000-0005-0000-0000-0000741A0000}"/>
    <cellStyle name="Normal 11 10 37" xfId="7595" xr:uid="{00000000-0005-0000-0000-0000751A0000}"/>
    <cellStyle name="Normal 11 10 38" xfId="7596" xr:uid="{00000000-0005-0000-0000-0000761A0000}"/>
    <cellStyle name="Normal 11 10 39" xfId="7597" xr:uid="{00000000-0005-0000-0000-0000771A0000}"/>
    <cellStyle name="Normal 11 10 4" xfId="7598" xr:uid="{00000000-0005-0000-0000-0000781A0000}"/>
    <cellStyle name="Normal 11 10 40" xfId="7599" xr:uid="{00000000-0005-0000-0000-0000791A0000}"/>
    <cellStyle name="Normal 11 10 41" xfId="7600" xr:uid="{00000000-0005-0000-0000-00007A1A0000}"/>
    <cellStyle name="Normal 11 10 42" xfId="7601" xr:uid="{00000000-0005-0000-0000-00007B1A0000}"/>
    <cellStyle name="Normal 11 10 43" xfId="7602" xr:uid="{00000000-0005-0000-0000-00007C1A0000}"/>
    <cellStyle name="Normal 11 10 44" xfId="7603" xr:uid="{00000000-0005-0000-0000-00007D1A0000}"/>
    <cellStyle name="Normal 11 10 45" xfId="7604" xr:uid="{00000000-0005-0000-0000-00007E1A0000}"/>
    <cellStyle name="Normal 11 10 46" xfId="7605" xr:uid="{00000000-0005-0000-0000-00007F1A0000}"/>
    <cellStyle name="Normal 11 10 47" xfId="7606" xr:uid="{00000000-0005-0000-0000-0000801A0000}"/>
    <cellStyle name="Normal 11 10 48" xfId="7607" xr:uid="{00000000-0005-0000-0000-0000811A0000}"/>
    <cellStyle name="Normal 11 10 49" xfId="7608" xr:uid="{00000000-0005-0000-0000-0000821A0000}"/>
    <cellStyle name="Normal 11 10 5" xfId="7609" xr:uid="{00000000-0005-0000-0000-0000831A0000}"/>
    <cellStyle name="Normal 11 10 50" xfId="7610" xr:uid="{00000000-0005-0000-0000-0000841A0000}"/>
    <cellStyle name="Normal 11 10 51" xfId="7611" xr:uid="{00000000-0005-0000-0000-0000851A0000}"/>
    <cellStyle name="Normal 11 10 52" xfId="7612" xr:uid="{00000000-0005-0000-0000-0000861A0000}"/>
    <cellStyle name="Normal 11 10 6" xfId="7613" xr:uid="{00000000-0005-0000-0000-0000871A0000}"/>
    <cellStyle name="Normal 11 10 7" xfId="7614" xr:uid="{00000000-0005-0000-0000-0000881A0000}"/>
    <cellStyle name="Normal 11 10 8" xfId="7615" xr:uid="{00000000-0005-0000-0000-0000891A0000}"/>
    <cellStyle name="Normal 11 10 9" xfId="7616" xr:uid="{00000000-0005-0000-0000-00008A1A0000}"/>
    <cellStyle name="Normal 11 11" xfId="7617" xr:uid="{00000000-0005-0000-0000-00008B1A0000}"/>
    <cellStyle name="Normal 11 11 10" xfId="7618" xr:uid="{00000000-0005-0000-0000-00008C1A0000}"/>
    <cellStyle name="Normal 11 11 11" xfId="7619" xr:uid="{00000000-0005-0000-0000-00008D1A0000}"/>
    <cellStyle name="Normal 11 11 12" xfId="7620" xr:uid="{00000000-0005-0000-0000-00008E1A0000}"/>
    <cellStyle name="Normal 11 11 13" xfId="7621" xr:uid="{00000000-0005-0000-0000-00008F1A0000}"/>
    <cellStyle name="Normal 11 11 14" xfId="7622" xr:uid="{00000000-0005-0000-0000-0000901A0000}"/>
    <cellStyle name="Normal 11 11 15" xfId="7623" xr:uid="{00000000-0005-0000-0000-0000911A0000}"/>
    <cellStyle name="Normal 11 11 16" xfId="7624" xr:uid="{00000000-0005-0000-0000-0000921A0000}"/>
    <cellStyle name="Normal 11 11 17" xfId="7625" xr:uid="{00000000-0005-0000-0000-0000931A0000}"/>
    <cellStyle name="Normal 11 11 18" xfId="7626" xr:uid="{00000000-0005-0000-0000-0000941A0000}"/>
    <cellStyle name="Normal 11 11 19" xfId="7627" xr:uid="{00000000-0005-0000-0000-0000951A0000}"/>
    <cellStyle name="Normal 11 11 2" xfId="7628" xr:uid="{00000000-0005-0000-0000-0000961A0000}"/>
    <cellStyle name="Normal 11 11 2 2" xfId="7629" xr:uid="{00000000-0005-0000-0000-0000971A0000}"/>
    <cellStyle name="Normal 11 11 2 3" xfId="7630" xr:uid="{00000000-0005-0000-0000-0000981A0000}"/>
    <cellStyle name="Normal 11 11 2 4" xfId="7631" xr:uid="{00000000-0005-0000-0000-0000991A0000}"/>
    <cellStyle name="Normal 11 11 20" xfId="7632" xr:uid="{00000000-0005-0000-0000-00009A1A0000}"/>
    <cellStyle name="Normal 11 11 21" xfId="7633" xr:uid="{00000000-0005-0000-0000-00009B1A0000}"/>
    <cellStyle name="Normal 11 11 22" xfId="7634" xr:uid="{00000000-0005-0000-0000-00009C1A0000}"/>
    <cellStyle name="Normal 11 11 23" xfId="7635" xr:uid="{00000000-0005-0000-0000-00009D1A0000}"/>
    <cellStyle name="Normal 11 11 24" xfId="7636" xr:uid="{00000000-0005-0000-0000-00009E1A0000}"/>
    <cellStyle name="Normal 11 11 25" xfId="7637" xr:uid="{00000000-0005-0000-0000-00009F1A0000}"/>
    <cellStyle name="Normal 11 11 26" xfId="7638" xr:uid="{00000000-0005-0000-0000-0000A01A0000}"/>
    <cellStyle name="Normal 11 11 27" xfId="7639" xr:uid="{00000000-0005-0000-0000-0000A11A0000}"/>
    <cellStyle name="Normal 11 11 28" xfId="7640" xr:uid="{00000000-0005-0000-0000-0000A21A0000}"/>
    <cellStyle name="Normal 11 11 29" xfId="7641" xr:uid="{00000000-0005-0000-0000-0000A31A0000}"/>
    <cellStyle name="Normal 11 11 3" xfId="7642" xr:uid="{00000000-0005-0000-0000-0000A41A0000}"/>
    <cellStyle name="Normal 11 11 3 2" xfId="7643" xr:uid="{00000000-0005-0000-0000-0000A51A0000}"/>
    <cellStyle name="Normal 11 11 3 3" xfId="7644" xr:uid="{00000000-0005-0000-0000-0000A61A0000}"/>
    <cellStyle name="Normal 11 11 3 4" xfId="7645" xr:uid="{00000000-0005-0000-0000-0000A71A0000}"/>
    <cellStyle name="Normal 11 11 30" xfId="7646" xr:uid="{00000000-0005-0000-0000-0000A81A0000}"/>
    <cellStyle name="Normal 11 11 31" xfId="7647" xr:uid="{00000000-0005-0000-0000-0000A91A0000}"/>
    <cellStyle name="Normal 11 11 32" xfId="7648" xr:uid="{00000000-0005-0000-0000-0000AA1A0000}"/>
    <cellStyle name="Normal 11 11 33" xfId="7649" xr:uid="{00000000-0005-0000-0000-0000AB1A0000}"/>
    <cellStyle name="Normal 11 11 34" xfId="7650" xr:uid="{00000000-0005-0000-0000-0000AC1A0000}"/>
    <cellStyle name="Normal 11 11 35" xfId="7651" xr:uid="{00000000-0005-0000-0000-0000AD1A0000}"/>
    <cellStyle name="Normal 11 11 36" xfId="7652" xr:uid="{00000000-0005-0000-0000-0000AE1A0000}"/>
    <cellStyle name="Normal 11 11 37" xfId="7653" xr:uid="{00000000-0005-0000-0000-0000AF1A0000}"/>
    <cellStyle name="Normal 11 11 38" xfId="7654" xr:uid="{00000000-0005-0000-0000-0000B01A0000}"/>
    <cellStyle name="Normal 11 11 39" xfId="7655" xr:uid="{00000000-0005-0000-0000-0000B11A0000}"/>
    <cellStyle name="Normal 11 11 4" xfId="7656" xr:uid="{00000000-0005-0000-0000-0000B21A0000}"/>
    <cellStyle name="Normal 11 11 40" xfId="7657" xr:uid="{00000000-0005-0000-0000-0000B31A0000}"/>
    <cellStyle name="Normal 11 11 41" xfId="7658" xr:uid="{00000000-0005-0000-0000-0000B41A0000}"/>
    <cellStyle name="Normal 11 11 42" xfId="7659" xr:uid="{00000000-0005-0000-0000-0000B51A0000}"/>
    <cellStyle name="Normal 11 11 43" xfId="7660" xr:uid="{00000000-0005-0000-0000-0000B61A0000}"/>
    <cellStyle name="Normal 11 11 44" xfId="7661" xr:uid="{00000000-0005-0000-0000-0000B71A0000}"/>
    <cellStyle name="Normal 11 11 45" xfId="7662" xr:uid="{00000000-0005-0000-0000-0000B81A0000}"/>
    <cellStyle name="Normal 11 11 5" xfId="7663" xr:uid="{00000000-0005-0000-0000-0000B91A0000}"/>
    <cellStyle name="Normal 11 11 6" xfId="7664" xr:uid="{00000000-0005-0000-0000-0000BA1A0000}"/>
    <cellStyle name="Normal 11 11 7" xfId="7665" xr:uid="{00000000-0005-0000-0000-0000BB1A0000}"/>
    <cellStyle name="Normal 11 11 8" xfId="7666" xr:uid="{00000000-0005-0000-0000-0000BC1A0000}"/>
    <cellStyle name="Normal 11 11 9" xfId="7667" xr:uid="{00000000-0005-0000-0000-0000BD1A0000}"/>
    <cellStyle name="Normal 11 12" xfId="7668" xr:uid="{00000000-0005-0000-0000-0000BE1A0000}"/>
    <cellStyle name="Normal 11 12 10" xfId="7669" xr:uid="{00000000-0005-0000-0000-0000BF1A0000}"/>
    <cellStyle name="Normal 11 12 11" xfId="7670" xr:uid="{00000000-0005-0000-0000-0000C01A0000}"/>
    <cellStyle name="Normal 11 12 12" xfId="7671" xr:uid="{00000000-0005-0000-0000-0000C11A0000}"/>
    <cellStyle name="Normal 11 12 13" xfId="7672" xr:uid="{00000000-0005-0000-0000-0000C21A0000}"/>
    <cellStyle name="Normal 11 12 14" xfId="7673" xr:uid="{00000000-0005-0000-0000-0000C31A0000}"/>
    <cellStyle name="Normal 11 12 15" xfId="7674" xr:uid="{00000000-0005-0000-0000-0000C41A0000}"/>
    <cellStyle name="Normal 11 12 16" xfId="7675" xr:uid="{00000000-0005-0000-0000-0000C51A0000}"/>
    <cellStyle name="Normal 11 12 17" xfId="7676" xr:uid="{00000000-0005-0000-0000-0000C61A0000}"/>
    <cellStyle name="Normal 11 12 18" xfId="7677" xr:uid="{00000000-0005-0000-0000-0000C71A0000}"/>
    <cellStyle name="Normal 11 12 19" xfId="7678" xr:uid="{00000000-0005-0000-0000-0000C81A0000}"/>
    <cellStyle name="Normal 11 12 2" xfId="7679" xr:uid="{00000000-0005-0000-0000-0000C91A0000}"/>
    <cellStyle name="Normal 11 12 2 2" xfId="7680" xr:uid="{00000000-0005-0000-0000-0000CA1A0000}"/>
    <cellStyle name="Normal 11 12 2 3" xfId="7681" xr:uid="{00000000-0005-0000-0000-0000CB1A0000}"/>
    <cellStyle name="Normal 11 12 2 4" xfId="7682" xr:uid="{00000000-0005-0000-0000-0000CC1A0000}"/>
    <cellStyle name="Normal 11 12 20" xfId="7683" xr:uid="{00000000-0005-0000-0000-0000CD1A0000}"/>
    <cellStyle name="Normal 11 12 21" xfId="7684" xr:uid="{00000000-0005-0000-0000-0000CE1A0000}"/>
    <cellStyle name="Normal 11 12 22" xfId="7685" xr:uid="{00000000-0005-0000-0000-0000CF1A0000}"/>
    <cellStyle name="Normal 11 12 23" xfId="7686" xr:uid="{00000000-0005-0000-0000-0000D01A0000}"/>
    <cellStyle name="Normal 11 12 24" xfId="7687" xr:uid="{00000000-0005-0000-0000-0000D11A0000}"/>
    <cellStyle name="Normal 11 12 25" xfId="7688" xr:uid="{00000000-0005-0000-0000-0000D21A0000}"/>
    <cellStyle name="Normal 11 12 26" xfId="7689" xr:uid="{00000000-0005-0000-0000-0000D31A0000}"/>
    <cellStyle name="Normal 11 12 27" xfId="7690" xr:uid="{00000000-0005-0000-0000-0000D41A0000}"/>
    <cellStyle name="Normal 11 12 28" xfId="7691" xr:uid="{00000000-0005-0000-0000-0000D51A0000}"/>
    <cellStyle name="Normal 11 12 29" xfId="7692" xr:uid="{00000000-0005-0000-0000-0000D61A0000}"/>
    <cellStyle name="Normal 11 12 3" xfId="7693" xr:uid="{00000000-0005-0000-0000-0000D71A0000}"/>
    <cellStyle name="Normal 11 12 3 2" xfId="7694" xr:uid="{00000000-0005-0000-0000-0000D81A0000}"/>
    <cellStyle name="Normal 11 12 3 3" xfId="7695" xr:uid="{00000000-0005-0000-0000-0000D91A0000}"/>
    <cellStyle name="Normal 11 12 3 4" xfId="7696" xr:uid="{00000000-0005-0000-0000-0000DA1A0000}"/>
    <cellStyle name="Normal 11 12 30" xfId="7697" xr:uid="{00000000-0005-0000-0000-0000DB1A0000}"/>
    <cellStyle name="Normal 11 12 31" xfId="7698" xr:uid="{00000000-0005-0000-0000-0000DC1A0000}"/>
    <cellStyle name="Normal 11 12 32" xfId="7699" xr:uid="{00000000-0005-0000-0000-0000DD1A0000}"/>
    <cellStyle name="Normal 11 12 33" xfId="7700" xr:uid="{00000000-0005-0000-0000-0000DE1A0000}"/>
    <cellStyle name="Normal 11 12 34" xfId="7701" xr:uid="{00000000-0005-0000-0000-0000DF1A0000}"/>
    <cellStyle name="Normal 11 12 35" xfId="7702" xr:uid="{00000000-0005-0000-0000-0000E01A0000}"/>
    <cellStyle name="Normal 11 12 36" xfId="7703" xr:uid="{00000000-0005-0000-0000-0000E11A0000}"/>
    <cellStyle name="Normal 11 12 37" xfId="7704" xr:uid="{00000000-0005-0000-0000-0000E21A0000}"/>
    <cellStyle name="Normal 11 12 38" xfId="7705" xr:uid="{00000000-0005-0000-0000-0000E31A0000}"/>
    <cellStyle name="Normal 11 12 39" xfId="7706" xr:uid="{00000000-0005-0000-0000-0000E41A0000}"/>
    <cellStyle name="Normal 11 12 4" xfId="7707" xr:uid="{00000000-0005-0000-0000-0000E51A0000}"/>
    <cellStyle name="Normal 11 12 40" xfId="7708" xr:uid="{00000000-0005-0000-0000-0000E61A0000}"/>
    <cellStyle name="Normal 11 12 41" xfId="7709" xr:uid="{00000000-0005-0000-0000-0000E71A0000}"/>
    <cellStyle name="Normal 11 12 42" xfId="7710" xr:uid="{00000000-0005-0000-0000-0000E81A0000}"/>
    <cellStyle name="Normal 11 12 43" xfId="7711" xr:uid="{00000000-0005-0000-0000-0000E91A0000}"/>
    <cellStyle name="Normal 11 12 44" xfId="7712" xr:uid="{00000000-0005-0000-0000-0000EA1A0000}"/>
    <cellStyle name="Normal 11 12 45" xfId="7713" xr:uid="{00000000-0005-0000-0000-0000EB1A0000}"/>
    <cellStyle name="Normal 11 12 5" xfId="7714" xr:uid="{00000000-0005-0000-0000-0000EC1A0000}"/>
    <cellStyle name="Normal 11 12 6" xfId="7715" xr:uid="{00000000-0005-0000-0000-0000ED1A0000}"/>
    <cellStyle name="Normal 11 12 7" xfId="7716" xr:uid="{00000000-0005-0000-0000-0000EE1A0000}"/>
    <cellStyle name="Normal 11 12 8" xfId="7717" xr:uid="{00000000-0005-0000-0000-0000EF1A0000}"/>
    <cellStyle name="Normal 11 12 9" xfId="7718" xr:uid="{00000000-0005-0000-0000-0000F01A0000}"/>
    <cellStyle name="Normal 11 13" xfId="7719" xr:uid="{00000000-0005-0000-0000-0000F11A0000}"/>
    <cellStyle name="Normal 11 13 10" xfId="7720" xr:uid="{00000000-0005-0000-0000-0000F21A0000}"/>
    <cellStyle name="Normal 11 13 11" xfId="7721" xr:uid="{00000000-0005-0000-0000-0000F31A0000}"/>
    <cellStyle name="Normal 11 13 12" xfId="7722" xr:uid="{00000000-0005-0000-0000-0000F41A0000}"/>
    <cellStyle name="Normal 11 13 13" xfId="7723" xr:uid="{00000000-0005-0000-0000-0000F51A0000}"/>
    <cellStyle name="Normal 11 13 14" xfId="7724" xr:uid="{00000000-0005-0000-0000-0000F61A0000}"/>
    <cellStyle name="Normal 11 13 15" xfId="7725" xr:uid="{00000000-0005-0000-0000-0000F71A0000}"/>
    <cellStyle name="Normal 11 13 16" xfId="7726" xr:uid="{00000000-0005-0000-0000-0000F81A0000}"/>
    <cellStyle name="Normal 11 13 17" xfId="7727" xr:uid="{00000000-0005-0000-0000-0000F91A0000}"/>
    <cellStyle name="Normal 11 13 18" xfId="7728" xr:uid="{00000000-0005-0000-0000-0000FA1A0000}"/>
    <cellStyle name="Normal 11 13 19" xfId="7729" xr:uid="{00000000-0005-0000-0000-0000FB1A0000}"/>
    <cellStyle name="Normal 11 13 2" xfId="7730" xr:uid="{00000000-0005-0000-0000-0000FC1A0000}"/>
    <cellStyle name="Normal 11 13 2 2" xfId="7731" xr:uid="{00000000-0005-0000-0000-0000FD1A0000}"/>
    <cellStyle name="Normal 11 13 2 3" xfId="7732" xr:uid="{00000000-0005-0000-0000-0000FE1A0000}"/>
    <cellStyle name="Normal 11 13 2 4" xfId="7733" xr:uid="{00000000-0005-0000-0000-0000FF1A0000}"/>
    <cellStyle name="Normal 11 13 20" xfId="7734" xr:uid="{00000000-0005-0000-0000-0000001B0000}"/>
    <cellStyle name="Normal 11 13 21" xfId="7735" xr:uid="{00000000-0005-0000-0000-0000011B0000}"/>
    <cellStyle name="Normal 11 13 22" xfId="7736" xr:uid="{00000000-0005-0000-0000-0000021B0000}"/>
    <cellStyle name="Normal 11 13 23" xfId="7737" xr:uid="{00000000-0005-0000-0000-0000031B0000}"/>
    <cellStyle name="Normal 11 13 24" xfId="7738" xr:uid="{00000000-0005-0000-0000-0000041B0000}"/>
    <cellStyle name="Normal 11 13 25" xfId="7739" xr:uid="{00000000-0005-0000-0000-0000051B0000}"/>
    <cellStyle name="Normal 11 13 26" xfId="7740" xr:uid="{00000000-0005-0000-0000-0000061B0000}"/>
    <cellStyle name="Normal 11 13 27" xfId="7741" xr:uid="{00000000-0005-0000-0000-0000071B0000}"/>
    <cellStyle name="Normal 11 13 28" xfId="7742" xr:uid="{00000000-0005-0000-0000-0000081B0000}"/>
    <cellStyle name="Normal 11 13 29" xfId="7743" xr:uid="{00000000-0005-0000-0000-0000091B0000}"/>
    <cellStyle name="Normal 11 13 3" xfId="7744" xr:uid="{00000000-0005-0000-0000-00000A1B0000}"/>
    <cellStyle name="Normal 11 13 3 2" xfId="7745" xr:uid="{00000000-0005-0000-0000-00000B1B0000}"/>
    <cellStyle name="Normal 11 13 3 3" xfId="7746" xr:uid="{00000000-0005-0000-0000-00000C1B0000}"/>
    <cellStyle name="Normal 11 13 3 4" xfId="7747" xr:uid="{00000000-0005-0000-0000-00000D1B0000}"/>
    <cellStyle name="Normal 11 13 30" xfId="7748" xr:uid="{00000000-0005-0000-0000-00000E1B0000}"/>
    <cellStyle name="Normal 11 13 31" xfId="7749" xr:uid="{00000000-0005-0000-0000-00000F1B0000}"/>
    <cellStyle name="Normal 11 13 32" xfId="7750" xr:uid="{00000000-0005-0000-0000-0000101B0000}"/>
    <cellStyle name="Normal 11 13 33" xfId="7751" xr:uid="{00000000-0005-0000-0000-0000111B0000}"/>
    <cellStyle name="Normal 11 13 34" xfId="7752" xr:uid="{00000000-0005-0000-0000-0000121B0000}"/>
    <cellStyle name="Normal 11 13 35" xfId="7753" xr:uid="{00000000-0005-0000-0000-0000131B0000}"/>
    <cellStyle name="Normal 11 13 36" xfId="7754" xr:uid="{00000000-0005-0000-0000-0000141B0000}"/>
    <cellStyle name="Normal 11 13 37" xfId="7755" xr:uid="{00000000-0005-0000-0000-0000151B0000}"/>
    <cellStyle name="Normal 11 13 38" xfId="7756" xr:uid="{00000000-0005-0000-0000-0000161B0000}"/>
    <cellStyle name="Normal 11 13 39" xfId="7757" xr:uid="{00000000-0005-0000-0000-0000171B0000}"/>
    <cellStyle name="Normal 11 13 4" xfId="7758" xr:uid="{00000000-0005-0000-0000-0000181B0000}"/>
    <cellStyle name="Normal 11 13 40" xfId="7759" xr:uid="{00000000-0005-0000-0000-0000191B0000}"/>
    <cellStyle name="Normal 11 13 41" xfId="7760" xr:uid="{00000000-0005-0000-0000-00001A1B0000}"/>
    <cellStyle name="Normal 11 13 42" xfId="7761" xr:uid="{00000000-0005-0000-0000-00001B1B0000}"/>
    <cellStyle name="Normal 11 13 43" xfId="7762" xr:uid="{00000000-0005-0000-0000-00001C1B0000}"/>
    <cellStyle name="Normal 11 13 44" xfId="7763" xr:uid="{00000000-0005-0000-0000-00001D1B0000}"/>
    <cellStyle name="Normal 11 13 45" xfId="7764" xr:uid="{00000000-0005-0000-0000-00001E1B0000}"/>
    <cellStyle name="Normal 11 13 5" xfId="7765" xr:uid="{00000000-0005-0000-0000-00001F1B0000}"/>
    <cellStyle name="Normal 11 13 6" xfId="7766" xr:uid="{00000000-0005-0000-0000-0000201B0000}"/>
    <cellStyle name="Normal 11 13 7" xfId="7767" xr:uid="{00000000-0005-0000-0000-0000211B0000}"/>
    <cellStyle name="Normal 11 13 8" xfId="7768" xr:uid="{00000000-0005-0000-0000-0000221B0000}"/>
    <cellStyle name="Normal 11 13 9" xfId="7769" xr:uid="{00000000-0005-0000-0000-0000231B0000}"/>
    <cellStyle name="Normal 11 14" xfId="7770" xr:uid="{00000000-0005-0000-0000-0000241B0000}"/>
    <cellStyle name="Normal 11 14 10" xfId="7771" xr:uid="{00000000-0005-0000-0000-0000251B0000}"/>
    <cellStyle name="Normal 11 14 11" xfId="7772" xr:uid="{00000000-0005-0000-0000-0000261B0000}"/>
    <cellStyle name="Normal 11 14 12" xfId="7773" xr:uid="{00000000-0005-0000-0000-0000271B0000}"/>
    <cellStyle name="Normal 11 14 13" xfId="7774" xr:uid="{00000000-0005-0000-0000-0000281B0000}"/>
    <cellStyle name="Normal 11 14 14" xfId="7775" xr:uid="{00000000-0005-0000-0000-0000291B0000}"/>
    <cellStyle name="Normal 11 14 15" xfId="7776" xr:uid="{00000000-0005-0000-0000-00002A1B0000}"/>
    <cellStyle name="Normal 11 14 16" xfId="7777" xr:uid="{00000000-0005-0000-0000-00002B1B0000}"/>
    <cellStyle name="Normal 11 14 17" xfId="7778" xr:uid="{00000000-0005-0000-0000-00002C1B0000}"/>
    <cellStyle name="Normal 11 14 18" xfId="7779" xr:uid="{00000000-0005-0000-0000-00002D1B0000}"/>
    <cellStyle name="Normal 11 14 19" xfId="7780" xr:uid="{00000000-0005-0000-0000-00002E1B0000}"/>
    <cellStyle name="Normal 11 14 2" xfId="7781" xr:uid="{00000000-0005-0000-0000-00002F1B0000}"/>
    <cellStyle name="Normal 11 14 2 2" xfId="7782" xr:uid="{00000000-0005-0000-0000-0000301B0000}"/>
    <cellStyle name="Normal 11 14 2 3" xfId="7783" xr:uid="{00000000-0005-0000-0000-0000311B0000}"/>
    <cellStyle name="Normal 11 14 2 4" xfId="7784" xr:uid="{00000000-0005-0000-0000-0000321B0000}"/>
    <cellStyle name="Normal 11 14 20" xfId="7785" xr:uid="{00000000-0005-0000-0000-0000331B0000}"/>
    <cellStyle name="Normal 11 14 21" xfId="7786" xr:uid="{00000000-0005-0000-0000-0000341B0000}"/>
    <cellStyle name="Normal 11 14 22" xfId="7787" xr:uid="{00000000-0005-0000-0000-0000351B0000}"/>
    <cellStyle name="Normal 11 14 23" xfId="7788" xr:uid="{00000000-0005-0000-0000-0000361B0000}"/>
    <cellStyle name="Normal 11 14 24" xfId="7789" xr:uid="{00000000-0005-0000-0000-0000371B0000}"/>
    <cellStyle name="Normal 11 14 25" xfId="7790" xr:uid="{00000000-0005-0000-0000-0000381B0000}"/>
    <cellStyle name="Normal 11 14 26" xfId="7791" xr:uid="{00000000-0005-0000-0000-0000391B0000}"/>
    <cellStyle name="Normal 11 14 27" xfId="7792" xr:uid="{00000000-0005-0000-0000-00003A1B0000}"/>
    <cellStyle name="Normal 11 14 28" xfId="7793" xr:uid="{00000000-0005-0000-0000-00003B1B0000}"/>
    <cellStyle name="Normal 11 14 29" xfId="7794" xr:uid="{00000000-0005-0000-0000-00003C1B0000}"/>
    <cellStyle name="Normal 11 14 3" xfId="7795" xr:uid="{00000000-0005-0000-0000-00003D1B0000}"/>
    <cellStyle name="Normal 11 14 3 2" xfId="7796" xr:uid="{00000000-0005-0000-0000-00003E1B0000}"/>
    <cellStyle name="Normal 11 14 3 3" xfId="7797" xr:uid="{00000000-0005-0000-0000-00003F1B0000}"/>
    <cellStyle name="Normal 11 14 3 4" xfId="7798" xr:uid="{00000000-0005-0000-0000-0000401B0000}"/>
    <cellStyle name="Normal 11 14 30" xfId="7799" xr:uid="{00000000-0005-0000-0000-0000411B0000}"/>
    <cellStyle name="Normal 11 14 31" xfId="7800" xr:uid="{00000000-0005-0000-0000-0000421B0000}"/>
    <cellStyle name="Normal 11 14 32" xfId="7801" xr:uid="{00000000-0005-0000-0000-0000431B0000}"/>
    <cellStyle name="Normal 11 14 33" xfId="7802" xr:uid="{00000000-0005-0000-0000-0000441B0000}"/>
    <cellStyle name="Normal 11 14 34" xfId="7803" xr:uid="{00000000-0005-0000-0000-0000451B0000}"/>
    <cellStyle name="Normal 11 14 35" xfId="7804" xr:uid="{00000000-0005-0000-0000-0000461B0000}"/>
    <cellStyle name="Normal 11 14 36" xfId="7805" xr:uid="{00000000-0005-0000-0000-0000471B0000}"/>
    <cellStyle name="Normal 11 14 37" xfId="7806" xr:uid="{00000000-0005-0000-0000-0000481B0000}"/>
    <cellStyle name="Normal 11 14 38" xfId="7807" xr:uid="{00000000-0005-0000-0000-0000491B0000}"/>
    <cellStyle name="Normal 11 14 39" xfId="7808" xr:uid="{00000000-0005-0000-0000-00004A1B0000}"/>
    <cellStyle name="Normal 11 14 4" xfId="7809" xr:uid="{00000000-0005-0000-0000-00004B1B0000}"/>
    <cellStyle name="Normal 11 14 40" xfId="7810" xr:uid="{00000000-0005-0000-0000-00004C1B0000}"/>
    <cellStyle name="Normal 11 14 41" xfId="7811" xr:uid="{00000000-0005-0000-0000-00004D1B0000}"/>
    <cellStyle name="Normal 11 14 42" xfId="7812" xr:uid="{00000000-0005-0000-0000-00004E1B0000}"/>
    <cellStyle name="Normal 11 14 43" xfId="7813" xr:uid="{00000000-0005-0000-0000-00004F1B0000}"/>
    <cellStyle name="Normal 11 14 44" xfId="7814" xr:uid="{00000000-0005-0000-0000-0000501B0000}"/>
    <cellStyle name="Normal 11 14 45" xfId="7815" xr:uid="{00000000-0005-0000-0000-0000511B0000}"/>
    <cellStyle name="Normal 11 14 5" xfId="7816" xr:uid="{00000000-0005-0000-0000-0000521B0000}"/>
    <cellStyle name="Normal 11 14 6" xfId="7817" xr:uid="{00000000-0005-0000-0000-0000531B0000}"/>
    <cellStyle name="Normal 11 14 7" xfId="7818" xr:uid="{00000000-0005-0000-0000-0000541B0000}"/>
    <cellStyle name="Normal 11 14 8" xfId="7819" xr:uid="{00000000-0005-0000-0000-0000551B0000}"/>
    <cellStyle name="Normal 11 14 9" xfId="7820" xr:uid="{00000000-0005-0000-0000-0000561B0000}"/>
    <cellStyle name="Normal 11 15" xfId="7821" xr:uid="{00000000-0005-0000-0000-0000571B0000}"/>
    <cellStyle name="Normal 11 15 10" xfId="7822" xr:uid="{00000000-0005-0000-0000-0000581B0000}"/>
    <cellStyle name="Normal 11 15 11" xfId="7823" xr:uid="{00000000-0005-0000-0000-0000591B0000}"/>
    <cellStyle name="Normal 11 15 12" xfId="7824" xr:uid="{00000000-0005-0000-0000-00005A1B0000}"/>
    <cellStyle name="Normal 11 15 13" xfId="7825" xr:uid="{00000000-0005-0000-0000-00005B1B0000}"/>
    <cellStyle name="Normal 11 15 14" xfId="7826" xr:uid="{00000000-0005-0000-0000-00005C1B0000}"/>
    <cellStyle name="Normal 11 15 15" xfId="7827" xr:uid="{00000000-0005-0000-0000-00005D1B0000}"/>
    <cellStyle name="Normal 11 15 16" xfId="7828" xr:uid="{00000000-0005-0000-0000-00005E1B0000}"/>
    <cellStyle name="Normal 11 15 17" xfId="7829" xr:uid="{00000000-0005-0000-0000-00005F1B0000}"/>
    <cellStyle name="Normal 11 15 18" xfId="7830" xr:uid="{00000000-0005-0000-0000-0000601B0000}"/>
    <cellStyle name="Normal 11 15 19" xfId="7831" xr:uid="{00000000-0005-0000-0000-0000611B0000}"/>
    <cellStyle name="Normal 11 15 2" xfId="7832" xr:uid="{00000000-0005-0000-0000-0000621B0000}"/>
    <cellStyle name="Normal 11 15 2 2" xfId="7833" xr:uid="{00000000-0005-0000-0000-0000631B0000}"/>
    <cellStyle name="Normal 11 15 2 3" xfId="7834" xr:uid="{00000000-0005-0000-0000-0000641B0000}"/>
    <cellStyle name="Normal 11 15 2 4" xfId="7835" xr:uid="{00000000-0005-0000-0000-0000651B0000}"/>
    <cellStyle name="Normal 11 15 20" xfId="7836" xr:uid="{00000000-0005-0000-0000-0000661B0000}"/>
    <cellStyle name="Normal 11 15 21" xfId="7837" xr:uid="{00000000-0005-0000-0000-0000671B0000}"/>
    <cellStyle name="Normal 11 15 22" xfId="7838" xr:uid="{00000000-0005-0000-0000-0000681B0000}"/>
    <cellStyle name="Normal 11 15 23" xfId="7839" xr:uid="{00000000-0005-0000-0000-0000691B0000}"/>
    <cellStyle name="Normal 11 15 24" xfId="7840" xr:uid="{00000000-0005-0000-0000-00006A1B0000}"/>
    <cellStyle name="Normal 11 15 25" xfId="7841" xr:uid="{00000000-0005-0000-0000-00006B1B0000}"/>
    <cellStyle name="Normal 11 15 26" xfId="7842" xr:uid="{00000000-0005-0000-0000-00006C1B0000}"/>
    <cellStyle name="Normal 11 15 27" xfId="7843" xr:uid="{00000000-0005-0000-0000-00006D1B0000}"/>
    <cellStyle name="Normal 11 15 28" xfId="7844" xr:uid="{00000000-0005-0000-0000-00006E1B0000}"/>
    <cellStyle name="Normal 11 15 29" xfId="7845" xr:uid="{00000000-0005-0000-0000-00006F1B0000}"/>
    <cellStyle name="Normal 11 15 3" xfId="7846" xr:uid="{00000000-0005-0000-0000-0000701B0000}"/>
    <cellStyle name="Normal 11 15 3 2" xfId="7847" xr:uid="{00000000-0005-0000-0000-0000711B0000}"/>
    <cellStyle name="Normal 11 15 3 3" xfId="7848" xr:uid="{00000000-0005-0000-0000-0000721B0000}"/>
    <cellStyle name="Normal 11 15 3 4" xfId="7849" xr:uid="{00000000-0005-0000-0000-0000731B0000}"/>
    <cellStyle name="Normal 11 15 30" xfId="7850" xr:uid="{00000000-0005-0000-0000-0000741B0000}"/>
    <cellStyle name="Normal 11 15 31" xfId="7851" xr:uid="{00000000-0005-0000-0000-0000751B0000}"/>
    <cellStyle name="Normal 11 15 32" xfId="7852" xr:uid="{00000000-0005-0000-0000-0000761B0000}"/>
    <cellStyle name="Normal 11 15 33" xfId="7853" xr:uid="{00000000-0005-0000-0000-0000771B0000}"/>
    <cellStyle name="Normal 11 15 34" xfId="7854" xr:uid="{00000000-0005-0000-0000-0000781B0000}"/>
    <cellStyle name="Normal 11 15 35" xfId="7855" xr:uid="{00000000-0005-0000-0000-0000791B0000}"/>
    <cellStyle name="Normal 11 15 36" xfId="7856" xr:uid="{00000000-0005-0000-0000-00007A1B0000}"/>
    <cellStyle name="Normal 11 15 37" xfId="7857" xr:uid="{00000000-0005-0000-0000-00007B1B0000}"/>
    <cellStyle name="Normal 11 15 38" xfId="7858" xr:uid="{00000000-0005-0000-0000-00007C1B0000}"/>
    <cellStyle name="Normal 11 15 39" xfId="7859" xr:uid="{00000000-0005-0000-0000-00007D1B0000}"/>
    <cellStyle name="Normal 11 15 4" xfId="7860" xr:uid="{00000000-0005-0000-0000-00007E1B0000}"/>
    <cellStyle name="Normal 11 15 40" xfId="7861" xr:uid="{00000000-0005-0000-0000-00007F1B0000}"/>
    <cellStyle name="Normal 11 15 41" xfId="7862" xr:uid="{00000000-0005-0000-0000-0000801B0000}"/>
    <cellStyle name="Normal 11 15 42" xfId="7863" xr:uid="{00000000-0005-0000-0000-0000811B0000}"/>
    <cellStyle name="Normal 11 15 43" xfId="7864" xr:uid="{00000000-0005-0000-0000-0000821B0000}"/>
    <cellStyle name="Normal 11 15 44" xfId="7865" xr:uid="{00000000-0005-0000-0000-0000831B0000}"/>
    <cellStyle name="Normal 11 15 45" xfId="7866" xr:uid="{00000000-0005-0000-0000-0000841B0000}"/>
    <cellStyle name="Normal 11 15 5" xfId="7867" xr:uid="{00000000-0005-0000-0000-0000851B0000}"/>
    <cellStyle name="Normal 11 15 6" xfId="7868" xr:uid="{00000000-0005-0000-0000-0000861B0000}"/>
    <cellStyle name="Normal 11 15 7" xfId="7869" xr:uid="{00000000-0005-0000-0000-0000871B0000}"/>
    <cellStyle name="Normal 11 15 8" xfId="7870" xr:uid="{00000000-0005-0000-0000-0000881B0000}"/>
    <cellStyle name="Normal 11 15 9" xfId="7871" xr:uid="{00000000-0005-0000-0000-0000891B0000}"/>
    <cellStyle name="Normal 11 16" xfId="7872" xr:uid="{00000000-0005-0000-0000-00008A1B0000}"/>
    <cellStyle name="Normal 11 16 10" xfId="7873" xr:uid="{00000000-0005-0000-0000-00008B1B0000}"/>
    <cellStyle name="Normal 11 16 11" xfId="7874" xr:uid="{00000000-0005-0000-0000-00008C1B0000}"/>
    <cellStyle name="Normal 11 16 12" xfId="7875" xr:uid="{00000000-0005-0000-0000-00008D1B0000}"/>
    <cellStyle name="Normal 11 16 13" xfId="7876" xr:uid="{00000000-0005-0000-0000-00008E1B0000}"/>
    <cellStyle name="Normal 11 16 14" xfId="7877" xr:uid="{00000000-0005-0000-0000-00008F1B0000}"/>
    <cellStyle name="Normal 11 16 15" xfId="7878" xr:uid="{00000000-0005-0000-0000-0000901B0000}"/>
    <cellStyle name="Normal 11 16 16" xfId="7879" xr:uid="{00000000-0005-0000-0000-0000911B0000}"/>
    <cellStyle name="Normal 11 16 17" xfId="7880" xr:uid="{00000000-0005-0000-0000-0000921B0000}"/>
    <cellStyle name="Normal 11 16 18" xfId="7881" xr:uid="{00000000-0005-0000-0000-0000931B0000}"/>
    <cellStyle name="Normal 11 16 19" xfId="7882" xr:uid="{00000000-0005-0000-0000-0000941B0000}"/>
    <cellStyle name="Normal 11 16 2" xfId="7883" xr:uid="{00000000-0005-0000-0000-0000951B0000}"/>
    <cellStyle name="Normal 11 16 2 2" xfId="7884" xr:uid="{00000000-0005-0000-0000-0000961B0000}"/>
    <cellStyle name="Normal 11 16 2 3" xfId="7885" xr:uid="{00000000-0005-0000-0000-0000971B0000}"/>
    <cellStyle name="Normal 11 16 2 4" xfId="7886" xr:uid="{00000000-0005-0000-0000-0000981B0000}"/>
    <cellStyle name="Normal 11 16 20" xfId="7887" xr:uid="{00000000-0005-0000-0000-0000991B0000}"/>
    <cellStyle name="Normal 11 16 21" xfId="7888" xr:uid="{00000000-0005-0000-0000-00009A1B0000}"/>
    <cellStyle name="Normal 11 16 22" xfId="7889" xr:uid="{00000000-0005-0000-0000-00009B1B0000}"/>
    <cellStyle name="Normal 11 16 23" xfId="7890" xr:uid="{00000000-0005-0000-0000-00009C1B0000}"/>
    <cellStyle name="Normal 11 16 24" xfId="7891" xr:uid="{00000000-0005-0000-0000-00009D1B0000}"/>
    <cellStyle name="Normal 11 16 25" xfId="7892" xr:uid="{00000000-0005-0000-0000-00009E1B0000}"/>
    <cellStyle name="Normal 11 16 26" xfId="7893" xr:uid="{00000000-0005-0000-0000-00009F1B0000}"/>
    <cellStyle name="Normal 11 16 27" xfId="7894" xr:uid="{00000000-0005-0000-0000-0000A01B0000}"/>
    <cellStyle name="Normal 11 16 28" xfId="7895" xr:uid="{00000000-0005-0000-0000-0000A11B0000}"/>
    <cellStyle name="Normal 11 16 29" xfId="7896" xr:uid="{00000000-0005-0000-0000-0000A21B0000}"/>
    <cellStyle name="Normal 11 16 3" xfId="7897" xr:uid="{00000000-0005-0000-0000-0000A31B0000}"/>
    <cellStyle name="Normal 11 16 3 2" xfId="7898" xr:uid="{00000000-0005-0000-0000-0000A41B0000}"/>
    <cellStyle name="Normal 11 16 3 3" xfId="7899" xr:uid="{00000000-0005-0000-0000-0000A51B0000}"/>
    <cellStyle name="Normal 11 16 3 4" xfId="7900" xr:uid="{00000000-0005-0000-0000-0000A61B0000}"/>
    <cellStyle name="Normal 11 16 30" xfId="7901" xr:uid="{00000000-0005-0000-0000-0000A71B0000}"/>
    <cellStyle name="Normal 11 16 31" xfId="7902" xr:uid="{00000000-0005-0000-0000-0000A81B0000}"/>
    <cellStyle name="Normal 11 16 32" xfId="7903" xr:uid="{00000000-0005-0000-0000-0000A91B0000}"/>
    <cellStyle name="Normal 11 16 33" xfId="7904" xr:uid="{00000000-0005-0000-0000-0000AA1B0000}"/>
    <cellStyle name="Normal 11 16 34" xfId="7905" xr:uid="{00000000-0005-0000-0000-0000AB1B0000}"/>
    <cellStyle name="Normal 11 16 35" xfId="7906" xr:uid="{00000000-0005-0000-0000-0000AC1B0000}"/>
    <cellStyle name="Normal 11 16 36" xfId="7907" xr:uid="{00000000-0005-0000-0000-0000AD1B0000}"/>
    <cellStyle name="Normal 11 16 37" xfId="7908" xr:uid="{00000000-0005-0000-0000-0000AE1B0000}"/>
    <cellStyle name="Normal 11 16 38" xfId="7909" xr:uid="{00000000-0005-0000-0000-0000AF1B0000}"/>
    <cellStyle name="Normal 11 16 39" xfId="7910" xr:uid="{00000000-0005-0000-0000-0000B01B0000}"/>
    <cellStyle name="Normal 11 16 4" xfId="7911" xr:uid="{00000000-0005-0000-0000-0000B11B0000}"/>
    <cellStyle name="Normal 11 16 40" xfId="7912" xr:uid="{00000000-0005-0000-0000-0000B21B0000}"/>
    <cellStyle name="Normal 11 16 41" xfId="7913" xr:uid="{00000000-0005-0000-0000-0000B31B0000}"/>
    <cellStyle name="Normal 11 16 42" xfId="7914" xr:uid="{00000000-0005-0000-0000-0000B41B0000}"/>
    <cellStyle name="Normal 11 16 43" xfId="7915" xr:uid="{00000000-0005-0000-0000-0000B51B0000}"/>
    <cellStyle name="Normal 11 16 44" xfId="7916" xr:uid="{00000000-0005-0000-0000-0000B61B0000}"/>
    <cellStyle name="Normal 11 16 45" xfId="7917" xr:uid="{00000000-0005-0000-0000-0000B71B0000}"/>
    <cellStyle name="Normal 11 16 5" xfId="7918" xr:uid="{00000000-0005-0000-0000-0000B81B0000}"/>
    <cellStyle name="Normal 11 16 6" xfId="7919" xr:uid="{00000000-0005-0000-0000-0000B91B0000}"/>
    <cellStyle name="Normal 11 16 7" xfId="7920" xr:uid="{00000000-0005-0000-0000-0000BA1B0000}"/>
    <cellStyle name="Normal 11 16 8" xfId="7921" xr:uid="{00000000-0005-0000-0000-0000BB1B0000}"/>
    <cellStyle name="Normal 11 16 9" xfId="7922" xr:uid="{00000000-0005-0000-0000-0000BC1B0000}"/>
    <cellStyle name="Normal 11 17" xfId="7923" xr:uid="{00000000-0005-0000-0000-0000BD1B0000}"/>
    <cellStyle name="Normal 11 17 10" xfId="7924" xr:uid="{00000000-0005-0000-0000-0000BE1B0000}"/>
    <cellStyle name="Normal 11 17 11" xfId="7925" xr:uid="{00000000-0005-0000-0000-0000BF1B0000}"/>
    <cellStyle name="Normal 11 17 12" xfId="7926" xr:uid="{00000000-0005-0000-0000-0000C01B0000}"/>
    <cellStyle name="Normal 11 17 13" xfId="7927" xr:uid="{00000000-0005-0000-0000-0000C11B0000}"/>
    <cellStyle name="Normal 11 17 14" xfId="7928" xr:uid="{00000000-0005-0000-0000-0000C21B0000}"/>
    <cellStyle name="Normal 11 17 15" xfId="7929" xr:uid="{00000000-0005-0000-0000-0000C31B0000}"/>
    <cellStyle name="Normal 11 17 16" xfId="7930" xr:uid="{00000000-0005-0000-0000-0000C41B0000}"/>
    <cellStyle name="Normal 11 17 17" xfId="7931" xr:uid="{00000000-0005-0000-0000-0000C51B0000}"/>
    <cellStyle name="Normal 11 17 18" xfId="7932" xr:uid="{00000000-0005-0000-0000-0000C61B0000}"/>
    <cellStyle name="Normal 11 17 19" xfId="7933" xr:uid="{00000000-0005-0000-0000-0000C71B0000}"/>
    <cellStyle name="Normal 11 17 2" xfId="7934" xr:uid="{00000000-0005-0000-0000-0000C81B0000}"/>
    <cellStyle name="Normal 11 17 2 2" xfId="7935" xr:uid="{00000000-0005-0000-0000-0000C91B0000}"/>
    <cellStyle name="Normal 11 17 2 3" xfId="7936" xr:uid="{00000000-0005-0000-0000-0000CA1B0000}"/>
    <cellStyle name="Normal 11 17 2 4" xfId="7937" xr:uid="{00000000-0005-0000-0000-0000CB1B0000}"/>
    <cellStyle name="Normal 11 17 20" xfId="7938" xr:uid="{00000000-0005-0000-0000-0000CC1B0000}"/>
    <cellStyle name="Normal 11 17 21" xfId="7939" xr:uid="{00000000-0005-0000-0000-0000CD1B0000}"/>
    <cellStyle name="Normal 11 17 22" xfId="7940" xr:uid="{00000000-0005-0000-0000-0000CE1B0000}"/>
    <cellStyle name="Normal 11 17 23" xfId="7941" xr:uid="{00000000-0005-0000-0000-0000CF1B0000}"/>
    <cellStyle name="Normal 11 17 24" xfId="7942" xr:uid="{00000000-0005-0000-0000-0000D01B0000}"/>
    <cellStyle name="Normal 11 17 25" xfId="7943" xr:uid="{00000000-0005-0000-0000-0000D11B0000}"/>
    <cellStyle name="Normal 11 17 26" xfId="7944" xr:uid="{00000000-0005-0000-0000-0000D21B0000}"/>
    <cellStyle name="Normal 11 17 27" xfId="7945" xr:uid="{00000000-0005-0000-0000-0000D31B0000}"/>
    <cellStyle name="Normal 11 17 28" xfId="7946" xr:uid="{00000000-0005-0000-0000-0000D41B0000}"/>
    <cellStyle name="Normal 11 17 29" xfId="7947" xr:uid="{00000000-0005-0000-0000-0000D51B0000}"/>
    <cellStyle name="Normal 11 17 3" xfId="7948" xr:uid="{00000000-0005-0000-0000-0000D61B0000}"/>
    <cellStyle name="Normal 11 17 3 2" xfId="7949" xr:uid="{00000000-0005-0000-0000-0000D71B0000}"/>
    <cellStyle name="Normal 11 17 3 3" xfId="7950" xr:uid="{00000000-0005-0000-0000-0000D81B0000}"/>
    <cellStyle name="Normal 11 17 3 4" xfId="7951" xr:uid="{00000000-0005-0000-0000-0000D91B0000}"/>
    <cellStyle name="Normal 11 17 30" xfId="7952" xr:uid="{00000000-0005-0000-0000-0000DA1B0000}"/>
    <cellStyle name="Normal 11 17 31" xfId="7953" xr:uid="{00000000-0005-0000-0000-0000DB1B0000}"/>
    <cellStyle name="Normal 11 17 32" xfId="7954" xr:uid="{00000000-0005-0000-0000-0000DC1B0000}"/>
    <cellStyle name="Normal 11 17 33" xfId="7955" xr:uid="{00000000-0005-0000-0000-0000DD1B0000}"/>
    <cellStyle name="Normal 11 17 34" xfId="7956" xr:uid="{00000000-0005-0000-0000-0000DE1B0000}"/>
    <cellStyle name="Normal 11 17 35" xfId="7957" xr:uid="{00000000-0005-0000-0000-0000DF1B0000}"/>
    <cellStyle name="Normal 11 17 36" xfId="7958" xr:uid="{00000000-0005-0000-0000-0000E01B0000}"/>
    <cellStyle name="Normal 11 17 37" xfId="7959" xr:uid="{00000000-0005-0000-0000-0000E11B0000}"/>
    <cellStyle name="Normal 11 17 38" xfId="7960" xr:uid="{00000000-0005-0000-0000-0000E21B0000}"/>
    <cellStyle name="Normal 11 17 39" xfId="7961" xr:uid="{00000000-0005-0000-0000-0000E31B0000}"/>
    <cellStyle name="Normal 11 17 4" xfId="7962" xr:uid="{00000000-0005-0000-0000-0000E41B0000}"/>
    <cellStyle name="Normal 11 17 40" xfId="7963" xr:uid="{00000000-0005-0000-0000-0000E51B0000}"/>
    <cellStyle name="Normal 11 17 41" xfId="7964" xr:uid="{00000000-0005-0000-0000-0000E61B0000}"/>
    <cellStyle name="Normal 11 17 42" xfId="7965" xr:uid="{00000000-0005-0000-0000-0000E71B0000}"/>
    <cellStyle name="Normal 11 17 43" xfId="7966" xr:uid="{00000000-0005-0000-0000-0000E81B0000}"/>
    <cellStyle name="Normal 11 17 44" xfId="7967" xr:uid="{00000000-0005-0000-0000-0000E91B0000}"/>
    <cellStyle name="Normal 11 17 45" xfId="7968" xr:uid="{00000000-0005-0000-0000-0000EA1B0000}"/>
    <cellStyle name="Normal 11 17 5" xfId="7969" xr:uid="{00000000-0005-0000-0000-0000EB1B0000}"/>
    <cellStyle name="Normal 11 17 6" xfId="7970" xr:uid="{00000000-0005-0000-0000-0000EC1B0000}"/>
    <cellStyle name="Normal 11 17 7" xfId="7971" xr:uid="{00000000-0005-0000-0000-0000ED1B0000}"/>
    <cellStyle name="Normal 11 17 8" xfId="7972" xr:uid="{00000000-0005-0000-0000-0000EE1B0000}"/>
    <cellStyle name="Normal 11 17 9" xfId="7973" xr:uid="{00000000-0005-0000-0000-0000EF1B0000}"/>
    <cellStyle name="Normal 11 18" xfId="7974" xr:uid="{00000000-0005-0000-0000-0000F01B0000}"/>
    <cellStyle name="Normal 11 18 10" xfId="7975" xr:uid="{00000000-0005-0000-0000-0000F11B0000}"/>
    <cellStyle name="Normal 11 18 11" xfId="7976" xr:uid="{00000000-0005-0000-0000-0000F21B0000}"/>
    <cellStyle name="Normal 11 18 12" xfId="7977" xr:uid="{00000000-0005-0000-0000-0000F31B0000}"/>
    <cellStyle name="Normal 11 18 13" xfId="7978" xr:uid="{00000000-0005-0000-0000-0000F41B0000}"/>
    <cellStyle name="Normal 11 18 14" xfId="7979" xr:uid="{00000000-0005-0000-0000-0000F51B0000}"/>
    <cellStyle name="Normal 11 18 15" xfId="7980" xr:uid="{00000000-0005-0000-0000-0000F61B0000}"/>
    <cellStyle name="Normal 11 18 16" xfId="7981" xr:uid="{00000000-0005-0000-0000-0000F71B0000}"/>
    <cellStyle name="Normal 11 18 17" xfId="7982" xr:uid="{00000000-0005-0000-0000-0000F81B0000}"/>
    <cellStyle name="Normal 11 18 18" xfId="7983" xr:uid="{00000000-0005-0000-0000-0000F91B0000}"/>
    <cellStyle name="Normal 11 18 19" xfId="7984" xr:uid="{00000000-0005-0000-0000-0000FA1B0000}"/>
    <cellStyle name="Normal 11 18 2" xfId="7985" xr:uid="{00000000-0005-0000-0000-0000FB1B0000}"/>
    <cellStyle name="Normal 11 18 2 2" xfId="7986" xr:uid="{00000000-0005-0000-0000-0000FC1B0000}"/>
    <cellStyle name="Normal 11 18 2 3" xfId="7987" xr:uid="{00000000-0005-0000-0000-0000FD1B0000}"/>
    <cellStyle name="Normal 11 18 2 4" xfId="7988" xr:uid="{00000000-0005-0000-0000-0000FE1B0000}"/>
    <cellStyle name="Normal 11 18 20" xfId="7989" xr:uid="{00000000-0005-0000-0000-0000FF1B0000}"/>
    <cellStyle name="Normal 11 18 21" xfId="7990" xr:uid="{00000000-0005-0000-0000-0000001C0000}"/>
    <cellStyle name="Normal 11 18 22" xfId="7991" xr:uid="{00000000-0005-0000-0000-0000011C0000}"/>
    <cellStyle name="Normal 11 18 23" xfId="7992" xr:uid="{00000000-0005-0000-0000-0000021C0000}"/>
    <cellStyle name="Normal 11 18 24" xfId="7993" xr:uid="{00000000-0005-0000-0000-0000031C0000}"/>
    <cellStyle name="Normal 11 18 25" xfId="7994" xr:uid="{00000000-0005-0000-0000-0000041C0000}"/>
    <cellStyle name="Normal 11 18 26" xfId="7995" xr:uid="{00000000-0005-0000-0000-0000051C0000}"/>
    <cellStyle name="Normal 11 18 27" xfId="7996" xr:uid="{00000000-0005-0000-0000-0000061C0000}"/>
    <cellStyle name="Normal 11 18 28" xfId="7997" xr:uid="{00000000-0005-0000-0000-0000071C0000}"/>
    <cellStyle name="Normal 11 18 29" xfId="7998" xr:uid="{00000000-0005-0000-0000-0000081C0000}"/>
    <cellStyle name="Normal 11 18 3" xfId="7999" xr:uid="{00000000-0005-0000-0000-0000091C0000}"/>
    <cellStyle name="Normal 11 18 3 2" xfId="8000" xr:uid="{00000000-0005-0000-0000-00000A1C0000}"/>
    <cellStyle name="Normal 11 18 3 3" xfId="8001" xr:uid="{00000000-0005-0000-0000-00000B1C0000}"/>
    <cellStyle name="Normal 11 18 3 4" xfId="8002" xr:uid="{00000000-0005-0000-0000-00000C1C0000}"/>
    <cellStyle name="Normal 11 18 30" xfId="8003" xr:uid="{00000000-0005-0000-0000-00000D1C0000}"/>
    <cellStyle name="Normal 11 18 31" xfId="8004" xr:uid="{00000000-0005-0000-0000-00000E1C0000}"/>
    <cellStyle name="Normal 11 18 32" xfId="8005" xr:uid="{00000000-0005-0000-0000-00000F1C0000}"/>
    <cellStyle name="Normal 11 18 33" xfId="8006" xr:uid="{00000000-0005-0000-0000-0000101C0000}"/>
    <cellStyle name="Normal 11 18 34" xfId="8007" xr:uid="{00000000-0005-0000-0000-0000111C0000}"/>
    <cellStyle name="Normal 11 18 35" xfId="8008" xr:uid="{00000000-0005-0000-0000-0000121C0000}"/>
    <cellStyle name="Normal 11 18 36" xfId="8009" xr:uid="{00000000-0005-0000-0000-0000131C0000}"/>
    <cellStyle name="Normal 11 18 37" xfId="8010" xr:uid="{00000000-0005-0000-0000-0000141C0000}"/>
    <cellStyle name="Normal 11 18 38" xfId="8011" xr:uid="{00000000-0005-0000-0000-0000151C0000}"/>
    <cellStyle name="Normal 11 18 39" xfId="8012" xr:uid="{00000000-0005-0000-0000-0000161C0000}"/>
    <cellStyle name="Normal 11 18 4" xfId="8013" xr:uid="{00000000-0005-0000-0000-0000171C0000}"/>
    <cellStyle name="Normal 11 18 40" xfId="8014" xr:uid="{00000000-0005-0000-0000-0000181C0000}"/>
    <cellStyle name="Normal 11 18 41" xfId="8015" xr:uid="{00000000-0005-0000-0000-0000191C0000}"/>
    <cellStyle name="Normal 11 18 42" xfId="8016" xr:uid="{00000000-0005-0000-0000-00001A1C0000}"/>
    <cellStyle name="Normal 11 18 43" xfId="8017" xr:uid="{00000000-0005-0000-0000-00001B1C0000}"/>
    <cellStyle name="Normal 11 18 44" xfId="8018" xr:uid="{00000000-0005-0000-0000-00001C1C0000}"/>
    <cellStyle name="Normal 11 18 45" xfId="8019" xr:uid="{00000000-0005-0000-0000-00001D1C0000}"/>
    <cellStyle name="Normal 11 18 5" xfId="8020" xr:uid="{00000000-0005-0000-0000-00001E1C0000}"/>
    <cellStyle name="Normal 11 18 6" xfId="8021" xr:uid="{00000000-0005-0000-0000-00001F1C0000}"/>
    <cellStyle name="Normal 11 18 7" xfId="8022" xr:uid="{00000000-0005-0000-0000-0000201C0000}"/>
    <cellStyle name="Normal 11 18 8" xfId="8023" xr:uid="{00000000-0005-0000-0000-0000211C0000}"/>
    <cellStyle name="Normal 11 18 9" xfId="8024" xr:uid="{00000000-0005-0000-0000-0000221C0000}"/>
    <cellStyle name="Normal 11 19" xfId="8025" xr:uid="{00000000-0005-0000-0000-0000231C0000}"/>
    <cellStyle name="Normal 11 19 10" xfId="8026" xr:uid="{00000000-0005-0000-0000-0000241C0000}"/>
    <cellStyle name="Normal 11 19 11" xfId="8027" xr:uid="{00000000-0005-0000-0000-0000251C0000}"/>
    <cellStyle name="Normal 11 19 12" xfId="8028" xr:uid="{00000000-0005-0000-0000-0000261C0000}"/>
    <cellStyle name="Normal 11 19 13" xfId="8029" xr:uid="{00000000-0005-0000-0000-0000271C0000}"/>
    <cellStyle name="Normal 11 19 14" xfId="8030" xr:uid="{00000000-0005-0000-0000-0000281C0000}"/>
    <cellStyle name="Normal 11 19 15" xfId="8031" xr:uid="{00000000-0005-0000-0000-0000291C0000}"/>
    <cellStyle name="Normal 11 19 16" xfId="8032" xr:uid="{00000000-0005-0000-0000-00002A1C0000}"/>
    <cellStyle name="Normal 11 19 17" xfId="8033" xr:uid="{00000000-0005-0000-0000-00002B1C0000}"/>
    <cellStyle name="Normal 11 19 18" xfId="8034" xr:uid="{00000000-0005-0000-0000-00002C1C0000}"/>
    <cellStyle name="Normal 11 19 19" xfId="8035" xr:uid="{00000000-0005-0000-0000-00002D1C0000}"/>
    <cellStyle name="Normal 11 19 2" xfId="8036" xr:uid="{00000000-0005-0000-0000-00002E1C0000}"/>
    <cellStyle name="Normal 11 19 2 2" xfId="8037" xr:uid="{00000000-0005-0000-0000-00002F1C0000}"/>
    <cellStyle name="Normal 11 19 2 3" xfId="8038" xr:uid="{00000000-0005-0000-0000-0000301C0000}"/>
    <cellStyle name="Normal 11 19 2 4" xfId="8039" xr:uid="{00000000-0005-0000-0000-0000311C0000}"/>
    <cellStyle name="Normal 11 19 20" xfId="8040" xr:uid="{00000000-0005-0000-0000-0000321C0000}"/>
    <cellStyle name="Normal 11 19 21" xfId="8041" xr:uid="{00000000-0005-0000-0000-0000331C0000}"/>
    <cellStyle name="Normal 11 19 22" xfId="8042" xr:uid="{00000000-0005-0000-0000-0000341C0000}"/>
    <cellStyle name="Normal 11 19 23" xfId="8043" xr:uid="{00000000-0005-0000-0000-0000351C0000}"/>
    <cellStyle name="Normal 11 19 24" xfId="8044" xr:uid="{00000000-0005-0000-0000-0000361C0000}"/>
    <cellStyle name="Normal 11 19 25" xfId="8045" xr:uid="{00000000-0005-0000-0000-0000371C0000}"/>
    <cellStyle name="Normal 11 19 26" xfId="8046" xr:uid="{00000000-0005-0000-0000-0000381C0000}"/>
    <cellStyle name="Normal 11 19 27" xfId="8047" xr:uid="{00000000-0005-0000-0000-0000391C0000}"/>
    <cellStyle name="Normal 11 19 28" xfId="8048" xr:uid="{00000000-0005-0000-0000-00003A1C0000}"/>
    <cellStyle name="Normal 11 19 29" xfId="8049" xr:uid="{00000000-0005-0000-0000-00003B1C0000}"/>
    <cellStyle name="Normal 11 19 3" xfId="8050" xr:uid="{00000000-0005-0000-0000-00003C1C0000}"/>
    <cellStyle name="Normal 11 19 3 2" xfId="8051" xr:uid="{00000000-0005-0000-0000-00003D1C0000}"/>
    <cellStyle name="Normal 11 19 3 3" xfId="8052" xr:uid="{00000000-0005-0000-0000-00003E1C0000}"/>
    <cellStyle name="Normal 11 19 3 4" xfId="8053" xr:uid="{00000000-0005-0000-0000-00003F1C0000}"/>
    <cellStyle name="Normal 11 19 30" xfId="8054" xr:uid="{00000000-0005-0000-0000-0000401C0000}"/>
    <cellStyle name="Normal 11 19 31" xfId="8055" xr:uid="{00000000-0005-0000-0000-0000411C0000}"/>
    <cellStyle name="Normal 11 19 32" xfId="8056" xr:uid="{00000000-0005-0000-0000-0000421C0000}"/>
    <cellStyle name="Normal 11 19 33" xfId="8057" xr:uid="{00000000-0005-0000-0000-0000431C0000}"/>
    <cellStyle name="Normal 11 19 34" xfId="8058" xr:uid="{00000000-0005-0000-0000-0000441C0000}"/>
    <cellStyle name="Normal 11 19 35" xfId="8059" xr:uid="{00000000-0005-0000-0000-0000451C0000}"/>
    <cellStyle name="Normal 11 19 36" xfId="8060" xr:uid="{00000000-0005-0000-0000-0000461C0000}"/>
    <cellStyle name="Normal 11 19 37" xfId="8061" xr:uid="{00000000-0005-0000-0000-0000471C0000}"/>
    <cellStyle name="Normal 11 19 38" xfId="8062" xr:uid="{00000000-0005-0000-0000-0000481C0000}"/>
    <cellStyle name="Normal 11 19 39" xfId="8063" xr:uid="{00000000-0005-0000-0000-0000491C0000}"/>
    <cellStyle name="Normal 11 19 4" xfId="8064" xr:uid="{00000000-0005-0000-0000-00004A1C0000}"/>
    <cellStyle name="Normal 11 19 40" xfId="8065" xr:uid="{00000000-0005-0000-0000-00004B1C0000}"/>
    <cellStyle name="Normal 11 19 41" xfId="8066" xr:uid="{00000000-0005-0000-0000-00004C1C0000}"/>
    <cellStyle name="Normal 11 19 42" xfId="8067" xr:uid="{00000000-0005-0000-0000-00004D1C0000}"/>
    <cellStyle name="Normal 11 19 43" xfId="8068" xr:uid="{00000000-0005-0000-0000-00004E1C0000}"/>
    <cellStyle name="Normal 11 19 44" xfId="8069" xr:uid="{00000000-0005-0000-0000-00004F1C0000}"/>
    <cellStyle name="Normal 11 19 45" xfId="8070" xr:uid="{00000000-0005-0000-0000-0000501C0000}"/>
    <cellStyle name="Normal 11 19 5" xfId="8071" xr:uid="{00000000-0005-0000-0000-0000511C0000}"/>
    <cellStyle name="Normal 11 19 6" xfId="8072" xr:uid="{00000000-0005-0000-0000-0000521C0000}"/>
    <cellStyle name="Normal 11 19 7" xfId="8073" xr:uid="{00000000-0005-0000-0000-0000531C0000}"/>
    <cellStyle name="Normal 11 19 8" xfId="8074" xr:uid="{00000000-0005-0000-0000-0000541C0000}"/>
    <cellStyle name="Normal 11 19 9" xfId="8075" xr:uid="{00000000-0005-0000-0000-0000551C0000}"/>
    <cellStyle name="Normal 11 2" xfId="8076" xr:uid="{00000000-0005-0000-0000-0000561C0000}"/>
    <cellStyle name="Normal 11 2 10" xfId="8077" xr:uid="{00000000-0005-0000-0000-0000571C0000}"/>
    <cellStyle name="Normal 11 2 10 2" xfId="8078" xr:uid="{00000000-0005-0000-0000-0000581C0000}"/>
    <cellStyle name="Normal 11 2 10 2 2" xfId="8079" xr:uid="{00000000-0005-0000-0000-0000591C0000}"/>
    <cellStyle name="Normal 11 2 10 2 3" xfId="8080" xr:uid="{00000000-0005-0000-0000-00005A1C0000}"/>
    <cellStyle name="Normal 11 2 10 2 4" xfId="8081" xr:uid="{00000000-0005-0000-0000-00005B1C0000}"/>
    <cellStyle name="Normal 11 2 10 3" xfId="8082" xr:uid="{00000000-0005-0000-0000-00005C1C0000}"/>
    <cellStyle name="Normal 11 2 10 3 2" xfId="8083" xr:uid="{00000000-0005-0000-0000-00005D1C0000}"/>
    <cellStyle name="Normal 11 2 10 3 3" xfId="8084" xr:uid="{00000000-0005-0000-0000-00005E1C0000}"/>
    <cellStyle name="Normal 11 2 10 3 4" xfId="8085" xr:uid="{00000000-0005-0000-0000-00005F1C0000}"/>
    <cellStyle name="Normal 11 2 10 4" xfId="8086" xr:uid="{00000000-0005-0000-0000-0000601C0000}"/>
    <cellStyle name="Normal 11 2 10 5" xfId="8087" xr:uid="{00000000-0005-0000-0000-0000611C0000}"/>
    <cellStyle name="Normal 11 2 10 6" xfId="8088" xr:uid="{00000000-0005-0000-0000-0000621C0000}"/>
    <cellStyle name="Normal 11 2 11" xfId="8089" xr:uid="{00000000-0005-0000-0000-0000631C0000}"/>
    <cellStyle name="Normal 11 2 11 2" xfId="8090" xr:uid="{00000000-0005-0000-0000-0000641C0000}"/>
    <cellStyle name="Normal 11 2 11 2 2" xfId="8091" xr:uid="{00000000-0005-0000-0000-0000651C0000}"/>
    <cellStyle name="Normal 11 2 11 2 3" xfId="8092" xr:uid="{00000000-0005-0000-0000-0000661C0000}"/>
    <cellStyle name="Normal 11 2 11 2 4" xfId="8093" xr:uid="{00000000-0005-0000-0000-0000671C0000}"/>
    <cellStyle name="Normal 11 2 11 3" xfId="8094" xr:uid="{00000000-0005-0000-0000-0000681C0000}"/>
    <cellStyle name="Normal 11 2 11 3 2" xfId="8095" xr:uid="{00000000-0005-0000-0000-0000691C0000}"/>
    <cellStyle name="Normal 11 2 11 3 3" xfId="8096" xr:uid="{00000000-0005-0000-0000-00006A1C0000}"/>
    <cellStyle name="Normal 11 2 11 3 4" xfId="8097" xr:uid="{00000000-0005-0000-0000-00006B1C0000}"/>
    <cellStyle name="Normal 11 2 11 4" xfId="8098" xr:uid="{00000000-0005-0000-0000-00006C1C0000}"/>
    <cellStyle name="Normal 11 2 11 5" xfId="8099" xr:uid="{00000000-0005-0000-0000-00006D1C0000}"/>
    <cellStyle name="Normal 11 2 11 6" xfId="8100" xr:uid="{00000000-0005-0000-0000-00006E1C0000}"/>
    <cellStyle name="Normal 11 2 12" xfId="8101" xr:uid="{00000000-0005-0000-0000-00006F1C0000}"/>
    <cellStyle name="Normal 11 2 12 2" xfId="8102" xr:uid="{00000000-0005-0000-0000-0000701C0000}"/>
    <cellStyle name="Normal 11 2 12 2 2" xfId="8103" xr:uid="{00000000-0005-0000-0000-0000711C0000}"/>
    <cellStyle name="Normal 11 2 12 2 3" xfId="8104" xr:uid="{00000000-0005-0000-0000-0000721C0000}"/>
    <cellStyle name="Normal 11 2 12 2 4" xfId="8105" xr:uid="{00000000-0005-0000-0000-0000731C0000}"/>
    <cellStyle name="Normal 11 2 12 3" xfId="8106" xr:uid="{00000000-0005-0000-0000-0000741C0000}"/>
    <cellStyle name="Normal 11 2 12 3 2" xfId="8107" xr:uid="{00000000-0005-0000-0000-0000751C0000}"/>
    <cellStyle name="Normal 11 2 12 3 3" xfId="8108" xr:uid="{00000000-0005-0000-0000-0000761C0000}"/>
    <cellStyle name="Normal 11 2 12 3 4" xfId="8109" xr:uid="{00000000-0005-0000-0000-0000771C0000}"/>
    <cellStyle name="Normal 11 2 12 4" xfId="8110" xr:uid="{00000000-0005-0000-0000-0000781C0000}"/>
    <cellStyle name="Normal 11 2 12 5" xfId="8111" xr:uid="{00000000-0005-0000-0000-0000791C0000}"/>
    <cellStyle name="Normal 11 2 12 6" xfId="8112" xr:uid="{00000000-0005-0000-0000-00007A1C0000}"/>
    <cellStyle name="Normal 11 2 13" xfId="8113" xr:uid="{00000000-0005-0000-0000-00007B1C0000}"/>
    <cellStyle name="Normal 11 2 13 2" xfId="8114" xr:uid="{00000000-0005-0000-0000-00007C1C0000}"/>
    <cellStyle name="Normal 11 2 13 2 2" xfId="8115" xr:uid="{00000000-0005-0000-0000-00007D1C0000}"/>
    <cellStyle name="Normal 11 2 13 2 3" xfId="8116" xr:uid="{00000000-0005-0000-0000-00007E1C0000}"/>
    <cellStyle name="Normal 11 2 13 2 4" xfId="8117" xr:uid="{00000000-0005-0000-0000-00007F1C0000}"/>
    <cellStyle name="Normal 11 2 13 3" xfId="8118" xr:uid="{00000000-0005-0000-0000-0000801C0000}"/>
    <cellStyle name="Normal 11 2 13 3 2" xfId="8119" xr:uid="{00000000-0005-0000-0000-0000811C0000}"/>
    <cellStyle name="Normal 11 2 13 3 3" xfId="8120" xr:uid="{00000000-0005-0000-0000-0000821C0000}"/>
    <cellStyle name="Normal 11 2 13 3 4" xfId="8121" xr:uid="{00000000-0005-0000-0000-0000831C0000}"/>
    <cellStyle name="Normal 11 2 13 4" xfId="8122" xr:uid="{00000000-0005-0000-0000-0000841C0000}"/>
    <cellStyle name="Normal 11 2 13 5" xfId="8123" xr:uid="{00000000-0005-0000-0000-0000851C0000}"/>
    <cellStyle name="Normal 11 2 13 6" xfId="8124" xr:uid="{00000000-0005-0000-0000-0000861C0000}"/>
    <cellStyle name="Normal 11 2 14" xfId="8125" xr:uid="{00000000-0005-0000-0000-0000871C0000}"/>
    <cellStyle name="Normal 11 2 14 2" xfId="8126" xr:uid="{00000000-0005-0000-0000-0000881C0000}"/>
    <cellStyle name="Normal 11 2 14 2 2" xfId="8127" xr:uid="{00000000-0005-0000-0000-0000891C0000}"/>
    <cellStyle name="Normal 11 2 14 2 3" xfId="8128" xr:uid="{00000000-0005-0000-0000-00008A1C0000}"/>
    <cellStyle name="Normal 11 2 14 2 4" xfId="8129" xr:uid="{00000000-0005-0000-0000-00008B1C0000}"/>
    <cellStyle name="Normal 11 2 14 3" xfId="8130" xr:uid="{00000000-0005-0000-0000-00008C1C0000}"/>
    <cellStyle name="Normal 11 2 14 3 2" xfId="8131" xr:uid="{00000000-0005-0000-0000-00008D1C0000}"/>
    <cellStyle name="Normal 11 2 14 3 3" xfId="8132" xr:uid="{00000000-0005-0000-0000-00008E1C0000}"/>
    <cellStyle name="Normal 11 2 14 3 4" xfId="8133" xr:uid="{00000000-0005-0000-0000-00008F1C0000}"/>
    <cellStyle name="Normal 11 2 14 4" xfId="8134" xr:uid="{00000000-0005-0000-0000-0000901C0000}"/>
    <cellStyle name="Normal 11 2 14 5" xfId="8135" xr:uid="{00000000-0005-0000-0000-0000911C0000}"/>
    <cellStyle name="Normal 11 2 14 6" xfId="8136" xr:uid="{00000000-0005-0000-0000-0000921C0000}"/>
    <cellStyle name="Normal 11 2 15" xfId="8137" xr:uid="{00000000-0005-0000-0000-0000931C0000}"/>
    <cellStyle name="Normal 11 2 15 2" xfId="8138" xr:uid="{00000000-0005-0000-0000-0000941C0000}"/>
    <cellStyle name="Normal 11 2 15 2 2" xfId="8139" xr:uid="{00000000-0005-0000-0000-0000951C0000}"/>
    <cellStyle name="Normal 11 2 15 2 3" xfId="8140" xr:uid="{00000000-0005-0000-0000-0000961C0000}"/>
    <cellStyle name="Normal 11 2 15 2 4" xfId="8141" xr:uid="{00000000-0005-0000-0000-0000971C0000}"/>
    <cellStyle name="Normal 11 2 15 3" xfId="8142" xr:uid="{00000000-0005-0000-0000-0000981C0000}"/>
    <cellStyle name="Normal 11 2 15 3 2" xfId="8143" xr:uid="{00000000-0005-0000-0000-0000991C0000}"/>
    <cellStyle name="Normal 11 2 15 3 3" xfId="8144" xr:uid="{00000000-0005-0000-0000-00009A1C0000}"/>
    <cellStyle name="Normal 11 2 15 3 4" xfId="8145" xr:uid="{00000000-0005-0000-0000-00009B1C0000}"/>
    <cellStyle name="Normal 11 2 15 4" xfId="8146" xr:uid="{00000000-0005-0000-0000-00009C1C0000}"/>
    <cellStyle name="Normal 11 2 15 5" xfId="8147" xr:uid="{00000000-0005-0000-0000-00009D1C0000}"/>
    <cellStyle name="Normal 11 2 15 6" xfId="8148" xr:uid="{00000000-0005-0000-0000-00009E1C0000}"/>
    <cellStyle name="Normal 11 2 16" xfId="8149" xr:uid="{00000000-0005-0000-0000-00009F1C0000}"/>
    <cellStyle name="Normal 11 2 16 2" xfId="8150" xr:uid="{00000000-0005-0000-0000-0000A01C0000}"/>
    <cellStyle name="Normal 11 2 16 2 2" xfId="8151" xr:uid="{00000000-0005-0000-0000-0000A11C0000}"/>
    <cellStyle name="Normal 11 2 16 2 3" xfId="8152" xr:uid="{00000000-0005-0000-0000-0000A21C0000}"/>
    <cellStyle name="Normal 11 2 16 2 4" xfId="8153" xr:uid="{00000000-0005-0000-0000-0000A31C0000}"/>
    <cellStyle name="Normal 11 2 16 3" xfId="8154" xr:uid="{00000000-0005-0000-0000-0000A41C0000}"/>
    <cellStyle name="Normal 11 2 16 3 2" xfId="8155" xr:uid="{00000000-0005-0000-0000-0000A51C0000}"/>
    <cellStyle name="Normal 11 2 16 3 3" xfId="8156" xr:uid="{00000000-0005-0000-0000-0000A61C0000}"/>
    <cellStyle name="Normal 11 2 16 3 4" xfId="8157" xr:uid="{00000000-0005-0000-0000-0000A71C0000}"/>
    <cellStyle name="Normal 11 2 16 4" xfId="8158" xr:uid="{00000000-0005-0000-0000-0000A81C0000}"/>
    <cellStyle name="Normal 11 2 16 5" xfId="8159" xr:uid="{00000000-0005-0000-0000-0000A91C0000}"/>
    <cellStyle name="Normal 11 2 16 6" xfId="8160" xr:uid="{00000000-0005-0000-0000-0000AA1C0000}"/>
    <cellStyle name="Normal 11 2 17" xfId="8161" xr:uid="{00000000-0005-0000-0000-0000AB1C0000}"/>
    <cellStyle name="Normal 11 2 17 2" xfId="8162" xr:uid="{00000000-0005-0000-0000-0000AC1C0000}"/>
    <cellStyle name="Normal 11 2 17 2 2" xfId="8163" xr:uid="{00000000-0005-0000-0000-0000AD1C0000}"/>
    <cellStyle name="Normal 11 2 17 2 3" xfId="8164" xr:uid="{00000000-0005-0000-0000-0000AE1C0000}"/>
    <cellStyle name="Normal 11 2 17 2 4" xfId="8165" xr:uid="{00000000-0005-0000-0000-0000AF1C0000}"/>
    <cellStyle name="Normal 11 2 17 3" xfId="8166" xr:uid="{00000000-0005-0000-0000-0000B01C0000}"/>
    <cellStyle name="Normal 11 2 17 3 2" xfId="8167" xr:uid="{00000000-0005-0000-0000-0000B11C0000}"/>
    <cellStyle name="Normal 11 2 17 3 3" xfId="8168" xr:uid="{00000000-0005-0000-0000-0000B21C0000}"/>
    <cellStyle name="Normal 11 2 17 3 4" xfId="8169" xr:uid="{00000000-0005-0000-0000-0000B31C0000}"/>
    <cellStyle name="Normal 11 2 17 4" xfId="8170" xr:uid="{00000000-0005-0000-0000-0000B41C0000}"/>
    <cellStyle name="Normal 11 2 17 5" xfId="8171" xr:uid="{00000000-0005-0000-0000-0000B51C0000}"/>
    <cellStyle name="Normal 11 2 17 6" xfId="8172" xr:uid="{00000000-0005-0000-0000-0000B61C0000}"/>
    <cellStyle name="Normal 11 2 18" xfId="8173" xr:uid="{00000000-0005-0000-0000-0000B71C0000}"/>
    <cellStyle name="Normal 11 2 18 2" xfId="8174" xr:uid="{00000000-0005-0000-0000-0000B81C0000}"/>
    <cellStyle name="Normal 11 2 18 3" xfId="8175" xr:uid="{00000000-0005-0000-0000-0000B91C0000}"/>
    <cellStyle name="Normal 11 2 18 4" xfId="8176" xr:uid="{00000000-0005-0000-0000-0000BA1C0000}"/>
    <cellStyle name="Normal 11 2 19" xfId="8177" xr:uid="{00000000-0005-0000-0000-0000BB1C0000}"/>
    <cellStyle name="Normal 11 2 19 2" xfId="8178" xr:uid="{00000000-0005-0000-0000-0000BC1C0000}"/>
    <cellStyle name="Normal 11 2 19 3" xfId="8179" xr:uid="{00000000-0005-0000-0000-0000BD1C0000}"/>
    <cellStyle name="Normal 11 2 19 4" xfId="8180" xr:uid="{00000000-0005-0000-0000-0000BE1C0000}"/>
    <cellStyle name="Normal 11 2 2" xfId="8181" xr:uid="{00000000-0005-0000-0000-0000BF1C0000}"/>
    <cellStyle name="Normal 11 2 2 2" xfId="8182" xr:uid="{00000000-0005-0000-0000-0000C01C0000}"/>
    <cellStyle name="Normal 11 2 2 2 2" xfId="8183" xr:uid="{00000000-0005-0000-0000-0000C11C0000}"/>
    <cellStyle name="Normal 11 2 2 2 3" xfId="8184" xr:uid="{00000000-0005-0000-0000-0000C21C0000}"/>
    <cellStyle name="Normal 11 2 2 2 4" xfId="8185" xr:uid="{00000000-0005-0000-0000-0000C31C0000}"/>
    <cellStyle name="Normal 11 2 2 3" xfId="8186" xr:uid="{00000000-0005-0000-0000-0000C41C0000}"/>
    <cellStyle name="Normal 11 2 2 3 2" xfId="8187" xr:uid="{00000000-0005-0000-0000-0000C51C0000}"/>
    <cellStyle name="Normal 11 2 2 3 3" xfId="8188" xr:uid="{00000000-0005-0000-0000-0000C61C0000}"/>
    <cellStyle name="Normal 11 2 2 3 4" xfId="8189" xr:uid="{00000000-0005-0000-0000-0000C71C0000}"/>
    <cellStyle name="Normal 11 2 2 4" xfId="8190" xr:uid="{00000000-0005-0000-0000-0000C81C0000}"/>
    <cellStyle name="Normal 11 2 2 5" xfId="8191" xr:uid="{00000000-0005-0000-0000-0000C91C0000}"/>
    <cellStyle name="Normal 11 2 2 6" xfId="8192" xr:uid="{00000000-0005-0000-0000-0000CA1C0000}"/>
    <cellStyle name="Normal 11 2 20" xfId="8193" xr:uid="{00000000-0005-0000-0000-0000CB1C0000}"/>
    <cellStyle name="Normal 11 2 20 2" xfId="8194" xr:uid="{00000000-0005-0000-0000-0000CC1C0000}"/>
    <cellStyle name="Normal 11 2 20 3" xfId="8195" xr:uid="{00000000-0005-0000-0000-0000CD1C0000}"/>
    <cellStyle name="Normal 11 2 20 4" xfId="8196" xr:uid="{00000000-0005-0000-0000-0000CE1C0000}"/>
    <cellStyle name="Normal 11 2 21" xfId="8197" xr:uid="{00000000-0005-0000-0000-0000CF1C0000}"/>
    <cellStyle name="Normal 11 2 22" xfId="8198" xr:uid="{00000000-0005-0000-0000-0000D01C0000}"/>
    <cellStyle name="Normal 11 2 23" xfId="8199" xr:uid="{00000000-0005-0000-0000-0000D11C0000}"/>
    <cellStyle name="Normal 11 2 24" xfId="8200" xr:uid="{00000000-0005-0000-0000-0000D21C0000}"/>
    <cellStyle name="Normal 11 2 25" xfId="8201" xr:uid="{00000000-0005-0000-0000-0000D31C0000}"/>
    <cellStyle name="Normal 11 2 26" xfId="8202" xr:uid="{00000000-0005-0000-0000-0000D41C0000}"/>
    <cellStyle name="Normal 11 2 27" xfId="8203" xr:uid="{00000000-0005-0000-0000-0000D51C0000}"/>
    <cellStyle name="Normal 11 2 28" xfId="8204" xr:uid="{00000000-0005-0000-0000-0000D61C0000}"/>
    <cellStyle name="Normal 11 2 29" xfId="8205" xr:uid="{00000000-0005-0000-0000-0000D71C0000}"/>
    <cellStyle name="Normal 11 2 3" xfId="8206" xr:uid="{00000000-0005-0000-0000-0000D81C0000}"/>
    <cellStyle name="Normal 11 2 3 2" xfId="8207" xr:uid="{00000000-0005-0000-0000-0000D91C0000}"/>
    <cellStyle name="Normal 11 2 3 2 2" xfId="8208" xr:uid="{00000000-0005-0000-0000-0000DA1C0000}"/>
    <cellStyle name="Normal 11 2 3 2 3" xfId="8209" xr:uid="{00000000-0005-0000-0000-0000DB1C0000}"/>
    <cellStyle name="Normal 11 2 3 2 4" xfId="8210" xr:uid="{00000000-0005-0000-0000-0000DC1C0000}"/>
    <cellStyle name="Normal 11 2 3 3" xfId="8211" xr:uid="{00000000-0005-0000-0000-0000DD1C0000}"/>
    <cellStyle name="Normal 11 2 3 3 2" xfId="8212" xr:uid="{00000000-0005-0000-0000-0000DE1C0000}"/>
    <cellStyle name="Normal 11 2 3 3 3" xfId="8213" xr:uid="{00000000-0005-0000-0000-0000DF1C0000}"/>
    <cellStyle name="Normal 11 2 3 3 4" xfId="8214" xr:uid="{00000000-0005-0000-0000-0000E01C0000}"/>
    <cellStyle name="Normal 11 2 3 4" xfId="8215" xr:uid="{00000000-0005-0000-0000-0000E11C0000}"/>
    <cellStyle name="Normal 11 2 3 5" xfId="8216" xr:uid="{00000000-0005-0000-0000-0000E21C0000}"/>
    <cellStyle name="Normal 11 2 3 6" xfId="8217" xr:uid="{00000000-0005-0000-0000-0000E31C0000}"/>
    <cellStyle name="Normal 11 2 30" xfId="8218" xr:uid="{00000000-0005-0000-0000-0000E41C0000}"/>
    <cellStyle name="Normal 11 2 31" xfId="8219" xr:uid="{00000000-0005-0000-0000-0000E51C0000}"/>
    <cellStyle name="Normal 11 2 32" xfId="8220" xr:uid="{00000000-0005-0000-0000-0000E61C0000}"/>
    <cellStyle name="Normal 11 2 33" xfId="8221" xr:uid="{00000000-0005-0000-0000-0000E71C0000}"/>
    <cellStyle name="Normal 11 2 34" xfId="8222" xr:uid="{00000000-0005-0000-0000-0000E81C0000}"/>
    <cellStyle name="Normal 11 2 35" xfId="8223" xr:uid="{00000000-0005-0000-0000-0000E91C0000}"/>
    <cellStyle name="Normal 11 2 36" xfId="8224" xr:uid="{00000000-0005-0000-0000-0000EA1C0000}"/>
    <cellStyle name="Normal 11 2 37" xfId="8225" xr:uid="{00000000-0005-0000-0000-0000EB1C0000}"/>
    <cellStyle name="Normal 11 2 38" xfId="8226" xr:uid="{00000000-0005-0000-0000-0000EC1C0000}"/>
    <cellStyle name="Normal 11 2 39" xfId="8227" xr:uid="{00000000-0005-0000-0000-0000ED1C0000}"/>
    <cellStyle name="Normal 11 2 4" xfId="8228" xr:uid="{00000000-0005-0000-0000-0000EE1C0000}"/>
    <cellStyle name="Normal 11 2 4 2" xfId="8229" xr:uid="{00000000-0005-0000-0000-0000EF1C0000}"/>
    <cellStyle name="Normal 11 2 4 2 2" xfId="8230" xr:uid="{00000000-0005-0000-0000-0000F01C0000}"/>
    <cellStyle name="Normal 11 2 4 2 3" xfId="8231" xr:uid="{00000000-0005-0000-0000-0000F11C0000}"/>
    <cellStyle name="Normal 11 2 4 2 4" xfId="8232" xr:uid="{00000000-0005-0000-0000-0000F21C0000}"/>
    <cellStyle name="Normal 11 2 4 3" xfId="8233" xr:uid="{00000000-0005-0000-0000-0000F31C0000}"/>
    <cellStyle name="Normal 11 2 4 3 2" xfId="8234" xr:uid="{00000000-0005-0000-0000-0000F41C0000}"/>
    <cellStyle name="Normal 11 2 4 3 3" xfId="8235" xr:uid="{00000000-0005-0000-0000-0000F51C0000}"/>
    <cellStyle name="Normal 11 2 4 3 4" xfId="8236" xr:uid="{00000000-0005-0000-0000-0000F61C0000}"/>
    <cellStyle name="Normal 11 2 4 4" xfId="8237" xr:uid="{00000000-0005-0000-0000-0000F71C0000}"/>
    <cellStyle name="Normal 11 2 4 5" xfId="8238" xr:uid="{00000000-0005-0000-0000-0000F81C0000}"/>
    <cellStyle name="Normal 11 2 4 6" xfId="8239" xr:uid="{00000000-0005-0000-0000-0000F91C0000}"/>
    <cellStyle name="Normal 11 2 40" xfId="8240" xr:uid="{00000000-0005-0000-0000-0000FA1C0000}"/>
    <cellStyle name="Normal 11 2 41" xfId="8241" xr:uid="{00000000-0005-0000-0000-0000FB1C0000}"/>
    <cellStyle name="Normal 11 2 42" xfId="8242" xr:uid="{00000000-0005-0000-0000-0000FC1C0000}"/>
    <cellStyle name="Normal 11 2 43" xfId="8243" xr:uid="{00000000-0005-0000-0000-0000FD1C0000}"/>
    <cellStyle name="Normal 11 2 44" xfId="8244" xr:uid="{00000000-0005-0000-0000-0000FE1C0000}"/>
    <cellStyle name="Normal 11 2 45" xfId="8245" xr:uid="{00000000-0005-0000-0000-0000FF1C0000}"/>
    <cellStyle name="Normal 11 2 46" xfId="8246" xr:uid="{00000000-0005-0000-0000-0000001D0000}"/>
    <cellStyle name="Normal 11 2 47" xfId="8247" xr:uid="{00000000-0005-0000-0000-0000011D0000}"/>
    <cellStyle name="Normal 11 2 48" xfId="8248" xr:uid="{00000000-0005-0000-0000-0000021D0000}"/>
    <cellStyle name="Normal 11 2 49" xfId="8249" xr:uid="{00000000-0005-0000-0000-0000031D0000}"/>
    <cellStyle name="Normal 11 2 5" xfId="8250" xr:uid="{00000000-0005-0000-0000-0000041D0000}"/>
    <cellStyle name="Normal 11 2 5 2" xfId="8251" xr:uid="{00000000-0005-0000-0000-0000051D0000}"/>
    <cellStyle name="Normal 11 2 5 2 2" xfId="8252" xr:uid="{00000000-0005-0000-0000-0000061D0000}"/>
    <cellStyle name="Normal 11 2 5 2 3" xfId="8253" xr:uid="{00000000-0005-0000-0000-0000071D0000}"/>
    <cellStyle name="Normal 11 2 5 2 4" xfId="8254" xr:uid="{00000000-0005-0000-0000-0000081D0000}"/>
    <cellStyle name="Normal 11 2 5 3" xfId="8255" xr:uid="{00000000-0005-0000-0000-0000091D0000}"/>
    <cellStyle name="Normal 11 2 5 3 2" xfId="8256" xr:uid="{00000000-0005-0000-0000-00000A1D0000}"/>
    <cellStyle name="Normal 11 2 5 3 3" xfId="8257" xr:uid="{00000000-0005-0000-0000-00000B1D0000}"/>
    <cellStyle name="Normal 11 2 5 3 4" xfId="8258" xr:uid="{00000000-0005-0000-0000-00000C1D0000}"/>
    <cellStyle name="Normal 11 2 5 4" xfId="8259" xr:uid="{00000000-0005-0000-0000-00000D1D0000}"/>
    <cellStyle name="Normal 11 2 5 5" xfId="8260" xr:uid="{00000000-0005-0000-0000-00000E1D0000}"/>
    <cellStyle name="Normal 11 2 5 6" xfId="8261" xr:uid="{00000000-0005-0000-0000-00000F1D0000}"/>
    <cellStyle name="Normal 11 2 50" xfId="8262" xr:uid="{00000000-0005-0000-0000-0000101D0000}"/>
    <cellStyle name="Normal 11 2 51" xfId="8263" xr:uid="{00000000-0005-0000-0000-0000111D0000}"/>
    <cellStyle name="Normal 11 2 52" xfId="8264" xr:uid="{00000000-0005-0000-0000-0000121D0000}"/>
    <cellStyle name="Normal 11 2 53" xfId="8265" xr:uid="{00000000-0005-0000-0000-0000131D0000}"/>
    <cellStyle name="Normal 11 2 6" xfId="8266" xr:uid="{00000000-0005-0000-0000-0000141D0000}"/>
    <cellStyle name="Normal 11 2 6 2" xfId="8267" xr:uid="{00000000-0005-0000-0000-0000151D0000}"/>
    <cellStyle name="Normal 11 2 6 2 2" xfId="8268" xr:uid="{00000000-0005-0000-0000-0000161D0000}"/>
    <cellStyle name="Normal 11 2 6 2 3" xfId="8269" xr:uid="{00000000-0005-0000-0000-0000171D0000}"/>
    <cellStyle name="Normal 11 2 6 2 4" xfId="8270" xr:uid="{00000000-0005-0000-0000-0000181D0000}"/>
    <cellStyle name="Normal 11 2 6 3" xfId="8271" xr:uid="{00000000-0005-0000-0000-0000191D0000}"/>
    <cellStyle name="Normal 11 2 6 3 2" xfId="8272" xr:uid="{00000000-0005-0000-0000-00001A1D0000}"/>
    <cellStyle name="Normal 11 2 6 3 3" xfId="8273" xr:uid="{00000000-0005-0000-0000-00001B1D0000}"/>
    <cellStyle name="Normal 11 2 6 3 4" xfId="8274" xr:uid="{00000000-0005-0000-0000-00001C1D0000}"/>
    <cellStyle name="Normal 11 2 6 4" xfId="8275" xr:uid="{00000000-0005-0000-0000-00001D1D0000}"/>
    <cellStyle name="Normal 11 2 6 5" xfId="8276" xr:uid="{00000000-0005-0000-0000-00001E1D0000}"/>
    <cellStyle name="Normal 11 2 6 6" xfId="8277" xr:uid="{00000000-0005-0000-0000-00001F1D0000}"/>
    <cellStyle name="Normal 11 2 7" xfId="8278" xr:uid="{00000000-0005-0000-0000-0000201D0000}"/>
    <cellStyle name="Normal 11 2 7 2" xfId="8279" xr:uid="{00000000-0005-0000-0000-0000211D0000}"/>
    <cellStyle name="Normal 11 2 7 2 2" xfId="8280" xr:uid="{00000000-0005-0000-0000-0000221D0000}"/>
    <cellStyle name="Normal 11 2 7 2 3" xfId="8281" xr:uid="{00000000-0005-0000-0000-0000231D0000}"/>
    <cellStyle name="Normal 11 2 7 2 4" xfId="8282" xr:uid="{00000000-0005-0000-0000-0000241D0000}"/>
    <cellStyle name="Normal 11 2 7 3" xfId="8283" xr:uid="{00000000-0005-0000-0000-0000251D0000}"/>
    <cellStyle name="Normal 11 2 7 3 2" xfId="8284" xr:uid="{00000000-0005-0000-0000-0000261D0000}"/>
    <cellStyle name="Normal 11 2 7 3 3" xfId="8285" xr:uid="{00000000-0005-0000-0000-0000271D0000}"/>
    <cellStyle name="Normal 11 2 7 3 4" xfId="8286" xr:uid="{00000000-0005-0000-0000-0000281D0000}"/>
    <cellStyle name="Normal 11 2 7 4" xfId="8287" xr:uid="{00000000-0005-0000-0000-0000291D0000}"/>
    <cellStyle name="Normal 11 2 7 5" xfId="8288" xr:uid="{00000000-0005-0000-0000-00002A1D0000}"/>
    <cellStyle name="Normal 11 2 7 6" xfId="8289" xr:uid="{00000000-0005-0000-0000-00002B1D0000}"/>
    <cellStyle name="Normal 11 2 8" xfId="8290" xr:uid="{00000000-0005-0000-0000-00002C1D0000}"/>
    <cellStyle name="Normal 11 2 8 2" xfId="8291" xr:uid="{00000000-0005-0000-0000-00002D1D0000}"/>
    <cellStyle name="Normal 11 2 8 2 2" xfId="8292" xr:uid="{00000000-0005-0000-0000-00002E1D0000}"/>
    <cellStyle name="Normal 11 2 8 2 3" xfId="8293" xr:uid="{00000000-0005-0000-0000-00002F1D0000}"/>
    <cellStyle name="Normal 11 2 8 2 4" xfId="8294" xr:uid="{00000000-0005-0000-0000-0000301D0000}"/>
    <cellStyle name="Normal 11 2 8 3" xfId="8295" xr:uid="{00000000-0005-0000-0000-0000311D0000}"/>
    <cellStyle name="Normal 11 2 8 3 2" xfId="8296" xr:uid="{00000000-0005-0000-0000-0000321D0000}"/>
    <cellStyle name="Normal 11 2 8 3 3" xfId="8297" xr:uid="{00000000-0005-0000-0000-0000331D0000}"/>
    <cellStyle name="Normal 11 2 8 3 4" xfId="8298" xr:uid="{00000000-0005-0000-0000-0000341D0000}"/>
    <cellStyle name="Normal 11 2 8 4" xfId="8299" xr:uid="{00000000-0005-0000-0000-0000351D0000}"/>
    <cellStyle name="Normal 11 2 8 5" xfId="8300" xr:uid="{00000000-0005-0000-0000-0000361D0000}"/>
    <cellStyle name="Normal 11 2 8 6" xfId="8301" xr:uid="{00000000-0005-0000-0000-0000371D0000}"/>
    <cellStyle name="Normal 11 2 9" xfId="8302" xr:uid="{00000000-0005-0000-0000-0000381D0000}"/>
    <cellStyle name="Normal 11 2 9 2" xfId="8303" xr:uid="{00000000-0005-0000-0000-0000391D0000}"/>
    <cellStyle name="Normal 11 2 9 2 2" xfId="8304" xr:uid="{00000000-0005-0000-0000-00003A1D0000}"/>
    <cellStyle name="Normal 11 2 9 2 3" xfId="8305" xr:uid="{00000000-0005-0000-0000-00003B1D0000}"/>
    <cellStyle name="Normal 11 2 9 2 4" xfId="8306" xr:uid="{00000000-0005-0000-0000-00003C1D0000}"/>
    <cellStyle name="Normal 11 2 9 3" xfId="8307" xr:uid="{00000000-0005-0000-0000-00003D1D0000}"/>
    <cellStyle name="Normal 11 2 9 3 2" xfId="8308" xr:uid="{00000000-0005-0000-0000-00003E1D0000}"/>
    <cellStyle name="Normal 11 2 9 3 3" xfId="8309" xr:uid="{00000000-0005-0000-0000-00003F1D0000}"/>
    <cellStyle name="Normal 11 2 9 3 4" xfId="8310" xr:uid="{00000000-0005-0000-0000-0000401D0000}"/>
    <cellStyle name="Normal 11 2 9 4" xfId="8311" xr:uid="{00000000-0005-0000-0000-0000411D0000}"/>
    <cellStyle name="Normal 11 2 9 5" xfId="8312" xr:uid="{00000000-0005-0000-0000-0000421D0000}"/>
    <cellStyle name="Normal 11 2 9 6" xfId="8313" xr:uid="{00000000-0005-0000-0000-0000431D0000}"/>
    <cellStyle name="Normal 11 20" xfId="8314" xr:uid="{00000000-0005-0000-0000-0000441D0000}"/>
    <cellStyle name="Normal 11 20 10" xfId="8315" xr:uid="{00000000-0005-0000-0000-0000451D0000}"/>
    <cellStyle name="Normal 11 20 11" xfId="8316" xr:uid="{00000000-0005-0000-0000-0000461D0000}"/>
    <cellStyle name="Normal 11 20 12" xfId="8317" xr:uid="{00000000-0005-0000-0000-0000471D0000}"/>
    <cellStyle name="Normal 11 20 13" xfId="8318" xr:uid="{00000000-0005-0000-0000-0000481D0000}"/>
    <cellStyle name="Normal 11 20 14" xfId="8319" xr:uid="{00000000-0005-0000-0000-0000491D0000}"/>
    <cellStyle name="Normal 11 20 15" xfId="8320" xr:uid="{00000000-0005-0000-0000-00004A1D0000}"/>
    <cellStyle name="Normal 11 20 16" xfId="8321" xr:uid="{00000000-0005-0000-0000-00004B1D0000}"/>
    <cellStyle name="Normal 11 20 17" xfId="8322" xr:uid="{00000000-0005-0000-0000-00004C1D0000}"/>
    <cellStyle name="Normal 11 20 18" xfId="8323" xr:uid="{00000000-0005-0000-0000-00004D1D0000}"/>
    <cellStyle name="Normal 11 20 19" xfId="8324" xr:uid="{00000000-0005-0000-0000-00004E1D0000}"/>
    <cellStyle name="Normal 11 20 2" xfId="8325" xr:uid="{00000000-0005-0000-0000-00004F1D0000}"/>
    <cellStyle name="Normal 11 20 20" xfId="8326" xr:uid="{00000000-0005-0000-0000-0000501D0000}"/>
    <cellStyle name="Normal 11 20 21" xfId="8327" xr:uid="{00000000-0005-0000-0000-0000511D0000}"/>
    <cellStyle name="Normal 11 20 22" xfId="8328" xr:uid="{00000000-0005-0000-0000-0000521D0000}"/>
    <cellStyle name="Normal 11 20 23" xfId="8329" xr:uid="{00000000-0005-0000-0000-0000531D0000}"/>
    <cellStyle name="Normal 11 20 24" xfId="8330" xr:uid="{00000000-0005-0000-0000-0000541D0000}"/>
    <cellStyle name="Normal 11 20 25" xfId="8331" xr:uid="{00000000-0005-0000-0000-0000551D0000}"/>
    <cellStyle name="Normal 11 20 26" xfId="8332" xr:uid="{00000000-0005-0000-0000-0000561D0000}"/>
    <cellStyle name="Normal 11 20 27" xfId="8333" xr:uid="{00000000-0005-0000-0000-0000571D0000}"/>
    <cellStyle name="Normal 11 20 28" xfId="8334" xr:uid="{00000000-0005-0000-0000-0000581D0000}"/>
    <cellStyle name="Normal 11 20 29" xfId="8335" xr:uid="{00000000-0005-0000-0000-0000591D0000}"/>
    <cellStyle name="Normal 11 20 3" xfId="8336" xr:uid="{00000000-0005-0000-0000-00005A1D0000}"/>
    <cellStyle name="Normal 11 20 30" xfId="8337" xr:uid="{00000000-0005-0000-0000-00005B1D0000}"/>
    <cellStyle name="Normal 11 20 31" xfId="8338" xr:uid="{00000000-0005-0000-0000-00005C1D0000}"/>
    <cellStyle name="Normal 11 20 32" xfId="8339" xr:uid="{00000000-0005-0000-0000-00005D1D0000}"/>
    <cellStyle name="Normal 11 20 33" xfId="8340" xr:uid="{00000000-0005-0000-0000-00005E1D0000}"/>
    <cellStyle name="Normal 11 20 34" xfId="8341" xr:uid="{00000000-0005-0000-0000-00005F1D0000}"/>
    <cellStyle name="Normal 11 20 35" xfId="8342" xr:uid="{00000000-0005-0000-0000-0000601D0000}"/>
    <cellStyle name="Normal 11 20 36" xfId="8343" xr:uid="{00000000-0005-0000-0000-0000611D0000}"/>
    <cellStyle name="Normal 11 20 37" xfId="8344" xr:uid="{00000000-0005-0000-0000-0000621D0000}"/>
    <cellStyle name="Normal 11 20 38" xfId="8345" xr:uid="{00000000-0005-0000-0000-0000631D0000}"/>
    <cellStyle name="Normal 11 20 39" xfId="8346" xr:uid="{00000000-0005-0000-0000-0000641D0000}"/>
    <cellStyle name="Normal 11 20 4" xfId="8347" xr:uid="{00000000-0005-0000-0000-0000651D0000}"/>
    <cellStyle name="Normal 11 20 40" xfId="8348" xr:uid="{00000000-0005-0000-0000-0000661D0000}"/>
    <cellStyle name="Normal 11 20 41" xfId="8349" xr:uid="{00000000-0005-0000-0000-0000671D0000}"/>
    <cellStyle name="Normal 11 20 42" xfId="8350" xr:uid="{00000000-0005-0000-0000-0000681D0000}"/>
    <cellStyle name="Normal 11 20 43" xfId="8351" xr:uid="{00000000-0005-0000-0000-0000691D0000}"/>
    <cellStyle name="Normal 11 20 44" xfId="8352" xr:uid="{00000000-0005-0000-0000-00006A1D0000}"/>
    <cellStyle name="Normal 11 20 45" xfId="8353" xr:uid="{00000000-0005-0000-0000-00006B1D0000}"/>
    <cellStyle name="Normal 11 20 5" xfId="8354" xr:uid="{00000000-0005-0000-0000-00006C1D0000}"/>
    <cellStyle name="Normal 11 20 6" xfId="8355" xr:uid="{00000000-0005-0000-0000-00006D1D0000}"/>
    <cellStyle name="Normal 11 20 7" xfId="8356" xr:uid="{00000000-0005-0000-0000-00006E1D0000}"/>
    <cellStyle name="Normal 11 20 8" xfId="8357" xr:uid="{00000000-0005-0000-0000-00006F1D0000}"/>
    <cellStyle name="Normal 11 20 9" xfId="8358" xr:uid="{00000000-0005-0000-0000-0000701D0000}"/>
    <cellStyle name="Normal 11 21" xfId="8359" xr:uid="{00000000-0005-0000-0000-0000711D0000}"/>
    <cellStyle name="Normal 11 21 10" xfId="8360" xr:uid="{00000000-0005-0000-0000-0000721D0000}"/>
    <cellStyle name="Normal 11 21 11" xfId="8361" xr:uid="{00000000-0005-0000-0000-0000731D0000}"/>
    <cellStyle name="Normal 11 21 12" xfId="8362" xr:uid="{00000000-0005-0000-0000-0000741D0000}"/>
    <cellStyle name="Normal 11 21 13" xfId="8363" xr:uid="{00000000-0005-0000-0000-0000751D0000}"/>
    <cellStyle name="Normal 11 21 14" xfId="8364" xr:uid="{00000000-0005-0000-0000-0000761D0000}"/>
    <cellStyle name="Normal 11 21 15" xfId="8365" xr:uid="{00000000-0005-0000-0000-0000771D0000}"/>
    <cellStyle name="Normal 11 21 16" xfId="8366" xr:uid="{00000000-0005-0000-0000-0000781D0000}"/>
    <cellStyle name="Normal 11 21 17" xfId="8367" xr:uid="{00000000-0005-0000-0000-0000791D0000}"/>
    <cellStyle name="Normal 11 21 18" xfId="8368" xr:uid="{00000000-0005-0000-0000-00007A1D0000}"/>
    <cellStyle name="Normal 11 21 19" xfId="8369" xr:uid="{00000000-0005-0000-0000-00007B1D0000}"/>
    <cellStyle name="Normal 11 21 2" xfId="8370" xr:uid="{00000000-0005-0000-0000-00007C1D0000}"/>
    <cellStyle name="Normal 11 21 20" xfId="8371" xr:uid="{00000000-0005-0000-0000-00007D1D0000}"/>
    <cellStyle name="Normal 11 21 21" xfId="8372" xr:uid="{00000000-0005-0000-0000-00007E1D0000}"/>
    <cellStyle name="Normal 11 21 22" xfId="8373" xr:uid="{00000000-0005-0000-0000-00007F1D0000}"/>
    <cellStyle name="Normal 11 21 23" xfId="8374" xr:uid="{00000000-0005-0000-0000-0000801D0000}"/>
    <cellStyle name="Normal 11 21 24" xfId="8375" xr:uid="{00000000-0005-0000-0000-0000811D0000}"/>
    <cellStyle name="Normal 11 21 25" xfId="8376" xr:uid="{00000000-0005-0000-0000-0000821D0000}"/>
    <cellStyle name="Normal 11 21 26" xfId="8377" xr:uid="{00000000-0005-0000-0000-0000831D0000}"/>
    <cellStyle name="Normal 11 21 27" xfId="8378" xr:uid="{00000000-0005-0000-0000-0000841D0000}"/>
    <cellStyle name="Normal 11 21 28" xfId="8379" xr:uid="{00000000-0005-0000-0000-0000851D0000}"/>
    <cellStyle name="Normal 11 21 29" xfId="8380" xr:uid="{00000000-0005-0000-0000-0000861D0000}"/>
    <cellStyle name="Normal 11 21 3" xfId="8381" xr:uid="{00000000-0005-0000-0000-0000871D0000}"/>
    <cellStyle name="Normal 11 21 30" xfId="8382" xr:uid="{00000000-0005-0000-0000-0000881D0000}"/>
    <cellStyle name="Normal 11 21 31" xfId="8383" xr:uid="{00000000-0005-0000-0000-0000891D0000}"/>
    <cellStyle name="Normal 11 21 32" xfId="8384" xr:uid="{00000000-0005-0000-0000-00008A1D0000}"/>
    <cellStyle name="Normal 11 21 33" xfId="8385" xr:uid="{00000000-0005-0000-0000-00008B1D0000}"/>
    <cellStyle name="Normal 11 21 34" xfId="8386" xr:uid="{00000000-0005-0000-0000-00008C1D0000}"/>
    <cellStyle name="Normal 11 21 35" xfId="8387" xr:uid="{00000000-0005-0000-0000-00008D1D0000}"/>
    <cellStyle name="Normal 11 21 36" xfId="8388" xr:uid="{00000000-0005-0000-0000-00008E1D0000}"/>
    <cellStyle name="Normal 11 21 37" xfId="8389" xr:uid="{00000000-0005-0000-0000-00008F1D0000}"/>
    <cellStyle name="Normal 11 21 38" xfId="8390" xr:uid="{00000000-0005-0000-0000-0000901D0000}"/>
    <cellStyle name="Normal 11 21 39" xfId="8391" xr:uid="{00000000-0005-0000-0000-0000911D0000}"/>
    <cellStyle name="Normal 11 21 4" xfId="8392" xr:uid="{00000000-0005-0000-0000-0000921D0000}"/>
    <cellStyle name="Normal 11 21 40" xfId="8393" xr:uid="{00000000-0005-0000-0000-0000931D0000}"/>
    <cellStyle name="Normal 11 21 41" xfId="8394" xr:uid="{00000000-0005-0000-0000-0000941D0000}"/>
    <cellStyle name="Normal 11 21 42" xfId="8395" xr:uid="{00000000-0005-0000-0000-0000951D0000}"/>
    <cellStyle name="Normal 11 21 43" xfId="8396" xr:uid="{00000000-0005-0000-0000-0000961D0000}"/>
    <cellStyle name="Normal 11 21 44" xfId="8397" xr:uid="{00000000-0005-0000-0000-0000971D0000}"/>
    <cellStyle name="Normal 11 21 45" xfId="8398" xr:uid="{00000000-0005-0000-0000-0000981D0000}"/>
    <cellStyle name="Normal 11 21 5" xfId="8399" xr:uid="{00000000-0005-0000-0000-0000991D0000}"/>
    <cellStyle name="Normal 11 21 6" xfId="8400" xr:uid="{00000000-0005-0000-0000-00009A1D0000}"/>
    <cellStyle name="Normal 11 21 7" xfId="8401" xr:uid="{00000000-0005-0000-0000-00009B1D0000}"/>
    <cellStyle name="Normal 11 21 8" xfId="8402" xr:uid="{00000000-0005-0000-0000-00009C1D0000}"/>
    <cellStyle name="Normal 11 21 9" xfId="8403" xr:uid="{00000000-0005-0000-0000-00009D1D0000}"/>
    <cellStyle name="Normal 11 22" xfId="8404" xr:uid="{00000000-0005-0000-0000-00009E1D0000}"/>
    <cellStyle name="Normal 11 22 10" xfId="8405" xr:uid="{00000000-0005-0000-0000-00009F1D0000}"/>
    <cellStyle name="Normal 11 22 11" xfId="8406" xr:uid="{00000000-0005-0000-0000-0000A01D0000}"/>
    <cellStyle name="Normal 11 22 12" xfId="8407" xr:uid="{00000000-0005-0000-0000-0000A11D0000}"/>
    <cellStyle name="Normal 11 22 13" xfId="8408" xr:uid="{00000000-0005-0000-0000-0000A21D0000}"/>
    <cellStyle name="Normal 11 22 14" xfId="8409" xr:uid="{00000000-0005-0000-0000-0000A31D0000}"/>
    <cellStyle name="Normal 11 22 15" xfId="8410" xr:uid="{00000000-0005-0000-0000-0000A41D0000}"/>
    <cellStyle name="Normal 11 22 16" xfId="8411" xr:uid="{00000000-0005-0000-0000-0000A51D0000}"/>
    <cellStyle name="Normal 11 22 17" xfId="8412" xr:uid="{00000000-0005-0000-0000-0000A61D0000}"/>
    <cellStyle name="Normal 11 22 18" xfId="8413" xr:uid="{00000000-0005-0000-0000-0000A71D0000}"/>
    <cellStyle name="Normal 11 22 19" xfId="8414" xr:uid="{00000000-0005-0000-0000-0000A81D0000}"/>
    <cellStyle name="Normal 11 22 2" xfId="8415" xr:uid="{00000000-0005-0000-0000-0000A91D0000}"/>
    <cellStyle name="Normal 11 22 20" xfId="8416" xr:uid="{00000000-0005-0000-0000-0000AA1D0000}"/>
    <cellStyle name="Normal 11 22 21" xfId="8417" xr:uid="{00000000-0005-0000-0000-0000AB1D0000}"/>
    <cellStyle name="Normal 11 22 22" xfId="8418" xr:uid="{00000000-0005-0000-0000-0000AC1D0000}"/>
    <cellStyle name="Normal 11 22 23" xfId="8419" xr:uid="{00000000-0005-0000-0000-0000AD1D0000}"/>
    <cellStyle name="Normal 11 22 24" xfId="8420" xr:uid="{00000000-0005-0000-0000-0000AE1D0000}"/>
    <cellStyle name="Normal 11 22 25" xfId="8421" xr:uid="{00000000-0005-0000-0000-0000AF1D0000}"/>
    <cellStyle name="Normal 11 22 26" xfId="8422" xr:uid="{00000000-0005-0000-0000-0000B01D0000}"/>
    <cellStyle name="Normal 11 22 27" xfId="8423" xr:uid="{00000000-0005-0000-0000-0000B11D0000}"/>
    <cellStyle name="Normal 11 22 28" xfId="8424" xr:uid="{00000000-0005-0000-0000-0000B21D0000}"/>
    <cellStyle name="Normal 11 22 29" xfId="8425" xr:uid="{00000000-0005-0000-0000-0000B31D0000}"/>
    <cellStyle name="Normal 11 22 3" xfId="8426" xr:uid="{00000000-0005-0000-0000-0000B41D0000}"/>
    <cellStyle name="Normal 11 22 30" xfId="8427" xr:uid="{00000000-0005-0000-0000-0000B51D0000}"/>
    <cellStyle name="Normal 11 22 31" xfId="8428" xr:uid="{00000000-0005-0000-0000-0000B61D0000}"/>
    <cellStyle name="Normal 11 22 32" xfId="8429" xr:uid="{00000000-0005-0000-0000-0000B71D0000}"/>
    <cellStyle name="Normal 11 22 33" xfId="8430" xr:uid="{00000000-0005-0000-0000-0000B81D0000}"/>
    <cellStyle name="Normal 11 22 34" xfId="8431" xr:uid="{00000000-0005-0000-0000-0000B91D0000}"/>
    <cellStyle name="Normal 11 22 35" xfId="8432" xr:uid="{00000000-0005-0000-0000-0000BA1D0000}"/>
    <cellStyle name="Normal 11 22 36" xfId="8433" xr:uid="{00000000-0005-0000-0000-0000BB1D0000}"/>
    <cellStyle name="Normal 11 22 37" xfId="8434" xr:uid="{00000000-0005-0000-0000-0000BC1D0000}"/>
    <cellStyle name="Normal 11 22 38" xfId="8435" xr:uid="{00000000-0005-0000-0000-0000BD1D0000}"/>
    <cellStyle name="Normal 11 22 39" xfId="8436" xr:uid="{00000000-0005-0000-0000-0000BE1D0000}"/>
    <cellStyle name="Normal 11 22 4" xfId="8437" xr:uid="{00000000-0005-0000-0000-0000BF1D0000}"/>
    <cellStyle name="Normal 11 22 40" xfId="8438" xr:uid="{00000000-0005-0000-0000-0000C01D0000}"/>
    <cellStyle name="Normal 11 22 41" xfId="8439" xr:uid="{00000000-0005-0000-0000-0000C11D0000}"/>
    <cellStyle name="Normal 11 22 42" xfId="8440" xr:uid="{00000000-0005-0000-0000-0000C21D0000}"/>
    <cellStyle name="Normal 11 22 43" xfId="8441" xr:uid="{00000000-0005-0000-0000-0000C31D0000}"/>
    <cellStyle name="Normal 11 22 44" xfId="8442" xr:uid="{00000000-0005-0000-0000-0000C41D0000}"/>
    <cellStyle name="Normal 11 22 45" xfId="8443" xr:uid="{00000000-0005-0000-0000-0000C51D0000}"/>
    <cellStyle name="Normal 11 22 5" xfId="8444" xr:uid="{00000000-0005-0000-0000-0000C61D0000}"/>
    <cellStyle name="Normal 11 22 6" xfId="8445" xr:uid="{00000000-0005-0000-0000-0000C71D0000}"/>
    <cellStyle name="Normal 11 22 7" xfId="8446" xr:uid="{00000000-0005-0000-0000-0000C81D0000}"/>
    <cellStyle name="Normal 11 22 8" xfId="8447" xr:uid="{00000000-0005-0000-0000-0000C91D0000}"/>
    <cellStyle name="Normal 11 22 9" xfId="8448" xr:uid="{00000000-0005-0000-0000-0000CA1D0000}"/>
    <cellStyle name="Normal 11 23" xfId="8449" xr:uid="{00000000-0005-0000-0000-0000CB1D0000}"/>
    <cellStyle name="Normal 11 23 10" xfId="8450" xr:uid="{00000000-0005-0000-0000-0000CC1D0000}"/>
    <cellStyle name="Normal 11 23 11" xfId="8451" xr:uid="{00000000-0005-0000-0000-0000CD1D0000}"/>
    <cellStyle name="Normal 11 23 12" xfId="8452" xr:uid="{00000000-0005-0000-0000-0000CE1D0000}"/>
    <cellStyle name="Normal 11 23 13" xfId="8453" xr:uid="{00000000-0005-0000-0000-0000CF1D0000}"/>
    <cellStyle name="Normal 11 23 14" xfId="8454" xr:uid="{00000000-0005-0000-0000-0000D01D0000}"/>
    <cellStyle name="Normal 11 23 15" xfId="8455" xr:uid="{00000000-0005-0000-0000-0000D11D0000}"/>
    <cellStyle name="Normal 11 23 16" xfId="8456" xr:uid="{00000000-0005-0000-0000-0000D21D0000}"/>
    <cellStyle name="Normal 11 23 17" xfId="8457" xr:uid="{00000000-0005-0000-0000-0000D31D0000}"/>
    <cellStyle name="Normal 11 23 18" xfId="8458" xr:uid="{00000000-0005-0000-0000-0000D41D0000}"/>
    <cellStyle name="Normal 11 23 19" xfId="8459" xr:uid="{00000000-0005-0000-0000-0000D51D0000}"/>
    <cellStyle name="Normal 11 23 2" xfId="8460" xr:uid="{00000000-0005-0000-0000-0000D61D0000}"/>
    <cellStyle name="Normal 11 23 20" xfId="8461" xr:uid="{00000000-0005-0000-0000-0000D71D0000}"/>
    <cellStyle name="Normal 11 23 21" xfId="8462" xr:uid="{00000000-0005-0000-0000-0000D81D0000}"/>
    <cellStyle name="Normal 11 23 22" xfId="8463" xr:uid="{00000000-0005-0000-0000-0000D91D0000}"/>
    <cellStyle name="Normal 11 23 23" xfId="8464" xr:uid="{00000000-0005-0000-0000-0000DA1D0000}"/>
    <cellStyle name="Normal 11 23 24" xfId="8465" xr:uid="{00000000-0005-0000-0000-0000DB1D0000}"/>
    <cellStyle name="Normal 11 23 25" xfId="8466" xr:uid="{00000000-0005-0000-0000-0000DC1D0000}"/>
    <cellStyle name="Normal 11 23 26" xfId="8467" xr:uid="{00000000-0005-0000-0000-0000DD1D0000}"/>
    <cellStyle name="Normal 11 23 27" xfId="8468" xr:uid="{00000000-0005-0000-0000-0000DE1D0000}"/>
    <cellStyle name="Normal 11 23 28" xfId="8469" xr:uid="{00000000-0005-0000-0000-0000DF1D0000}"/>
    <cellStyle name="Normal 11 23 29" xfId="8470" xr:uid="{00000000-0005-0000-0000-0000E01D0000}"/>
    <cellStyle name="Normal 11 23 3" xfId="8471" xr:uid="{00000000-0005-0000-0000-0000E11D0000}"/>
    <cellStyle name="Normal 11 23 30" xfId="8472" xr:uid="{00000000-0005-0000-0000-0000E21D0000}"/>
    <cellStyle name="Normal 11 23 31" xfId="8473" xr:uid="{00000000-0005-0000-0000-0000E31D0000}"/>
    <cellStyle name="Normal 11 23 32" xfId="8474" xr:uid="{00000000-0005-0000-0000-0000E41D0000}"/>
    <cellStyle name="Normal 11 23 33" xfId="8475" xr:uid="{00000000-0005-0000-0000-0000E51D0000}"/>
    <cellStyle name="Normal 11 23 34" xfId="8476" xr:uid="{00000000-0005-0000-0000-0000E61D0000}"/>
    <cellStyle name="Normal 11 23 35" xfId="8477" xr:uid="{00000000-0005-0000-0000-0000E71D0000}"/>
    <cellStyle name="Normal 11 23 36" xfId="8478" xr:uid="{00000000-0005-0000-0000-0000E81D0000}"/>
    <cellStyle name="Normal 11 23 37" xfId="8479" xr:uid="{00000000-0005-0000-0000-0000E91D0000}"/>
    <cellStyle name="Normal 11 23 38" xfId="8480" xr:uid="{00000000-0005-0000-0000-0000EA1D0000}"/>
    <cellStyle name="Normal 11 23 39" xfId="8481" xr:uid="{00000000-0005-0000-0000-0000EB1D0000}"/>
    <cellStyle name="Normal 11 23 4" xfId="8482" xr:uid="{00000000-0005-0000-0000-0000EC1D0000}"/>
    <cellStyle name="Normal 11 23 40" xfId="8483" xr:uid="{00000000-0005-0000-0000-0000ED1D0000}"/>
    <cellStyle name="Normal 11 23 41" xfId="8484" xr:uid="{00000000-0005-0000-0000-0000EE1D0000}"/>
    <cellStyle name="Normal 11 23 42" xfId="8485" xr:uid="{00000000-0005-0000-0000-0000EF1D0000}"/>
    <cellStyle name="Normal 11 23 43" xfId="8486" xr:uid="{00000000-0005-0000-0000-0000F01D0000}"/>
    <cellStyle name="Normal 11 23 44" xfId="8487" xr:uid="{00000000-0005-0000-0000-0000F11D0000}"/>
    <cellStyle name="Normal 11 23 45" xfId="8488" xr:uid="{00000000-0005-0000-0000-0000F21D0000}"/>
    <cellStyle name="Normal 11 23 5" xfId="8489" xr:uid="{00000000-0005-0000-0000-0000F31D0000}"/>
    <cellStyle name="Normal 11 23 6" xfId="8490" xr:uid="{00000000-0005-0000-0000-0000F41D0000}"/>
    <cellStyle name="Normal 11 23 7" xfId="8491" xr:uid="{00000000-0005-0000-0000-0000F51D0000}"/>
    <cellStyle name="Normal 11 23 8" xfId="8492" xr:uid="{00000000-0005-0000-0000-0000F61D0000}"/>
    <cellStyle name="Normal 11 23 9" xfId="8493" xr:uid="{00000000-0005-0000-0000-0000F71D0000}"/>
    <cellStyle name="Normal 11 24" xfId="8494" xr:uid="{00000000-0005-0000-0000-0000F81D0000}"/>
    <cellStyle name="Normal 11 24 10" xfId="8495" xr:uid="{00000000-0005-0000-0000-0000F91D0000}"/>
    <cellStyle name="Normal 11 24 11" xfId="8496" xr:uid="{00000000-0005-0000-0000-0000FA1D0000}"/>
    <cellStyle name="Normal 11 24 12" xfId="8497" xr:uid="{00000000-0005-0000-0000-0000FB1D0000}"/>
    <cellStyle name="Normal 11 24 13" xfId="8498" xr:uid="{00000000-0005-0000-0000-0000FC1D0000}"/>
    <cellStyle name="Normal 11 24 14" xfId="8499" xr:uid="{00000000-0005-0000-0000-0000FD1D0000}"/>
    <cellStyle name="Normal 11 24 15" xfId="8500" xr:uid="{00000000-0005-0000-0000-0000FE1D0000}"/>
    <cellStyle name="Normal 11 24 16" xfId="8501" xr:uid="{00000000-0005-0000-0000-0000FF1D0000}"/>
    <cellStyle name="Normal 11 24 17" xfId="8502" xr:uid="{00000000-0005-0000-0000-0000001E0000}"/>
    <cellStyle name="Normal 11 24 18" xfId="8503" xr:uid="{00000000-0005-0000-0000-0000011E0000}"/>
    <cellStyle name="Normal 11 24 19" xfId="8504" xr:uid="{00000000-0005-0000-0000-0000021E0000}"/>
    <cellStyle name="Normal 11 24 2" xfId="8505" xr:uid="{00000000-0005-0000-0000-0000031E0000}"/>
    <cellStyle name="Normal 11 24 20" xfId="8506" xr:uid="{00000000-0005-0000-0000-0000041E0000}"/>
    <cellStyle name="Normal 11 24 21" xfId="8507" xr:uid="{00000000-0005-0000-0000-0000051E0000}"/>
    <cellStyle name="Normal 11 24 22" xfId="8508" xr:uid="{00000000-0005-0000-0000-0000061E0000}"/>
    <cellStyle name="Normal 11 24 23" xfId="8509" xr:uid="{00000000-0005-0000-0000-0000071E0000}"/>
    <cellStyle name="Normal 11 24 24" xfId="8510" xr:uid="{00000000-0005-0000-0000-0000081E0000}"/>
    <cellStyle name="Normal 11 24 25" xfId="8511" xr:uid="{00000000-0005-0000-0000-0000091E0000}"/>
    <cellStyle name="Normal 11 24 26" xfId="8512" xr:uid="{00000000-0005-0000-0000-00000A1E0000}"/>
    <cellStyle name="Normal 11 24 27" xfId="8513" xr:uid="{00000000-0005-0000-0000-00000B1E0000}"/>
    <cellStyle name="Normal 11 24 28" xfId="8514" xr:uid="{00000000-0005-0000-0000-00000C1E0000}"/>
    <cellStyle name="Normal 11 24 29" xfId="8515" xr:uid="{00000000-0005-0000-0000-00000D1E0000}"/>
    <cellStyle name="Normal 11 24 3" xfId="8516" xr:uid="{00000000-0005-0000-0000-00000E1E0000}"/>
    <cellStyle name="Normal 11 24 30" xfId="8517" xr:uid="{00000000-0005-0000-0000-00000F1E0000}"/>
    <cellStyle name="Normal 11 24 31" xfId="8518" xr:uid="{00000000-0005-0000-0000-0000101E0000}"/>
    <cellStyle name="Normal 11 24 32" xfId="8519" xr:uid="{00000000-0005-0000-0000-0000111E0000}"/>
    <cellStyle name="Normal 11 24 33" xfId="8520" xr:uid="{00000000-0005-0000-0000-0000121E0000}"/>
    <cellStyle name="Normal 11 24 34" xfId="8521" xr:uid="{00000000-0005-0000-0000-0000131E0000}"/>
    <cellStyle name="Normal 11 24 35" xfId="8522" xr:uid="{00000000-0005-0000-0000-0000141E0000}"/>
    <cellStyle name="Normal 11 24 36" xfId="8523" xr:uid="{00000000-0005-0000-0000-0000151E0000}"/>
    <cellStyle name="Normal 11 24 37" xfId="8524" xr:uid="{00000000-0005-0000-0000-0000161E0000}"/>
    <cellStyle name="Normal 11 24 4" xfId="8525" xr:uid="{00000000-0005-0000-0000-0000171E0000}"/>
    <cellStyle name="Normal 11 24 5" xfId="8526" xr:uid="{00000000-0005-0000-0000-0000181E0000}"/>
    <cellStyle name="Normal 11 24 6" xfId="8527" xr:uid="{00000000-0005-0000-0000-0000191E0000}"/>
    <cellStyle name="Normal 11 24 7" xfId="8528" xr:uid="{00000000-0005-0000-0000-00001A1E0000}"/>
    <cellStyle name="Normal 11 24 8" xfId="8529" xr:uid="{00000000-0005-0000-0000-00001B1E0000}"/>
    <cellStyle name="Normal 11 24 9" xfId="8530" xr:uid="{00000000-0005-0000-0000-00001C1E0000}"/>
    <cellStyle name="Normal 11 25" xfId="8531" xr:uid="{00000000-0005-0000-0000-00001D1E0000}"/>
    <cellStyle name="Normal 11 25 10" xfId="8532" xr:uid="{00000000-0005-0000-0000-00001E1E0000}"/>
    <cellStyle name="Normal 11 25 11" xfId="8533" xr:uid="{00000000-0005-0000-0000-00001F1E0000}"/>
    <cellStyle name="Normal 11 25 12" xfId="8534" xr:uid="{00000000-0005-0000-0000-0000201E0000}"/>
    <cellStyle name="Normal 11 25 13" xfId="8535" xr:uid="{00000000-0005-0000-0000-0000211E0000}"/>
    <cellStyle name="Normal 11 25 14" xfId="8536" xr:uid="{00000000-0005-0000-0000-0000221E0000}"/>
    <cellStyle name="Normal 11 25 15" xfId="8537" xr:uid="{00000000-0005-0000-0000-0000231E0000}"/>
    <cellStyle name="Normal 11 25 16" xfId="8538" xr:uid="{00000000-0005-0000-0000-0000241E0000}"/>
    <cellStyle name="Normal 11 25 17" xfId="8539" xr:uid="{00000000-0005-0000-0000-0000251E0000}"/>
    <cellStyle name="Normal 11 25 18" xfId="8540" xr:uid="{00000000-0005-0000-0000-0000261E0000}"/>
    <cellStyle name="Normal 11 25 19" xfId="8541" xr:uid="{00000000-0005-0000-0000-0000271E0000}"/>
    <cellStyle name="Normal 11 25 2" xfId="8542" xr:uid="{00000000-0005-0000-0000-0000281E0000}"/>
    <cellStyle name="Normal 11 25 20" xfId="8543" xr:uid="{00000000-0005-0000-0000-0000291E0000}"/>
    <cellStyle name="Normal 11 25 21" xfId="8544" xr:uid="{00000000-0005-0000-0000-00002A1E0000}"/>
    <cellStyle name="Normal 11 25 22" xfId="8545" xr:uid="{00000000-0005-0000-0000-00002B1E0000}"/>
    <cellStyle name="Normal 11 25 23" xfId="8546" xr:uid="{00000000-0005-0000-0000-00002C1E0000}"/>
    <cellStyle name="Normal 11 25 24" xfId="8547" xr:uid="{00000000-0005-0000-0000-00002D1E0000}"/>
    <cellStyle name="Normal 11 25 25" xfId="8548" xr:uid="{00000000-0005-0000-0000-00002E1E0000}"/>
    <cellStyle name="Normal 11 25 26" xfId="8549" xr:uid="{00000000-0005-0000-0000-00002F1E0000}"/>
    <cellStyle name="Normal 11 25 27" xfId="8550" xr:uid="{00000000-0005-0000-0000-0000301E0000}"/>
    <cellStyle name="Normal 11 25 28" xfId="8551" xr:uid="{00000000-0005-0000-0000-0000311E0000}"/>
    <cellStyle name="Normal 11 25 29" xfId="8552" xr:uid="{00000000-0005-0000-0000-0000321E0000}"/>
    <cellStyle name="Normal 11 25 3" xfId="8553" xr:uid="{00000000-0005-0000-0000-0000331E0000}"/>
    <cellStyle name="Normal 11 25 30" xfId="8554" xr:uid="{00000000-0005-0000-0000-0000341E0000}"/>
    <cellStyle name="Normal 11 25 31" xfId="8555" xr:uid="{00000000-0005-0000-0000-0000351E0000}"/>
    <cellStyle name="Normal 11 25 32" xfId="8556" xr:uid="{00000000-0005-0000-0000-0000361E0000}"/>
    <cellStyle name="Normal 11 25 33" xfId="8557" xr:uid="{00000000-0005-0000-0000-0000371E0000}"/>
    <cellStyle name="Normal 11 25 34" xfId="8558" xr:uid="{00000000-0005-0000-0000-0000381E0000}"/>
    <cellStyle name="Normal 11 25 35" xfId="8559" xr:uid="{00000000-0005-0000-0000-0000391E0000}"/>
    <cellStyle name="Normal 11 25 36" xfId="8560" xr:uid="{00000000-0005-0000-0000-00003A1E0000}"/>
    <cellStyle name="Normal 11 25 37" xfId="8561" xr:uid="{00000000-0005-0000-0000-00003B1E0000}"/>
    <cellStyle name="Normal 11 25 4" xfId="8562" xr:uid="{00000000-0005-0000-0000-00003C1E0000}"/>
    <cellStyle name="Normal 11 25 5" xfId="8563" xr:uid="{00000000-0005-0000-0000-00003D1E0000}"/>
    <cellStyle name="Normal 11 25 6" xfId="8564" xr:uid="{00000000-0005-0000-0000-00003E1E0000}"/>
    <cellStyle name="Normal 11 25 7" xfId="8565" xr:uid="{00000000-0005-0000-0000-00003F1E0000}"/>
    <cellStyle name="Normal 11 25 8" xfId="8566" xr:uid="{00000000-0005-0000-0000-0000401E0000}"/>
    <cellStyle name="Normal 11 25 9" xfId="8567" xr:uid="{00000000-0005-0000-0000-0000411E0000}"/>
    <cellStyle name="Normal 11 26" xfId="8568" xr:uid="{00000000-0005-0000-0000-0000421E0000}"/>
    <cellStyle name="Normal 11 26 10" xfId="8569" xr:uid="{00000000-0005-0000-0000-0000431E0000}"/>
    <cellStyle name="Normal 11 26 11" xfId="8570" xr:uid="{00000000-0005-0000-0000-0000441E0000}"/>
    <cellStyle name="Normal 11 26 12" xfId="8571" xr:uid="{00000000-0005-0000-0000-0000451E0000}"/>
    <cellStyle name="Normal 11 26 13" xfId="8572" xr:uid="{00000000-0005-0000-0000-0000461E0000}"/>
    <cellStyle name="Normal 11 26 14" xfId="8573" xr:uid="{00000000-0005-0000-0000-0000471E0000}"/>
    <cellStyle name="Normal 11 26 15" xfId="8574" xr:uid="{00000000-0005-0000-0000-0000481E0000}"/>
    <cellStyle name="Normal 11 26 16" xfId="8575" xr:uid="{00000000-0005-0000-0000-0000491E0000}"/>
    <cellStyle name="Normal 11 26 17" xfId="8576" xr:uid="{00000000-0005-0000-0000-00004A1E0000}"/>
    <cellStyle name="Normal 11 26 18" xfId="8577" xr:uid="{00000000-0005-0000-0000-00004B1E0000}"/>
    <cellStyle name="Normal 11 26 19" xfId="8578" xr:uid="{00000000-0005-0000-0000-00004C1E0000}"/>
    <cellStyle name="Normal 11 26 2" xfId="8579" xr:uid="{00000000-0005-0000-0000-00004D1E0000}"/>
    <cellStyle name="Normal 11 26 20" xfId="8580" xr:uid="{00000000-0005-0000-0000-00004E1E0000}"/>
    <cellStyle name="Normal 11 26 21" xfId="8581" xr:uid="{00000000-0005-0000-0000-00004F1E0000}"/>
    <cellStyle name="Normal 11 26 22" xfId="8582" xr:uid="{00000000-0005-0000-0000-0000501E0000}"/>
    <cellStyle name="Normal 11 26 23" xfId="8583" xr:uid="{00000000-0005-0000-0000-0000511E0000}"/>
    <cellStyle name="Normal 11 26 24" xfId="8584" xr:uid="{00000000-0005-0000-0000-0000521E0000}"/>
    <cellStyle name="Normal 11 26 25" xfId="8585" xr:uid="{00000000-0005-0000-0000-0000531E0000}"/>
    <cellStyle name="Normal 11 26 26" xfId="8586" xr:uid="{00000000-0005-0000-0000-0000541E0000}"/>
    <cellStyle name="Normal 11 26 27" xfId="8587" xr:uid="{00000000-0005-0000-0000-0000551E0000}"/>
    <cellStyle name="Normal 11 26 28" xfId="8588" xr:uid="{00000000-0005-0000-0000-0000561E0000}"/>
    <cellStyle name="Normal 11 26 29" xfId="8589" xr:uid="{00000000-0005-0000-0000-0000571E0000}"/>
    <cellStyle name="Normal 11 26 3" xfId="8590" xr:uid="{00000000-0005-0000-0000-0000581E0000}"/>
    <cellStyle name="Normal 11 26 30" xfId="8591" xr:uid="{00000000-0005-0000-0000-0000591E0000}"/>
    <cellStyle name="Normal 11 26 31" xfId="8592" xr:uid="{00000000-0005-0000-0000-00005A1E0000}"/>
    <cellStyle name="Normal 11 26 32" xfId="8593" xr:uid="{00000000-0005-0000-0000-00005B1E0000}"/>
    <cellStyle name="Normal 11 26 33" xfId="8594" xr:uid="{00000000-0005-0000-0000-00005C1E0000}"/>
    <cellStyle name="Normal 11 26 34" xfId="8595" xr:uid="{00000000-0005-0000-0000-00005D1E0000}"/>
    <cellStyle name="Normal 11 26 35" xfId="8596" xr:uid="{00000000-0005-0000-0000-00005E1E0000}"/>
    <cellStyle name="Normal 11 26 36" xfId="8597" xr:uid="{00000000-0005-0000-0000-00005F1E0000}"/>
    <cellStyle name="Normal 11 26 37" xfId="8598" xr:uid="{00000000-0005-0000-0000-0000601E0000}"/>
    <cellStyle name="Normal 11 26 4" xfId="8599" xr:uid="{00000000-0005-0000-0000-0000611E0000}"/>
    <cellStyle name="Normal 11 26 5" xfId="8600" xr:uid="{00000000-0005-0000-0000-0000621E0000}"/>
    <cellStyle name="Normal 11 26 6" xfId="8601" xr:uid="{00000000-0005-0000-0000-0000631E0000}"/>
    <cellStyle name="Normal 11 26 7" xfId="8602" xr:uid="{00000000-0005-0000-0000-0000641E0000}"/>
    <cellStyle name="Normal 11 26 8" xfId="8603" xr:uid="{00000000-0005-0000-0000-0000651E0000}"/>
    <cellStyle name="Normal 11 26 9" xfId="8604" xr:uid="{00000000-0005-0000-0000-0000661E0000}"/>
    <cellStyle name="Normal 11 27" xfId="8605" xr:uid="{00000000-0005-0000-0000-0000671E0000}"/>
    <cellStyle name="Normal 11 27 10" xfId="8606" xr:uid="{00000000-0005-0000-0000-0000681E0000}"/>
    <cellStyle name="Normal 11 27 11" xfId="8607" xr:uid="{00000000-0005-0000-0000-0000691E0000}"/>
    <cellStyle name="Normal 11 27 12" xfId="8608" xr:uid="{00000000-0005-0000-0000-00006A1E0000}"/>
    <cellStyle name="Normal 11 27 13" xfId="8609" xr:uid="{00000000-0005-0000-0000-00006B1E0000}"/>
    <cellStyle name="Normal 11 27 14" xfId="8610" xr:uid="{00000000-0005-0000-0000-00006C1E0000}"/>
    <cellStyle name="Normal 11 27 15" xfId="8611" xr:uid="{00000000-0005-0000-0000-00006D1E0000}"/>
    <cellStyle name="Normal 11 27 16" xfId="8612" xr:uid="{00000000-0005-0000-0000-00006E1E0000}"/>
    <cellStyle name="Normal 11 27 17" xfId="8613" xr:uid="{00000000-0005-0000-0000-00006F1E0000}"/>
    <cellStyle name="Normal 11 27 18" xfId="8614" xr:uid="{00000000-0005-0000-0000-0000701E0000}"/>
    <cellStyle name="Normal 11 27 19" xfId="8615" xr:uid="{00000000-0005-0000-0000-0000711E0000}"/>
    <cellStyle name="Normal 11 27 2" xfId="8616" xr:uid="{00000000-0005-0000-0000-0000721E0000}"/>
    <cellStyle name="Normal 11 27 20" xfId="8617" xr:uid="{00000000-0005-0000-0000-0000731E0000}"/>
    <cellStyle name="Normal 11 27 21" xfId="8618" xr:uid="{00000000-0005-0000-0000-0000741E0000}"/>
    <cellStyle name="Normal 11 27 22" xfId="8619" xr:uid="{00000000-0005-0000-0000-0000751E0000}"/>
    <cellStyle name="Normal 11 27 23" xfId="8620" xr:uid="{00000000-0005-0000-0000-0000761E0000}"/>
    <cellStyle name="Normal 11 27 24" xfId="8621" xr:uid="{00000000-0005-0000-0000-0000771E0000}"/>
    <cellStyle name="Normal 11 27 25" xfId="8622" xr:uid="{00000000-0005-0000-0000-0000781E0000}"/>
    <cellStyle name="Normal 11 27 26" xfId="8623" xr:uid="{00000000-0005-0000-0000-0000791E0000}"/>
    <cellStyle name="Normal 11 27 27" xfId="8624" xr:uid="{00000000-0005-0000-0000-00007A1E0000}"/>
    <cellStyle name="Normal 11 27 28" xfId="8625" xr:uid="{00000000-0005-0000-0000-00007B1E0000}"/>
    <cellStyle name="Normal 11 27 29" xfId="8626" xr:uid="{00000000-0005-0000-0000-00007C1E0000}"/>
    <cellStyle name="Normal 11 27 3" xfId="8627" xr:uid="{00000000-0005-0000-0000-00007D1E0000}"/>
    <cellStyle name="Normal 11 27 30" xfId="8628" xr:uid="{00000000-0005-0000-0000-00007E1E0000}"/>
    <cellStyle name="Normal 11 27 31" xfId="8629" xr:uid="{00000000-0005-0000-0000-00007F1E0000}"/>
    <cellStyle name="Normal 11 27 32" xfId="8630" xr:uid="{00000000-0005-0000-0000-0000801E0000}"/>
    <cellStyle name="Normal 11 27 33" xfId="8631" xr:uid="{00000000-0005-0000-0000-0000811E0000}"/>
    <cellStyle name="Normal 11 27 34" xfId="8632" xr:uid="{00000000-0005-0000-0000-0000821E0000}"/>
    <cellStyle name="Normal 11 27 35" xfId="8633" xr:uid="{00000000-0005-0000-0000-0000831E0000}"/>
    <cellStyle name="Normal 11 27 36" xfId="8634" xr:uid="{00000000-0005-0000-0000-0000841E0000}"/>
    <cellStyle name="Normal 11 27 37" xfId="8635" xr:uid="{00000000-0005-0000-0000-0000851E0000}"/>
    <cellStyle name="Normal 11 27 4" xfId="8636" xr:uid="{00000000-0005-0000-0000-0000861E0000}"/>
    <cellStyle name="Normal 11 27 5" xfId="8637" xr:uid="{00000000-0005-0000-0000-0000871E0000}"/>
    <cellStyle name="Normal 11 27 6" xfId="8638" xr:uid="{00000000-0005-0000-0000-0000881E0000}"/>
    <cellStyle name="Normal 11 27 7" xfId="8639" xr:uid="{00000000-0005-0000-0000-0000891E0000}"/>
    <cellStyle name="Normal 11 27 8" xfId="8640" xr:uid="{00000000-0005-0000-0000-00008A1E0000}"/>
    <cellStyle name="Normal 11 27 9" xfId="8641" xr:uid="{00000000-0005-0000-0000-00008B1E0000}"/>
    <cellStyle name="Normal 11 28" xfId="8642" xr:uid="{00000000-0005-0000-0000-00008C1E0000}"/>
    <cellStyle name="Normal 11 28 10" xfId="8643" xr:uid="{00000000-0005-0000-0000-00008D1E0000}"/>
    <cellStyle name="Normal 11 28 11" xfId="8644" xr:uid="{00000000-0005-0000-0000-00008E1E0000}"/>
    <cellStyle name="Normal 11 28 12" xfId="8645" xr:uid="{00000000-0005-0000-0000-00008F1E0000}"/>
    <cellStyle name="Normal 11 28 13" xfId="8646" xr:uid="{00000000-0005-0000-0000-0000901E0000}"/>
    <cellStyle name="Normal 11 28 14" xfId="8647" xr:uid="{00000000-0005-0000-0000-0000911E0000}"/>
    <cellStyle name="Normal 11 28 15" xfId="8648" xr:uid="{00000000-0005-0000-0000-0000921E0000}"/>
    <cellStyle name="Normal 11 28 16" xfId="8649" xr:uid="{00000000-0005-0000-0000-0000931E0000}"/>
    <cellStyle name="Normal 11 28 17" xfId="8650" xr:uid="{00000000-0005-0000-0000-0000941E0000}"/>
    <cellStyle name="Normal 11 28 18" xfId="8651" xr:uid="{00000000-0005-0000-0000-0000951E0000}"/>
    <cellStyle name="Normal 11 28 19" xfId="8652" xr:uid="{00000000-0005-0000-0000-0000961E0000}"/>
    <cellStyle name="Normal 11 28 2" xfId="8653" xr:uid="{00000000-0005-0000-0000-0000971E0000}"/>
    <cellStyle name="Normal 11 28 20" xfId="8654" xr:uid="{00000000-0005-0000-0000-0000981E0000}"/>
    <cellStyle name="Normal 11 28 21" xfId="8655" xr:uid="{00000000-0005-0000-0000-0000991E0000}"/>
    <cellStyle name="Normal 11 28 22" xfId="8656" xr:uid="{00000000-0005-0000-0000-00009A1E0000}"/>
    <cellStyle name="Normal 11 28 23" xfId="8657" xr:uid="{00000000-0005-0000-0000-00009B1E0000}"/>
    <cellStyle name="Normal 11 28 24" xfId="8658" xr:uid="{00000000-0005-0000-0000-00009C1E0000}"/>
    <cellStyle name="Normal 11 28 25" xfId="8659" xr:uid="{00000000-0005-0000-0000-00009D1E0000}"/>
    <cellStyle name="Normal 11 28 26" xfId="8660" xr:uid="{00000000-0005-0000-0000-00009E1E0000}"/>
    <cellStyle name="Normal 11 28 27" xfId="8661" xr:uid="{00000000-0005-0000-0000-00009F1E0000}"/>
    <cellStyle name="Normal 11 28 28" xfId="8662" xr:uid="{00000000-0005-0000-0000-0000A01E0000}"/>
    <cellStyle name="Normal 11 28 29" xfId="8663" xr:uid="{00000000-0005-0000-0000-0000A11E0000}"/>
    <cellStyle name="Normal 11 28 3" xfId="8664" xr:uid="{00000000-0005-0000-0000-0000A21E0000}"/>
    <cellStyle name="Normal 11 28 30" xfId="8665" xr:uid="{00000000-0005-0000-0000-0000A31E0000}"/>
    <cellStyle name="Normal 11 28 31" xfId="8666" xr:uid="{00000000-0005-0000-0000-0000A41E0000}"/>
    <cellStyle name="Normal 11 28 32" xfId="8667" xr:uid="{00000000-0005-0000-0000-0000A51E0000}"/>
    <cellStyle name="Normal 11 28 33" xfId="8668" xr:uid="{00000000-0005-0000-0000-0000A61E0000}"/>
    <cellStyle name="Normal 11 28 34" xfId="8669" xr:uid="{00000000-0005-0000-0000-0000A71E0000}"/>
    <cellStyle name="Normal 11 28 35" xfId="8670" xr:uid="{00000000-0005-0000-0000-0000A81E0000}"/>
    <cellStyle name="Normal 11 28 36" xfId="8671" xr:uid="{00000000-0005-0000-0000-0000A91E0000}"/>
    <cellStyle name="Normal 11 28 37" xfId="8672" xr:uid="{00000000-0005-0000-0000-0000AA1E0000}"/>
    <cellStyle name="Normal 11 28 4" xfId="8673" xr:uid="{00000000-0005-0000-0000-0000AB1E0000}"/>
    <cellStyle name="Normal 11 28 5" xfId="8674" xr:uid="{00000000-0005-0000-0000-0000AC1E0000}"/>
    <cellStyle name="Normal 11 28 6" xfId="8675" xr:uid="{00000000-0005-0000-0000-0000AD1E0000}"/>
    <cellStyle name="Normal 11 28 7" xfId="8676" xr:uid="{00000000-0005-0000-0000-0000AE1E0000}"/>
    <cellStyle name="Normal 11 28 8" xfId="8677" xr:uid="{00000000-0005-0000-0000-0000AF1E0000}"/>
    <cellStyle name="Normal 11 28 9" xfId="8678" xr:uid="{00000000-0005-0000-0000-0000B01E0000}"/>
    <cellStyle name="Normal 11 29" xfId="8679" xr:uid="{00000000-0005-0000-0000-0000B11E0000}"/>
    <cellStyle name="Normal 11 29 10" xfId="8680" xr:uid="{00000000-0005-0000-0000-0000B21E0000}"/>
    <cellStyle name="Normal 11 29 11" xfId="8681" xr:uid="{00000000-0005-0000-0000-0000B31E0000}"/>
    <cellStyle name="Normal 11 29 12" xfId="8682" xr:uid="{00000000-0005-0000-0000-0000B41E0000}"/>
    <cellStyle name="Normal 11 29 13" xfId="8683" xr:uid="{00000000-0005-0000-0000-0000B51E0000}"/>
    <cellStyle name="Normal 11 29 14" xfId="8684" xr:uid="{00000000-0005-0000-0000-0000B61E0000}"/>
    <cellStyle name="Normal 11 29 15" xfId="8685" xr:uid="{00000000-0005-0000-0000-0000B71E0000}"/>
    <cellStyle name="Normal 11 29 16" xfId="8686" xr:uid="{00000000-0005-0000-0000-0000B81E0000}"/>
    <cellStyle name="Normal 11 29 17" xfId="8687" xr:uid="{00000000-0005-0000-0000-0000B91E0000}"/>
    <cellStyle name="Normal 11 29 18" xfId="8688" xr:uid="{00000000-0005-0000-0000-0000BA1E0000}"/>
    <cellStyle name="Normal 11 29 19" xfId="8689" xr:uid="{00000000-0005-0000-0000-0000BB1E0000}"/>
    <cellStyle name="Normal 11 29 2" xfId="8690" xr:uid="{00000000-0005-0000-0000-0000BC1E0000}"/>
    <cellStyle name="Normal 11 29 20" xfId="8691" xr:uid="{00000000-0005-0000-0000-0000BD1E0000}"/>
    <cellStyle name="Normal 11 29 21" xfId="8692" xr:uid="{00000000-0005-0000-0000-0000BE1E0000}"/>
    <cellStyle name="Normal 11 29 22" xfId="8693" xr:uid="{00000000-0005-0000-0000-0000BF1E0000}"/>
    <cellStyle name="Normal 11 29 23" xfId="8694" xr:uid="{00000000-0005-0000-0000-0000C01E0000}"/>
    <cellStyle name="Normal 11 29 24" xfId="8695" xr:uid="{00000000-0005-0000-0000-0000C11E0000}"/>
    <cellStyle name="Normal 11 29 25" xfId="8696" xr:uid="{00000000-0005-0000-0000-0000C21E0000}"/>
    <cellStyle name="Normal 11 29 26" xfId="8697" xr:uid="{00000000-0005-0000-0000-0000C31E0000}"/>
    <cellStyle name="Normal 11 29 27" xfId="8698" xr:uid="{00000000-0005-0000-0000-0000C41E0000}"/>
    <cellStyle name="Normal 11 29 28" xfId="8699" xr:uid="{00000000-0005-0000-0000-0000C51E0000}"/>
    <cellStyle name="Normal 11 29 29" xfId="8700" xr:uid="{00000000-0005-0000-0000-0000C61E0000}"/>
    <cellStyle name="Normal 11 29 3" xfId="8701" xr:uid="{00000000-0005-0000-0000-0000C71E0000}"/>
    <cellStyle name="Normal 11 29 30" xfId="8702" xr:uid="{00000000-0005-0000-0000-0000C81E0000}"/>
    <cellStyle name="Normal 11 29 31" xfId="8703" xr:uid="{00000000-0005-0000-0000-0000C91E0000}"/>
    <cellStyle name="Normal 11 29 32" xfId="8704" xr:uid="{00000000-0005-0000-0000-0000CA1E0000}"/>
    <cellStyle name="Normal 11 29 33" xfId="8705" xr:uid="{00000000-0005-0000-0000-0000CB1E0000}"/>
    <cellStyle name="Normal 11 29 34" xfId="8706" xr:uid="{00000000-0005-0000-0000-0000CC1E0000}"/>
    <cellStyle name="Normal 11 29 35" xfId="8707" xr:uid="{00000000-0005-0000-0000-0000CD1E0000}"/>
    <cellStyle name="Normal 11 29 36" xfId="8708" xr:uid="{00000000-0005-0000-0000-0000CE1E0000}"/>
    <cellStyle name="Normal 11 29 37" xfId="8709" xr:uid="{00000000-0005-0000-0000-0000CF1E0000}"/>
    <cellStyle name="Normal 11 29 4" xfId="8710" xr:uid="{00000000-0005-0000-0000-0000D01E0000}"/>
    <cellStyle name="Normal 11 29 5" xfId="8711" xr:uid="{00000000-0005-0000-0000-0000D11E0000}"/>
    <cellStyle name="Normal 11 29 6" xfId="8712" xr:uid="{00000000-0005-0000-0000-0000D21E0000}"/>
    <cellStyle name="Normal 11 29 7" xfId="8713" xr:uid="{00000000-0005-0000-0000-0000D31E0000}"/>
    <cellStyle name="Normal 11 29 8" xfId="8714" xr:uid="{00000000-0005-0000-0000-0000D41E0000}"/>
    <cellStyle name="Normal 11 29 9" xfId="8715" xr:uid="{00000000-0005-0000-0000-0000D51E0000}"/>
    <cellStyle name="Normal 11 3" xfId="8716" xr:uid="{00000000-0005-0000-0000-0000D61E0000}"/>
    <cellStyle name="Normal 11 3 10" xfId="8717" xr:uid="{00000000-0005-0000-0000-0000D71E0000}"/>
    <cellStyle name="Normal 11 3 10 2" xfId="8718" xr:uid="{00000000-0005-0000-0000-0000D81E0000}"/>
    <cellStyle name="Normal 11 3 10 2 2" xfId="8719" xr:uid="{00000000-0005-0000-0000-0000D91E0000}"/>
    <cellStyle name="Normal 11 3 10 2 3" xfId="8720" xr:uid="{00000000-0005-0000-0000-0000DA1E0000}"/>
    <cellStyle name="Normal 11 3 10 2 4" xfId="8721" xr:uid="{00000000-0005-0000-0000-0000DB1E0000}"/>
    <cellStyle name="Normal 11 3 10 3" xfId="8722" xr:uid="{00000000-0005-0000-0000-0000DC1E0000}"/>
    <cellStyle name="Normal 11 3 10 3 2" xfId="8723" xr:uid="{00000000-0005-0000-0000-0000DD1E0000}"/>
    <cellStyle name="Normal 11 3 10 3 3" xfId="8724" xr:uid="{00000000-0005-0000-0000-0000DE1E0000}"/>
    <cellStyle name="Normal 11 3 10 3 4" xfId="8725" xr:uid="{00000000-0005-0000-0000-0000DF1E0000}"/>
    <cellStyle name="Normal 11 3 10 4" xfId="8726" xr:uid="{00000000-0005-0000-0000-0000E01E0000}"/>
    <cellStyle name="Normal 11 3 10 5" xfId="8727" xr:uid="{00000000-0005-0000-0000-0000E11E0000}"/>
    <cellStyle name="Normal 11 3 10 6" xfId="8728" xr:uid="{00000000-0005-0000-0000-0000E21E0000}"/>
    <cellStyle name="Normal 11 3 11" xfId="8729" xr:uid="{00000000-0005-0000-0000-0000E31E0000}"/>
    <cellStyle name="Normal 11 3 11 2" xfId="8730" xr:uid="{00000000-0005-0000-0000-0000E41E0000}"/>
    <cellStyle name="Normal 11 3 11 2 2" xfId="8731" xr:uid="{00000000-0005-0000-0000-0000E51E0000}"/>
    <cellStyle name="Normal 11 3 11 2 3" xfId="8732" xr:uid="{00000000-0005-0000-0000-0000E61E0000}"/>
    <cellStyle name="Normal 11 3 11 2 4" xfId="8733" xr:uid="{00000000-0005-0000-0000-0000E71E0000}"/>
    <cellStyle name="Normal 11 3 11 3" xfId="8734" xr:uid="{00000000-0005-0000-0000-0000E81E0000}"/>
    <cellStyle name="Normal 11 3 11 3 2" xfId="8735" xr:uid="{00000000-0005-0000-0000-0000E91E0000}"/>
    <cellStyle name="Normal 11 3 11 3 3" xfId="8736" xr:uid="{00000000-0005-0000-0000-0000EA1E0000}"/>
    <cellStyle name="Normal 11 3 11 3 4" xfId="8737" xr:uid="{00000000-0005-0000-0000-0000EB1E0000}"/>
    <cellStyle name="Normal 11 3 11 4" xfId="8738" xr:uid="{00000000-0005-0000-0000-0000EC1E0000}"/>
    <cellStyle name="Normal 11 3 11 5" xfId="8739" xr:uid="{00000000-0005-0000-0000-0000ED1E0000}"/>
    <cellStyle name="Normal 11 3 11 6" xfId="8740" xr:uid="{00000000-0005-0000-0000-0000EE1E0000}"/>
    <cellStyle name="Normal 11 3 12" xfId="8741" xr:uid="{00000000-0005-0000-0000-0000EF1E0000}"/>
    <cellStyle name="Normal 11 3 12 2" xfId="8742" xr:uid="{00000000-0005-0000-0000-0000F01E0000}"/>
    <cellStyle name="Normal 11 3 12 2 2" xfId="8743" xr:uid="{00000000-0005-0000-0000-0000F11E0000}"/>
    <cellStyle name="Normal 11 3 12 2 3" xfId="8744" xr:uid="{00000000-0005-0000-0000-0000F21E0000}"/>
    <cellStyle name="Normal 11 3 12 2 4" xfId="8745" xr:uid="{00000000-0005-0000-0000-0000F31E0000}"/>
    <cellStyle name="Normal 11 3 12 3" xfId="8746" xr:uid="{00000000-0005-0000-0000-0000F41E0000}"/>
    <cellStyle name="Normal 11 3 12 3 2" xfId="8747" xr:uid="{00000000-0005-0000-0000-0000F51E0000}"/>
    <cellStyle name="Normal 11 3 12 3 3" xfId="8748" xr:uid="{00000000-0005-0000-0000-0000F61E0000}"/>
    <cellStyle name="Normal 11 3 12 3 4" xfId="8749" xr:uid="{00000000-0005-0000-0000-0000F71E0000}"/>
    <cellStyle name="Normal 11 3 12 4" xfId="8750" xr:uid="{00000000-0005-0000-0000-0000F81E0000}"/>
    <cellStyle name="Normal 11 3 12 5" xfId="8751" xr:uid="{00000000-0005-0000-0000-0000F91E0000}"/>
    <cellStyle name="Normal 11 3 12 6" xfId="8752" xr:uid="{00000000-0005-0000-0000-0000FA1E0000}"/>
    <cellStyle name="Normal 11 3 13" xfId="8753" xr:uid="{00000000-0005-0000-0000-0000FB1E0000}"/>
    <cellStyle name="Normal 11 3 13 2" xfId="8754" xr:uid="{00000000-0005-0000-0000-0000FC1E0000}"/>
    <cellStyle name="Normal 11 3 13 2 2" xfId="8755" xr:uid="{00000000-0005-0000-0000-0000FD1E0000}"/>
    <cellStyle name="Normal 11 3 13 2 3" xfId="8756" xr:uid="{00000000-0005-0000-0000-0000FE1E0000}"/>
    <cellStyle name="Normal 11 3 13 2 4" xfId="8757" xr:uid="{00000000-0005-0000-0000-0000FF1E0000}"/>
    <cellStyle name="Normal 11 3 13 3" xfId="8758" xr:uid="{00000000-0005-0000-0000-0000001F0000}"/>
    <cellStyle name="Normal 11 3 13 3 2" xfId="8759" xr:uid="{00000000-0005-0000-0000-0000011F0000}"/>
    <cellStyle name="Normal 11 3 13 3 3" xfId="8760" xr:uid="{00000000-0005-0000-0000-0000021F0000}"/>
    <cellStyle name="Normal 11 3 13 3 4" xfId="8761" xr:uid="{00000000-0005-0000-0000-0000031F0000}"/>
    <cellStyle name="Normal 11 3 13 4" xfId="8762" xr:uid="{00000000-0005-0000-0000-0000041F0000}"/>
    <cellStyle name="Normal 11 3 13 5" xfId="8763" xr:uid="{00000000-0005-0000-0000-0000051F0000}"/>
    <cellStyle name="Normal 11 3 13 6" xfId="8764" xr:uid="{00000000-0005-0000-0000-0000061F0000}"/>
    <cellStyle name="Normal 11 3 14" xfId="8765" xr:uid="{00000000-0005-0000-0000-0000071F0000}"/>
    <cellStyle name="Normal 11 3 14 2" xfId="8766" xr:uid="{00000000-0005-0000-0000-0000081F0000}"/>
    <cellStyle name="Normal 11 3 14 2 2" xfId="8767" xr:uid="{00000000-0005-0000-0000-0000091F0000}"/>
    <cellStyle name="Normal 11 3 14 2 3" xfId="8768" xr:uid="{00000000-0005-0000-0000-00000A1F0000}"/>
    <cellStyle name="Normal 11 3 14 2 4" xfId="8769" xr:uid="{00000000-0005-0000-0000-00000B1F0000}"/>
    <cellStyle name="Normal 11 3 14 3" xfId="8770" xr:uid="{00000000-0005-0000-0000-00000C1F0000}"/>
    <cellStyle name="Normal 11 3 14 3 2" xfId="8771" xr:uid="{00000000-0005-0000-0000-00000D1F0000}"/>
    <cellStyle name="Normal 11 3 14 3 3" xfId="8772" xr:uid="{00000000-0005-0000-0000-00000E1F0000}"/>
    <cellStyle name="Normal 11 3 14 3 4" xfId="8773" xr:uid="{00000000-0005-0000-0000-00000F1F0000}"/>
    <cellStyle name="Normal 11 3 14 4" xfId="8774" xr:uid="{00000000-0005-0000-0000-0000101F0000}"/>
    <cellStyle name="Normal 11 3 14 5" xfId="8775" xr:uid="{00000000-0005-0000-0000-0000111F0000}"/>
    <cellStyle name="Normal 11 3 14 6" xfId="8776" xr:uid="{00000000-0005-0000-0000-0000121F0000}"/>
    <cellStyle name="Normal 11 3 15" xfId="8777" xr:uid="{00000000-0005-0000-0000-0000131F0000}"/>
    <cellStyle name="Normal 11 3 15 2" xfId="8778" xr:uid="{00000000-0005-0000-0000-0000141F0000}"/>
    <cellStyle name="Normal 11 3 15 2 2" xfId="8779" xr:uid="{00000000-0005-0000-0000-0000151F0000}"/>
    <cellStyle name="Normal 11 3 15 2 3" xfId="8780" xr:uid="{00000000-0005-0000-0000-0000161F0000}"/>
    <cellStyle name="Normal 11 3 15 2 4" xfId="8781" xr:uid="{00000000-0005-0000-0000-0000171F0000}"/>
    <cellStyle name="Normal 11 3 15 3" xfId="8782" xr:uid="{00000000-0005-0000-0000-0000181F0000}"/>
    <cellStyle name="Normal 11 3 15 3 2" xfId="8783" xr:uid="{00000000-0005-0000-0000-0000191F0000}"/>
    <cellStyle name="Normal 11 3 15 3 3" xfId="8784" xr:uid="{00000000-0005-0000-0000-00001A1F0000}"/>
    <cellStyle name="Normal 11 3 15 3 4" xfId="8785" xr:uid="{00000000-0005-0000-0000-00001B1F0000}"/>
    <cellStyle name="Normal 11 3 15 4" xfId="8786" xr:uid="{00000000-0005-0000-0000-00001C1F0000}"/>
    <cellStyle name="Normal 11 3 15 5" xfId="8787" xr:uid="{00000000-0005-0000-0000-00001D1F0000}"/>
    <cellStyle name="Normal 11 3 15 6" xfId="8788" xr:uid="{00000000-0005-0000-0000-00001E1F0000}"/>
    <cellStyle name="Normal 11 3 16" xfId="8789" xr:uid="{00000000-0005-0000-0000-00001F1F0000}"/>
    <cellStyle name="Normal 11 3 16 2" xfId="8790" xr:uid="{00000000-0005-0000-0000-0000201F0000}"/>
    <cellStyle name="Normal 11 3 16 2 2" xfId="8791" xr:uid="{00000000-0005-0000-0000-0000211F0000}"/>
    <cellStyle name="Normal 11 3 16 2 3" xfId="8792" xr:uid="{00000000-0005-0000-0000-0000221F0000}"/>
    <cellStyle name="Normal 11 3 16 2 4" xfId="8793" xr:uid="{00000000-0005-0000-0000-0000231F0000}"/>
    <cellStyle name="Normal 11 3 16 3" xfId="8794" xr:uid="{00000000-0005-0000-0000-0000241F0000}"/>
    <cellStyle name="Normal 11 3 16 3 2" xfId="8795" xr:uid="{00000000-0005-0000-0000-0000251F0000}"/>
    <cellStyle name="Normal 11 3 16 3 3" xfId="8796" xr:uid="{00000000-0005-0000-0000-0000261F0000}"/>
    <cellStyle name="Normal 11 3 16 3 4" xfId="8797" xr:uid="{00000000-0005-0000-0000-0000271F0000}"/>
    <cellStyle name="Normal 11 3 16 4" xfId="8798" xr:uid="{00000000-0005-0000-0000-0000281F0000}"/>
    <cellStyle name="Normal 11 3 16 5" xfId="8799" xr:uid="{00000000-0005-0000-0000-0000291F0000}"/>
    <cellStyle name="Normal 11 3 16 6" xfId="8800" xr:uid="{00000000-0005-0000-0000-00002A1F0000}"/>
    <cellStyle name="Normal 11 3 17" xfId="8801" xr:uid="{00000000-0005-0000-0000-00002B1F0000}"/>
    <cellStyle name="Normal 11 3 17 2" xfId="8802" xr:uid="{00000000-0005-0000-0000-00002C1F0000}"/>
    <cellStyle name="Normal 11 3 17 2 2" xfId="8803" xr:uid="{00000000-0005-0000-0000-00002D1F0000}"/>
    <cellStyle name="Normal 11 3 17 2 3" xfId="8804" xr:uid="{00000000-0005-0000-0000-00002E1F0000}"/>
    <cellStyle name="Normal 11 3 17 2 4" xfId="8805" xr:uid="{00000000-0005-0000-0000-00002F1F0000}"/>
    <cellStyle name="Normal 11 3 17 3" xfId="8806" xr:uid="{00000000-0005-0000-0000-0000301F0000}"/>
    <cellStyle name="Normal 11 3 17 3 2" xfId="8807" xr:uid="{00000000-0005-0000-0000-0000311F0000}"/>
    <cellStyle name="Normal 11 3 17 3 3" xfId="8808" xr:uid="{00000000-0005-0000-0000-0000321F0000}"/>
    <cellStyle name="Normal 11 3 17 3 4" xfId="8809" xr:uid="{00000000-0005-0000-0000-0000331F0000}"/>
    <cellStyle name="Normal 11 3 17 4" xfId="8810" xr:uid="{00000000-0005-0000-0000-0000341F0000}"/>
    <cellStyle name="Normal 11 3 17 5" xfId="8811" xr:uid="{00000000-0005-0000-0000-0000351F0000}"/>
    <cellStyle name="Normal 11 3 17 6" xfId="8812" xr:uid="{00000000-0005-0000-0000-0000361F0000}"/>
    <cellStyle name="Normal 11 3 18" xfId="8813" xr:uid="{00000000-0005-0000-0000-0000371F0000}"/>
    <cellStyle name="Normal 11 3 18 2" xfId="8814" xr:uid="{00000000-0005-0000-0000-0000381F0000}"/>
    <cellStyle name="Normal 11 3 18 3" xfId="8815" xr:uid="{00000000-0005-0000-0000-0000391F0000}"/>
    <cellStyle name="Normal 11 3 18 4" xfId="8816" xr:uid="{00000000-0005-0000-0000-00003A1F0000}"/>
    <cellStyle name="Normal 11 3 19" xfId="8817" xr:uid="{00000000-0005-0000-0000-00003B1F0000}"/>
    <cellStyle name="Normal 11 3 19 2" xfId="8818" xr:uid="{00000000-0005-0000-0000-00003C1F0000}"/>
    <cellStyle name="Normal 11 3 19 3" xfId="8819" xr:uid="{00000000-0005-0000-0000-00003D1F0000}"/>
    <cellStyle name="Normal 11 3 19 4" xfId="8820" xr:uid="{00000000-0005-0000-0000-00003E1F0000}"/>
    <cellStyle name="Normal 11 3 2" xfId="8821" xr:uid="{00000000-0005-0000-0000-00003F1F0000}"/>
    <cellStyle name="Normal 11 3 2 2" xfId="8822" xr:uid="{00000000-0005-0000-0000-0000401F0000}"/>
    <cellStyle name="Normal 11 3 2 2 2" xfId="8823" xr:uid="{00000000-0005-0000-0000-0000411F0000}"/>
    <cellStyle name="Normal 11 3 2 2 3" xfId="8824" xr:uid="{00000000-0005-0000-0000-0000421F0000}"/>
    <cellStyle name="Normal 11 3 2 2 4" xfId="8825" xr:uid="{00000000-0005-0000-0000-0000431F0000}"/>
    <cellStyle name="Normal 11 3 2 3" xfId="8826" xr:uid="{00000000-0005-0000-0000-0000441F0000}"/>
    <cellStyle name="Normal 11 3 2 3 2" xfId="8827" xr:uid="{00000000-0005-0000-0000-0000451F0000}"/>
    <cellStyle name="Normal 11 3 2 3 3" xfId="8828" xr:uid="{00000000-0005-0000-0000-0000461F0000}"/>
    <cellStyle name="Normal 11 3 2 3 4" xfId="8829" xr:uid="{00000000-0005-0000-0000-0000471F0000}"/>
    <cellStyle name="Normal 11 3 2 4" xfId="8830" xr:uid="{00000000-0005-0000-0000-0000481F0000}"/>
    <cellStyle name="Normal 11 3 2 5" xfId="8831" xr:uid="{00000000-0005-0000-0000-0000491F0000}"/>
    <cellStyle name="Normal 11 3 2 6" xfId="8832" xr:uid="{00000000-0005-0000-0000-00004A1F0000}"/>
    <cellStyle name="Normal 11 3 20" xfId="8833" xr:uid="{00000000-0005-0000-0000-00004B1F0000}"/>
    <cellStyle name="Normal 11 3 20 2" xfId="8834" xr:uid="{00000000-0005-0000-0000-00004C1F0000}"/>
    <cellStyle name="Normal 11 3 20 3" xfId="8835" xr:uid="{00000000-0005-0000-0000-00004D1F0000}"/>
    <cellStyle name="Normal 11 3 20 4" xfId="8836" xr:uid="{00000000-0005-0000-0000-00004E1F0000}"/>
    <cellStyle name="Normal 11 3 21" xfId="8837" xr:uid="{00000000-0005-0000-0000-00004F1F0000}"/>
    <cellStyle name="Normal 11 3 22" xfId="8838" xr:uid="{00000000-0005-0000-0000-0000501F0000}"/>
    <cellStyle name="Normal 11 3 23" xfId="8839" xr:uid="{00000000-0005-0000-0000-0000511F0000}"/>
    <cellStyle name="Normal 11 3 24" xfId="8840" xr:uid="{00000000-0005-0000-0000-0000521F0000}"/>
    <cellStyle name="Normal 11 3 25" xfId="8841" xr:uid="{00000000-0005-0000-0000-0000531F0000}"/>
    <cellStyle name="Normal 11 3 26" xfId="8842" xr:uid="{00000000-0005-0000-0000-0000541F0000}"/>
    <cellStyle name="Normal 11 3 27" xfId="8843" xr:uid="{00000000-0005-0000-0000-0000551F0000}"/>
    <cellStyle name="Normal 11 3 28" xfId="8844" xr:uid="{00000000-0005-0000-0000-0000561F0000}"/>
    <cellStyle name="Normal 11 3 29" xfId="8845" xr:uid="{00000000-0005-0000-0000-0000571F0000}"/>
    <cellStyle name="Normal 11 3 3" xfId="8846" xr:uid="{00000000-0005-0000-0000-0000581F0000}"/>
    <cellStyle name="Normal 11 3 3 2" xfId="8847" xr:uid="{00000000-0005-0000-0000-0000591F0000}"/>
    <cellStyle name="Normal 11 3 3 2 2" xfId="8848" xr:uid="{00000000-0005-0000-0000-00005A1F0000}"/>
    <cellStyle name="Normal 11 3 3 2 3" xfId="8849" xr:uid="{00000000-0005-0000-0000-00005B1F0000}"/>
    <cellStyle name="Normal 11 3 3 2 4" xfId="8850" xr:uid="{00000000-0005-0000-0000-00005C1F0000}"/>
    <cellStyle name="Normal 11 3 3 3" xfId="8851" xr:uid="{00000000-0005-0000-0000-00005D1F0000}"/>
    <cellStyle name="Normal 11 3 3 3 2" xfId="8852" xr:uid="{00000000-0005-0000-0000-00005E1F0000}"/>
    <cellStyle name="Normal 11 3 3 3 3" xfId="8853" xr:uid="{00000000-0005-0000-0000-00005F1F0000}"/>
    <cellStyle name="Normal 11 3 3 3 4" xfId="8854" xr:uid="{00000000-0005-0000-0000-0000601F0000}"/>
    <cellStyle name="Normal 11 3 3 4" xfId="8855" xr:uid="{00000000-0005-0000-0000-0000611F0000}"/>
    <cellStyle name="Normal 11 3 3 5" xfId="8856" xr:uid="{00000000-0005-0000-0000-0000621F0000}"/>
    <cellStyle name="Normal 11 3 3 6" xfId="8857" xr:uid="{00000000-0005-0000-0000-0000631F0000}"/>
    <cellStyle name="Normal 11 3 30" xfId="8858" xr:uid="{00000000-0005-0000-0000-0000641F0000}"/>
    <cellStyle name="Normal 11 3 31" xfId="8859" xr:uid="{00000000-0005-0000-0000-0000651F0000}"/>
    <cellStyle name="Normal 11 3 32" xfId="8860" xr:uid="{00000000-0005-0000-0000-0000661F0000}"/>
    <cellStyle name="Normal 11 3 33" xfId="8861" xr:uid="{00000000-0005-0000-0000-0000671F0000}"/>
    <cellStyle name="Normal 11 3 34" xfId="8862" xr:uid="{00000000-0005-0000-0000-0000681F0000}"/>
    <cellStyle name="Normal 11 3 35" xfId="8863" xr:uid="{00000000-0005-0000-0000-0000691F0000}"/>
    <cellStyle name="Normal 11 3 36" xfId="8864" xr:uid="{00000000-0005-0000-0000-00006A1F0000}"/>
    <cellStyle name="Normal 11 3 37" xfId="8865" xr:uid="{00000000-0005-0000-0000-00006B1F0000}"/>
    <cellStyle name="Normal 11 3 38" xfId="8866" xr:uid="{00000000-0005-0000-0000-00006C1F0000}"/>
    <cellStyle name="Normal 11 3 39" xfId="8867" xr:uid="{00000000-0005-0000-0000-00006D1F0000}"/>
    <cellStyle name="Normal 11 3 4" xfId="8868" xr:uid="{00000000-0005-0000-0000-00006E1F0000}"/>
    <cellStyle name="Normal 11 3 4 2" xfId="8869" xr:uid="{00000000-0005-0000-0000-00006F1F0000}"/>
    <cellStyle name="Normal 11 3 4 2 2" xfId="8870" xr:uid="{00000000-0005-0000-0000-0000701F0000}"/>
    <cellStyle name="Normal 11 3 4 2 3" xfId="8871" xr:uid="{00000000-0005-0000-0000-0000711F0000}"/>
    <cellStyle name="Normal 11 3 4 2 4" xfId="8872" xr:uid="{00000000-0005-0000-0000-0000721F0000}"/>
    <cellStyle name="Normal 11 3 4 3" xfId="8873" xr:uid="{00000000-0005-0000-0000-0000731F0000}"/>
    <cellStyle name="Normal 11 3 4 3 2" xfId="8874" xr:uid="{00000000-0005-0000-0000-0000741F0000}"/>
    <cellStyle name="Normal 11 3 4 3 3" xfId="8875" xr:uid="{00000000-0005-0000-0000-0000751F0000}"/>
    <cellStyle name="Normal 11 3 4 3 4" xfId="8876" xr:uid="{00000000-0005-0000-0000-0000761F0000}"/>
    <cellStyle name="Normal 11 3 4 4" xfId="8877" xr:uid="{00000000-0005-0000-0000-0000771F0000}"/>
    <cellStyle name="Normal 11 3 4 5" xfId="8878" xr:uid="{00000000-0005-0000-0000-0000781F0000}"/>
    <cellStyle name="Normal 11 3 4 6" xfId="8879" xr:uid="{00000000-0005-0000-0000-0000791F0000}"/>
    <cellStyle name="Normal 11 3 40" xfId="8880" xr:uid="{00000000-0005-0000-0000-00007A1F0000}"/>
    <cellStyle name="Normal 11 3 41" xfId="8881" xr:uid="{00000000-0005-0000-0000-00007B1F0000}"/>
    <cellStyle name="Normal 11 3 42" xfId="8882" xr:uid="{00000000-0005-0000-0000-00007C1F0000}"/>
    <cellStyle name="Normal 11 3 43" xfId="8883" xr:uid="{00000000-0005-0000-0000-00007D1F0000}"/>
    <cellStyle name="Normal 11 3 44" xfId="8884" xr:uid="{00000000-0005-0000-0000-00007E1F0000}"/>
    <cellStyle name="Normal 11 3 45" xfId="8885" xr:uid="{00000000-0005-0000-0000-00007F1F0000}"/>
    <cellStyle name="Normal 11 3 46" xfId="8886" xr:uid="{00000000-0005-0000-0000-0000801F0000}"/>
    <cellStyle name="Normal 11 3 47" xfId="8887" xr:uid="{00000000-0005-0000-0000-0000811F0000}"/>
    <cellStyle name="Normal 11 3 48" xfId="8888" xr:uid="{00000000-0005-0000-0000-0000821F0000}"/>
    <cellStyle name="Normal 11 3 49" xfId="8889" xr:uid="{00000000-0005-0000-0000-0000831F0000}"/>
    <cellStyle name="Normal 11 3 5" xfId="8890" xr:uid="{00000000-0005-0000-0000-0000841F0000}"/>
    <cellStyle name="Normal 11 3 5 2" xfId="8891" xr:uid="{00000000-0005-0000-0000-0000851F0000}"/>
    <cellStyle name="Normal 11 3 5 2 2" xfId="8892" xr:uid="{00000000-0005-0000-0000-0000861F0000}"/>
    <cellStyle name="Normal 11 3 5 2 3" xfId="8893" xr:uid="{00000000-0005-0000-0000-0000871F0000}"/>
    <cellStyle name="Normal 11 3 5 2 4" xfId="8894" xr:uid="{00000000-0005-0000-0000-0000881F0000}"/>
    <cellStyle name="Normal 11 3 5 3" xfId="8895" xr:uid="{00000000-0005-0000-0000-0000891F0000}"/>
    <cellStyle name="Normal 11 3 5 3 2" xfId="8896" xr:uid="{00000000-0005-0000-0000-00008A1F0000}"/>
    <cellStyle name="Normal 11 3 5 3 3" xfId="8897" xr:uid="{00000000-0005-0000-0000-00008B1F0000}"/>
    <cellStyle name="Normal 11 3 5 3 4" xfId="8898" xr:uid="{00000000-0005-0000-0000-00008C1F0000}"/>
    <cellStyle name="Normal 11 3 5 4" xfId="8899" xr:uid="{00000000-0005-0000-0000-00008D1F0000}"/>
    <cellStyle name="Normal 11 3 5 5" xfId="8900" xr:uid="{00000000-0005-0000-0000-00008E1F0000}"/>
    <cellStyle name="Normal 11 3 5 6" xfId="8901" xr:uid="{00000000-0005-0000-0000-00008F1F0000}"/>
    <cellStyle name="Normal 11 3 50" xfId="8902" xr:uid="{00000000-0005-0000-0000-0000901F0000}"/>
    <cellStyle name="Normal 11 3 51" xfId="8903" xr:uid="{00000000-0005-0000-0000-0000911F0000}"/>
    <cellStyle name="Normal 11 3 52" xfId="8904" xr:uid="{00000000-0005-0000-0000-0000921F0000}"/>
    <cellStyle name="Normal 11 3 6" xfId="8905" xr:uid="{00000000-0005-0000-0000-0000931F0000}"/>
    <cellStyle name="Normal 11 3 6 2" xfId="8906" xr:uid="{00000000-0005-0000-0000-0000941F0000}"/>
    <cellStyle name="Normal 11 3 6 2 2" xfId="8907" xr:uid="{00000000-0005-0000-0000-0000951F0000}"/>
    <cellStyle name="Normal 11 3 6 2 3" xfId="8908" xr:uid="{00000000-0005-0000-0000-0000961F0000}"/>
    <cellStyle name="Normal 11 3 6 2 4" xfId="8909" xr:uid="{00000000-0005-0000-0000-0000971F0000}"/>
    <cellStyle name="Normal 11 3 6 3" xfId="8910" xr:uid="{00000000-0005-0000-0000-0000981F0000}"/>
    <cellStyle name="Normal 11 3 6 3 2" xfId="8911" xr:uid="{00000000-0005-0000-0000-0000991F0000}"/>
    <cellStyle name="Normal 11 3 6 3 3" xfId="8912" xr:uid="{00000000-0005-0000-0000-00009A1F0000}"/>
    <cellStyle name="Normal 11 3 6 3 4" xfId="8913" xr:uid="{00000000-0005-0000-0000-00009B1F0000}"/>
    <cellStyle name="Normal 11 3 6 4" xfId="8914" xr:uid="{00000000-0005-0000-0000-00009C1F0000}"/>
    <cellStyle name="Normal 11 3 6 5" xfId="8915" xr:uid="{00000000-0005-0000-0000-00009D1F0000}"/>
    <cellStyle name="Normal 11 3 6 6" xfId="8916" xr:uid="{00000000-0005-0000-0000-00009E1F0000}"/>
    <cellStyle name="Normal 11 3 7" xfId="8917" xr:uid="{00000000-0005-0000-0000-00009F1F0000}"/>
    <cellStyle name="Normal 11 3 7 2" xfId="8918" xr:uid="{00000000-0005-0000-0000-0000A01F0000}"/>
    <cellStyle name="Normal 11 3 7 2 2" xfId="8919" xr:uid="{00000000-0005-0000-0000-0000A11F0000}"/>
    <cellStyle name="Normal 11 3 7 2 3" xfId="8920" xr:uid="{00000000-0005-0000-0000-0000A21F0000}"/>
    <cellStyle name="Normal 11 3 7 2 4" xfId="8921" xr:uid="{00000000-0005-0000-0000-0000A31F0000}"/>
    <cellStyle name="Normal 11 3 7 3" xfId="8922" xr:uid="{00000000-0005-0000-0000-0000A41F0000}"/>
    <cellStyle name="Normal 11 3 7 3 2" xfId="8923" xr:uid="{00000000-0005-0000-0000-0000A51F0000}"/>
    <cellStyle name="Normal 11 3 7 3 3" xfId="8924" xr:uid="{00000000-0005-0000-0000-0000A61F0000}"/>
    <cellStyle name="Normal 11 3 7 3 4" xfId="8925" xr:uid="{00000000-0005-0000-0000-0000A71F0000}"/>
    <cellStyle name="Normal 11 3 7 4" xfId="8926" xr:uid="{00000000-0005-0000-0000-0000A81F0000}"/>
    <cellStyle name="Normal 11 3 7 5" xfId="8927" xr:uid="{00000000-0005-0000-0000-0000A91F0000}"/>
    <cellStyle name="Normal 11 3 7 6" xfId="8928" xr:uid="{00000000-0005-0000-0000-0000AA1F0000}"/>
    <cellStyle name="Normal 11 3 8" xfId="8929" xr:uid="{00000000-0005-0000-0000-0000AB1F0000}"/>
    <cellStyle name="Normal 11 3 8 2" xfId="8930" xr:uid="{00000000-0005-0000-0000-0000AC1F0000}"/>
    <cellStyle name="Normal 11 3 8 2 2" xfId="8931" xr:uid="{00000000-0005-0000-0000-0000AD1F0000}"/>
    <cellStyle name="Normal 11 3 8 2 3" xfId="8932" xr:uid="{00000000-0005-0000-0000-0000AE1F0000}"/>
    <cellStyle name="Normal 11 3 8 2 4" xfId="8933" xr:uid="{00000000-0005-0000-0000-0000AF1F0000}"/>
    <cellStyle name="Normal 11 3 8 3" xfId="8934" xr:uid="{00000000-0005-0000-0000-0000B01F0000}"/>
    <cellStyle name="Normal 11 3 8 3 2" xfId="8935" xr:uid="{00000000-0005-0000-0000-0000B11F0000}"/>
    <cellStyle name="Normal 11 3 8 3 3" xfId="8936" xr:uid="{00000000-0005-0000-0000-0000B21F0000}"/>
    <cellStyle name="Normal 11 3 8 3 4" xfId="8937" xr:uid="{00000000-0005-0000-0000-0000B31F0000}"/>
    <cellStyle name="Normal 11 3 8 4" xfId="8938" xr:uid="{00000000-0005-0000-0000-0000B41F0000}"/>
    <cellStyle name="Normal 11 3 8 5" xfId="8939" xr:uid="{00000000-0005-0000-0000-0000B51F0000}"/>
    <cellStyle name="Normal 11 3 8 6" xfId="8940" xr:uid="{00000000-0005-0000-0000-0000B61F0000}"/>
    <cellStyle name="Normal 11 3 9" xfId="8941" xr:uid="{00000000-0005-0000-0000-0000B71F0000}"/>
    <cellStyle name="Normal 11 3 9 2" xfId="8942" xr:uid="{00000000-0005-0000-0000-0000B81F0000}"/>
    <cellStyle name="Normal 11 3 9 2 2" xfId="8943" xr:uid="{00000000-0005-0000-0000-0000B91F0000}"/>
    <cellStyle name="Normal 11 3 9 2 3" xfId="8944" xr:uid="{00000000-0005-0000-0000-0000BA1F0000}"/>
    <cellStyle name="Normal 11 3 9 2 4" xfId="8945" xr:uid="{00000000-0005-0000-0000-0000BB1F0000}"/>
    <cellStyle name="Normal 11 3 9 3" xfId="8946" xr:uid="{00000000-0005-0000-0000-0000BC1F0000}"/>
    <cellStyle name="Normal 11 3 9 3 2" xfId="8947" xr:uid="{00000000-0005-0000-0000-0000BD1F0000}"/>
    <cellStyle name="Normal 11 3 9 3 3" xfId="8948" xr:uid="{00000000-0005-0000-0000-0000BE1F0000}"/>
    <cellStyle name="Normal 11 3 9 3 4" xfId="8949" xr:uid="{00000000-0005-0000-0000-0000BF1F0000}"/>
    <cellStyle name="Normal 11 3 9 4" xfId="8950" xr:uid="{00000000-0005-0000-0000-0000C01F0000}"/>
    <cellStyle name="Normal 11 3 9 5" xfId="8951" xr:uid="{00000000-0005-0000-0000-0000C11F0000}"/>
    <cellStyle name="Normal 11 3 9 6" xfId="8952" xr:uid="{00000000-0005-0000-0000-0000C21F0000}"/>
    <cellStyle name="Normal 11 30" xfId="8953" xr:uid="{00000000-0005-0000-0000-0000C31F0000}"/>
    <cellStyle name="Normal 11 30 10" xfId="8954" xr:uid="{00000000-0005-0000-0000-0000C41F0000}"/>
    <cellStyle name="Normal 11 30 11" xfId="8955" xr:uid="{00000000-0005-0000-0000-0000C51F0000}"/>
    <cellStyle name="Normal 11 30 12" xfId="8956" xr:uid="{00000000-0005-0000-0000-0000C61F0000}"/>
    <cellStyle name="Normal 11 30 13" xfId="8957" xr:uid="{00000000-0005-0000-0000-0000C71F0000}"/>
    <cellStyle name="Normal 11 30 14" xfId="8958" xr:uid="{00000000-0005-0000-0000-0000C81F0000}"/>
    <cellStyle name="Normal 11 30 15" xfId="8959" xr:uid="{00000000-0005-0000-0000-0000C91F0000}"/>
    <cellStyle name="Normal 11 30 16" xfId="8960" xr:uid="{00000000-0005-0000-0000-0000CA1F0000}"/>
    <cellStyle name="Normal 11 30 17" xfId="8961" xr:uid="{00000000-0005-0000-0000-0000CB1F0000}"/>
    <cellStyle name="Normal 11 30 18" xfId="8962" xr:uid="{00000000-0005-0000-0000-0000CC1F0000}"/>
    <cellStyle name="Normal 11 30 19" xfId="8963" xr:uid="{00000000-0005-0000-0000-0000CD1F0000}"/>
    <cellStyle name="Normal 11 30 2" xfId="8964" xr:uid="{00000000-0005-0000-0000-0000CE1F0000}"/>
    <cellStyle name="Normal 11 30 20" xfId="8965" xr:uid="{00000000-0005-0000-0000-0000CF1F0000}"/>
    <cellStyle name="Normal 11 30 21" xfId="8966" xr:uid="{00000000-0005-0000-0000-0000D01F0000}"/>
    <cellStyle name="Normal 11 30 22" xfId="8967" xr:uid="{00000000-0005-0000-0000-0000D11F0000}"/>
    <cellStyle name="Normal 11 30 23" xfId="8968" xr:uid="{00000000-0005-0000-0000-0000D21F0000}"/>
    <cellStyle name="Normal 11 30 24" xfId="8969" xr:uid="{00000000-0005-0000-0000-0000D31F0000}"/>
    <cellStyle name="Normal 11 30 25" xfId="8970" xr:uid="{00000000-0005-0000-0000-0000D41F0000}"/>
    <cellStyle name="Normal 11 30 26" xfId="8971" xr:uid="{00000000-0005-0000-0000-0000D51F0000}"/>
    <cellStyle name="Normal 11 30 27" xfId="8972" xr:uid="{00000000-0005-0000-0000-0000D61F0000}"/>
    <cellStyle name="Normal 11 30 28" xfId="8973" xr:uid="{00000000-0005-0000-0000-0000D71F0000}"/>
    <cellStyle name="Normal 11 30 29" xfId="8974" xr:uid="{00000000-0005-0000-0000-0000D81F0000}"/>
    <cellStyle name="Normal 11 30 3" xfId="8975" xr:uid="{00000000-0005-0000-0000-0000D91F0000}"/>
    <cellStyle name="Normal 11 30 30" xfId="8976" xr:uid="{00000000-0005-0000-0000-0000DA1F0000}"/>
    <cellStyle name="Normal 11 30 31" xfId="8977" xr:uid="{00000000-0005-0000-0000-0000DB1F0000}"/>
    <cellStyle name="Normal 11 30 32" xfId="8978" xr:uid="{00000000-0005-0000-0000-0000DC1F0000}"/>
    <cellStyle name="Normal 11 30 33" xfId="8979" xr:uid="{00000000-0005-0000-0000-0000DD1F0000}"/>
    <cellStyle name="Normal 11 30 34" xfId="8980" xr:uid="{00000000-0005-0000-0000-0000DE1F0000}"/>
    <cellStyle name="Normal 11 30 35" xfId="8981" xr:uid="{00000000-0005-0000-0000-0000DF1F0000}"/>
    <cellStyle name="Normal 11 30 36" xfId="8982" xr:uid="{00000000-0005-0000-0000-0000E01F0000}"/>
    <cellStyle name="Normal 11 30 37" xfId="8983" xr:uid="{00000000-0005-0000-0000-0000E11F0000}"/>
    <cellStyle name="Normal 11 30 4" xfId="8984" xr:uid="{00000000-0005-0000-0000-0000E21F0000}"/>
    <cellStyle name="Normal 11 30 5" xfId="8985" xr:uid="{00000000-0005-0000-0000-0000E31F0000}"/>
    <cellStyle name="Normal 11 30 6" xfId="8986" xr:uid="{00000000-0005-0000-0000-0000E41F0000}"/>
    <cellStyle name="Normal 11 30 7" xfId="8987" xr:uid="{00000000-0005-0000-0000-0000E51F0000}"/>
    <cellStyle name="Normal 11 30 8" xfId="8988" xr:uid="{00000000-0005-0000-0000-0000E61F0000}"/>
    <cellStyle name="Normal 11 30 9" xfId="8989" xr:uid="{00000000-0005-0000-0000-0000E71F0000}"/>
    <cellStyle name="Normal 11 31" xfId="8990" xr:uid="{00000000-0005-0000-0000-0000E81F0000}"/>
    <cellStyle name="Normal 11 31 10" xfId="8991" xr:uid="{00000000-0005-0000-0000-0000E91F0000}"/>
    <cellStyle name="Normal 11 31 11" xfId="8992" xr:uid="{00000000-0005-0000-0000-0000EA1F0000}"/>
    <cellStyle name="Normal 11 31 12" xfId="8993" xr:uid="{00000000-0005-0000-0000-0000EB1F0000}"/>
    <cellStyle name="Normal 11 31 13" xfId="8994" xr:uid="{00000000-0005-0000-0000-0000EC1F0000}"/>
    <cellStyle name="Normal 11 31 14" xfId="8995" xr:uid="{00000000-0005-0000-0000-0000ED1F0000}"/>
    <cellStyle name="Normal 11 31 15" xfId="8996" xr:uid="{00000000-0005-0000-0000-0000EE1F0000}"/>
    <cellStyle name="Normal 11 31 16" xfId="8997" xr:uid="{00000000-0005-0000-0000-0000EF1F0000}"/>
    <cellStyle name="Normal 11 31 17" xfId="8998" xr:uid="{00000000-0005-0000-0000-0000F01F0000}"/>
    <cellStyle name="Normal 11 31 18" xfId="8999" xr:uid="{00000000-0005-0000-0000-0000F11F0000}"/>
    <cellStyle name="Normal 11 31 19" xfId="9000" xr:uid="{00000000-0005-0000-0000-0000F21F0000}"/>
    <cellStyle name="Normal 11 31 2" xfId="9001" xr:uid="{00000000-0005-0000-0000-0000F31F0000}"/>
    <cellStyle name="Normal 11 31 20" xfId="9002" xr:uid="{00000000-0005-0000-0000-0000F41F0000}"/>
    <cellStyle name="Normal 11 31 21" xfId="9003" xr:uid="{00000000-0005-0000-0000-0000F51F0000}"/>
    <cellStyle name="Normal 11 31 22" xfId="9004" xr:uid="{00000000-0005-0000-0000-0000F61F0000}"/>
    <cellStyle name="Normal 11 31 23" xfId="9005" xr:uid="{00000000-0005-0000-0000-0000F71F0000}"/>
    <cellStyle name="Normal 11 31 24" xfId="9006" xr:uid="{00000000-0005-0000-0000-0000F81F0000}"/>
    <cellStyle name="Normal 11 31 25" xfId="9007" xr:uid="{00000000-0005-0000-0000-0000F91F0000}"/>
    <cellStyle name="Normal 11 31 26" xfId="9008" xr:uid="{00000000-0005-0000-0000-0000FA1F0000}"/>
    <cellStyle name="Normal 11 31 27" xfId="9009" xr:uid="{00000000-0005-0000-0000-0000FB1F0000}"/>
    <cellStyle name="Normal 11 31 28" xfId="9010" xr:uid="{00000000-0005-0000-0000-0000FC1F0000}"/>
    <cellStyle name="Normal 11 31 29" xfId="9011" xr:uid="{00000000-0005-0000-0000-0000FD1F0000}"/>
    <cellStyle name="Normal 11 31 3" xfId="9012" xr:uid="{00000000-0005-0000-0000-0000FE1F0000}"/>
    <cellStyle name="Normal 11 31 30" xfId="9013" xr:uid="{00000000-0005-0000-0000-0000FF1F0000}"/>
    <cellStyle name="Normal 11 31 31" xfId="9014" xr:uid="{00000000-0005-0000-0000-000000200000}"/>
    <cellStyle name="Normal 11 31 32" xfId="9015" xr:uid="{00000000-0005-0000-0000-000001200000}"/>
    <cellStyle name="Normal 11 31 33" xfId="9016" xr:uid="{00000000-0005-0000-0000-000002200000}"/>
    <cellStyle name="Normal 11 31 34" xfId="9017" xr:uid="{00000000-0005-0000-0000-000003200000}"/>
    <cellStyle name="Normal 11 31 35" xfId="9018" xr:uid="{00000000-0005-0000-0000-000004200000}"/>
    <cellStyle name="Normal 11 31 36" xfId="9019" xr:uid="{00000000-0005-0000-0000-000005200000}"/>
    <cellStyle name="Normal 11 31 37" xfId="9020" xr:uid="{00000000-0005-0000-0000-000006200000}"/>
    <cellStyle name="Normal 11 31 4" xfId="9021" xr:uid="{00000000-0005-0000-0000-000007200000}"/>
    <cellStyle name="Normal 11 31 5" xfId="9022" xr:uid="{00000000-0005-0000-0000-000008200000}"/>
    <cellStyle name="Normal 11 31 6" xfId="9023" xr:uid="{00000000-0005-0000-0000-000009200000}"/>
    <cellStyle name="Normal 11 31 7" xfId="9024" xr:uid="{00000000-0005-0000-0000-00000A200000}"/>
    <cellStyle name="Normal 11 31 8" xfId="9025" xr:uid="{00000000-0005-0000-0000-00000B200000}"/>
    <cellStyle name="Normal 11 31 9" xfId="9026" xr:uid="{00000000-0005-0000-0000-00000C200000}"/>
    <cellStyle name="Normal 11 32" xfId="9027" xr:uid="{00000000-0005-0000-0000-00000D200000}"/>
    <cellStyle name="Normal 11 32 10" xfId="9028" xr:uid="{00000000-0005-0000-0000-00000E200000}"/>
    <cellStyle name="Normal 11 32 11" xfId="9029" xr:uid="{00000000-0005-0000-0000-00000F200000}"/>
    <cellStyle name="Normal 11 32 12" xfId="9030" xr:uid="{00000000-0005-0000-0000-000010200000}"/>
    <cellStyle name="Normal 11 32 13" xfId="9031" xr:uid="{00000000-0005-0000-0000-000011200000}"/>
    <cellStyle name="Normal 11 32 14" xfId="9032" xr:uid="{00000000-0005-0000-0000-000012200000}"/>
    <cellStyle name="Normal 11 32 15" xfId="9033" xr:uid="{00000000-0005-0000-0000-000013200000}"/>
    <cellStyle name="Normal 11 32 16" xfId="9034" xr:uid="{00000000-0005-0000-0000-000014200000}"/>
    <cellStyle name="Normal 11 32 17" xfId="9035" xr:uid="{00000000-0005-0000-0000-000015200000}"/>
    <cellStyle name="Normal 11 32 18" xfId="9036" xr:uid="{00000000-0005-0000-0000-000016200000}"/>
    <cellStyle name="Normal 11 32 19" xfId="9037" xr:uid="{00000000-0005-0000-0000-000017200000}"/>
    <cellStyle name="Normal 11 32 2" xfId="9038" xr:uid="{00000000-0005-0000-0000-000018200000}"/>
    <cellStyle name="Normal 11 32 20" xfId="9039" xr:uid="{00000000-0005-0000-0000-000019200000}"/>
    <cellStyle name="Normal 11 32 21" xfId="9040" xr:uid="{00000000-0005-0000-0000-00001A200000}"/>
    <cellStyle name="Normal 11 32 22" xfId="9041" xr:uid="{00000000-0005-0000-0000-00001B200000}"/>
    <cellStyle name="Normal 11 32 23" xfId="9042" xr:uid="{00000000-0005-0000-0000-00001C200000}"/>
    <cellStyle name="Normal 11 32 24" xfId="9043" xr:uid="{00000000-0005-0000-0000-00001D200000}"/>
    <cellStyle name="Normal 11 32 25" xfId="9044" xr:uid="{00000000-0005-0000-0000-00001E200000}"/>
    <cellStyle name="Normal 11 32 26" xfId="9045" xr:uid="{00000000-0005-0000-0000-00001F200000}"/>
    <cellStyle name="Normal 11 32 27" xfId="9046" xr:uid="{00000000-0005-0000-0000-000020200000}"/>
    <cellStyle name="Normal 11 32 28" xfId="9047" xr:uid="{00000000-0005-0000-0000-000021200000}"/>
    <cellStyle name="Normal 11 32 29" xfId="9048" xr:uid="{00000000-0005-0000-0000-000022200000}"/>
    <cellStyle name="Normal 11 32 3" xfId="9049" xr:uid="{00000000-0005-0000-0000-000023200000}"/>
    <cellStyle name="Normal 11 32 30" xfId="9050" xr:uid="{00000000-0005-0000-0000-000024200000}"/>
    <cellStyle name="Normal 11 32 31" xfId="9051" xr:uid="{00000000-0005-0000-0000-000025200000}"/>
    <cellStyle name="Normal 11 32 32" xfId="9052" xr:uid="{00000000-0005-0000-0000-000026200000}"/>
    <cellStyle name="Normal 11 32 33" xfId="9053" xr:uid="{00000000-0005-0000-0000-000027200000}"/>
    <cellStyle name="Normal 11 32 34" xfId="9054" xr:uid="{00000000-0005-0000-0000-000028200000}"/>
    <cellStyle name="Normal 11 32 35" xfId="9055" xr:uid="{00000000-0005-0000-0000-000029200000}"/>
    <cellStyle name="Normal 11 32 36" xfId="9056" xr:uid="{00000000-0005-0000-0000-00002A200000}"/>
    <cellStyle name="Normal 11 32 37" xfId="9057" xr:uid="{00000000-0005-0000-0000-00002B200000}"/>
    <cellStyle name="Normal 11 32 4" xfId="9058" xr:uid="{00000000-0005-0000-0000-00002C200000}"/>
    <cellStyle name="Normal 11 32 5" xfId="9059" xr:uid="{00000000-0005-0000-0000-00002D200000}"/>
    <cellStyle name="Normal 11 32 6" xfId="9060" xr:uid="{00000000-0005-0000-0000-00002E200000}"/>
    <cellStyle name="Normal 11 32 7" xfId="9061" xr:uid="{00000000-0005-0000-0000-00002F200000}"/>
    <cellStyle name="Normal 11 32 8" xfId="9062" xr:uid="{00000000-0005-0000-0000-000030200000}"/>
    <cellStyle name="Normal 11 32 9" xfId="9063" xr:uid="{00000000-0005-0000-0000-000031200000}"/>
    <cellStyle name="Normal 11 33" xfId="9064" xr:uid="{00000000-0005-0000-0000-000032200000}"/>
    <cellStyle name="Normal 11 33 10" xfId="9065" xr:uid="{00000000-0005-0000-0000-000033200000}"/>
    <cellStyle name="Normal 11 33 11" xfId="9066" xr:uid="{00000000-0005-0000-0000-000034200000}"/>
    <cellStyle name="Normal 11 33 12" xfId="9067" xr:uid="{00000000-0005-0000-0000-000035200000}"/>
    <cellStyle name="Normal 11 33 13" xfId="9068" xr:uid="{00000000-0005-0000-0000-000036200000}"/>
    <cellStyle name="Normal 11 33 14" xfId="9069" xr:uid="{00000000-0005-0000-0000-000037200000}"/>
    <cellStyle name="Normal 11 33 15" xfId="9070" xr:uid="{00000000-0005-0000-0000-000038200000}"/>
    <cellStyle name="Normal 11 33 16" xfId="9071" xr:uid="{00000000-0005-0000-0000-000039200000}"/>
    <cellStyle name="Normal 11 33 17" xfId="9072" xr:uid="{00000000-0005-0000-0000-00003A200000}"/>
    <cellStyle name="Normal 11 33 18" xfId="9073" xr:uid="{00000000-0005-0000-0000-00003B200000}"/>
    <cellStyle name="Normal 11 33 19" xfId="9074" xr:uid="{00000000-0005-0000-0000-00003C200000}"/>
    <cellStyle name="Normal 11 33 2" xfId="9075" xr:uid="{00000000-0005-0000-0000-00003D200000}"/>
    <cellStyle name="Normal 11 33 20" xfId="9076" xr:uid="{00000000-0005-0000-0000-00003E200000}"/>
    <cellStyle name="Normal 11 33 21" xfId="9077" xr:uid="{00000000-0005-0000-0000-00003F200000}"/>
    <cellStyle name="Normal 11 33 22" xfId="9078" xr:uid="{00000000-0005-0000-0000-000040200000}"/>
    <cellStyle name="Normal 11 33 23" xfId="9079" xr:uid="{00000000-0005-0000-0000-000041200000}"/>
    <cellStyle name="Normal 11 33 24" xfId="9080" xr:uid="{00000000-0005-0000-0000-000042200000}"/>
    <cellStyle name="Normal 11 33 25" xfId="9081" xr:uid="{00000000-0005-0000-0000-000043200000}"/>
    <cellStyle name="Normal 11 33 26" xfId="9082" xr:uid="{00000000-0005-0000-0000-000044200000}"/>
    <cellStyle name="Normal 11 33 27" xfId="9083" xr:uid="{00000000-0005-0000-0000-000045200000}"/>
    <cellStyle name="Normal 11 33 28" xfId="9084" xr:uid="{00000000-0005-0000-0000-000046200000}"/>
    <cellStyle name="Normal 11 33 29" xfId="9085" xr:uid="{00000000-0005-0000-0000-000047200000}"/>
    <cellStyle name="Normal 11 33 3" xfId="9086" xr:uid="{00000000-0005-0000-0000-000048200000}"/>
    <cellStyle name="Normal 11 33 30" xfId="9087" xr:uid="{00000000-0005-0000-0000-000049200000}"/>
    <cellStyle name="Normal 11 33 31" xfId="9088" xr:uid="{00000000-0005-0000-0000-00004A200000}"/>
    <cellStyle name="Normal 11 33 32" xfId="9089" xr:uid="{00000000-0005-0000-0000-00004B200000}"/>
    <cellStyle name="Normal 11 33 33" xfId="9090" xr:uid="{00000000-0005-0000-0000-00004C200000}"/>
    <cellStyle name="Normal 11 33 34" xfId="9091" xr:uid="{00000000-0005-0000-0000-00004D200000}"/>
    <cellStyle name="Normal 11 33 35" xfId="9092" xr:uid="{00000000-0005-0000-0000-00004E200000}"/>
    <cellStyle name="Normal 11 33 36" xfId="9093" xr:uid="{00000000-0005-0000-0000-00004F200000}"/>
    <cellStyle name="Normal 11 33 37" xfId="9094" xr:uid="{00000000-0005-0000-0000-000050200000}"/>
    <cellStyle name="Normal 11 33 4" xfId="9095" xr:uid="{00000000-0005-0000-0000-000051200000}"/>
    <cellStyle name="Normal 11 33 5" xfId="9096" xr:uid="{00000000-0005-0000-0000-000052200000}"/>
    <cellStyle name="Normal 11 33 6" xfId="9097" xr:uid="{00000000-0005-0000-0000-000053200000}"/>
    <cellStyle name="Normal 11 33 7" xfId="9098" xr:uid="{00000000-0005-0000-0000-000054200000}"/>
    <cellStyle name="Normal 11 33 8" xfId="9099" xr:uid="{00000000-0005-0000-0000-000055200000}"/>
    <cellStyle name="Normal 11 33 9" xfId="9100" xr:uid="{00000000-0005-0000-0000-000056200000}"/>
    <cellStyle name="Normal 11 34" xfId="9101" xr:uid="{00000000-0005-0000-0000-000057200000}"/>
    <cellStyle name="Normal 11 34 10" xfId="9102" xr:uid="{00000000-0005-0000-0000-000058200000}"/>
    <cellStyle name="Normal 11 34 11" xfId="9103" xr:uid="{00000000-0005-0000-0000-000059200000}"/>
    <cellStyle name="Normal 11 34 12" xfId="9104" xr:uid="{00000000-0005-0000-0000-00005A200000}"/>
    <cellStyle name="Normal 11 34 13" xfId="9105" xr:uid="{00000000-0005-0000-0000-00005B200000}"/>
    <cellStyle name="Normal 11 34 14" xfId="9106" xr:uid="{00000000-0005-0000-0000-00005C200000}"/>
    <cellStyle name="Normal 11 34 15" xfId="9107" xr:uid="{00000000-0005-0000-0000-00005D200000}"/>
    <cellStyle name="Normal 11 34 16" xfId="9108" xr:uid="{00000000-0005-0000-0000-00005E200000}"/>
    <cellStyle name="Normal 11 34 17" xfId="9109" xr:uid="{00000000-0005-0000-0000-00005F200000}"/>
    <cellStyle name="Normal 11 34 18" xfId="9110" xr:uid="{00000000-0005-0000-0000-000060200000}"/>
    <cellStyle name="Normal 11 34 19" xfId="9111" xr:uid="{00000000-0005-0000-0000-000061200000}"/>
    <cellStyle name="Normal 11 34 2" xfId="9112" xr:uid="{00000000-0005-0000-0000-000062200000}"/>
    <cellStyle name="Normal 11 34 20" xfId="9113" xr:uid="{00000000-0005-0000-0000-000063200000}"/>
    <cellStyle name="Normal 11 34 21" xfId="9114" xr:uid="{00000000-0005-0000-0000-000064200000}"/>
    <cellStyle name="Normal 11 34 22" xfId="9115" xr:uid="{00000000-0005-0000-0000-000065200000}"/>
    <cellStyle name="Normal 11 34 23" xfId="9116" xr:uid="{00000000-0005-0000-0000-000066200000}"/>
    <cellStyle name="Normal 11 34 24" xfId="9117" xr:uid="{00000000-0005-0000-0000-000067200000}"/>
    <cellStyle name="Normal 11 34 25" xfId="9118" xr:uid="{00000000-0005-0000-0000-000068200000}"/>
    <cellStyle name="Normal 11 34 26" xfId="9119" xr:uid="{00000000-0005-0000-0000-000069200000}"/>
    <cellStyle name="Normal 11 34 27" xfId="9120" xr:uid="{00000000-0005-0000-0000-00006A200000}"/>
    <cellStyle name="Normal 11 34 28" xfId="9121" xr:uid="{00000000-0005-0000-0000-00006B200000}"/>
    <cellStyle name="Normal 11 34 29" xfId="9122" xr:uid="{00000000-0005-0000-0000-00006C200000}"/>
    <cellStyle name="Normal 11 34 3" xfId="9123" xr:uid="{00000000-0005-0000-0000-00006D200000}"/>
    <cellStyle name="Normal 11 34 4" xfId="9124" xr:uid="{00000000-0005-0000-0000-00006E200000}"/>
    <cellStyle name="Normal 11 34 5" xfId="9125" xr:uid="{00000000-0005-0000-0000-00006F200000}"/>
    <cellStyle name="Normal 11 34 6" xfId="9126" xr:uid="{00000000-0005-0000-0000-000070200000}"/>
    <cellStyle name="Normal 11 34 7" xfId="9127" xr:uid="{00000000-0005-0000-0000-000071200000}"/>
    <cellStyle name="Normal 11 34 8" xfId="9128" xr:uid="{00000000-0005-0000-0000-000072200000}"/>
    <cellStyle name="Normal 11 34 9" xfId="9129" xr:uid="{00000000-0005-0000-0000-000073200000}"/>
    <cellStyle name="Normal 11 35" xfId="9130" xr:uid="{00000000-0005-0000-0000-000074200000}"/>
    <cellStyle name="Normal 11 36" xfId="9131" xr:uid="{00000000-0005-0000-0000-000075200000}"/>
    <cellStyle name="Normal 11 37" xfId="9132" xr:uid="{00000000-0005-0000-0000-000076200000}"/>
    <cellStyle name="Normal 11 38" xfId="9133" xr:uid="{00000000-0005-0000-0000-000077200000}"/>
    <cellStyle name="Normal 11 39" xfId="9134" xr:uid="{00000000-0005-0000-0000-000078200000}"/>
    <cellStyle name="Normal 11 4" xfId="9135" xr:uid="{00000000-0005-0000-0000-000079200000}"/>
    <cellStyle name="Normal 11 4 10" xfId="9136" xr:uid="{00000000-0005-0000-0000-00007A200000}"/>
    <cellStyle name="Normal 11 4 11" xfId="9137" xr:uid="{00000000-0005-0000-0000-00007B200000}"/>
    <cellStyle name="Normal 11 4 12" xfId="9138" xr:uid="{00000000-0005-0000-0000-00007C200000}"/>
    <cellStyle name="Normal 11 4 13" xfId="9139" xr:uid="{00000000-0005-0000-0000-00007D200000}"/>
    <cellStyle name="Normal 11 4 14" xfId="9140" xr:uid="{00000000-0005-0000-0000-00007E200000}"/>
    <cellStyle name="Normal 11 4 15" xfId="9141" xr:uid="{00000000-0005-0000-0000-00007F200000}"/>
    <cellStyle name="Normal 11 4 16" xfId="9142" xr:uid="{00000000-0005-0000-0000-000080200000}"/>
    <cellStyle name="Normal 11 4 17" xfId="9143" xr:uid="{00000000-0005-0000-0000-000081200000}"/>
    <cellStyle name="Normal 11 4 18" xfId="9144" xr:uid="{00000000-0005-0000-0000-000082200000}"/>
    <cellStyle name="Normal 11 4 19" xfId="9145" xr:uid="{00000000-0005-0000-0000-000083200000}"/>
    <cellStyle name="Normal 11 4 2" xfId="9146" xr:uid="{00000000-0005-0000-0000-000084200000}"/>
    <cellStyle name="Normal 11 4 2 2" xfId="9147" xr:uid="{00000000-0005-0000-0000-000085200000}"/>
    <cellStyle name="Normal 11 4 2 3" xfId="9148" xr:uid="{00000000-0005-0000-0000-000086200000}"/>
    <cellStyle name="Normal 11 4 2 4" xfId="9149" xr:uid="{00000000-0005-0000-0000-000087200000}"/>
    <cellStyle name="Normal 11 4 20" xfId="9150" xr:uid="{00000000-0005-0000-0000-000088200000}"/>
    <cellStyle name="Normal 11 4 21" xfId="9151" xr:uid="{00000000-0005-0000-0000-000089200000}"/>
    <cellStyle name="Normal 11 4 22" xfId="9152" xr:uid="{00000000-0005-0000-0000-00008A200000}"/>
    <cellStyle name="Normal 11 4 23" xfId="9153" xr:uid="{00000000-0005-0000-0000-00008B200000}"/>
    <cellStyle name="Normal 11 4 24" xfId="9154" xr:uid="{00000000-0005-0000-0000-00008C200000}"/>
    <cellStyle name="Normal 11 4 25" xfId="9155" xr:uid="{00000000-0005-0000-0000-00008D200000}"/>
    <cellStyle name="Normal 11 4 26" xfId="9156" xr:uid="{00000000-0005-0000-0000-00008E200000}"/>
    <cellStyle name="Normal 11 4 27" xfId="9157" xr:uid="{00000000-0005-0000-0000-00008F200000}"/>
    <cellStyle name="Normal 11 4 28" xfId="9158" xr:uid="{00000000-0005-0000-0000-000090200000}"/>
    <cellStyle name="Normal 11 4 29" xfId="9159" xr:uid="{00000000-0005-0000-0000-000091200000}"/>
    <cellStyle name="Normal 11 4 3" xfId="9160" xr:uid="{00000000-0005-0000-0000-000092200000}"/>
    <cellStyle name="Normal 11 4 3 2" xfId="9161" xr:uid="{00000000-0005-0000-0000-000093200000}"/>
    <cellStyle name="Normal 11 4 3 3" xfId="9162" xr:uid="{00000000-0005-0000-0000-000094200000}"/>
    <cellStyle name="Normal 11 4 3 4" xfId="9163" xr:uid="{00000000-0005-0000-0000-000095200000}"/>
    <cellStyle name="Normal 11 4 30" xfId="9164" xr:uid="{00000000-0005-0000-0000-000096200000}"/>
    <cellStyle name="Normal 11 4 31" xfId="9165" xr:uid="{00000000-0005-0000-0000-000097200000}"/>
    <cellStyle name="Normal 11 4 32" xfId="9166" xr:uid="{00000000-0005-0000-0000-000098200000}"/>
    <cellStyle name="Normal 11 4 33" xfId="9167" xr:uid="{00000000-0005-0000-0000-000099200000}"/>
    <cellStyle name="Normal 11 4 34" xfId="9168" xr:uid="{00000000-0005-0000-0000-00009A200000}"/>
    <cellStyle name="Normal 11 4 35" xfId="9169" xr:uid="{00000000-0005-0000-0000-00009B200000}"/>
    <cellStyle name="Normal 11 4 36" xfId="9170" xr:uid="{00000000-0005-0000-0000-00009C200000}"/>
    <cellStyle name="Normal 11 4 37" xfId="9171" xr:uid="{00000000-0005-0000-0000-00009D200000}"/>
    <cellStyle name="Normal 11 4 38" xfId="9172" xr:uid="{00000000-0005-0000-0000-00009E200000}"/>
    <cellStyle name="Normal 11 4 39" xfId="9173" xr:uid="{00000000-0005-0000-0000-00009F200000}"/>
    <cellStyle name="Normal 11 4 4" xfId="9174" xr:uid="{00000000-0005-0000-0000-0000A0200000}"/>
    <cellStyle name="Normal 11 4 40" xfId="9175" xr:uid="{00000000-0005-0000-0000-0000A1200000}"/>
    <cellStyle name="Normal 11 4 41" xfId="9176" xr:uid="{00000000-0005-0000-0000-0000A2200000}"/>
    <cellStyle name="Normal 11 4 42" xfId="9177" xr:uid="{00000000-0005-0000-0000-0000A3200000}"/>
    <cellStyle name="Normal 11 4 43" xfId="9178" xr:uid="{00000000-0005-0000-0000-0000A4200000}"/>
    <cellStyle name="Normal 11 4 44" xfId="9179" xr:uid="{00000000-0005-0000-0000-0000A5200000}"/>
    <cellStyle name="Normal 11 4 45" xfId="9180" xr:uid="{00000000-0005-0000-0000-0000A6200000}"/>
    <cellStyle name="Normal 11 4 46" xfId="9181" xr:uid="{00000000-0005-0000-0000-0000A7200000}"/>
    <cellStyle name="Normal 11 4 47" xfId="9182" xr:uid="{00000000-0005-0000-0000-0000A8200000}"/>
    <cellStyle name="Normal 11 4 48" xfId="9183" xr:uid="{00000000-0005-0000-0000-0000A9200000}"/>
    <cellStyle name="Normal 11 4 49" xfId="9184" xr:uid="{00000000-0005-0000-0000-0000AA200000}"/>
    <cellStyle name="Normal 11 4 5" xfId="9185" xr:uid="{00000000-0005-0000-0000-0000AB200000}"/>
    <cellStyle name="Normal 11 4 50" xfId="9186" xr:uid="{00000000-0005-0000-0000-0000AC200000}"/>
    <cellStyle name="Normal 11 4 51" xfId="9187" xr:uid="{00000000-0005-0000-0000-0000AD200000}"/>
    <cellStyle name="Normal 11 4 52" xfId="9188" xr:uid="{00000000-0005-0000-0000-0000AE200000}"/>
    <cellStyle name="Normal 11 4 6" xfId="9189" xr:uid="{00000000-0005-0000-0000-0000AF200000}"/>
    <cellStyle name="Normal 11 4 7" xfId="9190" xr:uid="{00000000-0005-0000-0000-0000B0200000}"/>
    <cellStyle name="Normal 11 4 8" xfId="9191" xr:uid="{00000000-0005-0000-0000-0000B1200000}"/>
    <cellStyle name="Normal 11 4 9" xfId="9192" xr:uid="{00000000-0005-0000-0000-0000B2200000}"/>
    <cellStyle name="Normal 11 40" xfId="9193" xr:uid="{00000000-0005-0000-0000-0000B3200000}"/>
    <cellStyle name="Normal 11 41" xfId="9194" xr:uid="{00000000-0005-0000-0000-0000B4200000}"/>
    <cellStyle name="Normal 11 5" xfId="9195" xr:uid="{00000000-0005-0000-0000-0000B5200000}"/>
    <cellStyle name="Normal 11 5 10" xfId="9196" xr:uid="{00000000-0005-0000-0000-0000B6200000}"/>
    <cellStyle name="Normal 11 5 11" xfId="9197" xr:uid="{00000000-0005-0000-0000-0000B7200000}"/>
    <cellStyle name="Normal 11 5 12" xfId="9198" xr:uid="{00000000-0005-0000-0000-0000B8200000}"/>
    <cellStyle name="Normal 11 5 13" xfId="9199" xr:uid="{00000000-0005-0000-0000-0000B9200000}"/>
    <cellStyle name="Normal 11 5 14" xfId="9200" xr:uid="{00000000-0005-0000-0000-0000BA200000}"/>
    <cellStyle name="Normal 11 5 15" xfId="9201" xr:uid="{00000000-0005-0000-0000-0000BB200000}"/>
    <cellStyle name="Normal 11 5 16" xfId="9202" xr:uid="{00000000-0005-0000-0000-0000BC200000}"/>
    <cellStyle name="Normal 11 5 17" xfId="9203" xr:uid="{00000000-0005-0000-0000-0000BD200000}"/>
    <cellStyle name="Normal 11 5 18" xfId="9204" xr:uid="{00000000-0005-0000-0000-0000BE200000}"/>
    <cellStyle name="Normal 11 5 19" xfId="9205" xr:uid="{00000000-0005-0000-0000-0000BF200000}"/>
    <cellStyle name="Normal 11 5 2" xfId="9206" xr:uid="{00000000-0005-0000-0000-0000C0200000}"/>
    <cellStyle name="Normal 11 5 2 2" xfId="9207" xr:uid="{00000000-0005-0000-0000-0000C1200000}"/>
    <cellStyle name="Normal 11 5 2 3" xfId="9208" xr:uid="{00000000-0005-0000-0000-0000C2200000}"/>
    <cellStyle name="Normal 11 5 2 4" xfId="9209" xr:uid="{00000000-0005-0000-0000-0000C3200000}"/>
    <cellStyle name="Normal 11 5 20" xfId="9210" xr:uid="{00000000-0005-0000-0000-0000C4200000}"/>
    <cellStyle name="Normal 11 5 21" xfId="9211" xr:uid="{00000000-0005-0000-0000-0000C5200000}"/>
    <cellStyle name="Normal 11 5 22" xfId="9212" xr:uid="{00000000-0005-0000-0000-0000C6200000}"/>
    <cellStyle name="Normal 11 5 23" xfId="9213" xr:uid="{00000000-0005-0000-0000-0000C7200000}"/>
    <cellStyle name="Normal 11 5 24" xfId="9214" xr:uid="{00000000-0005-0000-0000-0000C8200000}"/>
    <cellStyle name="Normal 11 5 25" xfId="9215" xr:uid="{00000000-0005-0000-0000-0000C9200000}"/>
    <cellStyle name="Normal 11 5 26" xfId="9216" xr:uid="{00000000-0005-0000-0000-0000CA200000}"/>
    <cellStyle name="Normal 11 5 27" xfId="9217" xr:uid="{00000000-0005-0000-0000-0000CB200000}"/>
    <cellStyle name="Normal 11 5 28" xfId="9218" xr:uid="{00000000-0005-0000-0000-0000CC200000}"/>
    <cellStyle name="Normal 11 5 29" xfId="9219" xr:uid="{00000000-0005-0000-0000-0000CD200000}"/>
    <cellStyle name="Normal 11 5 3" xfId="9220" xr:uid="{00000000-0005-0000-0000-0000CE200000}"/>
    <cellStyle name="Normal 11 5 3 2" xfId="9221" xr:uid="{00000000-0005-0000-0000-0000CF200000}"/>
    <cellStyle name="Normal 11 5 3 3" xfId="9222" xr:uid="{00000000-0005-0000-0000-0000D0200000}"/>
    <cellStyle name="Normal 11 5 3 4" xfId="9223" xr:uid="{00000000-0005-0000-0000-0000D1200000}"/>
    <cellStyle name="Normal 11 5 30" xfId="9224" xr:uid="{00000000-0005-0000-0000-0000D2200000}"/>
    <cellStyle name="Normal 11 5 31" xfId="9225" xr:uid="{00000000-0005-0000-0000-0000D3200000}"/>
    <cellStyle name="Normal 11 5 32" xfId="9226" xr:uid="{00000000-0005-0000-0000-0000D4200000}"/>
    <cellStyle name="Normal 11 5 33" xfId="9227" xr:uid="{00000000-0005-0000-0000-0000D5200000}"/>
    <cellStyle name="Normal 11 5 34" xfId="9228" xr:uid="{00000000-0005-0000-0000-0000D6200000}"/>
    <cellStyle name="Normal 11 5 35" xfId="9229" xr:uid="{00000000-0005-0000-0000-0000D7200000}"/>
    <cellStyle name="Normal 11 5 36" xfId="9230" xr:uid="{00000000-0005-0000-0000-0000D8200000}"/>
    <cellStyle name="Normal 11 5 37" xfId="9231" xr:uid="{00000000-0005-0000-0000-0000D9200000}"/>
    <cellStyle name="Normal 11 5 38" xfId="9232" xr:uid="{00000000-0005-0000-0000-0000DA200000}"/>
    <cellStyle name="Normal 11 5 39" xfId="9233" xr:uid="{00000000-0005-0000-0000-0000DB200000}"/>
    <cellStyle name="Normal 11 5 4" xfId="9234" xr:uid="{00000000-0005-0000-0000-0000DC200000}"/>
    <cellStyle name="Normal 11 5 40" xfId="9235" xr:uid="{00000000-0005-0000-0000-0000DD200000}"/>
    <cellStyle name="Normal 11 5 41" xfId="9236" xr:uid="{00000000-0005-0000-0000-0000DE200000}"/>
    <cellStyle name="Normal 11 5 42" xfId="9237" xr:uid="{00000000-0005-0000-0000-0000DF200000}"/>
    <cellStyle name="Normal 11 5 43" xfId="9238" xr:uid="{00000000-0005-0000-0000-0000E0200000}"/>
    <cellStyle name="Normal 11 5 44" xfId="9239" xr:uid="{00000000-0005-0000-0000-0000E1200000}"/>
    <cellStyle name="Normal 11 5 45" xfId="9240" xr:uid="{00000000-0005-0000-0000-0000E2200000}"/>
    <cellStyle name="Normal 11 5 46" xfId="9241" xr:uid="{00000000-0005-0000-0000-0000E3200000}"/>
    <cellStyle name="Normal 11 5 47" xfId="9242" xr:uid="{00000000-0005-0000-0000-0000E4200000}"/>
    <cellStyle name="Normal 11 5 48" xfId="9243" xr:uid="{00000000-0005-0000-0000-0000E5200000}"/>
    <cellStyle name="Normal 11 5 49" xfId="9244" xr:uid="{00000000-0005-0000-0000-0000E6200000}"/>
    <cellStyle name="Normal 11 5 5" xfId="9245" xr:uid="{00000000-0005-0000-0000-0000E7200000}"/>
    <cellStyle name="Normal 11 5 50" xfId="9246" xr:uid="{00000000-0005-0000-0000-0000E8200000}"/>
    <cellStyle name="Normal 11 5 51" xfId="9247" xr:uid="{00000000-0005-0000-0000-0000E9200000}"/>
    <cellStyle name="Normal 11 5 52" xfId="9248" xr:uid="{00000000-0005-0000-0000-0000EA200000}"/>
    <cellStyle name="Normal 11 5 6" xfId="9249" xr:uid="{00000000-0005-0000-0000-0000EB200000}"/>
    <cellStyle name="Normal 11 5 7" xfId="9250" xr:uid="{00000000-0005-0000-0000-0000EC200000}"/>
    <cellStyle name="Normal 11 5 8" xfId="9251" xr:uid="{00000000-0005-0000-0000-0000ED200000}"/>
    <cellStyle name="Normal 11 5 9" xfId="9252" xr:uid="{00000000-0005-0000-0000-0000EE200000}"/>
    <cellStyle name="Normal 11 6" xfId="9253" xr:uid="{00000000-0005-0000-0000-0000EF200000}"/>
    <cellStyle name="Normal 11 6 10" xfId="9254" xr:uid="{00000000-0005-0000-0000-0000F0200000}"/>
    <cellStyle name="Normal 11 6 11" xfId="9255" xr:uid="{00000000-0005-0000-0000-0000F1200000}"/>
    <cellStyle name="Normal 11 6 12" xfId="9256" xr:uid="{00000000-0005-0000-0000-0000F2200000}"/>
    <cellStyle name="Normal 11 6 13" xfId="9257" xr:uid="{00000000-0005-0000-0000-0000F3200000}"/>
    <cellStyle name="Normal 11 6 14" xfId="9258" xr:uid="{00000000-0005-0000-0000-0000F4200000}"/>
    <cellStyle name="Normal 11 6 15" xfId="9259" xr:uid="{00000000-0005-0000-0000-0000F5200000}"/>
    <cellStyle name="Normal 11 6 16" xfId="9260" xr:uid="{00000000-0005-0000-0000-0000F6200000}"/>
    <cellStyle name="Normal 11 6 17" xfId="9261" xr:uid="{00000000-0005-0000-0000-0000F7200000}"/>
    <cellStyle name="Normal 11 6 18" xfId="9262" xr:uid="{00000000-0005-0000-0000-0000F8200000}"/>
    <cellStyle name="Normal 11 6 19" xfId="9263" xr:uid="{00000000-0005-0000-0000-0000F9200000}"/>
    <cellStyle name="Normal 11 6 2" xfId="9264" xr:uid="{00000000-0005-0000-0000-0000FA200000}"/>
    <cellStyle name="Normal 11 6 2 2" xfId="9265" xr:uid="{00000000-0005-0000-0000-0000FB200000}"/>
    <cellStyle name="Normal 11 6 2 3" xfId="9266" xr:uid="{00000000-0005-0000-0000-0000FC200000}"/>
    <cellStyle name="Normal 11 6 2 4" xfId="9267" xr:uid="{00000000-0005-0000-0000-0000FD200000}"/>
    <cellStyle name="Normal 11 6 20" xfId="9268" xr:uid="{00000000-0005-0000-0000-0000FE200000}"/>
    <cellStyle name="Normal 11 6 21" xfId="9269" xr:uid="{00000000-0005-0000-0000-0000FF200000}"/>
    <cellStyle name="Normal 11 6 22" xfId="9270" xr:uid="{00000000-0005-0000-0000-000000210000}"/>
    <cellStyle name="Normal 11 6 23" xfId="9271" xr:uid="{00000000-0005-0000-0000-000001210000}"/>
    <cellStyle name="Normal 11 6 24" xfId="9272" xr:uid="{00000000-0005-0000-0000-000002210000}"/>
    <cellStyle name="Normal 11 6 25" xfId="9273" xr:uid="{00000000-0005-0000-0000-000003210000}"/>
    <cellStyle name="Normal 11 6 26" xfId="9274" xr:uid="{00000000-0005-0000-0000-000004210000}"/>
    <cellStyle name="Normal 11 6 27" xfId="9275" xr:uid="{00000000-0005-0000-0000-000005210000}"/>
    <cellStyle name="Normal 11 6 28" xfId="9276" xr:uid="{00000000-0005-0000-0000-000006210000}"/>
    <cellStyle name="Normal 11 6 29" xfId="9277" xr:uid="{00000000-0005-0000-0000-000007210000}"/>
    <cellStyle name="Normal 11 6 3" xfId="9278" xr:uid="{00000000-0005-0000-0000-000008210000}"/>
    <cellStyle name="Normal 11 6 3 2" xfId="9279" xr:uid="{00000000-0005-0000-0000-000009210000}"/>
    <cellStyle name="Normal 11 6 3 3" xfId="9280" xr:uid="{00000000-0005-0000-0000-00000A210000}"/>
    <cellStyle name="Normal 11 6 3 4" xfId="9281" xr:uid="{00000000-0005-0000-0000-00000B210000}"/>
    <cellStyle name="Normal 11 6 30" xfId="9282" xr:uid="{00000000-0005-0000-0000-00000C210000}"/>
    <cellStyle name="Normal 11 6 31" xfId="9283" xr:uid="{00000000-0005-0000-0000-00000D210000}"/>
    <cellStyle name="Normal 11 6 32" xfId="9284" xr:uid="{00000000-0005-0000-0000-00000E210000}"/>
    <cellStyle name="Normal 11 6 33" xfId="9285" xr:uid="{00000000-0005-0000-0000-00000F210000}"/>
    <cellStyle name="Normal 11 6 34" xfId="9286" xr:uid="{00000000-0005-0000-0000-000010210000}"/>
    <cellStyle name="Normal 11 6 35" xfId="9287" xr:uid="{00000000-0005-0000-0000-000011210000}"/>
    <cellStyle name="Normal 11 6 36" xfId="9288" xr:uid="{00000000-0005-0000-0000-000012210000}"/>
    <cellStyle name="Normal 11 6 37" xfId="9289" xr:uid="{00000000-0005-0000-0000-000013210000}"/>
    <cellStyle name="Normal 11 6 38" xfId="9290" xr:uid="{00000000-0005-0000-0000-000014210000}"/>
    <cellStyle name="Normal 11 6 39" xfId="9291" xr:uid="{00000000-0005-0000-0000-000015210000}"/>
    <cellStyle name="Normal 11 6 4" xfId="9292" xr:uid="{00000000-0005-0000-0000-000016210000}"/>
    <cellStyle name="Normal 11 6 40" xfId="9293" xr:uid="{00000000-0005-0000-0000-000017210000}"/>
    <cellStyle name="Normal 11 6 41" xfId="9294" xr:uid="{00000000-0005-0000-0000-000018210000}"/>
    <cellStyle name="Normal 11 6 42" xfId="9295" xr:uid="{00000000-0005-0000-0000-000019210000}"/>
    <cellStyle name="Normal 11 6 43" xfId="9296" xr:uid="{00000000-0005-0000-0000-00001A210000}"/>
    <cellStyle name="Normal 11 6 44" xfId="9297" xr:uid="{00000000-0005-0000-0000-00001B210000}"/>
    <cellStyle name="Normal 11 6 45" xfId="9298" xr:uid="{00000000-0005-0000-0000-00001C210000}"/>
    <cellStyle name="Normal 11 6 46" xfId="9299" xr:uid="{00000000-0005-0000-0000-00001D210000}"/>
    <cellStyle name="Normal 11 6 47" xfId="9300" xr:uid="{00000000-0005-0000-0000-00001E210000}"/>
    <cellStyle name="Normal 11 6 48" xfId="9301" xr:uid="{00000000-0005-0000-0000-00001F210000}"/>
    <cellStyle name="Normal 11 6 49" xfId="9302" xr:uid="{00000000-0005-0000-0000-000020210000}"/>
    <cellStyle name="Normal 11 6 5" xfId="9303" xr:uid="{00000000-0005-0000-0000-000021210000}"/>
    <cellStyle name="Normal 11 6 50" xfId="9304" xr:uid="{00000000-0005-0000-0000-000022210000}"/>
    <cellStyle name="Normal 11 6 51" xfId="9305" xr:uid="{00000000-0005-0000-0000-000023210000}"/>
    <cellStyle name="Normal 11 6 52" xfId="9306" xr:uid="{00000000-0005-0000-0000-000024210000}"/>
    <cellStyle name="Normal 11 6 6" xfId="9307" xr:uid="{00000000-0005-0000-0000-000025210000}"/>
    <cellStyle name="Normal 11 6 7" xfId="9308" xr:uid="{00000000-0005-0000-0000-000026210000}"/>
    <cellStyle name="Normal 11 6 8" xfId="9309" xr:uid="{00000000-0005-0000-0000-000027210000}"/>
    <cellStyle name="Normal 11 6 9" xfId="9310" xr:uid="{00000000-0005-0000-0000-000028210000}"/>
    <cellStyle name="Normal 11 7" xfId="9311" xr:uid="{00000000-0005-0000-0000-000029210000}"/>
    <cellStyle name="Normal 11 7 10" xfId="9312" xr:uid="{00000000-0005-0000-0000-00002A210000}"/>
    <cellStyle name="Normal 11 7 11" xfId="9313" xr:uid="{00000000-0005-0000-0000-00002B210000}"/>
    <cellStyle name="Normal 11 7 12" xfId="9314" xr:uid="{00000000-0005-0000-0000-00002C210000}"/>
    <cellStyle name="Normal 11 7 13" xfId="9315" xr:uid="{00000000-0005-0000-0000-00002D210000}"/>
    <cellStyle name="Normal 11 7 14" xfId="9316" xr:uid="{00000000-0005-0000-0000-00002E210000}"/>
    <cellStyle name="Normal 11 7 15" xfId="9317" xr:uid="{00000000-0005-0000-0000-00002F210000}"/>
    <cellStyle name="Normal 11 7 16" xfId="9318" xr:uid="{00000000-0005-0000-0000-000030210000}"/>
    <cellStyle name="Normal 11 7 17" xfId="9319" xr:uid="{00000000-0005-0000-0000-000031210000}"/>
    <cellStyle name="Normal 11 7 18" xfId="9320" xr:uid="{00000000-0005-0000-0000-000032210000}"/>
    <cellStyle name="Normal 11 7 19" xfId="9321" xr:uid="{00000000-0005-0000-0000-000033210000}"/>
    <cellStyle name="Normal 11 7 2" xfId="9322" xr:uid="{00000000-0005-0000-0000-000034210000}"/>
    <cellStyle name="Normal 11 7 2 2" xfId="9323" xr:uid="{00000000-0005-0000-0000-000035210000}"/>
    <cellStyle name="Normal 11 7 2 3" xfId="9324" xr:uid="{00000000-0005-0000-0000-000036210000}"/>
    <cellStyle name="Normal 11 7 2 4" xfId="9325" xr:uid="{00000000-0005-0000-0000-000037210000}"/>
    <cellStyle name="Normal 11 7 20" xfId="9326" xr:uid="{00000000-0005-0000-0000-000038210000}"/>
    <cellStyle name="Normal 11 7 21" xfId="9327" xr:uid="{00000000-0005-0000-0000-000039210000}"/>
    <cellStyle name="Normal 11 7 22" xfId="9328" xr:uid="{00000000-0005-0000-0000-00003A210000}"/>
    <cellStyle name="Normal 11 7 23" xfId="9329" xr:uid="{00000000-0005-0000-0000-00003B210000}"/>
    <cellStyle name="Normal 11 7 24" xfId="9330" xr:uid="{00000000-0005-0000-0000-00003C210000}"/>
    <cellStyle name="Normal 11 7 25" xfId="9331" xr:uid="{00000000-0005-0000-0000-00003D210000}"/>
    <cellStyle name="Normal 11 7 26" xfId="9332" xr:uid="{00000000-0005-0000-0000-00003E210000}"/>
    <cellStyle name="Normal 11 7 27" xfId="9333" xr:uid="{00000000-0005-0000-0000-00003F210000}"/>
    <cellStyle name="Normal 11 7 28" xfId="9334" xr:uid="{00000000-0005-0000-0000-000040210000}"/>
    <cellStyle name="Normal 11 7 29" xfId="9335" xr:uid="{00000000-0005-0000-0000-000041210000}"/>
    <cellStyle name="Normal 11 7 3" xfId="9336" xr:uid="{00000000-0005-0000-0000-000042210000}"/>
    <cellStyle name="Normal 11 7 3 2" xfId="9337" xr:uid="{00000000-0005-0000-0000-000043210000}"/>
    <cellStyle name="Normal 11 7 3 3" xfId="9338" xr:uid="{00000000-0005-0000-0000-000044210000}"/>
    <cellStyle name="Normal 11 7 3 4" xfId="9339" xr:uid="{00000000-0005-0000-0000-000045210000}"/>
    <cellStyle name="Normal 11 7 30" xfId="9340" xr:uid="{00000000-0005-0000-0000-000046210000}"/>
    <cellStyle name="Normal 11 7 31" xfId="9341" xr:uid="{00000000-0005-0000-0000-000047210000}"/>
    <cellStyle name="Normal 11 7 32" xfId="9342" xr:uid="{00000000-0005-0000-0000-000048210000}"/>
    <cellStyle name="Normal 11 7 33" xfId="9343" xr:uid="{00000000-0005-0000-0000-000049210000}"/>
    <cellStyle name="Normal 11 7 34" xfId="9344" xr:uid="{00000000-0005-0000-0000-00004A210000}"/>
    <cellStyle name="Normal 11 7 35" xfId="9345" xr:uid="{00000000-0005-0000-0000-00004B210000}"/>
    <cellStyle name="Normal 11 7 36" xfId="9346" xr:uid="{00000000-0005-0000-0000-00004C210000}"/>
    <cellStyle name="Normal 11 7 37" xfId="9347" xr:uid="{00000000-0005-0000-0000-00004D210000}"/>
    <cellStyle name="Normal 11 7 38" xfId="9348" xr:uid="{00000000-0005-0000-0000-00004E210000}"/>
    <cellStyle name="Normal 11 7 39" xfId="9349" xr:uid="{00000000-0005-0000-0000-00004F210000}"/>
    <cellStyle name="Normal 11 7 4" xfId="9350" xr:uid="{00000000-0005-0000-0000-000050210000}"/>
    <cellStyle name="Normal 11 7 40" xfId="9351" xr:uid="{00000000-0005-0000-0000-000051210000}"/>
    <cellStyle name="Normal 11 7 41" xfId="9352" xr:uid="{00000000-0005-0000-0000-000052210000}"/>
    <cellStyle name="Normal 11 7 42" xfId="9353" xr:uid="{00000000-0005-0000-0000-000053210000}"/>
    <cellStyle name="Normal 11 7 43" xfId="9354" xr:uid="{00000000-0005-0000-0000-000054210000}"/>
    <cellStyle name="Normal 11 7 44" xfId="9355" xr:uid="{00000000-0005-0000-0000-000055210000}"/>
    <cellStyle name="Normal 11 7 45" xfId="9356" xr:uid="{00000000-0005-0000-0000-000056210000}"/>
    <cellStyle name="Normal 11 7 46" xfId="9357" xr:uid="{00000000-0005-0000-0000-000057210000}"/>
    <cellStyle name="Normal 11 7 47" xfId="9358" xr:uid="{00000000-0005-0000-0000-000058210000}"/>
    <cellStyle name="Normal 11 7 48" xfId="9359" xr:uid="{00000000-0005-0000-0000-000059210000}"/>
    <cellStyle name="Normal 11 7 49" xfId="9360" xr:uid="{00000000-0005-0000-0000-00005A210000}"/>
    <cellStyle name="Normal 11 7 5" xfId="9361" xr:uid="{00000000-0005-0000-0000-00005B210000}"/>
    <cellStyle name="Normal 11 7 50" xfId="9362" xr:uid="{00000000-0005-0000-0000-00005C210000}"/>
    <cellStyle name="Normal 11 7 51" xfId="9363" xr:uid="{00000000-0005-0000-0000-00005D210000}"/>
    <cellStyle name="Normal 11 7 52" xfId="9364" xr:uid="{00000000-0005-0000-0000-00005E210000}"/>
    <cellStyle name="Normal 11 7 6" xfId="9365" xr:uid="{00000000-0005-0000-0000-00005F210000}"/>
    <cellStyle name="Normal 11 7 7" xfId="9366" xr:uid="{00000000-0005-0000-0000-000060210000}"/>
    <cellStyle name="Normal 11 7 8" xfId="9367" xr:uid="{00000000-0005-0000-0000-000061210000}"/>
    <cellStyle name="Normal 11 7 9" xfId="9368" xr:uid="{00000000-0005-0000-0000-000062210000}"/>
    <cellStyle name="Normal 11 8" xfId="9369" xr:uid="{00000000-0005-0000-0000-000063210000}"/>
    <cellStyle name="Normal 11 8 10" xfId="9370" xr:uid="{00000000-0005-0000-0000-000064210000}"/>
    <cellStyle name="Normal 11 8 11" xfId="9371" xr:uid="{00000000-0005-0000-0000-000065210000}"/>
    <cellStyle name="Normal 11 8 12" xfId="9372" xr:uid="{00000000-0005-0000-0000-000066210000}"/>
    <cellStyle name="Normal 11 8 13" xfId="9373" xr:uid="{00000000-0005-0000-0000-000067210000}"/>
    <cellStyle name="Normal 11 8 14" xfId="9374" xr:uid="{00000000-0005-0000-0000-000068210000}"/>
    <cellStyle name="Normal 11 8 15" xfId="9375" xr:uid="{00000000-0005-0000-0000-000069210000}"/>
    <cellStyle name="Normal 11 8 16" xfId="9376" xr:uid="{00000000-0005-0000-0000-00006A210000}"/>
    <cellStyle name="Normal 11 8 17" xfId="9377" xr:uid="{00000000-0005-0000-0000-00006B210000}"/>
    <cellStyle name="Normal 11 8 18" xfId="9378" xr:uid="{00000000-0005-0000-0000-00006C210000}"/>
    <cellStyle name="Normal 11 8 19" xfId="9379" xr:uid="{00000000-0005-0000-0000-00006D210000}"/>
    <cellStyle name="Normal 11 8 2" xfId="9380" xr:uid="{00000000-0005-0000-0000-00006E210000}"/>
    <cellStyle name="Normal 11 8 2 2" xfId="9381" xr:uid="{00000000-0005-0000-0000-00006F210000}"/>
    <cellStyle name="Normal 11 8 2 3" xfId="9382" xr:uid="{00000000-0005-0000-0000-000070210000}"/>
    <cellStyle name="Normal 11 8 2 4" xfId="9383" xr:uid="{00000000-0005-0000-0000-000071210000}"/>
    <cellStyle name="Normal 11 8 20" xfId="9384" xr:uid="{00000000-0005-0000-0000-000072210000}"/>
    <cellStyle name="Normal 11 8 21" xfId="9385" xr:uid="{00000000-0005-0000-0000-000073210000}"/>
    <cellStyle name="Normal 11 8 22" xfId="9386" xr:uid="{00000000-0005-0000-0000-000074210000}"/>
    <cellStyle name="Normal 11 8 23" xfId="9387" xr:uid="{00000000-0005-0000-0000-000075210000}"/>
    <cellStyle name="Normal 11 8 24" xfId="9388" xr:uid="{00000000-0005-0000-0000-000076210000}"/>
    <cellStyle name="Normal 11 8 25" xfId="9389" xr:uid="{00000000-0005-0000-0000-000077210000}"/>
    <cellStyle name="Normal 11 8 26" xfId="9390" xr:uid="{00000000-0005-0000-0000-000078210000}"/>
    <cellStyle name="Normal 11 8 27" xfId="9391" xr:uid="{00000000-0005-0000-0000-000079210000}"/>
    <cellStyle name="Normal 11 8 28" xfId="9392" xr:uid="{00000000-0005-0000-0000-00007A210000}"/>
    <cellStyle name="Normal 11 8 29" xfId="9393" xr:uid="{00000000-0005-0000-0000-00007B210000}"/>
    <cellStyle name="Normal 11 8 3" xfId="9394" xr:uid="{00000000-0005-0000-0000-00007C210000}"/>
    <cellStyle name="Normal 11 8 3 2" xfId="9395" xr:uid="{00000000-0005-0000-0000-00007D210000}"/>
    <cellStyle name="Normal 11 8 3 3" xfId="9396" xr:uid="{00000000-0005-0000-0000-00007E210000}"/>
    <cellStyle name="Normal 11 8 3 4" xfId="9397" xr:uid="{00000000-0005-0000-0000-00007F210000}"/>
    <cellStyle name="Normal 11 8 30" xfId="9398" xr:uid="{00000000-0005-0000-0000-000080210000}"/>
    <cellStyle name="Normal 11 8 31" xfId="9399" xr:uid="{00000000-0005-0000-0000-000081210000}"/>
    <cellStyle name="Normal 11 8 32" xfId="9400" xr:uid="{00000000-0005-0000-0000-000082210000}"/>
    <cellStyle name="Normal 11 8 33" xfId="9401" xr:uid="{00000000-0005-0000-0000-000083210000}"/>
    <cellStyle name="Normal 11 8 34" xfId="9402" xr:uid="{00000000-0005-0000-0000-000084210000}"/>
    <cellStyle name="Normal 11 8 35" xfId="9403" xr:uid="{00000000-0005-0000-0000-000085210000}"/>
    <cellStyle name="Normal 11 8 36" xfId="9404" xr:uid="{00000000-0005-0000-0000-000086210000}"/>
    <cellStyle name="Normal 11 8 37" xfId="9405" xr:uid="{00000000-0005-0000-0000-000087210000}"/>
    <cellStyle name="Normal 11 8 38" xfId="9406" xr:uid="{00000000-0005-0000-0000-000088210000}"/>
    <cellStyle name="Normal 11 8 39" xfId="9407" xr:uid="{00000000-0005-0000-0000-000089210000}"/>
    <cellStyle name="Normal 11 8 4" xfId="9408" xr:uid="{00000000-0005-0000-0000-00008A210000}"/>
    <cellStyle name="Normal 11 8 40" xfId="9409" xr:uid="{00000000-0005-0000-0000-00008B210000}"/>
    <cellStyle name="Normal 11 8 41" xfId="9410" xr:uid="{00000000-0005-0000-0000-00008C210000}"/>
    <cellStyle name="Normal 11 8 42" xfId="9411" xr:uid="{00000000-0005-0000-0000-00008D210000}"/>
    <cellStyle name="Normal 11 8 43" xfId="9412" xr:uid="{00000000-0005-0000-0000-00008E210000}"/>
    <cellStyle name="Normal 11 8 44" xfId="9413" xr:uid="{00000000-0005-0000-0000-00008F210000}"/>
    <cellStyle name="Normal 11 8 45" xfId="9414" xr:uid="{00000000-0005-0000-0000-000090210000}"/>
    <cellStyle name="Normal 11 8 46" xfId="9415" xr:uid="{00000000-0005-0000-0000-000091210000}"/>
    <cellStyle name="Normal 11 8 47" xfId="9416" xr:uid="{00000000-0005-0000-0000-000092210000}"/>
    <cellStyle name="Normal 11 8 48" xfId="9417" xr:uid="{00000000-0005-0000-0000-000093210000}"/>
    <cellStyle name="Normal 11 8 49" xfId="9418" xr:uid="{00000000-0005-0000-0000-000094210000}"/>
    <cellStyle name="Normal 11 8 5" xfId="9419" xr:uid="{00000000-0005-0000-0000-000095210000}"/>
    <cellStyle name="Normal 11 8 50" xfId="9420" xr:uid="{00000000-0005-0000-0000-000096210000}"/>
    <cellStyle name="Normal 11 8 51" xfId="9421" xr:uid="{00000000-0005-0000-0000-000097210000}"/>
    <cellStyle name="Normal 11 8 52" xfId="9422" xr:uid="{00000000-0005-0000-0000-000098210000}"/>
    <cellStyle name="Normal 11 8 6" xfId="9423" xr:uid="{00000000-0005-0000-0000-000099210000}"/>
    <cellStyle name="Normal 11 8 7" xfId="9424" xr:uid="{00000000-0005-0000-0000-00009A210000}"/>
    <cellStyle name="Normal 11 8 8" xfId="9425" xr:uid="{00000000-0005-0000-0000-00009B210000}"/>
    <cellStyle name="Normal 11 8 9" xfId="9426" xr:uid="{00000000-0005-0000-0000-00009C210000}"/>
    <cellStyle name="Normal 11 9" xfId="9427" xr:uid="{00000000-0005-0000-0000-00009D210000}"/>
    <cellStyle name="Normal 11 9 10" xfId="9428" xr:uid="{00000000-0005-0000-0000-00009E210000}"/>
    <cellStyle name="Normal 11 9 11" xfId="9429" xr:uid="{00000000-0005-0000-0000-00009F210000}"/>
    <cellStyle name="Normal 11 9 12" xfId="9430" xr:uid="{00000000-0005-0000-0000-0000A0210000}"/>
    <cellStyle name="Normal 11 9 13" xfId="9431" xr:uid="{00000000-0005-0000-0000-0000A1210000}"/>
    <cellStyle name="Normal 11 9 14" xfId="9432" xr:uid="{00000000-0005-0000-0000-0000A2210000}"/>
    <cellStyle name="Normal 11 9 15" xfId="9433" xr:uid="{00000000-0005-0000-0000-0000A3210000}"/>
    <cellStyle name="Normal 11 9 16" xfId="9434" xr:uid="{00000000-0005-0000-0000-0000A4210000}"/>
    <cellStyle name="Normal 11 9 17" xfId="9435" xr:uid="{00000000-0005-0000-0000-0000A5210000}"/>
    <cellStyle name="Normal 11 9 18" xfId="9436" xr:uid="{00000000-0005-0000-0000-0000A6210000}"/>
    <cellStyle name="Normal 11 9 19" xfId="9437" xr:uid="{00000000-0005-0000-0000-0000A7210000}"/>
    <cellStyle name="Normal 11 9 2" xfId="9438" xr:uid="{00000000-0005-0000-0000-0000A8210000}"/>
    <cellStyle name="Normal 11 9 2 2" xfId="9439" xr:uid="{00000000-0005-0000-0000-0000A9210000}"/>
    <cellStyle name="Normal 11 9 2 3" xfId="9440" xr:uid="{00000000-0005-0000-0000-0000AA210000}"/>
    <cellStyle name="Normal 11 9 2 4" xfId="9441" xr:uid="{00000000-0005-0000-0000-0000AB210000}"/>
    <cellStyle name="Normal 11 9 20" xfId="9442" xr:uid="{00000000-0005-0000-0000-0000AC210000}"/>
    <cellStyle name="Normal 11 9 21" xfId="9443" xr:uid="{00000000-0005-0000-0000-0000AD210000}"/>
    <cellStyle name="Normal 11 9 22" xfId="9444" xr:uid="{00000000-0005-0000-0000-0000AE210000}"/>
    <cellStyle name="Normal 11 9 23" xfId="9445" xr:uid="{00000000-0005-0000-0000-0000AF210000}"/>
    <cellStyle name="Normal 11 9 24" xfId="9446" xr:uid="{00000000-0005-0000-0000-0000B0210000}"/>
    <cellStyle name="Normal 11 9 25" xfId="9447" xr:uid="{00000000-0005-0000-0000-0000B1210000}"/>
    <cellStyle name="Normal 11 9 26" xfId="9448" xr:uid="{00000000-0005-0000-0000-0000B2210000}"/>
    <cellStyle name="Normal 11 9 27" xfId="9449" xr:uid="{00000000-0005-0000-0000-0000B3210000}"/>
    <cellStyle name="Normal 11 9 28" xfId="9450" xr:uid="{00000000-0005-0000-0000-0000B4210000}"/>
    <cellStyle name="Normal 11 9 29" xfId="9451" xr:uid="{00000000-0005-0000-0000-0000B5210000}"/>
    <cellStyle name="Normal 11 9 3" xfId="9452" xr:uid="{00000000-0005-0000-0000-0000B6210000}"/>
    <cellStyle name="Normal 11 9 3 2" xfId="9453" xr:uid="{00000000-0005-0000-0000-0000B7210000}"/>
    <cellStyle name="Normal 11 9 3 3" xfId="9454" xr:uid="{00000000-0005-0000-0000-0000B8210000}"/>
    <cellStyle name="Normal 11 9 3 4" xfId="9455" xr:uid="{00000000-0005-0000-0000-0000B9210000}"/>
    <cellStyle name="Normal 11 9 30" xfId="9456" xr:uid="{00000000-0005-0000-0000-0000BA210000}"/>
    <cellStyle name="Normal 11 9 31" xfId="9457" xr:uid="{00000000-0005-0000-0000-0000BB210000}"/>
    <cellStyle name="Normal 11 9 32" xfId="9458" xr:uid="{00000000-0005-0000-0000-0000BC210000}"/>
    <cellStyle name="Normal 11 9 33" xfId="9459" xr:uid="{00000000-0005-0000-0000-0000BD210000}"/>
    <cellStyle name="Normal 11 9 34" xfId="9460" xr:uid="{00000000-0005-0000-0000-0000BE210000}"/>
    <cellStyle name="Normal 11 9 35" xfId="9461" xr:uid="{00000000-0005-0000-0000-0000BF210000}"/>
    <cellStyle name="Normal 11 9 36" xfId="9462" xr:uid="{00000000-0005-0000-0000-0000C0210000}"/>
    <cellStyle name="Normal 11 9 37" xfId="9463" xr:uid="{00000000-0005-0000-0000-0000C1210000}"/>
    <cellStyle name="Normal 11 9 38" xfId="9464" xr:uid="{00000000-0005-0000-0000-0000C2210000}"/>
    <cellStyle name="Normal 11 9 39" xfId="9465" xr:uid="{00000000-0005-0000-0000-0000C3210000}"/>
    <cellStyle name="Normal 11 9 4" xfId="9466" xr:uid="{00000000-0005-0000-0000-0000C4210000}"/>
    <cellStyle name="Normal 11 9 40" xfId="9467" xr:uid="{00000000-0005-0000-0000-0000C5210000}"/>
    <cellStyle name="Normal 11 9 41" xfId="9468" xr:uid="{00000000-0005-0000-0000-0000C6210000}"/>
    <cellStyle name="Normal 11 9 42" xfId="9469" xr:uid="{00000000-0005-0000-0000-0000C7210000}"/>
    <cellStyle name="Normal 11 9 43" xfId="9470" xr:uid="{00000000-0005-0000-0000-0000C8210000}"/>
    <cellStyle name="Normal 11 9 44" xfId="9471" xr:uid="{00000000-0005-0000-0000-0000C9210000}"/>
    <cellStyle name="Normal 11 9 45" xfId="9472" xr:uid="{00000000-0005-0000-0000-0000CA210000}"/>
    <cellStyle name="Normal 11 9 46" xfId="9473" xr:uid="{00000000-0005-0000-0000-0000CB210000}"/>
    <cellStyle name="Normal 11 9 47" xfId="9474" xr:uid="{00000000-0005-0000-0000-0000CC210000}"/>
    <cellStyle name="Normal 11 9 48" xfId="9475" xr:uid="{00000000-0005-0000-0000-0000CD210000}"/>
    <cellStyle name="Normal 11 9 49" xfId="9476" xr:uid="{00000000-0005-0000-0000-0000CE210000}"/>
    <cellStyle name="Normal 11 9 5" xfId="9477" xr:uid="{00000000-0005-0000-0000-0000CF210000}"/>
    <cellStyle name="Normal 11 9 50" xfId="9478" xr:uid="{00000000-0005-0000-0000-0000D0210000}"/>
    <cellStyle name="Normal 11 9 51" xfId="9479" xr:uid="{00000000-0005-0000-0000-0000D1210000}"/>
    <cellStyle name="Normal 11 9 52" xfId="9480" xr:uid="{00000000-0005-0000-0000-0000D2210000}"/>
    <cellStyle name="Normal 11 9 6" xfId="9481" xr:uid="{00000000-0005-0000-0000-0000D3210000}"/>
    <cellStyle name="Normal 11 9 7" xfId="9482" xr:uid="{00000000-0005-0000-0000-0000D4210000}"/>
    <cellStyle name="Normal 11 9 8" xfId="9483" xr:uid="{00000000-0005-0000-0000-0000D5210000}"/>
    <cellStyle name="Normal 11 9 9" xfId="9484" xr:uid="{00000000-0005-0000-0000-0000D6210000}"/>
    <cellStyle name="Normal 11_IF - Autoprodutores 2" xfId="9485" xr:uid="{00000000-0005-0000-0000-0000D7210000}"/>
    <cellStyle name="Normal 110" xfId="9486" xr:uid="{00000000-0005-0000-0000-0000D8210000}"/>
    <cellStyle name="Normal 111" xfId="9487" xr:uid="{00000000-0005-0000-0000-0000D9210000}"/>
    <cellStyle name="Normal 112" xfId="9488" xr:uid="{00000000-0005-0000-0000-0000DA210000}"/>
    <cellStyle name="Normal 113" xfId="9489" xr:uid="{00000000-0005-0000-0000-0000DB210000}"/>
    <cellStyle name="Normal 114" xfId="9490" xr:uid="{00000000-0005-0000-0000-0000DC210000}"/>
    <cellStyle name="Normal 115" xfId="9491" xr:uid="{00000000-0005-0000-0000-0000DD210000}"/>
    <cellStyle name="Normal 116" xfId="9492" xr:uid="{00000000-0005-0000-0000-0000DE210000}"/>
    <cellStyle name="Normal 117" xfId="9493" xr:uid="{00000000-0005-0000-0000-0000DF210000}"/>
    <cellStyle name="Normal 118" xfId="9494" xr:uid="{00000000-0005-0000-0000-0000E0210000}"/>
    <cellStyle name="Normal 119" xfId="9495" xr:uid="{00000000-0005-0000-0000-0000E1210000}"/>
    <cellStyle name="Normal 12" xfId="1044" xr:uid="{00000000-0005-0000-0000-0000E2210000}"/>
    <cellStyle name="Normal 12 10" xfId="9496" xr:uid="{00000000-0005-0000-0000-0000E3210000}"/>
    <cellStyle name="Normal 12 10 2" xfId="9497" xr:uid="{00000000-0005-0000-0000-0000E4210000}"/>
    <cellStyle name="Normal 12 10 2 2" xfId="9498" xr:uid="{00000000-0005-0000-0000-0000E5210000}"/>
    <cellStyle name="Normal 12 10 2 3" xfId="9499" xr:uid="{00000000-0005-0000-0000-0000E6210000}"/>
    <cellStyle name="Normal 12 10 2 4" xfId="9500" xr:uid="{00000000-0005-0000-0000-0000E7210000}"/>
    <cellStyle name="Normal 12 10 3" xfId="9501" xr:uid="{00000000-0005-0000-0000-0000E8210000}"/>
    <cellStyle name="Normal 12 10 3 2" xfId="9502" xr:uid="{00000000-0005-0000-0000-0000E9210000}"/>
    <cellStyle name="Normal 12 10 3 3" xfId="9503" xr:uid="{00000000-0005-0000-0000-0000EA210000}"/>
    <cellStyle name="Normal 12 10 3 4" xfId="9504" xr:uid="{00000000-0005-0000-0000-0000EB210000}"/>
    <cellStyle name="Normal 12 10 4" xfId="9505" xr:uid="{00000000-0005-0000-0000-0000EC210000}"/>
    <cellStyle name="Normal 12 10 5" xfId="9506" xr:uid="{00000000-0005-0000-0000-0000ED210000}"/>
    <cellStyle name="Normal 12 10 6" xfId="9507" xr:uid="{00000000-0005-0000-0000-0000EE210000}"/>
    <cellStyle name="Normal 12 11" xfId="9508" xr:uid="{00000000-0005-0000-0000-0000EF210000}"/>
    <cellStyle name="Normal 12 11 2" xfId="9509" xr:uid="{00000000-0005-0000-0000-0000F0210000}"/>
    <cellStyle name="Normal 12 11 2 2" xfId="9510" xr:uid="{00000000-0005-0000-0000-0000F1210000}"/>
    <cellStyle name="Normal 12 11 2 3" xfId="9511" xr:uid="{00000000-0005-0000-0000-0000F2210000}"/>
    <cellStyle name="Normal 12 11 2 4" xfId="9512" xr:uid="{00000000-0005-0000-0000-0000F3210000}"/>
    <cellStyle name="Normal 12 11 3" xfId="9513" xr:uid="{00000000-0005-0000-0000-0000F4210000}"/>
    <cellStyle name="Normal 12 11 3 2" xfId="9514" xr:uid="{00000000-0005-0000-0000-0000F5210000}"/>
    <cellStyle name="Normal 12 11 3 3" xfId="9515" xr:uid="{00000000-0005-0000-0000-0000F6210000}"/>
    <cellStyle name="Normal 12 11 3 4" xfId="9516" xr:uid="{00000000-0005-0000-0000-0000F7210000}"/>
    <cellStyle name="Normal 12 11 4" xfId="9517" xr:uid="{00000000-0005-0000-0000-0000F8210000}"/>
    <cellStyle name="Normal 12 11 5" xfId="9518" xr:uid="{00000000-0005-0000-0000-0000F9210000}"/>
    <cellStyle name="Normal 12 11 6" xfId="9519" xr:uid="{00000000-0005-0000-0000-0000FA210000}"/>
    <cellStyle name="Normal 12 12" xfId="9520" xr:uid="{00000000-0005-0000-0000-0000FB210000}"/>
    <cellStyle name="Normal 12 12 2" xfId="9521" xr:uid="{00000000-0005-0000-0000-0000FC210000}"/>
    <cellStyle name="Normal 12 12 2 2" xfId="9522" xr:uid="{00000000-0005-0000-0000-0000FD210000}"/>
    <cellStyle name="Normal 12 12 2 3" xfId="9523" xr:uid="{00000000-0005-0000-0000-0000FE210000}"/>
    <cellStyle name="Normal 12 12 2 4" xfId="9524" xr:uid="{00000000-0005-0000-0000-0000FF210000}"/>
    <cellStyle name="Normal 12 12 3" xfId="9525" xr:uid="{00000000-0005-0000-0000-000000220000}"/>
    <cellStyle name="Normal 12 12 3 2" xfId="9526" xr:uid="{00000000-0005-0000-0000-000001220000}"/>
    <cellStyle name="Normal 12 12 3 3" xfId="9527" xr:uid="{00000000-0005-0000-0000-000002220000}"/>
    <cellStyle name="Normal 12 12 3 4" xfId="9528" xr:uid="{00000000-0005-0000-0000-000003220000}"/>
    <cellStyle name="Normal 12 12 4" xfId="9529" xr:uid="{00000000-0005-0000-0000-000004220000}"/>
    <cellStyle name="Normal 12 12 5" xfId="9530" xr:uid="{00000000-0005-0000-0000-000005220000}"/>
    <cellStyle name="Normal 12 12 6" xfId="9531" xr:uid="{00000000-0005-0000-0000-000006220000}"/>
    <cellStyle name="Normal 12 13" xfId="9532" xr:uid="{00000000-0005-0000-0000-000007220000}"/>
    <cellStyle name="Normal 12 13 2" xfId="9533" xr:uid="{00000000-0005-0000-0000-000008220000}"/>
    <cellStyle name="Normal 12 13 2 2" xfId="9534" xr:uid="{00000000-0005-0000-0000-000009220000}"/>
    <cellStyle name="Normal 12 13 2 3" xfId="9535" xr:uid="{00000000-0005-0000-0000-00000A220000}"/>
    <cellStyle name="Normal 12 13 2 4" xfId="9536" xr:uid="{00000000-0005-0000-0000-00000B220000}"/>
    <cellStyle name="Normal 12 13 3" xfId="9537" xr:uid="{00000000-0005-0000-0000-00000C220000}"/>
    <cellStyle name="Normal 12 13 3 2" xfId="9538" xr:uid="{00000000-0005-0000-0000-00000D220000}"/>
    <cellStyle name="Normal 12 13 3 3" xfId="9539" xr:uid="{00000000-0005-0000-0000-00000E220000}"/>
    <cellStyle name="Normal 12 13 3 4" xfId="9540" xr:uid="{00000000-0005-0000-0000-00000F220000}"/>
    <cellStyle name="Normal 12 13 4" xfId="9541" xr:uid="{00000000-0005-0000-0000-000010220000}"/>
    <cellStyle name="Normal 12 13 5" xfId="9542" xr:uid="{00000000-0005-0000-0000-000011220000}"/>
    <cellStyle name="Normal 12 13 6" xfId="9543" xr:uid="{00000000-0005-0000-0000-000012220000}"/>
    <cellStyle name="Normal 12 14" xfId="9544" xr:uid="{00000000-0005-0000-0000-000013220000}"/>
    <cellStyle name="Normal 12 14 2" xfId="9545" xr:uid="{00000000-0005-0000-0000-000014220000}"/>
    <cellStyle name="Normal 12 14 2 2" xfId="9546" xr:uid="{00000000-0005-0000-0000-000015220000}"/>
    <cellStyle name="Normal 12 14 2 3" xfId="9547" xr:uid="{00000000-0005-0000-0000-000016220000}"/>
    <cellStyle name="Normal 12 14 2 4" xfId="9548" xr:uid="{00000000-0005-0000-0000-000017220000}"/>
    <cellStyle name="Normal 12 14 3" xfId="9549" xr:uid="{00000000-0005-0000-0000-000018220000}"/>
    <cellStyle name="Normal 12 14 3 2" xfId="9550" xr:uid="{00000000-0005-0000-0000-000019220000}"/>
    <cellStyle name="Normal 12 14 3 3" xfId="9551" xr:uid="{00000000-0005-0000-0000-00001A220000}"/>
    <cellStyle name="Normal 12 14 3 4" xfId="9552" xr:uid="{00000000-0005-0000-0000-00001B220000}"/>
    <cellStyle name="Normal 12 14 4" xfId="9553" xr:uid="{00000000-0005-0000-0000-00001C220000}"/>
    <cellStyle name="Normal 12 14 5" xfId="9554" xr:uid="{00000000-0005-0000-0000-00001D220000}"/>
    <cellStyle name="Normal 12 14 6" xfId="9555" xr:uid="{00000000-0005-0000-0000-00001E220000}"/>
    <cellStyle name="Normal 12 15" xfId="9556" xr:uid="{00000000-0005-0000-0000-00001F220000}"/>
    <cellStyle name="Normal 12 15 2" xfId="9557" xr:uid="{00000000-0005-0000-0000-000020220000}"/>
    <cellStyle name="Normal 12 15 2 2" xfId="9558" xr:uid="{00000000-0005-0000-0000-000021220000}"/>
    <cellStyle name="Normal 12 15 2 3" xfId="9559" xr:uid="{00000000-0005-0000-0000-000022220000}"/>
    <cellStyle name="Normal 12 15 2 4" xfId="9560" xr:uid="{00000000-0005-0000-0000-000023220000}"/>
    <cellStyle name="Normal 12 15 3" xfId="9561" xr:uid="{00000000-0005-0000-0000-000024220000}"/>
    <cellStyle name="Normal 12 15 3 2" xfId="9562" xr:uid="{00000000-0005-0000-0000-000025220000}"/>
    <cellStyle name="Normal 12 15 3 3" xfId="9563" xr:uid="{00000000-0005-0000-0000-000026220000}"/>
    <cellStyle name="Normal 12 15 3 4" xfId="9564" xr:uid="{00000000-0005-0000-0000-000027220000}"/>
    <cellStyle name="Normal 12 15 4" xfId="9565" xr:uid="{00000000-0005-0000-0000-000028220000}"/>
    <cellStyle name="Normal 12 15 5" xfId="9566" xr:uid="{00000000-0005-0000-0000-000029220000}"/>
    <cellStyle name="Normal 12 15 6" xfId="9567" xr:uid="{00000000-0005-0000-0000-00002A220000}"/>
    <cellStyle name="Normal 12 16" xfId="9568" xr:uid="{00000000-0005-0000-0000-00002B220000}"/>
    <cellStyle name="Normal 12 16 2" xfId="9569" xr:uid="{00000000-0005-0000-0000-00002C220000}"/>
    <cellStyle name="Normal 12 16 2 2" xfId="9570" xr:uid="{00000000-0005-0000-0000-00002D220000}"/>
    <cellStyle name="Normal 12 16 2 3" xfId="9571" xr:uid="{00000000-0005-0000-0000-00002E220000}"/>
    <cellStyle name="Normal 12 16 2 4" xfId="9572" xr:uid="{00000000-0005-0000-0000-00002F220000}"/>
    <cellStyle name="Normal 12 16 3" xfId="9573" xr:uid="{00000000-0005-0000-0000-000030220000}"/>
    <cellStyle name="Normal 12 16 3 2" xfId="9574" xr:uid="{00000000-0005-0000-0000-000031220000}"/>
    <cellStyle name="Normal 12 16 3 3" xfId="9575" xr:uid="{00000000-0005-0000-0000-000032220000}"/>
    <cellStyle name="Normal 12 16 3 4" xfId="9576" xr:uid="{00000000-0005-0000-0000-000033220000}"/>
    <cellStyle name="Normal 12 16 4" xfId="9577" xr:uid="{00000000-0005-0000-0000-000034220000}"/>
    <cellStyle name="Normal 12 16 5" xfId="9578" xr:uid="{00000000-0005-0000-0000-000035220000}"/>
    <cellStyle name="Normal 12 16 6" xfId="9579" xr:uid="{00000000-0005-0000-0000-000036220000}"/>
    <cellStyle name="Normal 12 17" xfId="9580" xr:uid="{00000000-0005-0000-0000-000037220000}"/>
    <cellStyle name="Normal 12 17 2" xfId="9581" xr:uid="{00000000-0005-0000-0000-000038220000}"/>
    <cellStyle name="Normal 12 17 2 2" xfId="9582" xr:uid="{00000000-0005-0000-0000-000039220000}"/>
    <cellStyle name="Normal 12 17 2 3" xfId="9583" xr:uid="{00000000-0005-0000-0000-00003A220000}"/>
    <cellStyle name="Normal 12 17 2 4" xfId="9584" xr:uid="{00000000-0005-0000-0000-00003B220000}"/>
    <cellStyle name="Normal 12 17 3" xfId="9585" xr:uid="{00000000-0005-0000-0000-00003C220000}"/>
    <cellStyle name="Normal 12 17 3 2" xfId="9586" xr:uid="{00000000-0005-0000-0000-00003D220000}"/>
    <cellStyle name="Normal 12 17 3 3" xfId="9587" xr:uid="{00000000-0005-0000-0000-00003E220000}"/>
    <cellStyle name="Normal 12 17 3 4" xfId="9588" xr:uid="{00000000-0005-0000-0000-00003F220000}"/>
    <cellStyle name="Normal 12 17 4" xfId="9589" xr:uid="{00000000-0005-0000-0000-000040220000}"/>
    <cellStyle name="Normal 12 17 5" xfId="9590" xr:uid="{00000000-0005-0000-0000-000041220000}"/>
    <cellStyle name="Normal 12 17 6" xfId="9591" xr:uid="{00000000-0005-0000-0000-000042220000}"/>
    <cellStyle name="Normal 12 18" xfId="9592" xr:uid="{00000000-0005-0000-0000-000043220000}"/>
    <cellStyle name="Normal 12 18 2" xfId="9593" xr:uid="{00000000-0005-0000-0000-000044220000}"/>
    <cellStyle name="Normal 12 18 2 2" xfId="9594" xr:uid="{00000000-0005-0000-0000-000045220000}"/>
    <cellStyle name="Normal 12 18 2 3" xfId="9595" xr:uid="{00000000-0005-0000-0000-000046220000}"/>
    <cellStyle name="Normal 12 18 2 4" xfId="9596" xr:uid="{00000000-0005-0000-0000-000047220000}"/>
    <cellStyle name="Normal 12 18 3" xfId="9597" xr:uid="{00000000-0005-0000-0000-000048220000}"/>
    <cellStyle name="Normal 12 18 3 2" xfId="9598" xr:uid="{00000000-0005-0000-0000-000049220000}"/>
    <cellStyle name="Normal 12 18 3 3" xfId="9599" xr:uid="{00000000-0005-0000-0000-00004A220000}"/>
    <cellStyle name="Normal 12 18 3 4" xfId="9600" xr:uid="{00000000-0005-0000-0000-00004B220000}"/>
    <cellStyle name="Normal 12 18 4" xfId="9601" xr:uid="{00000000-0005-0000-0000-00004C220000}"/>
    <cellStyle name="Normal 12 18 5" xfId="9602" xr:uid="{00000000-0005-0000-0000-00004D220000}"/>
    <cellStyle name="Normal 12 18 6" xfId="9603" xr:uid="{00000000-0005-0000-0000-00004E220000}"/>
    <cellStyle name="Normal 12 19" xfId="9604" xr:uid="{00000000-0005-0000-0000-00004F220000}"/>
    <cellStyle name="Normal 12 19 2" xfId="9605" xr:uid="{00000000-0005-0000-0000-000050220000}"/>
    <cellStyle name="Normal 12 19 2 2" xfId="9606" xr:uid="{00000000-0005-0000-0000-000051220000}"/>
    <cellStyle name="Normal 12 19 2 3" xfId="9607" xr:uid="{00000000-0005-0000-0000-000052220000}"/>
    <cellStyle name="Normal 12 19 2 4" xfId="9608" xr:uid="{00000000-0005-0000-0000-000053220000}"/>
    <cellStyle name="Normal 12 19 3" xfId="9609" xr:uid="{00000000-0005-0000-0000-000054220000}"/>
    <cellStyle name="Normal 12 19 3 2" xfId="9610" xr:uid="{00000000-0005-0000-0000-000055220000}"/>
    <cellStyle name="Normal 12 19 3 3" xfId="9611" xr:uid="{00000000-0005-0000-0000-000056220000}"/>
    <cellStyle name="Normal 12 19 3 4" xfId="9612" xr:uid="{00000000-0005-0000-0000-000057220000}"/>
    <cellStyle name="Normal 12 19 4" xfId="9613" xr:uid="{00000000-0005-0000-0000-000058220000}"/>
    <cellStyle name="Normal 12 19 5" xfId="9614" xr:uid="{00000000-0005-0000-0000-000059220000}"/>
    <cellStyle name="Normal 12 19 6" xfId="9615" xr:uid="{00000000-0005-0000-0000-00005A220000}"/>
    <cellStyle name="Normal 12 2" xfId="1660" xr:uid="{00000000-0005-0000-0000-00005B220000}"/>
    <cellStyle name="Normal 12 2 10" xfId="9616" xr:uid="{00000000-0005-0000-0000-00005C220000}"/>
    <cellStyle name="Normal 12 2 10 2" xfId="9617" xr:uid="{00000000-0005-0000-0000-00005D220000}"/>
    <cellStyle name="Normal 12 2 10 2 2" xfId="9618" xr:uid="{00000000-0005-0000-0000-00005E220000}"/>
    <cellStyle name="Normal 12 2 10 2 3" xfId="9619" xr:uid="{00000000-0005-0000-0000-00005F220000}"/>
    <cellStyle name="Normal 12 2 10 2 4" xfId="9620" xr:uid="{00000000-0005-0000-0000-000060220000}"/>
    <cellStyle name="Normal 12 2 10 3" xfId="9621" xr:uid="{00000000-0005-0000-0000-000061220000}"/>
    <cellStyle name="Normal 12 2 10 3 2" xfId="9622" xr:uid="{00000000-0005-0000-0000-000062220000}"/>
    <cellStyle name="Normal 12 2 10 3 3" xfId="9623" xr:uid="{00000000-0005-0000-0000-000063220000}"/>
    <cellStyle name="Normal 12 2 10 3 4" xfId="9624" xr:uid="{00000000-0005-0000-0000-000064220000}"/>
    <cellStyle name="Normal 12 2 10 4" xfId="9625" xr:uid="{00000000-0005-0000-0000-000065220000}"/>
    <cellStyle name="Normal 12 2 10 5" xfId="9626" xr:uid="{00000000-0005-0000-0000-000066220000}"/>
    <cellStyle name="Normal 12 2 10 6" xfId="9627" xr:uid="{00000000-0005-0000-0000-000067220000}"/>
    <cellStyle name="Normal 12 2 11" xfId="9628" xr:uid="{00000000-0005-0000-0000-000068220000}"/>
    <cellStyle name="Normal 12 2 11 2" xfId="9629" xr:uid="{00000000-0005-0000-0000-000069220000}"/>
    <cellStyle name="Normal 12 2 11 2 2" xfId="9630" xr:uid="{00000000-0005-0000-0000-00006A220000}"/>
    <cellStyle name="Normal 12 2 11 2 3" xfId="9631" xr:uid="{00000000-0005-0000-0000-00006B220000}"/>
    <cellStyle name="Normal 12 2 11 2 4" xfId="9632" xr:uid="{00000000-0005-0000-0000-00006C220000}"/>
    <cellStyle name="Normal 12 2 11 3" xfId="9633" xr:uid="{00000000-0005-0000-0000-00006D220000}"/>
    <cellStyle name="Normal 12 2 11 3 2" xfId="9634" xr:uid="{00000000-0005-0000-0000-00006E220000}"/>
    <cellStyle name="Normal 12 2 11 3 3" xfId="9635" xr:uid="{00000000-0005-0000-0000-00006F220000}"/>
    <cellStyle name="Normal 12 2 11 3 4" xfId="9636" xr:uid="{00000000-0005-0000-0000-000070220000}"/>
    <cellStyle name="Normal 12 2 11 4" xfId="9637" xr:uid="{00000000-0005-0000-0000-000071220000}"/>
    <cellStyle name="Normal 12 2 11 5" xfId="9638" xr:uid="{00000000-0005-0000-0000-000072220000}"/>
    <cellStyle name="Normal 12 2 11 6" xfId="9639" xr:uid="{00000000-0005-0000-0000-000073220000}"/>
    <cellStyle name="Normal 12 2 12" xfId="9640" xr:uid="{00000000-0005-0000-0000-000074220000}"/>
    <cellStyle name="Normal 12 2 12 2" xfId="9641" xr:uid="{00000000-0005-0000-0000-000075220000}"/>
    <cellStyle name="Normal 12 2 12 2 2" xfId="9642" xr:uid="{00000000-0005-0000-0000-000076220000}"/>
    <cellStyle name="Normal 12 2 12 2 3" xfId="9643" xr:uid="{00000000-0005-0000-0000-000077220000}"/>
    <cellStyle name="Normal 12 2 12 2 4" xfId="9644" xr:uid="{00000000-0005-0000-0000-000078220000}"/>
    <cellStyle name="Normal 12 2 12 3" xfId="9645" xr:uid="{00000000-0005-0000-0000-000079220000}"/>
    <cellStyle name="Normal 12 2 12 3 2" xfId="9646" xr:uid="{00000000-0005-0000-0000-00007A220000}"/>
    <cellStyle name="Normal 12 2 12 3 3" xfId="9647" xr:uid="{00000000-0005-0000-0000-00007B220000}"/>
    <cellStyle name="Normal 12 2 12 3 4" xfId="9648" xr:uid="{00000000-0005-0000-0000-00007C220000}"/>
    <cellStyle name="Normal 12 2 12 4" xfId="9649" xr:uid="{00000000-0005-0000-0000-00007D220000}"/>
    <cellStyle name="Normal 12 2 12 5" xfId="9650" xr:uid="{00000000-0005-0000-0000-00007E220000}"/>
    <cellStyle name="Normal 12 2 12 6" xfId="9651" xr:uid="{00000000-0005-0000-0000-00007F220000}"/>
    <cellStyle name="Normal 12 2 13" xfId="9652" xr:uid="{00000000-0005-0000-0000-000080220000}"/>
    <cellStyle name="Normal 12 2 13 2" xfId="9653" xr:uid="{00000000-0005-0000-0000-000081220000}"/>
    <cellStyle name="Normal 12 2 13 2 2" xfId="9654" xr:uid="{00000000-0005-0000-0000-000082220000}"/>
    <cellStyle name="Normal 12 2 13 2 3" xfId="9655" xr:uid="{00000000-0005-0000-0000-000083220000}"/>
    <cellStyle name="Normal 12 2 13 2 4" xfId="9656" xr:uid="{00000000-0005-0000-0000-000084220000}"/>
    <cellStyle name="Normal 12 2 13 3" xfId="9657" xr:uid="{00000000-0005-0000-0000-000085220000}"/>
    <cellStyle name="Normal 12 2 13 3 2" xfId="9658" xr:uid="{00000000-0005-0000-0000-000086220000}"/>
    <cellStyle name="Normal 12 2 13 3 3" xfId="9659" xr:uid="{00000000-0005-0000-0000-000087220000}"/>
    <cellStyle name="Normal 12 2 13 3 4" xfId="9660" xr:uid="{00000000-0005-0000-0000-000088220000}"/>
    <cellStyle name="Normal 12 2 13 4" xfId="9661" xr:uid="{00000000-0005-0000-0000-000089220000}"/>
    <cellStyle name="Normal 12 2 13 5" xfId="9662" xr:uid="{00000000-0005-0000-0000-00008A220000}"/>
    <cellStyle name="Normal 12 2 13 6" xfId="9663" xr:uid="{00000000-0005-0000-0000-00008B220000}"/>
    <cellStyle name="Normal 12 2 14" xfId="9664" xr:uid="{00000000-0005-0000-0000-00008C220000}"/>
    <cellStyle name="Normal 12 2 14 2" xfId="9665" xr:uid="{00000000-0005-0000-0000-00008D220000}"/>
    <cellStyle name="Normal 12 2 14 2 2" xfId="9666" xr:uid="{00000000-0005-0000-0000-00008E220000}"/>
    <cellStyle name="Normal 12 2 14 2 3" xfId="9667" xr:uid="{00000000-0005-0000-0000-00008F220000}"/>
    <cellStyle name="Normal 12 2 14 2 4" xfId="9668" xr:uid="{00000000-0005-0000-0000-000090220000}"/>
    <cellStyle name="Normal 12 2 14 3" xfId="9669" xr:uid="{00000000-0005-0000-0000-000091220000}"/>
    <cellStyle name="Normal 12 2 14 3 2" xfId="9670" xr:uid="{00000000-0005-0000-0000-000092220000}"/>
    <cellStyle name="Normal 12 2 14 3 3" xfId="9671" xr:uid="{00000000-0005-0000-0000-000093220000}"/>
    <cellStyle name="Normal 12 2 14 3 4" xfId="9672" xr:uid="{00000000-0005-0000-0000-000094220000}"/>
    <cellStyle name="Normal 12 2 14 4" xfId="9673" xr:uid="{00000000-0005-0000-0000-000095220000}"/>
    <cellStyle name="Normal 12 2 14 5" xfId="9674" xr:uid="{00000000-0005-0000-0000-000096220000}"/>
    <cellStyle name="Normal 12 2 14 6" xfId="9675" xr:uid="{00000000-0005-0000-0000-000097220000}"/>
    <cellStyle name="Normal 12 2 15" xfId="9676" xr:uid="{00000000-0005-0000-0000-000098220000}"/>
    <cellStyle name="Normal 12 2 15 2" xfId="9677" xr:uid="{00000000-0005-0000-0000-000099220000}"/>
    <cellStyle name="Normal 12 2 15 2 2" xfId="9678" xr:uid="{00000000-0005-0000-0000-00009A220000}"/>
    <cellStyle name="Normal 12 2 15 2 3" xfId="9679" xr:uid="{00000000-0005-0000-0000-00009B220000}"/>
    <cellStyle name="Normal 12 2 15 2 4" xfId="9680" xr:uid="{00000000-0005-0000-0000-00009C220000}"/>
    <cellStyle name="Normal 12 2 15 3" xfId="9681" xr:uid="{00000000-0005-0000-0000-00009D220000}"/>
    <cellStyle name="Normal 12 2 15 3 2" xfId="9682" xr:uid="{00000000-0005-0000-0000-00009E220000}"/>
    <cellStyle name="Normal 12 2 15 3 3" xfId="9683" xr:uid="{00000000-0005-0000-0000-00009F220000}"/>
    <cellStyle name="Normal 12 2 15 3 4" xfId="9684" xr:uid="{00000000-0005-0000-0000-0000A0220000}"/>
    <cellStyle name="Normal 12 2 15 4" xfId="9685" xr:uid="{00000000-0005-0000-0000-0000A1220000}"/>
    <cellStyle name="Normal 12 2 15 5" xfId="9686" xr:uid="{00000000-0005-0000-0000-0000A2220000}"/>
    <cellStyle name="Normal 12 2 15 6" xfId="9687" xr:uid="{00000000-0005-0000-0000-0000A3220000}"/>
    <cellStyle name="Normal 12 2 16" xfId="9688" xr:uid="{00000000-0005-0000-0000-0000A4220000}"/>
    <cellStyle name="Normal 12 2 16 2" xfId="9689" xr:uid="{00000000-0005-0000-0000-0000A5220000}"/>
    <cellStyle name="Normal 12 2 16 2 2" xfId="9690" xr:uid="{00000000-0005-0000-0000-0000A6220000}"/>
    <cellStyle name="Normal 12 2 16 2 3" xfId="9691" xr:uid="{00000000-0005-0000-0000-0000A7220000}"/>
    <cellStyle name="Normal 12 2 16 2 4" xfId="9692" xr:uid="{00000000-0005-0000-0000-0000A8220000}"/>
    <cellStyle name="Normal 12 2 16 3" xfId="9693" xr:uid="{00000000-0005-0000-0000-0000A9220000}"/>
    <cellStyle name="Normal 12 2 16 3 2" xfId="9694" xr:uid="{00000000-0005-0000-0000-0000AA220000}"/>
    <cellStyle name="Normal 12 2 16 3 3" xfId="9695" xr:uid="{00000000-0005-0000-0000-0000AB220000}"/>
    <cellStyle name="Normal 12 2 16 3 4" xfId="9696" xr:uid="{00000000-0005-0000-0000-0000AC220000}"/>
    <cellStyle name="Normal 12 2 16 4" xfId="9697" xr:uid="{00000000-0005-0000-0000-0000AD220000}"/>
    <cellStyle name="Normal 12 2 16 5" xfId="9698" xr:uid="{00000000-0005-0000-0000-0000AE220000}"/>
    <cellStyle name="Normal 12 2 16 6" xfId="9699" xr:uid="{00000000-0005-0000-0000-0000AF220000}"/>
    <cellStyle name="Normal 12 2 17" xfId="9700" xr:uid="{00000000-0005-0000-0000-0000B0220000}"/>
    <cellStyle name="Normal 12 2 17 2" xfId="9701" xr:uid="{00000000-0005-0000-0000-0000B1220000}"/>
    <cellStyle name="Normal 12 2 17 2 2" xfId="9702" xr:uid="{00000000-0005-0000-0000-0000B2220000}"/>
    <cellStyle name="Normal 12 2 17 2 3" xfId="9703" xr:uid="{00000000-0005-0000-0000-0000B3220000}"/>
    <cellStyle name="Normal 12 2 17 2 4" xfId="9704" xr:uid="{00000000-0005-0000-0000-0000B4220000}"/>
    <cellStyle name="Normal 12 2 17 3" xfId="9705" xr:uid="{00000000-0005-0000-0000-0000B5220000}"/>
    <cellStyle name="Normal 12 2 17 3 2" xfId="9706" xr:uid="{00000000-0005-0000-0000-0000B6220000}"/>
    <cellStyle name="Normal 12 2 17 3 3" xfId="9707" xr:uid="{00000000-0005-0000-0000-0000B7220000}"/>
    <cellStyle name="Normal 12 2 17 3 4" xfId="9708" xr:uid="{00000000-0005-0000-0000-0000B8220000}"/>
    <cellStyle name="Normal 12 2 17 4" xfId="9709" xr:uid="{00000000-0005-0000-0000-0000B9220000}"/>
    <cellStyle name="Normal 12 2 17 5" xfId="9710" xr:uid="{00000000-0005-0000-0000-0000BA220000}"/>
    <cellStyle name="Normal 12 2 17 6" xfId="9711" xr:uid="{00000000-0005-0000-0000-0000BB220000}"/>
    <cellStyle name="Normal 12 2 18" xfId="9712" xr:uid="{00000000-0005-0000-0000-0000BC220000}"/>
    <cellStyle name="Normal 12 2 18 2" xfId="9713" xr:uid="{00000000-0005-0000-0000-0000BD220000}"/>
    <cellStyle name="Normal 12 2 18 3" xfId="9714" xr:uid="{00000000-0005-0000-0000-0000BE220000}"/>
    <cellStyle name="Normal 12 2 18 4" xfId="9715" xr:uid="{00000000-0005-0000-0000-0000BF220000}"/>
    <cellStyle name="Normal 12 2 19" xfId="9716" xr:uid="{00000000-0005-0000-0000-0000C0220000}"/>
    <cellStyle name="Normal 12 2 19 2" xfId="9717" xr:uid="{00000000-0005-0000-0000-0000C1220000}"/>
    <cellStyle name="Normal 12 2 19 3" xfId="9718" xr:uid="{00000000-0005-0000-0000-0000C2220000}"/>
    <cellStyle name="Normal 12 2 19 4" xfId="9719" xr:uid="{00000000-0005-0000-0000-0000C3220000}"/>
    <cellStyle name="Normal 12 2 2" xfId="9720" xr:uid="{00000000-0005-0000-0000-0000C4220000}"/>
    <cellStyle name="Normal 12 2 2 2" xfId="9721" xr:uid="{00000000-0005-0000-0000-0000C5220000}"/>
    <cellStyle name="Normal 12 2 2 2 2" xfId="9722" xr:uid="{00000000-0005-0000-0000-0000C6220000}"/>
    <cellStyle name="Normal 12 2 2 2 3" xfId="9723" xr:uid="{00000000-0005-0000-0000-0000C7220000}"/>
    <cellStyle name="Normal 12 2 2 2 4" xfId="9724" xr:uid="{00000000-0005-0000-0000-0000C8220000}"/>
    <cellStyle name="Normal 12 2 2 3" xfId="9725" xr:uid="{00000000-0005-0000-0000-0000C9220000}"/>
    <cellStyle name="Normal 12 2 2 3 2" xfId="9726" xr:uid="{00000000-0005-0000-0000-0000CA220000}"/>
    <cellStyle name="Normal 12 2 2 3 3" xfId="9727" xr:uid="{00000000-0005-0000-0000-0000CB220000}"/>
    <cellStyle name="Normal 12 2 2 3 4" xfId="9728" xr:uid="{00000000-0005-0000-0000-0000CC220000}"/>
    <cellStyle name="Normal 12 2 2 4" xfId="9729" xr:uid="{00000000-0005-0000-0000-0000CD220000}"/>
    <cellStyle name="Normal 12 2 2 5" xfId="9730" xr:uid="{00000000-0005-0000-0000-0000CE220000}"/>
    <cellStyle name="Normal 12 2 2 6" xfId="9731" xr:uid="{00000000-0005-0000-0000-0000CF220000}"/>
    <cellStyle name="Normal 12 2 20" xfId="9732" xr:uid="{00000000-0005-0000-0000-0000D0220000}"/>
    <cellStyle name="Normal 12 2 20 2" xfId="9733" xr:uid="{00000000-0005-0000-0000-0000D1220000}"/>
    <cellStyle name="Normal 12 2 20 3" xfId="9734" xr:uid="{00000000-0005-0000-0000-0000D2220000}"/>
    <cellStyle name="Normal 12 2 20 4" xfId="9735" xr:uid="{00000000-0005-0000-0000-0000D3220000}"/>
    <cellStyle name="Normal 12 2 21" xfId="9736" xr:uid="{00000000-0005-0000-0000-0000D4220000}"/>
    <cellStyle name="Normal 12 2 22" xfId="9737" xr:uid="{00000000-0005-0000-0000-0000D5220000}"/>
    <cellStyle name="Normal 12 2 23" xfId="9738" xr:uid="{00000000-0005-0000-0000-0000D6220000}"/>
    <cellStyle name="Normal 12 2 3" xfId="9739" xr:uid="{00000000-0005-0000-0000-0000D7220000}"/>
    <cellStyle name="Normal 12 2 3 2" xfId="9740" xr:uid="{00000000-0005-0000-0000-0000D8220000}"/>
    <cellStyle name="Normal 12 2 3 2 2" xfId="9741" xr:uid="{00000000-0005-0000-0000-0000D9220000}"/>
    <cellStyle name="Normal 12 2 3 2 3" xfId="9742" xr:uid="{00000000-0005-0000-0000-0000DA220000}"/>
    <cellStyle name="Normal 12 2 3 2 4" xfId="9743" xr:uid="{00000000-0005-0000-0000-0000DB220000}"/>
    <cellStyle name="Normal 12 2 3 3" xfId="9744" xr:uid="{00000000-0005-0000-0000-0000DC220000}"/>
    <cellStyle name="Normal 12 2 3 3 2" xfId="9745" xr:uid="{00000000-0005-0000-0000-0000DD220000}"/>
    <cellStyle name="Normal 12 2 3 3 3" xfId="9746" xr:uid="{00000000-0005-0000-0000-0000DE220000}"/>
    <cellStyle name="Normal 12 2 3 3 4" xfId="9747" xr:uid="{00000000-0005-0000-0000-0000DF220000}"/>
    <cellStyle name="Normal 12 2 3 4" xfId="9748" xr:uid="{00000000-0005-0000-0000-0000E0220000}"/>
    <cellStyle name="Normal 12 2 3 5" xfId="9749" xr:uid="{00000000-0005-0000-0000-0000E1220000}"/>
    <cellStyle name="Normal 12 2 3 6" xfId="9750" xr:uid="{00000000-0005-0000-0000-0000E2220000}"/>
    <cellStyle name="Normal 12 2 4" xfId="9751" xr:uid="{00000000-0005-0000-0000-0000E3220000}"/>
    <cellStyle name="Normal 12 2 4 2" xfId="9752" xr:uid="{00000000-0005-0000-0000-0000E4220000}"/>
    <cellStyle name="Normal 12 2 4 2 2" xfId="9753" xr:uid="{00000000-0005-0000-0000-0000E5220000}"/>
    <cellStyle name="Normal 12 2 4 2 3" xfId="9754" xr:uid="{00000000-0005-0000-0000-0000E6220000}"/>
    <cellStyle name="Normal 12 2 4 2 4" xfId="9755" xr:uid="{00000000-0005-0000-0000-0000E7220000}"/>
    <cellStyle name="Normal 12 2 4 3" xfId="9756" xr:uid="{00000000-0005-0000-0000-0000E8220000}"/>
    <cellStyle name="Normal 12 2 4 3 2" xfId="9757" xr:uid="{00000000-0005-0000-0000-0000E9220000}"/>
    <cellStyle name="Normal 12 2 4 3 3" xfId="9758" xr:uid="{00000000-0005-0000-0000-0000EA220000}"/>
    <cellStyle name="Normal 12 2 4 3 4" xfId="9759" xr:uid="{00000000-0005-0000-0000-0000EB220000}"/>
    <cellStyle name="Normal 12 2 4 4" xfId="9760" xr:uid="{00000000-0005-0000-0000-0000EC220000}"/>
    <cellStyle name="Normal 12 2 4 5" xfId="9761" xr:uid="{00000000-0005-0000-0000-0000ED220000}"/>
    <cellStyle name="Normal 12 2 4 6" xfId="9762" xr:uid="{00000000-0005-0000-0000-0000EE220000}"/>
    <cellStyle name="Normal 12 2 5" xfId="9763" xr:uid="{00000000-0005-0000-0000-0000EF220000}"/>
    <cellStyle name="Normal 12 2 5 2" xfId="9764" xr:uid="{00000000-0005-0000-0000-0000F0220000}"/>
    <cellStyle name="Normal 12 2 5 2 2" xfId="9765" xr:uid="{00000000-0005-0000-0000-0000F1220000}"/>
    <cellStyle name="Normal 12 2 5 2 3" xfId="9766" xr:uid="{00000000-0005-0000-0000-0000F2220000}"/>
    <cellStyle name="Normal 12 2 5 2 4" xfId="9767" xr:uid="{00000000-0005-0000-0000-0000F3220000}"/>
    <cellStyle name="Normal 12 2 5 3" xfId="9768" xr:uid="{00000000-0005-0000-0000-0000F4220000}"/>
    <cellStyle name="Normal 12 2 5 3 2" xfId="9769" xr:uid="{00000000-0005-0000-0000-0000F5220000}"/>
    <cellStyle name="Normal 12 2 5 3 3" xfId="9770" xr:uid="{00000000-0005-0000-0000-0000F6220000}"/>
    <cellStyle name="Normal 12 2 5 3 4" xfId="9771" xr:uid="{00000000-0005-0000-0000-0000F7220000}"/>
    <cellStyle name="Normal 12 2 5 4" xfId="9772" xr:uid="{00000000-0005-0000-0000-0000F8220000}"/>
    <cellStyle name="Normal 12 2 5 5" xfId="9773" xr:uid="{00000000-0005-0000-0000-0000F9220000}"/>
    <cellStyle name="Normal 12 2 5 6" xfId="9774" xr:uid="{00000000-0005-0000-0000-0000FA220000}"/>
    <cellStyle name="Normal 12 2 6" xfId="9775" xr:uid="{00000000-0005-0000-0000-0000FB220000}"/>
    <cellStyle name="Normal 12 2 6 2" xfId="9776" xr:uid="{00000000-0005-0000-0000-0000FC220000}"/>
    <cellStyle name="Normal 12 2 6 2 2" xfId="9777" xr:uid="{00000000-0005-0000-0000-0000FD220000}"/>
    <cellStyle name="Normal 12 2 6 2 3" xfId="9778" xr:uid="{00000000-0005-0000-0000-0000FE220000}"/>
    <cellStyle name="Normal 12 2 6 2 4" xfId="9779" xr:uid="{00000000-0005-0000-0000-0000FF220000}"/>
    <cellStyle name="Normal 12 2 6 3" xfId="9780" xr:uid="{00000000-0005-0000-0000-000000230000}"/>
    <cellStyle name="Normal 12 2 6 3 2" xfId="9781" xr:uid="{00000000-0005-0000-0000-000001230000}"/>
    <cellStyle name="Normal 12 2 6 3 3" xfId="9782" xr:uid="{00000000-0005-0000-0000-000002230000}"/>
    <cellStyle name="Normal 12 2 6 3 4" xfId="9783" xr:uid="{00000000-0005-0000-0000-000003230000}"/>
    <cellStyle name="Normal 12 2 6 4" xfId="9784" xr:uid="{00000000-0005-0000-0000-000004230000}"/>
    <cellStyle name="Normal 12 2 6 5" xfId="9785" xr:uid="{00000000-0005-0000-0000-000005230000}"/>
    <cellStyle name="Normal 12 2 6 6" xfId="9786" xr:uid="{00000000-0005-0000-0000-000006230000}"/>
    <cellStyle name="Normal 12 2 7" xfId="9787" xr:uid="{00000000-0005-0000-0000-000007230000}"/>
    <cellStyle name="Normal 12 2 7 2" xfId="9788" xr:uid="{00000000-0005-0000-0000-000008230000}"/>
    <cellStyle name="Normal 12 2 7 2 2" xfId="9789" xr:uid="{00000000-0005-0000-0000-000009230000}"/>
    <cellStyle name="Normal 12 2 7 2 3" xfId="9790" xr:uid="{00000000-0005-0000-0000-00000A230000}"/>
    <cellStyle name="Normal 12 2 7 2 4" xfId="9791" xr:uid="{00000000-0005-0000-0000-00000B230000}"/>
    <cellStyle name="Normal 12 2 7 3" xfId="9792" xr:uid="{00000000-0005-0000-0000-00000C230000}"/>
    <cellStyle name="Normal 12 2 7 3 2" xfId="9793" xr:uid="{00000000-0005-0000-0000-00000D230000}"/>
    <cellStyle name="Normal 12 2 7 3 3" xfId="9794" xr:uid="{00000000-0005-0000-0000-00000E230000}"/>
    <cellStyle name="Normal 12 2 7 3 4" xfId="9795" xr:uid="{00000000-0005-0000-0000-00000F230000}"/>
    <cellStyle name="Normal 12 2 7 4" xfId="9796" xr:uid="{00000000-0005-0000-0000-000010230000}"/>
    <cellStyle name="Normal 12 2 7 5" xfId="9797" xr:uid="{00000000-0005-0000-0000-000011230000}"/>
    <cellStyle name="Normal 12 2 7 6" xfId="9798" xr:uid="{00000000-0005-0000-0000-000012230000}"/>
    <cellStyle name="Normal 12 2 8" xfId="9799" xr:uid="{00000000-0005-0000-0000-000013230000}"/>
    <cellStyle name="Normal 12 2 8 2" xfId="9800" xr:uid="{00000000-0005-0000-0000-000014230000}"/>
    <cellStyle name="Normal 12 2 8 2 2" xfId="9801" xr:uid="{00000000-0005-0000-0000-000015230000}"/>
    <cellStyle name="Normal 12 2 8 2 3" xfId="9802" xr:uid="{00000000-0005-0000-0000-000016230000}"/>
    <cellStyle name="Normal 12 2 8 2 4" xfId="9803" xr:uid="{00000000-0005-0000-0000-000017230000}"/>
    <cellStyle name="Normal 12 2 8 3" xfId="9804" xr:uid="{00000000-0005-0000-0000-000018230000}"/>
    <cellStyle name="Normal 12 2 8 3 2" xfId="9805" xr:uid="{00000000-0005-0000-0000-000019230000}"/>
    <cellStyle name="Normal 12 2 8 3 3" xfId="9806" xr:uid="{00000000-0005-0000-0000-00001A230000}"/>
    <cellStyle name="Normal 12 2 8 3 4" xfId="9807" xr:uid="{00000000-0005-0000-0000-00001B230000}"/>
    <cellStyle name="Normal 12 2 8 4" xfId="9808" xr:uid="{00000000-0005-0000-0000-00001C230000}"/>
    <cellStyle name="Normal 12 2 8 5" xfId="9809" xr:uid="{00000000-0005-0000-0000-00001D230000}"/>
    <cellStyle name="Normal 12 2 8 6" xfId="9810" xr:uid="{00000000-0005-0000-0000-00001E230000}"/>
    <cellStyle name="Normal 12 2 9" xfId="9811" xr:uid="{00000000-0005-0000-0000-00001F230000}"/>
    <cellStyle name="Normal 12 2 9 2" xfId="9812" xr:uid="{00000000-0005-0000-0000-000020230000}"/>
    <cellStyle name="Normal 12 2 9 2 2" xfId="9813" xr:uid="{00000000-0005-0000-0000-000021230000}"/>
    <cellStyle name="Normal 12 2 9 2 3" xfId="9814" xr:uid="{00000000-0005-0000-0000-000022230000}"/>
    <cellStyle name="Normal 12 2 9 2 4" xfId="9815" xr:uid="{00000000-0005-0000-0000-000023230000}"/>
    <cellStyle name="Normal 12 2 9 3" xfId="9816" xr:uid="{00000000-0005-0000-0000-000024230000}"/>
    <cellStyle name="Normal 12 2 9 3 2" xfId="9817" xr:uid="{00000000-0005-0000-0000-000025230000}"/>
    <cellStyle name="Normal 12 2 9 3 3" xfId="9818" xr:uid="{00000000-0005-0000-0000-000026230000}"/>
    <cellStyle name="Normal 12 2 9 3 4" xfId="9819" xr:uid="{00000000-0005-0000-0000-000027230000}"/>
    <cellStyle name="Normal 12 2 9 4" xfId="9820" xr:uid="{00000000-0005-0000-0000-000028230000}"/>
    <cellStyle name="Normal 12 2 9 5" xfId="9821" xr:uid="{00000000-0005-0000-0000-000029230000}"/>
    <cellStyle name="Normal 12 2 9 6" xfId="9822" xr:uid="{00000000-0005-0000-0000-00002A230000}"/>
    <cellStyle name="Normal 12 20" xfId="9823" xr:uid="{00000000-0005-0000-0000-00002B230000}"/>
    <cellStyle name="Normal 12 20 2" xfId="9824" xr:uid="{00000000-0005-0000-0000-00002C230000}"/>
    <cellStyle name="Normal 12 20 3" xfId="9825" xr:uid="{00000000-0005-0000-0000-00002D230000}"/>
    <cellStyle name="Normal 12 20 4" xfId="9826" xr:uid="{00000000-0005-0000-0000-00002E230000}"/>
    <cellStyle name="Normal 12 21" xfId="9827" xr:uid="{00000000-0005-0000-0000-00002F230000}"/>
    <cellStyle name="Normal 12 21 2" xfId="9828" xr:uid="{00000000-0005-0000-0000-000030230000}"/>
    <cellStyle name="Normal 12 21 3" xfId="9829" xr:uid="{00000000-0005-0000-0000-000031230000}"/>
    <cellStyle name="Normal 12 21 4" xfId="9830" xr:uid="{00000000-0005-0000-0000-000032230000}"/>
    <cellStyle name="Normal 12 22" xfId="9831" xr:uid="{00000000-0005-0000-0000-000033230000}"/>
    <cellStyle name="Normal 12 22 2" xfId="9832" xr:uid="{00000000-0005-0000-0000-000034230000}"/>
    <cellStyle name="Normal 12 22 3" xfId="9833" xr:uid="{00000000-0005-0000-0000-000035230000}"/>
    <cellStyle name="Normal 12 22 4" xfId="9834" xr:uid="{00000000-0005-0000-0000-000036230000}"/>
    <cellStyle name="Normal 12 23" xfId="9835" xr:uid="{00000000-0005-0000-0000-000037230000}"/>
    <cellStyle name="Normal 12 24" xfId="9836" xr:uid="{00000000-0005-0000-0000-000038230000}"/>
    <cellStyle name="Normal 12 25" xfId="9837" xr:uid="{00000000-0005-0000-0000-000039230000}"/>
    <cellStyle name="Normal 12 26" xfId="9838" xr:uid="{00000000-0005-0000-0000-00003A230000}"/>
    <cellStyle name="Normal 12 27" xfId="9839" xr:uid="{00000000-0005-0000-0000-00003B230000}"/>
    <cellStyle name="Normal 12 28" xfId="9840" xr:uid="{00000000-0005-0000-0000-00003C230000}"/>
    <cellStyle name="Normal 12 29" xfId="9841" xr:uid="{00000000-0005-0000-0000-00003D230000}"/>
    <cellStyle name="Normal 12 3" xfId="9842" xr:uid="{00000000-0005-0000-0000-00003E230000}"/>
    <cellStyle name="Normal 12 3 10" xfId="9843" xr:uid="{00000000-0005-0000-0000-00003F230000}"/>
    <cellStyle name="Normal 12 3 10 2" xfId="9844" xr:uid="{00000000-0005-0000-0000-000040230000}"/>
    <cellStyle name="Normal 12 3 10 2 2" xfId="9845" xr:uid="{00000000-0005-0000-0000-000041230000}"/>
    <cellStyle name="Normal 12 3 10 2 3" xfId="9846" xr:uid="{00000000-0005-0000-0000-000042230000}"/>
    <cellStyle name="Normal 12 3 10 2 4" xfId="9847" xr:uid="{00000000-0005-0000-0000-000043230000}"/>
    <cellStyle name="Normal 12 3 10 3" xfId="9848" xr:uid="{00000000-0005-0000-0000-000044230000}"/>
    <cellStyle name="Normal 12 3 10 3 2" xfId="9849" xr:uid="{00000000-0005-0000-0000-000045230000}"/>
    <cellStyle name="Normal 12 3 10 3 3" xfId="9850" xr:uid="{00000000-0005-0000-0000-000046230000}"/>
    <cellStyle name="Normal 12 3 10 3 4" xfId="9851" xr:uid="{00000000-0005-0000-0000-000047230000}"/>
    <cellStyle name="Normal 12 3 10 4" xfId="9852" xr:uid="{00000000-0005-0000-0000-000048230000}"/>
    <cellStyle name="Normal 12 3 10 5" xfId="9853" xr:uid="{00000000-0005-0000-0000-000049230000}"/>
    <cellStyle name="Normal 12 3 10 6" xfId="9854" xr:uid="{00000000-0005-0000-0000-00004A230000}"/>
    <cellStyle name="Normal 12 3 11" xfId="9855" xr:uid="{00000000-0005-0000-0000-00004B230000}"/>
    <cellStyle name="Normal 12 3 11 2" xfId="9856" xr:uid="{00000000-0005-0000-0000-00004C230000}"/>
    <cellStyle name="Normal 12 3 11 2 2" xfId="9857" xr:uid="{00000000-0005-0000-0000-00004D230000}"/>
    <cellStyle name="Normal 12 3 11 2 3" xfId="9858" xr:uid="{00000000-0005-0000-0000-00004E230000}"/>
    <cellStyle name="Normal 12 3 11 2 4" xfId="9859" xr:uid="{00000000-0005-0000-0000-00004F230000}"/>
    <cellStyle name="Normal 12 3 11 3" xfId="9860" xr:uid="{00000000-0005-0000-0000-000050230000}"/>
    <cellStyle name="Normal 12 3 11 3 2" xfId="9861" xr:uid="{00000000-0005-0000-0000-000051230000}"/>
    <cellStyle name="Normal 12 3 11 3 3" xfId="9862" xr:uid="{00000000-0005-0000-0000-000052230000}"/>
    <cellStyle name="Normal 12 3 11 3 4" xfId="9863" xr:uid="{00000000-0005-0000-0000-000053230000}"/>
    <cellStyle name="Normal 12 3 11 4" xfId="9864" xr:uid="{00000000-0005-0000-0000-000054230000}"/>
    <cellStyle name="Normal 12 3 11 5" xfId="9865" xr:uid="{00000000-0005-0000-0000-000055230000}"/>
    <cellStyle name="Normal 12 3 11 6" xfId="9866" xr:uid="{00000000-0005-0000-0000-000056230000}"/>
    <cellStyle name="Normal 12 3 12" xfId="9867" xr:uid="{00000000-0005-0000-0000-000057230000}"/>
    <cellStyle name="Normal 12 3 12 2" xfId="9868" xr:uid="{00000000-0005-0000-0000-000058230000}"/>
    <cellStyle name="Normal 12 3 12 2 2" xfId="9869" xr:uid="{00000000-0005-0000-0000-000059230000}"/>
    <cellStyle name="Normal 12 3 12 2 3" xfId="9870" xr:uid="{00000000-0005-0000-0000-00005A230000}"/>
    <cellStyle name="Normal 12 3 12 2 4" xfId="9871" xr:uid="{00000000-0005-0000-0000-00005B230000}"/>
    <cellStyle name="Normal 12 3 12 3" xfId="9872" xr:uid="{00000000-0005-0000-0000-00005C230000}"/>
    <cellStyle name="Normal 12 3 12 3 2" xfId="9873" xr:uid="{00000000-0005-0000-0000-00005D230000}"/>
    <cellStyle name="Normal 12 3 12 3 3" xfId="9874" xr:uid="{00000000-0005-0000-0000-00005E230000}"/>
    <cellStyle name="Normal 12 3 12 3 4" xfId="9875" xr:uid="{00000000-0005-0000-0000-00005F230000}"/>
    <cellStyle name="Normal 12 3 12 4" xfId="9876" xr:uid="{00000000-0005-0000-0000-000060230000}"/>
    <cellStyle name="Normal 12 3 12 5" xfId="9877" xr:uid="{00000000-0005-0000-0000-000061230000}"/>
    <cellStyle name="Normal 12 3 12 6" xfId="9878" xr:uid="{00000000-0005-0000-0000-000062230000}"/>
    <cellStyle name="Normal 12 3 13" xfId="9879" xr:uid="{00000000-0005-0000-0000-000063230000}"/>
    <cellStyle name="Normal 12 3 13 2" xfId="9880" xr:uid="{00000000-0005-0000-0000-000064230000}"/>
    <cellStyle name="Normal 12 3 13 2 2" xfId="9881" xr:uid="{00000000-0005-0000-0000-000065230000}"/>
    <cellStyle name="Normal 12 3 13 2 3" xfId="9882" xr:uid="{00000000-0005-0000-0000-000066230000}"/>
    <cellStyle name="Normal 12 3 13 2 4" xfId="9883" xr:uid="{00000000-0005-0000-0000-000067230000}"/>
    <cellStyle name="Normal 12 3 13 3" xfId="9884" xr:uid="{00000000-0005-0000-0000-000068230000}"/>
    <cellStyle name="Normal 12 3 13 3 2" xfId="9885" xr:uid="{00000000-0005-0000-0000-000069230000}"/>
    <cellStyle name="Normal 12 3 13 3 3" xfId="9886" xr:uid="{00000000-0005-0000-0000-00006A230000}"/>
    <cellStyle name="Normal 12 3 13 3 4" xfId="9887" xr:uid="{00000000-0005-0000-0000-00006B230000}"/>
    <cellStyle name="Normal 12 3 13 4" xfId="9888" xr:uid="{00000000-0005-0000-0000-00006C230000}"/>
    <cellStyle name="Normal 12 3 13 5" xfId="9889" xr:uid="{00000000-0005-0000-0000-00006D230000}"/>
    <cellStyle name="Normal 12 3 13 6" xfId="9890" xr:uid="{00000000-0005-0000-0000-00006E230000}"/>
    <cellStyle name="Normal 12 3 14" xfId="9891" xr:uid="{00000000-0005-0000-0000-00006F230000}"/>
    <cellStyle name="Normal 12 3 14 2" xfId="9892" xr:uid="{00000000-0005-0000-0000-000070230000}"/>
    <cellStyle name="Normal 12 3 14 2 2" xfId="9893" xr:uid="{00000000-0005-0000-0000-000071230000}"/>
    <cellStyle name="Normal 12 3 14 2 3" xfId="9894" xr:uid="{00000000-0005-0000-0000-000072230000}"/>
    <cellStyle name="Normal 12 3 14 2 4" xfId="9895" xr:uid="{00000000-0005-0000-0000-000073230000}"/>
    <cellStyle name="Normal 12 3 14 3" xfId="9896" xr:uid="{00000000-0005-0000-0000-000074230000}"/>
    <cellStyle name="Normal 12 3 14 3 2" xfId="9897" xr:uid="{00000000-0005-0000-0000-000075230000}"/>
    <cellStyle name="Normal 12 3 14 3 3" xfId="9898" xr:uid="{00000000-0005-0000-0000-000076230000}"/>
    <cellStyle name="Normal 12 3 14 3 4" xfId="9899" xr:uid="{00000000-0005-0000-0000-000077230000}"/>
    <cellStyle name="Normal 12 3 14 4" xfId="9900" xr:uid="{00000000-0005-0000-0000-000078230000}"/>
    <cellStyle name="Normal 12 3 14 5" xfId="9901" xr:uid="{00000000-0005-0000-0000-000079230000}"/>
    <cellStyle name="Normal 12 3 14 6" xfId="9902" xr:uid="{00000000-0005-0000-0000-00007A230000}"/>
    <cellStyle name="Normal 12 3 15" xfId="9903" xr:uid="{00000000-0005-0000-0000-00007B230000}"/>
    <cellStyle name="Normal 12 3 15 2" xfId="9904" xr:uid="{00000000-0005-0000-0000-00007C230000}"/>
    <cellStyle name="Normal 12 3 15 2 2" xfId="9905" xr:uid="{00000000-0005-0000-0000-00007D230000}"/>
    <cellStyle name="Normal 12 3 15 2 3" xfId="9906" xr:uid="{00000000-0005-0000-0000-00007E230000}"/>
    <cellStyle name="Normal 12 3 15 2 4" xfId="9907" xr:uid="{00000000-0005-0000-0000-00007F230000}"/>
    <cellStyle name="Normal 12 3 15 3" xfId="9908" xr:uid="{00000000-0005-0000-0000-000080230000}"/>
    <cellStyle name="Normal 12 3 15 3 2" xfId="9909" xr:uid="{00000000-0005-0000-0000-000081230000}"/>
    <cellStyle name="Normal 12 3 15 3 3" xfId="9910" xr:uid="{00000000-0005-0000-0000-000082230000}"/>
    <cellStyle name="Normal 12 3 15 3 4" xfId="9911" xr:uid="{00000000-0005-0000-0000-000083230000}"/>
    <cellStyle name="Normal 12 3 15 4" xfId="9912" xr:uid="{00000000-0005-0000-0000-000084230000}"/>
    <cellStyle name="Normal 12 3 15 5" xfId="9913" xr:uid="{00000000-0005-0000-0000-000085230000}"/>
    <cellStyle name="Normal 12 3 15 6" xfId="9914" xr:uid="{00000000-0005-0000-0000-000086230000}"/>
    <cellStyle name="Normal 12 3 16" xfId="9915" xr:uid="{00000000-0005-0000-0000-000087230000}"/>
    <cellStyle name="Normal 12 3 16 2" xfId="9916" xr:uid="{00000000-0005-0000-0000-000088230000}"/>
    <cellStyle name="Normal 12 3 16 2 2" xfId="9917" xr:uid="{00000000-0005-0000-0000-000089230000}"/>
    <cellStyle name="Normal 12 3 16 2 3" xfId="9918" xr:uid="{00000000-0005-0000-0000-00008A230000}"/>
    <cellStyle name="Normal 12 3 16 2 4" xfId="9919" xr:uid="{00000000-0005-0000-0000-00008B230000}"/>
    <cellStyle name="Normal 12 3 16 3" xfId="9920" xr:uid="{00000000-0005-0000-0000-00008C230000}"/>
    <cellStyle name="Normal 12 3 16 3 2" xfId="9921" xr:uid="{00000000-0005-0000-0000-00008D230000}"/>
    <cellStyle name="Normal 12 3 16 3 3" xfId="9922" xr:uid="{00000000-0005-0000-0000-00008E230000}"/>
    <cellStyle name="Normal 12 3 16 3 4" xfId="9923" xr:uid="{00000000-0005-0000-0000-00008F230000}"/>
    <cellStyle name="Normal 12 3 16 4" xfId="9924" xr:uid="{00000000-0005-0000-0000-000090230000}"/>
    <cellStyle name="Normal 12 3 16 5" xfId="9925" xr:uid="{00000000-0005-0000-0000-000091230000}"/>
    <cellStyle name="Normal 12 3 16 6" xfId="9926" xr:uid="{00000000-0005-0000-0000-000092230000}"/>
    <cellStyle name="Normal 12 3 17" xfId="9927" xr:uid="{00000000-0005-0000-0000-000093230000}"/>
    <cellStyle name="Normal 12 3 17 2" xfId="9928" xr:uid="{00000000-0005-0000-0000-000094230000}"/>
    <cellStyle name="Normal 12 3 17 2 2" xfId="9929" xr:uid="{00000000-0005-0000-0000-000095230000}"/>
    <cellStyle name="Normal 12 3 17 2 3" xfId="9930" xr:uid="{00000000-0005-0000-0000-000096230000}"/>
    <cellStyle name="Normal 12 3 17 2 4" xfId="9931" xr:uid="{00000000-0005-0000-0000-000097230000}"/>
    <cellStyle name="Normal 12 3 17 3" xfId="9932" xr:uid="{00000000-0005-0000-0000-000098230000}"/>
    <cellStyle name="Normal 12 3 17 3 2" xfId="9933" xr:uid="{00000000-0005-0000-0000-000099230000}"/>
    <cellStyle name="Normal 12 3 17 3 3" xfId="9934" xr:uid="{00000000-0005-0000-0000-00009A230000}"/>
    <cellStyle name="Normal 12 3 17 3 4" xfId="9935" xr:uid="{00000000-0005-0000-0000-00009B230000}"/>
    <cellStyle name="Normal 12 3 17 4" xfId="9936" xr:uid="{00000000-0005-0000-0000-00009C230000}"/>
    <cellStyle name="Normal 12 3 17 5" xfId="9937" xr:uid="{00000000-0005-0000-0000-00009D230000}"/>
    <cellStyle name="Normal 12 3 17 6" xfId="9938" xr:uid="{00000000-0005-0000-0000-00009E230000}"/>
    <cellStyle name="Normal 12 3 18" xfId="9939" xr:uid="{00000000-0005-0000-0000-00009F230000}"/>
    <cellStyle name="Normal 12 3 18 2" xfId="9940" xr:uid="{00000000-0005-0000-0000-0000A0230000}"/>
    <cellStyle name="Normal 12 3 18 3" xfId="9941" xr:uid="{00000000-0005-0000-0000-0000A1230000}"/>
    <cellStyle name="Normal 12 3 18 4" xfId="9942" xr:uid="{00000000-0005-0000-0000-0000A2230000}"/>
    <cellStyle name="Normal 12 3 19" xfId="9943" xr:uid="{00000000-0005-0000-0000-0000A3230000}"/>
    <cellStyle name="Normal 12 3 19 2" xfId="9944" xr:uid="{00000000-0005-0000-0000-0000A4230000}"/>
    <cellStyle name="Normal 12 3 19 3" xfId="9945" xr:uid="{00000000-0005-0000-0000-0000A5230000}"/>
    <cellStyle name="Normal 12 3 19 4" xfId="9946" xr:uid="{00000000-0005-0000-0000-0000A6230000}"/>
    <cellStyle name="Normal 12 3 2" xfId="9947" xr:uid="{00000000-0005-0000-0000-0000A7230000}"/>
    <cellStyle name="Normal 12 3 2 2" xfId="9948" xr:uid="{00000000-0005-0000-0000-0000A8230000}"/>
    <cellStyle name="Normal 12 3 2 2 2" xfId="9949" xr:uid="{00000000-0005-0000-0000-0000A9230000}"/>
    <cellStyle name="Normal 12 3 2 2 3" xfId="9950" xr:uid="{00000000-0005-0000-0000-0000AA230000}"/>
    <cellStyle name="Normal 12 3 2 2 4" xfId="9951" xr:uid="{00000000-0005-0000-0000-0000AB230000}"/>
    <cellStyle name="Normal 12 3 2 3" xfId="9952" xr:uid="{00000000-0005-0000-0000-0000AC230000}"/>
    <cellStyle name="Normal 12 3 2 3 2" xfId="9953" xr:uid="{00000000-0005-0000-0000-0000AD230000}"/>
    <cellStyle name="Normal 12 3 2 3 3" xfId="9954" xr:uid="{00000000-0005-0000-0000-0000AE230000}"/>
    <cellStyle name="Normal 12 3 2 3 4" xfId="9955" xr:uid="{00000000-0005-0000-0000-0000AF230000}"/>
    <cellStyle name="Normal 12 3 2 4" xfId="9956" xr:uid="{00000000-0005-0000-0000-0000B0230000}"/>
    <cellStyle name="Normal 12 3 2 5" xfId="9957" xr:uid="{00000000-0005-0000-0000-0000B1230000}"/>
    <cellStyle name="Normal 12 3 2 6" xfId="9958" xr:uid="{00000000-0005-0000-0000-0000B2230000}"/>
    <cellStyle name="Normal 12 3 20" xfId="9959" xr:uid="{00000000-0005-0000-0000-0000B3230000}"/>
    <cellStyle name="Normal 12 3 20 2" xfId="9960" xr:uid="{00000000-0005-0000-0000-0000B4230000}"/>
    <cellStyle name="Normal 12 3 20 3" xfId="9961" xr:uid="{00000000-0005-0000-0000-0000B5230000}"/>
    <cellStyle name="Normal 12 3 20 4" xfId="9962" xr:uid="{00000000-0005-0000-0000-0000B6230000}"/>
    <cellStyle name="Normal 12 3 21" xfId="9963" xr:uid="{00000000-0005-0000-0000-0000B7230000}"/>
    <cellStyle name="Normal 12 3 22" xfId="9964" xr:uid="{00000000-0005-0000-0000-0000B8230000}"/>
    <cellStyle name="Normal 12 3 23" xfId="9965" xr:uid="{00000000-0005-0000-0000-0000B9230000}"/>
    <cellStyle name="Normal 12 3 3" xfId="9966" xr:uid="{00000000-0005-0000-0000-0000BA230000}"/>
    <cellStyle name="Normal 12 3 3 2" xfId="9967" xr:uid="{00000000-0005-0000-0000-0000BB230000}"/>
    <cellStyle name="Normal 12 3 3 2 2" xfId="9968" xr:uid="{00000000-0005-0000-0000-0000BC230000}"/>
    <cellStyle name="Normal 12 3 3 2 3" xfId="9969" xr:uid="{00000000-0005-0000-0000-0000BD230000}"/>
    <cellStyle name="Normal 12 3 3 2 4" xfId="9970" xr:uid="{00000000-0005-0000-0000-0000BE230000}"/>
    <cellStyle name="Normal 12 3 3 3" xfId="9971" xr:uid="{00000000-0005-0000-0000-0000BF230000}"/>
    <cellStyle name="Normal 12 3 3 3 2" xfId="9972" xr:uid="{00000000-0005-0000-0000-0000C0230000}"/>
    <cellStyle name="Normal 12 3 3 3 3" xfId="9973" xr:uid="{00000000-0005-0000-0000-0000C1230000}"/>
    <cellStyle name="Normal 12 3 3 3 4" xfId="9974" xr:uid="{00000000-0005-0000-0000-0000C2230000}"/>
    <cellStyle name="Normal 12 3 3 4" xfId="9975" xr:uid="{00000000-0005-0000-0000-0000C3230000}"/>
    <cellStyle name="Normal 12 3 3 5" xfId="9976" xr:uid="{00000000-0005-0000-0000-0000C4230000}"/>
    <cellStyle name="Normal 12 3 3 6" xfId="9977" xr:uid="{00000000-0005-0000-0000-0000C5230000}"/>
    <cellStyle name="Normal 12 3 4" xfId="9978" xr:uid="{00000000-0005-0000-0000-0000C6230000}"/>
    <cellStyle name="Normal 12 3 4 2" xfId="9979" xr:uid="{00000000-0005-0000-0000-0000C7230000}"/>
    <cellStyle name="Normal 12 3 4 2 2" xfId="9980" xr:uid="{00000000-0005-0000-0000-0000C8230000}"/>
    <cellStyle name="Normal 12 3 4 2 3" xfId="9981" xr:uid="{00000000-0005-0000-0000-0000C9230000}"/>
    <cellStyle name="Normal 12 3 4 2 4" xfId="9982" xr:uid="{00000000-0005-0000-0000-0000CA230000}"/>
    <cellStyle name="Normal 12 3 4 3" xfId="9983" xr:uid="{00000000-0005-0000-0000-0000CB230000}"/>
    <cellStyle name="Normal 12 3 4 3 2" xfId="9984" xr:uid="{00000000-0005-0000-0000-0000CC230000}"/>
    <cellStyle name="Normal 12 3 4 3 3" xfId="9985" xr:uid="{00000000-0005-0000-0000-0000CD230000}"/>
    <cellStyle name="Normal 12 3 4 3 4" xfId="9986" xr:uid="{00000000-0005-0000-0000-0000CE230000}"/>
    <cellStyle name="Normal 12 3 4 4" xfId="9987" xr:uid="{00000000-0005-0000-0000-0000CF230000}"/>
    <cellStyle name="Normal 12 3 4 5" xfId="9988" xr:uid="{00000000-0005-0000-0000-0000D0230000}"/>
    <cellStyle name="Normal 12 3 4 6" xfId="9989" xr:uid="{00000000-0005-0000-0000-0000D1230000}"/>
    <cellStyle name="Normal 12 3 5" xfId="9990" xr:uid="{00000000-0005-0000-0000-0000D2230000}"/>
    <cellStyle name="Normal 12 3 5 2" xfId="9991" xr:uid="{00000000-0005-0000-0000-0000D3230000}"/>
    <cellStyle name="Normal 12 3 5 2 2" xfId="9992" xr:uid="{00000000-0005-0000-0000-0000D4230000}"/>
    <cellStyle name="Normal 12 3 5 2 3" xfId="9993" xr:uid="{00000000-0005-0000-0000-0000D5230000}"/>
    <cellStyle name="Normal 12 3 5 2 4" xfId="9994" xr:uid="{00000000-0005-0000-0000-0000D6230000}"/>
    <cellStyle name="Normal 12 3 5 3" xfId="9995" xr:uid="{00000000-0005-0000-0000-0000D7230000}"/>
    <cellStyle name="Normal 12 3 5 3 2" xfId="9996" xr:uid="{00000000-0005-0000-0000-0000D8230000}"/>
    <cellStyle name="Normal 12 3 5 3 3" xfId="9997" xr:uid="{00000000-0005-0000-0000-0000D9230000}"/>
    <cellStyle name="Normal 12 3 5 3 4" xfId="9998" xr:uid="{00000000-0005-0000-0000-0000DA230000}"/>
    <cellStyle name="Normal 12 3 5 4" xfId="9999" xr:uid="{00000000-0005-0000-0000-0000DB230000}"/>
    <cellStyle name="Normal 12 3 5 5" xfId="10000" xr:uid="{00000000-0005-0000-0000-0000DC230000}"/>
    <cellStyle name="Normal 12 3 5 6" xfId="10001" xr:uid="{00000000-0005-0000-0000-0000DD230000}"/>
    <cellStyle name="Normal 12 3 6" xfId="10002" xr:uid="{00000000-0005-0000-0000-0000DE230000}"/>
    <cellStyle name="Normal 12 3 6 2" xfId="10003" xr:uid="{00000000-0005-0000-0000-0000DF230000}"/>
    <cellStyle name="Normal 12 3 6 2 2" xfId="10004" xr:uid="{00000000-0005-0000-0000-0000E0230000}"/>
    <cellStyle name="Normal 12 3 6 2 3" xfId="10005" xr:uid="{00000000-0005-0000-0000-0000E1230000}"/>
    <cellStyle name="Normal 12 3 6 2 4" xfId="10006" xr:uid="{00000000-0005-0000-0000-0000E2230000}"/>
    <cellStyle name="Normal 12 3 6 3" xfId="10007" xr:uid="{00000000-0005-0000-0000-0000E3230000}"/>
    <cellStyle name="Normal 12 3 6 3 2" xfId="10008" xr:uid="{00000000-0005-0000-0000-0000E4230000}"/>
    <cellStyle name="Normal 12 3 6 3 3" xfId="10009" xr:uid="{00000000-0005-0000-0000-0000E5230000}"/>
    <cellStyle name="Normal 12 3 6 3 4" xfId="10010" xr:uid="{00000000-0005-0000-0000-0000E6230000}"/>
    <cellStyle name="Normal 12 3 6 4" xfId="10011" xr:uid="{00000000-0005-0000-0000-0000E7230000}"/>
    <cellStyle name="Normal 12 3 6 5" xfId="10012" xr:uid="{00000000-0005-0000-0000-0000E8230000}"/>
    <cellStyle name="Normal 12 3 6 6" xfId="10013" xr:uid="{00000000-0005-0000-0000-0000E9230000}"/>
    <cellStyle name="Normal 12 3 7" xfId="10014" xr:uid="{00000000-0005-0000-0000-0000EA230000}"/>
    <cellStyle name="Normal 12 3 7 2" xfId="10015" xr:uid="{00000000-0005-0000-0000-0000EB230000}"/>
    <cellStyle name="Normal 12 3 7 2 2" xfId="10016" xr:uid="{00000000-0005-0000-0000-0000EC230000}"/>
    <cellStyle name="Normal 12 3 7 2 3" xfId="10017" xr:uid="{00000000-0005-0000-0000-0000ED230000}"/>
    <cellStyle name="Normal 12 3 7 2 4" xfId="10018" xr:uid="{00000000-0005-0000-0000-0000EE230000}"/>
    <cellStyle name="Normal 12 3 7 3" xfId="10019" xr:uid="{00000000-0005-0000-0000-0000EF230000}"/>
    <cellStyle name="Normal 12 3 7 3 2" xfId="10020" xr:uid="{00000000-0005-0000-0000-0000F0230000}"/>
    <cellStyle name="Normal 12 3 7 3 3" xfId="10021" xr:uid="{00000000-0005-0000-0000-0000F1230000}"/>
    <cellStyle name="Normal 12 3 7 3 4" xfId="10022" xr:uid="{00000000-0005-0000-0000-0000F2230000}"/>
    <cellStyle name="Normal 12 3 7 4" xfId="10023" xr:uid="{00000000-0005-0000-0000-0000F3230000}"/>
    <cellStyle name="Normal 12 3 7 5" xfId="10024" xr:uid="{00000000-0005-0000-0000-0000F4230000}"/>
    <cellStyle name="Normal 12 3 7 6" xfId="10025" xr:uid="{00000000-0005-0000-0000-0000F5230000}"/>
    <cellStyle name="Normal 12 3 8" xfId="10026" xr:uid="{00000000-0005-0000-0000-0000F6230000}"/>
    <cellStyle name="Normal 12 3 8 2" xfId="10027" xr:uid="{00000000-0005-0000-0000-0000F7230000}"/>
    <cellStyle name="Normal 12 3 8 2 2" xfId="10028" xr:uid="{00000000-0005-0000-0000-0000F8230000}"/>
    <cellStyle name="Normal 12 3 8 2 3" xfId="10029" xr:uid="{00000000-0005-0000-0000-0000F9230000}"/>
    <cellStyle name="Normal 12 3 8 2 4" xfId="10030" xr:uid="{00000000-0005-0000-0000-0000FA230000}"/>
    <cellStyle name="Normal 12 3 8 3" xfId="10031" xr:uid="{00000000-0005-0000-0000-0000FB230000}"/>
    <cellStyle name="Normal 12 3 8 3 2" xfId="10032" xr:uid="{00000000-0005-0000-0000-0000FC230000}"/>
    <cellStyle name="Normal 12 3 8 3 3" xfId="10033" xr:uid="{00000000-0005-0000-0000-0000FD230000}"/>
    <cellStyle name="Normal 12 3 8 3 4" xfId="10034" xr:uid="{00000000-0005-0000-0000-0000FE230000}"/>
    <cellStyle name="Normal 12 3 8 4" xfId="10035" xr:uid="{00000000-0005-0000-0000-0000FF230000}"/>
    <cellStyle name="Normal 12 3 8 5" xfId="10036" xr:uid="{00000000-0005-0000-0000-000000240000}"/>
    <cellStyle name="Normal 12 3 8 6" xfId="10037" xr:uid="{00000000-0005-0000-0000-000001240000}"/>
    <cellStyle name="Normal 12 3 9" xfId="10038" xr:uid="{00000000-0005-0000-0000-000002240000}"/>
    <cellStyle name="Normal 12 3 9 2" xfId="10039" xr:uid="{00000000-0005-0000-0000-000003240000}"/>
    <cellStyle name="Normal 12 3 9 2 2" xfId="10040" xr:uid="{00000000-0005-0000-0000-000004240000}"/>
    <cellStyle name="Normal 12 3 9 2 3" xfId="10041" xr:uid="{00000000-0005-0000-0000-000005240000}"/>
    <cellStyle name="Normal 12 3 9 2 4" xfId="10042" xr:uid="{00000000-0005-0000-0000-000006240000}"/>
    <cellStyle name="Normal 12 3 9 3" xfId="10043" xr:uid="{00000000-0005-0000-0000-000007240000}"/>
    <cellStyle name="Normal 12 3 9 3 2" xfId="10044" xr:uid="{00000000-0005-0000-0000-000008240000}"/>
    <cellStyle name="Normal 12 3 9 3 3" xfId="10045" xr:uid="{00000000-0005-0000-0000-000009240000}"/>
    <cellStyle name="Normal 12 3 9 3 4" xfId="10046" xr:uid="{00000000-0005-0000-0000-00000A240000}"/>
    <cellStyle name="Normal 12 3 9 4" xfId="10047" xr:uid="{00000000-0005-0000-0000-00000B240000}"/>
    <cellStyle name="Normal 12 3 9 5" xfId="10048" xr:uid="{00000000-0005-0000-0000-00000C240000}"/>
    <cellStyle name="Normal 12 3 9 6" xfId="10049" xr:uid="{00000000-0005-0000-0000-00000D240000}"/>
    <cellStyle name="Normal 12 30" xfId="10050" xr:uid="{00000000-0005-0000-0000-00000E240000}"/>
    <cellStyle name="Normal 12 31" xfId="10051" xr:uid="{00000000-0005-0000-0000-00000F240000}"/>
    <cellStyle name="Normal 12 32" xfId="10052" xr:uid="{00000000-0005-0000-0000-000010240000}"/>
    <cellStyle name="Normal 12 33" xfId="10053" xr:uid="{00000000-0005-0000-0000-000011240000}"/>
    <cellStyle name="Normal 12 34" xfId="10054" xr:uid="{00000000-0005-0000-0000-000012240000}"/>
    <cellStyle name="Normal 12 35" xfId="10055" xr:uid="{00000000-0005-0000-0000-000013240000}"/>
    <cellStyle name="Normal 12 36" xfId="10056" xr:uid="{00000000-0005-0000-0000-000014240000}"/>
    <cellStyle name="Normal 12 37" xfId="10057" xr:uid="{00000000-0005-0000-0000-000015240000}"/>
    <cellStyle name="Normal 12 38" xfId="10058" xr:uid="{00000000-0005-0000-0000-000016240000}"/>
    <cellStyle name="Normal 12 39" xfId="10059" xr:uid="{00000000-0005-0000-0000-000017240000}"/>
    <cellStyle name="Normal 12 4" xfId="10060" xr:uid="{00000000-0005-0000-0000-000018240000}"/>
    <cellStyle name="Normal 12 4 2" xfId="10061" xr:uid="{00000000-0005-0000-0000-000019240000}"/>
    <cellStyle name="Normal 12 4 2 2" xfId="10062" xr:uid="{00000000-0005-0000-0000-00001A240000}"/>
    <cellStyle name="Normal 12 4 2 3" xfId="10063" xr:uid="{00000000-0005-0000-0000-00001B240000}"/>
    <cellStyle name="Normal 12 4 2 4" xfId="10064" xr:uid="{00000000-0005-0000-0000-00001C240000}"/>
    <cellStyle name="Normal 12 4 3" xfId="10065" xr:uid="{00000000-0005-0000-0000-00001D240000}"/>
    <cellStyle name="Normal 12 4 3 2" xfId="10066" xr:uid="{00000000-0005-0000-0000-00001E240000}"/>
    <cellStyle name="Normal 12 4 3 3" xfId="10067" xr:uid="{00000000-0005-0000-0000-00001F240000}"/>
    <cellStyle name="Normal 12 4 3 4" xfId="10068" xr:uid="{00000000-0005-0000-0000-000020240000}"/>
    <cellStyle name="Normal 12 4 4" xfId="10069" xr:uid="{00000000-0005-0000-0000-000021240000}"/>
    <cellStyle name="Normal 12 4 5" xfId="10070" xr:uid="{00000000-0005-0000-0000-000022240000}"/>
    <cellStyle name="Normal 12 4 6" xfId="10071" xr:uid="{00000000-0005-0000-0000-000023240000}"/>
    <cellStyle name="Normal 12 40" xfId="10072" xr:uid="{00000000-0005-0000-0000-000024240000}"/>
    <cellStyle name="Normal 12 41" xfId="10073" xr:uid="{00000000-0005-0000-0000-000025240000}"/>
    <cellStyle name="Normal 12 42" xfId="10074" xr:uid="{00000000-0005-0000-0000-000026240000}"/>
    <cellStyle name="Normal 12 43" xfId="10075" xr:uid="{00000000-0005-0000-0000-000027240000}"/>
    <cellStyle name="Normal 12 44" xfId="10076" xr:uid="{00000000-0005-0000-0000-000028240000}"/>
    <cellStyle name="Normal 12 45" xfId="10077" xr:uid="{00000000-0005-0000-0000-000029240000}"/>
    <cellStyle name="Normal 12 46" xfId="10078" xr:uid="{00000000-0005-0000-0000-00002A240000}"/>
    <cellStyle name="Normal 12 47" xfId="10079" xr:uid="{00000000-0005-0000-0000-00002B240000}"/>
    <cellStyle name="Normal 12 5" xfId="10080" xr:uid="{00000000-0005-0000-0000-00002C240000}"/>
    <cellStyle name="Normal 12 5 2" xfId="10081" xr:uid="{00000000-0005-0000-0000-00002D240000}"/>
    <cellStyle name="Normal 12 5 2 2" xfId="10082" xr:uid="{00000000-0005-0000-0000-00002E240000}"/>
    <cellStyle name="Normal 12 5 2 3" xfId="10083" xr:uid="{00000000-0005-0000-0000-00002F240000}"/>
    <cellStyle name="Normal 12 5 2 4" xfId="10084" xr:uid="{00000000-0005-0000-0000-000030240000}"/>
    <cellStyle name="Normal 12 5 3" xfId="10085" xr:uid="{00000000-0005-0000-0000-000031240000}"/>
    <cellStyle name="Normal 12 5 3 2" xfId="10086" xr:uid="{00000000-0005-0000-0000-000032240000}"/>
    <cellStyle name="Normal 12 5 3 3" xfId="10087" xr:uid="{00000000-0005-0000-0000-000033240000}"/>
    <cellStyle name="Normal 12 5 3 4" xfId="10088" xr:uid="{00000000-0005-0000-0000-000034240000}"/>
    <cellStyle name="Normal 12 5 4" xfId="10089" xr:uid="{00000000-0005-0000-0000-000035240000}"/>
    <cellStyle name="Normal 12 5 5" xfId="10090" xr:uid="{00000000-0005-0000-0000-000036240000}"/>
    <cellStyle name="Normal 12 5 6" xfId="10091" xr:uid="{00000000-0005-0000-0000-000037240000}"/>
    <cellStyle name="Normal 12 6" xfId="10092" xr:uid="{00000000-0005-0000-0000-000038240000}"/>
    <cellStyle name="Normal 12 6 2" xfId="10093" xr:uid="{00000000-0005-0000-0000-000039240000}"/>
    <cellStyle name="Normal 12 6 2 2" xfId="10094" xr:uid="{00000000-0005-0000-0000-00003A240000}"/>
    <cellStyle name="Normal 12 6 2 3" xfId="10095" xr:uid="{00000000-0005-0000-0000-00003B240000}"/>
    <cellStyle name="Normal 12 6 2 4" xfId="10096" xr:uid="{00000000-0005-0000-0000-00003C240000}"/>
    <cellStyle name="Normal 12 6 3" xfId="10097" xr:uid="{00000000-0005-0000-0000-00003D240000}"/>
    <cellStyle name="Normal 12 6 3 2" xfId="10098" xr:uid="{00000000-0005-0000-0000-00003E240000}"/>
    <cellStyle name="Normal 12 6 3 3" xfId="10099" xr:uid="{00000000-0005-0000-0000-00003F240000}"/>
    <cellStyle name="Normal 12 6 3 4" xfId="10100" xr:uid="{00000000-0005-0000-0000-000040240000}"/>
    <cellStyle name="Normal 12 6 4" xfId="10101" xr:uid="{00000000-0005-0000-0000-000041240000}"/>
    <cellStyle name="Normal 12 6 5" xfId="10102" xr:uid="{00000000-0005-0000-0000-000042240000}"/>
    <cellStyle name="Normal 12 6 6" xfId="10103" xr:uid="{00000000-0005-0000-0000-000043240000}"/>
    <cellStyle name="Normal 12 7" xfId="10104" xr:uid="{00000000-0005-0000-0000-000044240000}"/>
    <cellStyle name="Normal 12 7 2" xfId="10105" xr:uid="{00000000-0005-0000-0000-000045240000}"/>
    <cellStyle name="Normal 12 7 2 2" xfId="10106" xr:uid="{00000000-0005-0000-0000-000046240000}"/>
    <cellStyle name="Normal 12 7 2 3" xfId="10107" xr:uid="{00000000-0005-0000-0000-000047240000}"/>
    <cellStyle name="Normal 12 7 2 4" xfId="10108" xr:uid="{00000000-0005-0000-0000-000048240000}"/>
    <cellStyle name="Normal 12 7 3" xfId="10109" xr:uid="{00000000-0005-0000-0000-000049240000}"/>
    <cellStyle name="Normal 12 7 3 2" xfId="10110" xr:uid="{00000000-0005-0000-0000-00004A240000}"/>
    <cellStyle name="Normal 12 7 3 3" xfId="10111" xr:uid="{00000000-0005-0000-0000-00004B240000}"/>
    <cellStyle name="Normal 12 7 3 4" xfId="10112" xr:uid="{00000000-0005-0000-0000-00004C240000}"/>
    <cellStyle name="Normal 12 7 4" xfId="10113" xr:uid="{00000000-0005-0000-0000-00004D240000}"/>
    <cellStyle name="Normal 12 7 5" xfId="10114" xr:uid="{00000000-0005-0000-0000-00004E240000}"/>
    <cellStyle name="Normal 12 7 6" xfId="10115" xr:uid="{00000000-0005-0000-0000-00004F240000}"/>
    <cellStyle name="Normal 12 8" xfId="10116" xr:uid="{00000000-0005-0000-0000-000050240000}"/>
    <cellStyle name="Normal 12 8 2" xfId="10117" xr:uid="{00000000-0005-0000-0000-000051240000}"/>
    <cellStyle name="Normal 12 8 2 2" xfId="10118" xr:uid="{00000000-0005-0000-0000-000052240000}"/>
    <cellStyle name="Normal 12 8 2 3" xfId="10119" xr:uid="{00000000-0005-0000-0000-000053240000}"/>
    <cellStyle name="Normal 12 8 2 4" xfId="10120" xr:uid="{00000000-0005-0000-0000-000054240000}"/>
    <cellStyle name="Normal 12 8 3" xfId="10121" xr:uid="{00000000-0005-0000-0000-000055240000}"/>
    <cellStyle name="Normal 12 8 3 2" xfId="10122" xr:uid="{00000000-0005-0000-0000-000056240000}"/>
    <cellStyle name="Normal 12 8 3 3" xfId="10123" xr:uid="{00000000-0005-0000-0000-000057240000}"/>
    <cellStyle name="Normal 12 8 3 4" xfId="10124" xr:uid="{00000000-0005-0000-0000-000058240000}"/>
    <cellStyle name="Normal 12 8 4" xfId="10125" xr:uid="{00000000-0005-0000-0000-000059240000}"/>
    <cellStyle name="Normal 12 8 5" xfId="10126" xr:uid="{00000000-0005-0000-0000-00005A240000}"/>
    <cellStyle name="Normal 12 8 6" xfId="10127" xr:uid="{00000000-0005-0000-0000-00005B240000}"/>
    <cellStyle name="Normal 12 9" xfId="10128" xr:uid="{00000000-0005-0000-0000-00005C240000}"/>
    <cellStyle name="Normal 12 9 2" xfId="10129" xr:uid="{00000000-0005-0000-0000-00005D240000}"/>
    <cellStyle name="Normal 12 9 2 2" xfId="10130" xr:uid="{00000000-0005-0000-0000-00005E240000}"/>
    <cellStyle name="Normal 12 9 2 3" xfId="10131" xr:uid="{00000000-0005-0000-0000-00005F240000}"/>
    <cellStyle name="Normal 12 9 2 4" xfId="10132" xr:uid="{00000000-0005-0000-0000-000060240000}"/>
    <cellStyle name="Normal 12 9 3" xfId="10133" xr:uid="{00000000-0005-0000-0000-000061240000}"/>
    <cellStyle name="Normal 12 9 3 2" xfId="10134" xr:uid="{00000000-0005-0000-0000-000062240000}"/>
    <cellStyle name="Normal 12 9 3 3" xfId="10135" xr:uid="{00000000-0005-0000-0000-000063240000}"/>
    <cellStyle name="Normal 12 9 3 4" xfId="10136" xr:uid="{00000000-0005-0000-0000-000064240000}"/>
    <cellStyle name="Normal 12 9 4" xfId="10137" xr:uid="{00000000-0005-0000-0000-000065240000}"/>
    <cellStyle name="Normal 12 9 5" xfId="10138" xr:uid="{00000000-0005-0000-0000-000066240000}"/>
    <cellStyle name="Normal 12 9 6" xfId="10139" xr:uid="{00000000-0005-0000-0000-000067240000}"/>
    <cellStyle name="Normal 120" xfId="10140" xr:uid="{00000000-0005-0000-0000-000068240000}"/>
    <cellStyle name="Normal 121" xfId="10141" xr:uid="{00000000-0005-0000-0000-000069240000}"/>
    <cellStyle name="Normal 122" xfId="10142" xr:uid="{00000000-0005-0000-0000-00006A240000}"/>
    <cellStyle name="Normal 123" xfId="10143" xr:uid="{00000000-0005-0000-0000-00006B240000}"/>
    <cellStyle name="Normal 124" xfId="10144" xr:uid="{00000000-0005-0000-0000-00006C240000}"/>
    <cellStyle name="Normal 125" xfId="10145" xr:uid="{00000000-0005-0000-0000-00006D240000}"/>
    <cellStyle name="Normal 126" xfId="10146" xr:uid="{00000000-0005-0000-0000-00006E240000}"/>
    <cellStyle name="Normal 127" xfId="10147" xr:uid="{00000000-0005-0000-0000-00006F240000}"/>
    <cellStyle name="Normal 128" xfId="10148" xr:uid="{00000000-0005-0000-0000-000070240000}"/>
    <cellStyle name="Normal 129" xfId="10149" xr:uid="{00000000-0005-0000-0000-000071240000}"/>
    <cellStyle name="Normal 13" xfId="1045" xr:uid="{00000000-0005-0000-0000-000072240000}"/>
    <cellStyle name="Normal 13 10" xfId="10150" xr:uid="{00000000-0005-0000-0000-000073240000}"/>
    <cellStyle name="Normal 13 11" xfId="10151" xr:uid="{00000000-0005-0000-0000-000074240000}"/>
    <cellStyle name="Normal 13 12" xfId="10152" xr:uid="{00000000-0005-0000-0000-000075240000}"/>
    <cellStyle name="Normal 13 13" xfId="10153" xr:uid="{00000000-0005-0000-0000-000076240000}"/>
    <cellStyle name="Normal 13 14" xfId="10154" xr:uid="{00000000-0005-0000-0000-000077240000}"/>
    <cellStyle name="Normal 13 15" xfId="10155" xr:uid="{00000000-0005-0000-0000-000078240000}"/>
    <cellStyle name="Normal 13 16" xfId="10156" xr:uid="{00000000-0005-0000-0000-000079240000}"/>
    <cellStyle name="Normal 13 17" xfId="10157" xr:uid="{00000000-0005-0000-0000-00007A240000}"/>
    <cellStyle name="Normal 13 18" xfId="10158" xr:uid="{00000000-0005-0000-0000-00007B240000}"/>
    <cellStyle name="Normal 13 19" xfId="10159" xr:uid="{00000000-0005-0000-0000-00007C240000}"/>
    <cellStyle name="Normal 13 2" xfId="2511" xr:uid="{00000000-0005-0000-0000-00007D240000}"/>
    <cellStyle name="Normal 13 2 2" xfId="10160" xr:uid="{00000000-0005-0000-0000-00007E240000}"/>
    <cellStyle name="Normal 13 20" xfId="10161" xr:uid="{00000000-0005-0000-0000-00007F240000}"/>
    <cellStyle name="Normal 13 21" xfId="10162" xr:uid="{00000000-0005-0000-0000-000080240000}"/>
    <cellStyle name="Normal 13 22" xfId="10163" xr:uid="{00000000-0005-0000-0000-000081240000}"/>
    <cellStyle name="Normal 13 23" xfId="10164" xr:uid="{00000000-0005-0000-0000-000082240000}"/>
    <cellStyle name="Normal 13 24" xfId="10165" xr:uid="{00000000-0005-0000-0000-000083240000}"/>
    <cellStyle name="Normal 13 25" xfId="10166" xr:uid="{00000000-0005-0000-0000-000084240000}"/>
    <cellStyle name="Normal 13 26" xfId="10167" xr:uid="{00000000-0005-0000-0000-000085240000}"/>
    <cellStyle name="Normal 13 27" xfId="10168" xr:uid="{00000000-0005-0000-0000-000086240000}"/>
    <cellStyle name="Normal 13 28" xfId="10169" xr:uid="{00000000-0005-0000-0000-000087240000}"/>
    <cellStyle name="Normal 13 29" xfId="10170" xr:uid="{00000000-0005-0000-0000-000088240000}"/>
    <cellStyle name="Normal 13 3" xfId="10171" xr:uid="{00000000-0005-0000-0000-000089240000}"/>
    <cellStyle name="Normal 13 3 2" xfId="10172" xr:uid="{00000000-0005-0000-0000-00008A240000}"/>
    <cellStyle name="Normal 13 30" xfId="10173" xr:uid="{00000000-0005-0000-0000-00008B240000}"/>
    <cellStyle name="Normal 13 31" xfId="10174" xr:uid="{00000000-0005-0000-0000-00008C240000}"/>
    <cellStyle name="Normal 13 32" xfId="10175" xr:uid="{00000000-0005-0000-0000-00008D240000}"/>
    <cellStyle name="Normal 13 33" xfId="10176" xr:uid="{00000000-0005-0000-0000-00008E240000}"/>
    <cellStyle name="Normal 13 34" xfId="10177" xr:uid="{00000000-0005-0000-0000-00008F240000}"/>
    <cellStyle name="Normal 13 35" xfId="10178" xr:uid="{00000000-0005-0000-0000-000090240000}"/>
    <cellStyle name="Normal 13 36" xfId="10179" xr:uid="{00000000-0005-0000-0000-000091240000}"/>
    <cellStyle name="Normal 13 37" xfId="10180" xr:uid="{00000000-0005-0000-0000-000092240000}"/>
    <cellStyle name="Normal 13 38" xfId="10181" xr:uid="{00000000-0005-0000-0000-000093240000}"/>
    <cellStyle name="Normal 13 39" xfId="10182" xr:uid="{00000000-0005-0000-0000-000094240000}"/>
    <cellStyle name="Normal 13 4" xfId="10183" xr:uid="{00000000-0005-0000-0000-000095240000}"/>
    <cellStyle name="Normal 13 4 2" xfId="10184" xr:uid="{00000000-0005-0000-0000-000096240000}"/>
    <cellStyle name="Normal 13 4 2 2" xfId="10185" xr:uid="{00000000-0005-0000-0000-000097240000}"/>
    <cellStyle name="Normal 13 4 2 2 2" xfId="10186" xr:uid="{00000000-0005-0000-0000-000098240000}"/>
    <cellStyle name="Normal 13 4 2 2 3" xfId="10187" xr:uid="{00000000-0005-0000-0000-000099240000}"/>
    <cellStyle name="Normal 13 4 2 2 4" xfId="10188" xr:uid="{00000000-0005-0000-0000-00009A240000}"/>
    <cellStyle name="Normal 13 4 2 2 5" xfId="10189" xr:uid="{00000000-0005-0000-0000-00009B240000}"/>
    <cellStyle name="Normal 13 4 2 3" xfId="10190" xr:uid="{00000000-0005-0000-0000-00009C240000}"/>
    <cellStyle name="Normal 13 4 3" xfId="10191" xr:uid="{00000000-0005-0000-0000-00009D240000}"/>
    <cellStyle name="Normal 13 4 3 2" xfId="10192" xr:uid="{00000000-0005-0000-0000-00009E240000}"/>
    <cellStyle name="Normal 13 4 3 2 2" xfId="10193" xr:uid="{00000000-0005-0000-0000-00009F240000}"/>
    <cellStyle name="Normal 13 4 3 2 3" xfId="10194" xr:uid="{00000000-0005-0000-0000-0000A0240000}"/>
    <cellStyle name="Normal 13 4 3 2 4" xfId="10195" xr:uid="{00000000-0005-0000-0000-0000A1240000}"/>
    <cellStyle name="Normal 13 4 4" xfId="10196" xr:uid="{00000000-0005-0000-0000-0000A2240000}"/>
    <cellStyle name="Normal 13 4 5" xfId="10197" xr:uid="{00000000-0005-0000-0000-0000A3240000}"/>
    <cellStyle name="Normal 13 4 6" xfId="10198" xr:uid="{00000000-0005-0000-0000-0000A4240000}"/>
    <cellStyle name="Normal 13 40" xfId="10199" xr:uid="{00000000-0005-0000-0000-0000A5240000}"/>
    <cellStyle name="Normal 13 41" xfId="10200" xr:uid="{00000000-0005-0000-0000-0000A6240000}"/>
    <cellStyle name="Normal 13 42" xfId="10201" xr:uid="{00000000-0005-0000-0000-0000A7240000}"/>
    <cellStyle name="Normal 13 43" xfId="10202" xr:uid="{00000000-0005-0000-0000-0000A8240000}"/>
    <cellStyle name="Normal 13 44" xfId="10203" xr:uid="{00000000-0005-0000-0000-0000A9240000}"/>
    <cellStyle name="Normal 13 45" xfId="10204" xr:uid="{00000000-0005-0000-0000-0000AA240000}"/>
    <cellStyle name="Normal 13 46" xfId="10205" xr:uid="{00000000-0005-0000-0000-0000AB240000}"/>
    <cellStyle name="Normal 13 47" xfId="10206" xr:uid="{00000000-0005-0000-0000-0000AC240000}"/>
    <cellStyle name="Normal 13 5" xfId="10207" xr:uid="{00000000-0005-0000-0000-0000AD240000}"/>
    <cellStyle name="Normal 13 6" xfId="10208" xr:uid="{00000000-0005-0000-0000-0000AE240000}"/>
    <cellStyle name="Normal 13 6 2" xfId="10209" xr:uid="{00000000-0005-0000-0000-0000AF240000}"/>
    <cellStyle name="Normal 13 6 3" xfId="10210" xr:uid="{00000000-0005-0000-0000-0000B0240000}"/>
    <cellStyle name="Normal 13 6 4" xfId="10211" xr:uid="{00000000-0005-0000-0000-0000B1240000}"/>
    <cellStyle name="Normal 13 6 5" xfId="10212" xr:uid="{00000000-0005-0000-0000-0000B2240000}"/>
    <cellStyle name="Normal 13 7" xfId="10213" xr:uid="{00000000-0005-0000-0000-0000B3240000}"/>
    <cellStyle name="Normal 13 8" xfId="10214" xr:uid="{00000000-0005-0000-0000-0000B4240000}"/>
    <cellStyle name="Normal 13 8 2" xfId="10215" xr:uid="{00000000-0005-0000-0000-0000B5240000}"/>
    <cellStyle name="Normal 13 8 3" xfId="10216" xr:uid="{00000000-0005-0000-0000-0000B6240000}"/>
    <cellStyle name="Normal 13 8 4" xfId="10217" xr:uid="{00000000-0005-0000-0000-0000B7240000}"/>
    <cellStyle name="Normal 13 9" xfId="10218" xr:uid="{00000000-0005-0000-0000-0000B8240000}"/>
    <cellStyle name="Normal 130" xfId="10219" xr:uid="{00000000-0005-0000-0000-0000B9240000}"/>
    <cellStyle name="Normal 131" xfId="10220" xr:uid="{00000000-0005-0000-0000-0000BA240000}"/>
    <cellStyle name="Normal 132" xfId="10221" xr:uid="{00000000-0005-0000-0000-0000BB240000}"/>
    <cellStyle name="Normal 133" xfId="10222" xr:uid="{00000000-0005-0000-0000-0000BC240000}"/>
    <cellStyle name="Normal 134" xfId="10223" xr:uid="{00000000-0005-0000-0000-0000BD240000}"/>
    <cellStyle name="Normal 135" xfId="10224" xr:uid="{00000000-0005-0000-0000-0000BE240000}"/>
    <cellStyle name="Normal 136" xfId="10225" xr:uid="{00000000-0005-0000-0000-0000BF240000}"/>
    <cellStyle name="Normal 137" xfId="10226" xr:uid="{00000000-0005-0000-0000-0000C0240000}"/>
    <cellStyle name="Normal 138" xfId="10227" xr:uid="{00000000-0005-0000-0000-0000C1240000}"/>
    <cellStyle name="Normal 139" xfId="10228" xr:uid="{00000000-0005-0000-0000-0000C2240000}"/>
    <cellStyle name="Normal 14" xfId="1046" xr:uid="{00000000-0005-0000-0000-0000C3240000}"/>
    <cellStyle name="Normal 14 10" xfId="10229" xr:uid="{00000000-0005-0000-0000-0000C4240000}"/>
    <cellStyle name="Normal 14 10 10" xfId="10230" xr:uid="{00000000-0005-0000-0000-0000C5240000}"/>
    <cellStyle name="Normal 14 10 11" xfId="10231" xr:uid="{00000000-0005-0000-0000-0000C6240000}"/>
    <cellStyle name="Normal 14 10 12" xfId="10232" xr:uid="{00000000-0005-0000-0000-0000C7240000}"/>
    <cellStyle name="Normal 14 10 13" xfId="10233" xr:uid="{00000000-0005-0000-0000-0000C8240000}"/>
    <cellStyle name="Normal 14 10 14" xfId="10234" xr:uid="{00000000-0005-0000-0000-0000C9240000}"/>
    <cellStyle name="Normal 14 10 15" xfId="10235" xr:uid="{00000000-0005-0000-0000-0000CA240000}"/>
    <cellStyle name="Normal 14 10 16" xfId="10236" xr:uid="{00000000-0005-0000-0000-0000CB240000}"/>
    <cellStyle name="Normal 14 10 17" xfId="10237" xr:uid="{00000000-0005-0000-0000-0000CC240000}"/>
    <cellStyle name="Normal 14 10 18" xfId="10238" xr:uid="{00000000-0005-0000-0000-0000CD240000}"/>
    <cellStyle name="Normal 14 10 19" xfId="10239" xr:uid="{00000000-0005-0000-0000-0000CE240000}"/>
    <cellStyle name="Normal 14 10 2" xfId="10240" xr:uid="{00000000-0005-0000-0000-0000CF240000}"/>
    <cellStyle name="Normal 14 10 20" xfId="10241" xr:uid="{00000000-0005-0000-0000-0000D0240000}"/>
    <cellStyle name="Normal 14 10 21" xfId="10242" xr:uid="{00000000-0005-0000-0000-0000D1240000}"/>
    <cellStyle name="Normal 14 10 22" xfId="10243" xr:uid="{00000000-0005-0000-0000-0000D2240000}"/>
    <cellStyle name="Normal 14 10 23" xfId="10244" xr:uid="{00000000-0005-0000-0000-0000D3240000}"/>
    <cellStyle name="Normal 14 10 24" xfId="10245" xr:uid="{00000000-0005-0000-0000-0000D4240000}"/>
    <cellStyle name="Normal 14 10 25" xfId="10246" xr:uid="{00000000-0005-0000-0000-0000D5240000}"/>
    <cellStyle name="Normal 14 10 26" xfId="10247" xr:uid="{00000000-0005-0000-0000-0000D6240000}"/>
    <cellStyle name="Normal 14 10 27" xfId="10248" xr:uid="{00000000-0005-0000-0000-0000D7240000}"/>
    <cellStyle name="Normal 14 10 28" xfId="10249" xr:uid="{00000000-0005-0000-0000-0000D8240000}"/>
    <cellStyle name="Normal 14 10 29" xfId="10250" xr:uid="{00000000-0005-0000-0000-0000D9240000}"/>
    <cellStyle name="Normal 14 10 3" xfId="10251" xr:uid="{00000000-0005-0000-0000-0000DA240000}"/>
    <cellStyle name="Normal 14 10 30" xfId="10252" xr:uid="{00000000-0005-0000-0000-0000DB240000}"/>
    <cellStyle name="Normal 14 10 31" xfId="10253" xr:uid="{00000000-0005-0000-0000-0000DC240000}"/>
    <cellStyle name="Normal 14 10 32" xfId="10254" xr:uid="{00000000-0005-0000-0000-0000DD240000}"/>
    <cellStyle name="Normal 14 10 33" xfId="10255" xr:uid="{00000000-0005-0000-0000-0000DE240000}"/>
    <cellStyle name="Normal 14 10 34" xfId="10256" xr:uid="{00000000-0005-0000-0000-0000DF240000}"/>
    <cellStyle name="Normal 14 10 35" xfId="10257" xr:uid="{00000000-0005-0000-0000-0000E0240000}"/>
    <cellStyle name="Normal 14 10 36" xfId="10258" xr:uid="{00000000-0005-0000-0000-0000E1240000}"/>
    <cellStyle name="Normal 14 10 37" xfId="10259" xr:uid="{00000000-0005-0000-0000-0000E2240000}"/>
    <cellStyle name="Normal 14 10 38" xfId="10260" xr:uid="{00000000-0005-0000-0000-0000E3240000}"/>
    <cellStyle name="Normal 14 10 39" xfId="10261" xr:uid="{00000000-0005-0000-0000-0000E4240000}"/>
    <cellStyle name="Normal 14 10 4" xfId="10262" xr:uid="{00000000-0005-0000-0000-0000E5240000}"/>
    <cellStyle name="Normal 14 10 40" xfId="10263" xr:uid="{00000000-0005-0000-0000-0000E6240000}"/>
    <cellStyle name="Normal 14 10 41" xfId="10264" xr:uid="{00000000-0005-0000-0000-0000E7240000}"/>
    <cellStyle name="Normal 14 10 42" xfId="10265" xr:uid="{00000000-0005-0000-0000-0000E8240000}"/>
    <cellStyle name="Normal 14 10 43" xfId="10266" xr:uid="{00000000-0005-0000-0000-0000E9240000}"/>
    <cellStyle name="Normal 14 10 44" xfId="10267" xr:uid="{00000000-0005-0000-0000-0000EA240000}"/>
    <cellStyle name="Normal 14 10 45" xfId="10268" xr:uid="{00000000-0005-0000-0000-0000EB240000}"/>
    <cellStyle name="Normal 14 10 5" xfId="10269" xr:uid="{00000000-0005-0000-0000-0000EC240000}"/>
    <cellStyle name="Normal 14 10 6" xfId="10270" xr:uid="{00000000-0005-0000-0000-0000ED240000}"/>
    <cellStyle name="Normal 14 10 7" xfId="10271" xr:uid="{00000000-0005-0000-0000-0000EE240000}"/>
    <cellStyle name="Normal 14 10 8" xfId="10272" xr:uid="{00000000-0005-0000-0000-0000EF240000}"/>
    <cellStyle name="Normal 14 10 9" xfId="10273" xr:uid="{00000000-0005-0000-0000-0000F0240000}"/>
    <cellStyle name="Normal 14 11" xfId="10274" xr:uid="{00000000-0005-0000-0000-0000F1240000}"/>
    <cellStyle name="Normal 14 11 10" xfId="10275" xr:uid="{00000000-0005-0000-0000-0000F2240000}"/>
    <cellStyle name="Normal 14 11 11" xfId="10276" xr:uid="{00000000-0005-0000-0000-0000F3240000}"/>
    <cellStyle name="Normal 14 11 12" xfId="10277" xr:uid="{00000000-0005-0000-0000-0000F4240000}"/>
    <cellStyle name="Normal 14 11 13" xfId="10278" xr:uid="{00000000-0005-0000-0000-0000F5240000}"/>
    <cellStyle name="Normal 14 11 14" xfId="10279" xr:uid="{00000000-0005-0000-0000-0000F6240000}"/>
    <cellStyle name="Normal 14 11 15" xfId="10280" xr:uid="{00000000-0005-0000-0000-0000F7240000}"/>
    <cellStyle name="Normal 14 11 16" xfId="10281" xr:uid="{00000000-0005-0000-0000-0000F8240000}"/>
    <cellStyle name="Normal 14 11 17" xfId="10282" xr:uid="{00000000-0005-0000-0000-0000F9240000}"/>
    <cellStyle name="Normal 14 11 18" xfId="10283" xr:uid="{00000000-0005-0000-0000-0000FA240000}"/>
    <cellStyle name="Normal 14 11 19" xfId="10284" xr:uid="{00000000-0005-0000-0000-0000FB240000}"/>
    <cellStyle name="Normal 14 11 2" xfId="10285" xr:uid="{00000000-0005-0000-0000-0000FC240000}"/>
    <cellStyle name="Normal 14 11 20" xfId="10286" xr:uid="{00000000-0005-0000-0000-0000FD240000}"/>
    <cellStyle name="Normal 14 11 21" xfId="10287" xr:uid="{00000000-0005-0000-0000-0000FE240000}"/>
    <cellStyle name="Normal 14 11 22" xfId="10288" xr:uid="{00000000-0005-0000-0000-0000FF240000}"/>
    <cellStyle name="Normal 14 11 23" xfId="10289" xr:uid="{00000000-0005-0000-0000-000000250000}"/>
    <cellStyle name="Normal 14 11 24" xfId="10290" xr:uid="{00000000-0005-0000-0000-000001250000}"/>
    <cellStyle name="Normal 14 11 25" xfId="10291" xr:uid="{00000000-0005-0000-0000-000002250000}"/>
    <cellStyle name="Normal 14 11 26" xfId="10292" xr:uid="{00000000-0005-0000-0000-000003250000}"/>
    <cellStyle name="Normal 14 11 27" xfId="10293" xr:uid="{00000000-0005-0000-0000-000004250000}"/>
    <cellStyle name="Normal 14 11 28" xfId="10294" xr:uid="{00000000-0005-0000-0000-000005250000}"/>
    <cellStyle name="Normal 14 11 29" xfId="10295" xr:uid="{00000000-0005-0000-0000-000006250000}"/>
    <cellStyle name="Normal 14 11 3" xfId="10296" xr:uid="{00000000-0005-0000-0000-000007250000}"/>
    <cellStyle name="Normal 14 11 30" xfId="10297" xr:uid="{00000000-0005-0000-0000-000008250000}"/>
    <cellStyle name="Normal 14 11 31" xfId="10298" xr:uid="{00000000-0005-0000-0000-000009250000}"/>
    <cellStyle name="Normal 14 11 32" xfId="10299" xr:uid="{00000000-0005-0000-0000-00000A250000}"/>
    <cellStyle name="Normal 14 11 33" xfId="10300" xr:uid="{00000000-0005-0000-0000-00000B250000}"/>
    <cellStyle name="Normal 14 11 34" xfId="10301" xr:uid="{00000000-0005-0000-0000-00000C250000}"/>
    <cellStyle name="Normal 14 11 35" xfId="10302" xr:uid="{00000000-0005-0000-0000-00000D250000}"/>
    <cellStyle name="Normal 14 11 36" xfId="10303" xr:uid="{00000000-0005-0000-0000-00000E250000}"/>
    <cellStyle name="Normal 14 11 37" xfId="10304" xr:uid="{00000000-0005-0000-0000-00000F250000}"/>
    <cellStyle name="Normal 14 11 38" xfId="10305" xr:uid="{00000000-0005-0000-0000-000010250000}"/>
    <cellStyle name="Normal 14 11 39" xfId="10306" xr:uid="{00000000-0005-0000-0000-000011250000}"/>
    <cellStyle name="Normal 14 11 4" xfId="10307" xr:uid="{00000000-0005-0000-0000-000012250000}"/>
    <cellStyle name="Normal 14 11 40" xfId="10308" xr:uid="{00000000-0005-0000-0000-000013250000}"/>
    <cellStyle name="Normal 14 11 41" xfId="10309" xr:uid="{00000000-0005-0000-0000-000014250000}"/>
    <cellStyle name="Normal 14 11 42" xfId="10310" xr:uid="{00000000-0005-0000-0000-000015250000}"/>
    <cellStyle name="Normal 14 11 43" xfId="10311" xr:uid="{00000000-0005-0000-0000-000016250000}"/>
    <cellStyle name="Normal 14 11 44" xfId="10312" xr:uid="{00000000-0005-0000-0000-000017250000}"/>
    <cellStyle name="Normal 14 11 45" xfId="10313" xr:uid="{00000000-0005-0000-0000-000018250000}"/>
    <cellStyle name="Normal 14 11 5" xfId="10314" xr:uid="{00000000-0005-0000-0000-000019250000}"/>
    <cellStyle name="Normal 14 11 6" xfId="10315" xr:uid="{00000000-0005-0000-0000-00001A250000}"/>
    <cellStyle name="Normal 14 11 7" xfId="10316" xr:uid="{00000000-0005-0000-0000-00001B250000}"/>
    <cellStyle name="Normal 14 11 8" xfId="10317" xr:uid="{00000000-0005-0000-0000-00001C250000}"/>
    <cellStyle name="Normal 14 11 9" xfId="10318" xr:uid="{00000000-0005-0000-0000-00001D250000}"/>
    <cellStyle name="Normal 14 12" xfId="10319" xr:uid="{00000000-0005-0000-0000-00001E250000}"/>
    <cellStyle name="Normal 14 12 10" xfId="10320" xr:uid="{00000000-0005-0000-0000-00001F250000}"/>
    <cellStyle name="Normal 14 12 11" xfId="10321" xr:uid="{00000000-0005-0000-0000-000020250000}"/>
    <cellStyle name="Normal 14 12 12" xfId="10322" xr:uid="{00000000-0005-0000-0000-000021250000}"/>
    <cellStyle name="Normal 14 12 13" xfId="10323" xr:uid="{00000000-0005-0000-0000-000022250000}"/>
    <cellStyle name="Normal 14 12 14" xfId="10324" xr:uid="{00000000-0005-0000-0000-000023250000}"/>
    <cellStyle name="Normal 14 12 15" xfId="10325" xr:uid="{00000000-0005-0000-0000-000024250000}"/>
    <cellStyle name="Normal 14 12 16" xfId="10326" xr:uid="{00000000-0005-0000-0000-000025250000}"/>
    <cellStyle name="Normal 14 12 17" xfId="10327" xr:uid="{00000000-0005-0000-0000-000026250000}"/>
    <cellStyle name="Normal 14 12 18" xfId="10328" xr:uid="{00000000-0005-0000-0000-000027250000}"/>
    <cellStyle name="Normal 14 12 19" xfId="10329" xr:uid="{00000000-0005-0000-0000-000028250000}"/>
    <cellStyle name="Normal 14 12 2" xfId="10330" xr:uid="{00000000-0005-0000-0000-000029250000}"/>
    <cellStyle name="Normal 14 12 20" xfId="10331" xr:uid="{00000000-0005-0000-0000-00002A250000}"/>
    <cellStyle name="Normal 14 12 21" xfId="10332" xr:uid="{00000000-0005-0000-0000-00002B250000}"/>
    <cellStyle name="Normal 14 12 22" xfId="10333" xr:uid="{00000000-0005-0000-0000-00002C250000}"/>
    <cellStyle name="Normal 14 12 23" xfId="10334" xr:uid="{00000000-0005-0000-0000-00002D250000}"/>
    <cellStyle name="Normal 14 12 24" xfId="10335" xr:uid="{00000000-0005-0000-0000-00002E250000}"/>
    <cellStyle name="Normal 14 12 25" xfId="10336" xr:uid="{00000000-0005-0000-0000-00002F250000}"/>
    <cellStyle name="Normal 14 12 26" xfId="10337" xr:uid="{00000000-0005-0000-0000-000030250000}"/>
    <cellStyle name="Normal 14 12 27" xfId="10338" xr:uid="{00000000-0005-0000-0000-000031250000}"/>
    <cellStyle name="Normal 14 12 28" xfId="10339" xr:uid="{00000000-0005-0000-0000-000032250000}"/>
    <cellStyle name="Normal 14 12 29" xfId="10340" xr:uid="{00000000-0005-0000-0000-000033250000}"/>
    <cellStyle name="Normal 14 12 3" xfId="10341" xr:uid="{00000000-0005-0000-0000-000034250000}"/>
    <cellStyle name="Normal 14 12 30" xfId="10342" xr:uid="{00000000-0005-0000-0000-000035250000}"/>
    <cellStyle name="Normal 14 12 31" xfId="10343" xr:uid="{00000000-0005-0000-0000-000036250000}"/>
    <cellStyle name="Normal 14 12 32" xfId="10344" xr:uid="{00000000-0005-0000-0000-000037250000}"/>
    <cellStyle name="Normal 14 12 33" xfId="10345" xr:uid="{00000000-0005-0000-0000-000038250000}"/>
    <cellStyle name="Normal 14 12 34" xfId="10346" xr:uid="{00000000-0005-0000-0000-000039250000}"/>
    <cellStyle name="Normal 14 12 35" xfId="10347" xr:uid="{00000000-0005-0000-0000-00003A250000}"/>
    <cellStyle name="Normal 14 12 36" xfId="10348" xr:uid="{00000000-0005-0000-0000-00003B250000}"/>
    <cellStyle name="Normal 14 12 37" xfId="10349" xr:uid="{00000000-0005-0000-0000-00003C250000}"/>
    <cellStyle name="Normal 14 12 38" xfId="10350" xr:uid="{00000000-0005-0000-0000-00003D250000}"/>
    <cellStyle name="Normal 14 12 39" xfId="10351" xr:uid="{00000000-0005-0000-0000-00003E250000}"/>
    <cellStyle name="Normal 14 12 4" xfId="10352" xr:uid="{00000000-0005-0000-0000-00003F250000}"/>
    <cellStyle name="Normal 14 12 40" xfId="10353" xr:uid="{00000000-0005-0000-0000-000040250000}"/>
    <cellStyle name="Normal 14 12 41" xfId="10354" xr:uid="{00000000-0005-0000-0000-000041250000}"/>
    <cellStyle name="Normal 14 12 42" xfId="10355" xr:uid="{00000000-0005-0000-0000-000042250000}"/>
    <cellStyle name="Normal 14 12 43" xfId="10356" xr:uid="{00000000-0005-0000-0000-000043250000}"/>
    <cellStyle name="Normal 14 12 44" xfId="10357" xr:uid="{00000000-0005-0000-0000-000044250000}"/>
    <cellStyle name="Normal 14 12 45" xfId="10358" xr:uid="{00000000-0005-0000-0000-000045250000}"/>
    <cellStyle name="Normal 14 12 5" xfId="10359" xr:uid="{00000000-0005-0000-0000-000046250000}"/>
    <cellStyle name="Normal 14 12 6" xfId="10360" xr:uid="{00000000-0005-0000-0000-000047250000}"/>
    <cellStyle name="Normal 14 12 7" xfId="10361" xr:uid="{00000000-0005-0000-0000-000048250000}"/>
    <cellStyle name="Normal 14 12 8" xfId="10362" xr:uid="{00000000-0005-0000-0000-000049250000}"/>
    <cellStyle name="Normal 14 12 9" xfId="10363" xr:uid="{00000000-0005-0000-0000-00004A250000}"/>
    <cellStyle name="Normal 14 13" xfId="10364" xr:uid="{00000000-0005-0000-0000-00004B250000}"/>
    <cellStyle name="Normal 14 13 10" xfId="10365" xr:uid="{00000000-0005-0000-0000-00004C250000}"/>
    <cellStyle name="Normal 14 13 11" xfId="10366" xr:uid="{00000000-0005-0000-0000-00004D250000}"/>
    <cellStyle name="Normal 14 13 12" xfId="10367" xr:uid="{00000000-0005-0000-0000-00004E250000}"/>
    <cellStyle name="Normal 14 13 13" xfId="10368" xr:uid="{00000000-0005-0000-0000-00004F250000}"/>
    <cellStyle name="Normal 14 13 14" xfId="10369" xr:uid="{00000000-0005-0000-0000-000050250000}"/>
    <cellStyle name="Normal 14 13 15" xfId="10370" xr:uid="{00000000-0005-0000-0000-000051250000}"/>
    <cellStyle name="Normal 14 13 16" xfId="10371" xr:uid="{00000000-0005-0000-0000-000052250000}"/>
    <cellStyle name="Normal 14 13 17" xfId="10372" xr:uid="{00000000-0005-0000-0000-000053250000}"/>
    <cellStyle name="Normal 14 13 18" xfId="10373" xr:uid="{00000000-0005-0000-0000-000054250000}"/>
    <cellStyle name="Normal 14 13 19" xfId="10374" xr:uid="{00000000-0005-0000-0000-000055250000}"/>
    <cellStyle name="Normal 14 13 2" xfId="10375" xr:uid="{00000000-0005-0000-0000-000056250000}"/>
    <cellStyle name="Normal 14 13 20" xfId="10376" xr:uid="{00000000-0005-0000-0000-000057250000}"/>
    <cellStyle name="Normal 14 13 21" xfId="10377" xr:uid="{00000000-0005-0000-0000-000058250000}"/>
    <cellStyle name="Normal 14 13 22" xfId="10378" xr:uid="{00000000-0005-0000-0000-000059250000}"/>
    <cellStyle name="Normal 14 13 23" xfId="10379" xr:uid="{00000000-0005-0000-0000-00005A250000}"/>
    <cellStyle name="Normal 14 13 24" xfId="10380" xr:uid="{00000000-0005-0000-0000-00005B250000}"/>
    <cellStyle name="Normal 14 13 25" xfId="10381" xr:uid="{00000000-0005-0000-0000-00005C250000}"/>
    <cellStyle name="Normal 14 13 26" xfId="10382" xr:uid="{00000000-0005-0000-0000-00005D250000}"/>
    <cellStyle name="Normal 14 13 27" xfId="10383" xr:uid="{00000000-0005-0000-0000-00005E250000}"/>
    <cellStyle name="Normal 14 13 28" xfId="10384" xr:uid="{00000000-0005-0000-0000-00005F250000}"/>
    <cellStyle name="Normal 14 13 29" xfId="10385" xr:uid="{00000000-0005-0000-0000-000060250000}"/>
    <cellStyle name="Normal 14 13 3" xfId="10386" xr:uid="{00000000-0005-0000-0000-000061250000}"/>
    <cellStyle name="Normal 14 13 30" xfId="10387" xr:uid="{00000000-0005-0000-0000-000062250000}"/>
    <cellStyle name="Normal 14 13 31" xfId="10388" xr:uid="{00000000-0005-0000-0000-000063250000}"/>
    <cellStyle name="Normal 14 13 32" xfId="10389" xr:uid="{00000000-0005-0000-0000-000064250000}"/>
    <cellStyle name="Normal 14 13 33" xfId="10390" xr:uid="{00000000-0005-0000-0000-000065250000}"/>
    <cellStyle name="Normal 14 13 34" xfId="10391" xr:uid="{00000000-0005-0000-0000-000066250000}"/>
    <cellStyle name="Normal 14 13 35" xfId="10392" xr:uid="{00000000-0005-0000-0000-000067250000}"/>
    <cellStyle name="Normal 14 13 36" xfId="10393" xr:uid="{00000000-0005-0000-0000-000068250000}"/>
    <cellStyle name="Normal 14 13 37" xfId="10394" xr:uid="{00000000-0005-0000-0000-000069250000}"/>
    <cellStyle name="Normal 14 13 38" xfId="10395" xr:uid="{00000000-0005-0000-0000-00006A250000}"/>
    <cellStyle name="Normal 14 13 39" xfId="10396" xr:uid="{00000000-0005-0000-0000-00006B250000}"/>
    <cellStyle name="Normal 14 13 4" xfId="10397" xr:uid="{00000000-0005-0000-0000-00006C250000}"/>
    <cellStyle name="Normal 14 13 40" xfId="10398" xr:uid="{00000000-0005-0000-0000-00006D250000}"/>
    <cellStyle name="Normal 14 13 41" xfId="10399" xr:uid="{00000000-0005-0000-0000-00006E250000}"/>
    <cellStyle name="Normal 14 13 42" xfId="10400" xr:uid="{00000000-0005-0000-0000-00006F250000}"/>
    <cellStyle name="Normal 14 13 43" xfId="10401" xr:uid="{00000000-0005-0000-0000-000070250000}"/>
    <cellStyle name="Normal 14 13 44" xfId="10402" xr:uid="{00000000-0005-0000-0000-000071250000}"/>
    <cellStyle name="Normal 14 13 45" xfId="10403" xr:uid="{00000000-0005-0000-0000-000072250000}"/>
    <cellStyle name="Normal 14 13 5" xfId="10404" xr:uid="{00000000-0005-0000-0000-000073250000}"/>
    <cellStyle name="Normal 14 13 6" xfId="10405" xr:uid="{00000000-0005-0000-0000-000074250000}"/>
    <cellStyle name="Normal 14 13 7" xfId="10406" xr:uid="{00000000-0005-0000-0000-000075250000}"/>
    <cellStyle name="Normal 14 13 8" xfId="10407" xr:uid="{00000000-0005-0000-0000-000076250000}"/>
    <cellStyle name="Normal 14 13 9" xfId="10408" xr:uid="{00000000-0005-0000-0000-000077250000}"/>
    <cellStyle name="Normal 14 14" xfId="10409" xr:uid="{00000000-0005-0000-0000-000078250000}"/>
    <cellStyle name="Normal 14 14 10" xfId="10410" xr:uid="{00000000-0005-0000-0000-000079250000}"/>
    <cellStyle name="Normal 14 14 11" xfId="10411" xr:uid="{00000000-0005-0000-0000-00007A250000}"/>
    <cellStyle name="Normal 14 14 12" xfId="10412" xr:uid="{00000000-0005-0000-0000-00007B250000}"/>
    <cellStyle name="Normal 14 14 13" xfId="10413" xr:uid="{00000000-0005-0000-0000-00007C250000}"/>
    <cellStyle name="Normal 14 14 14" xfId="10414" xr:uid="{00000000-0005-0000-0000-00007D250000}"/>
    <cellStyle name="Normal 14 14 15" xfId="10415" xr:uid="{00000000-0005-0000-0000-00007E250000}"/>
    <cellStyle name="Normal 14 14 16" xfId="10416" xr:uid="{00000000-0005-0000-0000-00007F250000}"/>
    <cellStyle name="Normal 14 14 17" xfId="10417" xr:uid="{00000000-0005-0000-0000-000080250000}"/>
    <cellStyle name="Normal 14 14 18" xfId="10418" xr:uid="{00000000-0005-0000-0000-000081250000}"/>
    <cellStyle name="Normal 14 14 19" xfId="10419" xr:uid="{00000000-0005-0000-0000-000082250000}"/>
    <cellStyle name="Normal 14 14 2" xfId="10420" xr:uid="{00000000-0005-0000-0000-000083250000}"/>
    <cellStyle name="Normal 14 14 20" xfId="10421" xr:uid="{00000000-0005-0000-0000-000084250000}"/>
    <cellStyle name="Normal 14 14 21" xfId="10422" xr:uid="{00000000-0005-0000-0000-000085250000}"/>
    <cellStyle name="Normal 14 14 22" xfId="10423" xr:uid="{00000000-0005-0000-0000-000086250000}"/>
    <cellStyle name="Normal 14 14 23" xfId="10424" xr:uid="{00000000-0005-0000-0000-000087250000}"/>
    <cellStyle name="Normal 14 14 24" xfId="10425" xr:uid="{00000000-0005-0000-0000-000088250000}"/>
    <cellStyle name="Normal 14 14 25" xfId="10426" xr:uid="{00000000-0005-0000-0000-000089250000}"/>
    <cellStyle name="Normal 14 14 26" xfId="10427" xr:uid="{00000000-0005-0000-0000-00008A250000}"/>
    <cellStyle name="Normal 14 14 27" xfId="10428" xr:uid="{00000000-0005-0000-0000-00008B250000}"/>
    <cellStyle name="Normal 14 14 28" xfId="10429" xr:uid="{00000000-0005-0000-0000-00008C250000}"/>
    <cellStyle name="Normal 14 14 29" xfId="10430" xr:uid="{00000000-0005-0000-0000-00008D250000}"/>
    <cellStyle name="Normal 14 14 3" xfId="10431" xr:uid="{00000000-0005-0000-0000-00008E250000}"/>
    <cellStyle name="Normal 14 14 30" xfId="10432" xr:uid="{00000000-0005-0000-0000-00008F250000}"/>
    <cellStyle name="Normal 14 14 31" xfId="10433" xr:uid="{00000000-0005-0000-0000-000090250000}"/>
    <cellStyle name="Normal 14 14 32" xfId="10434" xr:uid="{00000000-0005-0000-0000-000091250000}"/>
    <cellStyle name="Normal 14 14 33" xfId="10435" xr:uid="{00000000-0005-0000-0000-000092250000}"/>
    <cellStyle name="Normal 14 14 34" xfId="10436" xr:uid="{00000000-0005-0000-0000-000093250000}"/>
    <cellStyle name="Normal 14 14 35" xfId="10437" xr:uid="{00000000-0005-0000-0000-000094250000}"/>
    <cellStyle name="Normal 14 14 36" xfId="10438" xr:uid="{00000000-0005-0000-0000-000095250000}"/>
    <cellStyle name="Normal 14 14 37" xfId="10439" xr:uid="{00000000-0005-0000-0000-000096250000}"/>
    <cellStyle name="Normal 14 14 38" xfId="10440" xr:uid="{00000000-0005-0000-0000-000097250000}"/>
    <cellStyle name="Normal 14 14 39" xfId="10441" xr:uid="{00000000-0005-0000-0000-000098250000}"/>
    <cellStyle name="Normal 14 14 4" xfId="10442" xr:uid="{00000000-0005-0000-0000-000099250000}"/>
    <cellStyle name="Normal 14 14 40" xfId="10443" xr:uid="{00000000-0005-0000-0000-00009A250000}"/>
    <cellStyle name="Normal 14 14 41" xfId="10444" xr:uid="{00000000-0005-0000-0000-00009B250000}"/>
    <cellStyle name="Normal 14 14 42" xfId="10445" xr:uid="{00000000-0005-0000-0000-00009C250000}"/>
    <cellStyle name="Normal 14 14 43" xfId="10446" xr:uid="{00000000-0005-0000-0000-00009D250000}"/>
    <cellStyle name="Normal 14 14 44" xfId="10447" xr:uid="{00000000-0005-0000-0000-00009E250000}"/>
    <cellStyle name="Normal 14 14 45" xfId="10448" xr:uid="{00000000-0005-0000-0000-00009F250000}"/>
    <cellStyle name="Normal 14 14 5" xfId="10449" xr:uid="{00000000-0005-0000-0000-0000A0250000}"/>
    <cellStyle name="Normal 14 14 6" xfId="10450" xr:uid="{00000000-0005-0000-0000-0000A1250000}"/>
    <cellStyle name="Normal 14 14 7" xfId="10451" xr:uid="{00000000-0005-0000-0000-0000A2250000}"/>
    <cellStyle name="Normal 14 14 8" xfId="10452" xr:uid="{00000000-0005-0000-0000-0000A3250000}"/>
    <cellStyle name="Normal 14 14 9" xfId="10453" xr:uid="{00000000-0005-0000-0000-0000A4250000}"/>
    <cellStyle name="Normal 14 15" xfId="10454" xr:uid="{00000000-0005-0000-0000-0000A5250000}"/>
    <cellStyle name="Normal 14 15 10" xfId="10455" xr:uid="{00000000-0005-0000-0000-0000A6250000}"/>
    <cellStyle name="Normal 14 15 11" xfId="10456" xr:uid="{00000000-0005-0000-0000-0000A7250000}"/>
    <cellStyle name="Normal 14 15 12" xfId="10457" xr:uid="{00000000-0005-0000-0000-0000A8250000}"/>
    <cellStyle name="Normal 14 15 13" xfId="10458" xr:uid="{00000000-0005-0000-0000-0000A9250000}"/>
    <cellStyle name="Normal 14 15 14" xfId="10459" xr:uid="{00000000-0005-0000-0000-0000AA250000}"/>
    <cellStyle name="Normal 14 15 15" xfId="10460" xr:uid="{00000000-0005-0000-0000-0000AB250000}"/>
    <cellStyle name="Normal 14 15 16" xfId="10461" xr:uid="{00000000-0005-0000-0000-0000AC250000}"/>
    <cellStyle name="Normal 14 15 17" xfId="10462" xr:uid="{00000000-0005-0000-0000-0000AD250000}"/>
    <cellStyle name="Normal 14 15 18" xfId="10463" xr:uid="{00000000-0005-0000-0000-0000AE250000}"/>
    <cellStyle name="Normal 14 15 19" xfId="10464" xr:uid="{00000000-0005-0000-0000-0000AF250000}"/>
    <cellStyle name="Normal 14 15 2" xfId="10465" xr:uid="{00000000-0005-0000-0000-0000B0250000}"/>
    <cellStyle name="Normal 14 15 20" xfId="10466" xr:uid="{00000000-0005-0000-0000-0000B1250000}"/>
    <cellStyle name="Normal 14 15 21" xfId="10467" xr:uid="{00000000-0005-0000-0000-0000B2250000}"/>
    <cellStyle name="Normal 14 15 22" xfId="10468" xr:uid="{00000000-0005-0000-0000-0000B3250000}"/>
    <cellStyle name="Normal 14 15 23" xfId="10469" xr:uid="{00000000-0005-0000-0000-0000B4250000}"/>
    <cellStyle name="Normal 14 15 24" xfId="10470" xr:uid="{00000000-0005-0000-0000-0000B5250000}"/>
    <cellStyle name="Normal 14 15 25" xfId="10471" xr:uid="{00000000-0005-0000-0000-0000B6250000}"/>
    <cellStyle name="Normal 14 15 26" xfId="10472" xr:uid="{00000000-0005-0000-0000-0000B7250000}"/>
    <cellStyle name="Normal 14 15 27" xfId="10473" xr:uid="{00000000-0005-0000-0000-0000B8250000}"/>
    <cellStyle name="Normal 14 15 28" xfId="10474" xr:uid="{00000000-0005-0000-0000-0000B9250000}"/>
    <cellStyle name="Normal 14 15 29" xfId="10475" xr:uid="{00000000-0005-0000-0000-0000BA250000}"/>
    <cellStyle name="Normal 14 15 3" xfId="10476" xr:uid="{00000000-0005-0000-0000-0000BB250000}"/>
    <cellStyle name="Normal 14 15 30" xfId="10477" xr:uid="{00000000-0005-0000-0000-0000BC250000}"/>
    <cellStyle name="Normal 14 15 31" xfId="10478" xr:uid="{00000000-0005-0000-0000-0000BD250000}"/>
    <cellStyle name="Normal 14 15 32" xfId="10479" xr:uid="{00000000-0005-0000-0000-0000BE250000}"/>
    <cellStyle name="Normal 14 15 33" xfId="10480" xr:uid="{00000000-0005-0000-0000-0000BF250000}"/>
    <cellStyle name="Normal 14 15 34" xfId="10481" xr:uid="{00000000-0005-0000-0000-0000C0250000}"/>
    <cellStyle name="Normal 14 15 35" xfId="10482" xr:uid="{00000000-0005-0000-0000-0000C1250000}"/>
    <cellStyle name="Normal 14 15 36" xfId="10483" xr:uid="{00000000-0005-0000-0000-0000C2250000}"/>
    <cellStyle name="Normal 14 15 37" xfId="10484" xr:uid="{00000000-0005-0000-0000-0000C3250000}"/>
    <cellStyle name="Normal 14 15 4" xfId="10485" xr:uid="{00000000-0005-0000-0000-0000C4250000}"/>
    <cellStyle name="Normal 14 15 5" xfId="10486" xr:uid="{00000000-0005-0000-0000-0000C5250000}"/>
    <cellStyle name="Normal 14 15 6" xfId="10487" xr:uid="{00000000-0005-0000-0000-0000C6250000}"/>
    <cellStyle name="Normal 14 15 7" xfId="10488" xr:uid="{00000000-0005-0000-0000-0000C7250000}"/>
    <cellStyle name="Normal 14 15 8" xfId="10489" xr:uid="{00000000-0005-0000-0000-0000C8250000}"/>
    <cellStyle name="Normal 14 15 9" xfId="10490" xr:uid="{00000000-0005-0000-0000-0000C9250000}"/>
    <cellStyle name="Normal 14 16" xfId="10491" xr:uid="{00000000-0005-0000-0000-0000CA250000}"/>
    <cellStyle name="Normal 14 16 10" xfId="10492" xr:uid="{00000000-0005-0000-0000-0000CB250000}"/>
    <cellStyle name="Normal 14 16 11" xfId="10493" xr:uid="{00000000-0005-0000-0000-0000CC250000}"/>
    <cellStyle name="Normal 14 16 12" xfId="10494" xr:uid="{00000000-0005-0000-0000-0000CD250000}"/>
    <cellStyle name="Normal 14 16 13" xfId="10495" xr:uid="{00000000-0005-0000-0000-0000CE250000}"/>
    <cellStyle name="Normal 14 16 14" xfId="10496" xr:uid="{00000000-0005-0000-0000-0000CF250000}"/>
    <cellStyle name="Normal 14 16 15" xfId="10497" xr:uid="{00000000-0005-0000-0000-0000D0250000}"/>
    <cellStyle name="Normal 14 16 16" xfId="10498" xr:uid="{00000000-0005-0000-0000-0000D1250000}"/>
    <cellStyle name="Normal 14 16 17" xfId="10499" xr:uid="{00000000-0005-0000-0000-0000D2250000}"/>
    <cellStyle name="Normal 14 16 18" xfId="10500" xr:uid="{00000000-0005-0000-0000-0000D3250000}"/>
    <cellStyle name="Normal 14 16 19" xfId="10501" xr:uid="{00000000-0005-0000-0000-0000D4250000}"/>
    <cellStyle name="Normal 14 16 2" xfId="10502" xr:uid="{00000000-0005-0000-0000-0000D5250000}"/>
    <cellStyle name="Normal 14 16 20" xfId="10503" xr:uid="{00000000-0005-0000-0000-0000D6250000}"/>
    <cellStyle name="Normal 14 16 21" xfId="10504" xr:uid="{00000000-0005-0000-0000-0000D7250000}"/>
    <cellStyle name="Normal 14 16 22" xfId="10505" xr:uid="{00000000-0005-0000-0000-0000D8250000}"/>
    <cellStyle name="Normal 14 16 23" xfId="10506" xr:uid="{00000000-0005-0000-0000-0000D9250000}"/>
    <cellStyle name="Normal 14 16 24" xfId="10507" xr:uid="{00000000-0005-0000-0000-0000DA250000}"/>
    <cellStyle name="Normal 14 16 25" xfId="10508" xr:uid="{00000000-0005-0000-0000-0000DB250000}"/>
    <cellStyle name="Normal 14 16 26" xfId="10509" xr:uid="{00000000-0005-0000-0000-0000DC250000}"/>
    <cellStyle name="Normal 14 16 27" xfId="10510" xr:uid="{00000000-0005-0000-0000-0000DD250000}"/>
    <cellStyle name="Normal 14 16 28" xfId="10511" xr:uid="{00000000-0005-0000-0000-0000DE250000}"/>
    <cellStyle name="Normal 14 16 29" xfId="10512" xr:uid="{00000000-0005-0000-0000-0000DF250000}"/>
    <cellStyle name="Normal 14 16 3" xfId="10513" xr:uid="{00000000-0005-0000-0000-0000E0250000}"/>
    <cellStyle name="Normal 14 16 30" xfId="10514" xr:uid="{00000000-0005-0000-0000-0000E1250000}"/>
    <cellStyle name="Normal 14 16 31" xfId="10515" xr:uid="{00000000-0005-0000-0000-0000E2250000}"/>
    <cellStyle name="Normal 14 16 32" xfId="10516" xr:uid="{00000000-0005-0000-0000-0000E3250000}"/>
    <cellStyle name="Normal 14 16 33" xfId="10517" xr:uid="{00000000-0005-0000-0000-0000E4250000}"/>
    <cellStyle name="Normal 14 16 34" xfId="10518" xr:uid="{00000000-0005-0000-0000-0000E5250000}"/>
    <cellStyle name="Normal 14 16 35" xfId="10519" xr:uid="{00000000-0005-0000-0000-0000E6250000}"/>
    <cellStyle name="Normal 14 16 36" xfId="10520" xr:uid="{00000000-0005-0000-0000-0000E7250000}"/>
    <cellStyle name="Normal 14 16 37" xfId="10521" xr:uid="{00000000-0005-0000-0000-0000E8250000}"/>
    <cellStyle name="Normal 14 16 4" xfId="10522" xr:uid="{00000000-0005-0000-0000-0000E9250000}"/>
    <cellStyle name="Normal 14 16 5" xfId="10523" xr:uid="{00000000-0005-0000-0000-0000EA250000}"/>
    <cellStyle name="Normal 14 16 6" xfId="10524" xr:uid="{00000000-0005-0000-0000-0000EB250000}"/>
    <cellStyle name="Normal 14 16 7" xfId="10525" xr:uid="{00000000-0005-0000-0000-0000EC250000}"/>
    <cellStyle name="Normal 14 16 8" xfId="10526" xr:uid="{00000000-0005-0000-0000-0000ED250000}"/>
    <cellStyle name="Normal 14 16 9" xfId="10527" xr:uid="{00000000-0005-0000-0000-0000EE250000}"/>
    <cellStyle name="Normal 14 17" xfId="10528" xr:uid="{00000000-0005-0000-0000-0000EF250000}"/>
    <cellStyle name="Normal 14 17 10" xfId="10529" xr:uid="{00000000-0005-0000-0000-0000F0250000}"/>
    <cellStyle name="Normal 14 17 11" xfId="10530" xr:uid="{00000000-0005-0000-0000-0000F1250000}"/>
    <cellStyle name="Normal 14 17 12" xfId="10531" xr:uid="{00000000-0005-0000-0000-0000F2250000}"/>
    <cellStyle name="Normal 14 17 13" xfId="10532" xr:uid="{00000000-0005-0000-0000-0000F3250000}"/>
    <cellStyle name="Normal 14 17 14" xfId="10533" xr:uid="{00000000-0005-0000-0000-0000F4250000}"/>
    <cellStyle name="Normal 14 17 15" xfId="10534" xr:uid="{00000000-0005-0000-0000-0000F5250000}"/>
    <cellStyle name="Normal 14 17 16" xfId="10535" xr:uid="{00000000-0005-0000-0000-0000F6250000}"/>
    <cellStyle name="Normal 14 17 17" xfId="10536" xr:uid="{00000000-0005-0000-0000-0000F7250000}"/>
    <cellStyle name="Normal 14 17 18" xfId="10537" xr:uid="{00000000-0005-0000-0000-0000F8250000}"/>
    <cellStyle name="Normal 14 17 19" xfId="10538" xr:uid="{00000000-0005-0000-0000-0000F9250000}"/>
    <cellStyle name="Normal 14 17 2" xfId="10539" xr:uid="{00000000-0005-0000-0000-0000FA250000}"/>
    <cellStyle name="Normal 14 17 20" xfId="10540" xr:uid="{00000000-0005-0000-0000-0000FB250000}"/>
    <cellStyle name="Normal 14 17 21" xfId="10541" xr:uid="{00000000-0005-0000-0000-0000FC250000}"/>
    <cellStyle name="Normal 14 17 22" xfId="10542" xr:uid="{00000000-0005-0000-0000-0000FD250000}"/>
    <cellStyle name="Normal 14 17 23" xfId="10543" xr:uid="{00000000-0005-0000-0000-0000FE250000}"/>
    <cellStyle name="Normal 14 17 24" xfId="10544" xr:uid="{00000000-0005-0000-0000-0000FF250000}"/>
    <cellStyle name="Normal 14 17 25" xfId="10545" xr:uid="{00000000-0005-0000-0000-000000260000}"/>
    <cellStyle name="Normal 14 17 26" xfId="10546" xr:uid="{00000000-0005-0000-0000-000001260000}"/>
    <cellStyle name="Normal 14 17 27" xfId="10547" xr:uid="{00000000-0005-0000-0000-000002260000}"/>
    <cellStyle name="Normal 14 17 28" xfId="10548" xr:uid="{00000000-0005-0000-0000-000003260000}"/>
    <cellStyle name="Normal 14 17 29" xfId="10549" xr:uid="{00000000-0005-0000-0000-000004260000}"/>
    <cellStyle name="Normal 14 17 3" xfId="10550" xr:uid="{00000000-0005-0000-0000-000005260000}"/>
    <cellStyle name="Normal 14 17 30" xfId="10551" xr:uid="{00000000-0005-0000-0000-000006260000}"/>
    <cellStyle name="Normal 14 17 31" xfId="10552" xr:uid="{00000000-0005-0000-0000-000007260000}"/>
    <cellStyle name="Normal 14 17 32" xfId="10553" xr:uid="{00000000-0005-0000-0000-000008260000}"/>
    <cellStyle name="Normal 14 17 33" xfId="10554" xr:uid="{00000000-0005-0000-0000-000009260000}"/>
    <cellStyle name="Normal 14 17 34" xfId="10555" xr:uid="{00000000-0005-0000-0000-00000A260000}"/>
    <cellStyle name="Normal 14 17 35" xfId="10556" xr:uid="{00000000-0005-0000-0000-00000B260000}"/>
    <cellStyle name="Normal 14 17 36" xfId="10557" xr:uid="{00000000-0005-0000-0000-00000C260000}"/>
    <cellStyle name="Normal 14 17 37" xfId="10558" xr:uid="{00000000-0005-0000-0000-00000D260000}"/>
    <cellStyle name="Normal 14 17 4" xfId="10559" xr:uid="{00000000-0005-0000-0000-00000E260000}"/>
    <cellStyle name="Normal 14 17 5" xfId="10560" xr:uid="{00000000-0005-0000-0000-00000F260000}"/>
    <cellStyle name="Normal 14 17 6" xfId="10561" xr:uid="{00000000-0005-0000-0000-000010260000}"/>
    <cellStyle name="Normal 14 17 7" xfId="10562" xr:uid="{00000000-0005-0000-0000-000011260000}"/>
    <cellStyle name="Normal 14 17 8" xfId="10563" xr:uid="{00000000-0005-0000-0000-000012260000}"/>
    <cellStyle name="Normal 14 17 9" xfId="10564" xr:uid="{00000000-0005-0000-0000-000013260000}"/>
    <cellStyle name="Normal 14 18" xfId="10565" xr:uid="{00000000-0005-0000-0000-000014260000}"/>
    <cellStyle name="Normal 14 18 10" xfId="10566" xr:uid="{00000000-0005-0000-0000-000015260000}"/>
    <cellStyle name="Normal 14 18 11" xfId="10567" xr:uid="{00000000-0005-0000-0000-000016260000}"/>
    <cellStyle name="Normal 14 18 12" xfId="10568" xr:uid="{00000000-0005-0000-0000-000017260000}"/>
    <cellStyle name="Normal 14 18 13" xfId="10569" xr:uid="{00000000-0005-0000-0000-000018260000}"/>
    <cellStyle name="Normal 14 18 14" xfId="10570" xr:uid="{00000000-0005-0000-0000-000019260000}"/>
    <cellStyle name="Normal 14 18 15" xfId="10571" xr:uid="{00000000-0005-0000-0000-00001A260000}"/>
    <cellStyle name="Normal 14 18 16" xfId="10572" xr:uid="{00000000-0005-0000-0000-00001B260000}"/>
    <cellStyle name="Normal 14 18 17" xfId="10573" xr:uid="{00000000-0005-0000-0000-00001C260000}"/>
    <cellStyle name="Normal 14 18 18" xfId="10574" xr:uid="{00000000-0005-0000-0000-00001D260000}"/>
    <cellStyle name="Normal 14 18 19" xfId="10575" xr:uid="{00000000-0005-0000-0000-00001E260000}"/>
    <cellStyle name="Normal 14 18 2" xfId="10576" xr:uid="{00000000-0005-0000-0000-00001F260000}"/>
    <cellStyle name="Normal 14 18 20" xfId="10577" xr:uid="{00000000-0005-0000-0000-000020260000}"/>
    <cellStyle name="Normal 14 18 21" xfId="10578" xr:uid="{00000000-0005-0000-0000-000021260000}"/>
    <cellStyle name="Normal 14 18 22" xfId="10579" xr:uid="{00000000-0005-0000-0000-000022260000}"/>
    <cellStyle name="Normal 14 18 23" xfId="10580" xr:uid="{00000000-0005-0000-0000-000023260000}"/>
    <cellStyle name="Normal 14 18 24" xfId="10581" xr:uid="{00000000-0005-0000-0000-000024260000}"/>
    <cellStyle name="Normal 14 18 25" xfId="10582" xr:uid="{00000000-0005-0000-0000-000025260000}"/>
    <cellStyle name="Normal 14 18 26" xfId="10583" xr:uid="{00000000-0005-0000-0000-000026260000}"/>
    <cellStyle name="Normal 14 18 27" xfId="10584" xr:uid="{00000000-0005-0000-0000-000027260000}"/>
    <cellStyle name="Normal 14 18 28" xfId="10585" xr:uid="{00000000-0005-0000-0000-000028260000}"/>
    <cellStyle name="Normal 14 18 29" xfId="10586" xr:uid="{00000000-0005-0000-0000-000029260000}"/>
    <cellStyle name="Normal 14 18 3" xfId="10587" xr:uid="{00000000-0005-0000-0000-00002A260000}"/>
    <cellStyle name="Normal 14 18 30" xfId="10588" xr:uid="{00000000-0005-0000-0000-00002B260000}"/>
    <cellStyle name="Normal 14 18 31" xfId="10589" xr:uid="{00000000-0005-0000-0000-00002C260000}"/>
    <cellStyle name="Normal 14 18 32" xfId="10590" xr:uid="{00000000-0005-0000-0000-00002D260000}"/>
    <cellStyle name="Normal 14 18 33" xfId="10591" xr:uid="{00000000-0005-0000-0000-00002E260000}"/>
    <cellStyle name="Normal 14 18 34" xfId="10592" xr:uid="{00000000-0005-0000-0000-00002F260000}"/>
    <cellStyle name="Normal 14 18 35" xfId="10593" xr:uid="{00000000-0005-0000-0000-000030260000}"/>
    <cellStyle name="Normal 14 18 36" xfId="10594" xr:uid="{00000000-0005-0000-0000-000031260000}"/>
    <cellStyle name="Normal 14 18 37" xfId="10595" xr:uid="{00000000-0005-0000-0000-000032260000}"/>
    <cellStyle name="Normal 14 18 4" xfId="10596" xr:uid="{00000000-0005-0000-0000-000033260000}"/>
    <cellStyle name="Normal 14 18 5" xfId="10597" xr:uid="{00000000-0005-0000-0000-000034260000}"/>
    <cellStyle name="Normal 14 18 6" xfId="10598" xr:uid="{00000000-0005-0000-0000-000035260000}"/>
    <cellStyle name="Normal 14 18 7" xfId="10599" xr:uid="{00000000-0005-0000-0000-000036260000}"/>
    <cellStyle name="Normal 14 18 8" xfId="10600" xr:uid="{00000000-0005-0000-0000-000037260000}"/>
    <cellStyle name="Normal 14 18 9" xfId="10601" xr:uid="{00000000-0005-0000-0000-000038260000}"/>
    <cellStyle name="Normal 14 19" xfId="10602" xr:uid="{00000000-0005-0000-0000-000039260000}"/>
    <cellStyle name="Normal 14 19 10" xfId="10603" xr:uid="{00000000-0005-0000-0000-00003A260000}"/>
    <cellStyle name="Normal 14 19 11" xfId="10604" xr:uid="{00000000-0005-0000-0000-00003B260000}"/>
    <cellStyle name="Normal 14 19 12" xfId="10605" xr:uid="{00000000-0005-0000-0000-00003C260000}"/>
    <cellStyle name="Normal 14 19 13" xfId="10606" xr:uid="{00000000-0005-0000-0000-00003D260000}"/>
    <cellStyle name="Normal 14 19 14" xfId="10607" xr:uid="{00000000-0005-0000-0000-00003E260000}"/>
    <cellStyle name="Normal 14 19 15" xfId="10608" xr:uid="{00000000-0005-0000-0000-00003F260000}"/>
    <cellStyle name="Normal 14 19 16" xfId="10609" xr:uid="{00000000-0005-0000-0000-000040260000}"/>
    <cellStyle name="Normal 14 19 17" xfId="10610" xr:uid="{00000000-0005-0000-0000-000041260000}"/>
    <cellStyle name="Normal 14 19 18" xfId="10611" xr:uid="{00000000-0005-0000-0000-000042260000}"/>
    <cellStyle name="Normal 14 19 19" xfId="10612" xr:uid="{00000000-0005-0000-0000-000043260000}"/>
    <cellStyle name="Normal 14 19 2" xfId="10613" xr:uid="{00000000-0005-0000-0000-000044260000}"/>
    <cellStyle name="Normal 14 19 20" xfId="10614" xr:uid="{00000000-0005-0000-0000-000045260000}"/>
    <cellStyle name="Normal 14 19 21" xfId="10615" xr:uid="{00000000-0005-0000-0000-000046260000}"/>
    <cellStyle name="Normal 14 19 22" xfId="10616" xr:uid="{00000000-0005-0000-0000-000047260000}"/>
    <cellStyle name="Normal 14 19 23" xfId="10617" xr:uid="{00000000-0005-0000-0000-000048260000}"/>
    <cellStyle name="Normal 14 19 24" xfId="10618" xr:uid="{00000000-0005-0000-0000-000049260000}"/>
    <cellStyle name="Normal 14 19 25" xfId="10619" xr:uid="{00000000-0005-0000-0000-00004A260000}"/>
    <cellStyle name="Normal 14 19 26" xfId="10620" xr:uid="{00000000-0005-0000-0000-00004B260000}"/>
    <cellStyle name="Normal 14 19 27" xfId="10621" xr:uid="{00000000-0005-0000-0000-00004C260000}"/>
    <cellStyle name="Normal 14 19 28" xfId="10622" xr:uid="{00000000-0005-0000-0000-00004D260000}"/>
    <cellStyle name="Normal 14 19 29" xfId="10623" xr:uid="{00000000-0005-0000-0000-00004E260000}"/>
    <cellStyle name="Normal 14 19 3" xfId="10624" xr:uid="{00000000-0005-0000-0000-00004F260000}"/>
    <cellStyle name="Normal 14 19 30" xfId="10625" xr:uid="{00000000-0005-0000-0000-000050260000}"/>
    <cellStyle name="Normal 14 19 31" xfId="10626" xr:uid="{00000000-0005-0000-0000-000051260000}"/>
    <cellStyle name="Normal 14 19 32" xfId="10627" xr:uid="{00000000-0005-0000-0000-000052260000}"/>
    <cellStyle name="Normal 14 19 33" xfId="10628" xr:uid="{00000000-0005-0000-0000-000053260000}"/>
    <cellStyle name="Normal 14 19 34" xfId="10629" xr:uid="{00000000-0005-0000-0000-000054260000}"/>
    <cellStyle name="Normal 14 19 35" xfId="10630" xr:uid="{00000000-0005-0000-0000-000055260000}"/>
    <cellStyle name="Normal 14 19 36" xfId="10631" xr:uid="{00000000-0005-0000-0000-000056260000}"/>
    <cellStyle name="Normal 14 19 37" xfId="10632" xr:uid="{00000000-0005-0000-0000-000057260000}"/>
    <cellStyle name="Normal 14 19 4" xfId="10633" xr:uid="{00000000-0005-0000-0000-000058260000}"/>
    <cellStyle name="Normal 14 19 5" xfId="10634" xr:uid="{00000000-0005-0000-0000-000059260000}"/>
    <cellStyle name="Normal 14 19 6" xfId="10635" xr:uid="{00000000-0005-0000-0000-00005A260000}"/>
    <cellStyle name="Normal 14 19 7" xfId="10636" xr:uid="{00000000-0005-0000-0000-00005B260000}"/>
    <cellStyle name="Normal 14 19 8" xfId="10637" xr:uid="{00000000-0005-0000-0000-00005C260000}"/>
    <cellStyle name="Normal 14 19 9" xfId="10638" xr:uid="{00000000-0005-0000-0000-00005D260000}"/>
    <cellStyle name="Normal 14 2" xfId="10639" xr:uid="{00000000-0005-0000-0000-00005E260000}"/>
    <cellStyle name="Normal 14 2 2" xfId="10640" xr:uid="{00000000-0005-0000-0000-00005F260000}"/>
    <cellStyle name="Normal 14 20" xfId="10641" xr:uid="{00000000-0005-0000-0000-000060260000}"/>
    <cellStyle name="Normal 14 20 10" xfId="10642" xr:uid="{00000000-0005-0000-0000-000061260000}"/>
    <cellStyle name="Normal 14 20 11" xfId="10643" xr:uid="{00000000-0005-0000-0000-000062260000}"/>
    <cellStyle name="Normal 14 20 12" xfId="10644" xr:uid="{00000000-0005-0000-0000-000063260000}"/>
    <cellStyle name="Normal 14 20 13" xfId="10645" xr:uid="{00000000-0005-0000-0000-000064260000}"/>
    <cellStyle name="Normal 14 20 14" xfId="10646" xr:uid="{00000000-0005-0000-0000-000065260000}"/>
    <cellStyle name="Normal 14 20 15" xfId="10647" xr:uid="{00000000-0005-0000-0000-000066260000}"/>
    <cellStyle name="Normal 14 20 16" xfId="10648" xr:uid="{00000000-0005-0000-0000-000067260000}"/>
    <cellStyle name="Normal 14 20 17" xfId="10649" xr:uid="{00000000-0005-0000-0000-000068260000}"/>
    <cellStyle name="Normal 14 20 18" xfId="10650" xr:uid="{00000000-0005-0000-0000-000069260000}"/>
    <cellStyle name="Normal 14 20 19" xfId="10651" xr:uid="{00000000-0005-0000-0000-00006A260000}"/>
    <cellStyle name="Normal 14 20 2" xfId="10652" xr:uid="{00000000-0005-0000-0000-00006B260000}"/>
    <cellStyle name="Normal 14 20 20" xfId="10653" xr:uid="{00000000-0005-0000-0000-00006C260000}"/>
    <cellStyle name="Normal 14 20 21" xfId="10654" xr:uid="{00000000-0005-0000-0000-00006D260000}"/>
    <cellStyle name="Normal 14 20 22" xfId="10655" xr:uid="{00000000-0005-0000-0000-00006E260000}"/>
    <cellStyle name="Normal 14 20 23" xfId="10656" xr:uid="{00000000-0005-0000-0000-00006F260000}"/>
    <cellStyle name="Normal 14 20 24" xfId="10657" xr:uid="{00000000-0005-0000-0000-000070260000}"/>
    <cellStyle name="Normal 14 20 25" xfId="10658" xr:uid="{00000000-0005-0000-0000-000071260000}"/>
    <cellStyle name="Normal 14 20 26" xfId="10659" xr:uid="{00000000-0005-0000-0000-000072260000}"/>
    <cellStyle name="Normal 14 20 27" xfId="10660" xr:uid="{00000000-0005-0000-0000-000073260000}"/>
    <cellStyle name="Normal 14 20 28" xfId="10661" xr:uid="{00000000-0005-0000-0000-000074260000}"/>
    <cellStyle name="Normal 14 20 29" xfId="10662" xr:uid="{00000000-0005-0000-0000-000075260000}"/>
    <cellStyle name="Normal 14 20 3" xfId="10663" xr:uid="{00000000-0005-0000-0000-000076260000}"/>
    <cellStyle name="Normal 14 20 30" xfId="10664" xr:uid="{00000000-0005-0000-0000-000077260000}"/>
    <cellStyle name="Normal 14 20 31" xfId="10665" xr:uid="{00000000-0005-0000-0000-000078260000}"/>
    <cellStyle name="Normal 14 20 32" xfId="10666" xr:uid="{00000000-0005-0000-0000-000079260000}"/>
    <cellStyle name="Normal 14 20 33" xfId="10667" xr:uid="{00000000-0005-0000-0000-00007A260000}"/>
    <cellStyle name="Normal 14 20 34" xfId="10668" xr:uid="{00000000-0005-0000-0000-00007B260000}"/>
    <cellStyle name="Normal 14 20 35" xfId="10669" xr:uid="{00000000-0005-0000-0000-00007C260000}"/>
    <cellStyle name="Normal 14 20 36" xfId="10670" xr:uid="{00000000-0005-0000-0000-00007D260000}"/>
    <cellStyle name="Normal 14 20 37" xfId="10671" xr:uid="{00000000-0005-0000-0000-00007E260000}"/>
    <cellStyle name="Normal 14 20 4" xfId="10672" xr:uid="{00000000-0005-0000-0000-00007F260000}"/>
    <cellStyle name="Normal 14 20 5" xfId="10673" xr:uid="{00000000-0005-0000-0000-000080260000}"/>
    <cellStyle name="Normal 14 20 6" xfId="10674" xr:uid="{00000000-0005-0000-0000-000081260000}"/>
    <cellStyle name="Normal 14 20 7" xfId="10675" xr:uid="{00000000-0005-0000-0000-000082260000}"/>
    <cellStyle name="Normal 14 20 8" xfId="10676" xr:uid="{00000000-0005-0000-0000-000083260000}"/>
    <cellStyle name="Normal 14 20 9" xfId="10677" xr:uid="{00000000-0005-0000-0000-000084260000}"/>
    <cellStyle name="Normal 14 21" xfId="10678" xr:uid="{00000000-0005-0000-0000-000085260000}"/>
    <cellStyle name="Normal 14 21 10" xfId="10679" xr:uid="{00000000-0005-0000-0000-000086260000}"/>
    <cellStyle name="Normal 14 21 11" xfId="10680" xr:uid="{00000000-0005-0000-0000-000087260000}"/>
    <cellStyle name="Normal 14 21 12" xfId="10681" xr:uid="{00000000-0005-0000-0000-000088260000}"/>
    <cellStyle name="Normal 14 21 13" xfId="10682" xr:uid="{00000000-0005-0000-0000-000089260000}"/>
    <cellStyle name="Normal 14 21 14" xfId="10683" xr:uid="{00000000-0005-0000-0000-00008A260000}"/>
    <cellStyle name="Normal 14 21 15" xfId="10684" xr:uid="{00000000-0005-0000-0000-00008B260000}"/>
    <cellStyle name="Normal 14 21 16" xfId="10685" xr:uid="{00000000-0005-0000-0000-00008C260000}"/>
    <cellStyle name="Normal 14 21 17" xfId="10686" xr:uid="{00000000-0005-0000-0000-00008D260000}"/>
    <cellStyle name="Normal 14 21 18" xfId="10687" xr:uid="{00000000-0005-0000-0000-00008E260000}"/>
    <cellStyle name="Normal 14 21 19" xfId="10688" xr:uid="{00000000-0005-0000-0000-00008F260000}"/>
    <cellStyle name="Normal 14 21 2" xfId="10689" xr:uid="{00000000-0005-0000-0000-000090260000}"/>
    <cellStyle name="Normal 14 21 20" xfId="10690" xr:uid="{00000000-0005-0000-0000-000091260000}"/>
    <cellStyle name="Normal 14 21 21" xfId="10691" xr:uid="{00000000-0005-0000-0000-000092260000}"/>
    <cellStyle name="Normal 14 21 22" xfId="10692" xr:uid="{00000000-0005-0000-0000-000093260000}"/>
    <cellStyle name="Normal 14 21 23" xfId="10693" xr:uid="{00000000-0005-0000-0000-000094260000}"/>
    <cellStyle name="Normal 14 21 24" xfId="10694" xr:uid="{00000000-0005-0000-0000-000095260000}"/>
    <cellStyle name="Normal 14 21 25" xfId="10695" xr:uid="{00000000-0005-0000-0000-000096260000}"/>
    <cellStyle name="Normal 14 21 26" xfId="10696" xr:uid="{00000000-0005-0000-0000-000097260000}"/>
    <cellStyle name="Normal 14 21 27" xfId="10697" xr:uid="{00000000-0005-0000-0000-000098260000}"/>
    <cellStyle name="Normal 14 21 28" xfId="10698" xr:uid="{00000000-0005-0000-0000-000099260000}"/>
    <cellStyle name="Normal 14 21 29" xfId="10699" xr:uid="{00000000-0005-0000-0000-00009A260000}"/>
    <cellStyle name="Normal 14 21 3" xfId="10700" xr:uid="{00000000-0005-0000-0000-00009B260000}"/>
    <cellStyle name="Normal 14 21 30" xfId="10701" xr:uid="{00000000-0005-0000-0000-00009C260000}"/>
    <cellStyle name="Normal 14 21 31" xfId="10702" xr:uid="{00000000-0005-0000-0000-00009D260000}"/>
    <cellStyle name="Normal 14 21 32" xfId="10703" xr:uid="{00000000-0005-0000-0000-00009E260000}"/>
    <cellStyle name="Normal 14 21 33" xfId="10704" xr:uid="{00000000-0005-0000-0000-00009F260000}"/>
    <cellStyle name="Normal 14 21 34" xfId="10705" xr:uid="{00000000-0005-0000-0000-0000A0260000}"/>
    <cellStyle name="Normal 14 21 35" xfId="10706" xr:uid="{00000000-0005-0000-0000-0000A1260000}"/>
    <cellStyle name="Normal 14 21 36" xfId="10707" xr:uid="{00000000-0005-0000-0000-0000A2260000}"/>
    <cellStyle name="Normal 14 21 37" xfId="10708" xr:uid="{00000000-0005-0000-0000-0000A3260000}"/>
    <cellStyle name="Normal 14 21 4" xfId="10709" xr:uid="{00000000-0005-0000-0000-0000A4260000}"/>
    <cellStyle name="Normal 14 21 5" xfId="10710" xr:uid="{00000000-0005-0000-0000-0000A5260000}"/>
    <cellStyle name="Normal 14 21 6" xfId="10711" xr:uid="{00000000-0005-0000-0000-0000A6260000}"/>
    <cellStyle name="Normal 14 21 7" xfId="10712" xr:uid="{00000000-0005-0000-0000-0000A7260000}"/>
    <cellStyle name="Normal 14 21 8" xfId="10713" xr:uid="{00000000-0005-0000-0000-0000A8260000}"/>
    <cellStyle name="Normal 14 21 9" xfId="10714" xr:uid="{00000000-0005-0000-0000-0000A9260000}"/>
    <cellStyle name="Normal 14 22" xfId="10715" xr:uid="{00000000-0005-0000-0000-0000AA260000}"/>
    <cellStyle name="Normal 14 22 10" xfId="10716" xr:uid="{00000000-0005-0000-0000-0000AB260000}"/>
    <cellStyle name="Normal 14 22 11" xfId="10717" xr:uid="{00000000-0005-0000-0000-0000AC260000}"/>
    <cellStyle name="Normal 14 22 12" xfId="10718" xr:uid="{00000000-0005-0000-0000-0000AD260000}"/>
    <cellStyle name="Normal 14 22 13" xfId="10719" xr:uid="{00000000-0005-0000-0000-0000AE260000}"/>
    <cellStyle name="Normal 14 22 14" xfId="10720" xr:uid="{00000000-0005-0000-0000-0000AF260000}"/>
    <cellStyle name="Normal 14 22 15" xfId="10721" xr:uid="{00000000-0005-0000-0000-0000B0260000}"/>
    <cellStyle name="Normal 14 22 16" xfId="10722" xr:uid="{00000000-0005-0000-0000-0000B1260000}"/>
    <cellStyle name="Normal 14 22 17" xfId="10723" xr:uid="{00000000-0005-0000-0000-0000B2260000}"/>
    <cellStyle name="Normal 14 22 18" xfId="10724" xr:uid="{00000000-0005-0000-0000-0000B3260000}"/>
    <cellStyle name="Normal 14 22 19" xfId="10725" xr:uid="{00000000-0005-0000-0000-0000B4260000}"/>
    <cellStyle name="Normal 14 22 2" xfId="10726" xr:uid="{00000000-0005-0000-0000-0000B5260000}"/>
    <cellStyle name="Normal 14 22 20" xfId="10727" xr:uid="{00000000-0005-0000-0000-0000B6260000}"/>
    <cellStyle name="Normal 14 22 21" xfId="10728" xr:uid="{00000000-0005-0000-0000-0000B7260000}"/>
    <cellStyle name="Normal 14 22 22" xfId="10729" xr:uid="{00000000-0005-0000-0000-0000B8260000}"/>
    <cellStyle name="Normal 14 22 23" xfId="10730" xr:uid="{00000000-0005-0000-0000-0000B9260000}"/>
    <cellStyle name="Normal 14 22 24" xfId="10731" xr:uid="{00000000-0005-0000-0000-0000BA260000}"/>
    <cellStyle name="Normal 14 22 25" xfId="10732" xr:uid="{00000000-0005-0000-0000-0000BB260000}"/>
    <cellStyle name="Normal 14 22 26" xfId="10733" xr:uid="{00000000-0005-0000-0000-0000BC260000}"/>
    <cellStyle name="Normal 14 22 27" xfId="10734" xr:uid="{00000000-0005-0000-0000-0000BD260000}"/>
    <cellStyle name="Normal 14 22 28" xfId="10735" xr:uid="{00000000-0005-0000-0000-0000BE260000}"/>
    <cellStyle name="Normal 14 22 29" xfId="10736" xr:uid="{00000000-0005-0000-0000-0000BF260000}"/>
    <cellStyle name="Normal 14 22 3" xfId="10737" xr:uid="{00000000-0005-0000-0000-0000C0260000}"/>
    <cellStyle name="Normal 14 22 30" xfId="10738" xr:uid="{00000000-0005-0000-0000-0000C1260000}"/>
    <cellStyle name="Normal 14 22 31" xfId="10739" xr:uid="{00000000-0005-0000-0000-0000C2260000}"/>
    <cellStyle name="Normal 14 22 32" xfId="10740" xr:uid="{00000000-0005-0000-0000-0000C3260000}"/>
    <cellStyle name="Normal 14 22 33" xfId="10741" xr:uid="{00000000-0005-0000-0000-0000C4260000}"/>
    <cellStyle name="Normal 14 22 34" xfId="10742" xr:uid="{00000000-0005-0000-0000-0000C5260000}"/>
    <cellStyle name="Normal 14 22 35" xfId="10743" xr:uid="{00000000-0005-0000-0000-0000C6260000}"/>
    <cellStyle name="Normal 14 22 36" xfId="10744" xr:uid="{00000000-0005-0000-0000-0000C7260000}"/>
    <cellStyle name="Normal 14 22 37" xfId="10745" xr:uid="{00000000-0005-0000-0000-0000C8260000}"/>
    <cellStyle name="Normal 14 22 4" xfId="10746" xr:uid="{00000000-0005-0000-0000-0000C9260000}"/>
    <cellStyle name="Normal 14 22 5" xfId="10747" xr:uid="{00000000-0005-0000-0000-0000CA260000}"/>
    <cellStyle name="Normal 14 22 6" xfId="10748" xr:uid="{00000000-0005-0000-0000-0000CB260000}"/>
    <cellStyle name="Normal 14 22 7" xfId="10749" xr:uid="{00000000-0005-0000-0000-0000CC260000}"/>
    <cellStyle name="Normal 14 22 8" xfId="10750" xr:uid="{00000000-0005-0000-0000-0000CD260000}"/>
    <cellStyle name="Normal 14 22 9" xfId="10751" xr:uid="{00000000-0005-0000-0000-0000CE260000}"/>
    <cellStyle name="Normal 14 23" xfId="10752" xr:uid="{00000000-0005-0000-0000-0000CF260000}"/>
    <cellStyle name="Normal 14 23 10" xfId="10753" xr:uid="{00000000-0005-0000-0000-0000D0260000}"/>
    <cellStyle name="Normal 14 23 11" xfId="10754" xr:uid="{00000000-0005-0000-0000-0000D1260000}"/>
    <cellStyle name="Normal 14 23 12" xfId="10755" xr:uid="{00000000-0005-0000-0000-0000D2260000}"/>
    <cellStyle name="Normal 14 23 13" xfId="10756" xr:uid="{00000000-0005-0000-0000-0000D3260000}"/>
    <cellStyle name="Normal 14 23 14" xfId="10757" xr:uid="{00000000-0005-0000-0000-0000D4260000}"/>
    <cellStyle name="Normal 14 23 15" xfId="10758" xr:uid="{00000000-0005-0000-0000-0000D5260000}"/>
    <cellStyle name="Normal 14 23 16" xfId="10759" xr:uid="{00000000-0005-0000-0000-0000D6260000}"/>
    <cellStyle name="Normal 14 23 17" xfId="10760" xr:uid="{00000000-0005-0000-0000-0000D7260000}"/>
    <cellStyle name="Normal 14 23 18" xfId="10761" xr:uid="{00000000-0005-0000-0000-0000D8260000}"/>
    <cellStyle name="Normal 14 23 19" xfId="10762" xr:uid="{00000000-0005-0000-0000-0000D9260000}"/>
    <cellStyle name="Normal 14 23 2" xfId="10763" xr:uid="{00000000-0005-0000-0000-0000DA260000}"/>
    <cellStyle name="Normal 14 23 20" xfId="10764" xr:uid="{00000000-0005-0000-0000-0000DB260000}"/>
    <cellStyle name="Normal 14 23 21" xfId="10765" xr:uid="{00000000-0005-0000-0000-0000DC260000}"/>
    <cellStyle name="Normal 14 23 22" xfId="10766" xr:uid="{00000000-0005-0000-0000-0000DD260000}"/>
    <cellStyle name="Normal 14 23 23" xfId="10767" xr:uid="{00000000-0005-0000-0000-0000DE260000}"/>
    <cellStyle name="Normal 14 23 24" xfId="10768" xr:uid="{00000000-0005-0000-0000-0000DF260000}"/>
    <cellStyle name="Normal 14 23 25" xfId="10769" xr:uid="{00000000-0005-0000-0000-0000E0260000}"/>
    <cellStyle name="Normal 14 23 26" xfId="10770" xr:uid="{00000000-0005-0000-0000-0000E1260000}"/>
    <cellStyle name="Normal 14 23 27" xfId="10771" xr:uid="{00000000-0005-0000-0000-0000E2260000}"/>
    <cellStyle name="Normal 14 23 28" xfId="10772" xr:uid="{00000000-0005-0000-0000-0000E3260000}"/>
    <cellStyle name="Normal 14 23 29" xfId="10773" xr:uid="{00000000-0005-0000-0000-0000E4260000}"/>
    <cellStyle name="Normal 14 23 3" xfId="10774" xr:uid="{00000000-0005-0000-0000-0000E5260000}"/>
    <cellStyle name="Normal 14 23 30" xfId="10775" xr:uid="{00000000-0005-0000-0000-0000E6260000}"/>
    <cellStyle name="Normal 14 23 31" xfId="10776" xr:uid="{00000000-0005-0000-0000-0000E7260000}"/>
    <cellStyle name="Normal 14 23 32" xfId="10777" xr:uid="{00000000-0005-0000-0000-0000E8260000}"/>
    <cellStyle name="Normal 14 23 33" xfId="10778" xr:uid="{00000000-0005-0000-0000-0000E9260000}"/>
    <cellStyle name="Normal 14 23 34" xfId="10779" xr:uid="{00000000-0005-0000-0000-0000EA260000}"/>
    <cellStyle name="Normal 14 23 35" xfId="10780" xr:uid="{00000000-0005-0000-0000-0000EB260000}"/>
    <cellStyle name="Normal 14 23 36" xfId="10781" xr:uid="{00000000-0005-0000-0000-0000EC260000}"/>
    <cellStyle name="Normal 14 23 37" xfId="10782" xr:uid="{00000000-0005-0000-0000-0000ED260000}"/>
    <cellStyle name="Normal 14 23 4" xfId="10783" xr:uid="{00000000-0005-0000-0000-0000EE260000}"/>
    <cellStyle name="Normal 14 23 5" xfId="10784" xr:uid="{00000000-0005-0000-0000-0000EF260000}"/>
    <cellStyle name="Normal 14 23 6" xfId="10785" xr:uid="{00000000-0005-0000-0000-0000F0260000}"/>
    <cellStyle name="Normal 14 23 7" xfId="10786" xr:uid="{00000000-0005-0000-0000-0000F1260000}"/>
    <cellStyle name="Normal 14 23 8" xfId="10787" xr:uid="{00000000-0005-0000-0000-0000F2260000}"/>
    <cellStyle name="Normal 14 23 9" xfId="10788" xr:uid="{00000000-0005-0000-0000-0000F3260000}"/>
    <cellStyle name="Normal 14 24" xfId="10789" xr:uid="{00000000-0005-0000-0000-0000F4260000}"/>
    <cellStyle name="Normal 14 24 10" xfId="10790" xr:uid="{00000000-0005-0000-0000-0000F5260000}"/>
    <cellStyle name="Normal 14 24 11" xfId="10791" xr:uid="{00000000-0005-0000-0000-0000F6260000}"/>
    <cellStyle name="Normal 14 24 12" xfId="10792" xr:uid="{00000000-0005-0000-0000-0000F7260000}"/>
    <cellStyle name="Normal 14 24 13" xfId="10793" xr:uid="{00000000-0005-0000-0000-0000F8260000}"/>
    <cellStyle name="Normal 14 24 14" xfId="10794" xr:uid="{00000000-0005-0000-0000-0000F9260000}"/>
    <cellStyle name="Normal 14 24 15" xfId="10795" xr:uid="{00000000-0005-0000-0000-0000FA260000}"/>
    <cellStyle name="Normal 14 24 16" xfId="10796" xr:uid="{00000000-0005-0000-0000-0000FB260000}"/>
    <cellStyle name="Normal 14 24 17" xfId="10797" xr:uid="{00000000-0005-0000-0000-0000FC260000}"/>
    <cellStyle name="Normal 14 24 18" xfId="10798" xr:uid="{00000000-0005-0000-0000-0000FD260000}"/>
    <cellStyle name="Normal 14 24 19" xfId="10799" xr:uid="{00000000-0005-0000-0000-0000FE260000}"/>
    <cellStyle name="Normal 14 24 2" xfId="10800" xr:uid="{00000000-0005-0000-0000-0000FF260000}"/>
    <cellStyle name="Normal 14 24 20" xfId="10801" xr:uid="{00000000-0005-0000-0000-000000270000}"/>
    <cellStyle name="Normal 14 24 21" xfId="10802" xr:uid="{00000000-0005-0000-0000-000001270000}"/>
    <cellStyle name="Normal 14 24 22" xfId="10803" xr:uid="{00000000-0005-0000-0000-000002270000}"/>
    <cellStyle name="Normal 14 24 23" xfId="10804" xr:uid="{00000000-0005-0000-0000-000003270000}"/>
    <cellStyle name="Normal 14 24 24" xfId="10805" xr:uid="{00000000-0005-0000-0000-000004270000}"/>
    <cellStyle name="Normal 14 24 25" xfId="10806" xr:uid="{00000000-0005-0000-0000-000005270000}"/>
    <cellStyle name="Normal 14 24 26" xfId="10807" xr:uid="{00000000-0005-0000-0000-000006270000}"/>
    <cellStyle name="Normal 14 24 27" xfId="10808" xr:uid="{00000000-0005-0000-0000-000007270000}"/>
    <cellStyle name="Normal 14 24 28" xfId="10809" xr:uid="{00000000-0005-0000-0000-000008270000}"/>
    <cellStyle name="Normal 14 24 29" xfId="10810" xr:uid="{00000000-0005-0000-0000-000009270000}"/>
    <cellStyle name="Normal 14 24 3" xfId="10811" xr:uid="{00000000-0005-0000-0000-00000A270000}"/>
    <cellStyle name="Normal 14 24 30" xfId="10812" xr:uid="{00000000-0005-0000-0000-00000B270000}"/>
    <cellStyle name="Normal 14 24 31" xfId="10813" xr:uid="{00000000-0005-0000-0000-00000C270000}"/>
    <cellStyle name="Normal 14 24 32" xfId="10814" xr:uid="{00000000-0005-0000-0000-00000D270000}"/>
    <cellStyle name="Normal 14 24 33" xfId="10815" xr:uid="{00000000-0005-0000-0000-00000E270000}"/>
    <cellStyle name="Normal 14 24 34" xfId="10816" xr:uid="{00000000-0005-0000-0000-00000F270000}"/>
    <cellStyle name="Normal 14 24 35" xfId="10817" xr:uid="{00000000-0005-0000-0000-000010270000}"/>
    <cellStyle name="Normal 14 24 36" xfId="10818" xr:uid="{00000000-0005-0000-0000-000011270000}"/>
    <cellStyle name="Normal 14 24 37" xfId="10819" xr:uid="{00000000-0005-0000-0000-000012270000}"/>
    <cellStyle name="Normal 14 24 4" xfId="10820" xr:uid="{00000000-0005-0000-0000-000013270000}"/>
    <cellStyle name="Normal 14 24 5" xfId="10821" xr:uid="{00000000-0005-0000-0000-000014270000}"/>
    <cellStyle name="Normal 14 24 6" xfId="10822" xr:uid="{00000000-0005-0000-0000-000015270000}"/>
    <cellStyle name="Normal 14 24 7" xfId="10823" xr:uid="{00000000-0005-0000-0000-000016270000}"/>
    <cellStyle name="Normal 14 24 8" xfId="10824" xr:uid="{00000000-0005-0000-0000-000017270000}"/>
    <cellStyle name="Normal 14 24 9" xfId="10825" xr:uid="{00000000-0005-0000-0000-000018270000}"/>
    <cellStyle name="Normal 14 25" xfId="10826" xr:uid="{00000000-0005-0000-0000-000019270000}"/>
    <cellStyle name="Normal 14 26" xfId="10827" xr:uid="{00000000-0005-0000-0000-00001A270000}"/>
    <cellStyle name="Normal 14 27" xfId="10828" xr:uid="{00000000-0005-0000-0000-00001B270000}"/>
    <cellStyle name="Normal 14 28" xfId="10829" xr:uid="{00000000-0005-0000-0000-00001C270000}"/>
    <cellStyle name="Normal 14 29" xfId="10830" xr:uid="{00000000-0005-0000-0000-00001D270000}"/>
    <cellStyle name="Normal 14 3" xfId="10831" xr:uid="{00000000-0005-0000-0000-00001E270000}"/>
    <cellStyle name="Normal 14 30" xfId="10832" xr:uid="{00000000-0005-0000-0000-00001F270000}"/>
    <cellStyle name="Normal 14 31" xfId="10833" xr:uid="{00000000-0005-0000-0000-000020270000}"/>
    <cellStyle name="Normal 14 32" xfId="10834" xr:uid="{00000000-0005-0000-0000-000021270000}"/>
    <cellStyle name="Normal 14 33" xfId="10835" xr:uid="{00000000-0005-0000-0000-000022270000}"/>
    <cellStyle name="Normal 14 34" xfId="10836" xr:uid="{00000000-0005-0000-0000-000023270000}"/>
    <cellStyle name="Normal 14 35" xfId="10837" xr:uid="{00000000-0005-0000-0000-000024270000}"/>
    <cellStyle name="Normal 14 36" xfId="10838" xr:uid="{00000000-0005-0000-0000-000025270000}"/>
    <cellStyle name="Normal 14 37" xfId="10839" xr:uid="{00000000-0005-0000-0000-000026270000}"/>
    <cellStyle name="Normal 14 38" xfId="10840" xr:uid="{00000000-0005-0000-0000-000027270000}"/>
    <cellStyle name="Normal 14 39" xfId="10841" xr:uid="{00000000-0005-0000-0000-000028270000}"/>
    <cellStyle name="Normal 14 4" xfId="10842" xr:uid="{00000000-0005-0000-0000-000029270000}"/>
    <cellStyle name="Normal 14 40" xfId="10843" xr:uid="{00000000-0005-0000-0000-00002A270000}"/>
    <cellStyle name="Normal 14 41" xfId="10844" xr:uid="{00000000-0005-0000-0000-00002B270000}"/>
    <cellStyle name="Normal 14 42" xfId="10845" xr:uid="{00000000-0005-0000-0000-00002C270000}"/>
    <cellStyle name="Normal 14 43" xfId="10846" xr:uid="{00000000-0005-0000-0000-00002D270000}"/>
    <cellStyle name="Normal 14 44" xfId="10847" xr:uid="{00000000-0005-0000-0000-00002E270000}"/>
    <cellStyle name="Normal 14 45" xfId="10848" xr:uid="{00000000-0005-0000-0000-00002F270000}"/>
    <cellStyle name="Normal 14 46" xfId="10849" xr:uid="{00000000-0005-0000-0000-000030270000}"/>
    <cellStyle name="Normal 14 47" xfId="10850" xr:uid="{00000000-0005-0000-0000-000031270000}"/>
    <cellStyle name="Normal 14 48" xfId="10851" xr:uid="{00000000-0005-0000-0000-000032270000}"/>
    <cellStyle name="Normal 14 49" xfId="10852" xr:uid="{00000000-0005-0000-0000-000033270000}"/>
    <cellStyle name="Normal 14 5" xfId="10853" xr:uid="{00000000-0005-0000-0000-000034270000}"/>
    <cellStyle name="Normal 14 50" xfId="10854" xr:uid="{00000000-0005-0000-0000-000035270000}"/>
    <cellStyle name="Normal 14 51" xfId="10855" xr:uid="{00000000-0005-0000-0000-000036270000}"/>
    <cellStyle name="Normal 14 52" xfId="10856" xr:uid="{00000000-0005-0000-0000-000037270000}"/>
    <cellStyle name="Normal 14 53" xfId="10857" xr:uid="{00000000-0005-0000-0000-000038270000}"/>
    <cellStyle name="Normal 14 54" xfId="10858" xr:uid="{00000000-0005-0000-0000-000039270000}"/>
    <cellStyle name="Normal 14 55" xfId="10859" xr:uid="{00000000-0005-0000-0000-00003A270000}"/>
    <cellStyle name="Normal 14 56" xfId="10860" xr:uid="{00000000-0005-0000-0000-00003B270000}"/>
    <cellStyle name="Normal 14 57" xfId="10861" xr:uid="{00000000-0005-0000-0000-00003C270000}"/>
    <cellStyle name="Normal 14 6" xfId="10862" xr:uid="{00000000-0005-0000-0000-00003D270000}"/>
    <cellStyle name="Normal 14 7" xfId="10863" xr:uid="{00000000-0005-0000-0000-00003E270000}"/>
    <cellStyle name="Normal 14 8" xfId="10864" xr:uid="{00000000-0005-0000-0000-00003F270000}"/>
    <cellStyle name="Normal 14 9" xfId="10865" xr:uid="{00000000-0005-0000-0000-000040270000}"/>
    <cellStyle name="Normal 14 9 10" xfId="10866" xr:uid="{00000000-0005-0000-0000-000041270000}"/>
    <cellStyle name="Normal 14 9 11" xfId="10867" xr:uid="{00000000-0005-0000-0000-000042270000}"/>
    <cellStyle name="Normal 14 9 12" xfId="10868" xr:uid="{00000000-0005-0000-0000-000043270000}"/>
    <cellStyle name="Normal 14 9 13" xfId="10869" xr:uid="{00000000-0005-0000-0000-000044270000}"/>
    <cellStyle name="Normal 14 9 14" xfId="10870" xr:uid="{00000000-0005-0000-0000-000045270000}"/>
    <cellStyle name="Normal 14 9 15" xfId="10871" xr:uid="{00000000-0005-0000-0000-000046270000}"/>
    <cellStyle name="Normal 14 9 16" xfId="10872" xr:uid="{00000000-0005-0000-0000-000047270000}"/>
    <cellStyle name="Normal 14 9 17" xfId="10873" xr:uid="{00000000-0005-0000-0000-000048270000}"/>
    <cellStyle name="Normal 14 9 18" xfId="10874" xr:uid="{00000000-0005-0000-0000-000049270000}"/>
    <cellStyle name="Normal 14 9 19" xfId="10875" xr:uid="{00000000-0005-0000-0000-00004A270000}"/>
    <cellStyle name="Normal 14 9 2" xfId="10876" xr:uid="{00000000-0005-0000-0000-00004B270000}"/>
    <cellStyle name="Normal 14 9 20" xfId="10877" xr:uid="{00000000-0005-0000-0000-00004C270000}"/>
    <cellStyle name="Normal 14 9 21" xfId="10878" xr:uid="{00000000-0005-0000-0000-00004D270000}"/>
    <cellStyle name="Normal 14 9 22" xfId="10879" xr:uid="{00000000-0005-0000-0000-00004E270000}"/>
    <cellStyle name="Normal 14 9 23" xfId="10880" xr:uid="{00000000-0005-0000-0000-00004F270000}"/>
    <cellStyle name="Normal 14 9 24" xfId="10881" xr:uid="{00000000-0005-0000-0000-000050270000}"/>
    <cellStyle name="Normal 14 9 25" xfId="10882" xr:uid="{00000000-0005-0000-0000-000051270000}"/>
    <cellStyle name="Normal 14 9 26" xfId="10883" xr:uid="{00000000-0005-0000-0000-000052270000}"/>
    <cellStyle name="Normal 14 9 27" xfId="10884" xr:uid="{00000000-0005-0000-0000-000053270000}"/>
    <cellStyle name="Normal 14 9 28" xfId="10885" xr:uid="{00000000-0005-0000-0000-000054270000}"/>
    <cellStyle name="Normal 14 9 29" xfId="10886" xr:uid="{00000000-0005-0000-0000-000055270000}"/>
    <cellStyle name="Normal 14 9 3" xfId="10887" xr:uid="{00000000-0005-0000-0000-000056270000}"/>
    <cellStyle name="Normal 14 9 30" xfId="10888" xr:uid="{00000000-0005-0000-0000-000057270000}"/>
    <cellStyle name="Normal 14 9 31" xfId="10889" xr:uid="{00000000-0005-0000-0000-000058270000}"/>
    <cellStyle name="Normal 14 9 32" xfId="10890" xr:uid="{00000000-0005-0000-0000-000059270000}"/>
    <cellStyle name="Normal 14 9 33" xfId="10891" xr:uid="{00000000-0005-0000-0000-00005A270000}"/>
    <cellStyle name="Normal 14 9 34" xfId="10892" xr:uid="{00000000-0005-0000-0000-00005B270000}"/>
    <cellStyle name="Normal 14 9 35" xfId="10893" xr:uid="{00000000-0005-0000-0000-00005C270000}"/>
    <cellStyle name="Normal 14 9 36" xfId="10894" xr:uid="{00000000-0005-0000-0000-00005D270000}"/>
    <cellStyle name="Normal 14 9 37" xfId="10895" xr:uid="{00000000-0005-0000-0000-00005E270000}"/>
    <cellStyle name="Normal 14 9 38" xfId="10896" xr:uid="{00000000-0005-0000-0000-00005F270000}"/>
    <cellStyle name="Normal 14 9 39" xfId="10897" xr:uid="{00000000-0005-0000-0000-000060270000}"/>
    <cellStyle name="Normal 14 9 4" xfId="10898" xr:uid="{00000000-0005-0000-0000-000061270000}"/>
    <cellStyle name="Normal 14 9 40" xfId="10899" xr:uid="{00000000-0005-0000-0000-000062270000}"/>
    <cellStyle name="Normal 14 9 41" xfId="10900" xr:uid="{00000000-0005-0000-0000-000063270000}"/>
    <cellStyle name="Normal 14 9 42" xfId="10901" xr:uid="{00000000-0005-0000-0000-000064270000}"/>
    <cellStyle name="Normal 14 9 43" xfId="10902" xr:uid="{00000000-0005-0000-0000-000065270000}"/>
    <cellStyle name="Normal 14 9 44" xfId="10903" xr:uid="{00000000-0005-0000-0000-000066270000}"/>
    <cellStyle name="Normal 14 9 45" xfId="10904" xr:uid="{00000000-0005-0000-0000-000067270000}"/>
    <cellStyle name="Normal 14 9 5" xfId="10905" xr:uid="{00000000-0005-0000-0000-000068270000}"/>
    <cellStyle name="Normal 14 9 6" xfId="10906" xr:uid="{00000000-0005-0000-0000-000069270000}"/>
    <cellStyle name="Normal 14 9 7" xfId="10907" xr:uid="{00000000-0005-0000-0000-00006A270000}"/>
    <cellStyle name="Normal 14 9 8" xfId="10908" xr:uid="{00000000-0005-0000-0000-00006B270000}"/>
    <cellStyle name="Normal 14 9 9" xfId="10909" xr:uid="{00000000-0005-0000-0000-00006C270000}"/>
    <cellStyle name="Normal 140" xfId="10910" xr:uid="{00000000-0005-0000-0000-00006D270000}"/>
    <cellStyle name="Normal 141" xfId="10911" xr:uid="{00000000-0005-0000-0000-00006E270000}"/>
    <cellStyle name="Normal 142" xfId="10912" xr:uid="{00000000-0005-0000-0000-00006F270000}"/>
    <cellStyle name="Normal 143" xfId="10913" xr:uid="{00000000-0005-0000-0000-000070270000}"/>
    <cellStyle name="Normal 144" xfId="10914" xr:uid="{00000000-0005-0000-0000-000071270000}"/>
    <cellStyle name="Normal 145" xfId="10915" xr:uid="{00000000-0005-0000-0000-000072270000}"/>
    <cellStyle name="Normal 146" xfId="10916" xr:uid="{00000000-0005-0000-0000-000073270000}"/>
    <cellStyle name="Normal 147" xfId="1661" xr:uid="{00000000-0005-0000-0000-000074270000}"/>
    <cellStyle name="Normal 148" xfId="10917" xr:uid="{00000000-0005-0000-0000-000075270000}"/>
    <cellStyle name="Normal 149" xfId="10918" xr:uid="{00000000-0005-0000-0000-000076270000}"/>
    <cellStyle name="Normal 15" xfId="1047" xr:uid="{00000000-0005-0000-0000-000077270000}"/>
    <cellStyle name="Normal 15 10" xfId="10919" xr:uid="{00000000-0005-0000-0000-000078270000}"/>
    <cellStyle name="Normal 15 10 10" xfId="10920" xr:uid="{00000000-0005-0000-0000-000079270000}"/>
    <cellStyle name="Normal 15 10 11" xfId="10921" xr:uid="{00000000-0005-0000-0000-00007A270000}"/>
    <cellStyle name="Normal 15 10 12" xfId="10922" xr:uid="{00000000-0005-0000-0000-00007B270000}"/>
    <cellStyle name="Normal 15 10 13" xfId="10923" xr:uid="{00000000-0005-0000-0000-00007C270000}"/>
    <cellStyle name="Normal 15 10 14" xfId="10924" xr:uid="{00000000-0005-0000-0000-00007D270000}"/>
    <cellStyle name="Normal 15 10 15" xfId="10925" xr:uid="{00000000-0005-0000-0000-00007E270000}"/>
    <cellStyle name="Normal 15 10 16" xfId="10926" xr:uid="{00000000-0005-0000-0000-00007F270000}"/>
    <cellStyle name="Normal 15 10 17" xfId="10927" xr:uid="{00000000-0005-0000-0000-000080270000}"/>
    <cellStyle name="Normal 15 10 18" xfId="10928" xr:uid="{00000000-0005-0000-0000-000081270000}"/>
    <cellStyle name="Normal 15 10 19" xfId="10929" xr:uid="{00000000-0005-0000-0000-000082270000}"/>
    <cellStyle name="Normal 15 10 2" xfId="10930" xr:uid="{00000000-0005-0000-0000-000083270000}"/>
    <cellStyle name="Normal 15 10 20" xfId="10931" xr:uid="{00000000-0005-0000-0000-000084270000}"/>
    <cellStyle name="Normal 15 10 21" xfId="10932" xr:uid="{00000000-0005-0000-0000-000085270000}"/>
    <cellStyle name="Normal 15 10 22" xfId="10933" xr:uid="{00000000-0005-0000-0000-000086270000}"/>
    <cellStyle name="Normal 15 10 23" xfId="10934" xr:uid="{00000000-0005-0000-0000-000087270000}"/>
    <cellStyle name="Normal 15 10 24" xfId="10935" xr:uid="{00000000-0005-0000-0000-000088270000}"/>
    <cellStyle name="Normal 15 10 25" xfId="10936" xr:uid="{00000000-0005-0000-0000-000089270000}"/>
    <cellStyle name="Normal 15 10 26" xfId="10937" xr:uid="{00000000-0005-0000-0000-00008A270000}"/>
    <cellStyle name="Normal 15 10 27" xfId="10938" xr:uid="{00000000-0005-0000-0000-00008B270000}"/>
    <cellStyle name="Normal 15 10 28" xfId="10939" xr:uid="{00000000-0005-0000-0000-00008C270000}"/>
    <cellStyle name="Normal 15 10 29" xfId="10940" xr:uid="{00000000-0005-0000-0000-00008D270000}"/>
    <cellStyle name="Normal 15 10 3" xfId="10941" xr:uid="{00000000-0005-0000-0000-00008E270000}"/>
    <cellStyle name="Normal 15 10 30" xfId="10942" xr:uid="{00000000-0005-0000-0000-00008F270000}"/>
    <cellStyle name="Normal 15 10 31" xfId="10943" xr:uid="{00000000-0005-0000-0000-000090270000}"/>
    <cellStyle name="Normal 15 10 32" xfId="10944" xr:uid="{00000000-0005-0000-0000-000091270000}"/>
    <cellStyle name="Normal 15 10 33" xfId="10945" xr:uid="{00000000-0005-0000-0000-000092270000}"/>
    <cellStyle name="Normal 15 10 34" xfId="10946" xr:uid="{00000000-0005-0000-0000-000093270000}"/>
    <cellStyle name="Normal 15 10 35" xfId="10947" xr:uid="{00000000-0005-0000-0000-000094270000}"/>
    <cellStyle name="Normal 15 10 36" xfId="10948" xr:uid="{00000000-0005-0000-0000-000095270000}"/>
    <cellStyle name="Normal 15 10 37" xfId="10949" xr:uid="{00000000-0005-0000-0000-000096270000}"/>
    <cellStyle name="Normal 15 10 4" xfId="10950" xr:uid="{00000000-0005-0000-0000-000097270000}"/>
    <cellStyle name="Normal 15 10 5" xfId="10951" xr:uid="{00000000-0005-0000-0000-000098270000}"/>
    <cellStyle name="Normal 15 10 6" xfId="10952" xr:uid="{00000000-0005-0000-0000-000099270000}"/>
    <cellStyle name="Normal 15 10 7" xfId="10953" xr:uid="{00000000-0005-0000-0000-00009A270000}"/>
    <cellStyle name="Normal 15 10 8" xfId="10954" xr:uid="{00000000-0005-0000-0000-00009B270000}"/>
    <cellStyle name="Normal 15 10 9" xfId="10955" xr:uid="{00000000-0005-0000-0000-00009C270000}"/>
    <cellStyle name="Normal 15 11" xfId="10956" xr:uid="{00000000-0005-0000-0000-00009D270000}"/>
    <cellStyle name="Normal 15 11 10" xfId="10957" xr:uid="{00000000-0005-0000-0000-00009E270000}"/>
    <cellStyle name="Normal 15 11 11" xfId="10958" xr:uid="{00000000-0005-0000-0000-00009F270000}"/>
    <cellStyle name="Normal 15 11 12" xfId="10959" xr:uid="{00000000-0005-0000-0000-0000A0270000}"/>
    <cellStyle name="Normal 15 11 13" xfId="10960" xr:uid="{00000000-0005-0000-0000-0000A1270000}"/>
    <cellStyle name="Normal 15 11 14" xfId="10961" xr:uid="{00000000-0005-0000-0000-0000A2270000}"/>
    <cellStyle name="Normal 15 11 15" xfId="10962" xr:uid="{00000000-0005-0000-0000-0000A3270000}"/>
    <cellStyle name="Normal 15 11 16" xfId="10963" xr:uid="{00000000-0005-0000-0000-0000A4270000}"/>
    <cellStyle name="Normal 15 11 17" xfId="10964" xr:uid="{00000000-0005-0000-0000-0000A5270000}"/>
    <cellStyle name="Normal 15 11 18" xfId="10965" xr:uid="{00000000-0005-0000-0000-0000A6270000}"/>
    <cellStyle name="Normal 15 11 19" xfId="10966" xr:uid="{00000000-0005-0000-0000-0000A7270000}"/>
    <cellStyle name="Normal 15 11 2" xfId="10967" xr:uid="{00000000-0005-0000-0000-0000A8270000}"/>
    <cellStyle name="Normal 15 11 20" xfId="10968" xr:uid="{00000000-0005-0000-0000-0000A9270000}"/>
    <cellStyle name="Normal 15 11 21" xfId="10969" xr:uid="{00000000-0005-0000-0000-0000AA270000}"/>
    <cellStyle name="Normal 15 11 22" xfId="10970" xr:uid="{00000000-0005-0000-0000-0000AB270000}"/>
    <cellStyle name="Normal 15 11 23" xfId="10971" xr:uid="{00000000-0005-0000-0000-0000AC270000}"/>
    <cellStyle name="Normal 15 11 24" xfId="10972" xr:uid="{00000000-0005-0000-0000-0000AD270000}"/>
    <cellStyle name="Normal 15 11 25" xfId="10973" xr:uid="{00000000-0005-0000-0000-0000AE270000}"/>
    <cellStyle name="Normal 15 11 26" xfId="10974" xr:uid="{00000000-0005-0000-0000-0000AF270000}"/>
    <cellStyle name="Normal 15 11 27" xfId="10975" xr:uid="{00000000-0005-0000-0000-0000B0270000}"/>
    <cellStyle name="Normal 15 11 28" xfId="10976" xr:uid="{00000000-0005-0000-0000-0000B1270000}"/>
    <cellStyle name="Normal 15 11 29" xfId="10977" xr:uid="{00000000-0005-0000-0000-0000B2270000}"/>
    <cellStyle name="Normal 15 11 3" xfId="10978" xr:uid="{00000000-0005-0000-0000-0000B3270000}"/>
    <cellStyle name="Normal 15 11 30" xfId="10979" xr:uid="{00000000-0005-0000-0000-0000B4270000}"/>
    <cellStyle name="Normal 15 11 31" xfId="10980" xr:uid="{00000000-0005-0000-0000-0000B5270000}"/>
    <cellStyle name="Normal 15 11 32" xfId="10981" xr:uid="{00000000-0005-0000-0000-0000B6270000}"/>
    <cellStyle name="Normal 15 11 33" xfId="10982" xr:uid="{00000000-0005-0000-0000-0000B7270000}"/>
    <cellStyle name="Normal 15 11 34" xfId="10983" xr:uid="{00000000-0005-0000-0000-0000B8270000}"/>
    <cellStyle name="Normal 15 11 35" xfId="10984" xr:uid="{00000000-0005-0000-0000-0000B9270000}"/>
    <cellStyle name="Normal 15 11 36" xfId="10985" xr:uid="{00000000-0005-0000-0000-0000BA270000}"/>
    <cellStyle name="Normal 15 11 37" xfId="10986" xr:uid="{00000000-0005-0000-0000-0000BB270000}"/>
    <cellStyle name="Normal 15 11 4" xfId="10987" xr:uid="{00000000-0005-0000-0000-0000BC270000}"/>
    <cellStyle name="Normal 15 11 5" xfId="10988" xr:uid="{00000000-0005-0000-0000-0000BD270000}"/>
    <cellStyle name="Normal 15 11 6" xfId="10989" xr:uid="{00000000-0005-0000-0000-0000BE270000}"/>
    <cellStyle name="Normal 15 11 7" xfId="10990" xr:uid="{00000000-0005-0000-0000-0000BF270000}"/>
    <cellStyle name="Normal 15 11 8" xfId="10991" xr:uid="{00000000-0005-0000-0000-0000C0270000}"/>
    <cellStyle name="Normal 15 11 9" xfId="10992" xr:uid="{00000000-0005-0000-0000-0000C1270000}"/>
    <cellStyle name="Normal 15 12" xfId="10993" xr:uid="{00000000-0005-0000-0000-0000C2270000}"/>
    <cellStyle name="Normal 15 12 10" xfId="10994" xr:uid="{00000000-0005-0000-0000-0000C3270000}"/>
    <cellStyle name="Normal 15 12 11" xfId="10995" xr:uid="{00000000-0005-0000-0000-0000C4270000}"/>
    <cellStyle name="Normal 15 12 12" xfId="10996" xr:uid="{00000000-0005-0000-0000-0000C5270000}"/>
    <cellStyle name="Normal 15 12 13" xfId="10997" xr:uid="{00000000-0005-0000-0000-0000C6270000}"/>
    <cellStyle name="Normal 15 12 14" xfId="10998" xr:uid="{00000000-0005-0000-0000-0000C7270000}"/>
    <cellStyle name="Normal 15 12 15" xfId="10999" xr:uid="{00000000-0005-0000-0000-0000C8270000}"/>
    <cellStyle name="Normal 15 12 16" xfId="11000" xr:uid="{00000000-0005-0000-0000-0000C9270000}"/>
    <cellStyle name="Normal 15 12 17" xfId="11001" xr:uid="{00000000-0005-0000-0000-0000CA270000}"/>
    <cellStyle name="Normal 15 12 18" xfId="11002" xr:uid="{00000000-0005-0000-0000-0000CB270000}"/>
    <cellStyle name="Normal 15 12 19" xfId="11003" xr:uid="{00000000-0005-0000-0000-0000CC270000}"/>
    <cellStyle name="Normal 15 12 2" xfId="11004" xr:uid="{00000000-0005-0000-0000-0000CD270000}"/>
    <cellStyle name="Normal 15 12 20" xfId="11005" xr:uid="{00000000-0005-0000-0000-0000CE270000}"/>
    <cellStyle name="Normal 15 12 21" xfId="11006" xr:uid="{00000000-0005-0000-0000-0000CF270000}"/>
    <cellStyle name="Normal 15 12 22" xfId="11007" xr:uid="{00000000-0005-0000-0000-0000D0270000}"/>
    <cellStyle name="Normal 15 12 23" xfId="11008" xr:uid="{00000000-0005-0000-0000-0000D1270000}"/>
    <cellStyle name="Normal 15 12 24" xfId="11009" xr:uid="{00000000-0005-0000-0000-0000D2270000}"/>
    <cellStyle name="Normal 15 12 25" xfId="11010" xr:uid="{00000000-0005-0000-0000-0000D3270000}"/>
    <cellStyle name="Normal 15 12 26" xfId="11011" xr:uid="{00000000-0005-0000-0000-0000D4270000}"/>
    <cellStyle name="Normal 15 12 27" xfId="11012" xr:uid="{00000000-0005-0000-0000-0000D5270000}"/>
    <cellStyle name="Normal 15 12 28" xfId="11013" xr:uid="{00000000-0005-0000-0000-0000D6270000}"/>
    <cellStyle name="Normal 15 12 29" xfId="11014" xr:uid="{00000000-0005-0000-0000-0000D7270000}"/>
    <cellStyle name="Normal 15 12 3" xfId="11015" xr:uid="{00000000-0005-0000-0000-0000D8270000}"/>
    <cellStyle name="Normal 15 12 30" xfId="11016" xr:uid="{00000000-0005-0000-0000-0000D9270000}"/>
    <cellStyle name="Normal 15 12 31" xfId="11017" xr:uid="{00000000-0005-0000-0000-0000DA270000}"/>
    <cellStyle name="Normal 15 12 32" xfId="11018" xr:uid="{00000000-0005-0000-0000-0000DB270000}"/>
    <cellStyle name="Normal 15 12 33" xfId="11019" xr:uid="{00000000-0005-0000-0000-0000DC270000}"/>
    <cellStyle name="Normal 15 12 34" xfId="11020" xr:uid="{00000000-0005-0000-0000-0000DD270000}"/>
    <cellStyle name="Normal 15 12 35" xfId="11021" xr:uid="{00000000-0005-0000-0000-0000DE270000}"/>
    <cellStyle name="Normal 15 12 36" xfId="11022" xr:uid="{00000000-0005-0000-0000-0000DF270000}"/>
    <cellStyle name="Normal 15 12 37" xfId="11023" xr:uid="{00000000-0005-0000-0000-0000E0270000}"/>
    <cellStyle name="Normal 15 12 4" xfId="11024" xr:uid="{00000000-0005-0000-0000-0000E1270000}"/>
    <cellStyle name="Normal 15 12 5" xfId="11025" xr:uid="{00000000-0005-0000-0000-0000E2270000}"/>
    <cellStyle name="Normal 15 12 6" xfId="11026" xr:uid="{00000000-0005-0000-0000-0000E3270000}"/>
    <cellStyle name="Normal 15 12 7" xfId="11027" xr:uid="{00000000-0005-0000-0000-0000E4270000}"/>
    <cellStyle name="Normal 15 12 8" xfId="11028" xr:uid="{00000000-0005-0000-0000-0000E5270000}"/>
    <cellStyle name="Normal 15 12 9" xfId="11029" xr:uid="{00000000-0005-0000-0000-0000E6270000}"/>
    <cellStyle name="Normal 15 13" xfId="11030" xr:uid="{00000000-0005-0000-0000-0000E7270000}"/>
    <cellStyle name="Normal 15 13 10" xfId="11031" xr:uid="{00000000-0005-0000-0000-0000E8270000}"/>
    <cellStyle name="Normal 15 13 11" xfId="11032" xr:uid="{00000000-0005-0000-0000-0000E9270000}"/>
    <cellStyle name="Normal 15 13 12" xfId="11033" xr:uid="{00000000-0005-0000-0000-0000EA270000}"/>
    <cellStyle name="Normal 15 13 13" xfId="11034" xr:uid="{00000000-0005-0000-0000-0000EB270000}"/>
    <cellStyle name="Normal 15 13 14" xfId="11035" xr:uid="{00000000-0005-0000-0000-0000EC270000}"/>
    <cellStyle name="Normal 15 13 15" xfId="11036" xr:uid="{00000000-0005-0000-0000-0000ED270000}"/>
    <cellStyle name="Normal 15 13 16" xfId="11037" xr:uid="{00000000-0005-0000-0000-0000EE270000}"/>
    <cellStyle name="Normal 15 13 17" xfId="11038" xr:uid="{00000000-0005-0000-0000-0000EF270000}"/>
    <cellStyle name="Normal 15 13 18" xfId="11039" xr:uid="{00000000-0005-0000-0000-0000F0270000}"/>
    <cellStyle name="Normal 15 13 19" xfId="11040" xr:uid="{00000000-0005-0000-0000-0000F1270000}"/>
    <cellStyle name="Normal 15 13 2" xfId="11041" xr:uid="{00000000-0005-0000-0000-0000F2270000}"/>
    <cellStyle name="Normal 15 13 20" xfId="11042" xr:uid="{00000000-0005-0000-0000-0000F3270000}"/>
    <cellStyle name="Normal 15 13 21" xfId="11043" xr:uid="{00000000-0005-0000-0000-0000F4270000}"/>
    <cellStyle name="Normal 15 13 22" xfId="11044" xr:uid="{00000000-0005-0000-0000-0000F5270000}"/>
    <cellStyle name="Normal 15 13 23" xfId="11045" xr:uid="{00000000-0005-0000-0000-0000F6270000}"/>
    <cellStyle name="Normal 15 13 24" xfId="11046" xr:uid="{00000000-0005-0000-0000-0000F7270000}"/>
    <cellStyle name="Normal 15 13 25" xfId="11047" xr:uid="{00000000-0005-0000-0000-0000F8270000}"/>
    <cellStyle name="Normal 15 13 26" xfId="11048" xr:uid="{00000000-0005-0000-0000-0000F9270000}"/>
    <cellStyle name="Normal 15 13 27" xfId="11049" xr:uid="{00000000-0005-0000-0000-0000FA270000}"/>
    <cellStyle name="Normal 15 13 28" xfId="11050" xr:uid="{00000000-0005-0000-0000-0000FB270000}"/>
    <cellStyle name="Normal 15 13 29" xfId="11051" xr:uid="{00000000-0005-0000-0000-0000FC270000}"/>
    <cellStyle name="Normal 15 13 3" xfId="11052" xr:uid="{00000000-0005-0000-0000-0000FD270000}"/>
    <cellStyle name="Normal 15 13 30" xfId="11053" xr:uid="{00000000-0005-0000-0000-0000FE270000}"/>
    <cellStyle name="Normal 15 13 31" xfId="11054" xr:uid="{00000000-0005-0000-0000-0000FF270000}"/>
    <cellStyle name="Normal 15 13 32" xfId="11055" xr:uid="{00000000-0005-0000-0000-000000280000}"/>
    <cellStyle name="Normal 15 13 33" xfId="11056" xr:uid="{00000000-0005-0000-0000-000001280000}"/>
    <cellStyle name="Normal 15 13 34" xfId="11057" xr:uid="{00000000-0005-0000-0000-000002280000}"/>
    <cellStyle name="Normal 15 13 35" xfId="11058" xr:uid="{00000000-0005-0000-0000-000003280000}"/>
    <cellStyle name="Normal 15 13 36" xfId="11059" xr:uid="{00000000-0005-0000-0000-000004280000}"/>
    <cellStyle name="Normal 15 13 37" xfId="11060" xr:uid="{00000000-0005-0000-0000-000005280000}"/>
    <cellStyle name="Normal 15 13 4" xfId="11061" xr:uid="{00000000-0005-0000-0000-000006280000}"/>
    <cellStyle name="Normal 15 13 5" xfId="11062" xr:uid="{00000000-0005-0000-0000-000007280000}"/>
    <cellStyle name="Normal 15 13 6" xfId="11063" xr:uid="{00000000-0005-0000-0000-000008280000}"/>
    <cellStyle name="Normal 15 13 7" xfId="11064" xr:uid="{00000000-0005-0000-0000-000009280000}"/>
    <cellStyle name="Normal 15 13 8" xfId="11065" xr:uid="{00000000-0005-0000-0000-00000A280000}"/>
    <cellStyle name="Normal 15 13 9" xfId="11066" xr:uid="{00000000-0005-0000-0000-00000B280000}"/>
    <cellStyle name="Normal 15 14" xfId="11067" xr:uid="{00000000-0005-0000-0000-00000C280000}"/>
    <cellStyle name="Normal 15 14 10" xfId="11068" xr:uid="{00000000-0005-0000-0000-00000D280000}"/>
    <cellStyle name="Normal 15 14 11" xfId="11069" xr:uid="{00000000-0005-0000-0000-00000E280000}"/>
    <cellStyle name="Normal 15 14 12" xfId="11070" xr:uid="{00000000-0005-0000-0000-00000F280000}"/>
    <cellStyle name="Normal 15 14 13" xfId="11071" xr:uid="{00000000-0005-0000-0000-000010280000}"/>
    <cellStyle name="Normal 15 14 14" xfId="11072" xr:uid="{00000000-0005-0000-0000-000011280000}"/>
    <cellStyle name="Normal 15 14 15" xfId="11073" xr:uid="{00000000-0005-0000-0000-000012280000}"/>
    <cellStyle name="Normal 15 14 16" xfId="11074" xr:uid="{00000000-0005-0000-0000-000013280000}"/>
    <cellStyle name="Normal 15 14 17" xfId="11075" xr:uid="{00000000-0005-0000-0000-000014280000}"/>
    <cellStyle name="Normal 15 14 18" xfId="11076" xr:uid="{00000000-0005-0000-0000-000015280000}"/>
    <cellStyle name="Normal 15 14 19" xfId="11077" xr:uid="{00000000-0005-0000-0000-000016280000}"/>
    <cellStyle name="Normal 15 14 2" xfId="11078" xr:uid="{00000000-0005-0000-0000-000017280000}"/>
    <cellStyle name="Normal 15 14 20" xfId="11079" xr:uid="{00000000-0005-0000-0000-000018280000}"/>
    <cellStyle name="Normal 15 14 21" xfId="11080" xr:uid="{00000000-0005-0000-0000-000019280000}"/>
    <cellStyle name="Normal 15 14 22" xfId="11081" xr:uid="{00000000-0005-0000-0000-00001A280000}"/>
    <cellStyle name="Normal 15 14 23" xfId="11082" xr:uid="{00000000-0005-0000-0000-00001B280000}"/>
    <cellStyle name="Normal 15 14 24" xfId="11083" xr:uid="{00000000-0005-0000-0000-00001C280000}"/>
    <cellStyle name="Normal 15 14 25" xfId="11084" xr:uid="{00000000-0005-0000-0000-00001D280000}"/>
    <cellStyle name="Normal 15 14 26" xfId="11085" xr:uid="{00000000-0005-0000-0000-00001E280000}"/>
    <cellStyle name="Normal 15 14 27" xfId="11086" xr:uid="{00000000-0005-0000-0000-00001F280000}"/>
    <cellStyle name="Normal 15 14 28" xfId="11087" xr:uid="{00000000-0005-0000-0000-000020280000}"/>
    <cellStyle name="Normal 15 14 29" xfId="11088" xr:uid="{00000000-0005-0000-0000-000021280000}"/>
    <cellStyle name="Normal 15 14 3" xfId="11089" xr:uid="{00000000-0005-0000-0000-000022280000}"/>
    <cellStyle name="Normal 15 14 30" xfId="11090" xr:uid="{00000000-0005-0000-0000-000023280000}"/>
    <cellStyle name="Normal 15 14 31" xfId="11091" xr:uid="{00000000-0005-0000-0000-000024280000}"/>
    <cellStyle name="Normal 15 14 32" xfId="11092" xr:uid="{00000000-0005-0000-0000-000025280000}"/>
    <cellStyle name="Normal 15 14 33" xfId="11093" xr:uid="{00000000-0005-0000-0000-000026280000}"/>
    <cellStyle name="Normal 15 14 34" xfId="11094" xr:uid="{00000000-0005-0000-0000-000027280000}"/>
    <cellStyle name="Normal 15 14 35" xfId="11095" xr:uid="{00000000-0005-0000-0000-000028280000}"/>
    <cellStyle name="Normal 15 14 36" xfId="11096" xr:uid="{00000000-0005-0000-0000-000029280000}"/>
    <cellStyle name="Normal 15 14 37" xfId="11097" xr:uid="{00000000-0005-0000-0000-00002A280000}"/>
    <cellStyle name="Normal 15 14 4" xfId="11098" xr:uid="{00000000-0005-0000-0000-00002B280000}"/>
    <cellStyle name="Normal 15 14 5" xfId="11099" xr:uid="{00000000-0005-0000-0000-00002C280000}"/>
    <cellStyle name="Normal 15 14 6" xfId="11100" xr:uid="{00000000-0005-0000-0000-00002D280000}"/>
    <cellStyle name="Normal 15 14 7" xfId="11101" xr:uid="{00000000-0005-0000-0000-00002E280000}"/>
    <cellStyle name="Normal 15 14 8" xfId="11102" xr:uid="{00000000-0005-0000-0000-00002F280000}"/>
    <cellStyle name="Normal 15 14 9" xfId="11103" xr:uid="{00000000-0005-0000-0000-000030280000}"/>
    <cellStyle name="Normal 15 15" xfId="11104" xr:uid="{00000000-0005-0000-0000-000031280000}"/>
    <cellStyle name="Normal 15 15 10" xfId="11105" xr:uid="{00000000-0005-0000-0000-000032280000}"/>
    <cellStyle name="Normal 15 15 11" xfId="11106" xr:uid="{00000000-0005-0000-0000-000033280000}"/>
    <cellStyle name="Normal 15 15 12" xfId="11107" xr:uid="{00000000-0005-0000-0000-000034280000}"/>
    <cellStyle name="Normal 15 15 13" xfId="11108" xr:uid="{00000000-0005-0000-0000-000035280000}"/>
    <cellStyle name="Normal 15 15 14" xfId="11109" xr:uid="{00000000-0005-0000-0000-000036280000}"/>
    <cellStyle name="Normal 15 15 15" xfId="11110" xr:uid="{00000000-0005-0000-0000-000037280000}"/>
    <cellStyle name="Normal 15 15 16" xfId="11111" xr:uid="{00000000-0005-0000-0000-000038280000}"/>
    <cellStyle name="Normal 15 15 17" xfId="11112" xr:uid="{00000000-0005-0000-0000-000039280000}"/>
    <cellStyle name="Normal 15 15 18" xfId="11113" xr:uid="{00000000-0005-0000-0000-00003A280000}"/>
    <cellStyle name="Normal 15 15 19" xfId="11114" xr:uid="{00000000-0005-0000-0000-00003B280000}"/>
    <cellStyle name="Normal 15 15 2" xfId="11115" xr:uid="{00000000-0005-0000-0000-00003C280000}"/>
    <cellStyle name="Normal 15 15 20" xfId="11116" xr:uid="{00000000-0005-0000-0000-00003D280000}"/>
    <cellStyle name="Normal 15 15 21" xfId="11117" xr:uid="{00000000-0005-0000-0000-00003E280000}"/>
    <cellStyle name="Normal 15 15 22" xfId="11118" xr:uid="{00000000-0005-0000-0000-00003F280000}"/>
    <cellStyle name="Normal 15 15 23" xfId="11119" xr:uid="{00000000-0005-0000-0000-000040280000}"/>
    <cellStyle name="Normal 15 15 24" xfId="11120" xr:uid="{00000000-0005-0000-0000-000041280000}"/>
    <cellStyle name="Normal 15 15 25" xfId="11121" xr:uid="{00000000-0005-0000-0000-000042280000}"/>
    <cellStyle name="Normal 15 15 26" xfId="11122" xr:uid="{00000000-0005-0000-0000-000043280000}"/>
    <cellStyle name="Normal 15 15 27" xfId="11123" xr:uid="{00000000-0005-0000-0000-000044280000}"/>
    <cellStyle name="Normal 15 15 28" xfId="11124" xr:uid="{00000000-0005-0000-0000-000045280000}"/>
    <cellStyle name="Normal 15 15 29" xfId="11125" xr:uid="{00000000-0005-0000-0000-000046280000}"/>
    <cellStyle name="Normal 15 15 3" xfId="11126" xr:uid="{00000000-0005-0000-0000-000047280000}"/>
    <cellStyle name="Normal 15 15 30" xfId="11127" xr:uid="{00000000-0005-0000-0000-000048280000}"/>
    <cellStyle name="Normal 15 15 31" xfId="11128" xr:uid="{00000000-0005-0000-0000-000049280000}"/>
    <cellStyle name="Normal 15 15 32" xfId="11129" xr:uid="{00000000-0005-0000-0000-00004A280000}"/>
    <cellStyle name="Normal 15 15 33" xfId="11130" xr:uid="{00000000-0005-0000-0000-00004B280000}"/>
    <cellStyle name="Normal 15 15 34" xfId="11131" xr:uid="{00000000-0005-0000-0000-00004C280000}"/>
    <cellStyle name="Normal 15 15 35" xfId="11132" xr:uid="{00000000-0005-0000-0000-00004D280000}"/>
    <cellStyle name="Normal 15 15 36" xfId="11133" xr:uid="{00000000-0005-0000-0000-00004E280000}"/>
    <cellStyle name="Normal 15 15 37" xfId="11134" xr:uid="{00000000-0005-0000-0000-00004F280000}"/>
    <cellStyle name="Normal 15 15 4" xfId="11135" xr:uid="{00000000-0005-0000-0000-000050280000}"/>
    <cellStyle name="Normal 15 15 5" xfId="11136" xr:uid="{00000000-0005-0000-0000-000051280000}"/>
    <cellStyle name="Normal 15 15 6" xfId="11137" xr:uid="{00000000-0005-0000-0000-000052280000}"/>
    <cellStyle name="Normal 15 15 7" xfId="11138" xr:uid="{00000000-0005-0000-0000-000053280000}"/>
    <cellStyle name="Normal 15 15 8" xfId="11139" xr:uid="{00000000-0005-0000-0000-000054280000}"/>
    <cellStyle name="Normal 15 15 9" xfId="11140" xr:uid="{00000000-0005-0000-0000-000055280000}"/>
    <cellStyle name="Normal 15 16" xfId="11141" xr:uid="{00000000-0005-0000-0000-000056280000}"/>
    <cellStyle name="Normal 15 16 10" xfId="11142" xr:uid="{00000000-0005-0000-0000-000057280000}"/>
    <cellStyle name="Normal 15 16 11" xfId="11143" xr:uid="{00000000-0005-0000-0000-000058280000}"/>
    <cellStyle name="Normal 15 16 12" xfId="11144" xr:uid="{00000000-0005-0000-0000-000059280000}"/>
    <cellStyle name="Normal 15 16 13" xfId="11145" xr:uid="{00000000-0005-0000-0000-00005A280000}"/>
    <cellStyle name="Normal 15 16 14" xfId="11146" xr:uid="{00000000-0005-0000-0000-00005B280000}"/>
    <cellStyle name="Normal 15 16 15" xfId="11147" xr:uid="{00000000-0005-0000-0000-00005C280000}"/>
    <cellStyle name="Normal 15 16 16" xfId="11148" xr:uid="{00000000-0005-0000-0000-00005D280000}"/>
    <cellStyle name="Normal 15 16 17" xfId="11149" xr:uid="{00000000-0005-0000-0000-00005E280000}"/>
    <cellStyle name="Normal 15 16 18" xfId="11150" xr:uid="{00000000-0005-0000-0000-00005F280000}"/>
    <cellStyle name="Normal 15 16 19" xfId="11151" xr:uid="{00000000-0005-0000-0000-000060280000}"/>
    <cellStyle name="Normal 15 16 2" xfId="11152" xr:uid="{00000000-0005-0000-0000-000061280000}"/>
    <cellStyle name="Normal 15 16 20" xfId="11153" xr:uid="{00000000-0005-0000-0000-000062280000}"/>
    <cellStyle name="Normal 15 16 21" xfId="11154" xr:uid="{00000000-0005-0000-0000-000063280000}"/>
    <cellStyle name="Normal 15 16 22" xfId="11155" xr:uid="{00000000-0005-0000-0000-000064280000}"/>
    <cellStyle name="Normal 15 16 23" xfId="11156" xr:uid="{00000000-0005-0000-0000-000065280000}"/>
    <cellStyle name="Normal 15 16 24" xfId="11157" xr:uid="{00000000-0005-0000-0000-000066280000}"/>
    <cellStyle name="Normal 15 16 25" xfId="11158" xr:uid="{00000000-0005-0000-0000-000067280000}"/>
    <cellStyle name="Normal 15 16 26" xfId="11159" xr:uid="{00000000-0005-0000-0000-000068280000}"/>
    <cellStyle name="Normal 15 16 27" xfId="11160" xr:uid="{00000000-0005-0000-0000-000069280000}"/>
    <cellStyle name="Normal 15 16 28" xfId="11161" xr:uid="{00000000-0005-0000-0000-00006A280000}"/>
    <cellStyle name="Normal 15 16 29" xfId="11162" xr:uid="{00000000-0005-0000-0000-00006B280000}"/>
    <cellStyle name="Normal 15 16 3" xfId="11163" xr:uid="{00000000-0005-0000-0000-00006C280000}"/>
    <cellStyle name="Normal 15 16 30" xfId="11164" xr:uid="{00000000-0005-0000-0000-00006D280000}"/>
    <cellStyle name="Normal 15 16 31" xfId="11165" xr:uid="{00000000-0005-0000-0000-00006E280000}"/>
    <cellStyle name="Normal 15 16 32" xfId="11166" xr:uid="{00000000-0005-0000-0000-00006F280000}"/>
    <cellStyle name="Normal 15 16 33" xfId="11167" xr:uid="{00000000-0005-0000-0000-000070280000}"/>
    <cellStyle name="Normal 15 16 34" xfId="11168" xr:uid="{00000000-0005-0000-0000-000071280000}"/>
    <cellStyle name="Normal 15 16 35" xfId="11169" xr:uid="{00000000-0005-0000-0000-000072280000}"/>
    <cellStyle name="Normal 15 16 36" xfId="11170" xr:uid="{00000000-0005-0000-0000-000073280000}"/>
    <cellStyle name="Normal 15 16 37" xfId="11171" xr:uid="{00000000-0005-0000-0000-000074280000}"/>
    <cellStyle name="Normal 15 16 4" xfId="11172" xr:uid="{00000000-0005-0000-0000-000075280000}"/>
    <cellStyle name="Normal 15 16 5" xfId="11173" xr:uid="{00000000-0005-0000-0000-000076280000}"/>
    <cellStyle name="Normal 15 16 6" xfId="11174" xr:uid="{00000000-0005-0000-0000-000077280000}"/>
    <cellStyle name="Normal 15 16 7" xfId="11175" xr:uid="{00000000-0005-0000-0000-000078280000}"/>
    <cellStyle name="Normal 15 16 8" xfId="11176" xr:uid="{00000000-0005-0000-0000-000079280000}"/>
    <cellStyle name="Normal 15 16 9" xfId="11177" xr:uid="{00000000-0005-0000-0000-00007A280000}"/>
    <cellStyle name="Normal 15 17" xfId="11178" xr:uid="{00000000-0005-0000-0000-00007B280000}"/>
    <cellStyle name="Normal 15 17 10" xfId="11179" xr:uid="{00000000-0005-0000-0000-00007C280000}"/>
    <cellStyle name="Normal 15 17 11" xfId="11180" xr:uid="{00000000-0005-0000-0000-00007D280000}"/>
    <cellStyle name="Normal 15 17 12" xfId="11181" xr:uid="{00000000-0005-0000-0000-00007E280000}"/>
    <cellStyle name="Normal 15 17 13" xfId="11182" xr:uid="{00000000-0005-0000-0000-00007F280000}"/>
    <cellStyle name="Normal 15 17 14" xfId="11183" xr:uid="{00000000-0005-0000-0000-000080280000}"/>
    <cellStyle name="Normal 15 17 15" xfId="11184" xr:uid="{00000000-0005-0000-0000-000081280000}"/>
    <cellStyle name="Normal 15 17 16" xfId="11185" xr:uid="{00000000-0005-0000-0000-000082280000}"/>
    <cellStyle name="Normal 15 17 17" xfId="11186" xr:uid="{00000000-0005-0000-0000-000083280000}"/>
    <cellStyle name="Normal 15 17 18" xfId="11187" xr:uid="{00000000-0005-0000-0000-000084280000}"/>
    <cellStyle name="Normal 15 17 19" xfId="11188" xr:uid="{00000000-0005-0000-0000-000085280000}"/>
    <cellStyle name="Normal 15 17 2" xfId="11189" xr:uid="{00000000-0005-0000-0000-000086280000}"/>
    <cellStyle name="Normal 15 17 20" xfId="11190" xr:uid="{00000000-0005-0000-0000-000087280000}"/>
    <cellStyle name="Normal 15 17 21" xfId="11191" xr:uid="{00000000-0005-0000-0000-000088280000}"/>
    <cellStyle name="Normal 15 17 22" xfId="11192" xr:uid="{00000000-0005-0000-0000-000089280000}"/>
    <cellStyle name="Normal 15 17 23" xfId="11193" xr:uid="{00000000-0005-0000-0000-00008A280000}"/>
    <cellStyle name="Normal 15 17 24" xfId="11194" xr:uid="{00000000-0005-0000-0000-00008B280000}"/>
    <cellStyle name="Normal 15 17 25" xfId="11195" xr:uid="{00000000-0005-0000-0000-00008C280000}"/>
    <cellStyle name="Normal 15 17 26" xfId="11196" xr:uid="{00000000-0005-0000-0000-00008D280000}"/>
    <cellStyle name="Normal 15 17 27" xfId="11197" xr:uid="{00000000-0005-0000-0000-00008E280000}"/>
    <cellStyle name="Normal 15 17 28" xfId="11198" xr:uid="{00000000-0005-0000-0000-00008F280000}"/>
    <cellStyle name="Normal 15 17 29" xfId="11199" xr:uid="{00000000-0005-0000-0000-000090280000}"/>
    <cellStyle name="Normal 15 17 3" xfId="11200" xr:uid="{00000000-0005-0000-0000-000091280000}"/>
    <cellStyle name="Normal 15 17 30" xfId="11201" xr:uid="{00000000-0005-0000-0000-000092280000}"/>
    <cellStyle name="Normal 15 17 31" xfId="11202" xr:uid="{00000000-0005-0000-0000-000093280000}"/>
    <cellStyle name="Normal 15 17 32" xfId="11203" xr:uid="{00000000-0005-0000-0000-000094280000}"/>
    <cellStyle name="Normal 15 17 33" xfId="11204" xr:uid="{00000000-0005-0000-0000-000095280000}"/>
    <cellStyle name="Normal 15 17 34" xfId="11205" xr:uid="{00000000-0005-0000-0000-000096280000}"/>
    <cellStyle name="Normal 15 17 35" xfId="11206" xr:uid="{00000000-0005-0000-0000-000097280000}"/>
    <cellStyle name="Normal 15 17 36" xfId="11207" xr:uid="{00000000-0005-0000-0000-000098280000}"/>
    <cellStyle name="Normal 15 17 37" xfId="11208" xr:uid="{00000000-0005-0000-0000-000099280000}"/>
    <cellStyle name="Normal 15 17 4" xfId="11209" xr:uid="{00000000-0005-0000-0000-00009A280000}"/>
    <cellStyle name="Normal 15 17 5" xfId="11210" xr:uid="{00000000-0005-0000-0000-00009B280000}"/>
    <cellStyle name="Normal 15 17 6" xfId="11211" xr:uid="{00000000-0005-0000-0000-00009C280000}"/>
    <cellStyle name="Normal 15 17 7" xfId="11212" xr:uid="{00000000-0005-0000-0000-00009D280000}"/>
    <cellStyle name="Normal 15 17 8" xfId="11213" xr:uid="{00000000-0005-0000-0000-00009E280000}"/>
    <cellStyle name="Normal 15 17 9" xfId="11214" xr:uid="{00000000-0005-0000-0000-00009F280000}"/>
    <cellStyle name="Normal 15 18" xfId="11215" xr:uid="{00000000-0005-0000-0000-0000A0280000}"/>
    <cellStyle name="Normal 15 19" xfId="11216" xr:uid="{00000000-0005-0000-0000-0000A1280000}"/>
    <cellStyle name="Normal 15 2" xfId="11217" xr:uid="{00000000-0005-0000-0000-0000A2280000}"/>
    <cellStyle name="Normal 15 2 10" xfId="11218" xr:uid="{00000000-0005-0000-0000-0000A3280000}"/>
    <cellStyle name="Normal 15 2 11" xfId="11219" xr:uid="{00000000-0005-0000-0000-0000A4280000}"/>
    <cellStyle name="Normal 15 2 12" xfId="11220" xr:uid="{00000000-0005-0000-0000-0000A5280000}"/>
    <cellStyle name="Normal 15 2 13" xfId="11221" xr:uid="{00000000-0005-0000-0000-0000A6280000}"/>
    <cellStyle name="Normal 15 2 14" xfId="11222" xr:uid="{00000000-0005-0000-0000-0000A7280000}"/>
    <cellStyle name="Normal 15 2 15" xfId="11223" xr:uid="{00000000-0005-0000-0000-0000A8280000}"/>
    <cellStyle name="Normal 15 2 16" xfId="11224" xr:uid="{00000000-0005-0000-0000-0000A9280000}"/>
    <cellStyle name="Normal 15 2 17" xfId="11225" xr:uid="{00000000-0005-0000-0000-0000AA280000}"/>
    <cellStyle name="Normal 15 2 18" xfId="11226" xr:uid="{00000000-0005-0000-0000-0000AB280000}"/>
    <cellStyle name="Normal 15 2 19" xfId="11227" xr:uid="{00000000-0005-0000-0000-0000AC280000}"/>
    <cellStyle name="Normal 15 2 2" xfId="11228" xr:uid="{00000000-0005-0000-0000-0000AD280000}"/>
    <cellStyle name="Normal 15 2 20" xfId="11229" xr:uid="{00000000-0005-0000-0000-0000AE280000}"/>
    <cellStyle name="Normal 15 2 21" xfId="11230" xr:uid="{00000000-0005-0000-0000-0000AF280000}"/>
    <cellStyle name="Normal 15 2 22" xfId="11231" xr:uid="{00000000-0005-0000-0000-0000B0280000}"/>
    <cellStyle name="Normal 15 2 23" xfId="11232" xr:uid="{00000000-0005-0000-0000-0000B1280000}"/>
    <cellStyle name="Normal 15 2 24" xfId="11233" xr:uid="{00000000-0005-0000-0000-0000B2280000}"/>
    <cellStyle name="Normal 15 2 25" xfId="11234" xr:uid="{00000000-0005-0000-0000-0000B3280000}"/>
    <cellStyle name="Normal 15 2 26" xfId="11235" xr:uid="{00000000-0005-0000-0000-0000B4280000}"/>
    <cellStyle name="Normal 15 2 27" xfId="11236" xr:uid="{00000000-0005-0000-0000-0000B5280000}"/>
    <cellStyle name="Normal 15 2 28" xfId="11237" xr:uid="{00000000-0005-0000-0000-0000B6280000}"/>
    <cellStyle name="Normal 15 2 29" xfId="11238" xr:uid="{00000000-0005-0000-0000-0000B7280000}"/>
    <cellStyle name="Normal 15 2 3" xfId="11239" xr:uid="{00000000-0005-0000-0000-0000B8280000}"/>
    <cellStyle name="Normal 15 2 30" xfId="11240" xr:uid="{00000000-0005-0000-0000-0000B9280000}"/>
    <cellStyle name="Normal 15 2 31" xfId="11241" xr:uid="{00000000-0005-0000-0000-0000BA280000}"/>
    <cellStyle name="Normal 15 2 32" xfId="11242" xr:uid="{00000000-0005-0000-0000-0000BB280000}"/>
    <cellStyle name="Normal 15 2 33" xfId="11243" xr:uid="{00000000-0005-0000-0000-0000BC280000}"/>
    <cellStyle name="Normal 15 2 34" xfId="11244" xr:uid="{00000000-0005-0000-0000-0000BD280000}"/>
    <cellStyle name="Normal 15 2 35" xfId="11245" xr:uid="{00000000-0005-0000-0000-0000BE280000}"/>
    <cellStyle name="Normal 15 2 36" xfId="11246" xr:uid="{00000000-0005-0000-0000-0000BF280000}"/>
    <cellStyle name="Normal 15 2 37" xfId="11247" xr:uid="{00000000-0005-0000-0000-0000C0280000}"/>
    <cellStyle name="Normal 15 2 38" xfId="11248" xr:uid="{00000000-0005-0000-0000-0000C1280000}"/>
    <cellStyle name="Normal 15 2 39" xfId="11249" xr:uid="{00000000-0005-0000-0000-0000C2280000}"/>
    <cellStyle name="Normal 15 2 4" xfId="11250" xr:uid="{00000000-0005-0000-0000-0000C3280000}"/>
    <cellStyle name="Normal 15 2 40" xfId="11251" xr:uid="{00000000-0005-0000-0000-0000C4280000}"/>
    <cellStyle name="Normal 15 2 41" xfId="11252" xr:uid="{00000000-0005-0000-0000-0000C5280000}"/>
    <cellStyle name="Normal 15 2 42" xfId="11253" xr:uid="{00000000-0005-0000-0000-0000C6280000}"/>
    <cellStyle name="Normal 15 2 43" xfId="11254" xr:uid="{00000000-0005-0000-0000-0000C7280000}"/>
    <cellStyle name="Normal 15 2 44" xfId="11255" xr:uid="{00000000-0005-0000-0000-0000C8280000}"/>
    <cellStyle name="Normal 15 2 45" xfId="11256" xr:uid="{00000000-0005-0000-0000-0000C9280000}"/>
    <cellStyle name="Normal 15 2 5" xfId="11257" xr:uid="{00000000-0005-0000-0000-0000CA280000}"/>
    <cellStyle name="Normal 15 2 6" xfId="11258" xr:uid="{00000000-0005-0000-0000-0000CB280000}"/>
    <cellStyle name="Normal 15 2 7" xfId="11259" xr:uid="{00000000-0005-0000-0000-0000CC280000}"/>
    <cellStyle name="Normal 15 2 8" xfId="11260" xr:uid="{00000000-0005-0000-0000-0000CD280000}"/>
    <cellStyle name="Normal 15 2 9" xfId="11261" xr:uid="{00000000-0005-0000-0000-0000CE280000}"/>
    <cellStyle name="Normal 15 20" xfId="11262" xr:uid="{00000000-0005-0000-0000-0000CF280000}"/>
    <cellStyle name="Normal 15 21" xfId="11263" xr:uid="{00000000-0005-0000-0000-0000D0280000}"/>
    <cellStyle name="Normal 15 22" xfId="11264" xr:uid="{00000000-0005-0000-0000-0000D1280000}"/>
    <cellStyle name="Normal 15 23" xfId="11265" xr:uid="{00000000-0005-0000-0000-0000D2280000}"/>
    <cellStyle name="Normal 15 24" xfId="11266" xr:uid="{00000000-0005-0000-0000-0000D3280000}"/>
    <cellStyle name="Normal 15 25" xfId="11267" xr:uid="{00000000-0005-0000-0000-0000D4280000}"/>
    <cellStyle name="Normal 15 26" xfId="11268" xr:uid="{00000000-0005-0000-0000-0000D5280000}"/>
    <cellStyle name="Normal 15 27" xfId="11269" xr:uid="{00000000-0005-0000-0000-0000D6280000}"/>
    <cellStyle name="Normal 15 28" xfId="11270" xr:uid="{00000000-0005-0000-0000-0000D7280000}"/>
    <cellStyle name="Normal 15 29" xfId="11271" xr:uid="{00000000-0005-0000-0000-0000D8280000}"/>
    <cellStyle name="Normal 15 3" xfId="11272" xr:uid="{00000000-0005-0000-0000-0000D9280000}"/>
    <cellStyle name="Normal 15 3 10" xfId="11273" xr:uid="{00000000-0005-0000-0000-0000DA280000}"/>
    <cellStyle name="Normal 15 3 11" xfId="11274" xr:uid="{00000000-0005-0000-0000-0000DB280000}"/>
    <cellStyle name="Normal 15 3 12" xfId="11275" xr:uid="{00000000-0005-0000-0000-0000DC280000}"/>
    <cellStyle name="Normal 15 3 13" xfId="11276" xr:uid="{00000000-0005-0000-0000-0000DD280000}"/>
    <cellStyle name="Normal 15 3 14" xfId="11277" xr:uid="{00000000-0005-0000-0000-0000DE280000}"/>
    <cellStyle name="Normal 15 3 15" xfId="11278" xr:uid="{00000000-0005-0000-0000-0000DF280000}"/>
    <cellStyle name="Normal 15 3 16" xfId="11279" xr:uid="{00000000-0005-0000-0000-0000E0280000}"/>
    <cellStyle name="Normal 15 3 17" xfId="11280" xr:uid="{00000000-0005-0000-0000-0000E1280000}"/>
    <cellStyle name="Normal 15 3 18" xfId="11281" xr:uid="{00000000-0005-0000-0000-0000E2280000}"/>
    <cellStyle name="Normal 15 3 19" xfId="11282" xr:uid="{00000000-0005-0000-0000-0000E3280000}"/>
    <cellStyle name="Normal 15 3 2" xfId="11283" xr:uid="{00000000-0005-0000-0000-0000E4280000}"/>
    <cellStyle name="Normal 15 3 20" xfId="11284" xr:uid="{00000000-0005-0000-0000-0000E5280000}"/>
    <cellStyle name="Normal 15 3 21" xfId="11285" xr:uid="{00000000-0005-0000-0000-0000E6280000}"/>
    <cellStyle name="Normal 15 3 22" xfId="11286" xr:uid="{00000000-0005-0000-0000-0000E7280000}"/>
    <cellStyle name="Normal 15 3 23" xfId="11287" xr:uid="{00000000-0005-0000-0000-0000E8280000}"/>
    <cellStyle name="Normal 15 3 24" xfId="11288" xr:uid="{00000000-0005-0000-0000-0000E9280000}"/>
    <cellStyle name="Normal 15 3 25" xfId="11289" xr:uid="{00000000-0005-0000-0000-0000EA280000}"/>
    <cellStyle name="Normal 15 3 26" xfId="11290" xr:uid="{00000000-0005-0000-0000-0000EB280000}"/>
    <cellStyle name="Normal 15 3 27" xfId="11291" xr:uid="{00000000-0005-0000-0000-0000EC280000}"/>
    <cellStyle name="Normal 15 3 28" xfId="11292" xr:uid="{00000000-0005-0000-0000-0000ED280000}"/>
    <cellStyle name="Normal 15 3 29" xfId="11293" xr:uid="{00000000-0005-0000-0000-0000EE280000}"/>
    <cellStyle name="Normal 15 3 3" xfId="11294" xr:uid="{00000000-0005-0000-0000-0000EF280000}"/>
    <cellStyle name="Normal 15 3 30" xfId="11295" xr:uid="{00000000-0005-0000-0000-0000F0280000}"/>
    <cellStyle name="Normal 15 3 31" xfId="11296" xr:uid="{00000000-0005-0000-0000-0000F1280000}"/>
    <cellStyle name="Normal 15 3 32" xfId="11297" xr:uid="{00000000-0005-0000-0000-0000F2280000}"/>
    <cellStyle name="Normal 15 3 33" xfId="11298" xr:uid="{00000000-0005-0000-0000-0000F3280000}"/>
    <cellStyle name="Normal 15 3 34" xfId="11299" xr:uid="{00000000-0005-0000-0000-0000F4280000}"/>
    <cellStyle name="Normal 15 3 35" xfId="11300" xr:uid="{00000000-0005-0000-0000-0000F5280000}"/>
    <cellStyle name="Normal 15 3 36" xfId="11301" xr:uid="{00000000-0005-0000-0000-0000F6280000}"/>
    <cellStyle name="Normal 15 3 37" xfId="11302" xr:uid="{00000000-0005-0000-0000-0000F7280000}"/>
    <cellStyle name="Normal 15 3 38" xfId="11303" xr:uid="{00000000-0005-0000-0000-0000F8280000}"/>
    <cellStyle name="Normal 15 3 39" xfId="11304" xr:uid="{00000000-0005-0000-0000-0000F9280000}"/>
    <cellStyle name="Normal 15 3 4" xfId="11305" xr:uid="{00000000-0005-0000-0000-0000FA280000}"/>
    <cellStyle name="Normal 15 3 40" xfId="11306" xr:uid="{00000000-0005-0000-0000-0000FB280000}"/>
    <cellStyle name="Normal 15 3 41" xfId="11307" xr:uid="{00000000-0005-0000-0000-0000FC280000}"/>
    <cellStyle name="Normal 15 3 42" xfId="11308" xr:uid="{00000000-0005-0000-0000-0000FD280000}"/>
    <cellStyle name="Normal 15 3 43" xfId="11309" xr:uid="{00000000-0005-0000-0000-0000FE280000}"/>
    <cellStyle name="Normal 15 3 44" xfId="11310" xr:uid="{00000000-0005-0000-0000-0000FF280000}"/>
    <cellStyle name="Normal 15 3 45" xfId="11311" xr:uid="{00000000-0005-0000-0000-000000290000}"/>
    <cellStyle name="Normal 15 3 5" xfId="11312" xr:uid="{00000000-0005-0000-0000-000001290000}"/>
    <cellStyle name="Normal 15 3 6" xfId="11313" xr:uid="{00000000-0005-0000-0000-000002290000}"/>
    <cellStyle name="Normal 15 3 7" xfId="11314" xr:uid="{00000000-0005-0000-0000-000003290000}"/>
    <cellStyle name="Normal 15 3 8" xfId="11315" xr:uid="{00000000-0005-0000-0000-000004290000}"/>
    <cellStyle name="Normal 15 3 9" xfId="11316" xr:uid="{00000000-0005-0000-0000-000005290000}"/>
    <cellStyle name="Normal 15 30" xfId="11317" xr:uid="{00000000-0005-0000-0000-000006290000}"/>
    <cellStyle name="Normal 15 31" xfId="11318" xr:uid="{00000000-0005-0000-0000-000007290000}"/>
    <cellStyle name="Normal 15 32" xfId="11319" xr:uid="{00000000-0005-0000-0000-000008290000}"/>
    <cellStyle name="Normal 15 33" xfId="11320" xr:uid="{00000000-0005-0000-0000-000009290000}"/>
    <cellStyle name="Normal 15 34" xfId="11321" xr:uid="{00000000-0005-0000-0000-00000A290000}"/>
    <cellStyle name="Normal 15 35" xfId="11322" xr:uid="{00000000-0005-0000-0000-00000B290000}"/>
    <cellStyle name="Normal 15 36" xfId="11323" xr:uid="{00000000-0005-0000-0000-00000C290000}"/>
    <cellStyle name="Normal 15 37" xfId="11324" xr:uid="{00000000-0005-0000-0000-00000D290000}"/>
    <cellStyle name="Normal 15 38" xfId="11325" xr:uid="{00000000-0005-0000-0000-00000E290000}"/>
    <cellStyle name="Normal 15 39" xfId="11326" xr:uid="{00000000-0005-0000-0000-00000F290000}"/>
    <cellStyle name="Normal 15 4" xfId="11327" xr:uid="{00000000-0005-0000-0000-000010290000}"/>
    <cellStyle name="Normal 15 4 10" xfId="11328" xr:uid="{00000000-0005-0000-0000-000011290000}"/>
    <cellStyle name="Normal 15 4 11" xfId="11329" xr:uid="{00000000-0005-0000-0000-000012290000}"/>
    <cellStyle name="Normal 15 4 12" xfId="11330" xr:uid="{00000000-0005-0000-0000-000013290000}"/>
    <cellStyle name="Normal 15 4 13" xfId="11331" xr:uid="{00000000-0005-0000-0000-000014290000}"/>
    <cellStyle name="Normal 15 4 14" xfId="11332" xr:uid="{00000000-0005-0000-0000-000015290000}"/>
    <cellStyle name="Normal 15 4 15" xfId="11333" xr:uid="{00000000-0005-0000-0000-000016290000}"/>
    <cellStyle name="Normal 15 4 16" xfId="11334" xr:uid="{00000000-0005-0000-0000-000017290000}"/>
    <cellStyle name="Normal 15 4 17" xfId="11335" xr:uid="{00000000-0005-0000-0000-000018290000}"/>
    <cellStyle name="Normal 15 4 18" xfId="11336" xr:uid="{00000000-0005-0000-0000-000019290000}"/>
    <cellStyle name="Normal 15 4 19" xfId="11337" xr:uid="{00000000-0005-0000-0000-00001A290000}"/>
    <cellStyle name="Normal 15 4 2" xfId="11338" xr:uid="{00000000-0005-0000-0000-00001B290000}"/>
    <cellStyle name="Normal 15 4 20" xfId="11339" xr:uid="{00000000-0005-0000-0000-00001C290000}"/>
    <cellStyle name="Normal 15 4 21" xfId="11340" xr:uid="{00000000-0005-0000-0000-00001D290000}"/>
    <cellStyle name="Normal 15 4 22" xfId="11341" xr:uid="{00000000-0005-0000-0000-00001E290000}"/>
    <cellStyle name="Normal 15 4 23" xfId="11342" xr:uid="{00000000-0005-0000-0000-00001F290000}"/>
    <cellStyle name="Normal 15 4 24" xfId="11343" xr:uid="{00000000-0005-0000-0000-000020290000}"/>
    <cellStyle name="Normal 15 4 25" xfId="11344" xr:uid="{00000000-0005-0000-0000-000021290000}"/>
    <cellStyle name="Normal 15 4 26" xfId="11345" xr:uid="{00000000-0005-0000-0000-000022290000}"/>
    <cellStyle name="Normal 15 4 27" xfId="11346" xr:uid="{00000000-0005-0000-0000-000023290000}"/>
    <cellStyle name="Normal 15 4 28" xfId="11347" xr:uid="{00000000-0005-0000-0000-000024290000}"/>
    <cellStyle name="Normal 15 4 29" xfId="11348" xr:uid="{00000000-0005-0000-0000-000025290000}"/>
    <cellStyle name="Normal 15 4 3" xfId="11349" xr:uid="{00000000-0005-0000-0000-000026290000}"/>
    <cellStyle name="Normal 15 4 30" xfId="11350" xr:uid="{00000000-0005-0000-0000-000027290000}"/>
    <cellStyle name="Normal 15 4 31" xfId="11351" xr:uid="{00000000-0005-0000-0000-000028290000}"/>
    <cellStyle name="Normal 15 4 32" xfId="11352" xr:uid="{00000000-0005-0000-0000-000029290000}"/>
    <cellStyle name="Normal 15 4 33" xfId="11353" xr:uid="{00000000-0005-0000-0000-00002A290000}"/>
    <cellStyle name="Normal 15 4 34" xfId="11354" xr:uid="{00000000-0005-0000-0000-00002B290000}"/>
    <cellStyle name="Normal 15 4 35" xfId="11355" xr:uid="{00000000-0005-0000-0000-00002C290000}"/>
    <cellStyle name="Normal 15 4 36" xfId="11356" xr:uid="{00000000-0005-0000-0000-00002D290000}"/>
    <cellStyle name="Normal 15 4 37" xfId="11357" xr:uid="{00000000-0005-0000-0000-00002E290000}"/>
    <cellStyle name="Normal 15 4 38" xfId="11358" xr:uid="{00000000-0005-0000-0000-00002F290000}"/>
    <cellStyle name="Normal 15 4 39" xfId="11359" xr:uid="{00000000-0005-0000-0000-000030290000}"/>
    <cellStyle name="Normal 15 4 4" xfId="11360" xr:uid="{00000000-0005-0000-0000-000031290000}"/>
    <cellStyle name="Normal 15 4 40" xfId="11361" xr:uid="{00000000-0005-0000-0000-000032290000}"/>
    <cellStyle name="Normal 15 4 41" xfId="11362" xr:uid="{00000000-0005-0000-0000-000033290000}"/>
    <cellStyle name="Normal 15 4 42" xfId="11363" xr:uid="{00000000-0005-0000-0000-000034290000}"/>
    <cellStyle name="Normal 15 4 43" xfId="11364" xr:uid="{00000000-0005-0000-0000-000035290000}"/>
    <cellStyle name="Normal 15 4 44" xfId="11365" xr:uid="{00000000-0005-0000-0000-000036290000}"/>
    <cellStyle name="Normal 15 4 45" xfId="11366" xr:uid="{00000000-0005-0000-0000-000037290000}"/>
    <cellStyle name="Normal 15 4 5" xfId="11367" xr:uid="{00000000-0005-0000-0000-000038290000}"/>
    <cellStyle name="Normal 15 4 6" xfId="11368" xr:uid="{00000000-0005-0000-0000-000039290000}"/>
    <cellStyle name="Normal 15 4 7" xfId="11369" xr:uid="{00000000-0005-0000-0000-00003A290000}"/>
    <cellStyle name="Normal 15 4 8" xfId="11370" xr:uid="{00000000-0005-0000-0000-00003B290000}"/>
    <cellStyle name="Normal 15 4 9" xfId="11371" xr:uid="{00000000-0005-0000-0000-00003C290000}"/>
    <cellStyle name="Normal 15 40" xfId="11372" xr:uid="{00000000-0005-0000-0000-00003D290000}"/>
    <cellStyle name="Normal 15 41" xfId="11373" xr:uid="{00000000-0005-0000-0000-00003E290000}"/>
    <cellStyle name="Normal 15 42" xfId="11374" xr:uid="{00000000-0005-0000-0000-00003F290000}"/>
    <cellStyle name="Normal 15 43" xfId="11375" xr:uid="{00000000-0005-0000-0000-000040290000}"/>
    <cellStyle name="Normal 15 44" xfId="11376" xr:uid="{00000000-0005-0000-0000-000041290000}"/>
    <cellStyle name="Normal 15 45" xfId="11377" xr:uid="{00000000-0005-0000-0000-000042290000}"/>
    <cellStyle name="Normal 15 46" xfId="11378" xr:uid="{00000000-0005-0000-0000-000043290000}"/>
    <cellStyle name="Normal 15 47" xfId="11379" xr:uid="{00000000-0005-0000-0000-000044290000}"/>
    <cellStyle name="Normal 15 48" xfId="11380" xr:uid="{00000000-0005-0000-0000-000045290000}"/>
    <cellStyle name="Normal 15 49" xfId="11381" xr:uid="{00000000-0005-0000-0000-000046290000}"/>
    <cellStyle name="Normal 15 5" xfId="11382" xr:uid="{00000000-0005-0000-0000-000047290000}"/>
    <cellStyle name="Normal 15 5 10" xfId="11383" xr:uid="{00000000-0005-0000-0000-000048290000}"/>
    <cellStyle name="Normal 15 5 11" xfId="11384" xr:uid="{00000000-0005-0000-0000-000049290000}"/>
    <cellStyle name="Normal 15 5 12" xfId="11385" xr:uid="{00000000-0005-0000-0000-00004A290000}"/>
    <cellStyle name="Normal 15 5 13" xfId="11386" xr:uid="{00000000-0005-0000-0000-00004B290000}"/>
    <cellStyle name="Normal 15 5 14" xfId="11387" xr:uid="{00000000-0005-0000-0000-00004C290000}"/>
    <cellStyle name="Normal 15 5 15" xfId="11388" xr:uid="{00000000-0005-0000-0000-00004D290000}"/>
    <cellStyle name="Normal 15 5 16" xfId="11389" xr:uid="{00000000-0005-0000-0000-00004E290000}"/>
    <cellStyle name="Normal 15 5 17" xfId="11390" xr:uid="{00000000-0005-0000-0000-00004F290000}"/>
    <cellStyle name="Normal 15 5 18" xfId="11391" xr:uid="{00000000-0005-0000-0000-000050290000}"/>
    <cellStyle name="Normal 15 5 19" xfId="11392" xr:uid="{00000000-0005-0000-0000-000051290000}"/>
    <cellStyle name="Normal 15 5 2" xfId="11393" xr:uid="{00000000-0005-0000-0000-000052290000}"/>
    <cellStyle name="Normal 15 5 20" xfId="11394" xr:uid="{00000000-0005-0000-0000-000053290000}"/>
    <cellStyle name="Normal 15 5 21" xfId="11395" xr:uid="{00000000-0005-0000-0000-000054290000}"/>
    <cellStyle name="Normal 15 5 22" xfId="11396" xr:uid="{00000000-0005-0000-0000-000055290000}"/>
    <cellStyle name="Normal 15 5 23" xfId="11397" xr:uid="{00000000-0005-0000-0000-000056290000}"/>
    <cellStyle name="Normal 15 5 24" xfId="11398" xr:uid="{00000000-0005-0000-0000-000057290000}"/>
    <cellStyle name="Normal 15 5 25" xfId="11399" xr:uid="{00000000-0005-0000-0000-000058290000}"/>
    <cellStyle name="Normal 15 5 26" xfId="11400" xr:uid="{00000000-0005-0000-0000-000059290000}"/>
    <cellStyle name="Normal 15 5 27" xfId="11401" xr:uid="{00000000-0005-0000-0000-00005A290000}"/>
    <cellStyle name="Normal 15 5 28" xfId="11402" xr:uid="{00000000-0005-0000-0000-00005B290000}"/>
    <cellStyle name="Normal 15 5 29" xfId="11403" xr:uid="{00000000-0005-0000-0000-00005C290000}"/>
    <cellStyle name="Normal 15 5 3" xfId="11404" xr:uid="{00000000-0005-0000-0000-00005D290000}"/>
    <cellStyle name="Normal 15 5 30" xfId="11405" xr:uid="{00000000-0005-0000-0000-00005E290000}"/>
    <cellStyle name="Normal 15 5 31" xfId="11406" xr:uid="{00000000-0005-0000-0000-00005F290000}"/>
    <cellStyle name="Normal 15 5 32" xfId="11407" xr:uid="{00000000-0005-0000-0000-000060290000}"/>
    <cellStyle name="Normal 15 5 33" xfId="11408" xr:uid="{00000000-0005-0000-0000-000061290000}"/>
    <cellStyle name="Normal 15 5 34" xfId="11409" xr:uid="{00000000-0005-0000-0000-000062290000}"/>
    <cellStyle name="Normal 15 5 35" xfId="11410" xr:uid="{00000000-0005-0000-0000-000063290000}"/>
    <cellStyle name="Normal 15 5 36" xfId="11411" xr:uid="{00000000-0005-0000-0000-000064290000}"/>
    <cellStyle name="Normal 15 5 37" xfId="11412" xr:uid="{00000000-0005-0000-0000-000065290000}"/>
    <cellStyle name="Normal 15 5 38" xfId="11413" xr:uid="{00000000-0005-0000-0000-000066290000}"/>
    <cellStyle name="Normal 15 5 39" xfId="11414" xr:uid="{00000000-0005-0000-0000-000067290000}"/>
    <cellStyle name="Normal 15 5 4" xfId="11415" xr:uid="{00000000-0005-0000-0000-000068290000}"/>
    <cellStyle name="Normal 15 5 40" xfId="11416" xr:uid="{00000000-0005-0000-0000-000069290000}"/>
    <cellStyle name="Normal 15 5 41" xfId="11417" xr:uid="{00000000-0005-0000-0000-00006A290000}"/>
    <cellStyle name="Normal 15 5 42" xfId="11418" xr:uid="{00000000-0005-0000-0000-00006B290000}"/>
    <cellStyle name="Normal 15 5 43" xfId="11419" xr:uid="{00000000-0005-0000-0000-00006C290000}"/>
    <cellStyle name="Normal 15 5 44" xfId="11420" xr:uid="{00000000-0005-0000-0000-00006D290000}"/>
    <cellStyle name="Normal 15 5 45" xfId="11421" xr:uid="{00000000-0005-0000-0000-00006E290000}"/>
    <cellStyle name="Normal 15 5 5" xfId="11422" xr:uid="{00000000-0005-0000-0000-00006F290000}"/>
    <cellStyle name="Normal 15 5 6" xfId="11423" xr:uid="{00000000-0005-0000-0000-000070290000}"/>
    <cellStyle name="Normal 15 5 7" xfId="11424" xr:uid="{00000000-0005-0000-0000-000071290000}"/>
    <cellStyle name="Normal 15 5 8" xfId="11425" xr:uid="{00000000-0005-0000-0000-000072290000}"/>
    <cellStyle name="Normal 15 5 9" xfId="11426" xr:uid="{00000000-0005-0000-0000-000073290000}"/>
    <cellStyle name="Normal 15 50" xfId="11427" xr:uid="{00000000-0005-0000-0000-000074290000}"/>
    <cellStyle name="Normal 15 51" xfId="11428" xr:uid="{00000000-0005-0000-0000-000075290000}"/>
    <cellStyle name="Normal 15 6" xfId="11429" xr:uid="{00000000-0005-0000-0000-000076290000}"/>
    <cellStyle name="Normal 15 6 10" xfId="11430" xr:uid="{00000000-0005-0000-0000-000077290000}"/>
    <cellStyle name="Normal 15 6 11" xfId="11431" xr:uid="{00000000-0005-0000-0000-000078290000}"/>
    <cellStyle name="Normal 15 6 12" xfId="11432" xr:uid="{00000000-0005-0000-0000-000079290000}"/>
    <cellStyle name="Normal 15 6 13" xfId="11433" xr:uid="{00000000-0005-0000-0000-00007A290000}"/>
    <cellStyle name="Normal 15 6 14" xfId="11434" xr:uid="{00000000-0005-0000-0000-00007B290000}"/>
    <cellStyle name="Normal 15 6 15" xfId="11435" xr:uid="{00000000-0005-0000-0000-00007C290000}"/>
    <cellStyle name="Normal 15 6 16" xfId="11436" xr:uid="{00000000-0005-0000-0000-00007D290000}"/>
    <cellStyle name="Normal 15 6 17" xfId="11437" xr:uid="{00000000-0005-0000-0000-00007E290000}"/>
    <cellStyle name="Normal 15 6 18" xfId="11438" xr:uid="{00000000-0005-0000-0000-00007F290000}"/>
    <cellStyle name="Normal 15 6 19" xfId="11439" xr:uid="{00000000-0005-0000-0000-000080290000}"/>
    <cellStyle name="Normal 15 6 2" xfId="11440" xr:uid="{00000000-0005-0000-0000-000081290000}"/>
    <cellStyle name="Normal 15 6 20" xfId="11441" xr:uid="{00000000-0005-0000-0000-000082290000}"/>
    <cellStyle name="Normal 15 6 21" xfId="11442" xr:uid="{00000000-0005-0000-0000-000083290000}"/>
    <cellStyle name="Normal 15 6 22" xfId="11443" xr:uid="{00000000-0005-0000-0000-000084290000}"/>
    <cellStyle name="Normal 15 6 23" xfId="11444" xr:uid="{00000000-0005-0000-0000-000085290000}"/>
    <cellStyle name="Normal 15 6 24" xfId="11445" xr:uid="{00000000-0005-0000-0000-000086290000}"/>
    <cellStyle name="Normal 15 6 25" xfId="11446" xr:uid="{00000000-0005-0000-0000-000087290000}"/>
    <cellStyle name="Normal 15 6 26" xfId="11447" xr:uid="{00000000-0005-0000-0000-000088290000}"/>
    <cellStyle name="Normal 15 6 27" xfId="11448" xr:uid="{00000000-0005-0000-0000-000089290000}"/>
    <cellStyle name="Normal 15 6 28" xfId="11449" xr:uid="{00000000-0005-0000-0000-00008A290000}"/>
    <cellStyle name="Normal 15 6 29" xfId="11450" xr:uid="{00000000-0005-0000-0000-00008B290000}"/>
    <cellStyle name="Normal 15 6 3" xfId="11451" xr:uid="{00000000-0005-0000-0000-00008C290000}"/>
    <cellStyle name="Normal 15 6 30" xfId="11452" xr:uid="{00000000-0005-0000-0000-00008D290000}"/>
    <cellStyle name="Normal 15 6 31" xfId="11453" xr:uid="{00000000-0005-0000-0000-00008E290000}"/>
    <cellStyle name="Normal 15 6 32" xfId="11454" xr:uid="{00000000-0005-0000-0000-00008F290000}"/>
    <cellStyle name="Normal 15 6 33" xfId="11455" xr:uid="{00000000-0005-0000-0000-000090290000}"/>
    <cellStyle name="Normal 15 6 34" xfId="11456" xr:uid="{00000000-0005-0000-0000-000091290000}"/>
    <cellStyle name="Normal 15 6 35" xfId="11457" xr:uid="{00000000-0005-0000-0000-000092290000}"/>
    <cellStyle name="Normal 15 6 36" xfId="11458" xr:uid="{00000000-0005-0000-0000-000093290000}"/>
    <cellStyle name="Normal 15 6 37" xfId="11459" xr:uid="{00000000-0005-0000-0000-000094290000}"/>
    <cellStyle name="Normal 15 6 38" xfId="11460" xr:uid="{00000000-0005-0000-0000-000095290000}"/>
    <cellStyle name="Normal 15 6 39" xfId="11461" xr:uid="{00000000-0005-0000-0000-000096290000}"/>
    <cellStyle name="Normal 15 6 4" xfId="11462" xr:uid="{00000000-0005-0000-0000-000097290000}"/>
    <cellStyle name="Normal 15 6 40" xfId="11463" xr:uid="{00000000-0005-0000-0000-000098290000}"/>
    <cellStyle name="Normal 15 6 41" xfId="11464" xr:uid="{00000000-0005-0000-0000-000099290000}"/>
    <cellStyle name="Normal 15 6 42" xfId="11465" xr:uid="{00000000-0005-0000-0000-00009A290000}"/>
    <cellStyle name="Normal 15 6 43" xfId="11466" xr:uid="{00000000-0005-0000-0000-00009B290000}"/>
    <cellStyle name="Normal 15 6 44" xfId="11467" xr:uid="{00000000-0005-0000-0000-00009C290000}"/>
    <cellStyle name="Normal 15 6 45" xfId="11468" xr:uid="{00000000-0005-0000-0000-00009D290000}"/>
    <cellStyle name="Normal 15 6 5" xfId="11469" xr:uid="{00000000-0005-0000-0000-00009E290000}"/>
    <cellStyle name="Normal 15 6 6" xfId="11470" xr:uid="{00000000-0005-0000-0000-00009F290000}"/>
    <cellStyle name="Normal 15 6 7" xfId="11471" xr:uid="{00000000-0005-0000-0000-0000A0290000}"/>
    <cellStyle name="Normal 15 6 8" xfId="11472" xr:uid="{00000000-0005-0000-0000-0000A1290000}"/>
    <cellStyle name="Normal 15 6 9" xfId="11473" xr:uid="{00000000-0005-0000-0000-0000A2290000}"/>
    <cellStyle name="Normal 15 7" xfId="11474" xr:uid="{00000000-0005-0000-0000-0000A3290000}"/>
    <cellStyle name="Normal 15 7 10" xfId="11475" xr:uid="{00000000-0005-0000-0000-0000A4290000}"/>
    <cellStyle name="Normal 15 7 11" xfId="11476" xr:uid="{00000000-0005-0000-0000-0000A5290000}"/>
    <cellStyle name="Normal 15 7 12" xfId="11477" xr:uid="{00000000-0005-0000-0000-0000A6290000}"/>
    <cellStyle name="Normal 15 7 13" xfId="11478" xr:uid="{00000000-0005-0000-0000-0000A7290000}"/>
    <cellStyle name="Normal 15 7 14" xfId="11479" xr:uid="{00000000-0005-0000-0000-0000A8290000}"/>
    <cellStyle name="Normal 15 7 15" xfId="11480" xr:uid="{00000000-0005-0000-0000-0000A9290000}"/>
    <cellStyle name="Normal 15 7 16" xfId="11481" xr:uid="{00000000-0005-0000-0000-0000AA290000}"/>
    <cellStyle name="Normal 15 7 17" xfId="11482" xr:uid="{00000000-0005-0000-0000-0000AB290000}"/>
    <cellStyle name="Normal 15 7 18" xfId="11483" xr:uid="{00000000-0005-0000-0000-0000AC290000}"/>
    <cellStyle name="Normal 15 7 19" xfId="11484" xr:uid="{00000000-0005-0000-0000-0000AD290000}"/>
    <cellStyle name="Normal 15 7 2" xfId="11485" xr:uid="{00000000-0005-0000-0000-0000AE290000}"/>
    <cellStyle name="Normal 15 7 20" xfId="11486" xr:uid="{00000000-0005-0000-0000-0000AF290000}"/>
    <cellStyle name="Normal 15 7 21" xfId="11487" xr:uid="{00000000-0005-0000-0000-0000B0290000}"/>
    <cellStyle name="Normal 15 7 22" xfId="11488" xr:uid="{00000000-0005-0000-0000-0000B1290000}"/>
    <cellStyle name="Normal 15 7 23" xfId="11489" xr:uid="{00000000-0005-0000-0000-0000B2290000}"/>
    <cellStyle name="Normal 15 7 24" xfId="11490" xr:uid="{00000000-0005-0000-0000-0000B3290000}"/>
    <cellStyle name="Normal 15 7 25" xfId="11491" xr:uid="{00000000-0005-0000-0000-0000B4290000}"/>
    <cellStyle name="Normal 15 7 26" xfId="11492" xr:uid="{00000000-0005-0000-0000-0000B5290000}"/>
    <cellStyle name="Normal 15 7 27" xfId="11493" xr:uid="{00000000-0005-0000-0000-0000B6290000}"/>
    <cellStyle name="Normal 15 7 28" xfId="11494" xr:uid="{00000000-0005-0000-0000-0000B7290000}"/>
    <cellStyle name="Normal 15 7 29" xfId="11495" xr:uid="{00000000-0005-0000-0000-0000B8290000}"/>
    <cellStyle name="Normal 15 7 3" xfId="11496" xr:uid="{00000000-0005-0000-0000-0000B9290000}"/>
    <cellStyle name="Normal 15 7 30" xfId="11497" xr:uid="{00000000-0005-0000-0000-0000BA290000}"/>
    <cellStyle name="Normal 15 7 31" xfId="11498" xr:uid="{00000000-0005-0000-0000-0000BB290000}"/>
    <cellStyle name="Normal 15 7 32" xfId="11499" xr:uid="{00000000-0005-0000-0000-0000BC290000}"/>
    <cellStyle name="Normal 15 7 33" xfId="11500" xr:uid="{00000000-0005-0000-0000-0000BD290000}"/>
    <cellStyle name="Normal 15 7 34" xfId="11501" xr:uid="{00000000-0005-0000-0000-0000BE290000}"/>
    <cellStyle name="Normal 15 7 35" xfId="11502" xr:uid="{00000000-0005-0000-0000-0000BF290000}"/>
    <cellStyle name="Normal 15 7 36" xfId="11503" xr:uid="{00000000-0005-0000-0000-0000C0290000}"/>
    <cellStyle name="Normal 15 7 37" xfId="11504" xr:uid="{00000000-0005-0000-0000-0000C1290000}"/>
    <cellStyle name="Normal 15 7 38" xfId="11505" xr:uid="{00000000-0005-0000-0000-0000C2290000}"/>
    <cellStyle name="Normal 15 7 39" xfId="11506" xr:uid="{00000000-0005-0000-0000-0000C3290000}"/>
    <cellStyle name="Normal 15 7 4" xfId="11507" xr:uid="{00000000-0005-0000-0000-0000C4290000}"/>
    <cellStyle name="Normal 15 7 40" xfId="11508" xr:uid="{00000000-0005-0000-0000-0000C5290000}"/>
    <cellStyle name="Normal 15 7 41" xfId="11509" xr:uid="{00000000-0005-0000-0000-0000C6290000}"/>
    <cellStyle name="Normal 15 7 42" xfId="11510" xr:uid="{00000000-0005-0000-0000-0000C7290000}"/>
    <cellStyle name="Normal 15 7 43" xfId="11511" xr:uid="{00000000-0005-0000-0000-0000C8290000}"/>
    <cellStyle name="Normal 15 7 44" xfId="11512" xr:uid="{00000000-0005-0000-0000-0000C9290000}"/>
    <cellStyle name="Normal 15 7 45" xfId="11513" xr:uid="{00000000-0005-0000-0000-0000CA290000}"/>
    <cellStyle name="Normal 15 7 5" xfId="11514" xr:uid="{00000000-0005-0000-0000-0000CB290000}"/>
    <cellStyle name="Normal 15 7 6" xfId="11515" xr:uid="{00000000-0005-0000-0000-0000CC290000}"/>
    <cellStyle name="Normal 15 7 7" xfId="11516" xr:uid="{00000000-0005-0000-0000-0000CD290000}"/>
    <cellStyle name="Normal 15 7 8" xfId="11517" xr:uid="{00000000-0005-0000-0000-0000CE290000}"/>
    <cellStyle name="Normal 15 7 9" xfId="11518" xr:uid="{00000000-0005-0000-0000-0000CF290000}"/>
    <cellStyle name="Normal 15 8" xfId="11519" xr:uid="{00000000-0005-0000-0000-0000D0290000}"/>
    <cellStyle name="Normal 15 8 10" xfId="11520" xr:uid="{00000000-0005-0000-0000-0000D1290000}"/>
    <cellStyle name="Normal 15 8 11" xfId="11521" xr:uid="{00000000-0005-0000-0000-0000D2290000}"/>
    <cellStyle name="Normal 15 8 12" xfId="11522" xr:uid="{00000000-0005-0000-0000-0000D3290000}"/>
    <cellStyle name="Normal 15 8 13" xfId="11523" xr:uid="{00000000-0005-0000-0000-0000D4290000}"/>
    <cellStyle name="Normal 15 8 14" xfId="11524" xr:uid="{00000000-0005-0000-0000-0000D5290000}"/>
    <cellStyle name="Normal 15 8 15" xfId="11525" xr:uid="{00000000-0005-0000-0000-0000D6290000}"/>
    <cellStyle name="Normal 15 8 16" xfId="11526" xr:uid="{00000000-0005-0000-0000-0000D7290000}"/>
    <cellStyle name="Normal 15 8 17" xfId="11527" xr:uid="{00000000-0005-0000-0000-0000D8290000}"/>
    <cellStyle name="Normal 15 8 18" xfId="11528" xr:uid="{00000000-0005-0000-0000-0000D9290000}"/>
    <cellStyle name="Normal 15 8 19" xfId="11529" xr:uid="{00000000-0005-0000-0000-0000DA290000}"/>
    <cellStyle name="Normal 15 8 2" xfId="11530" xr:uid="{00000000-0005-0000-0000-0000DB290000}"/>
    <cellStyle name="Normal 15 8 20" xfId="11531" xr:uid="{00000000-0005-0000-0000-0000DC290000}"/>
    <cellStyle name="Normal 15 8 21" xfId="11532" xr:uid="{00000000-0005-0000-0000-0000DD290000}"/>
    <cellStyle name="Normal 15 8 22" xfId="11533" xr:uid="{00000000-0005-0000-0000-0000DE290000}"/>
    <cellStyle name="Normal 15 8 23" xfId="11534" xr:uid="{00000000-0005-0000-0000-0000DF290000}"/>
    <cellStyle name="Normal 15 8 24" xfId="11535" xr:uid="{00000000-0005-0000-0000-0000E0290000}"/>
    <cellStyle name="Normal 15 8 25" xfId="11536" xr:uid="{00000000-0005-0000-0000-0000E1290000}"/>
    <cellStyle name="Normal 15 8 26" xfId="11537" xr:uid="{00000000-0005-0000-0000-0000E2290000}"/>
    <cellStyle name="Normal 15 8 27" xfId="11538" xr:uid="{00000000-0005-0000-0000-0000E3290000}"/>
    <cellStyle name="Normal 15 8 28" xfId="11539" xr:uid="{00000000-0005-0000-0000-0000E4290000}"/>
    <cellStyle name="Normal 15 8 29" xfId="11540" xr:uid="{00000000-0005-0000-0000-0000E5290000}"/>
    <cellStyle name="Normal 15 8 3" xfId="11541" xr:uid="{00000000-0005-0000-0000-0000E6290000}"/>
    <cellStyle name="Normal 15 8 30" xfId="11542" xr:uid="{00000000-0005-0000-0000-0000E7290000}"/>
    <cellStyle name="Normal 15 8 31" xfId="11543" xr:uid="{00000000-0005-0000-0000-0000E8290000}"/>
    <cellStyle name="Normal 15 8 32" xfId="11544" xr:uid="{00000000-0005-0000-0000-0000E9290000}"/>
    <cellStyle name="Normal 15 8 33" xfId="11545" xr:uid="{00000000-0005-0000-0000-0000EA290000}"/>
    <cellStyle name="Normal 15 8 34" xfId="11546" xr:uid="{00000000-0005-0000-0000-0000EB290000}"/>
    <cellStyle name="Normal 15 8 35" xfId="11547" xr:uid="{00000000-0005-0000-0000-0000EC290000}"/>
    <cellStyle name="Normal 15 8 36" xfId="11548" xr:uid="{00000000-0005-0000-0000-0000ED290000}"/>
    <cellStyle name="Normal 15 8 37" xfId="11549" xr:uid="{00000000-0005-0000-0000-0000EE290000}"/>
    <cellStyle name="Normal 15 8 4" xfId="11550" xr:uid="{00000000-0005-0000-0000-0000EF290000}"/>
    <cellStyle name="Normal 15 8 5" xfId="11551" xr:uid="{00000000-0005-0000-0000-0000F0290000}"/>
    <cellStyle name="Normal 15 8 6" xfId="11552" xr:uid="{00000000-0005-0000-0000-0000F1290000}"/>
    <cellStyle name="Normal 15 8 7" xfId="11553" xr:uid="{00000000-0005-0000-0000-0000F2290000}"/>
    <cellStyle name="Normal 15 8 8" xfId="11554" xr:uid="{00000000-0005-0000-0000-0000F3290000}"/>
    <cellStyle name="Normal 15 8 9" xfId="11555" xr:uid="{00000000-0005-0000-0000-0000F4290000}"/>
    <cellStyle name="Normal 15 9" xfId="11556" xr:uid="{00000000-0005-0000-0000-0000F5290000}"/>
    <cellStyle name="Normal 15 9 10" xfId="11557" xr:uid="{00000000-0005-0000-0000-0000F6290000}"/>
    <cellStyle name="Normal 15 9 11" xfId="11558" xr:uid="{00000000-0005-0000-0000-0000F7290000}"/>
    <cellStyle name="Normal 15 9 12" xfId="11559" xr:uid="{00000000-0005-0000-0000-0000F8290000}"/>
    <cellStyle name="Normal 15 9 13" xfId="11560" xr:uid="{00000000-0005-0000-0000-0000F9290000}"/>
    <cellStyle name="Normal 15 9 14" xfId="11561" xr:uid="{00000000-0005-0000-0000-0000FA290000}"/>
    <cellStyle name="Normal 15 9 15" xfId="11562" xr:uid="{00000000-0005-0000-0000-0000FB290000}"/>
    <cellStyle name="Normal 15 9 16" xfId="11563" xr:uid="{00000000-0005-0000-0000-0000FC290000}"/>
    <cellStyle name="Normal 15 9 17" xfId="11564" xr:uid="{00000000-0005-0000-0000-0000FD290000}"/>
    <cellStyle name="Normal 15 9 18" xfId="11565" xr:uid="{00000000-0005-0000-0000-0000FE290000}"/>
    <cellStyle name="Normal 15 9 19" xfId="11566" xr:uid="{00000000-0005-0000-0000-0000FF290000}"/>
    <cellStyle name="Normal 15 9 2" xfId="11567" xr:uid="{00000000-0005-0000-0000-0000002A0000}"/>
    <cellStyle name="Normal 15 9 20" xfId="11568" xr:uid="{00000000-0005-0000-0000-0000012A0000}"/>
    <cellStyle name="Normal 15 9 21" xfId="11569" xr:uid="{00000000-0005-0000-0000-0000022A0000}"/>
    <cellStyle name="Normal 15 9 22" xfId="11570" xr:uid="{00000000-0005-0000-0000-0000032A0000}"/>
    <cellStyle name="Normal 15 9 23" xfId="11571" xr:uid="{00000000-0005-0000-0000-0000042A0000}"/>
    <cellStyle name="Normal 15 9 24" xfId="11572" xr:uid="{00000000-0005-0000-0000-0000052A0000}"/>
    <cellStyle name="Normal 15 9 25" xfId="11573" xr:uid="{00000000-0005-0000-0000-0000062A0000}"/>
    <cellStyle name="Normal 15 9 26" xfId="11574" xr:uid="{00000000-0005-0000-0000-0000072A0000}"/>
    <cellStyle name="Normal 15 9 27" xfId="11575" xr:uid="{00000000-0005-0000-0000-0000082A0000}"/>
    <cellStyle name="Normal 15 9 28" xfId="11576" xr:uid="{00000000-0005-0000-0000-0000092A0000}"/>
    <cellStyle name="Normal 15 9 29" xfId="11577" xr:uid="{00000000-0005-0000-0000-00000A2A0000}"/>
    <cellStyle name="Normal 15 9 3" xfId="11578" xr:uid="{00000000-0005-0000-0000-00000B2A0000}"/>
    <cellStyle name="Normal 15 9 30" xfId="11579" xr:uid="{00000000-0005-0000-0000-00000C2A0000}"/>
    <cellStyle name="Normal 15 9 31" xfId="11580" xr:uid="{00000000-0005-0000-0000-00000D2A0000}"/>
    <cellStyle name="Normal 15 9 32" xfId="11581" xr:uid="{00000000-0005-0000-0000-00000E2A0000}"/>
    <cellStyle name="Normal 15 9 33" xfId="11582" xr:uid="{00000000-0005-0000-0000-00000F2A0000}"/>
    <cellStyle name="Normal 15 9 34" xfId="11583" xr:uid="{00000000-0005-0000-0000-0000102A0000}"/>
    <cellStyle name="Normal 15 9 35" xfId="11584" xr:uid="{00000000-0005-0000-0000-0000112A0000}"/>
    <cellStyle name="Normal 15 9 36" xfId="11585" xr:uid="{00000000-0005-0000-0000-0000122A0000}"/>
    <cellStyle name="Normal 15 9 37" xfId="11586" xr:uid="{00000000-0005-0000-0000-0000132A0000}"/>
    <cellStyle name="Normal 15 9 4" xfId="11587" xr:uid="{00000000-0005-0000-0000-0000142A0000}"/>
    <cellStyle name="Normal 15 9 5" xfId="11588" xr:uid="{00000000-0005-0000-0000-0000152A0000}"/>
    <cellStyle name="Normal 15 9 6" xfId="11589" xr:uid="{00000000-0005-0000-0000-0000162A0000}"/>
    <cellStyle name="Normal 15 9 7" xfId="11590" xr:uid="{00000000-0005-0000-0000-0000172A0000}"/>
    <cellStyle name="Normal 15 9 8" xfId="11591" xr:uid="{00000000-0005-0000-0000-0000182A0000}"/>
    <cellStyle name="Normal 15 9 9" xfId="11592" xr:uid="{00000000-0005-0000-0000-0000192A0000}"/>
    <cellStyle name="Normal 150" xfId="11593" xr:uid="{00000000-0005-0000-0000-00001A2A0000}"/>
    <cellStyle name="Normal 151" xfId="11594" xr:uid="{00000000-0005-0000-0000-00001B2A0000}"/>
    <cellStyle name="Normal 152" xfId="11595" xr:uid="{00000000-0005-0000-0000-00001C2A0000}"/>
    <cellStyle name="Normal 153" xfId="11596" xr:uid="{00000000-0005-0000-0000-00001D2A0000}"/>
    <cellStyle name="Normal 154" xfId="11597" xr:uid="{00000000-0005-0000-0000-00001E2A0000}"/>
    <cellStyle name="Normal 155" xfId="11598" xr:uid="{00000000-0005-0000-0000-00001F2A0000}"/>
    <cellStyle name="Normal 156" xfId="11599" xr:uid="{00000000-0005-0000-0000-0000202A0000}"/>
    <cellStyle name="Normal 157" xfId="11600" xr:uid="{00000000-0005-0000-0000-0000212A0000}"/>
    <cellStyle name="Normal 158" xfId="11601" xr:uid="{00000000-0005-0000-0000-0000222A0000}"/>
    <cellStyle name="Normal 159" xfId="11602" xr:uid="{00000000-0005-0000-0000-0000232A0000}"/>
    <cellStyle name="Normal 16" xfId="1048" xr:uid="{00000000-0005-0000-0000-0000242A0000}"/>
    <cellStyle name="Normal 16 10" xfId="11603" xr:uid="{00000000-0005-0000-0000-0000252A0000}"/>
    <cellStyle name="Normal 16 11" xfId="11604" xr:uid="{00000000-0005-0000-0000-0000262A0000}"/>
    <cellStyle name="Normal 16 12" xfId="11605" xr:uid="{00000000-0005-0000-0000-0000272A0000}"/>
    <cellStyle name="Normal 16 13" xfId="11606" xr:uid="{00000000-0005-0000-0000-0000282A0000}"/>
    <cellStyle name="Normal 16 14" xfId="11607" xr:uid="{00000000-0005-0000-0000-0000292A0000}"/>
    <cellStyle name="Normal 16 15" xfId="11608" xr:uid="{00000000-0005-0000-0000-00002A2A0000}"/>
    <cellStyle name="Normal 16 16" xfId="11609" xr:uid="{00000000-0005-0000-0000-00002B2A0000}"/>
    <cellStyle name="Normal 16 17" xfId="11610" xr:uid="{00000000-0005-0000-0000-00002C2A0000}"/>
    <cellStyle name="Normal 16 18" xfId="11611" xr:uid="{00000000-0005-0000-0000-00002D2A0000}"/>
    <cellStyle name="Normal 16 19" xfId="11612" xr:uid="{00000000-0005-0000-0000-00002E2A0000}"/>
    <cellStyle name="Normal 16 2" xfId="1472" xr:uid="{00000000-0005-0000-0000-00002F2A0000}"/>
    <cellStyle name="Normal 16 2 2" xfId="11613" xr:uid="{00000000-0005-0000-0000-0000302A0000}"/>
    <cellStyle name="Normal 16 2 2 2" xfId="11614" xr:uid="{00000000-0005-0000-0000-0000312A0000}"/>
    <cellStyle name="Normal 16 2 2 3" xfId="11615" xr:uid="{00000000-0005-0000-0000-0000322A0000}"/>
    <cellStyle name="Normal 16 2 3" xfId="11616" xr:uid="{00000000-0005-0000-0000-0000332A0000}"/>
    <cellStyle name="Normal 16 2 4" xfId="11617" xr:uid="{00000000-0005-0000-0000-0000342A0000}"/>
    <cellStyle name="Normal 16 20" xfId="11618" xr:uid="{00000000-0005-0000-0000-0000352A0000}"/>
    <cellStyle name="Normal 16 21" xfId="11619" xr:uid="{00000000-0005-0000-0000-0000362A0000}"/>
    <cellStyle name="Normal 16 22" xfId="11620" xr:uid="{00000000-0005-0000-0000-0000372A0000}"/>
    <cellStyle name="Normal 16 23" xfId="11621" xr:uid="{00000000-0005-0000-0000-0000382A0000}"/>
    <cellStyle name="Normal 16 24" xfId="11622" xr:uid="{00000000-0005-0000-0000-0000392A0000}"/>
    <cellStyle name="Normal 16 25" xfId="11623" xr:uid="{00000000-0005-0000-0000-00003A2A0000}"/>
    <cellStyle name="Normal 16 26" xfId="11624" xr:uid="{00000000-0005-0000-0000-00003B2A0000}"/>
    <cellStyle name="Normal 16 27" xfId="11625" xr:uid="{00000000-0005-0000-0000-00003C2A0000}"/>
    <cellStyle name="Normal 16 28" xfId="11626" xr:uid="{00000000-0005-0000-0000-00003D2A0000}"/>
    <cellStyle name="Normal 16 29" xfId="11627" xr:uid="{00000000-0005-0000-0000-00003E2A0000}"/>
    <cellStyle name="Normal 16 3" xfId="11628" xr:uid="{00000000-0005-0000-0000-00003F2A0000}"/>
    <cellStyle name="Normal 16 3 2" xfId="11629" xr:uid="{00000000-0005-0000-0000-0000402A0000}"/>
    <cellStyle name="Normal 16 30" xfId="11630" xr:uid="{00000000-0005-0000-0000-0000412A0000}"/>
    <cellStyle name="Normal 16 31" xfId="11631" xr:uid="{00000000-0005-0000-0000-0000422A0000}"/>
    <cellStyle name="Normal 16 32" xfId="11632" xr:uid="{00000000-0005-0000-0000-0000432A0000}"/>
    <cellStyle name="Normal 16 33" xfId="11633" xr:uid="{00000000-0005-0000-0000-0000442A0000}"/>
    <cellStyle name="Normal 16 34" xfId="11634" xr:uid="{00000000-0005-0000-0000-0000452A0000}"/>
    <cellStyle name="Normal 16 35" xfId="11635" xr:uid="{00000000-0005-0000-0000-0000462A0000}"/>
    <cellStyle name="Normal 16 36" xfId="11636" xr:uid="{00000000-0005-0000-0000-0000472A0000}"/>
    <cellStyle name="Normal 16 37" xfId="11637" xr:uid="{00000000-0005-0000-0000-0000482A0000}"/>
    <cellStyle name="Normal 16 38" xfId="11638" xr:uid="{00000000-0005-0000-0000-0000492A0000}"/>
    <cellStyle name="Normal 16 39" xfId="11639" xr:uid="{00000000-0005-0000-0000-00004A2A0000}"/>
    <cellStyle name="Normal 16 4" xfId="11640" xr:uid="{00000000-0005-0000-0000-00004B2A0000}"/>
    <cellStyle name="Normal 16 40" xfId="11641" xr:uid="{00000000-0005-0000-0000-00004C2A0000}"/>
    <cellStyle name="Normal 16 41" xfId="11642" xr:uid="{00000000-0005-0000-0000-00004D2A0000}"/>
    <cellStyle name="Normal 16 42" xfId="11643" xr:uid="{00000000-0005-0000-0000-00004E2A0000}"/>
    <cellStyle name="Normal 16 43" xfId="11644" xr:uid="{00000000-0005-0000-0000-00004F2A0000}"/>
    <cellStyle name="Normal 16 44" xfId="11645" xr:uid="{00000000-0005-0000-0000-0000502A0000}"/>
    <cellStyle name="Normal 16 45" xfId="11646" xr:uid="{00000000-0005-0000-0000-0000512A0000}"/>
    <cellStyle name="Normal 16 5" xfId="11647" xr:uid="{00000000-0005-0000-0000-0000522A0000}"/>
    <cellStyle name="Normal 16 6" xfId="11648" xr:uid="{00000000-0005-0000-0000-0000532A0000}"/>
    <cellStyle name="Normal 16 7" xfId="11649" xr:uid="{00000000-0005-0000-0000-0000542A0000}"/>
    <cellStyle name="Normal 16 8" xfId="11650" xr:uid="{00000000-0005-0000-0000-0000552A0000}"/>
    <cellStyle name="Normal 16 9" xfId="11651" xr:uid="{00000000-0005-0000-0000-0000562A0000}"/>
    <cellStyle name="Normal 160" xfId="11652" xr:uid="{00000000-0005-0000-0000-0000572A0000}"/>
    <cellStyle name="Normal 161" xfId="11653" xr:uid="{00000000-0005-0000-0000-0000582A0000}"/>
    <cellStyle name="Normal 162" xfId="11654" xr:uid="{00000000-0005-0000-0000-0000592A0000}"/>
    <cellStyle name="Normal 163" xfId="11655" xr:uid="{00000000-0005-0000-0000-00005A2A0000}"/>
    <cellStyle name="Normal 164" xfId="11656" xr:uid="{00000000-0005-0000-0000-00005B2A0000}"/>
    <cellStyle name="Normal 165" xfId="11657" xr:uid="{00000000-0005-0000-0000-00005C2A0000}"/>
    <cellStyle name="Normal 166" xfId="1891" xr:uid="{00000000-0005-0000-0000-00005D2A0000}"/>
    <cellStyle name="Normal 166 2" xfId="43409" xr:uid="{00000000-0005-0000-0000-00005E2A0000}"/>
    <cellStyle name="Normal 167" xfId="43188" xr:uid="{00000000-0005-0000-0000-00005F2A0000}"/>
    <cellStyle name="Normal 168" xfId="43191" xr:uid="{00000000-0005-0000-0000-0000602A0000}"/>
    <cellStyle name="Normal 169" xfId="43194" xr:uid="{00000000-0005-0000-0000-0000612A0000}"/>
    <cellStyle name="Normal 17" xfId="1049" xr:uid="{00000000-0005-0000-0000-0000622A0000}"/>
    <cellStyle name="Normal 17 10" xfId="11658" xr:uid="{00000000-0005-0000-0000-0000632A0000}"/>
    <cellStyle name="Normal 17 11" xfId="11659" xr:uid="{00000000-0005-0000-0000-0000642A0000}"/>
    <cellStyle name="Normal 17 12" xfId="11660" xr:uid="{00000000-0005-0000-0000-0000652A0000}"/>
    <cellStyle name="Normal 17 13" xfId="11661" xr:uid="{00000000-0005-0000-0000-0000662A0000}"/>
    <cellStyle name="Normal 17 14" xfId="11662" xr:uid="{00000000-0005-0000-0000-0000672A0000}"/>
    <cellStyle name="Normal 17 15" xfId="11663" xr:uid="{00000000-0005-0000-0000-0000682A0000}"/>
    <cellStyle name="Normal 17 16" xfId="11664" xr:uid="{00000000-0005-0000-0000-0000692A0000}"/>
    <cellStyle name="Normal 17 17" xfId="11665" xr:uid="{00000000-0005-0000-0000-00006A2A0000}"/>
    <cellStyle name="Normal 17 18" xfId="11666" xr:uid="{00000000-0005-0000-0000-00006B2A0000}"/>
    <cellStyle name="Normal 17 19" xfId="11667" xr:uid="{00000000-0005-0000-0000-00006C2A0000}"/>
    <cellStyle name="Normal 17 2" xfId="1662" xr:uid="{00000000-0005-0000-0000-00006D2A0000}"/>
    <cellStyle name="Normal 17 20" xfId="11668" xr:uid="{00000000-0005-0000-0000-00006E2A0000}"/>
    <cellStyle name="Normal 17 21" xfId="11669" xr:uid="{00000000-0005-0000-0000-00006F2A0000}"/>
    <cellStyle name="Normal 17 22" xfId="11670" xr:uid="{00000000-0005-0000-0000-0000702A0000}"/>
    <cellStyle name="Normal 17 23" xfId="11671" xr:uid="{00000000-0005-0000-0000-0000712A0000}"/>
    <cellStyle name="Normal 17 24" xfId="11672" xr:uid="{00000000-0005-0000-0000-0000722A0000}"/>
    <cellStyle name="Normal 17 25" xfId="11673" xr:uid="{00000000-0005-0000-0000-0000732A0000}"/>
    <cellStyle name="Normal 17 26" xfId="11674" xr:uid="{00000000-0005-0000-0000-0000742A0000}"/>
    <cellStyle name="Normal 17 27" xfId="11675" xr:uid="{00000000-0005-0000-0000-0000752A0000}"/>
    <cellStyle name="Normal 17 28" xfId="11676" xr:uid="{00000000-0005-0000-0000-0000762A0000}"/>
    <cellStyle name="Normal 17 29" xfId="11677" xr:uid="{00000000-0005-0000-0000-0000772A0000}"/>
    <cellStyle name="Normal 17 3" xfId="11678" xr:uid="{00000000-0005-0000-0000-0000782A0000}"/>
    <cellStyle name="Normal 17 30" xfId="11679" xr:uid="{00000000-0005-0000-0000-0000792A0000}"/>
    <cellStyle name="Normal 17 31" xfId="11680" xr:uid="{00000000-0005-0000-0000-00007A2A0000}"/>
    <cellStyle name="Normal 17 32" xfId="11681" xr:uid="{00000000-0005-0000-0000-00007B2A0000}"/>
    <cellStyle name="Normal 17 33" xfId="11682" xr:uid="{00000000-0005-0000-0000-00007C2A0000}"/>
    <cellStyle name="Normal 17 34" xfId="11683" xr:uid="{00000000-0005-0000-0000-00007D2A0000}"/>
    <cellStyle name="Normal 17 35" xfId="11684" xr:uid="{00000000-0005-0000-0000-00007E2A0000}"/>
    <cellStyle name="Normal 17 36" xfId="11685" xr:uid="{00000000-0005-0000-0000-00007F2A0000}"/>
    <cellStyle name="Normal 17 37" xfId="11686" xr:uid="{00000000-0005-0000-0000-0000802A0000}"/>
    <cellStyle name="Normal 17 38" xfId="11687" xr:uid="{00000000-0005-0000-0000-0000812A0000}"/>
    <cellStyle name="Normal 17 39" xfId="11688" xr:uid="{00000000-0005-0000-0000-0000822A0000}"/>
    <cellStyle name="Normal 17 4" xfId="11689" xr:uid="{00000000-0005-0000-0000-0000832A0000}"/>
    <cellStyle name="Normal 17 40" xfId="11690" xr:uid="{00000000-0005-0000-0000-0000842A0000}"/>
    <cellStyle name="Normal 17 41" xfId="11691" xr:uid="{00000000-0005-0000-0000-0000852A0000}"/>
    <cellStyle name="Normal 17 42" xfId="11692" xr:uid="{00000000-0005-0000-0000-0000862A0000}"/>
    <cellStyle name="Normal 17 43" xfId="11693" xr:uid="{00000000-0005-0000-0000-0000872A0000}"/>
    <cellStyle name="Normal 17 44" xfId="11694" xr:uid="{00000000-0005-0000-0000-0000882A0000}"/>
    <cellStyle name="Normal 17 5" xfId="11695" xr:uid="{00000000-0005-0000-0000-0000892A0000}"/>
    <cellStyle name="Normal 17 6" xfId="11696" xr:uid="{00000000-0005-0000-0000-00008A2A0000}"/>
    <cellStyle name="Normal 17 7" xfId="11697" xr:uid="{00000000-0005-0000-0000-00008B2A0000}"/>
    <cellStyle name="Normal 17 8" xfId="11698" xr:uid="{00000000-0005-0000-0000-00008C2A0000}"/>
    <cellStyle name="Normal 17 9" xfId="11699" xr:uid="{00000000-0005-0000-0000-00008D2A0000}"/>
    <cellStyle name="Normal 170" xfId="43196" xr:uid="{00000000-0005-0000-0000-00008E2A0000}"/>
    <cellStyle name="Normal 171" xfId="43203" xr:uid="{00000000-0005-0000-0000-00008F2A0000}"/>
    <cellStyle name="Normal 172" xfId="43308" xr:uid="{00000000-0005-0000-0000-0000902A0000}"/>
    <cellStyle name="Normal 173" xfId="43404" xr:uid="{00000000-0005-0000-0000-0000912A0000}"/>
    <cellStyle name="Normal 174" xfId="43410" xr:uid="{00000000-0005-0000-0000-0000922A0000}"/>
    <cellStyle name="Normal 174 2" xfId="43413" xr:uid="{00000000-0005-0000-0000-0000932A0000}"/>
    <cellStyle name="Normal 174 2 2" xfId="43415" xr:uid="{00000000-0005-0000-0000-0000942A0000}"/>
    <cellStyle name="Normal 175" xfId="43412" xr:uid="{00000000-0005-0000-0000-0000952A0000}"/>
    <cellStyle name="Normal 176" xfId="43414" xr:uid="{00000000-0005-0000-0000-0000962A0000}"/>
    <cellStyle name="Normal 177" xfId="43416" xr:uid="{00000000-0005-0000-0000-0000972A0000}"/>
    <cellStyle name="Normal 177 2" xfId="43420" xr:uid="{00000000-0005-0000-0000-0000982A0000}"/>
    <cellStyle name="Normal 177 3" xfId="43424" xr:uid="{00000000-0005-0000-0000-0000992A0000}"/>
    <cellStyle name="Normal 178" xfId="43418" xr:uid="{00000000-0005-0000-0000-00009A2A0000}"/>
    <cellStyle name="Normal 179" xfId="43427" xr:uid="{A619DA33-0CA1-4F94-B8D5-A4AD52D95686}"/>
    <cellStyle name="Normal 18" xfId="1050" xr:uid="{00000000-0005-0000-0000-00009B2A0000}"/>
    <cellStyle name="Normal 18 10" xfId="11700" xr:uid="{00000000-0005-0000-0000-00009C2A0000}"/>
    <cellStyle name="Normal 18 10 10" xfId="11701" xr:uid="{00000000-0005-0000-0000-00009D2A0000}"/>
    <cellStyle name="Normal 18 10 11" xfId="11702" xr:uid="{00000000-0005-0000-0000-00009E2A0000}"/>
    <cellStyle name="Normal 18 10 12" xfId="11703" xr:uid="{00000000-0005-0000-0000-00009F2A0000}"/>
    <cellStyle name="Normal 18 10 13" xfId="11704" xr:uid="{00000000-0005-0000-0000-0000A02A0000}"/>
    <cellStyle name="Normal 18 10 2" xfId="11705" xr:uid="{00000000-0005-0000-0000-0000A12A0000}"/>
    <cellStyle name="Normal 18 10 2 2" xfId="11706" xr:uid="{00000000-0005-0000-0000-0000A22A0000}"/>
    <cellStyle name="Normal 18 10 2 3" xfId="11707" xr:uid="{00000000-0005-0000-0000-0000A32A0000}"/>
    <cellStyle name="Normal 18 10 2 4" xfId="11708" xr:uid="{00000000-0005-0000-0000-0000A42A0000}"/>
    <cellStyle name="Normal 18 10 2 5" xfId="11709" xr:uid="{00000000-0005-0000-0000-0000A52A0000}"/>
    <cellStyle name="Normal 18 10 2 6" xfId="11710" xr:uid="{00000000-0005-0000-0000-0000A62A0000}"/>
    <cellStyle name="Normal 18 10 3" xfId="11711" xr:uid="{00000000-0005-0000-0000-0000A72A0000}"/>
    <cellStyle name="Normal 18 10 3 2" xfId="11712" xr:uid="{00000000-0005-0000-0000-0000A82A0000}"/>
    <cellStyle name="Normal 18 10 3 3" xfId="11713" xr:uid="{00000000-0005-0000-0000-0000A92A0000}"/>
    <cellStyle name="Normal 18 10 3 4" xfId="11714" xr:uid="{00000000-0005-0000-0000-0000AA2A0000}"/>
    <cellStyle name="Normal 18 10 3 5" xfId="11715" xr:uid="{00000000-0005-0000-0000-0000AB2A0000}"/>
    <cellStyle name="Normal 18 10 3 6" xfId="11716" xr:uid="{00000000-0005-0000-0000-0000AC2A0000}"/>
    <cellStyle name="Normal 18 10 4" xfId="11717" xr:uid="{00000000-0005-0000-0000-0000AD2A0000}"/>
    <cellStyle name="Normal 18 10 4 2" xfId="11718" xr:uid="{00000000-0005-0000-0000-0000AE2A0000}"/>
    <cellStyle name="Normal 18 10 4 3" xfId="11719" xr:uid="{00000000-0005-0000-0000-0000AF2A0000}"/>
    <cellStyle name="Normal 18 10 4 4" xfId="11720" xr:uid="{00000000-0005-0000-0000-0000B02A0000}"/>
    <cellStyle name="Normal 18 10 4 5" xfId="11721" xr:uid="{00000000-0005-0000-0000-0000B12A0000}"/>
    <cellStyle name="Normal 18 10 4 6" xfId="11722" xr:uid="{00000000-0005-0000-0000-0000B22A0000}"/>
    <cellStyle name="Normal 18 10 5" xfId="11723" xr:uid="{00000000-0005-0000-0000-0000B32A0000}"/>
    <cellStyle name="Normal 18 10 5 2" xfId="11724" xr:uid="{00000000-0005-0000-0000-0000B42A0000}"/>
    <cellStyle name="Normal 18 10 5 3" xfId="11725" xr:uid="{00000000-0005-0000-0000-0000B52A0000}"/>
    <cellStyle name="Normal 18 10 5 4" xfId="11726" xr:uid="{00000000-0005-0000-0000-0000B62A0000}"/>
    <cellStyle name="Normal 18 10 5 5" xfId="11727" xr:uid="{00000000-0005-0000-0000-0000B72A0000}"/>
    <cellStyle name="Normal 18 10 5 6" xfId="11728" xr:uid="{00000000-0005-0000-0000-0000B82A0000}"/>
    <cellStyle name="Normal 18 10 6" xfId="11729" xr:uid="{00000000-0005-0000-0000-0000B92A0000}"/>
    <cellStyle name="Normal 18 10 6 2" xfId="11730" xr:uid="{00000000-0005-0000-0000-0000BA2A0000}"/>
    <cellStyle name="Normal 18 10 6 3" xfId="11731" xr:uid="{00000000-0005-0000-0000-0000BB2A0000}"/>
    <cellStyle name="Normal 18 10 6 4" xfId="11732" xr:uid="{00000000-0005-0000-0000-0000BC2A0000}"/>
    <cellStyle name="Normal 18 10 6 5" xfId="11733" xr:uid="{00000000-0005-0000-0000-0000BD2A0000}"/>
    <cellStyle name="Normal 18 10 6 6" xfId="11734" xr:uid="{00000000-0005-0000-0000-0000BE2A0000}"/>
    <cellStyle name="Normal 18 10 7" xfId="11735" xr:uid="{00000000-0005-0000-0000-0000BF2A0000}"/>
    <cellStyle name="Normal 18 10 7 2" xfId="11736" xr:uid="{00000000-0005-0000-0000-0000C02A0000}"/>
    <cellStyle name="Normal 18 10 7 3" xfId="11737" xr:uid="{00000000-0005-0000-0000-0000C12A0000}"/>
    <cellStyle name="Normal 18 10 7 4" xfId="11738" xr:uid="{00000000-0005-0000-0000-0000C22A0000}"/>
    <cellStyle name="Normal 18 10 7 5" xfId="11739" xr:uid="{00000000-0005-0000-0000-0000C32A0000}"/>
    <cellStyle name="Normal 18 10 7 6" xfId="11740" xr:uid="{00000000-0005-0000-0000-0000C42A0000}"/>
    <cellStyle name="Normal 18 10 8" xfId="11741" xr:uid="{00000000-0005-0000-0000-0000C52A0000}"/>
    <cellStyle name="Normal 18 10 8 2" xfId="11742" xr:uid="{00000000-0005-0000-0000-0000C62A0000}"/>
    <cellStyle name="Normal 18 10 8 3" xfId="11743" xr:uid="{00000000-0005-0000-0000-0000C72A0000}"/>
    <cellStyle name="Normal 18 10 8 4" xfId="11744" xr:uid="{00000000-0005-0000-0000-0000C82A0000}"/>
    <cellStyle name="Normal 18 10 8 5" xfId="11745" xr:uid="{00000000-0005-0000-0000-0000C92A0000}"/>
    <cellStyle name="Normal 18 10 8 6" xfId="11746" xr:uid="{00000000-0005-0000-0000-0000CA2A0000}"/>
    <cellStyle name="Normal 18 10 9" xfId="11747" xr:uid="{00000000-0005-0000-0000-0000CB2A0000}"/>
    <cellStyle name="Normal 18 11" xfId="11748" xr:uid="{00000000-0005-0000-0000-0000CC2A0000}"/>
    <cellStyle name="Normal 18 11 10" xfId="11749" xr:uid="{00000000-0005-0000-0000-0000CD2A0000}"/>
    <cellStyle name="Normal 18 11 11" xfId="11750" xr:uid="{00000000-0005-0000-0000-0000CE2A0000}"/>
    <cellStyle name="Normal 18 11 12" xfId="11751" xr:uid="{00000000-0005-0000-0000-0000CF2A0000}"/>
    <cellStyle name="Normal 18 11 13" xfId="11752" xr:uid="{00000000-0005-0000-0000-0000D02A0000}"/>
    <cellStyle name="Normal 18 11 2" xfId="11753" xr:uid="{00000000-0005-0000-0000-0000D12A0000}"/>
    <cellStyle name="Normal 18 11 2 2" xfId="11754" xr:uid="{00000000-0005-0000-0000-0000D22A0000}"/>
    <cellStyle name="Normal 18 11 2 3" xfId="11755" xr:uid="{00000000-0005-0000-0000-0000D32A0000}"/>
    <cellStyle name="Normal 18 11 2 4" xfId="11756" xr:uid="{00000000-0005-0000-0000-0000D42A0000}"/>
    <cellStyle name="Normal 18 11 2 5" xfId="11757" xr:uid="{00000000-0005-0000-0000-0000D52A0000}"/>
    <cellStyle name="Normal 18 11 2 6" xfId="11758" xr:uid="{00000000-0005-0000-0000-0000D62A0000}"/>
    <cellStyle name="Normal 18 11 3" xfId="11759" xr:uid="{00000000-0005-0000-0000-0000D72A0000}"/>
    <cellStyle name="Normal 18 11 3 2" xfId="11760" xr:uid="{00000000-0005-0000-0000-0000D82A0000}"/>
    <cellStyle name="Normal 18 11 3 3" xfId="11761" xr:uid="{00000000-0005-0000-0000-0000D92A0000}"/>
    <cellStyle name="Normal 18 11 3 4" xfId="11762" xr:uid="{00000000-0005-0000-0000-0000DA2A0000}"/>
    <cellStyle name="Normal 18 11 3 5" xfId="11763" xr:uid="{00000000-0005-0000-0000-0000DB2A0000}"/>
    <cellStyle name="Normal 18 11 3 6" xfId="11764" xr:uid="{00000000-0005-0000-0000-0000DC2A0000}"/>
    <cellStyle name="Normal 18 11 4" xfId="11765" xr:uid="{00000000-0005-0000-0000-0000DD2A0000}"/>
    <cellStyle name="Normal 18 11 4 2" xfId="11766" xr:uid="{00000000-0005-0000-0000-0000DE2A0000}"/>
    <cellStyle name="Normal 18 11 4 3" xfId="11767" xr:uid="{00000000-0005-0000-0000-0000DF2A0000}"/>
    <cellStyle name="Normal 18 11 4 4" xfId="11768" xr:uid="{00000000-0005-0000-0000-0000E02A0000}"/>
    <cellStyle name="Normal 18 11 4 5" xfId="11769" xr:uid="{00000000-0005-0000-0000-0000E12A0000}"/>
    <cellStyle name="Normal 18 11 4 6" xfId="11770" xr:uid="{00000000-0005-0000-0000-0000E22A0000}"/>
    <cellStyle name="Normal 18 11 5" xfId="11771" xr:uid="{00000000-0005-0000-0000-0000E32A0000}"/>
    <cellStyle name="Normal 18 11 5 2" xfId="11772" xr:uid="{00000000-0005-0000-0000-0000E42A0000}"/>
    <cellStyle name="Normal 18 11 5 3" xfId="11773" xr:uid="{00000000-0005-0000-0000-0000E52A0000}"/>
    <cellStyle name="Normal 18 11 5 4" xfId="11774" xr:uid="{00000000-0005-0000-0000-0000E62A0000}"/>
    <cellStyle name="Normal 18 11 5 5" xfId="11775" xr:uid="{00000000-0005-0000-0000-0000E72A0000}"/>
    <cellStyle name="Normal 18 11 5 6" xfId="11776" xr:uid="{00000000-0005-0000-0000-0000E82A0000}"/>
    <cellStyle name="Normal 18 11 6" xfId="11777" xr:uid="{00000000-0005-0000-0000-0000E92A0000}"/>
    <cellStyle name="Normal 18 11 6 2" xfId="11778" xr:uid="{00000000-0005-0000-0000-0000EA2A0000}"/>
    <cellStyle name="Normal 18 11 6 3" xfId="11779" xr:uid="{00000000-0005-0000-0000-0000EB2A0000}"/>
    <cellStyle name="Normal 18 11 6 4" xfId="11780" xr:uid="{00000000-0005-0000-0000-0000EC2A0000}"/>
    <cellStyle name="Normal 18 11 6 5" xfId="11781" xr:uid="{00000000-0005-0000-0000-0000ED2A0000}"/>
    <cellStyle name="Normal 18 11 6 6" xfId="11782" xr:uid="{00000000-0005-0000-0000-0000EE2A0000}"/>
    <cellStyle name="Normal 18 11 7" xfId="11783" xr:uid="{00000000-0005-0000-0000-0000EF2A0000}"/>
    <cellStyle name="Normal 18 11 7 2" xfId="11784" xr:uid="{00000000-0005-0000-0000-0000F02A0000}"/>
    <cellStyle name="Normal 18 11 7 3" xfId="11785" xr:uid="{00000000-0005-0000-0000-0000F12A0000}"/>
    <cellStyle name="Normal 18 11 7 4" xfId="11786" xr:uid="{00000000-0005-0000-0000-0000F22A0000}"/>
    <cellStyle name="Normal 18 11 7 5" xfId="11787" xr:uid="{00000000-0005-0000-0000-0000F32A0000}"/>
    <cellStyle name="Normal 18 11 7 6" xfId="11788" xr:uid="{00000000-0005-0000-0000-0000F42A0000}"/>
    <cellStyle name="Normal 18 11 8" xfId="11789" xr:uid="{00000000-0005-0000-0000-0000F52A0000}"/>
    <cellStyle name="Normal 18 11 8 2" xfId="11790" xr:uid="{00000000-0005-0000-0000-0000F62A0000}"/>
    <cellStyle name="Normal 18 11 8 3" xfId="11791" xr:uid="{00000000-0005-0000-0000-0000F72A0000}"/>
    <cellStyle name="Normal 18 11 8 4" xfId="11792" xr:uid="{00000000-0005-0000-0000-0000F82A0000}"/>
    <cellStyle name="Normal 18 11 8 5" xfId="11793" xr:uid="{00000000-0005-0000-0000-0000F92A0000}"/>
    <cellStyle name="Normal 18 11 8 6" xfId="11794" xr:uid="{00000000-0005-0000-0000-0000FA2A0000}"/>
    <cellStyle name="Normal 18 11 9" xfId="11795" xr:uid="{00000000-0005-0000-0000-0000FB2A0000}"/>
    <cellStyle name="Normal 18 12" xfId="11796" xr:uid="{00000000-0005-0000-0000-0000FC2A0000}"/>
    <cellStyle name="Normal 18 12 10" xfId="11797" xr:uid="{00000000-0005-0000-0000-0000FD2A0000}"/>
    <cellStyle name="Normal 18 12 11" xfId="11798" xr:uid="{00000000-0005-0000-0000-0000FE2A0000}"/>
    <cellStyle name="Normal 18 12 12" xfId="11799" xr:uid="{00000000-0005-0000-0000-0000FF2A0000}"/>
    <cellStyle name="Normal 18 12 13" xfId="11800" xr:uid="{00000000-0005-0000-0000-0000002B0000}"/>
    <cellStyle name="Normal 18 12 2" xfId="11801" xr:uid="{00000000-0005-0000-0000-0000012B0000}"/>
    <cellStyle name="Normal 18 12 2 2" xfId="11802" xr:uid="{00000000-0005-0000-0000-0000022B0000}"/>
    <cellStyle name="Normal 18 12 2 3" xfId="11803" xr:uid="{00000000-0005-0000-0000-0000032B0000}"/>
    <cellStyle name="Normal 18 12 2 4" xfId="11804" xr:uid="{00000000-0005-0000-0000-0000042B0000}"/>
    <cellStyle name="Normal 18 12 2 5" xfId="11805" xr:uid="{00000000-0005-0000-0000-0000052B0000}"/>
    <cellStyle name="Normal 18 12 2 6" xfId="11806" xr:uid="{00000000-0005-0000-0000-0000062B0000}"/>
    <cellStyle name="Normal 18 12 3" xfId="11807" xr:uid="{00000000-0005-0000-0000-0000072B0000}"/>
    <cellStyle name="Normal 18 12 3 2" xfId="11808" xr:uid="{00000000-0005-0000-0000-0000082B0000}"/>
    <cellStyle name="Normal 18 12 3 3" xfId="11809" xr:uid="{00000000-0005-0000-0000-0000092B0000}"/>
    <cellStyle name="Normal 18 12 3 4" xfId="11810" xr:uid="{00000000-0005-0000-0000-00000A2B0000}"/>
    <cellStyle name="Normal 18 12 3 5" xfId="11811" xr:uid="{00000000-0005-0000-0000-00000B2B0000}"/>
    <cellStyle name="Normal 18 12 3 6" xfId="11812" xr:uid="{00000000-0005-0000-0000-00000C2B0000}"/>
    <cellStyle name="Normal 18 12 4" xfId="11813" xr:uid="{00000000-0005-0000-0000-00000D2B0000}"/>
    <cellStyle name="Normal 18 12 4 2" xfId="11814" xr:uid="{00000000-0005-0000-0000-00000E2B0000}"/>
    <cellStyle name="Normal 18 12 4 3" xfId="11815" xr:uid="{00000000-0005-0000-0000-00000F2B0000}"/>
    <cellStyle name="Normal 18 12 4 4" xfId="11816" xr:uid="{00000000-0005-0000-0000-0000102B0000}"/>
    <cellStyle name="Normal 18 12 4 5" xfId="11817" xr:uid="{00000000-0005-0000-0000-0000112B0000}"/>
    <cellStyle name="Normal 18 12 4 6" xfId="11818" xr:uid="{00000000-0005-0000-0000-0000122B0000}"/>
    <cellStyle name="Normal 18 12 5" xfId="11819" xr:uid="{00000000-0005-0000-0000-0000132B0000}"/>
    <cellStyle name="Normal 18 12 5 2" xfId="11820" xr:uid="{00000000-0005-0000-0000-0000142B0000}"/>
    <cellStyle name="Normal 18 12 5 3" xfId="11821" xr:uid="{00000000-0005-0000-0000-0000152B0000}"/>
    <cellStyle name="Normal 18 12 5 4" xfId="11822" xr:uid="{00000000-0005-0000-0000-0000162B0000}"/>
    <cellStyle name="Normal 18 12 5 5" xfId="11823" xr:uid="{00000000-0005-0000-0000-0000172B0000}"/>
    <cellStyle name="Normal 18 12 5 6" xfId="11824" xr:uid="{00000000-0005-0000-0000-0000182B0000}"/>
    <cellStyle name="Normal 18 12 6" xfId="11825" xr:uid="{00000000-0005-0000-0000-0000192B0000}"/>
    <cellStyle name="Normal 18 12 6 2" xfId="11826" xr:uid="{00000000-0005-0000-0000-00001A2B0000}"/>
    <cellStyle name="Normal 18 12 6 3" xfId="11827" xr:uid="{00000000-0005-0000-0000-00001B2B0000}"/>
    <cellStyle name="Normal 18 12 6 4" xfId="11828" xr:uid="{00000000-0005-0000-0000-00001C2B0000}"/>
    <cellStyle name="Normal 18 12 6 5" xfId="11829" xr:uid="{00000000-0005-0000-0000-00001D2B0000}"/>
    <cellStyle name="Normal 18 12 6 6" xfId="11830" xr:uid="{00000000-0005-0000-0000-00001E2B0000}"/>
    <cellStyle name="Normal 18 12 7" xfId="11831" xr:uid="{00000000-0005-0000-0000-00001F2B0000}"/>
    <cellStyle name="Normal 18 12 7 2" xfId="11832" xr:uid="{00000000-0005-0000-0000-0000202B0000}"/>
    <cellStyle name="Normal 18 12 7 3" xfId="11833" xr:uid="{00000000-0005-0000-0000-0000212B0000}"/>
    <cellStyle name="Normal 18 12 7 4" xfId="11834" xr:uid="{00000000-0005-0000-0000-0000222B0000}"/>
    <cellStyle name="Normal 18 12 7 5" xfId="11835" xr:uid="{00000000-0005-0000-0000-0000232B0000}"/>
    <cellStyle name="Normal 18 12 7 6" xfId="11836" xr:uid="{00000000-0005-0000-0000-0000242B0000}"/>
    <cellStyle name="Normal 18 12 8" xfId="11837" xr:uid="{00000000-0005-0000-0000-0000252B0000}"/>
    <cellStyle name="Normal 18 12 8 2" xfId="11838" xr:uid="{00000000-0005-0000-0000-0000262B0000}"/>
    <cellStyle name="Normal 18 12 8 3" xfId="11839" xr:uid="{00000000-0005-0000-0000-0000272B0000}"/>
    <cellStyle name="Normal 18 12 8 4" xfId="11840" xr:uid="{00000000-0005-0000-0000-0000282B0000}"/>
    <cellStyle name="Normal 18 12 8 5" xfId="11841" xr:uid="{00000000-0005-0000-0000-0000292B0000}"/>
    <cellStyle name="Normal 18 12 8 6" xfId="11842" xr:uid="{00000000-0005-0000-0000-00002A2B0000}"/>
    <cellStyle name="Normal 18 12 9" xfId="11843" xr:uid="{00000000-0005-0000-0000-00002B2B0000}"/>
    <cellStyle name="Normal 18 13" xfId="11844" xr:uid="{00000000-0005-0000-0000-00002C2B0000}"/>
    <cellStyle name="Normal 18 13 10" xfId="11845" xr:uid="{00000000-0005-0000-0000-00002D2B0000}"/>
    <cellStyle name="Normal 18 13 11" xfId="11846" xr:uid="{00000000-0005-0000-0000-00002E2B0000}"/>
    <cellStyle name="Normal 18 13 12" xfId="11847" xr:uid="{00000000-0005-0000-0000-00002F2B0000}"/>
    <cellStyle name="Normal 18 13 13" xfId="11848" xr:uid="{00000000-0005-0000-0000-0000302B0000}"/>
    <cellStyle name="Normal 18 13 2" xfId="11849" xr:uid="{00000000-0005-0000-0000-0000312B0000}"/>
    <cellStyle name="Normal 18 13 2 2" xfId="11850" xr:uid="{00000000-0005-0000-0000-0000322B0000}"/>
    <cellStyle name="Normal 18 13 2 3" xfId="11851" xr:uid="{00000000-0005-0000-0000-0000332B0000}"/>
    <cellStyle name="Normal 18 13 2 4" xfId="11852" xr:uid="{00000000-0005-0000-0000-0000342B0000}"/>
    <cellStyle name="Normal 18 13 2 5" xfId="11853" xr:uid="{00000000-0005-0000-0000-0000352B0000}"/>
    <cellStyle name="Normal 18 13 2 6" xfId="11854" xr:uid="{00000000-0005-0000-0000-0000362B0000}"/>
    <cellStyle name="Normal 18 13 3" xfId="11855" xr:uid="{00000000-0005-0000-0000-0000372B0000}"/>
    <cellStyle name="Normal 18 13 3 2" xfId="11856" xr:uid="{00000000-0005-0000-0000-0000382B0000}"/>
    <cellStyle name="Normal 18 13 3 3" xfId="11857" xr:uid="{00000000-0005-0000-0000-0000392B0000}"/>
    <cellStyle name="Normal 18 13 3 4" xfId="11858" xr:uid="{00000000-0005-0000-0000-00003A2B0000}"/>
    <cellStyle name="Normal 18 13 3 5" xfId="11859" xr:uid="{00000000-0005-0000-0000-00003B2B0000}"/>
    <cellStyle name="Normal 18 13 3 6" xfId="11860" xr:uid="{00000000-0005-0000-0000-00003C2B0000}"/>
    <cellStyle name="Normal 18 13 4" xfId="11861" xr:uid="{00000000-0005-0000-0000-00003D2B0000}"/>
    <cellStyle name="Normal 18 13 4 2" xfId="11862" xr:uid="{00000000-0005-0000-0000-00003E2B0000}"/>
    <cellStyle name="Normal 18 13 4 3" xfId="11863" xr:uid="{00000000-0005-0000-0000-00003F2B0000}"/>
    <cellStyle name="Normal 18 13 4 4" xfId="11864" xr:uid="{00000000-0005-0000-0000-0000402B0000}"/>
    <cellStyle name="Normal 18 13 4 5" xfId="11865" xr:uid="{00000000-0005-0000-0000-0000412B0000}"/>
    <cellStyle name="Normal 18 13 4 6" xfId="11866" xr:uid="{00000000-0005-0000-0000-0000422B0000}"/>
    <cellStyle name="Normal 18 13 5" xfId="11867" xr:uid="{00000000-0005-0000-0000-0000432B0000}"/>
    <cellStyle name="Normal 18 13 5 2" xfId="11868" xr:uid="{00000000-0005-0000-0000-0000442B0000}"/>
    <cellStyle name="Normal 18 13 5 3" xfId="11869" xr:uid="{00000000-0005-0000-0000-0000452B0000}"/>
    <cellStyle name="Normal 18 13 5 4" xfId="11870" xr:uid="{00000000-0005-0000-0000-0000462B0000}"/>
    <cellStyle name="Normal 18 13 5 5" xfId="11871" xr:uid="{00000000-0005-0000-0000-0000472B0000}"/>
    <cellStyle name="Normal 18 13 5 6" xfId="11872" xr:uid="{00000000-0005-0000-0000-0000482B0000}"/>
    <cellStyle name="Normal 18 13 6" xfId="11873" xr:uid="{00000000-0005-0000-0000-0000492B0000}"/>
    <cellStyle name="Normal 18 13 6 2" xfId="11874" xr:uid="{00000000-0005-0000-0000-00004A2B0000}"/>
    <cellStyle name="Normal 18 13 6 3" xfId="11875" xr:uid="{00000000-0005-0000-0000-00004B2B0000}"/>
    <cellStyle name="Normal 18 13 6 4" xfId="11876" xr:uid="{00000000-0005-0000-0000-00004C2B0000}"/>
    <cellStyle name="Normal 18 13 6 5" xfId="11877" xr:uid="{00000000-0005-0000-0000-00004D2B0000}"/>
    <cellStyle name="Normal 18 13 6 6" xfId="11878" xr:uid="{00000000-0005-0000-0000-00004E2B0000}"/>
    <cellStyle name="Normal 18 13 7" xfId="11879" xr:uid="{00000000-0005-0000-0000-00004F2B0000}"/>
    <cellStyle name="Normal 18 13 7 2" xfId="11880" xr:uid="{00000000-0005-0000-0000-0000502B0000}"/>
    <cellStyle name="Normal 18 13 7 3" xfId="11881" xr:uid="{00000000-0005-0000-0000-0000512B0000}"/>
    <cellStyle name="Normal 18 13 7 4" xfId="11882" xr:uid="{00000000-0005-0000-0000-0000522B0000}"/>
    <cellStyle name="Normal 18 13 7 5" xfId="11883" xr:uid="{00000000-0005-0000-0000-0000532B0000}"/>
    <cellStyle name="Normal 18 13 7 6" xfId="11884" xr:uid="{00000000-0005-0000-0000-0000542B0000}"/>
    <cellStyle name="Normal 18 13 8" xfId="11885" xr:uid="{00000000-0005-0000-0000-0000552B0000}"/>
    <cellStyle name="Normal 18 13 8 2" xfId="11886" xr:uid="{00000000-0005-0000-0000-0000562B0000}"/>
    <cellStyle name="Normal 18 13 8 3" xfId="11887" xr:uid="{00000000-0005-0000-0000-0000572B0000}"/>
    <cellStyle name="Normal 18 13 8 4" xfId="11888" xr:uid="{00000000-0005-0000-0000-0000582B0000}"/>
    <cellStyle name="Normal 18 13 8 5" xfId="11889" xr:uid="{00000000-0005-0000-0000-0000592B0000}"/>
    <cellStyle name="Normal 18 13 8 6" xfId="11890" xr:uid="{00000000-0005-0000-0000-00005A2B0000}"/>
    <cellStyle name="Normal 18 13 9" xfId="11891" xr:uid="{00000000-0005-0000-0000-00005B2B0000}"/>
    <cellStyle name="Normal 18 14" xfId="11892" xr:uid="{00000000-0005-0000-0000-00005C2B0000}"/>
    <cellStyle name="Normal 18 14 10" xfId="11893" xr:uid="{00000000-0005-0000-0000-00005D2B0000}"/>
    <cellStyle name="Normal 18 14 11" xfId="11894" xr:uid="{00000000-0005-0000-0000-00005E2B0000}"/>
    <cellStyle name="Normal 18 14 12" xfId="11895" xr:uid="{00000000-0005-0000-0000-00005F2B0000}"/>
    <cellStyle name="Normal 18 14 13" xfId="11896" xr:uid="{00000000-0005-0000-0000-0000602B0000}"/>
    <cellStyle name="Normal 18 14 2" xfId="11897" xr:uid="{00000000-0005-0000-0000-0000612B0000}"/>
    <cellStyle name="Normal 18 14 2 2" xfId="11898" xr:uid="{00000000-0005-0000-0000-0000622B0000}"/>
    <cellStyle name="Normal 18 14 2 3" xfId="11899" xr:uid="{00000000-0005-0000-0000-0000632B0000}"/>
    <cellStyle name="Normal 18 14 2 4" xfId="11900" xr:uid="{00000000-0005-0000-0000-0000642B0000}"/>
    <cellStyle name="Normal 18 14 2 5" xfId="11901" xr:uid="{00000000-0005-0000-0000-0000652B0000}"/>
    <cellStyle name="Normal 18 14 2 6" xfId="11902" xr:uid="{00000000-0005-0000-0000-0000662B0000}"/>
    <cellStyle name="Normal 18 14 3" xfId="11903" xr:uid="{00000000-0005-0000-0000-0000672B0000}"/>
    <cellStyle name="Normal 18 14 3 2" xfId="11904" xr:uid="{00000000-0005-0000-0000-0000682B0000}"/>
    <cellStyle name="Normal 18 14 3 3" xfId="11905" xr:uid="{00000000-0005-0000-0000-0000692B0000}"/>
    <cellStyle name="Normal 18 14 3 4" xfId="11906" xr:uid="{00000000-0005-0000-0000-00006A2B0000}"/>
    <cellStyle name="Normal 18 14 3 5" xfId="11907" xr:uid="{00000000-0005-0000-0000-00006B2B0000}"/>
    <cellStyle name="Normal 18 14 3 6" xfId="11908" xr:uid="{00000000-0005-0000-0000-00006C2B0000}"/>
    <cellStyle name="Normal 18 14 4" xfId="11909" xr:uid="{00000000-0005-0000-0000-00006D2B0000}"/>
    <cellStyle name="Normal 18 14 4 2" xfId="11910" xr:uid="{00000000-0005-0000-0000-00006E2B0000}"/>
    <cellStyle name="Normal 18 14 4 3" xfId="11911" xr:uid="{00000000-0005-0000-0000-00006F2B0000}"/>
    <cellStyle name="Normal 18 14 4 4" xfId="11912" xr:uid="{00000000-0005-0000-0000-0000702B0000}"/>
    <cellStyle name="Normal 18 14 4 5" xfId="11913" xr:uid="{00000000-0005-0000-0000-0000712B0000}"/>
    <cellStyle name="Normal 18 14 4 6" xfId="11914" xr:uid="{00000000-0005-0000-0000-0000722B0000}"/>
    <cellStyle name="Normal 18 14 5" xfId="11915" xr:uid="{00000000-0005-0000-0000-0000732B0000}"/>
    <cellStyle name="Normal 18 14 5 2" xfId="11916" xr:uid="{00000000-0005-0000-0000-0000742B0000}"/>
    <cellStyle name="Normal 18 14 5 3" xfId="11917" xr:uid="{00000000-0005-0000-0000-0000752B0000}"/>
    <cellStyle name="Normal 18 14 5 4" xfId="11918" xr:uid="{00000000-0005-0000-0000-0000762B0000}"/>
    <cellStyle name="Normal 18 14 5 5" xfId="11919" xr:uid="{00000000-0005-0000-0000-0000772B0000}"/>
    <cellStyle name="Normal 18 14 5 6" xfId="11920" xr:uid="{00000000-0005-0000-0000-0000782B0000}"/>
    <cellStyle name="Normal 18 14 6" xfId="11921" xr:uid="{00000000-0005-0000-0000-0000792B0000}"/>
    <cellStyle name="Normal 18 14 6 2" xfId="11922" xr:uid="{00000000-0005-0000-0000-00007A2B0000}"/>
    <cellStyle name="Normal 18 14 6 3" xfId="11923" xr:uid="{00000000-0005-0000-0000-00007B2B0000}"/>
    <cellStyle name="Normal 18 14 6 4" xfId="11924" xr:uid="{00000000-0005-0000-0000-00007C2B0000}"/>
    <cellStyle name="Normal 18 14 6 5" xfId="11925" xr:uid="{00000000-0005-0000-0000-00007D2B0000}"/>
    <cellStyle name="Normal 18 14 6 6" xfId="11926" xr:uid="{00000000-0005-0000-0000-00007E2B0000}"/>
    <cellStyle name="Normal 18 14 7" xfId="11927" xr:uid="{00000000-0005-0000-0000-00007F2B0000}"/>
    <cellStyle name="Normal 18 14 7 2" xfId="11928" xr:uid="{00000000-0005-0000-0000-0000802B0000}"/>
    <cellStyle name="Normal 18 14 7 3" xfId="11929" xr:uid="{00000000-0005-0000-0000-0000812B0000}"/>
    <cellStyle name="Normal 18 14 7 4" xfId="11930" xr:uid="{00000000-0005-0000-0000-0000822B0000}"/>
    <cellStyle name="Normal 18 14 7 5" xfId="11931" xr:uid="{00000000-0005-0000-0000-0000832B0000}"/>
    <cellStyle name="Normal 18 14 7 6" xfId="11932" xr:uid="{00000000-0005-0000-0000-0000842B0000}"/>
    <cellStyle name="Normal 18 14 8" xfId="11933" xr:uid="{00000000-0005-0000-0000-0000852B0000}"/>
    <cellStyle name="Normal 18 14 8 2" xfId="11934" xr:uid="{00000000-0005-0000-0000-0000862B0000}"/>
    <cellStyle name="Normal 18 14 8 3" xfId="11935" xr:uid="{00000000-0005-0000-0000-0000872B0000}"/>
    <cellStyle name="Normal 18 14 8 4" xfId="11936" xr:uid="{00000000-0005-0000-0000-0000882B0000}"/>
    <cellStyle name="Normal 18 14 8 5" xfId="11937" xr:uid="{00000000-0005-0000-0000-0000892B0000}"/>
    <cellStyle name="Normal 18 14 8 6" xfId="11938" xr:uid="{00000000-0005-0000-0000-00008A2B0000}"/>
    <cellStyle name="Normal 18 14 9" xfId="11939" xr:uid="{00000000-0005-0000-0000-00008B2B0000}"/>
    <cellStyle name="Normal 18 15" xfId="11940" xr:uid="{00000000-0005-0000-0000-00008C2B0000}"/>
    <cellStyle name="Normal 18 15 10" xfId="11941" xr:uid="{00000000-0005-0000-0000-00008D2B0000}"/>
    <cellStyle name="Normal 18 15 11" xfId="11942" xr:uid="{00000000-0005-0000-0000-00008E2B0000}"/>
    <cellStyle name="Normal 18 15 12" xfId="11943" xr:uid="{00000000-0005-0000-0000-00008F2B0000}"/>
    <cellStyle name="Normal 18 15 13" xfId="11944" xr:uid="{00000000-0005-0000-0000-0000902B0000}"/>
    <cellStyle name="Normal 18 15 2" xfId="11945" xr:uid="{00000000-0005-0000-0000-0000912B0000}"/>
    <cellStyle name="Normal 18 15 2 2" xfId="11946" xr:uid="{00000000-0005-0000-0000-0000922B0000}"/>
    <cellStyle name="Normal 18 15 2 3" xfId="11947" xr:uid="{00000000-0005-0000-0000-0000932B0000}"/>
    <cellStyle name="Normal 18 15 2 4" xfId="11948" xr:uid="{00000000-0005-0000-0000-0000942B0000}"/>
    <cellStyle name="Normal 18 15 2 5" xfId="11949" xr:uid="{00000000-0005-0000-0000-0000952B0000}"/>
    <cellStyle name="Normal 18 15 2 6" xfId="11950" xr:uid="{00000000-0005-0000-0000-0000962B0000}"/>
    <cellStyle name="Normal 18 15 3" xfId="11951" xr:uid="{00000000-0005-0000-0000-0000972B0000}"/>
    <cellStyle name="Normal 18 15 3 2" xfId="11952" xr:uid="{00000000-0005-0000-0000-0000982B0000}"/>
    <cellStyle name="Normal 18 15 3 3" xfId="11953" xr:uid="{00000000-0005-0000-0000-0000992B0000}"/>
    <cellStyle name="Normal 18 15 3 4" xfId="11954" xr:uid="{00000000-0005-0000-0000-00009A2B0000}"/>
    <cellStyle name="Normal 18 15 3 5" xfId="11955" xr:uid="{00000000-0005-0000-0000-00009B2B0000}"/>
    <cellStyle name="Normal 18 15 3 6" xfId="11956" xr:uid="{00000000-0005-0000-0000-00009C2B0000}"/>
    <cellStyle name="Normal 18 15 4" xfId="11957" xr:uid="{00000000-0005-0000-0000-00009D2B0000}"/>
    <cellStyle name="Normal 18 15 4 2" xfId="11958" xr:uid="{00000000-0005-0000-0000-00009E2B0000}"/>
    <cellStyle name="Normal 18 15 4 3" xfId="11959" xr:uid="{00000000-0005-0000-0000-00009F2B0000}"/>
    <cellStyle name="Normal 18 15 4 4" xfId="11960" xr:uid="{00000000-0005-0000-0000-0000A02B0000}"/>
    <cellStyle name="Normal 18 15 4 5" xfId="11961" xr:uid="{00000000-0005-0000-0000-0000A12B0000}"/>
    <cellStyle name="Normal 18 15 4 6" xfId="11962" xr:uid="{00000000-0005-0000-0000-0000A22B0000}"/>
    <cellStyle name="Normal 18 15 5" xfId="11963" xr:uid="{00000000-0005-0000-0000-0000A32B0000}"/>
    <cellStyle name="Normal 18 15 5 2" xfId="11964" xr:uid="{00000000-0005-0000-0000-0000A42B0000}"/>
    <cellStyle name="Normal 18 15 5 3" xfId="11965" xr:uid="{00000000-0005-0000-0000-0000A52B0000}"/>
    <cellStyle name="Normal 18 15 5 4" xfId="11966" xr:uid="{00000000-0005-0000-0000-0000A62B0000}"/>
    <cellStyle name="Normal 18 15 5 5" xfId="11967" xr:uid="{00000000-0005-0000-0000-0000A72B0000}"/>
    <cellStyle name="Normal 18 15 5 6" xfId="11968" xr:uid="{00000000-0005-0000-0000-0000A82B0000}"/>
    <cellStyle name="Normal 18 15 6" xfId="11969" xr:uid="{00000000-0005-0000-0000-0000A92B0000}"/>
    <cellStyle name="Normal 18 15 6 2" xfId="11970" xr:uid="{00000000-0005-0000-0000-0000AA2B0000}"/>
    <cellStyle name="Normal 18 15 6 3" xfId="11971" xr:uid="{00000000-0005-0000-0000-0000AB2B0000}"/>
    <cellStyle name="Normal 18 15 6 4" xfId="11972" xr:uid="{00000000-0005-0000-0000-0000AC2B0000}"/>
    <cellStyle name="Normal 18 15 6 5" xfId="11973" xr:uid="{00000000-0005-0000-0000-0000AD2B0000}"/>
    <cellStyle name="Normal 18 15 6 6" xfId="11974" xr:uid="{00000000-0005-0000-0000-0000AE2B0000}"/>
    <cellStyle name="Normal 18 15 7" xfId="11975" xr:uid="{00000000-0005-0000-0000-0000AF2B0000}"/>
    <cellStyle name="Normal 18 15 7 2" xfId="11976" xr:uid="{00000000-0005-0000-0000-0000B02B0000}"/>
    <cellStyle name="Normal 18 15 7 3" xfId="11977" xr:uid="{00000000-0005-0000-0000-0000B12B0000}"/>
    <cellStyle name="Normal 18 15 7 4" xfId="11978" xr:uid="{00000000-0005-0000-0000-0000B22B0000}"/>
    <cellStyle name="Normal 18 15 7 5" xfId="11979" xr:uid="{00000000-0005-0000-0000-0000B32B0000}"/>
    <cellStyle name="Normal 18 15 7 6" xfId="11980" xr:uid="{00000000-0005-0000-0000-0000B42B0000}"/>
    <cellStyle name="Normal 18 15 8" xfId="11981" xr:uid="{00000000-0005-0000-0000-0000B52B0000}"/>
    <cellStyle name="Normal 18 15 8 2" xfId="11982" xr:uid="{00000000-0005-0000-0000-0000B62B0000}"/>
    <cellStyle name="Normal 18 15 8 3" xfId="11983" xr:uid="{00000000-0005-0000-0000-0000B72B0000}"/>
    <cellStyle name="Normal 18 15 8 4" xfId="11984" xr:uid="{00000000-0005-0000-0000-0000B82B0000}"/>
    <cellStyle name="Normal 18 15 8 5" xfId="11985" xr:uid="{00000000-0005-0000-0000-0000B92B0000}"/>
    <cellStyle name="Normal 18 15 8 6" xfId="11986" xr:uid="{00000000-0005-0000-0000-0000BA2B0000}"/>
    <cellStyle name="Normal 18 15 9" xfId="11987" xr:uid="{00000000-0005-0000-0000-0000BB2B0000}"/>
    <cellStyle name="Normal 18 16" xfId="11988" xr:uid="{00000000-0005-0000-0000-0000BC2B0000}"/>
    <cellStyle name="Normal 18 16 10" xfId="11989" xr:uid="{00000000-0005-0000-0000-0000BD2B0000}"/>
    <cellStyle name="Normal 18 16 11" xfId="11990" xr:uid="{00000000-0005-0000-0000-0000BE2B0000}"/>
    <cellStyle name="Normal 18 16 12" xfId="11991" xr:uid="{00000000-0005-0000-0000-0000BF2B0000}"/>
    <cellStyle name="Normal 18 16 13" xfId="11992" xr:uid="{00000000-0005-0000-0000-0000C02B0000}"/>
    <cellStyle name="Normal 18 16 2" xfId="11993" xr:uid="{00000000-0005-0000-0000-0000C12B0000}"/>
    <cellStyle name="Normal 18 16 2 2" xfId="11994" xr:uid="{00000000-0005-0000-0000-0000C22B0000}"/>
    <cellStyle name="Normal 18 16 2 3" xfId="11995" xr:uid="{00000000-0005-0000-0000-0000C32B0000}"/>
    <cellStyle name="Normal 18 16 2 4" xfId="11996" xr:uid="{00000000-0005-0000-0000-0000C42B0000}"/>
    <cellStyle name="Normal 18 16 2 5" xfId="11997" xr:uid="{00000000-0005-0000-0000-0000C52B0000}"/>
    <cellStyle name="Normal 18 16 2 6" xfId="11998" xr:uid="{00000000-0005-0000-0000-0000C62B0000}"/>
    <cellStyle name="Normal 18 16 3" xfId="11999" xr:uid="{00000000-0005-0000-0000-0000C72B0000}"/>
    <cellStyle name="Normal 18 16 3 2" xfId="12000" xr:uid="{00000000-0005-0000-0000-0000C82B0000}"/>
    <cellStyle name="Normal 18 16 3 3" xfId="12001" xr:uid="{00000000-0005-0000-0000-0000C92B0000}"/>
    <cellStyle name="Normal 18 16 3 4" xfId="12002" xr:uid="{00000000-0005-0000-0000-0000CA2B0000}"/>
    <cellStyle name="Normal 18 16 3 5" xfId="12003" xr:uid="{00000000-0005-0000-0000-0000CB2B0000}"/>
    <cellStyle name="Normal 18 16 3 6" xfId="12004" xr:uid="{00000000-0005-0000-0000-0000CC2B0000}"/>
    <cellStyle name="Normal 18 16 4" xfId="12005" xr:uid="{00000000-0005-0000-0000-0000CD2B0000}"/>
    <cellStyle name="Normal 18 16 4 2" xfId="12006" xr:uid="{00000000-0005-0000-0000-0000CE2B0000}"/>
    <cellStyle name="Normal 18 16 4 3" xfId="12007" xr:uid="{00000000-0005-0000-0000-0000CF2B0000}"/>
    <cellStyle name="Normal 18 16 4 4" xfId="12008" xr:uid="{00000000-0005-0000-0000-0000D02B0000}"/>
    <cellStyle name="Normal 18 16 4 5" xfId="12009" xr:uid="{00000000-0005-0000-0000-0000D12B0000}"/>
    <cellStyle name="Normal 18 16 4 6" xfId="12010" xr:uid="{00000000-0005-0000-0000-0000D22B0000}"/>
    <cellStyle name="Normal 18 16 5" xfId="12011" xr:uid="{00000000-0005-0000-0000-0000D32B0000}"/>
    <cellStyle name="Normal 18 16 5 2" xfId="12012" xr:uid="{00000000-0005-0000-0000-0000D42B0000}"/>
    <cellStyle name="Normal 18 16 5 3" xfId="12013" xr:uid="{00000000-0005-0000-0000-0000D52B0000}"/>
    <cellStyle name="Normal 18 16 5 4" xfId="12014" xr:uid="{00000000-0005-0000-0000-0000D62B0000}"/>
    <cellStyle name="Normal 18 16 5 5" xfId="12015" xr:uid="{00000000-0005-0000-0000-0000D72B0000}"/>
    <cellStyle name="Normal 18 16 5 6" xfId="12016" xr:uid="{00000000-0005-0000-0000-0000D82B0000}"/>
    <cellStyle name="Normal 18 16 6" xfId="12017" xr:uid="{00000000-0005-0000-0000-0000D92B0000}"/>
    <cellStyle name="Normal 18 16 6 2" xfId="12018" xr:uid="{00000000-0005-0000-0000-0000DA2B0000}"/>
    <cellStyle name="Normal 18 16 6 3" xfId="12019" xr:uid="{00000000-0005-0000-0000-0000DB2B0000}"/>
    <cellStyle name="Normal 18 16 6 4" xfId="12020" xr:uid="{00000000-0005-0000-0000-0000DC2B0000}"/>
    <cellStyle name="Normal 18 16 6 5" xfId="12021" xr:uid="{00000000-0005-0000-0000-0000DD2B0000}"/>
    <cellStyle name="Normal 18 16 6 6" xfId="12022" xr:uid="{00000000-0005-0000-0000-0000DE2B0000}"/>
    <cellStyle name="Normal 18 16 7" xfId="12023" xr:uid="{00000000-0005-0000-0000-0000DF2B0000}"/>
    <cellStyle name="Normal 18 16 7 2" xfId="12024" xr:uid="{00000000-0005-0000-0000-0000E02B0000}"/>
    <cellStyle name="Normal 18 16 7 3" xfId="12025" xr:uid="{00000000-0005-0000-0000-0000E12B0000}"/>
    <cellStyle name="Normal 18 16 7 4" xfId="12026" xr:uid="{00000000-0005-0000-0000-0000E22B0000}"/>
    <cellStyle name="Normal 18 16 7 5" xfId="12027" xr:uid="{00000000-0005-0000-0000-0000E32B0000}"/>
    <cellStyle name="Normal 18 16 7 6" xfId="12028" xr:uid="{00000000-0005-0000-0000-0000E42B0000}"/>
    <cellStyle name="Normal 18 16 8" xfId="12029" xr:uid="{00000000-0005-0000-0000-0000E52B0000}"/>
    <cellStyle name="Normal 18 16 8 2" xfId="12030" xr:uid="{00000000-0005-0000-0000-0000E62B0000}"/>
    <cellStyle name="Normal 18 16 8 3" xfId="12031" xr:uid="{00000000-0005-0000-0000-0000E72B0000}"/>
    <cellStyle name="Normal 18 16 8 4" xfId="12032" xr:uid="{00000000-0005-0000-0000-0000E82B0000}"/>
    <cellStyle name="Normal 18 16 8 5" xfId="12033" xr:uid="{00000000-0005-0000-0000-0000E92B0000}"/>
    <cellStyle name="Normal 18 16 8 6" xfId="12034" xr:uid="{00000000-0005-0000-0000-0000EA2B0000}"/>
    <cellStyle name="Normal 18 16 9" xfId="12035" xr:uid="{00000000-0005-0000-0000-0000EB2B0000}"/>
    <cellStyle name="Normal 18 17" xfId="12036" xr:uid="{00000000-0005-0000-0000-0000EC2B0000}"/>
    <cellStyle name="Normal 18 17 10" xfId="12037" xr:uid="{00000000-0005-0000-0000-0000ED2B0000}"/>
    <cellStyle name="Normal 18 17 11" xfId="12038" xr:uid="{00000000-0005-0000-0000-0000EE2B0000}"/>
    <cellStyle name="Normal 18 17 12" xfId="12039" xr:uid="{00000000-0005-0000-0000-0000EF2B0000}"/>
    <cellStyle name="Normal 18 17 13" xfId="12040" xr:uid="{00000000-0005-0000-0000-0000F02B0000}"/>
    <cellStyle name="Normal 18 17 2" xfId="12041" xr:uid="{00000000-0005-0000-0000-0000F12B0000}"/>
    <cellStyle name="Normal 18 17 2 2" xfId="12042" xr:uid="{00000000-0005-0000-0000-0000F22B0000}"/>
    <cellStyle name="Normal 18 17 2 3" xfId="12043" xr:uid="{00000000-0005-0000-0000-0000F32B0000}"/>
    <cellStyle name="Normal 18 17 2 4" xfId="12044" xr:uid="{00000000-0005-0000-0000-0000F42B0000}"/>
    <cellStyle name="Normal 18 17 2 5" xfId="12045" xr:uid="{00000000-0005-0000-0000-0000F52B0000}"/>
    <cellStyle name="Normal 18 17 2 6" xfId="12046" xr:uid="{00000000-0005-0000-0000-0000F62B0000}"/>
    <cellStyle name="Normal 18 17 3" xfId="12047" xr:uid="{00000000-0005-0000-0000-0000F72B0000}"/>
    <cellStyle name="Normal 18 17 3 2" xfId="12048" xr:uid="{00000000-0005-0000-0000-0000F82B0000}"/>
    <cellStyle name="Normal 18 17 3 3" xfId="12049" xr:uid="{00000000-0005-0000-0000-0000F92B0000}"/>
    <cellStyle name="Normal 18 17 3 4" xfId="12050" xr:uid="{00000000-0005-0000-0000-0000FA2B0000}"/>
    <cellStyle name="Normal 18 17 3 5" xfId="12051" xr:uid="{00000000-0005-0000-0000-0000FB2B0000}"/>
    <cellStyle name="Normal 18 17 3 6" xfId="12052" xr:uid="{00000000-0005-0000-0000-0000FC2B0000}"/>
    <cellStyle name="Normal 18 17 4" xfId="12053" xr:uid="{00000000-0005-0000-0000-0000FD2B0000}"/>
    <cellStyle name="Normal 18 17 4 2" xfId="12054" xr:uid="{00000000-0005-0000-0000-0000FE2B0000}"/>
    <cellStyle name="Normal 18 17 4 3" xfId="12055" xr:uid="{00000000-0005-0000-0000-0000FF2B0000}"/>
    <cellStyle name="Normal 18 17 4 4" xfId="12056" xr:uid="{00000000-0005-0000-0000-0000002C0000}"/>
    <cellStyle name="Normal 18 17 4 5" xfId="12057" xr:uid="{00000000-0005-0000-0000-0000012C0000}"/>
    <cellStyle name="Normal 18 17 4 6" xfId="12058" xr:uid="{00000000-0005-0000-0000-0000022C0000}"/>
    <cellStyle name="Normal 18 17 5" xfId="12059" xr:uid="{00000000-0005-0000-0000-0000032C0000}"/>
    <cellStyle name="Normal 18 17 5 2" xfId="12060" xr:uid="{00000000-0005-0000-0000-0000042C0000}"/>
    <cellStyle name="Normal 18 17 5 3" xfId="12061" xr:uid="{00000000-0005-0000-0000-0000052C0000}"/>
    <cellStyle name="Normal 18 17 5 4" xfId="12062" xr:uid="{00000000-0005-0000-0000-0000062C0000}"/>
    <cellStyle name="Normal 18 17 5 5" xfId="12063" xr:uid="{00000000-0005-0000-0000-0000072C0000}"/>
    <cellStyle name="Normal 18 17 5 6" xfId="12064" xr:uid="{00000000-0005-0000-0000-0000082C0000}"/>
    <cellStyle name="Normal 18 17 6" xfId="12065" xr:uid="{00000000-0005-0000-0000-0000092C0000}"/>
    <cellStyle name="Normal 18 17 6 2" xfId="12066" xr:uid="{00000000-0005-0000-0000-00000A2C0000}"/>
    <cellStyle name="Normal 18 17 6 3" xfId="12067" xr:uid="{00000000-0005-0000-0000-00000B2C0000}"/>
    <cellStyle name="Normal 18 17 6 4" xfId="12068" xr:uid="{00000000-0005-0000-0000-00000C2C0000}"/>
    <cellStyle name="Normal 18 17 6 5" xfId="12069" xr:uid="{00000000-0005-0000-0000-00000D2C0000}"/>
    <cellStyle name="Normal 18 17 6 6" xfId="12070" xr:uid="{00000000-0005-0000-0000-00000E2C0000}"/>
    <cellStyle name="Normal 18 17 7" xfId="12071" xr:uid="{00000000-0005-0000-0000-00000F2C0000}"/>
    <cellStyle name="Normal 18 17 7 2" xfId="12072" xr:uid="{00000000-0005-0000-0000-0000102C0000}"/>
    <cellStyle name="Normal 18 17 7 3" xfId="12073" xr:uid="{00000000-0005-0000-0000-0000112C0000}"/>
    <cellStyle name="Normal 18 17 7 4" xfId="12074" xr:uid="{00000000-0005-0000-0000-0000122C0000}"/>
    <cellStyle name="Normal 18 17 7 5" xfId="12075" xr:uid="{00000000-0005-0000-0000-0000132C0000}"/>
    <cellStyle name="Normal 18 17 7 6" xfId="12076" xr:uid="{00000000-0005-0000-0000-0000142C0000}"/>
    <cellStyle name="Normal 18 17 8" xfId="12077" xr:uid="{00000000-0005-0000-0000-0000152C0000}"/>
    <cellStyle name="Normal 18 17 8 2" xfId="12078" xr:uid="{00000000-0005-0000-0000-0000162C0000}"/>
    <cellStyle name="Normal 18 17 8 3" xfId="12079" xr:uid="{00000000-0005-0000-0000-0000172C0000}"/>
    <cellStyle name="Normal 18 17 8 4" xfId="12080" xr:uid="{00000000-0005-0000-0000-0000182C0000}"/>
    <cellStyle name="Normal 18 17 8 5" xfId="12081" xr:uid="{00000000-0005-0000-0000-0000192C0000}"/>
    <cellStyle name="Normal 18 17 8 6" xfId="12082" xr:uid="{00000000-0005-0000-0000-00001A2C0000}"/>
    <cellStyle name="Normal 18 17 9" xfId="12083" xr:uid="{00000000-0005-0000-0000-00001B2C0000}"/>
    <cellStyle name="Normal 18 18" xfId="12084" xr:uid="{00000000-0005-0000-0000-00001C2C0000}"/>
    <cellStyle name="Normal 18 18 10" xfId="12085" xr:uid="{00000000-0005-0000-0000-00001D2C0000}"/>
    <cellStyle name="Normal 18 18 11" xfId="12086" xr:uid="{00000000-0005-0000-0000-00001E2C0000}"/>
    <cellStyle name="Normal 18 18 12" xfId="12087" xr:uid="{00000000-0005-0000-0000-00001F2C0000}"/>
    <cellStyle name="Normal 18 18 13" xfId="12088" xr:uid="{00000000-0005-0000-0000-0000202C0000}"/>
    <cellStyle name="Normal 18 18 2" xfId="12089" xr:uid="{00000000-0005-0000-0000-0000212C0000}"/>
    <cellStyle name="Normal 18 18 2 2" xfId="12090" xr:uid="{00000000-0005-0000-0000-0000222C0000}"/>
    <cellStyle name="Normal 18 18 2 3" xfId="12091" xr:uid="{00000000-0005-0000-0000-0000232C0000}"/>
    <cellStyle name="Normal 18 18 2 4" xfId="12092" xr:uid="{00000000-0005-0000-0000-0000242C0000}"/>
    <cellStyle name="Normal 18 18 2 5" xfId="12093" xr:uid="{00000000-0005-0000-0000-0000252C0000}"/>
    <cellStyle name="Normal 18 18 2 6" xfId="12094" xr:uid="{00000000-0005-0000-0000-0000262C0000}"/>
    <cellStyle name="Normal 18 18 3" xfId="12095" xr:uid="{00000000-0005-0000-0000-0000272C0000}"/>
    <cellStyle name="Normal 18 18 3 2" xfId="12096" xr:uid="{00000000-0005-0000-0000-0000282C0000}"/>
    <cellStyle name="Normal 18 18 3 3" xfId="12097" xr:uid="{00000000-0005-0000-0000-0000292C0000}"/>
    <cellStyle name="Normal 18 18 3 4" xfId="12098" xr:uid="{00000000-0005-0000-0000-00002A2C0000}"/>
    <cellStyle name="Normal 18 18 3 5" xfId="12099" xr:uid="{00000000-0005-0000-0000-00002B2C0000}"/>
    <cellStyle name="Normal 18 18 3 6" xfId="12100" xr:uid="{00000000-0005-0000-0000-00002C2C0000}"/>
    <cellStyle name="Normal 18 18 4" xfId="12101" xr:uid="{00000000-0005-0000-0000-00002D2C0000}"/>
    <cellStyle name="Normal 18 18 4 2" xfId="12102" xr:uid="{00000000-0005-0000-0000-00002E2C0000}"/>
    <cellStyle name="Normal 18 18 4 3" xfId="12103" xr:uid="{00000000-0005-0000-0000-00002F2C0000}"/>
    <cellStyle name="Normal 18 18 4 4" xfId="12104" xr:uid="{00000000-0005-0000-0000-0000302C0000}"/>
    <cellStyle name="Normal 18 18 4 5" xfId="12105" xr:uid="{00000000-0005-0000-0000-0000312C0000}"/>
    <cellStyle name="Normal 18 18 4 6" xfId="12106" xr:uid="{00000000-0005-0000-0000-0000322C0000}"/>
    <cellStyle name="Normal 18 18 5" xfId="12107" xr:uid="{00000000-0005-0000-0000-0000332C0000}"/>
    <cellStyle name="Normal 18 18 5 2" xfId="12108" xr:uid="{00000000-0005-0000-0000-0000342C0000}"/>
    <cellStyle name="Normal 18 18 5 3" xfId="12109" xr:uid="{00000000-0005-0000-0000-0000352C0000}"/>
    <cellStyle name="Normal 18 18 5 4" xfId="12110" xr:uid="{00000000-0005-0000-0000-0000362C0000}"/>
    <cellStyle name="Normal 18 18 5 5" xfId="12111" xr:uid="{00000000-0005-0000-0000-0000372C0000}"/>
    <cellStyle name="Normal 18 18 5 6" xfId="12112" xr:uid="{00000000-0005-0000-0000-0000382C0000}"/>
    <cellStyle name="Normal 18 18 6" xfId="12113" xr:uid="{00000000-0005-0000-0000-0000392C0000}"/>
    <cellStyle name="Normal 18 18 6 2" xfId="12114" xr:uid="{00000000-0005-0000-0000-00003A2C0000}"/>
    <cellStyle name="Normal 18 18 6 3" xfId="12115" xr:uid="{00000000-0005-0000-0000-00003B2C0000}"/>
    <cellStyle name="Normal 18 18 6 4" xfId="12116" xr:uid="{00000000-0005-0000-0000-00003C2C0000}"/>
    <cellStyle name="Normal 18 18 6 5" xfId="12117" xr:uid="{00000000-0005-0000-0000-00003D2C0000}"/>
    <cellStyle name="Normal 18 18 6 6" xfId="12118" xr:uid="{00000000-0005-0000-0000-00003E2C0000}"/>
    <cellStyle name="Normal 18 18 7" xfId="12119" xr:uid="{00000000-0005-0000-0000-00003F2C0000}"/>
    <cellStyle name="Normal 18 18 7 2" xfId="12120" xr:uid="{00000000-0005-0000-0000-0000402C0000}"/>
    <cellStyle name="Normal 18 18 7 3" xfId="12121" xr:uid="{00000000-0005-0000-0000-0000412C0000}"/>
    <cellStyle name="Normal 18 18 7 4" xfId="12122" xr:uid="{00000000-0005-0000-0000-0000422C0000}"/>
    <cellStyle name="Normal 18 18 7 5" xfId="12123" xr:uid="{00000000-0005-0000-0000-0000432C0000}"/>
    <cellStyle name="Normal 18 18 7 6" xfId="12124" xr:uid="{00000000-0005-0000-0000-0000442C0000}"/>
    <cellStyle name="Normal 18 18 8" xfId="12125" xr:uid="{00000000-0005-0000-0000-0000452C0000}"/>
    <cellStyle name="Normal 18 18 8 2" xfId="12126" xr:uid="{00000000-0005-0000-0000-0000462C0000}"/>
    <cellStyle name="Normal 18 18 8 3" xfId="12127" xr:uid="{00000000-0005-0000-0000-0000472C0000}"/>
    <cellStyle name="Normal 18 18 8 4" xfId="12128" xr:uid="{00000000-0005-0000-0000-0000482C0000}"/>
    <cellStyle name="Normal 18 18 8 5" xfId="12129" xr:uid="{00000000-0005-0000-0000-0000492C0000}"/>
    <cellStyle name="Normal 18 18 8 6" xfId="12130" xr:uid="{00000000-0005-0000-0000-00004A2C0000}"/>
    <cellStyle name="Normal 18 18 9" xfId="12131" xr:uid="{00000000-0005-0000-0000-00004B2C0000}"/>
    <cellStyle name="Normal 18 19" xfId="12132" xr:uid="{00000000-0005-0000-0000-00004C2C0000}"/>
    <cellStyle name="Normal 18 19 10" xfId="12133" xr:uid="{00000000-0005-0000-0000-00004D2C0000}"/>
    <cellStyle name="Normal 18 19 11" xfId="12134" xr:uid="{00000000-0005-0000-0000-00004E2C0000}"/>
    <cellStyle name="Normal 18 19 12" xfId="12135" xr:uid="{00000000-0005-0000-0000-00004F2C0000}"/>
    <cellStyle name="Normal 18 19 13" xfId="12136" xr:uid="{00000000-0005-0000-0000-0000502C0000}"/>
    <cellStyle name="Normal 18 19 2" xfId="12137" xr:uid="{00000000-0005-0000-0000-0000512C0000}"/>
    <cellStyle name="Normal 18 19 2 2" xfId="12138" xr:uid="{00000000-0005-0000-0000-0000522C0000}"/>
    <cellStyle name="Normal 18 19 2 3" xfId="12139" xr:uid="{00000000-0005-0000-0000-0000532C0000}"/>
    <cellStyle name="Normal 18 19 2 4" xfId="12140" xr:uid="{00000000-0005-0000-0000-0000542C0000}"/>
    <cellStyle name="Normal 18 19 2 5" xfId="12141" xr:uid="{00000000-0005-0000-0000-0000552C0000}"/>
    <cellStyle name="Normal 18 19 2 6" xfId="12142" xr:uid="{00000000-0005-0000-0000-0000562C0000}"/>
    <cellStyle name="Normal 18 19 3" xfId="12143" xr:uid="{00000000-0005-0000-0000-0000572C0000}"/>
    <cellStyle name="Normal 18 19 3 2" xfId="12144" xr:uid="{00000000-0005-0000-0000-0000582C0000}"/>
    <cellStyle name="Normal 18 19 3 3" xfId="12145" xr:uid="{00000000-0005-0000-0000-0000592C0000}"/>
    <cellStyle name="Normal 18 19 3 4" xfId="12146" xr:uid="{00000000-0005-0000-0000-00005A2C0000}"/>
    <cellStyle name="Normal 18 19 3 5" xfId="12147" xr:uid="{00000000-0005-0000-0000-00005B2C0000}"/>
    <cellStyle name="Normal 18 19 3 6" xfId="12148" xr:uid="{00000000-0005-0000-0000-00005C2C0000}"/>
    <cellStyle name="Normal 18 19 4" xfId="12149" xr:uid="{00000000-0005-0000-0000-00005D2C0000}"/>
    <cellStyle name="Normal 18 19 4 2" xfId="12150" xr:uid="{00000000-0005-0000-0000-00005E2C0000}"/>
    <cellStyle name="Normal 18 19 4 3" xfId="12151" xr:uid="{00000000-0005-0000-0000-00005F2C0000}"/>
    <cellStyle name="Normal 18 19 4 4" xfId="12152" xr:uid="{00000000-0005-0000-0000-0000602C0000}"/>
    <cellStyle name="Normal 18 19 4 5" xfId="12153" xr:uid="{00000000-0005-0000-0000-0000612C0000}"/>
    <cellStyle name="Normal 18 19 4 6" xfId="12154" xr:uid="{00000000-0005-0000-0000-0000622C0000}"/>
    <cellStyle name="Normal 18 19 5" xfId="12155" xr:uid="{00000000-0005-0000-0000-0000632C0000}"/>
    <cellStyle name="Normal 18 19 5 2" xfId="12156" xr:uid="{00000000-0005-0000-0000-0000642C0000}"/>
    <cellStyle name="Normal 18 19 5 3" xfId="12157" xr:uid="{00000000-0005-0000-0000-0000652C0000}"/>
    <cellStyle name="Normal 18 19 5 4" xfId="12158" xr:uid="{00000000-0005-0000-0000-0000662C0000}"/>
    <cellStyle name="Normal 18 19 5 5" xfId="12159" xr:uid="{00000000-0005-0000-0000-0000672C0000}"/>
    <cellStyle name="Normal 18 19 5 6" xfId="12160" xr:uid="{00000000-0005-0000-0000-0000682C0000}"/>
    <cellStyle name="Normal 18 19 6" xfId="12161" xr:uid="{00000000-0005-0000-0000-0000692C0000}"/>
    <cellStyle name="Normal 18 19 6 2" xfId="12162" xr:uid="{00000000-0005-0000-0000-00006A2C0000}"/>
    <cellStyle name="Normal 18 19 6 3" xfId="12163" xr:uid="{00000000-0005-0000-0000-00006B2C0000}"/>
    <cellStyle name="Normal 18 19 6 4" xfId="12164" xr:uid="{00000000-0005-0000-0000-00006C2C0000}"/>
    <cellStyle name="Normal 18 19 6 5" xfId="12165" xr:uid="{00000000-0005-0000-0000-00006D2C0000}"/>
    <cellStyle name="Normal 18 19 6 6" xfId="12166" xr:uid="{00000000-0005-0000-0000-00006E2C0000}"/>
    <cellStyle name="Normal 18 19 7" xfId="12167" xr:uid="{00000000-0005-0000-0000-00006F2C0000}"/>
    <cellStyle name="Normal 18 19 7 2" xfId="12168" xr:uid="{00000000-0005-0000-0000-0000702C0000}"/>
    <cellStyle name="Normal 18 19 7 3" xfId="12169" xr:uid="{00000000-0005-0000-0000-0000712C0000}"/>
    <cellStyle name="Normal 18 19 7 4" xfId="12170" xr:uid="{00000000-0005-0000-0000-0000722C0000}"/>
    <cellStyle name="Normal 18 19 7 5" xfId="12171" xr:uid="{00000000-0005-0000-0000-0000732C0000}"/>
    <cellStyle name="Normal 18 19 7 6" xfId="12172" xr:uid="{00000000-0005-0000-0000-0000742C0000}"/>
    <cellStyle name="Normal 18 19 8" xfId="12173" xr:uid="{00000000-0005-0000-0000-0000752C0000}"/>
    <cellStyle name="Normal 18 19 8 2" xfId="12174" xr:uid="{00000000-0005-0000-0000-0000762C0000}"/>
    <cellStyle name="Normal 18 19 8 3" xfId="12175" xr:uid="{00000000-0005-0000-0000-0000772C0000}"/>
    <cellStyle name="Normal 18 19 8 4" xfId="12176" xr:uid="{00000000-0005-0000-0000-0000782C0000}"/>
    <cellStyle name="Normal 18 19 8 5" xfId="12177" xr:uid="{00000000-0005-0000-0000-0000792C0000}"/>
    <cellStyle name="Normal 18 19 8 6" xfId="12178" xr:uid="{00000000-0005-0000-0000-00007A2C0000}"/>
    <cellStyle name="Normal 18 19 9" xfId="12179" xr:uid="{00000000-0005-0000-0000-00007B2C0000}"/>
    <cellStyle name="Normal 18 2" xfId="1663" xr:uid="{00000000-0005-0000-0000-00007C2C0000}"/>
    <cellStyle name="Normal 18 2 10" xfId="12180" xr:uid="{00000000-0005-0000-0000-00007D2C0000}"/>
    <cellStyle name="Normal 18 2 11" xfId="12181" xr:uid="{00000000-0005-0000-0000-00007E2C0000}"/>
    <cellStyle name="Normal 18 2 12" xfId="12182" xr:uid="{00000000-0005-0000-0000-00007F2C0000}"/>
    <cellStyle name="Normal 18 2 13" xfId="12183" xr:uid="{00000000-0005-0000-0000-0000802C0000}"/>
    <cellStyle name="Normal 18 2 2" xfId="12184" xr:uid="{00000000-0005-0000-0000-0000812C0000}"/>
    <cellStyle name="Normal 18 2 2 2" xfId="12185" xr:uid="{00000000-0005-0000-0000-0000822C0000}"/>
    <cellStyle name="Normal 18 2 2 3" xfId="12186" xr:uid="{00000000-0005-0000-0000-0000832C0000}"/>
    <cellStyle name="Normal 18 2 2 4" xfId="12187" xr:uid="{00000000-0005-0000-0000-0000842C0000}"/>
    <cellStyle name="Normal 18 2 2 5" xfId="12188" xr:uid="{00000000-0005-0000-0000-0000852C0000}"/>
    <cellStyle name="Normal 18 2 2 6" xfId="12189" xr:uid="{00000000-0005-0000-0000-0000862C0000}"/>
    <cellStyle name="Normal 18 2 3" xfId="12190" xr:uid="{00000000-0005-0000-0000-0000872C0000}"/>
    <cellStyle name="Normal 18 2 3 2" xfId="12191" xr:uid="{00000000-0005-0000-0000-0000882C0000}"/>
    <cellStyle name="Normal 18 2 3 3" xfId="12192" xr:uid="{00000000-0005-0000-0000-0000892C0000}"/>
    <cellStyle name="Normal 18 2 3 4" xfId="12193" xr:uid="{00000000-0005-0000-0000-00008A2C0000}"/>
    <cellStyle name="Normal 18 2 3 5" xfId="12194" xr:uid="{00000000-0005-0000-0000-00008B2C0000}"/>
    <cellStyle name="Normal 18 2 3 6" xfId="12195" xr:uid="{00000000-0005-0000-0000-00008C2C0000}"/>
    <cellStyle name="Normal 18 2 4" xfId="12196" xr:uid="{00000000-0005-0000-0000-00008D2C0000}"/>
    <cellStyle name="Normal 18 2 4 2" xfId="12197" xr:uid="{00000000-0005-0000-0000-00008E2C0000}"/>
    <cellStyle name="Normal 18 2 4 3" xfId="12198" xr:uid="{00000000-0005-0000-0000-00008F2C0000}"/>
    <cellStyle name="Normal 18 2 4 4" xfId="12199" xr:uid="{00000000-0005-0000-0000-0000902C0000}"/>
    <cellStyle name="Normal 18 2 4 5" xfId="12200" xr:uid="{00000000-0005-0000-0000-0000912C0000}"/>
    <cellStyle name="Normal 18 2 4 6" xfId="12201" xr:uid="{00000000-0005-0000-0000-0000922C0000}"/>
    <cellStyle name="Normal 18 2 5" xfId="12202" xr:uid="{00000000-0005-0000-0000-0000932C0000}"/>
    <cellStyle name="Normal 18 2 5 2" xfId="12203" xr:uid="{00000000-0005-0000-0000-0000942C0000}"/>
    <cellStyle name="Normal 18 2 5 3" xfId="12204" xr:uid="{00000000-0005-0000-0000-0000952C0000}"/>
    <cellStyle name="Normal 18 2 5 4" xfId="12205" xr:uid="{00000000-0005-0000-0000-0000962C0000}"/>
    <cellStyle name="Normal 18 2 5 5" xfId="12206" xr:uid="{00000000-0005-0000-0000-0000972C0000}"/>
    <cellStyle name="Normal 18 2 5 6" xfId="12207" xr:uid="{00000000-0005-0000-0000-0000982C0000}"/>
    <cellStyle name="Normal 18 2 6" xfId="12208" xr:uid="{00000000-0005-0000-0000-0000992C0000}"/>
    <cellStyle name="Normal 18 2 6 2" xfId="12209" xr:uid="{00000000-0005-0000-0000-00009A2C0000}"/>
    <cellStyle name="Normal 18 2 6 3" xfId="12210" xr:uid="{00000000-0005-0000-0000-00009B2C0000}"/>
    <cellStyle name="Normal 18 2 6 4" xfId="12211" xr:uid="{00000000-0005-0000-0000-00009C2C0000}"/>
    <cellStyle name="Normal 18 2 6 5" xfId="12212" xr:uid="{00000000-0005-0000-0000-00009D2C0000}"/>
    <cellStyle name="Normal 18 2 6 6" xfId="12213" xr:uid="{00000000-0005-0000-0000-00009E2C0000}"/>
    <cellStyle name="Normal 18 2 7" xfId="12214" xr:uid="{00000000-0005-0000-0000-00009F2C0000}"/>
    <cellStyle name="Normal 18 2 7 2" xfId="12215" xr:uid="{00000000-0005-0000-0000-0000A02C0000}"/>
    <cellStyle name="Normal 18 2 7 3" xfId="12216" xr:uid="{00000000-0005-0000-0000-0000A12C0000}"/>
    <cellStyle name="Normal 18 2 7 4" xfId="12217" xr:uid="{00000000-0005-0000-0000-0000A22C0000}"/>
    <cellStyle name="Normal 18 2 7 5" xfId="12218" xr:uid="{00000000-0005-0000-0000-0000A32C0000}"/>
    <cellStyle name="Normal 18 2 7 6" xfId="12219" xr:uid="{00000000-0005-0000-0000-0000A42C0000}"/>
    <cellStyle name="Normal 18 2 8" xfId="12220" xr:uid="{00000000-0005-0000-0000-0000A52C0000}"/>
    <cellStyle name="Normal 18 2 8 2" xfId="12221" xr:uid="{00000000-0005-0000-0000-0000A62C0000}"/>
    <cellStyle name="Normal 18 2 8 3" xfId="12222" xr:uid="{00000000-0005-0000-0000-0000A72C0000}"/>
    <cellStyle name="Normal 18 2 8 4" xfId="12223" xr:uid="{00000000-0005-0000-0000-0000A82C0000}"/>
    <cellStyle name="Normal 18 2 8 5" xfId="12224" xr:uid="{00000000-0005-0000-0000-0000A92C0000}"/>
    <cellStyle name="Normal 18 2 8 6" xfId="12225" xr:uid="{00000000-0005-0000-0000-0000AA2C0000}"/>
    <cellStyle name="Normal 18 2 9" xfId="12226" xr:uid="{00000000-0005-0000-0000-0000AB2C0000}"/>
    <cellStyle name="Normal 18 20" xfId="12227" xr:uid="{00000000-0005-0000-0000-0000AC2C0000}"/>
    <cellStyle name="Normal 18 20 10" xfId="12228" xr:uid="{00000000-0005-0000-0000-0000AD2C0000}"/>
    <cellStyle name="Normal 18 20 11" xfId="12229" xr:uid="{00000000-0005-0000-0000-0000AE2C0000}"/>
    <cellStyle name="Normal 18 20 12" xfId="12230" xr:uid="{00000000-0005-0000-0000-0000AF2C0000}"/>
    <cellStyle name="Normal 18 20 13" xfId="12231" xr:uid="{00000000-0005-0000-0000-0000B02C0000}"/>
    <cellStyle name="Normal 18 20 2" xfId="12232" xr:uid="{00000000-0005-0000-0000-0000B12C0000}"/>
    <cellStyle name="Normal 18 20 2 2" xfId="12233" xr:uid="{00000000-0005-0000-0000-0000B22C0000}"/>
    <cellStyle name="Normal 18 20 2 3" xfId="12234" xr:uid="{00000000-0005-0000-0000-0000B32C0000}"/>
    <cellStyle name="Normal 18 20 2 4" xfId="12235" xr:uid="{00000000-0005-0000-0000-0000B42C0000}"/>
    <cellStyle name="Normal 18 20 2 5" xfId="12236" xr:uid="{00000000-0005-0000-0000-0000B52C0000}"/>
    <cellStyle name="Normal 18 20 2 6" xfId="12237" xr:uid="{00000000-0005-0000-0000-0000B62C0000}"/>
    <cellStyle name="Normal 18 20 3" xfId="12238" xr:uid="{00000000-0005-0000-0000-0000B72C0000}"/>
    <cellStyle name="Normal 18 20 3 2" xfId="12239" xr:uid="{00000000-0005-0000-0000-0000B82C0000}"/>
    <cellStyle name="Normal 18 20 3 3" xfId="12240" xr:uid="{00000000-0005-0000-0000-0000B92C0000}"/>
    <cellStyle name="Normal 18 20 3 4" xfId="12241" xr:uid="{00000000-0005-0000-0000-0000BA2C0000}"/>
    <cellStyle name="Normal 18 20 3 5" xfId="12242" xr:uid="{00000000-0005-0000-0000-0000BB2C0000}"/>
    <cellStyle name="Normal 18 20 3 6" xfId="12243" xr:uid="{00000000-0005-0000-0000-0000BC2C0000}"/>
    <cellStyle name="Normal 18 20 4" xfId="12244" xr:uid="{00000000-0005-0000-0000-0000BD2C0000}"/>
    <cellStyle name="Normal 18 20 4 2" xfId="12245" xr:uid="{00000000-0005-0000-0000-0000BE2C0000}"/>
    <cellStyle name="Normal 18 20 4 3" xfId="12246" xr:uid="{00000000-0005-0000-0000-0000BF2C0000}"/>
    <cellStyle name="Normal 18 20 4 4" xfId="12247" xr:uid="{00000000-0005-0000-0000-0000C02C0000}"/>
    <cellStyle name="Normal 18 20 4 5" xfId="12248" xr:uid="{00000000-0005-0000-0000-0000C12C0000}"/>
    <cellStyle name="Normal 18 20 4 6" xfId="12249" xr:uid="{00000000-0005-0000-0000-0000C22C0000}"/>
    <cellStyle name="Normal 18 20 5" xfId="12250" xr:uid="{00000000-0005-0000-0000-0000C32C0000}"/>
    <cellStyle name="Normal 18 20 5 2" xfId="12251" xr:uid="{00000000-0005-0000-0000-0000C42C0000}"/>
    <cellStyle name="Normal 18 20 5 3" xfId="12252" xr:uid="{00000000-0005-0000-0000-0000C52C0000}"/>
    <cellStyle name="Normal 18 20 5 4" xfId="12253" xr:uid="{00000000-0005-0000-0000-0000C62C0000}"/>
    <cellStyle name="Normal 18 20 5 5" xfId="12254" xr:uid="{00000000-0005-0000-0000-0000C72C0000}"/>
    <cellStyle name="Normal 18 20 5 6" xfId="12255" xr:uid="{00000000-0005-0000-0000-0000C82C0000}"/>
    <cellStyle name="Normal 18 20 6" xfId="12256" xr:uid="{00000000-0005-0000-0000-0000C92C0000}"/>
    <cellStyle name="Normal 18 20 6 2" xfId="12257" xr:uid="{00000000-0005-0000-0000-0000CA2C0000}"/>
    <cellStyle name="Normal 18 20 6 3" xfId="12258" xr:uid="{00000000-0005-0000-0000-0000CB2C0000}"/>
    <cellStyle name="Normal 18 20 6 4" xfId="12259" xr:uid="{00000000-0005-0000-0000-0000CC2C0000}"/>
    <cellStyle name="Normal 18 20 6 5" xfId="12260" xr:uid="{00000000-0005-0000-0000-0000CD2C0000}"/>
    <cellStyle name="Normal 18 20 6 6" xfId="12261" xr:uid="{00000000-0005-0000-0000-0000CE2C0000}"/>
    <cellStyle name="Normal 18 20 7" xfId="12262" xr:uid="{00000000-0005-0000-0000-0000CF2C0000}"/>
    <cellStyle name="Normal 18 20 7 2" xfId="12263" xr:uid="{00000000-0005-0000-0000-0000D02C0000}"/>
    <cellStyle name="Normal 18 20 7 3" xfId="12264" xr:uid="{00000000-0005-0000-0000-0000D12C0000}"/>
    <cellStyle name="Normal 18 20 7 4" xfId="12265" xr:uid="{00000000-0005-0000-0000-0000D22C0000}"/>
    <cellStyle name="Normal 18 20 7 5" xfId="12266" xr:uid="{00000000-0005-0000-0000-0000D32C0000}"/>
    <cellStyle name="Normal 18 20 7 6" xfId="12267" xr:uid="{00000000-0005-0000-0000-0000D42C0000}"/>
    <cellStyle name="Normal 18 20 8" xfId="12268" xr:uid="{00000000-0005-0000-0000-0000D52C0000}"/>
    <cellStyle name="Normal 18 20 8 2" xfId="12269" xr:uid="{00000000-0005-0000-0000-0000D62C0000}"/>
    <cellStyle name="Normal 18 20 8 3" xfId="12270" xr:uid="{00000000-0005-0000-0000-0000D72C0000}"/>
    <cellStyle name="Normal 18 20 8 4" xfId="12271" xr:uid="{00000000-0005-0000-0000-0000D82C0000}"/>
    <cellStyle name="Normal 18 20 8 5" xfId="12272" xr:uid="{00000000-0005-0000-0000-0000D92C0000}"/>
    <cellStyle name="Normal 18 20 8 6" xfId="12273" xr:uid="{00000000-0005-0000-0000-0000DA2C0000}"/>
    <cellStyle name="Normal 18 20 9" xfId="12274" xr:uid="{00000000-0005-0000-0000-0000DB2C0000}"/>
    <cellStyle name="Normal 18 21" xfId="12275" xr:uid="{00000000-0005-0000-0000-0000DC2C0000}"/>
    <cellStyle name="Normal 18 21 10" xfId="12276" xr:uid="{00000000-0005-0000-0000-0000DD2C0000}"/>
    <cellStyle name="Normal 18 21 11" xfId="12277" xr:uid="{00000000-0005-0000-0000-0000DE2C0000}"/>
    <cellStyle name="Normal 18 21 12" xfId="12278" xr:uid="{00000000-0005-0000-0000-0000DF2C0000}"/>
    <cellStyle name="Normal 18 21 13" xfId="12279" xr:uid="{00000000-0005-0000-0000-0000E02C0000}"/>
    <cellStyle name="Normal 18 21 2" xfId="12280" xr:uid="{00000000-0005-0000-0000-0000E12C0000}"/>
    <cellStyle name="Normal 18 21 2 2" xfId="12281" xr:uid="{00000000-0005-0000-0000-0000E22C0000}"/>
    <cellStyle name="Normal 18 21 2 3" xfId="12282" xr:uid="{00000000-0005-0000-0000-0000E32C0000}"/>
    <cellStyle name="Normal 18 21 2 4" xfId="12283" xr:uid="{00000000-0005-0000-0000-0000E42C0000}"/>
    <cellStyle name="Normal 18 21 2 5" xfId="12284" xr:uid="{00000000-0005-0000-0000-0000E52C0000}"/>
    <cellStyle name="Normal 18 21 2 6" xfId="12285" xr:uid="{00000000-0005-0000-0000-0000E62C0000}"/>
    <cellStyle name="Normal 18 21 3" xfId="12286" xr:uid="{00000000-0005-0000-0000-0000E72C0000}"/>
    <cellStyle name="Normal 18 21 3 2" xfId="12287" xr:uid="{00000000-0005-0000-0000-0000E82C0000}"/>
    <cellStyle name="Normal 18 21 3 3" xfId="12288" xr:uid="{00000000-0005-0000-0000-0000E92C0000}"/>
    <cellStyle name="Normal 18 21 3 4" xfId="12289" xr:uid="{00000000-0005-0000-0000-0000EA2C0000}"/>
    <cellStyle name="Normal 18 21 3 5" xfId="12290" xr:uid="{00000000-0005-0000-0000-0000EB2C0000}"/>
    <cellStyle name="Normal 18 21 3 6" xfId="12291" xr:uid="{00000000-0005-0000-0000-0000EC2C0000}"/>
    <cellStyle name="Normal 18 21 4" xfId="12292" xr:uid="{00000000-0005-0000-0000-0000ED2C0000}"/>
    <cellStyle name="Normal 18 21 4 2" xfId="12293" xr:uid="{00000000-0005-0000-0000-0000EE2C0000}"/>
    <cellStyle name="Normal 18 21 4 3" xfId="12294" xr:uid="{00000000-0005-0000-0000-0000EF2C0000}"/>
    <cellStyle name="Normal 18 21 4 4" xfId="12295" xr:uid="{00000000-0005-0000-0000-0000F02C0000}"/>
    <cellStyle name="Normal 18 21 4 5" xfId="12296" xr:uid="{00000000-0005-0000-0000-0000F12C0000}"/>
    <cellStyle name="Normal 18 21 4 6" xfId="12297" xr:uid="{00000000-0005-0000-0000-0000F22C0000}"/>
    <cellStyle name="Normal 18 21 5" xfId="12298" xr:uid="{00000000-0005-0000-0000-0000F32C0000}"/>
    <cellStyle name="Normal 18 21 5 2" xfId="12299" xr:uid="{00000000-0005-0000-0000-0000F42C0000}"/>
    <cellStyle name="Normal 18 21 5 3" xfId="12300" xr:uid="{00000000-0005-0000-0000-0000F52C0000}"/>
    <cellStyle name="Normal 18 21 5 4" xfId="12301" xr:uid="{00000000-0005-0000-0000-0000F62C0000}"/>
    <cellStyle name="Normal 18 21 5 5" xfId="12302" xr:uid="{00000000-0005-0000-0000-0000F72C0000}"/>
    <cellStyle name="Normal 18 21 5 6" xfId="12303" xr:uid="{00000000-0005-0000-0000-0000F82C0000}"/>
    <cellStyle name="Normal 18 21 6" xfId="12304" xr:uid="{00000000-0005-0000-0000-0000F92C0000}"/>
    <cellStyle name="Normal 18 21 6 2" xfId="12305" xr:uid="{00000000-0005-0000-0000-0000FA2C0000}"/>
    <cellStyle name="Normal 18 21 6 3" xfId="12306" xr:uid="{00000000-0005-0000-0000-0000FB2C0000}"/>
    <cellStyle name="Normal 18 21 6 4" xfId="12307" xr:uid="{00000000-0005-0000-0000-0000FC2C0000}"/>
    <cellStyle name="Normal 18 21 6 5" xfId="12308" xr:uid="{00000000-0005-0000-0000-0000FD2C0000}"/>
    <cellStyle name="Normal 18 21 6 6" xfId="12309" xr:uid="{00000000-0005-0000-0000-0000FE2C0000}"/>
    <cellStyle name="Normal 18 21 7" xfId="12310" xr:uid="{00000000-0005-0000-0000-0000FF2C0000}"/>
    <cellStyle name="Normal 18 21 7 2" xfId="12311" xr:uid="{00000000-0005-0000-0000-0000002D0000}"/>
    <cellStyle name="Normal 18 21 7 3" xfId="12312" xr:uid="{00000000-0005-0000-0000-0000012D0000}"/>
    <cellStyle name="Normal 18 21 7 4" xfId="12313" xr:uid="{00000000-0005-0000-0000-0000022D0000}"/>
    <cellStyle name="Normal 18 21 7 5" xfId="12314" xr:uid="{00000000-0005-0000-0000-0000032D0000}"/>
    <cellStyle name="Normal 18 21 7 6" xfId="12315" xr:uid="{00000000-0005-0000-0000-0000042D0000}"/>
    <cellStyle name="Normal 18 21 8" xfId="12316" xr:uid="{00000000-0005-0000-0000-0000052D0000}"/>
    <cellStyle name="Normal 18 21 8 2" xfId="12317" xr:uid="{00000000-0005-0000-0000-0000062D0000}"/>
    <cellStyle name="Normal 18 21 8 3" xfId="12318" xr:uid="{00000000-0005-0000-0000-0000072D0000}"/>
    <cellStyle name="Normal 18 21 8 4" xfId="12319" xr:uid="{00000000-0005-0000-0000-0000082D0000}"/>
    <cellStyle name="Normal 18 21 8 5" xfId="12320" xr:uid="{00000000-0005-0000-0000-0000092D0000}"/>
    <cellStyle name="Normal 18 21 8 6" xfId="12321" xr:uid="{00000000-0005-0000-0000-00000A2D0000}"/>
    <cellStyle name="Normal 18 21 9" xfId="12322" xr:uid="{00000000-0005-0000-0000-00000B2D0000}"/>
    <cellStyle name="Normal 18 22" xfId="12323" xr:uid="{00000000-0005-0000-0000-00000C2D0000}"/>
    <cellStyle name="Normal 18 22 10" xfId="12324" xr:uid="{00000000-0005-0000-0000-00000D2D0000}"/>
    <cellStyle name="Normal 18 22 11" xfId="12325" xr:uid="{00000000-0005-0000-0000-00000E2D0000}"/>
    <cellStyle name="Normal 18 22 12" xfId="12326" xr:uid="{00000000-0005-0000-0000-00000F2D0000}"/>
    <cellStyle name="Normal 18 22 13" xfId="12327" xr:uid="{00000000-0005-0000-0000-0000102D0000}"/>
    <cellStyle name="Normal 18 22 2" xfId="12328" xr:uid="{00000000-0005-0000-0000-0000112D0000}"/>
    <cellStyle name="Normal 18 22 2 2" xfId="12329" xr:uid="{00000000-0005-0000-0000-0000122D0000}"/>
    <cellStyle name="Normal 18 22 2 3" xfId="12330" xr:uid="{00000000-0005-0000-0000-0000132D0000}"/>
    <cellStyle name="Normal 18 22 2 4" xfId="12331" xr:uid="{00000000-0005-0000-0000-0000142D0000}"/>
    <cellStyle name="Normal 18 22 2 5" xfId="12332" xr:uid="{00000000-0005-0000-0000-0000152D0000}"/>
    <cellStyle name="Normal 18 22 2 6" xfId="12333" xr:uid="{00000000-0005-0000-0000-0000162D0000}"/>
    <cellStyle name="Normal 18 22 3" xfId="12334" xr:uid="{00000000-0005-0000-0000-0000172D0000}"/>
    <cellStyle name="Normal 18 22 3 2" xfId="12335" xr:uid="{00000000-0005-0000-0000-0000182D0000}"/>
    <cellStyle name="Normal 18 22 3 3" xfId="12336" xr:uid="{00000000-0005-0000-0000-0000192D0000}"/>
    <cellStyle name="Normal 18 22 3 4" xfId="12337" xr:uid="{00000000-0005-0000-0000-00001A2D0000}"/>
    <cellStyle name="Normal 18 22 3 5" xfId="12338" xr:uid="{00000000-0005-0000-0000-00001B2D0000}"/>
    <cellStyle name="Normal 18 22 3 6" xfId="12339" xr:uid="{00000000-0005-0000-0000-00001C2D0000}"/>
    <cellStyle name="Normal 18 22 4" xfId="12340" xr:uid="{00000000-0005-0000-0000-00001D2D0000}"/>
    <cellStyle name="Normal 18 22 4 2" xfId="12341" xr:uid="{00000000-0005-0000-0000-00001E2D0000}"/>
    <cellStyle name="Normal 18 22 4 3" xfId="12342" xr:uid="{00000000-0005-0000-0000-00001F2D0000}"/>
    <cellStyle name="Normal 18 22 4 4" xfId="12343" xr:uid="{00000000-0005-0000-0000-0000202D0000}"/>
    <cellStyle name="Normal 18 22 4 5" xfId="12344" xr:uid="{00000000-0005-0000-0000-0000212D0000}"/>
    <cellStyle name="Normal 18 22 4 6" xfId="12345" xr:uid="{00000000-0005-0000-0000-0000222D0000}"/>
    <cellStyle name="Normal 18 22 5" xfId="12346" xr:uid="{00000000-0005-0000-0000-0000232D0000}"/>
    <cellStyle name="Normal 18 22 5 2" xfId="12347" xr:uid="{00000000-0005-0000-0000-0000242D0000}"/>
    <cellStyle name="Normal 18 22 5 3" xfId="12348" xr:uid="{00000000-0005-0000-0000-0000252D0000}"/>
    <cellStyle name="Normal 18 22 5 4" xfId="12349" xr:uid="{00000000-0005-0000-0000-0000262D0000}"/>
    <cellStyle name="Normal 18 22 5 5" xfId="12350" xr:uid="{00000000-0005-0000-0000-0000272D0000}"/>
    <cellStyle name="Normal 18 22 5 6" xfId="12351" xr:uid="{00000000-0005-0000-0000-0000282D0000}"/>
    <cellStyle name="Normal 18 22 6" xfId="12352" xr:uid="{00000000-0005-0000-0000-0000292D0000}"/>
    <cellStyle name="Normal 18 22 6 2" xfId="12353" xr:uid="{00000000-0005-0000-0000-00002A2D0000}"/>
    <cellStyle name="Normal 18 22 6 3" xfId="12354" xr:uid="{00000000-0005-0000-0000-00002B2D0000}"/>
    <cellStyle name="Normal 18 22 6 4" xfId="12355" xr:uid="{00000000-0005-0000-0000-00002C2D0000}"/>
    <cellStyle name="Normal 18 22 6 5" xfId="12356" xr:uid="{00000000-0005-0000-0000-00002D2D0000}"/>
    <cellStyle name="Normal 18 22 6 6" xfId="12357" xr:uid="{00000000-0005-0000-0000-00002E2D0000}"/>
    <cellStyle name="Normal 18 22 7" xfId="12358" xr:uid="{00000000-0005-0000-0000-00002F2D0000}"/>
    <cellStyle name="Normal 18 22 7 2" xfId="12359" xr:uid="{00000000-0005-0000-0000-0000302D0000}"/>
    <cellStyle name="Normal 18 22 7 3" xfId="12360" xr:uid="{00000000-0005-0000-0000-0000312D0000}"/>
    <cellStyle name="Normal 18 22 7 4" xfId="12361" xr:uid="{00000000-0005-0000-0000-0000322D0000}"/>
    <cellStyle name="Normal 18 22 7 5" xfId="12362" xr:uid="{00000000-0005-0000-0000-0000332D0000}"/>
    <cellStyle name="Normal 18 22 7 6" xfId="12363" xr:uid="{00000000-0005-0000-0000-0000342D0000}"/>
    <cellStyle name="Normal 18 22 8" xfId="12364" xr:uid="{00000000-0005-0000-0000-0000352D0000}"/>
    <cellStyle name="Normal 18 22 8 2" xfId="12365" xr:uid="{00000000-0005-0000-0000-0000362D0000}"/>
    <cellStyle name="Normal 18 22 8 3" xfId="12366" xr:uid="{00000000-0005-0000-0000-0000372D0000}"/>
    <cellStyle name="Normal 18 22 8 4" xfId="12367" xr:uid="{00000000-0005-0000-0000-0000382D0000}"/>
    <cellStyle name="Normal 18 22 8 5" xfId="12368" xr:uid="{00000000-0005-0000-0000-0000392D0000}"/>
    <cellStyle name="Normal 18 22 8 6" xfId="12369" xr:uid="{00000000-0005-0000-0000-00003A2D0000}"/>
    <cellStyle name="Normal 18 22 9" xfId="12370" xr:uid="{00000000-0005-0000-0000-00003B2D0000}"/>
    <cellStyle name="Normal 18 23" xfId="12371" xr:uid="{00000000-0005-0000-0000-00003C2D0000}"/>
    <cellStyle name="Normal 18 23 10" xfId="12372" xr:uid="{00000000-0005-0000-0000-00003D2D0000}"/>
    <cellStyle name="Normal 18 23 11" xfId="12373" xr:uid="{00000000-0005-0000-0000-00003E2D0000}"/>
    <cellStyle name="Normal 18 23 12" xfId="12374" xr:uid="{00000000-0005-0000-0000-00003F2D0000}"/>
    <cellStyle name="Normal 18 23 13" xfId="12375" xr:uid="{00000000-0005-0000-0000-0000402D0000}"/>
    <cellStyle name="Normal 18 23 2" xfId="12376" xr:uid="{00000000-0005-0000-0000-0000412D0000}"/>
    <cellStyle name="Normal 18 23 2 2" xfId="12377" xr:uid="{00000000-0005-0000-0000-0000422D0000}"/>
    <cellStyle name="Normal 18 23 2 3" xfId="12378" xr:uid="{00000000-0005-0000-0000-0000432D0000}"/>
    <cellStyle name="Normal 18 23 2 4" xfId="12379" xr:uid="{00000000-0005-0000-0000-0000442D0000}"/>
    <cellStyle name="Normal 18 23 2 5" xfId="12380" xr:uid="{00000000-0005-0000-0000-0000452D0000}"/>
    <cellStyle name="Normal 18 23 2 6" xfId="12381" xr:uid="{00000000-0005-0000-0000-0000462D0000}"/>
    <cellStyle name="Normal 18 23 3" xfId="12382" xr:uid="{00000000-0005-0000-0000-0000472D0000}"/>
    <cellStyle name="Normal 18 23 3 2" xfId="12383" xr:uid="{00000000-0005-0000-0000-0000482D0000}"/>
    <cellStyle name="Normal 18 23 3 3" xfId="12384" xr:uid="{00000000-0005-0000-0000-0000492D0000}"/>
    <cellStyle name="Normal 18 23 3 4" xfId="12385" xr:uid="{00000000-0005-0000-0000-00004A2D0000}"/>
    <cellStyle name="Normal 18 23 3 5" xfId="12386" xr:uid="{00000000-0005-0000-0000-00004B2D0000}"/>
    <cellStyle name="Normal 18 23 3 6" xfId="12387" xr:uid="{00000000-0005-0000-0000-00004C2D0000}"/>
    <cellStyle name="Normal 18 23 4" xfId="12388" xr:uid="{00000000-0005-0000-0000-00004D2D0000}"/>
    <cellStyle name="Normal 18 23 4 2" xfId="12389" xr:uid="{00000000-0005-0000-0000-00004E2D0000}"/>
    <cellStyle name="Normal 18 23 4 3" xfId="12390" xr:uid="{00000000-0005-0000-0000-00004F2D0000}"/>
    <cellStyle name="Normal 18 23 4 4" xfId="12391" xr:uid="{00000000-0005-0000-0000-0000502D0000}"/>
    <cellStyle name="Normal 18 23 4 5" xfId="12392" xr:uid="{00000000-0005-0000-0000-0000512D0000}"/>
    <cellStyle name="Normal 18 23 4 6" xfId="12393" xr:uid="{00000000-0005-0000-0000-0000522D0000}"/>
    <cellStyle name="Normal 18 23 5" xfId="12394" xr:uid="{00000000-0005-0000-0000-0000532D0000}"/>
    <cellStyle name="Normal 18 23 5 2" xfId="12395" xr:uid="{00000000-0005-0000-0000-0000542D0000}"/>
    <cellStyle name="Normal 18 23 5 3" xfId="12396" xr:uid="{00000000-0005-0000-0000-0000552D0000}"/>
    <cellStyle name="Normal 18 23 5 4" xfId="12397" xr:uid="{00000000-0005-0000-0000-0000562D0000}"/>
    <cellStyle name="Normal 18 23 5 5" xfId="12398" xr:uid="{00000000-0005-0000-0000-0000572D0000}"/>
    <cellStyle name="Normal 18 23 5 6" xfId="12399" xr:uid="{00000000-0005-0000-0000-0000582D0000}"/>
    <cellStyle name="Normal 18 23 6" xfId="12400" xr:uid="{00000000-0005-0000-0000-0000592D0000}"/>
    <cellStyle name="Normal 18 23 6 2" xfId="12401" xr:uid="{00000000-0005-0000-0000-00005A2D0000}"/>
    <cellStyle name="Normal 18 23 6 3" xfId="12402" xr:uid="{00000000-0005-0000-0000-00005B2D0000}"/>
    <cellStyle name="Normal 18 23 6 4" xfId="12403" xr:uid="{00000000-0005-0000-0000-00005C2D0000}"/>
    <cellStyle name="Normal 18 23 6 5" xfId="12404" xr:uid="{00000000-0005-0000-0000-00005D2D0000}"/>
    <cellStyle name="Normal 18 23 6 6" xfId="12405" xr:uid="{00000000-0005-0000-0000-00005E2D0000}"/>
    <cellStyle name="Normal 18 23 7" xfId="12406" xr:uid="{00000000-0005-0000-0000-00005F2D0000}"/>
    <cellStyle name="Normal 18 23 7 2" xfId="12407" xr:uid="{00000000-0005-0000-0000-0000602D0000}"/>
    <cellStyle name="Normal 18 23 7 3" xfId="12408" xr:uid="{00000000-0005-0000-0000-0000612D0000}"/>
    <cellStyle name="Normal 18 23 7 4" xfId="12409" xr:uid="{00000000-0005-0000-0000-0000622D0000}"/>
    <cellStyle name="Normal 18 23 7 5" xfId="12410" xr:uid="{00000000-0005-0000-0000-0000632D0000}"/>
    <cellStyle name="Normal 18 23 7 6" xfId="12411" xr:uid="{00000000-0005-0000-0000-0000642D0000}"/>
    <cellStyle name="Normal 18 23 8" xfId="12412" xr:uid="{00000000-0005-0000-0000-0000652D0000}"/>
    <cellStyle name="Normal 18 23 8 2" xfId="12413" xr:uid="{00000000-0005-0000-0000-0000662D0000}"/>
    <cellStyle name="Normal 18 23 8 3" xfId="12414" xr:uid="{00000000-0005-0000-0000-0000672D0000}"/>
    <cellStyle name="Normal 18 23 8 4" xfId="12415" xr:uid="{00000000-0005-0000-0000-0000682D0000}"/>
    <cellStyle name="Normal 18 23 8 5" xfId="12416" xr:uid="{00000000-0005-0000-0000-0000692D0000}"/>
    <cellStyle name="Normal 18 23 8 6" xfId="12417" xr:uid="{00000000-0005-0000-0000-00006A2D0000}"/>
    <cellStyle name="Normal 18 23 9" xfId="12418" xr:uid="{00000000-0005-0000-0000-00006B2D0000}"/>
    <cellStyle name="Normal 18 24" xfId="12419" xr:uid="{00000000-0005-0000-0000-00006C2D0000}"/>
    <cellStyle name="Normal 18 24 10" xfId="12420" xr:uid="{00000000-0005-0000-0000-00006D2D0000}"/>
    <cellStyle name="Normal 18 24 11" xfId="12421" xr:uid="{00000000-0005-0000-0000-00006E2D0000}"/>
    <cellStyle name="Normal 18 24 12" xfId="12422" xr:uid="{00000000-0005-0000-0000-00006F2D0000}"/>
    <cellStyle name="Normal 18 24 13" xfId="12423" xr:uid="{00000000-0005-0000-0000-0000702D0000}"/>
    <cellStyle name="Normal 18 24 2" xfId="12424" xr:uid="{00000000-0005-0000-0000-0000712D0000}"/>
    <cellStyle name="Normal 18 24 2 2" xfId="12425" xr:uid="{00000000-0005-0000-0000-0000722D0000}"/>
    <cellStyle name="Normal 18 24 2 3" xfId="12426" xr:uid="{00000000-0005-0000-0000-0000732D0000}"/>
    <cellStyle name="Normal 18 24 2 4" xfId="12427" xr:uid="{00000000-0005-0000-0000-0000742D0000}"/>
    <cellStyle name="Normal 18 24 2 5" xfId="12428" xr:uid="{00000000-0005-0000-0000-0000752D0000}"/>
    <cellStyle name="Normal 18 24 2 6" xfId="12429" xr:uid="{00000000-0005-0000-0000-0000762D0000}"/>
    <cellStyle name="Normal 18 24 3" xfId="12430" xr:uid="{00000000-0005-0000-0000-0000772D0000}"/>
    <cellStyle name="Normal 18 24 3 2" xfId="12431" xr:uid="{00000000-0005-0000-0000-0000782D0000}"/>
    <cellStyle name="Normal 18 24 3 3" xfId="12432" xr:uid="{00000000-0005-0000-0000-0000792D0000}"/>
    <cellStyle name="Normal 18 24 3 4" xfId="12433" xr:uid="{00000000-0005-0000-0000-00007A2D0000}"/>
    <cellStyle name="Normal 18 24 3 5" xfId="12434" xr:uid="{00000000-0005-0000-0000-00007B2D0000}"/>
    <cellStyle name="Normal 18 24 3 6" xfId="12435" xr:uid="{00000000-0005-0000-0000-00007C2D0000}"/>
    <cellStyle name="Normal 18 24 4" xfId="12436" xr:uid="{00000000-0005-0000-0000-00007D2D0000}"/>
    <cellStyle name="Normal 18 24 4 2" xfId="12437" xr:uid="{00000000-0005-0000-0000-00007E2D0000}"/>
    <cellStyle name="Normal 18 24 4 3" xfId="12438" xr:uid="{00000000-0005-0000-0000-00007F2D0000}"/>
    <cellStyle name="Normal 18 24 4 4" xfId="12439" xr:uid="{00000000-0005-0000-0000-0000802D0000}"/>
    <cellStyle name="Normal 18 24 4 5" xfId="12440" xr:uid="{00000000-0005-0000-0000-0000812D0000}"/>
    <cellStyle name="Normal 18 24 4 6" xfId="12441" xr:uid="{00000000-0005-0000-0000-0000822D0000}"/>
    <cellStyle name="Normal 18 24 5" xfId="12442" xr:uid="{00000000-0005-0000-0000-0000832D0000}"/>
    <cellStyle name="Normal 18 24 5 2" xfId="12443" xr:uid="{00000000-0005-0000-0000-0000842D0000}"/>
    <cellStyle name="Normal 18 24 5 3" xfId="12444" xr:uid="{00000000-0005-0000-0000-0000852D0000}"/>
    <cellStyle name="Normal 18 24 5 4" xfId="12445" xr:uid="{00000000-0005-0000-0000-0000862D0000}"/>
    <cellStyle name="Normal 18 24 5 5" xfId="12446" xr:uid="{00000000-0005-0000-0000-0000872D0000}"/>
    <cellStyle name="Normal 18 24 5 6" xfId="12447" xr:uid="{00000000-0005-0000-0000-0000882D0000}"/>
    <cellStyle name="Normal 18 24 6" xfId="12448" xr:uid="{00000000-0005-0000-0000-0000892D0000}"/>
    <cellStyle name="Normal 18 24 6 2" xfId="12449" xr:uid="{00000000-0005-0000-0000-00008A2D0000}"/>
    <cellStyle name="Normal 18 24 6 3" xfId="12450" xr:uid="{00000000-0005-0000-0000-00008B2D0000}"/>
    <cellStyle name="Normal 18 24 6 4" xfId="12451" xr:uid="{00000000-0005-0000-0000-00008C2D0000}"/>
    <cellStyle name="Normal 18 24 6 5" xfId="12452" xr:uid="{00000000-0005-0000-0000-00008D2D0000}"/>
    <cellStyle name="Normal 18 24 6 6" xfId="12453" xr:uid="{00000000-0005-0000-0000-00008E2D0000}"/>
    <cellStyle name="Normal 18 24 7" xfId="12454" xr:uid="{00000000-0005-0000-0000-00008F2D0000}"/>
    <cellStyle name="Normal 18 24 7 2" xfId="12455" xr:uid="{00000000-0005-0000-0000-0000902D0000}"/>
    <cellStyle name="Normal 18 24 7 3" xfId="12456" xr:uid="{00000000-0005-0000-0000-0000912D0000}"/>
    <cellStyle name="Normal 18 24 7 4" xfId="12457" xr:uid="{00000000-0005-0000-0000-0000922D0000}"/>
    <cellStyle name="Normal 18 24 7 5" xfId="12458" xr:uid="{00000000-0005-0000-0000-0000932D0000}"/>
    <cellStyle name="Normal 18 24 7 6" xfId="12459" xr:uid="{00000000-0005-0000-0000-0000942D0000}"/>
    <cellStyle name="Normal 18 24 8" xfId="12460" xr:uid="{00000000-0005-0000-0000-0000952D0000}"/>
    <cellStyle name="Normal 18 24 8 2" xfId="12461" xr:uid="{00000000-0005-0000-0000-0000962D0000}"/>
    <cellStyle name="Normal 18 24 8 3" xfId="12462" xr:uid="{00000000-0005-0000-0000-0000972D0000}"/>
    <cellStyle name="Normal 18 24 8 4" xfId="12463" xr:uid="{00000000-0005-0000-0000-0000982D0000}"/>
    <cellStyle name="Normal 18 24 8 5" xfId="12464" xr:uid="{00000000-0005-0000-0000-0000992D0000}"/>
    <cellStyle name="Normal 18 24 8 6" xfId="12465" xr:uid="{00000000-0005-0000-0000-00009A2D0000}"/>
    <cellStyle name="Normal 18 24 9" xfId="12466" xr:uid="{00000000-0005-0000-0000-00009B2D0000}"/>
    <cellStyle name="Normal 18 25" xfId="12467" xr:uid="{00000000-0005-0000-0000-00009C2D0000}"/>
    <cellStyle name="Normal 18 25 2" xfId="12468" xr:uid="{00000000-0005-0000-0000-00009D2D0000}"/>
    <cellStyle name="Normal 18 25 3" xfId="12469" xr:uid="{00000000-0005-0000-0000-00009E2D0000}"/>
    <cellStyle name="Normal 18 25 4" xfId="12470" xr:uid="{00000000-0005-0000-0000-00009F2D0000}"/>
    <cellStyle name="Normal 18 25 5" xfId="12471" xr:uid="{00000000-0005-0000-0000-0000A02D0000}"/>
    <cellStyle name="Normal 18 25 6" xfId="12472" xr:uid="{00000000-0005-0000-0000-0000A12D0000}"/>
    <cellStyle name="Normal 18 26" xfId="12473" xr:uid="{00000000-0005-0000-0000-0000A22D0000}"/>
    <cellStyle name="Normal 18 26 2" xfId="12474" xr:uid="{00000000-0005-0000-0000-0000A32D0000}"/>
    <cellStyle name="Normal 18 26 3" xfId="12475" xr:uid="{00000000-0005-0000-0000-0000A42D0000}"/>
    <cellStyle name="Normal 18 26 4" xfId="12476" xr:uid="{00000000-0005-0000-0000-0000A52D0000}"/>
    <cellStyle name="Normal 18 26 5" xfId="12477" xr:uid="{00000000-0005-0000-0000-0000A62D0000}"/>
    <cellStyle name="Normal 18 26 6" xfId="12478" xr:uid="{00000000-0005-0000-0000-0000A72D0000}"/>
    <cellStyle name="Normal 18 27" xfId="12479" xr:uid="{00000000-0005-0000-0000-0000A82D0000}"/>
    <cellStyle name="Normal 18 27 2" xfId="12480" xr:uid="{00000000-0005-0000-0000-0000A92D0000}"/>
    <cellStyle name="Normal 18 27 3" xfId="12481" xr:uid="{00000000-0005-0000-0000-0000AA2D0000}"/>
    <cellStyle name="Normal 18 27 4" xfId="12482" xr:uid="{00000000-0005-0000-0000-0000AB2D0000}"/>
    <cellStyle name="Normal 18 27 5" xfId="12483" xr:uid="{00000000-0005-0000-0000-0000AC2D0000}"/>
    <cellStyle name="Normal 18 27 6" xfId="12484" xr:uid="{00000000-0005-0000-0000-0000AD2D0000}"/>
    <cellStyle name="Normal 18 28" xfId="12485" xr:uid="{00000000-0005-0000-0000-0000AE2D0000}"/>
    <cellStyle name="Normal 18 28 2" xfId="12486" xr:uid="{00000000-0005-0000-0000-0000AF2D0000}"/>
    <cellStyle name="Normal 18 28 3" xfId="12487" xr:uid="{00000000-0005-0000-0000-0000B02D0000}"/>
    <cellStyle name="Normal 18 28 4" xfId="12488" xr:uid="{00000000-0005-0000-0000-0000B12D0000}"/>
    <cellStyle name="Normal 18 28 5" xfId="12489" xr:uid="{00000000-0005-0000-0000-0000B22D0000}"/>
    <cellStyle name="Normal 18 28 6" xfId="12490" xr:uid="{00000000-0005-0000-0000-0000B32D0000}"/>
    <cellStyle name="Normal 18 29" xfId="12491" xr:uid="{00000000-0005-0000-0000-0000B42D0000}"/>
    <cellStyle name="Normal 18 29 2" xfId="12492" xr:uid="{00000000-0005-0000-0000-0000B52D0000}"/>
    <cellStyle name="Normal 18 29 3" xfId="12493" xr:uid="{00000000-0005-0000-0000-0000B62D0000}"/>
    <cellStyle name="Normal 18 29 4" xfId="12494" xr:uid="{00000000-0005-0000-0000-0000B72D0000}"/>
    <cellStyle name="Normal 18 29 5" xfId="12495" xr:uid="{00000000-0005-0000-0000-0000B82D0000}"/>
    <cellStyle name="Normal 18 29 6" xfId="12496" xr:uid="{00000000-0005-0000-0000-0000B92D0000}"/>
    <cellStyle name="Normal 18 3" xfId="12497" xr:uid="{00000000-0005-0000-0000-0000BA2D0000}"/>
    <cellStyle name="Normal 18 3 10" xfId="12498" xr:uid="{00000000-0005-0000-0000-0000BB2D0000}"/>
    <cellStyle name="Normal 18 3 11" xfId="12499" xr:uid="{00000000-0005-0000-0000-0000BC2D0000}"/>
    <cellStyle name="Normal 18 3 12" xfId="12500" xr:uid="{00000000-0005-0000-0000-0000BD2D0000}"/>
    <cellStyle name="Normal 18 3 13" xfId="12501" xr:uid="{00000000-0005-0000-0000-0000BE2D0000}"/>
    <cellStyle name="Normal 18 3 2" xfId="12502" xr:uid="{00000000-0005-0000-0000-0000BF2D0000}"/>
    <cellStyle name="Normal 18 3 2 2" xfId="12503" xr:uid="{00000000-0005-0000-0000-0000C02D0000}"/>
    <cellStyle name="Normal 18 3 2 3" xfId="12504" xr:uid="{00000000-0005-0000-0000-0000C12D0000}"/>
    <cellStyle name="Normal 18 3 2 4" xfId="12505" xr:uid="{00000000-0005-0000-0000-0000C22D0000}"/>
    <cellStyle name="Normal 18 3 2 5" xfId="12506" xr:uid="{00000000-0005-0000-0000-0000C32D0000}"/>
    <cellStyle name="Normal 18 3 2 6" xfId="12507" xr:uid="{00000000-0005-0000-0000-0000C42D0000}"/>
    <cellStyle name="Normal 18 3 3" xfId="12508" xr:uid="{00000000-0005-0000-0000-0000C52D0000}"/>
    <cellStyle name="Normal 18 3 3 2" xfId="12509" xr:uid="{00000000-0005-0000-0000-0000C62D0000}"/>
    <cellStyle name="Normal 18 3 3 3" xfId="12510" xr:uid="{00000000-0005-0000-0000-0000C72D0000}"/>
    <cellStyle name="Normal 18 3 3 4" xfId="12511" xr:uid="{00000000-0005-0000-0000-0000C82D0000}"/>
    <cellStyle name="Normal 18 3 3 5" xfId="12512" xr:uid="{00000000-0005-0000-0000-0000C92D0000}"/>
    <cellStyle name="Normal 18 3 3 6" xfId="12513" xr:uid="{00000000-0005-0000-0000-0000CA2D0000}"/>
    <cellStyle name="Normal 18 3 4" xfId="12514" xr:uid="{00000000-0005-0000-0000-0000CB2D0000}"/>
    <cellStyle name="Normal 18 3 4 2" xfId="12515" xr:uid="{00000000-0005-0000-0000-0000CC2D0000}"/>
    <cellStyle name="Normal 18 3 4 3" xfId="12516" xr:uid="{00000000-0005-0000-0000-0000CD2D0000}"/>
    <cellStyle name="Normal 18 3 4 4" xfId="12517" xr:uid="{00000000-0005-0000-0000-0000CE2D0000}"/>
    <cellStyle name="Normal 18 3 4 5" xfId="12518" xr:uid="{00000000-0005-0000-0000-0000CF2D0000}"/>
    <cellStyle name="Normal 18 3 4 6" xfId="12519" xr:uid="{00000000-0005-0000-0000-0000D02D0000}"/>
    <cellStyle name="Normal 18 3 5" xfId="12520" xr:uid="{00000000-0005-0000-0000-0000D12D0000}"/>
    <cellStyle name="Normal 18 3 5 2" xfId="12521" xr:uid="{00000000-0005-0000-0000-0000D22D0000}"/>
    <cellStyle name="Normal 18 3 5 3" xfId="12522" xr:uid="{00000000-0005-0000-0000-0000D32D0000}"/>
    <cellStyle name="Normal 18 3 5 4" xfId="12523" xr:uid="{00000000-0005-0000-0000-0000D42D0000}"/>
    <cellStyle name="Normal 18 3 5 5" xfId="12524" xr:uid="{00000000-0005-0000-0000-0000D52D0000}"/>
    <cellStyle name="Normal 18 3 5 6" xfId="12525" xr:uid="{00000000-0005-0000-0000-0000D62D0000}"/>
    <cellStyle name="Normal 18 3 6" xfId="12526" xr:uid="{00000000-0005-0000-0000-0000D72D0000}"/>
    <cellStyle name="Normal 18 3 6 2" xfId="12527" xr:uid="{00000000-0005-0000-0000-0000D82D0000}"/>
    <cellStyle name="Normal 18 3 6 3" xfId="12528" xr:uid="{00000000-0005-0000-0000-0000D92D0000}"/>
    <cellStyle name="Normal 18 3 6 4" xfId="12529" xr:uid="{00000000-0005-0000-0000-0000DA2D0000}"/>
    <cellStyle name="Normal 18 3 6 5" xfId="12530" xr:uid="{00000000-0005-0000-0000-0000DB2D0000}"/>
    <cellStyle name="Normal 18 3 6 6" xfId="12531" xr:uid="{00000000-0005-0000-0000-0000DC2D0000}"/>
    <cellStyle name="Normal 18 3 7" xfId="12532" xr:uid="{00000000-0005-0000-0000-0000DD2D0000}"/>
    <cellStyle name="Normal 18 3 7 2" xfId="12533" xr:uid="{00000000-0005-0000-0000-0000DE2D0000}"/>
    <cellStyle name="Normal 18 3 7 3" xfId="12534" xr:uid="{00000000-0005-0000-0000-0000DF2D0000}"/>
    <cellStyle name="Normal 18 3 7 4" xfId="12535" xr:uid="{00000000-0005-0000-0000-0000E02D0000}"/>
    <cellStyle name="Normal 18 3 7 5" xfId="12536" xr:uid="{00000000-0005-0000-0000-0000E12D0000}"/>
    <cellStyle name="Normal 18 3 7 6" xfId="12537" xr:uid="{00000000-0005-0000-0000-0000E22D0000}"/>
    <cellStyle name="Normal 18 3 8" xfId="12538" xr:uid="{00000000-0005-0000-0000-0000E32D0000}"/>
    <cellStyle name="Normal 18 3 8 2" xfId="12539" xr:uid="{00000000-0005-0000-0000-0000E42D0000}"/>
    <cellStyle name="Normal 18 3 8 3" xfId="12540" xr:uid="{00000000-0005-0000-0000-0000E52D0000}"/>
    <cellStyle name="Normal 18 3 8 4" xfId="12541" xr:uid="{00000000-0005-0000-0000-0000E62D0000}"/>
    <cellStyle name="Normal 18 3 8 5" xfId="12542" xr:uid="{00000000-0005-0000-0000-0000E72D0000}"/>
    <cellStyle name="Normal 18 3 8 6" xfId="12543" xr:uid="{00000000-0005-0000-0000-0000E82D0000}"/>
    <cellStyle name="Normal 18 3 9" xfId="12544" xr:uid="{00000000-0005-0000-0000-0000E92D0000}"/>
    <cellStyle name="Normal 18 30" xfId="12545" xr:uid="{00000000-0005-0000-0000-0000EA2D0000}"/>
    <cellStyle name="Normal 18 30 2" xfId="12546" xr:uid="{00000000-0005-0000-0000-0000EB2D0000}"/>
    <cellStyle name="Normal 18 30 3" xfId="12547" xr:uid="{00000000-0005-0000-0000-0000EC2D0000}"/>
    <cellStyle name="Normal 18 30 4" xfId="12548" xr:uid="{00000000-0005-0000-0000-0000ED2D0000}"/>
    <cellStyle name="Normal 18 30 5" xfId="12549" xr:uid="{00000000-0005-0000-0000-0000EE2D0000}"/>
    <cellStyle name="Normal 18 30 6" xfId="12550" xr:uid="{00000000-0005-0000-0000-0000EF2D0000}"/>
    <cellStyle name="Normal 18 31" xfId="12551" xr:uid="{00000000-0005-0000-0000-0000F02D0000}"/>
    <cellStyle name="Normal 18 31 2" xfId="12552" xr:uid="{00000000-0005-0000-0000-0000F12D0000}"/>
    <cellStyle name="Normal 18 31 3" xfId="12553" xr:uid="{00000000-0005-0000-0000-0000F22D0000}"/>
    <cellStyle name="Normal 18 31 4" xfId="12554" xr:uid="{00000000-0005-0000-0000-0000F32D0000}"/>
    <cellStyle name="Normal 18 31 5" xfId="12555" xr:uid="{00000000-0005-0000-0000-0000F42D0000}"/>
    <cellStyle name="Normal 18 31 6" xfId="12556" xr:uid="{00000000-0005-0000-0000-0000F52D0000}"/>
    <cellStyle name="Normal 18 32" xfId="12557" xr:uid="{00000000-0005-0000-0000-0000F62D0000}"/>
    <cellStyle name="Normal 18 33" xfId="12558" xr:uid="{00000000-0005-0000-0000-0000F72D0000}"/>
    <cellStyle name="Normal 18 34" xfId="12559" xr:uid="{00000000-0005-0000-0000-0000F82D0000}"/>
    <cellStyle name="Normal 18 35" xfId="12560" xr:uid="{00000000-0005-0000-0000-0000F92D0000}"/>
    <cellStyle name="Normal 18 36" xfId="12561" xr:uid="{00000000-0005-0000-0000-0000FA2D0000}"/>
    <cellStyle name="Normal 18 4" xfId="12562" xr:uid="{00000000-0005-0000-0000-0000FB2D0000}"/>
    <cellStyle name="Normal 18 4 10" xfId="12563" xr:uid="{00000000-0005-0000-0000-0000FC2D0000}"/>
    <cellStyle name="Normal 18 4 11" xfId="12564" xr:uid="{00000000-0005-0000-0000-0000FD2D0000}"/>
    <cellStyle name="Normal 18 4 12" xfId="12565" xr:uid="{00000000-0005-0000-0000-0000FE2D0000}"/>
    <cellStyle name="Normal 18 4 13" xfId="12566" xr:uid="{00000000-0005-0000-0000-0000FF2D0000}"/>
    <cellStyle name="Normal 18 4 2" xfId="12567" xr:uid="{00000000-0005-0000-0000-0000002E0000}"/>
    <cellStyle name="Normal 18 4 2 2" xfId="12568" xr:uid="{00000000-0005-0000-0000-0000012E0000}"/>
    <cellStyle name="Normal 18 4 2 3" xfId="12569" xr:uid="{00000000-0005-0000-0000-0000022E0000}"/>
    <cellStyle name="Normal 18 4 2 4" xfId="12570" xr:uid="{00000000-0005-0000-0000-0000032E0000}"/>
    <cellStyle name="Normal 18 4 2 5" xfId="12571" xr:uid="{00000000-0005-0000-0000-0000042E0000}"/>
    <cellStyle name="Normal 18 4 2 6" xfId="12572" xr:uid="{00000000-0005-0000-0000-0000052E0000}"/>
    <cellStyle name="Normal 18 4 3" xfId="12573" xr:uid="{00000000-0005-0000-0000-0000062E0000}"/>
    <cellStyle name="Normal 18 4 3 2" xfId="12574" xr:uid="{00000000-0005-0000-0000-0000072E0000}"/>
    <cellStyle name="Normal 18 4 3 3" xfId="12575" xr:uid="{00000000-0005-0000-0000-0000082E0000}"/>
    <cellStyle name="Normal 18 4 3 4" xfId="12576" xr:uid="{00000000-0005-0000-0000-0000092E0000}"/>
    <cellStyle name="Normal 18 4 3 5" xfId="12577" xr:uid="{00000000-0005-0000-0000-00000A2E0000}"/>
    <cellStyle name="Normal 18 4 3 6" xfId="12578" xr:uid="{00000000-0005-0000-0000-00000B2E0000}"/>
    <cellStyle name="Normal 18 4 4" xfId="12579" xr:uid="{00000000-0005-0000-0000-00000C2E0000}"/>
    <cellStyle name="Normal 18 4 4 2" xfId="12580" xr:uid="{00000000-0005-0000-0000-00000D2E0000}"/>
    <cellStyle name="Normal 18 4 4 3" xfId="12581" xr:uid="{00000000-0005-0000-0000-00000E2E0000}"/>
    <cellStyle name="Normal 18 4 4 4" xfId="12582" xr:uid="{00000000-0005-0000-0000-00000F2E0000}"/>
    <cellStyle name="Normal 18 4 4 5" xfId="12583" xr:uid="{00000000-0005-0000-0000-0000102E0000}"/>
    <cellStyle name="Normal 18 4 4 6" xfId="12584" xr:uid="{00000000-0005-0000-0000-0000112E0000}"/>
    <cellStyle name="Normal 18 4 5" xfId="12585" xr:uid="{00000000-0005-0000-0000-0000122E0000}"/>
    <cellStyle name="Normal 18 4 5 2" xfId="12586" xr:uid="{00000000-0005-0000-0000-0000132E0000}"/>
    <cellStyle name="Normal 18 4 5 3" xfId="12587" xr:uid="{00000000-0005-0000-0000-0000142E0000}"/>
    <cellStyle name="Normal 18 4 5 4" xfId="12588" xr:uid="{00000000-0005-0000-0000-0000152E0000}"/>
    <cellStyle name="Normal 18 4 5 5" xfId="12589" xr:uid="{00000000-0005-0000-0000-0000162E0000}"/>
    <cellStyle name="Normal 18 4 5 6" xfId="12590" xr:uid="{00000000-0005-0000-0000-0000172E0000}"/>
    <cellStyle name="Normal 18 4 6" xfId="12591" xr:uid="{00000000-0005-0000-0000-0000182E0000}"/>
    <cellStyle name="Normal 18 4 6 2" xfId="12592" xr:uid="{00000000-0005-0000-0000-0000192E0000}"/>
    <cellStyle name="Normal 18 4 6 3" xfId="12593" xr:uid="{00000000-0005-0000-0000-00001A2E0000}"/>
    <cellStyle name="Normal 18 4 6 4" xfId="12594" xr:uid="{00000000-0005-0000-0000-00001B2E0000}"/>
    <cellStyle name="Normal 18 4 6 5" xfId="12595" xr:uid="{00000000-0005-0000-0000-00001C2E0000}"/>
    <cellStyle name="Normal 18 4 6 6" xfId="12596" xr:uid="{00000000-0005-0000-0000-00001D2E0000}"/>
    <cellStyle name="Normal 18 4 7" xfId="12597" xr:uid="{00000000-0005-0000-0000-00001E2E0000}"/>
    <cellStyle name="Normal 18 4 7 2" xfId="12598" xr:uid="{00000000-0005-0000-0000-00001F2E0000}"/>
    <cellStyle name="Normal 18 4 7 3" xfId="12599" xr:uid="{00000000-0005-0000-0000-0000202E0000}"/>
    <cellStyle name="Normal 18 4 7 4" xfId="12600" xr:uid="{00000000-0005-0000-0000-0000212E0000}"/>
    <cellStyle name="Normal 18 4 7 5" xfId="12601" xr:uid="{00000000-0005-0000-0000-0000222E0000}"/>
    <cellStyle name="Normal 18 4 7 6" xfId="12602" xr:uid="{00000000-0005-0000-0000-0000232E0000}"/>
    <cellStyle name="Normal 18 4 8" xfId="12603" xr:uid="{00000000-0005-0000-0000-0000242E0000}"/>
    <cellStyle name="Normal 18 4 8 2" xfId="12604" xr:uid="{00000000-0005-0000-0000-0000252E0000}"/>
    <cellStyle name="Normal 18 4 8 3" xfId="12605" xr:uid="{00000000-0005-0000-0000-0000262E0000}"/>
    <cellStyle name="Normal 18 4 8 4" xfId="12606" xr:uid="{00000000-0005-0000-0000-0000272E0000}"/>
    <cellStyle name="Normal 18 4 8 5" xfId="12607" xr:uid="{00000000-0005-0000-0000-0000282E0000}"/>
    <cellStyle name="Normal 18 4 8 6" xfId="12608" xr:uid="{00000000-0005-0000-0000-0000292E0000}"/>
    <cellStyle name="Normal 18 4 9" xfId="12609" xr:uid="{00000000-0005-0000-0000-00002A2E0000}"/>
    <cellStyle name="Normal 18 5" xfId="12610" xr:uid="{00000000-0005-0000-0000-00002B2E0000}"/>
    <cellStyle name="Normal 18 5 10" xfId="12611" xr:uid="{00000000-0005-0000-0000-00002C2E0000}"/>
    <cellStyle name="Normal 18 5 11" xfId="12612" xr:uid="{00000000-0005-0000-0000-00002D2E0000}"/>
    <cellStyle name="Normal 18 5 12" xfId="12613" xr:uid="{00000000-0005-0000-0000-00002E2E0000}"/>
    <cellStyle name="Normal 18 5 13" xfId="12614" xr:uid="{00000000-0005-0000-0000-00002F2E0000}"/>
    <cellStyle name="Normal 18 5 2" xfId="12615" xr:uid="{00000000-0005-0000-0000-0000302E0000}"/>
    <cellStyle name="Normal 18 5 2 2" xfId="12616" xr:uid="{00000000-0005-0000-0000-0000312E0000}"/>
    <cellStyle name="Normal 18 5 2 3" xfId="12617" xr:uid="{00000000-0005-0000-0000-0000322E0000}"/>
    <cellStyle name="Normal 18 5 2 4" xfId="12618" xr:uid="{00000000-0005-0000-0000-0000332E0000}"/>
    <cellStyle name="Normal 18 5 2 5" xfId="12619" xr:uid="{00000000-0005-0000-0000-0000342E0000}"/>
    <cellStyle name="Normal 18 5 2 6" xfId="12620" xr:uid="{00000000-0005-0000-0000-0000352E0000}"/>
    <cellStyle name="Normal 18 5 3" xfId="12621" xr:uid="{00000000-0005-0000-0000-0000362E0000}"/>
    <cellStyle name="Normal 18 5 3 2" xfId="12622" xr:uid="{00000000-0005-0000-0000-0000372E0000}"/>
    <cellStyle name="Normal 18 5 3 3" xfId="12623" xr:uid="{00000000-0005-0000-0000-0000382E0000}"/>
    <cellStyle name="Normal 18 5 3 4" xfId="12624" xr:uid="{00000000-0005-0000-0000-0000392E0000}"/>
    <cellStyle name="Normal 18 5 3 5" xfId="12625" xr:uid="{00000000-0005-0000-0000-00003A2E0000}"/>
    <cellStyle name="Normal 18 5 3 6" xfId="12626" xr:uid="{00000000-0005-0000-0000-00003B2E0000}"/>
    <cellStyle name="Normal 18 5 4" xfId="12627" xr:uid="{00000000-0005-0000-0000-00003C2E0000}"/>
    <cellStyle name="Normal 18 5 4 2" xfId="12628" xr:uid="{00000000-0005-0000-0000-00003D2E0000}"/>
    <cellStyle name="Normal 18 5 4 3" xfId="12629" xr:uid="{00000000-0005-0000-0000-00003E2E0000}"/>
    <cellStyle name="Normal 18 5 4 4" xfId="12630" xr:uid="{00000000-0005-0000-0000-00003F2E0000}"/>
    <cellStyle name="Normal 18 5 4 5" xfId="12631" xr:uid="{00000000-0005-0000-0000-0000402E0000}"/>
    <cellStyle name="Normal 18 5 4 6" xfId="12632" xr:uid="{00000000-0005-0000-0000-0000412E0000}"/>
    <cellStyle name="Normal 18 5 5" xfId="12633" xr:uid="{00000000-0005-0000-0000-0000422E0000}"/>
    <cellStyle name="Normal 18 5 5 2" xfId="12634" xr:uid="{00000000-0005-0000-0000-0000432E0000}"/>
    <cellStyle name="Normal 18 5 5 3" xfId="12635" xr:uid="{00000000-0005-0000-0000-0000442E0000}"/>
    <cellStyle name="Normal 18 5 5 4" xfId="12636" xr:uid="{00000000-0005-0000-0000-0000452E0000}"/>
    <cellStyle name="Normal 18 5 5 5" xfId="12637" xr:uid="{00000000-0005-0000-0000-0000462E0000}"/>
    <cellStyle name="Normal 18 5 5 6" xfId="12638" xr:uid="{00000000-0005-0000-0000-0000472E0000}"/>
    <cellStyle name="Normal 18 5 6" xfId="12639" xr:uid="{00000000-0005-0000-0000-0000482E0000}"/>
    <cellStyle name="Normal 18 5 6 2" xfId="12640" xr:uid="{00000000-0005-0000-0000-0000492E0000}"/>
    <cellStyle name="Normal 18 5 6 3" xfId="12641" xr:uid="{00000000-0005-0000-0000-00004A2E0000}"/>
    <cellStyle name="Normal 18 5 6 4" xfId="12642" xr:uid="{00000000-0005-0000-0000-00004B2E0000}"/>
    <cellStyle name="Normal 18 5 6 5" xfId="12643" xr:uid="{00000000-0005-0000-0000-00004C2E0000}"/>
    <cellStyle name="Normal 18 5 6 6" xfId="12644" xr:uid="{00000000-0005-0000-0000-00004D2E0000}"/>
    <cellStyle name="Normal 18 5 7" xfId="12645" xr:uid="{00000000-0005-0000-0000-00004E2E0000}"/>
    <cellStyle name="Normal 18 5 7 2" xfId="12646" xr:uid="{00000000-0005-0000-0000-00004F2E0000}"/>
    <cellStyle name="Normal 18 5 7 3" xfId="12647" xr:uid="{00000000-0005-0000-0000-0000502E0000}"/>
    <cellStyle name="Normal 18 5 7 4" xfId="12648" xr:uid="{00000000-0005-0000-0000-0000512E0000}"/>
    <cellStyle name="Normal 18 5 7 5" xfId="12649" xr:uid="{00000000-0005-0000-0000-0000522E0000}"/>
    <cellStyle name="Normal 18 5 7 6" xfId="12650" xr:uid="{00000000-0005-0000-0000-0000532E0000}"/>
    <cellStyle name="Normal 18 5 8" xfId="12651" xr:uid="{00000000-0005-0000-0000-0000542E0000}"/>
    <cellStyle name="Normal 18 5 8 2" xfId="12652" xr:uid="{00000000-0005-0000-0000-0000552E0000}"/>
    <cellStyle name="Normal 18 5 8 3" xfId="12653" xr:uid="{00000000-0005-0000-0000-0000562E0000}"/>
    <cellStyle name="Normal 18 5 8 4" xfId="12654" xr:uid="{00000000-0005-0000-0000-0000572E0000}"/>
    <cellStyle name="Normal 18 5 8 5" xfId="12655" xr:uid="{00000000-0005-0000-0000-0000582E0000}"/>
    <cellStyle name="Normal 18 5 8 6" xfId="12656" xr:uid="{00000000-0005-0000-0000-0000592E0000}"/>
    <cellStyle name="Normal 18 5 9" xfId="12657" xr:uid="{00000000-0005-0000-0000-00005A2E0000}"/>
    <cellStyle name="Normal 18 6" xfId="12658" xr:uid="{00000000-0005-0000-0000-00005B2E0000}"/>
    <cellStyle name="Normal 18 6 10" xfId="12659" xr:uid="{00000000-0005-0000-0000-00005C2E0000}"/>
    <cellStyle name="Normal 18 6 11" xfId="12660" xr:uid="{00000000-0005-0000-0000-00005D2E0000}"/>
    <cellStyle name="Normal 18 6 12" xfId="12661" xr:uid="{00000000-0005-0000-0000-00005E2E0000}"/>
    <cellStyle name="Normal 18 6 13" xfId="12662" xr:uid="{00000000-0005-0000-0000-00005F2E0000}"/>
    <cellStyle name="Normal 18 6 2" xfId="12663" xr:uid="{00000000-0005-0000-0000-0000602E0000}"/>
    <cellStyle name="Normal 18 6 2 2" xfId="12664" xr:uid="{00000000-0005-0000-0000-0000612E0000}"/>
    <cellStyle name="Normal 18 6 2 3" xfId="12665" xr:uid="{00000000-0005-0000-0000-0000622E0000}"/>
    <cellStyle name="Normal 18 6 2 4" xfId="12666" xr:uid="{00000000-0005-0000-0000-0000632E0000}"/>
    <cellStyle name="Normal 18 6 2 5" xfId="12667" xr:uid="{00000000-0005-0000-0000-0000642E0000}"/>
    <cellStyle name="Normal 18 6 2 6" xfId="12668" xr:uid="{00000000-0005-0000-0000-0000652E0000}"/>
    <cellStyle name="Normal 18 6 3" xfId="12669" xr:uid="{00000000-0005-0000-0000-0000662E0000}"/>
    <cellStyle name="Normal 18 6 3 2" xfId="12670" xr:uid="{00000000-0005-0000-0000-0000672E0000}"/>
    <cellStyle name="Normal 18 6 3 3" xfId="12671" xr:uid="{00000000-0005-0000-0000-0000682E0000}"/>
    <cellStyle name="Normal 18 6 3 4" xfId="12672" xr:uid="{00000000-0005-0000-0000-0000692E0000}"/>
    <cellStyle name="Normal 18 6 3 5" xfId="12673" xr:uid="{00000000-0005-0000-0000-00006A2E0000}"/>
    <cellStyle name="Normal 18 6 3 6" xfId="12674" xr:uid="{00000000-0005-0000-0000-00006B2E0000}"/>
    <cellStyle name="Normal 18 6 4" xfId="12675" xr:uid="{00000000-0005-0000-0000-00006C2E0000}"/>
    <cellStyle name="Normal 18 6 4 2" xfId="12676" xr:uid="{00000000-0005-0000-0000-00006D2E0000}"/>
    <cellStyle name="Normal 18 6 4 3" xfId="12677" xr:uid="{00000000-0005-0000-0000-00006E2E0000}"/>
    <cellStyle name="Normal 18 6 4 4" xfId="12678" xr:uid="{00000000-0005-0000-0000-00006F2E0000}"/>
    <cellStyle name="Normal 18 6 4 5" xfId="12679" xr:uid="{00000000-0005-0000-0000-0000702E0000}"/>
    <cellStyle name="Normal 18 6 4 6" xfId="12680" xr:uid="{00000000-0005-0000-0000-0000712E0000}"/>
    <cellStyle name="Normal 18 6 5" xfId="12681" xr:uid="{00000000-0005-0000-0000-0000722E0000}"/>
    <cellStyle name="Normal 18 6 5 2" xfId="12682" xr:uid="{00000000-0005-0000-0000-0000732E0000}"/>
    <cellStyle name="Normal 18 6 5 3" xfId="12683" xr:uid="{00000000-0005-0000-0000-0000742E0000}"/>
    <cellStyle name="Normal 18 6 5 4" xfId="12684" xr:uid="{00000000-0005-0000-0000-0000752E0000}"/>
    <cellStyle name="Normal 18 6 5 5" xfId="12685" xr:uid="{00000000-0005-0000-0000-0000762E0000}"/>
    <cellStyle name="Normal 18 6 5 6" xfId="12686" xr:uid="{00000000-0005-0000-0000-0000772E0000}"/>
    <cellStyle name="Normal 18 6 6" xfId="12687" xr:uid="{00000000-0005-0000-0000-0000782E0000}"/>
    <cellStyle name="Normal 18 6 6 2" xfId="12688" xr:uid="{00000000-0005-0000-0000-0000792E0000}"/>
    <cellStyle name="Normal 18 6 6 3" xfId="12689" xr:uid="{00000000-0005-0000-0000-00007A2E0000}"/>
    <cellStyle name="Normal 18 6 6 4" xfId="12690" xr:uid="{00000000-0005-0000-0000-00007B2E0000}"/>
    <cellStyle name="Normal 18 6 6 5" xfId="12691" xr:uid="{00000000-0005-0000-0000-00007C2E0000}"/>
    <cellStyle name="Normal 18 6 6 6" xfId="12692" xr:uid="{00000000-0005-0000-0000-00007D2E0000}"/>
    <cellStyle name="Normal 18 6 7" xfId="12693" xr:uid="{00000000-0005-0000-0000-00007E2E0000}"/>
    <cellStyle name="Normal 18 6 7 2" xfId="12694" xr:uid="{00000000-0005-0000-0000-00007F2E0000}"/>
    <cellStyle name="Normal 18 6 7 3" xfId="12695" xr:uid="{00000000-0005-0000-0000-0000802E0000}"/>
    <cellStyle name="Normal 18 6 7 4" xfId="12696" xr:uid="{00000000-0005-0000-0000-0000812E0000}"/>
    <cellStyle name="Normal 18 6 7 5" xfId="12697" xr:uid="{00000000-0005-0000-0000-0000822E0000}"/>
    <cellStyle name="Normal 18 6 7 6" xfId="12698" xr:uid="{00000000-0005-0000-0000-0000832E0000}"/>
    <cellStyle name="Normal 18 6 8" xfId="12699" xr:uid="{00000000-0005-0000-0000-0000842E0000}"/>
    <cellStyle name="Normal 18 6 8 2" xfId="12700" xr:uid="{00000000-0005-0000-0000-0000852E0000}"/>
    <cellStyle name="Normal 18 6 8 3" xfId="12701" xr:uid="{00000000-0005-0000-0000-0000862E0000}"/>
    <cellStyle name="Normal 18 6 8 4" xfId="12702" xr:uid="{00000000-0005-0000-0000-0000872E0000}"/>
    <cellStyle name="Normal 18 6 8 5" xfId="12703" xr:uid="{00000000-0005-0000-0000-0000882E0000}"/>
    <cellStyle name="Normal 18 6 8 6" xfId="12704" xr:uid="{00000000-0005-0000-0000-0000892E0000}"/>
    <cellStyle name="Normal 18 6 9" xfId="12705" xr:uid="{00000000-0005-0000-0000-00008A2E0000}"/>
    <cellStyle name="Normal 18 7" xfId="12706" xr:uid="{00000000-0005-0000-0000-00008B2E0000}"/>
    <cellStyle name="Normal 18 7 10" xfId="12707" xr:uid="{00000000-0005-0000-0000-00008C2E0000}"/>
    <cellStyle name="Normal 18 7 11" xfId="12708" xr:uid="{00000000-0005-0000-0000-00008D2E0000}"/>
    <cellStyle name="Normal 18 7 12" xfId="12709" xr:uid="{00000000-0005-0000-0000-00008E2E0000}"/>
    <cellStyle name="Normal 18 7 13" xfId="12710" xr:uid="{00000000-0005-0000-0000-00008F2E0000}"/>
    <cellStyle name="Normal 18 7 2" xfId="12711" xr:uid="{00000000-0005-0000-0000-0000902E0000}"/>
    <cellStyle name="Normal 18 7 2 2" xfId="12712" xr:uid="{00000000-0005-0000-0000-0000912E0000}"/>
    <cellStyle name="Normal 18 7 2 3" xfId="12713" xr:uid="{00000000-0005-0000-0000-0000922E0000}"/>
    <cellStyle name="Normal 18 7 2 4" xfId="12714" xr:uid="{00000000-0005-0000-0000-0000932E0000}"/>
    <cellStyle name="Normal 18 7 2 5" xfId="12715" xr:uid="{00000000-0005-0000-0000-0000942E0000}"/>
    <cellStyle name="Normal 18 7 2 6" xfId="12716" xr:uid="{00000000-0005-0000-0000-0000952E0000}"/>
    <cellStyle name="Normal 18 7 3" xfId="12717" xr:uid="{00000000-0005-0000-0000-0000962E0000}"/>
    <cellStyle name="Normal 18 7 3 2" xfId="12718" xr:uid="{00000000-0005-0000-0000-0000972E0000}"/>
    <cellStyle name="Normal 18 7 3 3" xfId="12719" xr:uid="{00000000-0005-0000-0000-0000982E0000}"/>
    <cellStyle name="Normal 18 7 3 4" xfId="12720" xr:uid="{00000000-0005-0000-0000-0000992E0000}"/>
    <cellStyle name="Normal 18 7 3 5" xfId="12721" xr:uid="{00000000-0005-0000-0000-00009A2E0000}"/>
    <cellStyle name="Normal 18 7 3 6" xfId="12722" xr:uid="{00000000-0005-0000-0000-00009B2E0000}"/>
    <cellStyle name="Normal 18 7 4" xfId="12723" xr:uid="{00000000-0005-0000-0000-00009C2E0000}"/>
    <cellStyle name="Normal 18 7 4 2" xfId="12724" xr:uid="{00000000-0005-0000-0000-00009D2E0000}"/>
    <cellStyle name="Normal 18 7 4 3" xfId="12725" xr:uid="{00000000-0005-0000-0000-00009E2E0000}"/>
    <cellStyle name="Normal 18 7 4 4" xfId="12726" xr:uid="{00000000-0005-0000-0000-00009F2E0000}"/>
    <cellStyle name="Normal 18 7 4 5" xfId="12727" xr:uid="{00000000-0005-0000-0000-0000A02E0000}"/>
    <cellStyle name="Normal 18 7 4 6" xfId="12728" xr:uid="{00000000-0005-0000-0000-0000A12E0000}"/>
    <cellStyle name="Normal 18 7 5" xfId="12729" xr:uid="{00000000-0005-0000-0000-0000A22E0000}"/>
    <cellStyle name="Normal 18 7 5 2" xfId="12730" xr:uid="{00000000-0005-0000-0000-0000A32E0000}"/>
    <cellStyle name="Normal 18 7 5 3" xfId="12731" xr:uid="{00000000-0005-0000-0000-0000A42E0000}"/>
    <cellStyle name="Normal 18 7 5 4" xfId="12732" xr:uid="{00000000-0005-0000-0000-0000A52E0000}"/>
    <cellStyle name="Normal 18 7 5 5" xfId="12733" xr:uid="{00000000-0005-0000-0000-0000A62E0000}"/>
    <cellStyle name="Normal 18 7 5 6" xfId="12734" xr:uid="{00000000-0005-0000-0000-0000A72E0000}"/>
    <cellStyle name="Normal 18 7 6" xfId="12735" xr:uid="{00000000-0005-0000-0000-0000A82E0000}"/>
    <cellStyle name="Normal 18 7 6 2" xfId="12736" xr:uid="{00000000-0005-0000-0000-0000A92E0000}"/>
    <cellStyle name="Normal 18 7 6 3" xfId="12737" xr:uid="{00000000-0005-0000-0000-0000AA2E0000}"/>
    <cellStyle name="Normal 18 7 6 4" xfId="12738" xr:uid="{00000000-0005-0000-0000-0000AB2E0000}"/>
    <cellStyle name="Normal 18 7 6 5" xfId="12739" xr:uid="{00000000-0005-0000-0000-0000AC2E0000}"/>
    <cellStyle name="Normal 18 7 6 6" xfId="12740" xr:uid="{00000000-0005-0000-0000-0000AD2E0000}"/>
    <cellStyle name="Normal 18 7 7" xfId="12741" xr:uid="{00000000-0005-0000-0000-0000AE2E0000}"/>
    <cellStyle name="Normal 18 7 7 2" xfId="12742" xr:uid="{00000000-0005-0000-0000-0000AF2E0000}"/>
    <cellStyle name="Normal 18 7 7 3" xfId="12743" xr:uid="{00000000-0005-0000-0000-0000B02E0000}"/>
    <cellStyle name="Normal 18 7 7 4" xfId="12744" xr:uid="{00000000-0005-0000-0000-0000B12E0000}"/>
    <cellStyle name="Normal 18 7 7 5" xfId="12745" xr:uid="{00000000-0005-0000-0000-0000B22E0000}"/>
    <cellStyle name="Normal 18 7 7 6" xfId="12746" xr:uid="{00000000-0005-0000-0000-0000B32E0000}"/>
    <cellStyle name="Normal 18 7 8" xfId="12747" xr:uid="{00000000-0005-0000-0000-0000B42E0000}"/>
    <cellStyle name="Normal 18 7 8 2" xfId="12748" xr:uid="{00000000-0005-0000-0000-0000B52E0000}"/>
    <cellStyle name="Normal 18 7 8 3" xfId="12749" xr:uid="{00000000-0005-0000-0000-0000B62E0000}"/>
    <cellStyle name="Normal 18 7 8 4" xfId="12750" xr:uid="{00000000-0005-0000-0000-0000B72E0000}"/>
    <cellStyle name="Normal 18 7 8 5" xfId="12751" xr:uid="{00000000-0005-0000-0000-0000B82E0000}"/>
    <cellStyle name="Normal 18 7 8 6" xfId="12752" xr:uid="{00000000-0005-0000-0000-0000B92E0000}"/>
    <cellStyle name="Normal 18 7 9" xfId="12753" xr:uid="{00000000-0005-0000-0000-0000BA2E0000}"/>
    <cellStyle name="Normal 18 8" xfId="12754" xr:uid="{00000000-0005-0000-0000-0000BB2E0000}"/>
    <cellStyle name="Normal 18 8 10" xfId="12755" xr:uid="{00000000-0005-0000-0000-0000BC2E0000}"/>
    <cellStyle name="Normal 18 8 11" xfId="12756" xr:uid="{00000000-0005-0000-0000-0000BD2E0000}"/>
    <cellStyle name="Normal 18 8 12" xfId="12757" xr:uid="{00000000-0005-0000-0000-0000BE2E0000}"/>
    <cellStyle name="Normal 18 8 13" xfId="12758" xr:uid="{00000000-0005-0000-0000-0000BF2E0000}"/>
    <cellStyle name="Normal 18 8 2" xfId="12759" xr:uid="{00000000-0005-0000-0000-0000C02E0000}"/>
    <cellStyle name="Normal 18 8 2 2" xfId="12760" xr:uid="{00000000-0005-0000-0000-0000C12E0000}"/>
    <cellStyle name="Normal 18 8 2 3" xfId="12761" xr:uid="{00000000-0005-0000-0000-0000C22E0000}"/>
    <cellStyle name="Normal 18 8 2 4" xfId="12762" xr:uid="{00000000-0005-0000-0000-0000C32E0000}"/>
    <cellStyle name="Normal 18 8 2 5" xfId="12763" xr:uid="{00000000-0005-0000-0000-0000C42E0000}"/>
    <cellStyle name="Normal 18 8 2 6" xfId="12764" xr:uid="{00000000-0005-0000-0000-0000C52E0000}"/>
    <cellStyle name="Normal 18 8 3" xfId="12765" xr:uid="{00000000-0005-0000-0000-0000C62E0000}"/>
    <cellStyle name="Normal 18 8 3 2" xfId="12766" xr:uid="{00000000-0005-0000-0000-0000C72E0000}"/>
    <cellStyle name="Normal 18 8 3 3" xfId="12767" xr:uid="{00000000-0005-0000-0000-0000C82E0000}"/>
    <cellStyle name="Normal 18 8 3 4" xfId="12768" xr:uid="{00000000-0005-0000-0000-0000C92E0000}"/>
    <cellStyle name="Normal 18 8 3 5" xfId="12769" xr:uid="{00000000-0005-0000-0000-0000CA2E0000}"/>
    <cellStyle name="Normal 18 8 3 6" xfId="12770" xr:uid="{00000000-0005-0000-0000-0000CB2E0000}"/>
    <cellStyle name="Normal 18 8 4" xfId="12771" xr:uid="{00000000-0005-0000-0000-0000CC2E0000}"/>
    <cellStyle name="Normal 18 8 4 2" xfId="12772" xr:uid="{00000000-0005-0000-0000-0000CD2E0000}"/>
    <cellStyle name="Normal 18 8 4 3" xfId="12773" xr:uid="{00000000-0005-0000-0000-0000CE2E0000}"/>
    <cellStyle name="Normal 18 8 4 4" xfId="12774" xr:uid="{00000000-0005-0000-0000-0000CF2E0000}"/>
    <cellStyle name="Normal 18 8 4 5" xfId="12775" xr:uid="{00000000-0005-0000-0000-0000D02E0000}"/>
    <cellStyle name="Normal 18 8 4 6" xfId="12776" xr:uid="{00000000-0005-0000-0000-0000D12E0000}"/>
    <cellStyle name="Normal 18 8 5" xfId="12777" xr:uid="{00000000-0005-0000-0000-0000D22E0000}"/>
    <cellStyle name="Normal 18 8 5 2" xfId="12778" xr:uid="{00000000-0005-0000-0000-0000D32E0000}"/>
    <cellStyle name="Normal 18 8 5 3" xfId="12779" xr:uid="{00000000-0005-0000-0000-0000D42E0000}"/>
    <cellStyle name="Normal 18 8 5 4" xfId="12780" xr:uid="{00000000-0005-0000-0000-0000D52E0000}"/>
    <cellStyle name="Normal 18 8 5 5" xfId="12781" xr:uid="{00000000-0005-0000-0000-0000D62E0000}"/>
    <cellStyle name="Normal 18 8 5 6" xfId="12782" xr:uid="{00000000-0005-0000-0000-0000D72E0000}"/>
    <cellStyle name="Normal 18 8 6" xfId="12783" xr:uid="{00000000-0005-0000-0000-0000D82E0000}"/>
    <cellStyle name="Normal 18 8 6 2" xfId="12784" xr:uid="{00000000-0005-0000-0000-0000D92E0000}"/>
    <cellStyle name="Normal 18 8 6 3" xfId="12785" xr:uid="{00000000-0005-0000-0000-0000DA2E0000}"/>
    <cellStyle name="Normal 18 8 6 4" xfId="12786" xr:uid="{00000000-0005-0000-0000-0000DB2E0000}"/>
    <cellStyle name="Normal 18 8 6 5" xfId="12787" xr:uid="{00000000-0005-0000-0000-0000DC2E0000}"/>
    <cellStyle name="Normal 18 8 6 6" xfId="12788" xr:uid="{00000000-0005-0000-0000-0000DD2E0000}"/>
    <cellStyle name="Normal 18 8 7" xfId="12789" xr:uid="{00000000-0005-0000-0000-0000DE2E0000}"/>
    <cellStyle name="Normal 18 8 7 2" xfId="12790" xr:uid="{00000000-0005-0000-0000-0000DF2E0000}"/>
    <cellStyle name="Normal 18 8 7 3" xfId="12791" xr:uid="{00000000-0005-0000-0000-0000E02E0000}"/>
    <cellStyle name="Normal 18 8 7 4" xfId="12792" xr:uid="{00000000-0005-0000-0000-0000E12E0000}"/>
    <cellStyle name="Normal 18 8 7 5" xfId="12793" xr:uid="{00000000-0005-0000-0000-0000E22E0000}"/>
    <cellStyle name="Normal 18 8 7 6" xfId="12794" xr:uid="{00000000-0005-0000-0000-0000E32E0000}"/>
    <cellStyle name="Normal 18 8 8" xfId="12795" xr:uid="{00000000-0005-0000-0000-0000E42E0000}"/>
    <cellStyle name="Normal 18 8 8 2" xfId="12796" xr:uid="{00000000-0005-0000-0000-0000E52E0000}"/>
    <cellStyle name="Normal 18 8 8 3" xfId="12797" xr:uid="{00000000-0005-0000-0000-0000E62E0000}"/>
    <cellStyle name="Normal 18 8 8 4" xfId="12798" xr:uid="{00000000-0005-0000-0000-0000E72E0000}"/>
    <cellStyle name="Normal 18 8 8 5" xfId="12799" xr:uid="{00000000-0005-0000-0000-0000E82E0000}"/>
    <cellStyle name="Normal 18 8 8 6" xfId="12800" xr:uid="{00000000-0005-0000-0000-0000E92E0000}"/>
    <cellStyle name="Normal 18 8 9" xfId="12801" xr:uid="{00000000-0005-0000-0000-0000EA2E0000}"/>
    <cellStyle name="Normal 18 9" xfId="12802" xr:uid="{00000000-0005-0000-0000-0000EB2E0000}"/>
    <cellStyle name="Normal 18 9 10" xfId="12803" xr:uid="{00000000-0005-0000-0000-0000EC2E0000}"/>
    <cellStyle name="Normal 18 9 11" xfId="12804" xr:uid="{00000000-0005-0000-0000-0000ED2E0000}"/>
    <cellStyle name="Normal 18 9 12" xfId="12805" xr:uid="{00000000-0005-0000-0000-0000EE2E0000}"/>
    <cellStyle name="Normal 18 9 13" xfId="12806" xr:uid="{00000000-0005-0000-0000-0000EF2E0000}"/>
    <cellStyle name="Normal 18 9 2" xfId="12807" xr:uid="{00000000-0005-0000-0000-0000F02E0000}"/>
    <cellStyle name="Normal 18 9 2 2" xfId="12808" xr:uid="{00000000-0005-0000-0000-0000F12E0000}"/>
    <cellStyle name="Normal 18 9 2 3" xfId="12809" xr:uid="{00000000-0005-0000-0000-0000F22E0000}"/>
    <cellStyle name="Normal 18 9 2 4" xfId="12810" xr:uid="{00000000-0005-0000-0000-0000F32E0000}"/>
    <cellStyle name="Normal 18 9 2 5" xfId="12811" xr:uid="{00000000-0005-0000-0000-0000F42E0000}"/>
    <cellStyle name="Normal 18 9 2 6" xfId="12812" xr:uid="{00000000-0005-0000-0000-0000F52E0000}"/>
    <cellStyle name="Normal 18 9 3" xfId="12813" xr:uid="{00000000-0005-0000-0000-0000F62E0000}"/>
    <cellStyle name="Normal 18 9 3 2" xfId="12814" xr:uid="{00000000-0005-0000-0000-0000F72E0000}"/>
    <cellStyle name="Normal 18 9 3 3" xfId="12815" xr:uid="{00000000-0005-0000-0000-0000F82E0000}"/>
    <cellStyle name="Normal 18 9 3 4" xfId="12816" xr:uid="{00000000-0005-0000-0000-0000F92E0000}"/>
    <cellStyle name="Normal 18 9 3 5" xfId="12817" xr:uid="{00000000-0005-0000-0000-0000FA2E0000}"/>
    <cellStyle name="Normal 18 9 3 6" xfId="12818" xr:uid="{00000000-0005-0000-0000-0000FB2E0000}"/>
    <cellStyle name="Normal 18 9 4" xfId="12819" xr:uid="{00000000-0005-0000-0000-0000FC2E0000}"/>
    <cellStyle name="Normal 18 9 4 2" xfId="12820" xr:uid="{00000000-0005-0000-0000-0000FD2E0000}"/>
    <cellStyle name="Normal 18 9 4 3" xfId="12821" xr:uid="{00000000-0005-0000-0000-0000FE2E0000}"/>
    <cellStyle name="Normal 18 9 4 4" xfId="12822" xr:uid="{00000000-0005-0000-0000-0000FF2E0000}"/>
    <cellStyle name="Normal 18 9 4 5" xfId="12823" xr:uid="{00000000-0005-0000-0000-0000002F0000}"/>
    <cellStyle name="Normal 18 9 4 6" xfId="12824" xr:uid="{00000000-0005-0000-0000-0000012F0000}"/>
    <cellStyle name="Normal 18 9 5" xfId="12825" xr:uid="{00000000-0005-0000-0000-0000022F0000}"/>
    <cellStyle name="Normal 18 9 5 2" xfId="12826" xr:uid="{00000000-0005-0000-0000-0000032F0000}"/>
    <cellStyle name="Normal 18 9 5 3" xfId="12827" xr:uid="{00000000-0005-0000-0000-0000042F0000}"/>
    <cellStyle name="Normal 18 9 5 4" xfId="12828" xr:uid="{00000000-0005-0000-0000-0000052F0000}"/>
    <cellStyle name="Normal 18 9 5 5" xfId="12829" xr:uid="{00000000-0005-0000-0000-0000062F0000}"/>
    <cellStyle name="Normal 18 9 5 6" xfId="12830" xr:uid="{00000000-0005-0000-0000-0000072F0000}"/>
    <cellStyle name="Normal 18 9 6" xfId="12831" xr:uid="{00000000-0005-0000-0000-0000082F0000}"/>
    <cellStyle name="Normal 18 9 6 2" xfId="12832" xr:uid="{00000000-0005-0000-0000-0000092F0000}"/>
    <cellStyle name="Normal 18 9 6 3" xfId="12833" xr:uid="{00000000-0005-0000-0000-00000A2F0000}"/>
    <cellStyle name="Normal 18 9 6 4" xfId="12834" xr:uid="{00000000-0005-0000-0000-00000B2F0000}"/>
    <cellStyle name="Normal 18 9 6 5" xfId="12835" xr:uid="{00000000-0005-0000-0000-00000C2F0000}"/>
    <cellStyle name="Normal 18 9 6 6" xfId="12836" xr:uid="{00000000-0005-0000-0000-00000D2F0000}"/>
    <cellStyle name="Normal 18 9 7" xfId="12837" xr:uid="{00000000-0005-0000-0000-00000E2F0000}"/>
    <cellStyle name="Normal 18 9 7 2" xfId="12838" xr:uid="{00000000-0005-0000-0000-00000F2F0000}"/>
    <cellStyle name="Normal 18 9 7 3" xfId="12839" xr:uid="{00000000-0005-0000-0000-0000102F0000}"/>
    <cellStyle name="Normal 18 9 7 4" xfId="12840" xr:uid="{00000000-0005-0000-0000-0000112F0000}"/>
    <cellStyle name="Normal 18 9 7 5" xfId="12841" xr:uid="{00000000-0005-0000-0000-0000122F0000}"/>
    <cellStyle name="Normal 18 9 7 6" xfId="12842" xr:uid="{00000000-0005-0000-0000-0000132F0000}"/>
    <cellStyle name="Normal 18 9 8" xfId="12843" xr:uid="{00000000-0005-0000-0000-0000142F0000}"/>
    <cellStyle name="Normal 18 9 8 2" xfId="12844" xr:uid="{00000000-0005-0000-0000-0000152F0000}"/>
    <cellStyle name="Normal 18 9 8 3" xfId="12845" xr:uid="{00000000-0005-0000-0000-0000162F0000}"/>
    <cellStyle name="Normal 18 9 8 4" xfId="12846" xr:uid="{00000000-0005-0000-0000-0000172F0000}"/>
    <cellStyle name="Normal 18 9 8 5" xfId="12847" xr:uid="{00000000-0005-0000-0000-0000182F0000}"/>
    <cellStyle name="Normal 18 9 8 6" xfId="12848" xr:uid="{00000000-0005-0000-0000-0000192F0000}"/>
    <cellStyle name="Normal 18 9 9" xfId="12849" xr:uid="{00000000-0005-0000-0000-00001A2F0000}"/>
    <cellStyle name="Normal 180" xfId="43432" xr:uid="{EDECA135-A908-4AC4-8D88-9A5BDA3AD76A}"/>
    <cellStyle name="Normal 181" xfId="43433" xr:uid="{F73DD664-9AEA-4D5D-9B81-29B7319A20EE}"/>
    <cellStyle name="Normal 182" xfId="43434" xr:uid="{A93E981B-8558-4966-8533-56CB6D280298}"/>
    <cellStyle name="Normal 183" xfId="43435" xr:uid="{481C5B0B-8FBD-4590-A8BA-B827B9EE18C9}"/>
    <cellStyle name="Normal 19" xfId="1051" xr:uid="{00000000-0005-0000-0000-00001B2F0000}"/>
    <cellStyle name="Normal 19 10" xfId="12850" xr:uid="{00000000-0005-0000-0000-00001C2F0000}"/>
    <cellStyle name="Normal 19 10 10" xfId="12851" xr:uid="{00000000-0005-0000-0000-00001D2F0000}"/>
    <cellStyle name="Normal 19 10 11" xfId="12852" xr:uid="{00000000-0005-0000-0000-00001E2F0000}"/>
    <cellStyle name="Normal 19 10 12" xfId="12853" xr:uid="{00000000-0005-0000-0000-00001F2F0000}"/>
    <cellStyle name="Normal 19 10 13" xfId="12854" xr:uid="{00000000-0005-0000-0000-0000202F0000}"/>
    <cellStyle name="Normal 19 10 2" xfId="12855" xr:uid="{00000000-0005-0000-0000-0000212F0000}"/>
    <cellStyle name="Normal 19 10 2 2" xfId="12856" xr:uid="{00000000-0005-0000-0000-0000222F0000}"/>
    <cellStyle name="Normal 19 10 2 3" xfId="12857" xr:uid="{00000000-0005-0000-0000-0000232F0000}"/>
    <cellStyle name="Normal 19 10 2 4" xfId="12858" xr:uid="{00000000-0005-0000-0000-0000242F0000}"/>
    <cellStyle name="Normal 19 10 2 5" xfId="12859" xr:uid="{00000000-0005-0000-0000-0000252F0000}"/>
    <cellStyle name="Normal 19 10 2 6" xfId="12860" xr:uid="{00000000-0005-0000-0000-0000262F0000}"/>
    <cellStyle name="Normal 19 10 3" xfId="12861" xr:uid="{00000000-0005-0000-0000-0000272F0000}"/>
    <cellStyle name="Normal 19 10 3 2" xfId="12862" xr:uid="{00000000-0005-0000-0000-0000282F0000}"/>
    <cellStyle name="Normal 19 10 3 3" xfId="12863" xr:uid="{00000000-0005-0000-0000-0000292F0000}"/>
    <cellStyle name="Normal 19 10 3 4" xfId="12864" xr:uid="{00000000-0005-0000-0000-00002A2F0000}"/>
    <cellStyle name="Normal 19 10 3 5" xfId="12865" xr:uid="{00000000-0005-0000-0000-00002B2F0000}"/>
    <cellStyle name="Normal 19 10 3 6" xfId="12866" xr:uid="{00000000-0005-0000-0000-00002C2F0000}"/>
    <cellStyle name="Normal 19 10 4" xfId="12867" xr:uid="{00000000-0005-0000-0000-00002D2F0000}"/>
    <cellStyle name="Normal 19 10 4 2" xfId="12868" xr:uid="{00000000-0005-0000-0000-00002E2F0000}"/>
    <cellStyle name="Normal 19 10 4 3" xfId="12869" xr:uid="{00000000-0005-0000-0000-00002F2F0000}"/>
    <cellStyle name="Normal 19 10 4 4" xfId="12870" xr:uid="{00000000-0005-0000-0000-0000302F0000}"/>
    <cellStyle name="Normal 19 10 4 5" xfId="12871" xr:uid="{00000000-0005-0000-0000-0000312F0000}"/>
    <cellStyle name="Normal 19 10 4 6" xfId="12872" xr:uid="{00000000-0005-0000-0000-0000322F0000}"/>
    <cellStyle name="Normal 19 10 5" xfId="12873" xr:uid="{00000000-0005-0000-0000-0000332F0000}"/>
    <cellStyle name="Normal 19 10 5 2" xfId="12874" xr:uid="{00000000-0005-0000-0000-0000342F0000}"/>
    <cellStyle name="Normal 19 10 5 3" xfId="12875" xr:uid="{00000000-0005-0000-0000-0000352F0000}"/>
    <cellStyle name="Normal 19 10 5 4" xfId="12876" xr:uid="{00000000-0005-0000-0000-0000362F0000}"/>
    <cellStyle name="Normal 19 10 5 5" xfId="12877" xr:uid="{00000000-0005-0000-0000-0000372F0000}"/>
    <cellStyle name="Normal 19 10 5 6" xfId="12878" xr:uid="{00000000-0005-0000-0000-0000382F0000}"/>
    <cellStyle name="Normal 19 10 6" xfId="12879" xr:uid="{00000000-0005-0000-0000-0000392F0000}"/>
    <cellStyle name="Normal 19 10 6 2" xfId="12880" xr:uid="{00000000-0005-0000-0000-00003A2F0000}"/>
    <cellStyle name="Normal 19 10 6 3" xfId="12881" xr:uid="{00000000-0005-0000-0000-00003B2F0000}"/>
    <cellStyle name="Normal 19 10 6 4" xfId="12882" xr:uid="{00000000-0005-0000-0000-00003C2F0000}"/>
    <cellStyle name="Normal 19 10 6 5" xfId="12883" xr:uid="{00000000-0005-0000-0000-00003D2F0000}"/>
    <cellStyle name="Normal 19 10 6 6" xfId="12884" xr:uid="{00000000-0005-0000-0000-00003E2F0000}"/>
    <cellStyle name="Normal 19 10 7" xfId="12885" xr:uid="{00000000-0005-0000-0000-00003F2F0000}"/>
    <cellStyle name="Normal 19 10 7 2" xfId="12886" xr:uid="{00000000-0005-0000-0000-0000402F0000}"/>
    <cellStyle name="Normal 19 10 7 3" xfId="12887" xr:uid="{00000000-0005-0000-0000-0000412F0000}"/>
    <cellStyle name="Normal 19 10 7 4" xfId="12888" xr:uid="{00000000-0005-0000-0000-0000422F0000}"/>
    <cellStyle name="Normal 19 10 7 5" xfId="12889" xr:uid="{00000000-0005-0000-0000-0000432F0000}"/>
    <cellStyle name="Normal 19 10 7 6" xfId="12890" xr:uid="{00000000-0005-0000-0000-0000442F0000}"/>
    <cellStyle name="Normal 19 10 8" xfId="12891" xr:uid="{00000000-0005-0000-0000-0000452F0000}"/>
    <cellStyle name="Normal 19 10 8 2" xfId="12892" xr:uid="{00000000-0005-0000-0000-0000462F0000}"/>
    <cellStyle name="Normal 19 10 8 3" xfId="12893" xr:uid="{00000000-0005-0000-0000-0000472F0000}"/>
    <cellStyle name="Normal 19 10 8 4" xfId="12894" xr:uid="{00000000-0005-0000-0000-0000482F0000}"/>
    <cellStyle name="Normal 19 10 8 5" xfId="12895" xr:uid="{00000000-0005-0000-0000-0000492F0000}"/>
    <cellStyle name="Normal 19 10 8 6" xfId="12896" xr:uid="{00000000-0005-0000-0000-00004A2F0000}"/>
    <cellStyle name="Normal 19 10 9" xfId="12897" xr:uid="{00000000-0005-0000-0000-00004B2F0000}"/>
    <cellStyle name="Normal 19 11" xfId="12898" xr:uid="{00000000-0005-0000-0000-00004C2F0000}"/>
    <cellStyle name="Normal 19 11 10" xfId="12899" xr:uid="{00000000-0005-0000-0000-00004D2F0000}"/>
    <cellStyle name="Normal 19 11 11" xfId="12900" xr:uid="{00000000-0005-0000-0000-00004E2F0000}"/>
    <cellStyle name="Normal 19 11 12" xfId="12901" xr:uid="{00000000-0005-0000-0000-00004F2F0000}"/>
    <cellStyle name="Normal 19 11 13" xfId="12902" xr:uid="{00000000-0005-0000-0000-0000502F0000}"/>
    <cellStyle name="Normal 19 11 2" xfId="12903" xr:uid="{00000000-0005-0000-0000-0000512F0000}"/>
    <cellStyle name="Normal 19 11 2 2" xfId="12904" xr:uid="{00000000-0005-0000-0000-0000522F0000}"/>
    <cellStyle name="Normal 19 11 2 3" xfId="12905" xr:uid="{00000000-0005-0000-0000-0000532F0000}"/>
    <cellStyle name="Normal 19 11 2 4" xfId="12906" xr:uid="{00000000-0005-0000-0000-0000542F0000}"/>
    <cellStyle name="Normal 19 11 2 5" xfId="12907" xr:uid="{00000000-0005-0000-0000-0000552F0000}"/>
    <cellStyle name="Normal 19 11 2 6" xfId="12908" xr:uid="{00000000-0005-0000-0000-0000562F0000}"/>
    <cellStyle name="Normal 19 11 3" xfId="12909" xr:uid="{00000000-0005-0000-0000-0000572F0000}"/>
    <cellStyle name="Normal 19 11 3 2" xfId="12910" xr:uid="{00000000-0005-0000-0000-0000582F0000}"/>
    <cellStyle name="Normal 19 11 3 3" xfId="12911" xr:uid="{00000000-0005-0000-0000-0000592F0000}"/>
    <cellStyle name="Normal 19 11 3 4" xfId="12912" xr:uid="{00000000-0005-0000-0000-00005A2F0000}"/>
    <cellStyle name="Normal 19 11 3 5" xfId="12913" xr:uid="{00000000-0005-0000-0000-00005B2F0000}"/>
    <cellStyle name="Normal 19 11 3 6" xfId="12914" xr:uid="{00000000-0005-0000-0000-00005C2F0000}"/>
    <cellStyle name="Normal 19 11 4" xfId="12915" xr:uid="{00000000-0005-0000-0000-00005D2F0000}"/>
    <cellStyle name="Normal 19 11 4 2" xfId="12916" xr:uid="{00000000-0005-0000-0000-00005E2F0000}"/>
    <cellStyle name="Normal 19 11 4 3" xfId="12917" xr:uid="{00000000-0005-0000-0000-00005F2F0000}"/>
    <cellStyle name="Normal 19 11 4 4" xfId="12918" xr:uid="{00000000-0005-0000-0000-0000602F0000}"/>
    <cellStyle name="Normal 19 11 4 5" xfId="12919" xr:uid="{00000000-0005-0000-0000-0000612F0000}"/>
    <cellStyle name="Normal 19 11 4 6" xfId="12920" xr:uid="{00000000-0005-0000-0000-0000622F0000}"/>
    <cellStyle name="Normal 19 11 5" xfId="12921" xr:uid="{00000000-0005-0000-0000-0000632F0000}"/>
    <cellStyle name="Normal 19 11 5 2" xfId="12922" xr:uid="{00000000-0005-0000-0000-0000642F0000}"/>
    <cellStyle name="Normal 19 11 5 3" xfId="12923" xr:uid="{00000000-0005-0000-0000-0000652F0000}"/>
    <cellStyle name="Normal 19 11 5 4" xfId="12924" xr:uid="{00000000-0005-0000-0000-0000662F0000}"/>
    <cellStyle name="Normal 19 11 5 5" xfId="12925" xr:uid="{00000000-0005-0000-0000-0000672F0000}"/>
    <cellStyle name="Normal 19 11 5 6" xfId="12926" xr:uid="{00000000-0005-0000-0000-0000682F0000}"/>
    <cellStyle name="Normal 19 11 6" xfId="12927" xr:uid="{00000000-0005-0000-0000-0000692F0000}"/>
    <cellStyle name="Normal 19 11 6 2" xfId="12928" xr:uid="{00000000-0005-0000-0000-00006A2F0000}"/>
    <cellStyle name="Normal 19 11 6 3" xfId="12929" xr:uid="{00000000-0005-0000-0000-00006B2F0000}"/>
    <cellStyle name="Normal 19 11 6 4" xfId="12930" xr:uid="{00000000-0005-0000-0000-00006C2F0000}"/>
    <cellStyle name="Normal 19 11 6 5" xfId="12931" xr:uid="{00000000-0005-0000-0000-00006D2F0000}"/>
    <cellStyle name="Normal 19 11 6 6" xfId="12932" xr:uid="{00000000-0005-0000-0000-00006E2F0000}"/>
    <cellStyle name="Normal 19 11 7" xfId="12933" xr:uid="{00000000-0005-0000-0000-00006F2F0000}"/>
    <cellStyle name="Normal 19 11 7 2" xfId="12934" xr:uid="{00000000-0005-0000-0000-0000702F0000}"/>
    <cellStyle name="Normal 19 11 7 3" xfId="12935" xr:uid="{00000000-0005-0000-0000-0000712F0000}"/>
    <cellStyle name="Normal 19 11 7 4" xfId="12936" xr:uid="{00000000-0005-0000-0000-0000722F0000}"/>
    <cellStyle name="Normal 19 11 7 5" xfId="12937" xr:uid="{00000000-0005-0000-0000-0000732F0000}"/>
    <cellStyle name="Normal 19 11 7 6" xfId="12938" xr:uid="{00000000-0005-0000-0000-0000742F0000}"/>
    <cellStyle name="Normal 19 11 8" xfId="12939" xr:uid="{00000000-0005-0000-0000-0000752F0000}"/>
    <cellStyle name="Normal 19 11 8 2" xfId="12940" xr:uid="{00000000-0005-0000-0000-0000762F0000}"/>
    <cellStyle name="Normal 19 11 8 3" xfId="12941" xr:uid="{00000000-0005-0000-0000-0000772F0000}"/>
    <cellStyle name="Normal 19 11 8 4" xfId="12942" xr:uid="{00000000-0005-0000-0000-0000782F0000}"/>
    <cellStyle name="Normal 19 11 8 5" xfId="12943" xr:uid="{00000000-0005-0000-0000-0000792F0000}"/>
    <cellStyle name="Normal 19 11 8 6" xfId="12944" xr:uid="{00000000-0005-0000-0000-00007A2F0000}"/>
    <cellStyle name="Normal 19 11 9" xfId="12945" xr:uid="{00000000-0005-0000-0000-00007B2F0000}"/>
    <cellStyle name="Normal 19 12" xfId="12946" xr:uid="{00000000-0005-0000-0000-00007C2F0000}"/>
    <cellStyle name="Normal 19 12 10" xfId="12947" xr:uid="{00000000-0005-0000-0000-00007D2F0000}"/>
    <cellStyle name="Normal 19 12 11" xfId="12948" xr:uid="{00000000-0005-0000-0000-00007E2F0000}"/>
    <cellStyle name="Normal 19 12 12" xfId="12949" xr:uid="{00000000-0005-0000-0000-00007F2F0000}"/>
    <cellStyle name="Normal 19 12 13" xfId="12950" xr:uid="{00000000-0005-0000-0000-0000802F0000}"/>
    <cellStyle name="Normal 19 12 2" xfId="12951" xr:uid="{00000000-0005-0000-0000-0000812F0000}"/>
    <cellStyle name="Normal 19 12 2 2" xfId="12952" xr:uid="{00000000-0005-0000-0000-0000822F0000}"/>
    <cellStyle name="Normal 19 12 2 3" xfId="12953" xr:uid="{00000000-0005-0000-0000-0000832F0000}"/>
    <cellStyle name="Normal 19 12 2 4" xfId="12954" xr:uid="{00000000-0005-0000-0000-0000842F0000}"/>
    <cellStyle name="Normal 19 12 2 5" xfId="12955" xr:uid="{00000000-0005-0000-0000-0000852F0000}"/>
    <cellStyle name="Normal 19 12 2 6" xfId="12956" xr:uid="{00000000-0005-0000-0000-0000862F0000}"/>
    <cellStyle name="Normal 19 12 3" xfId="12957" xr:uid="{00000000-0005-0000-0000-0000872F0000}"/>
    <cellStyle name="Normal 19 12 3 2" xfId="12958" xr:uid="{00000000-0005-0000-0000-0000882F0000}"/>
    <cellStyle name="Normal 19 12 3 3" xfId="12959" xr:uid="{00000000-0005-0000-0000-0000892F0000}"/>
    <cellStyle name="Normal 19 12 3 4" xfId="12960" xr:uid="{00000000-0005-0000-0000-00008A2F0000}"/>
    <cellStyle name="Normal 19 12 3 5" xfId="12961" xr:uid="{00000000-0005-0000-0000-00008B2F0000}"/>
    <cellStyle name="Normal 19 12 3 6" xfId="12962" xr:uid="{00000000-0005-0000-0000-00008C2F0000}"/>
    <cellStyle name="Normal 19 12 4" xfId="12963" xr:uid="{00000000-0005-0000-0000-00008D2F0000}"/>
    <cellStyle name="Normal 19 12 4 2" xfId="12964" xr:uid="{00000000-0005-0000-0000-00008E2F0000}"/>
    <cellStyle name="Normal 19 12 4 3" xfId="12965" xr:uid="{00000000-0005-0000-0000-00008F2F0000}"/>
    <cellStyle name="Normal 19 12 4 4" xfId="12966" xr:uid="{00000000-0005-0000-0000-0000902F0000}"/>
    <cellStyle name="Normal 19 12 4 5" xfId="12967" xr:uid="{00000000-0005-0000-0000-0000912F0000}"/>
    <cellStyle name="Normal 19 12 4 6" xfId="12968" xr:uid="{00000000-0005-0000-0000-0000922F0000}"/>
    <cellStyle name="Normal 19 12 5" xfId="12969" xr:uid="{00000000-0005-0000-0000-0000932F0000}"/>
    <cellStyle name="Normal 19 12 5 2" xfId="12970" xr:uid="{00000000-0005-0000-0000-0000942F0000}"/>
    <cellStyle name="Normal 19 12 5 3" xfId="12971" xr:uid="{00000000-0005-0000-0000-0000952F0000}"/>
    <cellStyle name="Normal 19 12 5 4" xfId="12972" xr:uid="{00000000-0005-0000-0000-0000962F0000}"/>
    <cellStyle name="Normal 19 12 5 5" xfId="12973" xr:uid="{00000000-0005-0000-0000-0000972F0000}"/>
    <cellStyle name="Normal 19 12 5 6" xfId="12974" xr:uid="{00000000-0005-0000-0000-0000982F0000}"/>
    <cellStyle name="Normal 19 12 6" xfId="12975" xr:uid="{00000000-0005-0000-0000-0000992F0000}"/>
    <cellStyle name="Normal 19 12 6 2" xfId="12976" xr:uid="{00000000-0005-0000-0000-00009A2F0000}"/>
    <cellStyle name="Normal 19 12 6 3" xfId="12977" xr:uid="{00000000-0005-0000-0000-00009B2F0000}"/>
    <cellStyle name="Normal 19 12 6 4" xfId="12978" xr:uid="{00000000-0005-0000-0000-00009C2F0000}"/>
    <cellStyle name="Normal 19 12 6 5" xfId="12979" xr:uid="{00000000-0005-0000-0000-00009D2F0000}"/>
    <cellStyle name="Normal 19 12 6 6" xfId="12980" xr:uid="{00000000-0005-0000-0000-00009E2F0000}"/>
    <cellStyle name="Normal 19 12 7" xfId="12981" xr:uid="{00000000-0005-0000-0000-00009F2F0000}"/>
    <cellStyle name="Normal 19 12 7 2" xfId="12982" xr:uid="{00000000-0005-0000-0000-0000A02F0000}"/>
    <cellStyle name="Normal 19 12 7 3" xfId="12983" xr:uid="{00000000-0005-0000-0000-0000A12F0000}"/>
    <cellStyle name="Normal 19 12 7 4" xfId="12984" xr:uid="{00000000-0005-0000-0000-0000A22F0000}"/>
    <cellStyle name="Normal 19 12 7 5" xfId="12985" xr:uid="{00000000-0005-0000-0000-0000A32F0000}"/>
    <cellStyle name="Normal 19 12 7 6" xfId="12986" xr:uid="{00000000-0005-0000-0000-0000A42F0000}"/>
    <cellStyle name="Normal 19 12 8" xfId="12987" xr:uid="{00000000-0005-0000-0000-0000A52F0000}"/>
    <cellStyle name="Normal 19 12 8 2" xfId="12988" xr:uid="{00000000-0005-0000-0000-0000A62F0000}"/>
    <cellStyle name="Normal 19 12 8 3" xfId="12989" xr:uid="{00000000-0005-0000-0000-0000A72F0000}"/>
    <cellStyle name="Normal 19 12 8 4" xfId="12990" xr:uid="{00000000-0005-0000-0000-0000A82F0000}"/>
    <cellStyle name="Normal 19 12 8 5" xfId="12991" xr:uid="{00000000-0005-0000-0000-0000A92F0000}"/>
    <cellStyle name="Normal 19 12 8 6" xfId="12992" xr:uid="{00000000-0005-0000-0000-0000AA2F0000}"/>
    <cellStyle name="Normal 19 12 9" xfId="12993" xr:uid="{00000000-0005-0000-0000-0000AB2F0000}"/>
    <cellStyle name="Normal 19 13" xfId="12994" xr:uid="{00000000-0005-0000-0000-0000AC2F0000}"/>
    <cellStyle name="Normal 19 13 10" xfId="12995" xr:uid="{00000000-0005-0000-0000-0000AD2F0000}"/>
    <cellStyle name="Normal 19 13 11" xfId="12996" xr:uid="{00000000-0005-0000-0000-0000AE2F0000}"/>
    <cellStyle name="Normal 19 13 12" xfId="12997" xr:uid="{00000000-0005-0000-0000-0000AF2F0000}"/>
    <cellStyle name="Normal 19 13 13" xfId="12998" xr:uid="{00000000-0005-0000-0000-0000B02F0000}"/>
    <cellStyle name="Normal 19 13 2" xfId="12999" xr:uid="{00000000-0005-0000-0000-0000B12F0000}"/>
    <cellStyle name="Normal 19 13 2 2" xfId="13000" xr:uid="{00000000-0005-0000-0000-0000B22F0000}"/>
    <cellStyle name="Normal 19 13 2 3" xfId="13001" xr:uid="{00000000-0005-0000-0000-0000B32F0000}"/>
    <cellStyle name="Normal 19 13 2 4" xfId="13002" xr:uid="{00000000-0005-0000-0000-0000B42F0000}"/>
    <cellStyle name="Normal 19 13 2 5" xfId="13003" xr:uid="{00000000-0005-0000-0000-0000B52F0000}"/>
    <cellStyle name="Normal 19 13 2 6" xfId="13004" xr:uid="{00000000-0005-0000-0000-0000B62F0000}"/>
    <cellStyle name="Normal 19 13 3" xfId="13005" xr:uid="{00000000-0005-0000-0000-0000B72F0000}"/>
    <cellStyle name="Normal 19 13 3 2" xfId="13006" xr:uid="{00000000-0005-0000-0000-0000B82F0000}"/>
    <cellStyle name="Normal 19 13 3 3" xfId="13007" xr:uid="{00000000-0005-0000-0000-0000B92F0000}"/>
    <cellStyle name="Normal 19 13 3 4" xfId="13008" xr:uid="{00000000-0005-0000-0000-0000BA2F0000}"/>
    <cellStyle name="Normal 19 13 3 5" xfId="13009" xr:uid="{00000000-0005-0000-0000-0000BB2F0000}"/>
    <cellStyle name="Normal 19 13 3 6" xfId="13010" xr:uid="{00000000-0005-0000-0000-0000BC2F0000}"/>
    <cellStyle name="Normal 19 13 4" xfId="13011" xr:uid="{00000000-0005-0000-0000-0000BD2F0000}"/>
    <cellStyle name="Normal 19 13 4 2" xfId="13012" xr:uid="{00000000-0005-0000-0000-0000BE2F0000}"/>
    <cellStyle name="Normal 19 13 4 3" xfId="13013" xr:uid="{00000000-0005-0000-0000-0000BF2F0000}"/>
    <cellStyle name="Normal 19 13 4 4" xfId="13014" xr:uid="{00000000-0005-0000-0000-0000C02F0000}"/>
    <cellStyle name="Normal 19 13 4 5" xfId="13015" xr:uid="{00000000-0005-0000-0000-0000C12F0000}"/>
    <cellStyle name="Normal 19 13 4 6" xfId="13016" xr:uid="{00000000-0005-0000-0000-0000C22F0000}"/>
    <cellStyle name="Normal 19 13 5" xfId="13017" xr:uid="{00000000-0005-0000-0000-0000C32F0000}"/>
    <cellStyle name="Normal 19 13 5 2" xfId="13018" xr:uid="{00000000-0005-0000-0000-0000C42F0000}"/>
    <cellStyle name="Normal 19 13 5 3" xfId="13019" xr:uid="{00000000-0005-0000-0000-0000C52F0000}"/>
    <cellStyle name="Normal 19 13 5 4" xfId="13020" xr:uid="{00000000-0005-0000-0000-0000C62F0000}"/>
    <cellStyle name="Normal 19 13 5 5" xfId="13021" xr:uid="{00000000-0005-0000-0000-0000C72F0000}"/>
    <cellStyle name="Normal 19 13 5 6" xfId="13022" xr:uid="{00000000-0005-0000-0000-0000C82F0000}"/>
    <cellStyle name="Normal 19 13 6" xfId="13023" xr:uid="{00000000-0005-0000-0000-0000C92F0000}"/>
    <cellStyle name="Normal 19 13 6 2" xfId="13024" xr:uid="{00000000-0005-0000-0000-0000CA2F0000}"/>
    <cellStyle name="Normal 19 13 6 3" xfId="13025" xr:uid="{00000000-0005-0000-0000-0000CB2F0000}"/>
    <cellStyle name="Normal 19 13 6 4" xfId="13026" xr:uid="{00000000-0005-0000-0000-0000CC2F0000}"/>
    <cellStyle name="Normal 19 13 6 5" xfId="13027" xr:uid="{00000000-0005-0000-0000-0000CD2F0000}"/>
    <cellStyle name="Normal 19 13 6 6" xfId="13028" xr:uid="{00000000-0005-0000-0000-0000CE2F0000}"/>
    <cellStyle name="Normal 19 13 7" xfId="13029" xr:uid="{00000000-0005-0000-0000-0000CF2F0000}"/>
    <cellStyle name="Normal 19 13 7 2" xfId="13030" xr:uid="{00000000-0005-0000-0000-0000D02F0000}"/>
    <cellStyle name="Normal 19 13 7 3" xfId="13031" xr:uid="{00000000-0005-0000-0000-0000D12F0000}"/>
    <cellStyle name="Normal 19 13 7 4" xfId="13032" xr:uid="{00000000-0005-0000-0000-0000D22F0000}"/>
    <cellStyle name="Normal 19 13 7 5" xfId="13033" xr:uid="{00000000-0005-0000-0000-0000D32F0000}"/>
    <cellStyle name="Normal 19 13 7 6" xfId="13034" xr:uid="{00000000-0005-0000-0000-0000D42F0000}"/>
    <cellStyle name="Normal 19 13 8" xfId="13035" xr:uid="{00000000-0005-0000-0000-0000D52F0000}"/>
    <cellStyle name="Normal 19 13 8 2" xfId="13036" xr:uid="{00000000-0005-0000-0000-0000D62F0000}"/>
    <cellStyle name="Normal 19 13 8 3" xfId="13037" xr:uid="{00000000-0005-0000-0000-0000D72F0000}"/>
    <cellStyle name="Normal 19 13 8 4" xfId="13038" xr:uid="{00000000-0005-0000-0000-0000D82F0000}"/>
    <cellStyle name="Normal 19 13 8 5" xfId="13039" xr:uid="{00000000-0005-0000-0000-0000D92F0000}"/>
    <cellStyle name="Normal 19 13 8 6" xfId="13040" xr:uid="{00000000-0005-0000-0000-0000DA2F0000}"/>
    <cellStyle name="Normal 19 13 9" xfId="13041" xr:uid="{00000000-0005-0000-0000-0000DB2F0000}"/>
    <cellStyle name="Normal 19 14" xfId="13042" xr:uid="{00000000-0005-0000-0000-0000DC2F0000}"/>
    <cellStyle name="Normal 19 14 10" xfId="13043" xr:uid="{00000000-0005-0000-0000-0000DD2F0000}"/>
    <cellStyle name="Normal 19 14 11" xfId="13044" xr:uid="{00000000-0005-0000-0000-0000DE2F0000}"/>
    <cellStyle name="Normal 19 14 12" xfId="13045" xr:uid="{00000000-0005-0000-0000-0000DF2F0000}"/>
    <cellStyle name="Normal 19 14 13" xfId="13046" xr:uid="{00000000-0005-0000-0000-0000E02F0000}"/>
    <cellStyle name="Normal 19 14 2" xfId="13047" xr:uid="{00000000-0005-0000-0000-0000E12F0000}"/>
    <cellStyle name="Normal 19 14 2 2" xfId="13048" xr:uid="{00000000-0005-0000-0000-0000E22F0000}"/>
    <cellStyle name="Normal 19 14 2 3" xfId="13049" xr:uid="{00000000-0005-0000-0000-0000E32F0000}"/>
    <cellStyle name="Normal 19 14 2 4" xfId="13050" xr:uid="{00000000-0005-0000-0000-0000E42F0000}"/>
    <cellStyle name="Normal 19 14 2 5" xfId="13051" xr:uid="{00000000-0005-0000-0000-0000E52F0000}"/>
    <cellStyle name="Normal 19 14 2 6" xfId="13052" xr:uid="{00000000-0005-0000-0000-0000E62F0000}"/>
    <cellStyle name="Normal 19 14 3" xfId="13053" xr:uid="{00000000-0005-0000-0000-0000E72F0000}"/>
    <cellStyle name="Normal 19 14 3 2" xfId="13054" xr:uid="{00000000-0005-0000-0000-0000E82F0000}"/>
    <cellStyle name="Normal 19 14 3 3" xfId="13055" xr:uid="{00000000-0005-0000-0000-0000E92F0000}"/>
    <cellStyle name="Normal 19 14 3 4" xfId="13056" xr:uid="{00000000-0005-0000-0000-0000EA2F0000}"/>
    <cellStyle name="Normal 19 14 3 5" xfId="13057" xr:uid="{00000000-0005-0000-0000-0000EB2F0000}"/>
    <cellStyle name="Normal 19 14 3 6" xfId="13058" xr:uid="{00000000-0005-0000-0000-0000EC2F0000}"/>
    <cellStyle name="Normal 19 14 4" xfId="13059" xr:uid="{00000000-0005-0000-0000-0000ED2F0000}"/>
    <cellStyle name="Normal 19 14 4 2" xfId="13060" xr:uid="{00000000-0005-0000-0000-0000EE2F0000}"/>
    <cellStyle name="Normal 19 14 4 3" xfId="13061" xr:uid="{00000000-0005-0000-0000-0000EF2F0000}"/>
    <cellStyle name="Normal 19 14 4 4" xfId="13062" xr:uid="{00000000-0005-0000-0000-0000F02F0000}"/>
    <cellStyle name="Normal 19 14 4 5" xfId="13063" xr:uid="{00000000-0005-0000-0000-0000F12F0000}"/>
    <cellStyle name="Normal 19 14 4 6" xfId="13064" xr:uid="{00000000-0005-0000-0000-0000F22F0000}"/>
    <cellStyle name="Normal 19 14 5" xfId="13065" xr:uid="{00000000-0005-0000-0000-0000F32F0000}"/>
    <cellStyle name="Normal 19 14 5 2" xfId="13066" xr:uid="{00000000-0005-0000-0000-0000F42F0000}"/>
    <cellStyle name="Normal 19 14 5 3" xfId="13067" xr:uid="{00000000-0005-0000-0000-0000F52F0000}"/>
    <cellStyle name="Normal 19 14 5 4" xfId="13068" xr:uid="{00000000-0005-0000-0000-0000F62F0000}"/>
    <cellStyle name="Normal 19 14 5 5" xfId="13069" xr:uid="{00000000-0005-0000-0000-0000F72F0000}"/>
    <cellStyle name="Normal 19 14 5 6" xfId="13070" xr:uid="{00000000-0005-0000-0000-0000F82F0000}"/>
    <cellStyle name="Normal 19 14 6" xfId="13071" xr:uid="{00000000-0005-0000-0000-0000F92F0000}"/>
    <cellStyle name="Normal 19 14 6 2" xfId="13072" xr:uid="{00000000-0005-0000-0000-0000FA2F0000}"/>
    <cellStyle name="Normal 19 14 6 3" xfId="13073" xr:uid="{00000000-0005-0000-0000-0000FB2F0000}"/>
    <cellStyle name="Normal 19 14 6 4" xfId="13074" xr:uid="{00000000-0005-0000-0000-0000FC2F0000}"/>
    <cellStyle name="Normal 19 14 6 5" xfId="13075" xr:uid="{00000000-0005-0000-0000-0000FD2F0000}"/>
    <cellStyle name="Normal 19 14 6 6" xfId="13076" xr:uid="{00000000-0005-0000-0000-0000FE2F0000}"/>
    <cellStyle name="Normal 19 14 7" xfId="13077" xr:uid="{00000000-0005-0000-0000-0000FF2F0000}"/>
    <cellStyle name="Normal 19 14 7 2" xfId="13078" xr:uid="{00000000-0005-0000-0000-000000300000}"/>
    <cellStyle name="Normal 19 14 7 3" xfId="13079" xr:uid="{00000000-0005-0000-0000-000001300000}"/>
    <cellStyle name="Normal 19 14 7 4" xfId="13080" xr:uid="{00000000-0005-0000-0000-000002300000}"/>
    <cellStyle name="Normal 19 14 7 5" xfId="13081" xr:uid="{00000000-0005-0000-0000-000003300000}"/>
    <cellStyle name="Normal 19 14 7 6" xfId="13082" xr:uid="{00000000-0005-0000-0000-000004300000}"/>
    <cellStyle name="Normal 19 14 8" xfId="13083" xr:uid="{00000000-0005-0000-0000-000005300000}"/>
    <cellStyle name="Normal 19 14 8 2" xfId="13084" xr:uid="{00000000-0005-0000-0000-000006300000}"/>
    <cellStyle name="Normal 19 14 8 3" xfId="13085" xr:uid="{00000000-0005-0000-0000-000007300000}"/>
    <cellStyle name="Normal 19 14 8 4" xfId="13086" xr:uid="{00000000-0005-0000-0000-000008300000}"/>
    <cellStyle name="Normal 19 14 8 5" xfId="13087" xr:uid="{00000000-0005-0000-0000-000009300000}"/>
    <cellStyle name="Normal 19 14 8 6" xfId="13088" xr:uid="{00000000-0005-0000-0000-00000A300000}"/>
    <cellStyle name="Normal 19 14 9" xfId="13089" xr:uid="{00000000-0005-0000-0000-00000B300000}"/>
    <cellStyle name="Normal 19 15" xfId="13090" xr:uid="{00000000-0005-0000-0000-00000C300000}"/>
    <cellStyle name="Normal 19 15 10" xfId="13091" xr:uid="{00000000-0005-0000-0000-00000D300000}"/>
    <cellStyle name="Normal 19 15 11" xfId="13092" xr:uid="{00000000-0005-0000-0000-00000E300000}"/>
    <cellStyle name="Normal 19 15 12" xfId="13093" xr:uid="{00000000-0005-0000-0000-00000F300000}"/>
    <cellStyle name="Normal 19 15 13" xfId="13094" xr:uid="{00000000-0005-0000-0000-000010300000}"/>
    <cellStyle name="Normal 19 15 2" xfId="13095" xr:uid="{00000000-0005-0000-0000-000011300000}"/>
    <cellStyle name="Normal 19 15 2 2" xfId="13096" xr:uid="{00000000-0005-0000-0000-000012300000}"/>
    <cellStyle name="Normal 19 15 2 3" xfId="13097" xr:uid="{00000000-0005-0000-0000-000013300000}"/>
    <cellStyle name="Normal 19 15 2 4" xfId="13098" xr:uid="{00000000-0005-0000-0000-000014300000}"/>
    <cellStyle name="Normal 19 15 2 5" xfId="13099" xr:uid="{00000000-0005-0000-0000-000015300000}"/>
    <cellStyle name="Normal 19 15 2 6" xfId="13100" xr:uid="{00000000-0005-0000-0000-000016300000}"/>
    <cellStyle name="Normal 19 15 3" xfId="13101" xr:uid="{00000000-0005-0000-0000-000017300000}"/>
    <cellStyle name="Normal 19 15 3 2" xfId="13102" xr:uid="{00000000-0005-0000-0000-000018300000}"/>
    <cellStyle name="Normal 19 15 3 3" xfId="13103" xr:uid="{00000000-0005-0000-0000-000019300000}"/>
    <cellStyle name="Normal 19 15 3 4" xfId="13104" xr:uid="{00000000-0005-0000-0000-00001A300000}"/>
    <cellStyle name="Normal 19 15 3 5" xfId="13105" xr:uid="{00000000-0005-0000-0000-00001B300000}"/>
    <cellStyle name="Normal 19 15 3 6" xfId="13106" xr:uid="{00000000-0005-0000-0000-00001C300000}"/>
    <cellStyle name="Normal 19 15 4" xfId="13107" xr:uid="{00000000-0005-0000-0000-00001D300000}"/>
    <cellStyle name="Normal 19 15 4 2" xfId="13108" xr:uid="{00000000-0005-0000-0000-00001E300000}"/>
    <cellStyle name="Normal 19 15 4 3" xfId="13109" xr:uid="{00000000-0005-0000-0000-00001F300000}"/>
    <cellStyle name="Normal 19 15 4 4" xfId="13110" xr:uid="{00000000-0005-0000-0000-000020300000}"/>
    <cellStyle name="Normal 19 15 4 5" xfId="13111" xr:uid="{00000000-0005-0000-0000-000021300000}"/>
    <cellStyle name="Normal 19 15 4 6" xfId="13112" xr:uid="{00000000-0005-0000-0000-000022300000}"/>
    <cellStyle name="Normal 19 15 5" xfId="13113" xr:uid="{00000000-0005-0000-0000-000023300000}"/>
    <cellStyle name="Normal 19 15 5 2" xfId="13114" xr:uid="{00000000-0005-0000-0000-000024300000}"/>
    <cellStyle name="Normal 19 15 5 3" xfId="13115" xr:uid="{00000000-0005-0000-0000-000025300000}"/>
    <cellStyle name="Normal 19 15 5 4" xfId="13116" xr:uid="{00000000-0005-0000-0000-000026300000}"/>
    <cellStyle name="Normal 19 15 5 5" xfId="13117" xr:uid="{00000000-0005-0000-0000-000027300000}"/>
    <cellStyle name="Normal 19 15 5 6" xfId="13118" xr:uid="{00000000-0005-0000-0000-000028300000}"/>
    <cellStyle name="Normal 19 15 6" xfId="13119" xr:uid="{00000000-0005-0000-0000-000029300000}"/>
    <cellStyle name="Normal 19 15 6 2" xfId="13120" xr:uid="{00000000-0005-0000-0000-00002A300000}"/>
    <cellStyle name="Normal 19 15 6 3" xfId="13121" xr:uid="{00000000-0005-0000-0000-00002B300000}"/>
    <cellStyle name="Normal 19 15 6 4" xfId="13122" xr:uid="{00000000-0005-0000-0000-00002C300000}"/>
    <cellStyle name="Normal 19 15 6 5" xfId="13123" xr:uid="{00000000-0005-0000-0000-00002D300000}"/>
    <cellStyle name="Normal 19 15 6 6" xfId="13124" xr:uid="{00000000-0005-0000-0000-00002E300000}"/>
    <cellStyle name="Normal 19 15 7" xfId="13125" xr:uid="{00000000-0005-0000-0000-00002F300000}"/>
    <cellStyle name="Normal 19 15 7 2" xfId="13126" xr:uid="{00000000-0005-0000-0000-000030300000}"/>
    <cellStyle name="Normal 19 15 7 3" xfId="13127" xr:uid="{00000000-0005-0000-0000-000031300000}"/>
    <cellStyle name="Normal 19 15 7 4" xfId="13128" xr:uid="{00000000-0005-0000-0000-000032300000}"/>
    <cellStyle name="Normal 19 15 7 5" xfId="13129" xr:uid="{00000000-0005-0000-0000-000033300000}"/>
    <cellStyle name="Normal 19 15 7 6" xfId="13130" xr:uid="{00000000-0005-0000-0000-000034300000}"/>
    <cellStyle name="Normal 19 15 8" xfId="13131" xr:uid="{00000000-0005-0000-0000-000035300000}"/>
    <cellStyle name="Normal 19 15 8 2" xfId="13132" xr:uid="{00000000-0005-0000-0000-000036300000}"/>
    <cellStyle name="Normal 19 15 8 3" xfId="13133" xr:uid="{00000000-0005-0000-0000-000037300000}"/>
    <cellStyle name="Normal 19 15 8 4" xfId="13134" xr:uid="{00000000-0005-0000-0000-000038300000}"/>
    <cellStyle name="Normal 19 15 8 5" xfId="13135" xr:uid="{00000000-0005-0000-0000-000039300000}"/>
    <cellStyle name="Normal 19 15 8 6" xfId="13136" xr:uid="{00000000-0005-0000-0000-00003A300000}"/>
    <cellStyle name="Normal 19 15 9" xfId="13137" xr:uid="{00000000-0005-0000-0000-00003B300000}"/>
    <cellStyle name="Normal 19 16" xfId="13138" xr:uid="{00000000-0005-0000-0000-00003C300000}"/>
    <cellStyle name="Normal 19 16 10" xfId="13139" xr:uid="{00000000-0005-0000-0000-00003D300000}"/>
    <cellStyle name="Normal 19 16 11" xfId="13140" xr:uid="{00000000-0005-0000-0000-00003E300000}"/>
    <cellStyle name="Normal 19 16 12" xfId="13141" xr:uid="{00000000-0005-0000-0000-00003F300000}"/>
    <cellStyle name="Normal 19 16 13" xfId="13142" xr:uid="{00000000-0005-0000-0000-000040300000}"/>
    <cellStyle name="Normal 19 16 2" xfId="13143" xr:uid="{00000000-0005-0000-0000-000041300000}"/>
    <cellStyle name="Normal 19 16 2 2" xfId="13144" xr:uid="{00000000-0005-0000-0000-000042300000}"/>
    <cellStyle name="Normal 19 16 2 3" xfId="13145" xr:uid="{00000000-0005-0000-0000-000043300000}"/>
    <cellStyle name="Normal 19 16 2 4" xfId="13146" xr:uid="{00000000-0005-0000-0000-000044300000}"/>
    <cellStyle name="Normal 19 16 2 5" xfId="13147" xr:uid="{00000000-0005-0000-0000-000045300000}"/>
    <cellStyle name="Normal 19 16 2 6" xfId="13148" xr:uid="{00000000-0005-0000-0000-000046300000}"/>
    <cellStyle name="Normal 19 16 3" xfId="13149" xr:uid="{00000000-0005-0000-0000-000047300000}"/>
    <cellStyle name="Normal 19 16 3 2" xfId="13150" xr:uid="{00000000-0005-0000-0000-000048300000}"/>
    <cellStyle name="Normal 19 16 3 3" xfId="13151" xr:uid="{00000000-0005-0000-0000-000049300000}"/>
    <cellStyle name="Normal 19 16 3 4" xfId="13152" xr:uid="{00000000-0005-0000-0000-00004A300000}"/>
    <cellStyle name="Normal 19 16 3 5" xfId="13153" xr:uid="{00000000-0005-0000-0000-00004B300000}"/>
    <cellStyle name="Normal 19 16 3 6" xfId="13154" xr:uid="{00000000-0005-0000-0000-00004C300000}"/>
    <cellStyle name="Normal 19 16 4" xfId="13155" xr:uid="{00000000-0005-0000-0000-00004D300000}"/>
    <cellStyle name="Normal 19 16 4 2" xfId="13156" xr:uid="{00000000-0005-0000-0000-00004E300000}"/>
    <cellStyle name="Normal 19 16 4 3" xfId="13157" xr:uid="{00000000-0005-0000-0000-00004F300000}"/>
    <cellStyle name="Normal 19 16 4 4" xfId="13158" xr:uid="{00000000-0005-0000-0000-000050300000}"/>
    <cellStyle name="Normal 19 16 4 5" xfId="13159" xr:uid="{00000000-0005-0000-0000-000051300000}"/>
    <cellStyle name="Normal 19 16 4 6" xfId="13160" xr:uid="{00000000-0005-0000-0000-000052300000}"/>
    <cellStyle name="Normal 19 16 5" xfId="13161" xr:uid="{00000000-0005-0000-0000-000053300000}"/>
    <cellStyle name="Normal 19 16 5 2" xfId="13162" xr:uid="{00000000-0005-0000-0000-000054300000}"/>
    <cellStyle name="Normal 19 16 5 3" xfId="13163" xr:uid="{00000000-0005-0000-0000-000055300000}"/>
    <cellStyle name="Normal 19 16 5 4" xfId="13164" xr:uid="{00000000-0005-0000-0000-000056300000}"/>
    <cellStyle name="Normal 19 16 5 5" xfId="13165" xr:uid="{00000000-0005-0000-0000-000057300000}"/>
    <cellStyle name="Normal 19 16 5 6" xfId="13166" xr:uid="{00000000-0005-0000-0000-000058300000}"/>
    <cellStyle name="Normal 19 16 6" xfId="13167" xr:uid="{00000000-0005-0000-0000-000059300000}"/>
    <cellStyle name="Normal 19 16 6 2" xfId="13168" xr:uid="{00000000-0005-0000-0000-00005A300000}"/>
    <cellStyle name="Normal 19 16 6 3" xfId="13169" xr:uid="{00000000-0005-0000-0000-00005B300000}"/>
    <cellStyle name="Normal 19 16 6 4" xfId="13170" xr:uid="{00000000-0005-0000-0000-00005C300000}"/>
    <cellStyle name="Normal 19 16 6 5" xfId="13171" xr:uid="{00000000-0005-0000-0000-00005D300000}"/>
    <cellStyle name="Normal 19 16 6 6" xfId="13172" xr:uid="{00000000-0005-0000-0000-00005E300000}"/>
    <cellStyle name="Normal 19 16 7" xfId="13173" xr:uid="{00000000-0005-0000-0000-00005F300000}"/>
    <cellStyle name="Normal 19 16 7 2" xfId="13174" xr:uid="{00000000-0005-0000-0000-000060300000}"/>
    <cellStyle name="Normal 19 16 7 3" xfId="13175" xr:uid="{00000000-0005-0000-0000-000061300000}"/>
    <cellStyle name="Normal 19 16 7 4" xfId="13176" xr:uid="{00000000-0005-0000-0000-000062300000}"/>
    <cellStyle name="Normal 19 16 7 5" xfId="13177" xr:uid="{00000000-0005-0000-0000-000063300000}"/>
    <cellStyle name="Normal 19 16 7 6" xfId="13178" xr:uid="{00000000-0005-0000-0000-000064300000}"/>
    <cellStyle name="Normal 19 16 8" xfId="13179" xr:uid="{00000000-0005-0000-0000-000065300000}"/>
    <cellStyle name="Normal 19 16 8 2" xfId="13180" xr:uid="{00000000-0005-0000-0000-000066300000}"/>
    <cellStyle name="Normal 19 16 8 3" xfId="13181" xr:uid="{00000000-0005-0000-0000-000067300000}"/>
    <cellStyle name="Normal 19 16 8 4" xfId="13182" xr:uid="{00000000-0005-0000-0000-000068300000}"/>
    <cellStyle name="Normal 19 16 8 5" xfId="13183" xr:uid="{00000000-0005-0000-0000-000069300000}"/>
    <cellStyle name="Normal 19 16 8 6" xfId="13184" xr:uid="{00000000-0005-0000-0000-00006A300000}"/>
    <cellStyle name="Normal 19 16 9" xfId="13185" xr:uid="{00000000-0005-0000-0000-00006B300000}"/>
    <cellStyle name="Normal 19 17" xfId="13186" xr:uid="{00000000-0005-0000-0000-00006C300000}"/>
    <cellStyle name="Normal 19 17 10" xfId="13187" xr:uid="{00000000-0005-0000-0000-00006D300000}"/>
    <cellStyle name="Normal 19 17 11" xfId="13188" xr:uid="{00000000-0005-0000-0000-00006E300000}"/>
    <cellStyle name="Normal 19 17 12" xfId="13189" xr:uid="{00000000-0005-0000-0000-00006F300000}"/>
    <cellStyle name="Normal 19 17 13" xfId="13190" xr:uid="{00000000-0005-0000-0000-000070300000}"/>
    <cellStyle name="Normal 19 17 2" xfId="13191" xr:uid="{00000000-0005-0000-0000-000071300000}"/>
    <cellStyle name="Normal 19 17 2 2" xfId="13192" xr:uid="{00000000-0005-0000-0000-000072300000}"/>
    <cellStyle name="Normal 19 17 2 3" xfId="13193" xr:uid="{00000000-0005-0000-0000-000073300000}"/>
    <cellStyle name="Normal 19 17 2 4" xfId="13194" xr:uid="{00000000-0005-0000-0000-000074300000}"/>
    <cellStyle name="Normal 19 17 2 5" xfId="13195" xr:uid="{00000000-0005-0000-0000-000075300000}"/>
    <cellStyle name="Normal 19 17 2 6" xfId="13196" xr:uid="{00000000-0005-0000-0000-000076300000}"/>
    <cellStyle name="Normal 19 17 3" xfId="13197" xr:uid="{00000000-0005-0000-0000-000077300000}"/>
    <cellStyle name="Normal 19 17 3 2" xfId="13198" xr:uid="{00000000-0005-0000-0000-000078300000}"/>
    <cellStyle name="Normal 19 17 3 3" xfId="13199" xr:uid="{00000000-0005-0000-0000-000079300000}"/>
    <cellStyle name="Normal 19 17 3 4" xfId="13200" xr:uid="{00000000-0005-0000-0000-00007A300000}"/>
    <cellStyle name="Normal 19 17 3 5" xfId="13201" xr:uid="{00000000-0005-0000-0000-00007B300000}"/>
    <cellStyle name="Normal 19 17 3 6" xfId="13202" xr:uid="{00000000-0005-0000-0000-00007C300000}"/>
    <cellStyle name="Normal 19 17 4" xfId="13203" xr:uid="{00000000-0005-0000-0000-00007D300000}"/>
    <cellStyle name="Normal 19 17 4 2" xfId="13204" xr:uid="{00000000-0005-0000-0000-00007E300000}"/>
    <cellStyle name="Normal 19 17 4 3" xfId="13205" xr:uid="{00000000-0005-0000-0000-00007F300000}"/>
    <cellStyle name="Normal 19 17 4 4" xfId="13206" xr:uid="{00000000-0005-0000-0000-000080300000}"/>
    <cellStyle name="Normal 19 17 4 5" xfId="13207" xr:uid="{00000000-0005-0000-0000-000081300000}"/>
    <cellStyle name="Normal 19 17 4 6" xfId="13208" xr:uid="{00000000-0005-0000-0000-000082300000}"/>
    <cellStyle name="Normal 19 17 5" xfId="13209" xr:uid="{00000000-0005-0000-0000-000083300000}"/>
    <cellStyle name="Normal 19 17 5 2" xfId="13210" xr:uid="{00000000-0005-0000-0000-000084300000}"/>
    <cellStyle name="Normal 19 17 5 3" xfId="13211" xr:uid="{00000000-0005-0000-0000-000085300000}"/>
    <cellStyle name="Normal 19 17 5 4" xfId="13212" xr:uid="{00000000-0005-0000-0000-000086300000}"/>
    <cellStyle name="Normal 19 17 5 5" xfId="13213" xr:uid="{00000000-0005-0000-0000-000087300000}"/>
    <cellStyle name="Normal 19 17 5 6" xfId="13214" xr:uid="{00000000-0005-0000-0000-000088300000}"/>
    <cellStyle name="Normal 19 17 6" xfId="13215" xr:uid="{00000000-0005-0000-0000-000089300000}"/>
    <cellStyle name="Normal 19 17 6 2" xfId="13216" xr:uid="{00000000-0005-0000-0000-00008A300000}"/>
    <cellStyle name="Normal 19 17 6 3" xfId="13217" xr:uid="{00000000-0005-0000-0000-00008B300000}"/>
    <cellStyle name="Normal 19 17 6 4" xfId="13218" xr:uid="{00000000-0005-0000-0000-00008C300000}"/>
    <cellStyle name="Normal 19 17 6 5" xfId="13219" xr:uid="{00000000-0005-0000-0000-00008D300000}"/>
    <cellStyle name="Normal 19 17 6 6" xfId="13220" xr:uid="{00000000-0005-0000-0000-00008E300000}"/>
    <cellStyle name="Normal 19 17 7" xfId="13221" xr:uid="{00000000-0005-0000-0000-00008F300000}"/>
    <cellStyle name="Normal 19 17 7 2" xfId="13222" xr:uid="{00000000-0005-0000-0000-000090300000}"/>
    <cellStyle name="Normal 19 17 7 3" xfId="13223" xr:uid="{00000000-0005-0000-0000-000091300000}"/>
    <cellStyle name="Normal 19 17 7 4" xfId="13224" xr:uid="{00000000-0005-0000-0000-000092300000}"/>
    <cellStyle name="Normal 19 17 7 5" xfId="13225" xr:uid="{00000000-0005-0000-0000-000093300000}"/>
    <cellStyle name="Normal 19 17 7 6" xfId="13226" xr:uid="{00000000-0005-0000-0000-000094300000}"/>
    <cellStyle name="Normal 19 17 8" xfId="13227" xr:uid="{00000000-0005-0000-0000-000095300000}"/>
    <cellStyle name="Normal 19 17 8 2" xfId="13228" xr:uid="{00000000-0005-0000-0000-000096300000}"/>
    <cellStyle name="Normal 19 17 8 3" xfId="13229" xr:uid="{00000000-0005-0000-0000-000097300000}"/>
    <cellStyle name="Normal 19 17 8 4" xfId="13230" xr:uid="{00000000-0005-0000-0000-000098300000}"/>
    <cellStyle name="Normal 19 17 8 5" xfId="13231" xr:uid="{00000000-0005-0000-0000-000099300000}"/>
    <cellStyle name="Normal 19 17 8 6" xfId="13232" xr:uid="{00000000-0005-0000-0000-00009A300000}"/>
    <cellStyle name="Normal 19 17 9" xfId="13233" xr:uid="{00000000-0005-0000-0000-00009B300000}"/>
    <cellStyle name="Normal 19 18" xfId="13234" xr:uid="{00000000-0005-0000-0000-00009C300000}"/>
    <cellStyle name="Normal 19 18 10" xfId="13235" xr:uid="{00000000-0005-0000-0000-00009D300000}"/>
    <cellStyle name="Normal 19 18 11" xfId="13236" xr:uid="{00000000-0005-0000-0000-00009E300000}"/>
    <cellStyle name="Normal 19 18 12" xfId="13237" xr:uid="{00000000-0005-0000-0000-00009F300000}"/>
    <cellStyle name="Normal 19 18 13" xfId="13238" xr:uid="{00000000-0005-0000-0000-0000A0300000}"/>
    <cellStyle name="Normal 19 18 2" xfId="13239" xr:uid="{00000000-0005-0000-0000-0000A1300000}"/>
    <cellStyle name="Normal 19 18 2 2" xfId="13240" xr:uid="{00000000-0005-0000-0000-0000A2300000}"/>
    <cellStyle name="Normal 19 18 2 3" xfId="13241" xr:uid="{00000000-0005-0000-0000-0000A3300000}"/>
    <cellStyle name="Normal 19 18 2 4" xfId="13242" xr:uid="{00000000-0005-0000-0000-0000A4300000}"/>
    <cellStyle name="Normal 19 18 2 5" xfId="13243" xr:uid="{00000000-0005-0000-0000-0000A5300000}"/>
    <cellStyle name="Normal 19 18 2 6" xfId="13244" xr:uid="{00000000-0005-0000-0000-0000A6300000}"/>
    <cellStyle name="Normal 19 18 3" xfId="13245" xr:uid="{00000000-0005-0000-0000-0000A7300000}"/>
    <cellStyle name="Normal 19 18 3 2" xfId="13246" xr:uid="{00000000-0005-0000-0000-0000A8300000}"/>
    <cellStyle name="Normal 19 18 3 3" xfId="13247" xr:uid="{00000000-0005-0000-0000-0000A9300000}"/>
    <cellStyle name="Normal 19 18 3 4" xfId="13248" xr:uid="{00000000-0005-0000-0000-0000AA300000}"/>
    <cellStyle name="Normal 19 18 3 5" xfId="13249" xr:uid="{00000000-0005-0000-0000-0000AB300000}"/>
    <cellStyle name="Normal 19 18 3 6" xfId="13250" xr:uid="{00000000-0005-0000-0000-0000AC300000}"/>
    <cellStyle name="Normal 19 18 4" xfId="13251" xr:uid="{00000000-0005-0000-0000-0000AD300000}"/>
    <cellStyle name="Normal 19 18 4 2" xfId="13252" xr:uid="{00000000-0005-0000-0000-0000AE300000}"/>
    <cellStyle name="Normal 19 18 4 3" xfId="13253" xr:uid="{00000000-0005-0000-0000-0000AF300000}"/>
    <cellStyle name="Normal 19 18 4 4" xfId="13254" xr:uid="{00000000-0005-0000-0000-0000B0300000}"/>
    <cellStyle name="Normal 19 18 4 5" xfId="13255" xr:uid="{00000000-0005-0000-0000-0000B1300000}"/>
    <cellStyle name="Normal 19 18 4 6" xfId="13256" xr:uid="{00000000-0005-0000-0000-0000B2300000}"/>
    <cellStyle name="Normal 19 18 5" xfId="13257" xr:uid="{00000000-0005-0000-0000-0000B3300000}"/>
    <cellStyle name="Normal 19 18 5 2" xfId="13258" xr:uid="{00000000-0005-0000-0000-0000B4300000}"/>
    <cellStyle name="Normal 19 18 5 3" xfId="13259" xr:uid="{00000000-0005-0000-0000-0000B5300000}"/>
    <cellStyle name="Normal 19 18 5 4" xfId="13260" xr:uid="{00000000-0005-0000-0000-0000B6300000}"/>
    <cellStyle name="Normal 19 18 5 5" xfId="13261" xr:uid="{00000000-0005-0000-0000-0000B7300000}"/>
    <cellStyle name="Normal 19 18 5 6" xfId="13262" xr:uid="{00000000-0005-0000-0000-0000B8300000}"/>
    <cellStyle name="Normal 19 18 6" xfId="13263" xr:uid="{00000000-0005-0000-0000-0000B9300000}"/>
    <cellStyle name="Normal 19 18 6 2" xfId="13264" xr:uid="{00000000-0005-0000-0000-0000BA300000}"/>
    <cellStyle name="Normal 19 18 6 3" xfId="13265" xr:uid="{00000000-0005-0000-0000-0000BB300000}"/>
    <cellStyle name="Normal 19 18 6 4" xfId="13266" xr:uid="{00000000-0005-0000-0000-0000BC300000}"/>
    <cellStyle name="Normal 19 18 6 5" xfId="13267" xr:uid="{00000000-0005-0000-0000-0000BD300000}"/>
    <cellStyle name="Normal 19 18 6 6" xfId="13268" xr:uid="{00000000-0005-0000-0000-0000BE300000}"/>
    <cellStyle name="Normal 19 18 7" xfId="13269" xr:uid="{00000000-0005-0000-0000-0000BF300000}"/>
    <cellStyle name="Normal 19 18 7 2" xfId="13270" xr:uid="{00000000-0005-0000-0000-0000C0300000}"/>
    <cellStyle name="Normal 19 18 7 3" xfId="13271" xr:uid="{00000000-0005-0000-0000-0000C1300000}"/>
    <cellStyle name="Normal 19 18 7 4" xfId="13272" xr:uid="{00000000-0005-0000-0000-0000C2300000}"/>
    <cellStyle name="Normal 19 18 7 5" xfId="13273" xr:uid="{00000000-0005-0000-0000-0000C3300000}"/>
    <cellStyle name="Normal 19 18 7 6" xfId="13274" xr:uid="{00000000-0005-0000-0000-0000C4300000}"/>
    <cellStyle name="Normal 19 18 8" xfId="13275" xr:uid="{00000000-0005-0000-0000-0000C5300000}"/>
    <cellStyle name="Normal 19 18 8 2" xfId="13276" xr:uid="{00000000-0005-0000-0000-0000C6300000}"/>
    <cellStyle name="Normal 19 18 8 3" xfId="13277" xr:uid="{00000000-0005-0000-0000-0000C7300000}"/>
    <cellStyle name="Normal 19 18 8 4" xfId="13278" xr:uid="{00000000-0005-0000-0000-0000C8300000}"/>
    <cellStyle name="Normal 19 18 8 5" xfId="13279" xr:uid="{00000000-0005-0000-0000-0000C9300000}"/>
    <cellStyle name="Normal 19 18 8 6" xfId="13280" xr:uid="{00000000-0005-0000-0000-0000CA300000}"/>
    <cellStyle name="Normal 19 18 9" xfId="13281" xr:uid="{00000000-0005-0000-0000-0000CB300000}"/>
    <cellStyle name="Normal 19 19" xfId="13282" xr:uid="{00000000-0005-0000-0000-0000CC300000}"/>
    <cellStyle name="Normal 19 19 10" xfId="13283" xr:uid="{00000000-0005-0000-0000-0000CD300000}"/>
    <cellStyle name="Normal 19 19 11" xfId="13284" xr:uid="{00000000-0005-0000-0000-0000CE300000}"/>
    <cellStyle name="Normal 19 19 12" xfId="13285" xr:uid="{00000000-0005-0000-0000-0000CF300000}"/>
    <cellStyle name="Normal 19 19 13" xfId="13286" xr:uid="{00000000-0005-0000-0000-0000D0300000}"/>
    <cellStyle name="Normal 19 19 2" xfId="13287" xr:uid="{00000000-0005-0000-0000-0000D1300000}"/>
    <cellStyle name="Normal 19 19 2 2" xfId="13288" xr:uid="{00000000-0005-0000-0000-0000D2300000}"/>
    <cellStyle name="Normal 19 19 2 3" xfId="13289" xr:uid="{00000000-0005-0000-0000-0000D3300000}"/>
    <cellStyle name="Normal 19 19 2 4" xfId="13290" xr:uid="{00000000-0005-0000-0000-0000D4300000}"/>
    <cellStyle name="Normal 19 19 2 5" xfId="13291" xr:uid="{00000000-0005-0000-0000-0000D5300000}"/>
    <cellStyle name="Normal 19 19 2 6" xfId="13292" xr:uid="{00000000-0005-0000-0000-0000D6300000}"/>
    <cellStyle name="Normal 19 19 3" xfId="13293" xr:uid="{00000000-0005-0000-0000-0000D7300000}"/>
    <cellStyle name="Normal 19 19 3 2" xfId="13294" xr:uid="{00000000-0005-0000-0000-0000D8300000}"/>
    <cellStyle name="Normal 19 19 3 3" xfId="13295" xr:uid="{00000000-0005-0000-0000-0000D9300000}"/>
    <cellStyle name="Normal 19 19 3 4" xfId="13296" xr:uid="{00000000-0005-0000-0000-0000DA300000}"/>
    <cellStyle name="Normal 19 19 3 5" xfId="13297" xr:uid="{00000000-0005-0000-0000-0000DB300000}"/>
    <cellStyle name="Normal 19 19 3 6" xfId="13298" xr:uid="{00000000-0005-0000-0000-0000DC300000}"/>
    <cellStyle name="Normal 19 19 4" xfId="13299" xr:uid="{00000000-0005-0000-0000-0000DD300000}"/>
    <cellStyle name="Normal 19 19 4 2" xfId="13300" xr:uid="{00000000-0005-0000-0000-0000DE300000}"/>
    <cellStyle name="Normal 19 19 4 3" xfId="13301" xr:uid="{00000000-0005-0000-0000-0000DF300000}"/>
    <cellStyle name="Normal 19 19 4 4" xfId="13302" xr:uid="{00000000-0005-0000-0000-0000E0300000}"/>
    <cellStyle name="Normal 19 19 4 5" xfId="13303" xr:uid="{00000000-0005-0000-0000-0000E1300000}"/>
    <cellStyle name="Normal 19 19 4 6" xfId="13304" xr:uid="{00000000-0005-0000-0000-0000E2300000}"/>
    <cellStyle name="Normal 19 19 5" xfId="13305" xr:uid="{00000000-0005-0000-0000-0000E3300000}"/>
    <cellStyle name="Normal 19 19 5 2" xfId="13306" xr:uid="{00000000-0005-0000-0000-0000E4300000}"/>
    <cellStyle name="Normal 19 19 5 3" xfId="13307" xr:uid="{00000000-0005-0000-0000-0000E5300000}"/>
    <cellStyle name="Normal 19 19 5 4" xfId="13308" xr:uid="{00000000-0005-0000-0000-0000E6300000}"/>
    <cellStyle name="Normal 19 19 5 5" xfId="13309" xr:uid="{00000000-0005-0000-0000-0000E7300000}"/>
    <cellStyle name="Normal 19 19 5 6" xfId="13310" xr:uid="{00000000-0005-0000-0000-0000E8300000}"/>
    <cellStyle name="Normal 19 19 6" xfId="13311" xr:uid="{00000000-0005-0000-0000-0000E9300000}"/>
    <cellStyle name="Normal 19 19 6 2" xfId="13312" xr:uid="{00000000-0005-0000-0000-0000EA300000}"/>
    <cellStyle name="Normal 19 19 6 3" xfId="13313" xr:uid="{00000000-0005-0000-0000-0000EB300000}"/>
    <cellStyle name="Normal 19 19 6 4" xfId="13314" xr:uid="{00000000-0005-0000-0000-0000EC300000}"/>
    <cellStyle name="Normal 19 19 6 5" xfId="13315" xr:uid="{00000000-0005-0000-0000-0000ED300000}"/>
    <cellStyle name="Normal 19 19 6 6" xfId="13316" xr:uid="{00000000-0005-0000-0000-0000EE300000}"/>
    <cellStyle name="Normal 19 19 7" xfId="13317" xr:uid="{00000000-0005-0000-0000-0000EF300000}"/>
    <cellStyle name="Normal 19 19 7 2" xfId="13318" xr:uid="{00000000-0005-0000-0000-0000F0300000}"/>
    <cellStyle name="Normal 19 19 7 3" xfId="13319" xr:uid="{00000000-0005-0000-0000-0000F1300000}"/>
    <cellStyle name="Normal 19 19 7 4" xfId="13320" xr:uid="{00000000-0005-0000-0000-0000F2300000}"/>
    <cellStyle name="Normal 19 19 7 5" xfId="13321" xr:uid="{00000000-0005-0000-0000-0000F3300000}"/>
    <cellStyle name="Normal 19 19 7 6" xfId="13322" xr:uid="{00000000-0005-0000-0000-0000F4300000}"/>
    <cellStyle name="Normal 19 19 8" xfId="13323" xr:uid="{00000000-0005-0000-0000-0000F5300000}"/>
    <cellStyle name="Normal 19 19 8 2" xfId="13324" xr:uid="{00000000-0005-0000-0000-0000F6300000}"/>
    <cellStyle name="Normal 19 19 8 3" xfId="13325" xr:uid="{00000000-0005-0000-0000-0000F7300000}"/>
    <cellStyle name="Normal 19 19 8 4" xfId="13326" xr:uid="{00000000-0005-0000-0000-0000F8300000}"/>
    <cellStyle name="Normal 19 19 8 5" xfId="13327" xr:uid="{00000000-0005-0000-0000-0000F9300000}"/>
    <cellStyle name="Normal 19 19 8 6" xfId="13328" xr:uid="{00000000-0005-0000-0000-0000FA300000}"/>
    <cellStyle name="Normal 19 19 9" xfId="13329" xr:uid="{00000000-0005-0000-0000-0000FB300000}"/>
    <cellStyle name="Normal 19 2" xfId="13330" xr:uid="{00000000-0005-0000-0000-0000FC300000}"/>
    <cellStyle name="Normal 19 2 10" xfId="13331" xr:uid="{00000000-0005-0000-0000-0000FD300000}"/>
    <cellStyle name="Normal 19 2 11" xfId="13332" xr:uid="{00000000-0005-0000-0000-0000FE300000}"/>
    <cellStyle name="Normal 19 2 12" xfId="13333" xr:uid="{00000000-0005-0000-0000-0000FF300000}"/>
    <cellStyle name="Normal 19 2 13" xfId="13334" xr:uid="{00000000-0005-0000-0000-000000310000}"/>
    <cellStyle name="Normal 19 2 2" xfId="13335" xr:uid="{00000000-0005-0000-0000-000001310000}"/>
    <cellStyle name="Normal 19 2 2 2" xfId="13336" xr:uid="{00000000-0005-0000-0000-000002310000}"/>
    <cellStyle name="Normal 19 2 2 3" xfId="13337" xr:uid="{00000000-0005-0000-0000-000003310000}"/>
    <cellStyle name="Normal 19 2 2 4" xfId="13338" xr:uid="{00000000-0005-0000-0000-000004310000}"/>
    <cellStyle name="Normal 19 2 2 5" xfId="13339" xr:uid="{00000000-0005-0000-0000-000005310000}"/>
    <cellStyle name="Normal 19 2 2 6" xfId="13340" xr:uid="{00000000-0005-0000-0000-000006310000}"/>
    <cellStyle name="Normal 19 2 3" xfId="13341" xr:uid="{00000000-0005-0000-0000-000007310000}"/>
    <cellStyle name="Normal 19 2 3 2" xfId="13342" xr:uid="{00000000-0005-0000-0000-000008310000}"/>
    <cellStyle name="Normal 19 2 3 3" xfId="13343" xr:uid="{00000000-0005-0000-0000-000009310000}"/>
    <cellStyle name="Normal 19 2 3 4" xfId="13344" xr:uid="{00000000-0005-0000-0000-00000A310000}"/>
    <cellStyle name="Normal 19 2 3 5" xfId="13345" xr:uid="{00000000-0005-0000-0000-00000B310000}"/>
    <cellStyle name="Normal 19 2 3 6" xfId="13346" xr:uid="{00000000-0005-0000-0000-00000C310000}"/>
    <cellStyle name="Normal 19 2 4" xfId="13347" xr:uid="{00000000-0005-0000-0000-00000D310000}"/>
    <cellStyle name="Normal 19 2 4 2" xfId="13348" xr:uid="{00000000-0005-0000-0000-00000E310000}"/>
    <cellStyle name="Normal 19 2 4 3" xfId="13349" xr:uid="{00000000-0005-0000-0000-00000F310000}"/>
    <cellStyle name="Normal 19 2 4 4" xfId="13350" xr:uid="{00000000-0005-0000-0000-000010310000}"/>
    <cellStyle name="Normal 19 2 4 5" xfId="13351" xr:uid="{00000000-0005-0000-0000-000011310000}"/>
    <cellStyle name="Normal 19 2 4 6" xfId="13352" xr:uid="{00000000-0005-0000-0000-000012310000}"/>
    <cellStyle name="Normal 19 2 5" xfId="13353" xr:uid="{00000000-0005-0000-0000-000013310000}"/>
    <cellStyle name="Normal 19 2 5 2" xfId="13354" xr:uid="{00000000-0005-0000-0000-000014310000}"/>
    <cellStyle name="Normal 19 2 5 3" xfId="13355" xr:uid="{00000000-0005-0000-0000-000015310000}"/>
    <cellStyle name="Normal 19 2 5 4" xfId="13356" xr:uid="{00000000-0005-0000-0000-000016310000}"/>
    <cellStyle name="Normal 19 2 5 5" xfId="13357" xr:uid="{00000000-0005-0000-0000-000017310000}"/>
    <cellStyle name="Normal 19 2 5 6" xfId="13358" xr:uid="{00000000-0005-0000-0000-000018310000}"/>
    <cellStyle name="Normal 19 2 6" xfId="13359" xr:uid="{00000000-0005-0000-0000-000019310000}"/>
    <cellStyle name="Normal 19 2 6 2" xfId="13360" xr:uid="{00000000-0005-0000-0000-00001A310000}"/>
    <cellStyle name="Normal 19 2 6 3" xfId="13361" xr:uid="{00000000-0005-0000-0000-00001B310000}"/>
    <cellStyle name="Normal 19 2 6 4" xfId="13362" xr:uid="{00000000-0005-0000-0000-00001C310000}"/>
    <cellStyle name="Normal 19 2 6 5" xfId="13363" xr:uid="{00000000-0005-0000-0000-00001D310000}"/>
    <cellStyle name="Normal 19 2 6 6" xfId="13364" xr:uid="{00000000-0005-0000-0000-00001E310000}"/>
    <cellStyle name="Normal 19 2 7" xfId="13365" xr:uid="{00000000-0005-0000-0000-00001F310000}"/>
    <cellStyle name="Normal 19 2 7 2" xfId="13366" xr:uid="{00000000-0005-0000-0000-000020310000}"/>
    <cellStyle name="Normal 19 2 7 3" xfId="13367" xr:uid="{00000000-0005-0000-0000-000021310000}"/>
    <cellStyle name="Normal 19 2 7 4" xfId="13368" xr:uid="{00000000-0005-0000-0000-000022310000}"/>
    <cellStyle name="Normal 19 2 7 5" xfId="13369" xr:uid="{00000000-0005-0000-0000-000023310000}"/>
    <cellStyle name="Normal 19 2 7 6" xfId="13370" xr:uid="{00000000-0005-0000-0000-000024310000}"/>
    <cellStyle name="Normal 19 2 8" xfId="13371" xr:uid="{00000000-0005-0000-0000-000025310000}"/>
    <cellStyle name="Normal 19 2 8 2" xfId="13372" xr:uid="{00000000-0005-0000-0000-000026310000}"/>
    <cellStyle name="Normal 19 2 8 3" xfId="13373" xr:uid="{00000000-0005-0000-0000-000027310000}"/>
    <cellStyle name="Normal 19 2 8 4" xfId="13374" xr:uid="{00000000-0005-0000-0000-000028310000}"/>
    <cellStyle name="Normal 19 2 8 5" xfId="13375" xr:uid="{00000000-0005-0000-0000-000029310000}"/>
    <cellStyle name="Normal 19 2 8 6" xfId="13376" xr:uid="{00000000-0005-0000-0000-00002A310000}"/>
    <cellStyle name="Normal 19 2 9" xfId="13377" xr:uid="{00000000-0005-0000-0000-00002B310000}"/>
    <cellStyle name="Normal 19 20" xfId="13378" xr:uid="{00000000-0005-0000-0000-00002C310000}"/>
    <cellStyle name="Normal 19 20 10" xfId="13379" xr:uid="{00000000-0005-0000-0000-00002D310000}"/>
    <cellStyle name="Normal 19 20 11" xfId="13380" xr:uid="{00000000-0005-0000-0000-00002E310000}"/>
    <cellStyle name="Normal 19 20 12" xfId="13381" xr:uid="{00000000-0005-0000-0000-00002F310000}"/>
    <cellStyle name="Normal 19 20 13" xfId="13382" xr:uid="{00000000-0005-0000-0000-000030310000}"/>
    <cellStyle name="Normal 19 20 2" xfId="13383" xr:uid="{00000000-0005-0000-0000-000031310000}"/>
    <cellStyle name="Normal 19 20 2 2" xfId="13384" xr:uid="{00000000-0005-0000-0000-000032310000}"/>
    <cellStyle name="Normal 19 20 2 3" xfId="13385" xr:uid="{00000000-0005-0000-0000-000033310000}"/>
    <cellStyle name="Normal 19 20 2 4" xfId="13386" xr:uid="{00000000-0005-0000-0000-000034310000}"/>
    <cellStyle name="Normal 19 20 2 5" xfId="13387" xr:uid="{00000000-0005-0000-0000-000035310000}"/>
    <cellStyle name="Normal 19 20 2 6" xfId="13388" xr:uid="{00000000-0005-0000-0000-000036310000}"/>
    <cellStyle name="Normal 19 20 3" xfId="13389" xr:uid="{00000000-0005-0000-0000-000037310000}"/>
    <cellStyle name="Normal 19 20 3 2" xfId="13390" xr:uid="{00000000-0005-0000-0000-000038310000}"/>
    <cellStyle name="Normal 19 20 3 3" xfId="13391" xr:uid="{00000000-0005-0000-0000-000039310000}"/>
    <cellStyle name="Normal 19 20 3 4" xfId="13392" xr:uid="{00000000-0005-0000-0000-00003A310000}"/>
    <cellStyle name="Normal 19 20 3 5" xfId="13393" xr:uid="{00000000-0005-0000-0000-00003B310000}"/>
    <cellStyle name="Normal 19 20 3 6" xfId="13394" xr:uid="{00000000-0005-0000-0000-00003C310000}"/>
    <cellStyle name="Normal 19 20 4" xfId="13395" xr:uid="{00000000-0005-0000-0000-00003D310000}"/>
    <cellStyle name="Normal 19 20 4 2" xfId="13396" xr:uid="{00000000-0005-0000-0000-00003E310000}"/>
    <cellStyle name="Normal 19 20 4 3" xfId="13397" xr:uid="{00000000-0005-0000-0000-00003F310000}"/>
    <cellStyle name="Normal 19 20 4 4" xfId="13398" xr:uid="{00000000-0005-0000-0000-000040310000}"/>
    <cellStyle name="Normal 19 20 4 5" xfId="13399" xr:uid="{00000000-0005-0000-0000-000041310000}"/>
    <cellStyle name="Normal 19 20 4 6" xfId="13400" xr:uid="{00000000-0005-0000-0000-000042310000}"/>
    <cellStyle name="Normal 19 20 5" xfId="13401" xr:uid="{00000000-0005-0000-0000-000043310000}"/>
    <cellStyle name="Normal 19 20 5 2" xfId="13402" xr:uid="{00000000-0005-0000-0000-000044310000}"/>
    <cellStyle name="Normal 19 20 5 3" xfId="13403" xr:uid="{00000000-0005-0000-0000-000045310000}"/>
    <cellStyle name="Normal 19 20 5 4" xfId="13404" xr:uid="{00000000-0005-0000-0000-000046310000}"/>
    <cellStyle name="Normal 19 20 5 5" xfId="13405" xr:uid="{00000000-0005-0000-0000-000047310000}"/>
    <cellStyle name="Normal 19 20 5 6" xfId="13406" xr:uid="{00000000-0005-0000-0000-000048310000}"/>
    <cellStyle name="Normal 19 20 6" xfId="13407" xr:uid="{00000000-0005-0000-0000-000049310000}"/>
    <cellStyle name="Normal 19 20 6 2" xfId="13408" xr:uid="{00000000-0005-0000-0000-00004A310000}"/>
    <cellStyle name="Normal 19 20 6 3" xfId="13409" xr:uid="{00000000-0005-0000-0000-00004B310000}"/>
    <cellStyle name="Normal 19 20 6 4" xfId="13410" xr:uid="{00000000-0005-0000-0000-00004C310000}"/>
    <cellStyle name="Normal 19 20 6 5" xfId="13411" xr:uid="{00000000-0005-0000-0000-00004D310000}"/>
    <cellStyle name="Normal 19 20 6 6" xfId="13412" xr:uid="{00000000-0005-0000-0000-00004E310000}"/>
    <cellStyle name="Normal 19 20 7" xfId="13413" xr:uid="{00000000-0005-0000-0000-00004F310000}"/>
    <cellStyle name="Normal 19 20 7 2" xfId="13414" xr:uid="{00000000-0005-0000-0000-000050310000}"/>
    <cellStyle name="Normal 19 20 7 3" xfId="13415" xr:uid="{00000000-0005-0000-0000-000051310000}"/>
    <cellStyle name="Normal 19 20 7 4" xfId="13416" xr:uid="{00000000-0005-0000-0000-000052310000}"/>
    <cellStyle name="Normal 19 20 7 5" xfId="13417" xr:uid="{00000000-0005-0000-0000-000053310000}"/>
    <cellStyle name="Normal 19 20 7 6" xfId="13418" xr:uid="{00000000-0005-0000-0000-000054310000}"/>
    <cellStyle name="Normal 19 20 8" xfId="13419" xr:uid="{00000000-0005-0000-0000-000055310000}"/>
    <cellStyle name="Normal 19 20 8 2" xfId="13420" xr:uid="{00000000-0005-0000-0000-000056310000}"/>
    <cellStyle name="Normal 19 20 8 3" xfId="13421" xr:uid="{00000000-0005-0000-0000-000057310000}"/>
    <cellStyle name="Normal 19 20 8 4" xfId="13422" xr:uid="{00000000-0005-0000-0000-000058310000}"/>
    <cellStyle name="Normal 19 20 8 5" xfId="13423" xr:uid="{00000000-0005-0000-0000-000059310000}"/>
    <cellStyle name="Normal 19 20 8 6" xfId="13424" xr:uid="{00000000-0005-0000-0000-00005A310000}"/>
    <cellStyle name="Normal 19 20 9" xfId="13425" xr:uid="{00000000-0005-0000-0000-00005B310000}"/>
    <cellStyle name="Normal 19 21" xfId="13426" xr:uid="{00000000-0005-0000-0000-00005C310000}"/>
    <cellStyle name="Normal 19 21 10" xfId="13427" xr:uid="{00000000-0005-0000-0000-00005D310000}"/>
    <cellStyle name="Normal 19 21 11" xfId="13428" xr:uid="{00000000-0005-0000-0000-00005E310000}"/>
    <cellStyle name="Normal 19 21 12" xfId="13429" xr:uid="{00000000-0005-0000-0000-00005F310000}"/>
    <cellStyle name="Normal 19 21 13" xfId="13430" xr:uid="{00000000-0005-0000-0000-000060310000}"/>
    <cellStyle name="Normal 19 21 2" xfId="13431" xr:uid="{00000000-0005-0000-0000-000061310000}"/>
    <cellStyle name="Normal 19 21 2 2" xfId="13432" xr:uid="{00000000-0005-0000-0000-000062310000}"/>
    <cellStyle name="Normal 19 21 2 3" xfId="13433" xr:uid="{00000000-0005-0000-0000-000063310000}"/>
    <cellStyle name="Normal 19 21 2 4" xfId="13434" xr:uid="{00000000-0005-0000-0000-000064310000}"/>
    <cellStyle name="Normal 19 21 2 5" xfId="13435" xr:uid="{00000000-0005-0000-0000-000065310000}"/>
    <cellStyle name="Normal 19 21 2 6" xfId="13436" xr:uid="{00000000-0005-0000-0000-000066310000}"/>
    <cellStyle name="Normal 19 21 3" xfId="13437" xr:uid="{00000000-0005-0000-0000-000067310000}"/>
    <cellStyle name="Normal 19 21 3 2" xfId="13438" xr:uid="{00000000-0005-0000-0000-000068310000}"/>
    <cellStyle name="Normal 19 21 3 3" xfId="13439" xr:uid="{00000000-0005-0000-0000-000069310000}"/>
    <cellStyle name="Normal 19 21 3 4" xfId="13440" xr:uid="{00000000-0005-0000-0000-00006A310000}"/>
    <cellStyle name="Normal 19 21 3 5" xfId="13441" xr:uid="{00000000-0005-0000-0000-00006B310000}"/>
    <cellStyle name="Normal 19 21 3 6" xfId="13442" xr:uid="{00000000-0005-0000-0000-00006C310000}"/>
    <cellStyle name="Normal 19 21 4" xfId="13443" xr:uid="{00000000-0005-0000-0000-00006D310000}"/>
    <cellStyle name="Normal 19 21 4 2" xfId="13444" xr:uid="{00000000-0005-0000-0000-00006E310000}"/>
    <cellStyle name="Normal 19 21 4 3" xfId="13445" xr:uid="{00000000-0005-0000-0000-00006F310000}"/>
    <cellStyle name="Normal 19 21 4 4" xfId="13446" xr:uid="{00000000-0005-0000-0000-000070310000}"/>
    <cellStyle name="Normal 19 21 4 5" xfId="13447" xr:uid="{00000000-0005-0000-0000-000071310000}"/>
    <cellStyle name="Normal 19 21 4 6" xfId="13448" xr:uid="{00000000-0005-0000-0000-000072310000}"/>
    <cellStyle name="Normal 19 21 5" xfId="13449" xr:uid="{00000000-0005-0000-0000-000073310000}"/>
    <cellStyle name="Normal 19 21 5 2" xfId="13450" xr:uid="{00000000-0005-0000-0000-000074310000}"/>
    <cellStyle name="Normal 19 21 5 3" xfId="13451" xr:uid="{00000000-0005-0000-0000-000075310000}"/>
    <cellStyle name="Normal 19 21 5 4" xfId="13452" xr:uid="{00000000-0005-0000-0000-000076310000}"/>
    <cellStyle name="Normal 19 21 5 5" xfId="13453" xr:uid="{00000000-0005-0000-0000-000077310000}"/>
    <cellStyle name="Normal 19 21 5 6" xfId="13454" xr:uid="{00000000-0005-0000-0000-000078310000}"/>
    <cellStyle name="Normal 19 21 6" xfId="13455" xr:uid="{00000000-0005-0000-0000-000079310000}"/>
    <cellStyle name="Normal 19 21 6 2" xfId="13456" xr:uid="{00000000-0005-0000-0000-00007A310000}"/>
    <cellStyle name="Normal 19 21 6 3" xfId="13457" xr:uid="{00000000-0005-0000-0000-00007B310000}"/>
    <cellStyle name="Normal 19 21 6 4" xfId="13458" xr:uid="{00000000-0005-0000-0000-00007C310000}"/>
    <cellStyle name="Normal 19 21 6 5" xfId="13459" xr:uid="{00000000-0005-0000-0000-00007D310000}"/>
    <cellStyle name="Normal 19 21 6 6" xfId="13460" xr:uid="{00000000-0005-0000-0000-00007E310000}"/>
    <cellStyle name="Normal 19 21 7" xfId="13461" xr:uid="{00000000-0005-0000-0000-00007F310000}"/>
    <cellStyle name="Normal 19 21 7 2" xfId="13462" xr:uid="{00000000-0005-0000-0000-000080310000}"/>
    <cellStyle name="Normal 19 21 7 3" xfId="13463" xr:uid="{00000000-0005-0000-0000-000081310000}"/>
    <cellStyle name="Normal 19 21 7 4" xfId="13464" xr:uid="{00000000-0005-0000-0000-000082310000}"/>
    <cellStyle name="Normal 19 21 7 5" xfId="13465" xr:uid="{00000000-0005-0000-0000-000083310000}"/>
    <cellStyle name="Normal 19 21 7 6" xfId="13466" xr:uid="{00000000-0005-0000-0000-000084310000}"/>
    <cellStyle name="Normal 19 21 8" xfId="13467" xr:uid="{00000000-0005-0000-0000-000085310000}"/>
    <cellStyle name="Normal 19 21 8 2" xfId="13468" xr:uid="{00000000-0005-0000-0000-000086310000}"/>
    <cellStyle name="Normal 19 21 8 3" xfId="13469" xr:uid="{00000000-0005-0000-0000-000087310000}"/>
    <cellStyle name="Normal 19 21 8 4" xfId="13470" xr:uid="{00000000-0005-0000-0000-000088310000}"/>
    <cellStyle name="Normal 19 21 8 5" xfId="13471" xr:uid="{00000000-0005-0000-0000-000089310000}"/>
    <cellStyle name="Normal 19 21 8 6" xfId="13472" xr:uid="{00000000-0005-0000-0000-00008A310000}"/>
    <cellStyle name="Normal 19 21 9" xfId="13473" xr:uid="{00000000-0005-0000-0000-00008B310000}"/>
    <cellStyle name="Normal 19 22" xfId="13474" xr:uid="{00000000-0005-0000-0000-00008C310000}"/>
    <cellStyle name="Normal 19 22 10" xfId="13475" xr:uid="{00000000-0005-0000-0000-00008D310000}"/>
    <cellStyle name="Normal 19 22 11" xfId="13476" xr:uid="{00000000-0005-0000-0000-00008E310000}"/>
    <cellStyle name="Normal 19 22 12" xfId="13477" xr:uid="{00000000-0005-0000-0000-00008F310000}"/>
    <cellStyle name="Normal 19 22 13" xfId="13478" xr:uid="{00000000-0005-0000-0000-000090310000}"/>
    <cellStyle name="Normal 19 22 2" xfId="13479" xr:uid="{00000000-0005-0000-0000-000091310000}"/>
    <cellStyle name="Normal 19 22 2 2" xfId="13480" xr:uid="{00000000-0005-0000-0000-000092310000}"/>
    <cellStyle name="Normal 19 22 2 3" xfId="13481" xr:uid="{00000000-0005-0000-0000-000093310000}"/>
    <cellStyle name="Normal 19 22 2 4" xfId="13482" xr:uid="{00000000-0005-0000-0000-000094310000}"/>
    <cellStyle name="Normal 19 22 2 5" xfId="13483" xr:uid="{00000000-0005-0000-0000-000095310000}"/>
    <cellStyle name="Normal 19 22 2 6" xfId="13484" xr:uid="{00000000-0005-0000-0000-000096310000}"/>
    <cellStyle name="Normal 19 22 3" xfId="13485" xr:uid="{00000000-0005-0000-0000-000097310000}"/>
    <cellStyle name="Normal 19 22 3 2" xfId="13486" xr:uid="{00000000-0005-0000-0000-000098310000}"/>
    <cellStyle name="Normal 19 22 3 3" xfId="13487" xr:uid="{00000000-0005-0000-0000-000099310000}"/>
    <cellStyle name="Normal 19 22 3 4" xfId="13488" xr:uid="{00000000-0005-0000-0000-00009A310000}"/>
    <cellStyle name="Normal 19 22 3 5" xfId="13489" xr:uid="{00000000-0005-0000-0000-00009B310000}"/>
    <cellStyle name="Normal 19 22 3 6" xfId="13490" xr:uid="{00000000-0005-0000-0000-00009C310000}"/>
    <cellStyle name="Normal 19 22 4" xfId="13491" xr:uid="{00000000-0005-0000-0000-00009D310000}"/>
    <cellStyle name="Normal 19 22 4 2" xfId="13492" xr:uid="{00000000-0005-0000-0000-00009E310000}"/>
    <cellStyle name="Normal 19 22 4 3" xfId="13493" xr:uid="{00000000-0005-0000-0000-00009F310000}"/>
    <cellStyle name="Normal 19 22 4 4" xfId="13494" xr:uid="{00000000-0005-0000-0000-0000A0310000}"/>
    <cellStyle name="Normal 19 22 4 5" xfId="13495" xr:uid="{00000000-0005-0000-0000-0000A1310000}"/>
    <cellStyle name="Normal 19 22 4 6" xfId="13496" xr:uid="{00000000-0005-0000-0000-0000A2310000}"/>
    <cellStyle name="Normal 19 22 5" xfId="13497" xr:uid="{00000000-0005-0000-0000-0000A3310000}"/>
    <cellStyle name="Normal 19 22 5 2" xfId="13498" xr:uid="{00000000-0005-0000-0000-0000A4310000}"/>
    <cellStyle name="Normal 19 22 5 3" xfId="13499" xr:uid="{00000000-0005-0000-0000-0000A5310000}"/>
    <cellStyle name="Normal 19 22 5 4" xfId="13500" xr:uid="{00000000-0005-0000-0000-0000A6310000}"/>
    <cellStyle name="Normal 19 22 5 5" xfId="13501" xr:uid="{00000000-0005-0000-0000-0000A7310000}"/>
    <cellStyle name="Normal 19 22 5 6" xfId="13502" xr:uid="{00000000-0005-0000-0000-0000A8310000}"/>
    <cellStyle name="Normal 19 22 6" xfId="13503" xr:uid="{00000000-0005-0000-0000-0000A9310000}"/>
    <cellStyle name="Normal 19 22 6 2" xfId="13504" xr:uid="{00000000-0005-0000-0000-0000AA310000}"/>
    <cellStyle name="Normal 19 22 6 3" xfId="13505" xr:uid="{00000000-0005-0000-0000-0000AB310000}"/>
    <cellStyle name="Normal 19 22 6 4" xfId="13506" xr:uid="{00000000-0005-0000-0000-0000AC310000}"/>
    <cellStyle name="Normal 19 22 6 5" xfId="13507" xr:uid="{00000000-0005-0000-0000-0000AD310000}"/>
    <cellStyle name="Normal 19 22 6 6" xfId="13508" xr:uid="{00000000-0005-0000-0000-0000AE310000}"/>
    <cellStyle name="Normal 19 22 7" xfId="13509" xr:uid="{00000000-0005-0000-0000-0000AF310000}"/>
    <cellStyle name="Normal 19 22 7 2" xfId="13510" xr:uid="{00000000-0005-0000-0000-0000B0310000}"/>
    <cellStyle name="Normal 19 22 7 3" xfId="13511" xr:uid="{00000000-0005-0000-0000-0000B1310000}"/>
    <cellStyle name="Normal 19 22 7 4" xfId="13512" xr:uid="{00000000-0005-0000-0000-0000B2310000}"/>
    <cellStyle name="Normal 19 22 7 5" xfId="13513" xr:uid="{00000000-0005-0000-0000-0000B3310000}"/>
    <cellStyle name="Normal 19 22 7 6" xfId="13514" xr:uid="{00000000-0005-0000-0000-0000B4310000}"/>
    <cellStyle name="Normal 19 22 8" xfId="13515" xr:uid="{00000000-0005-0000-0000-0000B5310000}"/>
    <cellStyle name="Normal 19 22 8 2" xfId="13516" xr:uid="{00000000-0005-0000-0000-0000B6310000}"/>
    <cellStyle name="Normal 19 22 8 3" xfId="13517" xr:uid="{00000000-0005-0000-0000-0000B7310000}"/>
    <cellStyle name="Normal 19 22 8 4" xfId="13518" xr:uid="{00000000-0005-0000-0000-0000B8310000}"/>
    <cellStyle name="Normal 19 22 8 5" xfId="13519" xr:uid="{00000000-0005-0000-0000-0000B9310000}"/>
    <cellStyle name="Normal 19 22 8 6" xfId="13520" xr:uid="{00000000-0005-0000-0000-0000BA310000}"/>
    <cellStyle name="Normal 19 22 9" xfId="13521" xr:uid="{00000000-0005-0000-0000-0000BB310000}"/>
    <cellStyle name="Normal 19 23" xfId="13522" xr:uid="{00000000-0005-0000-0000-0000BC310000}"/>
    <cellStyle name="Normal 19 23 10" xfId="13523" xr:uid="{00000000-0005-0000-0000-0000BD310000}"/>
    <cellStyle name="Normal 19 23 11" xfId="13524" xr:uid="{00000000-0005-0000-0000-0000BE310000}"/>
    <cellStyle name="Normal 19 23 12" xfId="13525" xr:uid="{00000000-0005-0000-0000-0000BF310000}"/>
    <cellStyle name="Normal 19 23 13" xfId="13526" xr:uid="{00000000-0005-0000-0000-0000C0310000}"/>
    <cellStyle name="Normal 19 23 2" xfId="13527" xr:uid="{00000000-0005-0000-0000-0000C1310000}"/>
    <cellStyle name="Normal 19 23 2 2" xfId="13528" xr:uid="{00000000-0005-0000-0000-0000C2310000}"/>
    <cellStyle name="Normal 19 23 2 3" xfId="13529" xr:uid="{00000000-0005-0000-0000-0000C3310000}"/>
    <cellStyle name="Normal 19 23 2 4" xfId="13530" xr:uid="{00000000-0005-0000-0000-0000C4310000}"/>
    <cellStyle name="Normal 19 23 2 5" xfId="13531" xr:uid="{00000000-0005-0000-0000-0000C5310000}"/>
    <cellStyle name="Normal 19 23 2 6" xfId="13532" xr:uid="{00000000-0005-0000-0000-0000C6310000}"/>
    <cellStyle name="Normal 19 23 3" xfId="13533" xr:uid="{00000000-0005-0000-0000-0000C7310000}"/>
    <cellStyle name="Normal 19 23 3 2" xfId="13534" xr:uid="{00000000-0005-0000-0000-0000C8310000}"/>
    <cellStyle name="Normal 19 23 3 3" xfId="13535" xr:uid="{00000000-0005-0000-0000-0000C9310000}"/>
    <cellStyle name="Normal 19 23 3 4" xfId="13536" xr:uid="{00000000-0005-0000-0000-0000CA310000}"/>
    <cellStyle name="Normal 19 23 3 5" xfId="13537" xr:uid="{00000000-0005-0000-0000-0000CB310000}"/>
    <cellStyle name="Normal 19 23 3 6" xfId="13538" xr:uid="{00000000-0005-0000-0000-0000CC310000}"/>
    <cellStyle name="Normal 19 23 4" xfId="13539" xr:uid="{00000000-0005-0000-0000-0000CD310000}"/>
    <cellStyle name="Normal 19 23 4 2" xfId="13540" xr:uid="{00000000-0005-0000-0000-0000CE310000}"/>
    <cellStyle name="Normal 19 23 4 3" xfId="13541" xr:uid="{00000000-0005-0000-0000-0000CF310000}"/>
    <cellStyle name="Normal 19 23 4 4" xfId="13542" xr:uid="{00000000-0005-0000-0000-0000D0310000}"/>
    <cellStyle name="Normal 19 23 4 5" xfId="13543" xr:uid="{00000000-0005-0000-0000-0000D1310000}"/>
    <cellStyle name="Normal 19 23 4 6" xfId="13544" xr:uid="{00000000-0005-0000-0000-0000D2310000}"/>
    <cellStyle name="Normal 19 23 5" xfId="13545" xr:uid="{00000000-0005-0000-0000-0000D3310000}"/>
    <cellStyle name="Normal 19 23 5 2" xfId="13546" xr:uid="{00000000-0005-0000-0000-0000D4310000}"/>
    <cellStyle name="Normal 19 23 5 3" xfId="13547" xr:uid="{00000000-0005-0000-0000-0000D5310000}"/>
    <cellStyle name="Normal 19 23 5 4" xfId="13548" xr:uid="{00000000-0005-0000-0000-0000D6310000}"/>
    <cellStyle name="Normal 19 23 5 5" xfId="13549" xr:uid="{00000000-0005-0000-0000-0000D7310000}"/>
    <cellStyle name="Normal 19 23 5 6" xfId="13550" xr:uid="{00000000-0005-0000-0000-0000D8310000}"/>
    <cellStyle name="Normal 19 23 6" xfId="13551" xr:uid="{00000000-0005-0000-0000-0000D9310000}"/>
    <cellStyle name="Normal 19 23 6 2" xfId="13552" xr:uid="{00000000-0005-0000-0000-0000DA310000}"/>
    <cellStyle name="Normal 19 23 6 3" xfId="13553" xr:uid="{00000000-0005-0000-0000-0000DB310000}"/>
    <cellStyle name="Normal 19 23 6 4" xfId="13554" xr:uid="{00000000-0005-0000-0000-0000DC310000}"/>
    <cellStyle name="Normal 19 23 6 5" xfId="13555" xr:uid="{00000000-0005-0000-0000-0000DD310000}"/>
    <cellStyle name="Normal 19 23 6 6" xfId="13556" xr:uid="{00000000-0005-0000-0000-0000DE310000}"/>
    <cellStyle name="Normal 19 23 7" xfId="13557" xr:uid="{00000000-0005-0000-0000-0000DF310000}"/>
    <cellStyle name="Normal 19 23 7 2" xfId="13558" xr:uid="{00000000-0005-0000-0000-0000E0310000}"/>
    <cellStyle name="Normal 19 23 7 3" xfId="13559" xr:uid="{00000000-0005-0000-0000-0000E1310000}"/>
    <cellStyle name="Normal 19 23 7 4" xfId="13560" xr:uid="{00000000-0005-0000-0000-0000E2310000}"/>
    <cellStyle name="Normal 19 23 7 5" xfId="13561" xr:uid="{00000000-0005-0000-0000-0000E3310000}"/>
    <cellStyle name="Normal 19 23 7 6" xfId="13562" xr:uid="{00000000-0005-0000-0000-0000E4310000}"/>
    <cellStyle name="Normal 19 23 8" xfId="13563" xr:uid="{00000000-0005-0000-0000-0000E5310000}"/>
    <cellStyle name="Normal 19 23 8 2" xfId="13564" xr:uid="{00000000-0005-0000-0000-0000E6310000}"/>
    <cellStyle name="Normal 19 23 8 3" xfId="13565" xr:uid="{00000000-0005-0000-0000-0000E7310000}"/>
    <cellStyle name="Normal 19 23 8 4" xfId="13566" xr:uid="{00000000-0005-0000-0000-0000E8310000}"/>
    <cellStyle name="Normal 19 23 8 5" xfId="13567" xr:uid="{00000000-0005-0000-0000-0000E9310000}"/>
    <cellStyle name="Normal 19 23 8 6" xfId="13568" xr:uid="{00000000-0005-0000-0000-0000EA310000}"/>
    <cellStyle name="Normal 19 23 9" xfId="13569" xr:uid="{00000000-0005-0000-0000-0000EB310000}"/>
    <cellStyle name="Normal 19 24" xfId="13570" xr:uid="{00000000-0005-0000-0000-0000EC310000}"/>
    <cellStyle name="Normal 19 24 10" xfId="13571" xr:uid="{00000000-0005-0000-0000-0000ED310000}"/>
    <cellStyle name="Normal 19 24 11" xfId="13572" xr:uid="{00000000-0005-0000-0000-0000EE310000}"/>
    <cellStyle name="Normal 19 24 12" xfId="13573" xr:uid="{00000000-0005-0000-0000-0000EF310000}"/>
    <cellStyle name="Normal 19 24 13" xfId="13574" xr:uid="{00000000-0005-0000-0000-0000F0310000}"/>
    <cellStyle name="Normal 19 24 2" xfId="13575" xr:uid="{00000000-0005-0000-0000-0000F1310000}"/>
    <cellStyle name="Normal 19 24 2 2" xfId="13576" xr:uid="{00000000-0005-0000-0000-0000F2310000}"/>
    <cellStyle name="Normal 19 24 2 3" xfId="13577" xr:uid="{00000000-0005-0000-0000-0000F3310000}"/>
    <cellStyle name="Normal 19 24 2 4" xfId="13578" xr:uid="{00000000-0005-0000-0000-0000F4310000}"/>
    <cellStyle name="Normal 19 24 2 5" xfId="13579" xr:uid="{00000000-0005-0000-0000-0000F5310000}"/>
    <cellStyle name="Normal 19 24 2 6" xfId="13580" xr:uid="{00000000-0005-0000-0000-0000F6310000}"/>
    <cellStyle name="Normal 19 24 3" xfId="13581" xr:uid="{00000000-0005-0000-0000-0000F7310000}"/>
    <cellStyle name="Normal 19 24 3 2" xfId="13582" xr:uid="{00000000-0005-0000-0000-0000F8310000}"/>
    <cellStyle name="Normal 19 24 3 3" xfId="13583" xr:uid="{00000000-0005-0000-0000-0000F9310000}"/>
    <cellStyle name="Normal 19 24 3 4" xfId="13584" xr:uid="{00000000-0005-0000-0000-0000FA310000}"/>
    <cellStyle name="Normal 19 24 3 5" xfId="13585" xr:uid="{00000000-0005-0000-0000-0000FB310000}"/>
    <cellStyle name="Normal 19 24 3 6" xfId="13586" xr:uid="{00000000-0005-0000-0000-0000FC310000}"/>
    <cellStyle name="Normal 19 24 4" xfId="13587" xr:uid="{00000000-0005-0000-0000-0000FD310000}"/>
    <cellStyle name="Normal 19 24 4 2" xfId="13588" xr:uid="{00000000-0005-0000-0000-0000FE310000}"/>
    <cellStyle name="Normal 19 24 4 3" xfId="13589" xr:uid="{00000000-0005-0000-0000-0000FF310000}"/>
    <cellStyle name="Normal 19 24 4 4" xfId="13590" xr:uid="{00000000-0005-0000-0000-000000320000}"/>
    <cellStyle name="Normal 19 24 4 5" xfId="13591" xr:uid="{00000000-0005-0000-0000-000001320000}"/>
    <cellStyle name="Normal 19 24 4 6" xfId="13592" xr:uid="{00000000-0005-0000-0000-000002320000}"/>
    <cellStyle name="Normal 19 24 5" xfId="13593" xr:uid="{00000000-0005-0000-0000-000003320000}"/>
    <cellStyle name="Normal 19 24 5 2" xfId="13594" xr:uid="{00000000-0005-0000-0000-000004320000}"/>
    <cellStyle name="Normal 19 24 5 3" xfId="13595" xr:uid="{00000000-0005-0000-0000-000005320000}"/>
    <cellStyle name="Normal 19 24 5 4" xfId="13596" xr:uid="{00000000-0005-0000-0000-000006320000}"/>
    <cellStyle name="Normal 19 24 5 5" xfId="13597" xr:uid="{00000000-0005-0000-0000-000007320000}"/>
    <cellStyle name="Normal 19 24 5 6" xfId="13598" xr:uid="{00000000-0005-0000-0000-000008320000}"/>
    <cellStyle name="Normal 19 24 6" xfId="13599" xr:uid="{00000000-0005-0000-0000-000009320000}"/>
    <cellStyle name="Normal 19 24 6 2" xfId="13600" xr:uid="{00000000-0005-0000-0000-00000A320000}"/>
    <cellStyle name="Normal 19 24 6 3" xfId="13601" xr:uid="{00000000-0005-0000-0000-00000B320000}"/>
    <cellStyle name="Normal 19 24 6 4" xfId="13602" xr:uid="{00000000-0005-0000-0000-00000C320000}"/>
    <cellStyle name="Normal 19 24 6 5" xfId="13603" xr:uid="{00000000-0005-0000-0000-00000D320000}"/>
    <cellStyle name="Normal 19 24 6 6" xfId="13604" xr:uid="{00000000-0005-0000-0000-00000E320000}"/>
    <cellStyle name="Normal 19 24 7" xfId="13605" xr:uid="{00000000-0005-0000-0000-00000F320000}"/>
    <cellStyle name="Normal 19 24 7 2" xfId="13606" xr:uid="{00000000-0005-0000-0000-000010320000}"/>
    <cellStyle name="Normal 19 24 7 3" xfId="13607" xr:uid="{00000000-0005-0000-0000-000011320000}"/>
    <cellStyle name="Normal 19 24 7 4" xfId="13608" xr:uid="{00000000-0005-0000-0000-000012320000}"/>
    <cellStyle name="Normal 19 24 7 5" xfId="13609" xr:uid="{00000000-0005-0000-0000-000013320000}"/>
    <cellStyle name="Normal 19 24 7 6" xfId="13610" xr:uid="{00000000-0005-0000-0000-000014320000}"/>
    <cellStyle name="Normal 19 24 8" xfId="13611" xr:uid="{00000000-0005-0000-0000-000015320000}"/>
    <cellStyle name="Normal 19 24 8 2" xfId="13612" xr:uid="{00000000-0005-0000-0000-000016320000}"/>
    <cellStyle name="Normal 19 24 8 3" xfId="13613" xr:uid="{00000000-0005-0000-0000-000017320000}"/>
    <cellStyle name="Normal 19 24 8 4" xfId="13614" xr:uid="{00000000-0005-0000-0000-000018320000}"/>
    <cellStyle name="Normal 19 24 8 5" xfId="13615" xr:uid="{00000000-0005-0000-0000-000019320000}"/>
    <cellStyle name="Normal 19 24 8 6" xfId="13616" xr:uid="{00000000-0005-0000-0000-00001A320000}"/>
    <cellStyle name="Normal 19 24 9" xfId="13617" xr:uid="{00000000-0005-0000-0000-00001B320000}"/>
    <cellStyle name="Normal 19 25" xfId="13618" xr:uid="{00000000-0005-0000-0000-00001C320000}"/>
    <cellStyle name="Normal 19 25 2" xfId="13619" xr:uid="{00000000-0005-0000-0000-00001D320000}"/>
    <cellStyle name="Normal 19 25 3" xfId="13620" xr:uid="{00000000-0005-0000-0000-00001E320000}"/>
    <cellStyle name="Normal 19 25 4" xfId="13621" xr:uid="{00000000-0005-0000-0000-00001F320000}"/>
    <cellStyle name="Normal 19 25 5" xfId="13622" xr:uid="{00000000-0005-0000-0000-000020320000}"/>
    <cellStyle name="Normal 19 25 6" xfId="13623" xr:uid="{00000000-0005-0000-0000-000021320000}"/>
    <cellStyle name="Normal 19 26" xfId="13624" xr:uid="{00000000-0005-0000-0000-000022320000}"/>
    <cellStyle name="Normal 19 26 2" xfId="13625" xr:uid="{00000000-0005-0000-0000-000023320000}"/>
    <cellStyle name="Normal 19 26 3" xfId="13626" xr:uid="{00000000-0005-0000-0000-000024320000}"/>
    <cellStyle name="Normal 19 26 4" xfId="13627" xr:uid="{00000000-0005-0000-0000-000025320000}"/>
    <cellStyle name="Normal 19 26 5" xfId="13628" xr:uid="{00000000-0005-0000-0000-000026320000}"/>
    <cellStyle name="Normal 19 26 6" xfId="13629" xr:uid="{00000000-0005-0000-0000-000027320000}"/>
    <cellStyle name="Normal 19 27" xfId="13630" xr:uid="{00000000-0005-0000-0000-000028320000}"/>
    <cellStyle name="Normal 19 27 2" xfId="13631" xr:uid="{00000000-0005-0000-0000-000029320000}"/>
    <cellStyle name="Normal 19 27 3" xfId="13632" xr:uid="{00000000-0005-0000-0000-00002A320000}"/>
    <cellStyle name="Normal 19 27 4" xfId="13633" xr:uid="{00000000-0005-0000-0000-00002B320000}"/>
    <cellStyle name="Normal 19 27 5" xfId="13634" xr:uid="{00000000-0005-0000-0000-00002C320000}"/>
    <cellStyle name="Normal 19 27 6" xfId="13635" xr:uid="{00000000-0005-0000-0000-00002D320000}"/>
    <cellStyle name="Normal 19 28" xfId="13636" xr:uid="{00000000-0005-0000-0000-00002E320000}"/>
    <cellStyle name="Normal 19 28 2" xfId="13637" xr:uid="{00000000-0005-0000-0000-00002F320000}"/>
    <cellStyle name="Normal 19 28 3" xfId="13638" xr:uid="{00000000-0005-0000-0000-000030320000}"/>
    <cellStyle name="Normal 19 28 4" xfId="13639" xr:uid="{00000000-0005-0000-0000-000031320000}"/>
    <cellStyle name="Normal 19 28 5" xfId="13640" xr:uid="{00000000-0005-0000-0000-000032320000}"/>
    <cellStyle name="Normal 19 28 6" xfId="13641" xr:uid="{00000000-0005-0000-0000-000033320000}"/>
    <cellStyle name="Normal 19 29" xfId="13642" xr:uid="{00000000-0005-0000-0000-000034320000}"/>
    <cellStyle name="Normal 19 29 2" xfId="13643" xr:uid="{00000000-0005-0000-0000-000035320000}"/>
    <cellStyle name="Normal 19 29 3" xfId="13644" xr:uid="{00000000-0005-0000-0000-000036320000}"/>
    <cellStyle name="Normal 19 29 4" xfId="13645" xr:uid="{00000000-0005-0000-0000-000037320000}"/>
    <cellStyle name="Normal 19 29 5" xfId="13646" xr:uid="{00000000-0005-0000-0000-000038320000}"/>
    <cellStyle name="Normal 19 29 6" xfId="13647" xr:uid="{00000000-0005-0000-0000-000039320000}"/>
    <cellStyle name="Normal 19 3" xfId="13648" xr:uid="{00000000-0005-0000-0000-00003A320000}"/>
    <cellStyle name="Normal 19 3 10" xfId="13649" xr:uid="{00000000-0005-0000-0000-00003B320000}"/>
    <cellStyle name="Normal 19 3 11" xfId="13650" xr:uid="{00000000-0005-0000-0000-00003C320000}"/>
    <cellStyle name="Normal 19 3 12" xfId="13651" xr:uid="{00000000-0005-0000-0000-00003D320000}"/>
    <cellStyle name="Normal 19 3 13" xfId="13652" xr:uid="{00000000-0005-0000-0000-00003E320000}"/>
    <cellStyle name="Normal 19 3 2" xfId="13653" xr:uid="{00000000-0005-0000-0000-00003F320000}"/>
    <cellStyle name="Normal 19 3 2 2" xfId="13654" xr:uid="{00000000-0005-0000-0000-000040320000}"/>
    <cellStyle name="Normal 19 3 2 3" xfId="13655" xr:uid="{00000000-0005-0000-0000-000041320000}"/>
    <cellStyle name="Normal 19 3 2 4" xfId="13656" xr:uid="{00000000-0005-0000-0000-000042320000}"/>
    <cellStyle name="Normal 19 3 2 5" xfId="13657" xr:uid="{00000000-0005-0000-0000-000043320000}"/>
    <cellStyle name="Normal 19 3 2 6" xfId="13658" xr:uid="{00000000-0005-0000-0000-000044320000}"/>
    <cellStyle name="Normal 19 3 3" xfId="13659" xr:uid="{00000000-0005-0000-0000-000045320000}"/>
    <cellStyle name="Normal 19 3 3 2" xfId="13660" xr:uid="{00000000-0005-0000-0000-000046320000}"/>
    <cellStyle name="Normal 19 3 3 3" xfId="13661" xr:uid="{00000000-0005-0000-0000-000047320000}"/>
    <cellStyle name="Normal 19 3 3 4" xfId="13662" xr:uid="{00000000-0005-0000-0000-000048320000}"/>
    <cellStyle name="Normal 19 3 3 5" xfId="13663" xr:uid="{00000000-0005-0000-0000-000049320000}"/>
    <cellStyle name="Normal 19 3 3 6" xfId="13664" xr:uid="{00000000-0005-0000-0000-00004A320000}"/>
    <cellStyle name="Normal 19 3 4" xfId="13665" xr:uid="{00000000-0005-0000-0000-00004B320000}"/>
    <cellStyle name="Normal 19 3 4 2" xfId="13666" xr:uid="{00000000-0005-0000-0000-00004C320000}"/>
    <cellStyle name="Normal 19 3 4 3" xfId="13667" xr:uid="{00000000-0005-0000-0000-00004D320000}"/>
    <cellStyle name="Normal 19 3 4 4" xfId="13668" xr:uid="{00000000-0005-0000-0000-00004E320000}"/>
    <cellStyle name="Normal 19 3 4 5" xfId="13669" xr:uid="{00000000-0005-0000-0000-00004F320000}"/>
    <cellStyle name="Normal 19 3 4 6" xfId="13670" xr:uid="{00000000-0005-0000-0000-000050320000}"/>
    <cellStyle name="Normal 19 3 5" xfId="13671" xr:uid="{00000000-0005-0000-0000-000051320000}"/>
    <cellStyle name="Normal 19 3 5 2" xfId="13672" xr:uid="{00000000-0005-0000-0000-000052320000}"/>
    <cellStyle name="Normal 19 3 5 3" xfId="13673" xr:uid="{00000000-0005-0000-0000-000053320000}"/>
    <cellStyle name="Normal 19 3 5 4" xfId="13674" xr:uid="{00000000-0005-0000-0000-000054320000}"/>
    <cellStyle name="Normal 19 3 5 5" xfId="13675" xr:uid="{00000000-0005-0000-0000-000055320000}"/>
    <cellStyle name="Normal 19 3 5 6" xfId="13676" xr:uid="{00000000-0005-0000-0000-000056320000}"/>
    <cellStyle name="Normal 19 3 6" xfId="13677" xr:uid="{00000000-0005-0000-0000-000057320000}"/>
    <cellStyle name="Normal 19 3 6 2" xfId="13678" xr:uid="{00000000-0005-0000-0000-000058320000}"/>
    <cellStyle name="Normal 19 3 6 3" xfId="13679" xr:uid="{00000000-0005-0000-0000-000059320000}"/>
    <cellStyle name="Normal 19 3 6 4" xfId="13680" xr:uid="{00000000-0005-0000-0000-00005A320000}"/>
    <cellStyle name="Normal 19 3 6 5" xfId="13681" xr:uid="{00000000-0005-0000-0000-00005B320000}"/>
    <cellStyle name="Normal 19 3 6 6" xfId="13682" xr:uid="{00000000-0005-0000-0000-00005C320000}"/>
    <cellStyle name="Normal 19 3 7" xfId="13683" xr:uid="{00000000-0005-0000-0000-00005D320000}"/>
    <cellStyle name="Normal 19 3 7 2" xfId="13684" xr:uid="{00000000-0005-0000-0000-00005E320000}"/>
    <cellStyle name="Normal 19 3 7 3" xfId="13685" xr:uid="{00000000-0005-0000-0000-00005F320000}"/>
    <cellStyle name="Normal 19 3 7 4" xfId="13686" xr:uid="{00000000-0005-0000-0000-000060320000}"/>
    <cellStyle name="Normal 19 3 7 5" xfId="13687" xr:uid="{00000000-0005-0000-0000-000061320000}"/>
    <cellStyle name="Normal 19 3 7 6" xfId="13688" xr:uid="{00000000-0005-0000-0000-000062320000}"/>
    <cellStyle name="Normal 19 3 8" xfId="13689" xr:uid="{00000000-0005-0000-0000-000063320000}"/>
    <cellStyle name="Normal 19 3 8 2" xfId="13690" xr:uid="{00000000-0005-0000-0000-000064320000}"/>
    <cellStyle name="Normal 19 3 8 3" xfId="13691" xr:uid="{00000000-0005-0000-0000-000065320000}"/>
    <cellStyle name="Normal 19 3 8 4" xfId="13692" xr:uid="{00000000-0005-0000-0000-000066320000}"/>
    <cellStyle name="Normal 19 3 8 5" xfId="13693" xr:uid="{00000000-0005-0000-0000-000067320000}"/>
    <cellStyle name="Normal 19 3 8 6" xfId="13694" xr:uid="{00000000-0005-0000-0000-000068320000}"/>
    <cellStyle name="Normal 19 3 9" xfId="13695" xr:uid="{00000000-0005-0000-0000-000069320000}"/>
    <cellStyle name="Normal 19 30" xfId="13696" xr:uid="{00000000-0005-0000-0000-00006A320000}"/>
    <cellStyle name="Normal 19 30 2" xfId="13697" xr:uid="{00000000-0005-0000-0000-00006B320000}"/>
    <cellStyle name="Normal 19 30 3" xfId="13698" xr:uid="{00000000-0005-0000-0000-00006C320000}"/>
    <cellStyle name="Normal 19 30 4" xfId="13699" xr:uid="{00000000-0005-0000-0000-00006D320000}"/>
    <cellStyle name="Normal 19 30 5" xfId="13700" xr:uid="{00000000-0005-0000-0000-00006E320000}"/>
    <cellStyle name="Normal 19 30 6" xfId="13701" xr:uid="{00000000-0005-0000-0000-00006F320000}"/>
    <cellStyle name="Normal 19 31" xfId="13702" xr:uid="{00000000-0005-0000-0000-000070320000}"/>
    <cellStyle name="Normal 19 31 2" xfId="13703" xr:uid="{00000000-0005-0000-0000-000071320000}"/>
    <cellStyle name="Normal 19 31 3" xfId="13704" xr:uid="{00000000-0005-0000-0000-000072320000}"/>
    <cellStyle name="Normal 19 31 4" xfId="13705" xr:uid="{00000000-0005-0000-0000-000073320000}"/>
    <cellStyle name="Normal 19 31 5" xfId="13706" xr:uid="{00000000-0005-0000-0000-000074320000}"/>
    <cellStyle name="Normal 19 31 6" xfId="13707" xr:uid="{00000000-0005-0000-0000-000075320000}"/>
    <cellStyle name="Normal 19 32" xfId="13708" xr:uid="{00000000-0005-0000-0000-000076320000}"/>
    <cellStyle name="Normal 19 33" xfId="13709" xr:uid="{00000000-0005-0000-0000-000077320000}"/>
    <cellStyle name="Normal 19 34" xfId="13710" xr:uid="{00000000-0005-0000-0000-000078320000}"/>
    <cellStyle name="Normal 19 35" xfId="13711" xr:uid="{00000000-0005-0000-0000-000079320000}"/>
    <cellStyle name="Normal 19 36" xfId="13712" xr:uid="{00000000-0005-0000-0000-00007A320000}"/>
    <cellStyle name="Normal 19 37" xfId="13713" xr:uid="{00000000-0005-0000-0000-00007B320000}"/>
    <cellStyle name="Normal 19 4" xfId="13714" xr:uid="{00000000-0005-0000-0000-00007C320000}"/>
    <cellStyle name="Normal 19 4 10" xfId="13715" xr:uid="{00000000-0005-0000-0000-00007D320000}"/>
    <cellStyle name="Normal 19 4 11" xfId="13716" xr:uid="{00000000-0005-0000-0000-00007E320000}"/>
    <cellStyle name="Normal 19 4 12" xfId="13717" xr:uid="{00000000-0005-0000-0000-00007F320000}"/>
    <cellStyle name="Normal 19 4 13" xfId="13718" xr:uid="{00000000-0005-0000-0000-000080320000}"/>
    <cellStyle name="Normal 19 4 2" xfId="13719" xr:uid="{00000000-0005-0000-0000-000081320000}"/>
    <cellStyle name="Normal 19 4 2 2" xfId="13720" xr:uid="{00000000-0005-0000-0000-000082320000}"/>
    <cellStyle name="Normal 19 4 2 3" xfId="13721" xr:uid="{00000000-0005-0000-0000-000083320000}"/>
    <cellStyle name="Normal 19 4 2 4" xfId="13722" xr:uid="{00000000-0005-0000-0000-000084320000}"/>
    <cellStyle name="Normal 19 4 2 5" xfId="13723" xr:uid="{00000000-0005-0000-0000-000085320000}"/>
    <cellStyle name="Normal 19 4 2 6" xfId="13724" xr:uid="{00000000-0005-0000-0000-000086320000}"/>
    <cellStyle name="Normal 19 4 3" xfId="13725" xr:uid="{00000000-0005-0000-0000-000087320000}"/>
    <cellStyle name="Normal 19 4 3 2" xfId="13726" xr:uid="{00000000-0005-0000-0000-000088320000}"/>
    <cellStyle name="Normal 19 4 3 3" xfId="13727" xr:uid="{00000000-0005-0000-0000-000089320000}"/>
    <cellStyle name="Normal 19 4 3 4" xfId="13728" xr:uid="{00000000-0005-0000-0000-00008A320000}"/>
    <cellStyle name="Normal 19 4 3 5" xfId="13729" xr:uid="{00000000-0005-0000-0000-00008B320000}"/>
    <cellStyle name="Normal 19 4 3 6" xfId="13730" xr:uid="{00000000-0005-0000-0000-00008C320000}"/>
    <cellStyle name="Normal 19 4 4" xfId="13731" xr:uid="{00000000-0005-0000-0000-00008D320000}"/>
    <cellStyle name="Normal 19 4 4 2" xfId="13732" xr:uid="{00000000-0005-0000-0000-00008E320000}"/>
    <cellStyle name="Normal 19 4 4 3" xfId="13733" xr:uid="{00000000-0005-0000-0000-00008F320000}"/>
    <cellStyle name="Normal 19 4 4 4" xfId="13734" xr:uid="{00000000-0005-0000-0000-000090320000}"/>
    <cellStyle name="Normal 19 4 4 5" xfId="13735" xr:uid="{00000000-0005-0000-0000-000091320000}"/>
    <cellStyle name="Normal 19 4 4 6" xfId="13736" xr:uid="{00000000-0005-0000-0000-000092320000}"/>
    <cellStyle name="Normal 19 4 5" xfId="13737" xr:uid="{00000000-0005-0000-0000-000093320000}"/>
    <cellStyle name="Normal 19 4 5 2" xfId="13738" xr:uid="{00000000-0005-0000-0000-000094320000}"/>
    <cellStyle name="Normal 19 4 5 3" xfId="13739" xr:uid="{00000000-0005-0000-0000-000095320000}"/>
    <cellStyle name="Normal 19 4 5 4" xfId="13740" xr:uid="{00000000-0005-0000-0000-000096320000}"/>
    <cellStyle name="Normal 19 4 5 5" xfId="13741" xr:uid="{00000000-0005-0000-0000-000097320000}"/>
    <cellStyle name="Normal 19 4 5 6" xfId="13742" xr:uid="{00000000-0005-0000-0000-000098320000}"/>
    <cellStyle name="Normal 19 4 6" xfId="13743" xr:uid="{00000000-0005-0000-0000-000099320000}"/>
    <cellStyle name="Normal 19 4 6 2" xfId="13744" xr:uid="{00000000-0005-0000-0000-00009A320000}"/>
    <cellStyle name="Normal 19 4 6 3" xfId="13745" xr:uid="{00000000-0005-0000-0000-00009B320000}"/>
    <cellStyle name="Normal 19 4 6 4" xfId="13746" xr:uid="{00000000-0005-0000-0000-00009C320000}"/>
    <cellStyle name="Normal 19 4 6 5" xfId="13747" xr:uid="{00000000-0005-0000-0000-00009D320000}"/>
    <cellStyle name="Normal 19 4 6 6" xfId="13748" xr:uid="{00000000-0005-0000-0000-00009E320000}"/>
    <cellStyle name="Normal 19 4 7" xfId="13749" xr:uid="{00000000-0005-0000-0000-00009F320000}"/>
    <cellStyle name="Normal 19 4 7 2" xfId="13750" xr:uid="{00000000-0005-0000-0000-0000A0320000}"/>
    <cellStyle name="Normal 19 4 7 3" xfId="13751" xr:uid="{00000000-0005-0000-0000-0000A1320000}"/>
    <cellStyle name="Normal 19 4 7 4" xfId="13752" xr:uid="{00000000-0005-0000-0000-0000A2320000}"/>
    <cellStyle name="Normal 19 4 7 5" xfId="13753" xr:uid="{00000000-0005-0000-0000-0000A3320000}"/>
    <cellStyle name="Normal 19 4 7 6" xfId="13754" xr:uid="{00000000-0005-0000-0000-0000A4320000}"/>
    <cellStyle name="Normal 19 4 8" xfId="13755" xr:uid="{00000000-0005-0000-0000-0000A5320000}"/>
    <cellStyle name="Normal 19 4 8 2" xfId="13756" xr:uid="{00000000-0005-0000-0000-0000A6320000}"/>
    <cellStyle name="Normal 19 4 8 3" xfId="13757" xr:uid="{00000000-0005-0000-0000-0000A7320000}"/>
    <cellStyle name="Normal 19 4 8 4" xfId="13758" xr:uid="{00000000-0005-0000-0000-0000A8320000}"/>
    <cellStyle name="Normal 19 4 8 5" xfId="13759" xr:uid="{00000000-0005-0000-0000-0000A9320000}"/>
    <cellStyle name="Normal 19 4 8 6" xfId="13760" xr:uid="{00000000-0005-0000-0000-0000AA320000}"/>
    <cellStyle name="Normal 19 4 9" xfId="13761" xr:uid="{00000000-0005-0000-0000-0000AB320000}"/>
    <cellStyle name="Normal 19 5" xfId="13762" xr:uid="{00000000-0005-0000-0000-0000AC320000}"/>
    <cellStyle name="Normal 19 5 10" xfId="13763" xr:uid="{00000000-0005-0000-0000-0000AD320000}"/>
    <cellStyle name="Normal 19 5 11" xfId="13764" xr:uid="{00000000-0005-0000-0000-0000AE320000}"/>
    <cellStyle name="Normal 19 5 12" xfId="13765" xr:uid="{00000000-0005-0000-0000-0000AF320000}"/>
    <cellStyle name="Normal 19 5 13" xfId="13766" xr:uid="{00000000-0005-0000-0000-0000B0320000}"/>
    <cellStyle name="Normal 19 5 2" xfId="13767" xr:uid="{00000000-0005-0000-0000-0000B1320000}"/>
    <cellStyle name="Normal 19 5 2 2" xfId="13768" xr:uid="{00000000-0005-0000-0000-0000B2320000}"/>
    <cellStyle name="Normal 19 5 2 3" xfId="13769" xr:uid="{00000000-0005-0000-0000-0000B3320000}"/>
    <cellStyle name="Normal 19 5 2 4" xfId="13770" xr:uid="{00000000-0005-0000-0000-0000B4320000}"/>
    <cellStyle name="Normal 19 5 2 5" xfId="13771" xr:uid="{00000000-0005-0000-0000-0000B5320000}"/>
    <cellStyle name="Normal 19 5 2 6" xfId="13772" xr:uid="{00000000-0005-0000-0000-0000B6320000}"/>
    <cellStyle name="Normal 19 5 3" xfId="13773" xr:uid="{00000000-0005-0000-0000-0000B7320000}"/>
    <cellStyle name="Normal 19 5 3 2" xfId="13774" xr:uid="{00000000-0005-0000-0000-0000B8320000}"/>
    <cellStyle name="Normal 19 5 3 3" xfId="13775" xr:uid="{00000000-0005-0000-0000-0000B9320000}"/>
    <cellStyle name="Normal 19 5 3 4" xfId="13776" xr:uid="{00000000-0005-0000-0000-0000BA320000}"/>
    <cellStyle name="Normal 19 5 3 5" xfId="13777" xr:uid="{00000000-0005-0000-0000-0000BB320000}"/>
    <cellStyle name="Normal 19 5 3 6" xfId="13778" xr:uid="{00000000-0005-0000-0000-0000BC320000}"/>
    <cellStyle name="Normal 19 5 4" xfId="13779" xr:uid="{00000000-0005-0000-0000-0000BD320000}"/>
    <cellStyle name="Normal 19 5 4 2" xfId="13780" xr:uid="{00000000-0005-0000-0000-0000BE320000}"/>
    <cellStyle name="Normal 19 5 4 3" xfId="13781" xr:uid="{00000000-0005-0000-0000-0000BF320000}"/>
    <cellStyle name="Normal 19 5 4 4" xfId="13782" xr:uid="{00000000-0005-0000-0000-0000C0320000}"/>
    <cellStyle name="Normal 19 5 4 5" xfId="13783" xr:uid="{00000000-0005-0000-0000-0000C1320000}"/>
    <cellStyle name="Normal 19 5 4 6" xfId="13784" xr:uid="{00000000-0005-0000-0000-0000C2320000}"/>
    <cellStyle name="Normal 19 5 5" xfId="13785" xr:uid="{00000000-0005-0000-0000-0000C3320000}"/>
    <cellStyle name="Normal 19 5 5 2" xfId="13786" xr:uid="{00000000-0005-0000-0000-0000C4320000}"/>
    <cellStyle name="Normal 19 5 5 3" xfId="13787" xr:uid="{00000000-0005-0000-0000-0000C5320000}"/>
    <cellStyle name="Normal 19 5 5 4" xfId="13788" xr:uid="{00000000-0005-0000-0000-0000C6320000}"/>
    <cellStyle name="Normal 19 5 5 5" xfId="13789" xr:uid="{00000000-0005-0000-0000-0000C7320000}"/>
    <cellStyle name="Normal 19 5 5 6" xfId="13790" xr:uid="{00000000-0005-0000-0000-0000C8320000}"/>
    <cellStyle name="Normal 19 5 6" xfId="13791" xr:uid="{00000000-0005-0000-0000-0000C9320000}"/>
    <cellStyle name="Normal 19 5 6 2" xfId="13792" xr:uid="{00000000-0005-0000-0000-0000CA320000}"/>
    <cellStyle name="Normal 19 5 6 3" xfId="13793" xr:uid="{00000000-0005-0000-0000-0000CB320000}"/>
    <cellStyle name="Normal 19 5 6 4" xfId="13794" xr:uid="{00000000-0005-0000-0000-0000CC320000}"/>
    <cellStyle name="Normal 19 5 6 5" xfId="13795" xr:uid="{00000000-0005-0000-0000-0000CD320000}"/>
    <cellStyle name="Normal 19 5 6 6" xfId="13796" xr:uid="{00000000-0005-0000-0000-0000CE320000}"/>
    <cellStyle name="Normal 19 5 7" xfId="13797" xr:uid="{00000000-0005-0000-0000-0000CF320000}"/>
    <cellStyle name="Normal 19 5 7 2" xfId="13798" xr:uid="{00000000-0005-0000-0000-0000D0320000}"/>
    <cellStyle name="Normal 19 5 7 3" xfId="13799" xr:uid="{00000000-0005-0000-0000-0000D1320000}"/>
    <cellStyle name="Normal 19 5 7 4" xfId="13800" xr:uid="{00000000-0005-0000-0000-0000D2320000}"/>
    <cellStyle name="Normal 19 5 7 5" xfId="13801" xr:uid="{00000000-0005-0000-0000-0000D3320000}"/>
    <cellStyle name="Normal 19 5 7 6" xfId="13802" xr:uid="{00000000-0005-0000-0000-0000D4320000}"/>
    <cellStyle name="Normal 19 5 8" xfId="13803" xr:uid="{00000000-0005-0000-0000-0000D5320000}"/>
    <cellStyle name="Normal 19 5 8 2" xfId="13804" xr:uid="{00000000-0005-0000-0000-0000D6320000}"/>
    <cellStyle name="Normal 19 5 8 3" xfId="13805" xr:uid="{00000000-0005-0000-0000-0000D7320000}"/>
    <cellStyle name="Normal 19 5 8 4" xfId="13806" xr:uid="{00000000-0005-0000-0000-0000D8320000}"/>
    <cellStyle name="Normal 19 5 8 5" xfId="13807" xr:uid="{00000000-0005-0000-0000-0000D9320000}"/>
    <cellStyle name="Normal 19 5 8 6" xfId="13808" xr:uid="{00000000-0005-0000-0000-0000DA320000}"/>
    <cellStyle name="Normal 19 5 9" xfId="13809" xr:uid="{00000000-0005-0000-0000-0000DB320000}"/>
    <cellStyle name="Normal 19 6" xfId="13810" xr:uid="{00000000-0005-0000-0000-0000DC320000}"/>
    <cellStyle name="Normal 19 6 10" xfId="13811" xr:uid="{00000000-0005-0000-0000-0000DD320000}"/>
    <cellStyle name="Normal 19 6 11" xfId="13812" xr:uid="{00000000-0005-0000-0000-0000DE320000}"/>
    <cellStyle name="Normal 19 6 12" xfId="13813" xr:uid="{00000000-0005-0000-0000-0000DF320000}"/>
    <cellStyle name="Normal 19 6 13" xfId="13814" xr:uid="{00000000-0005-0000-0000-0000E0320000}"/>
    <cellStyle name="Normal 19 6 2" xfId="13815" xr:uid="{00000000-0005-0000-0000-0000E1320000}"/>
    <cellStyle name="Normal 19 6 2 2" xfId="13816" xr:uid="{00000000-0005-0000-0000-0000E2320000}"/>
    <cellStyle name="Normal 19 6 2 3" xfId="13817" xr:uid="{00000000-0005-0000-0000-0000E3320000}"/>
    <cellStyle name="Normal 19 6 2 4" xfId="13818" xr:uid="{00000000-0005-0000-0000-0000E4320000}"/>
    <cellStyle name="Normal 19 6 2 5" xfId="13819" xr:uid="{00000000-0005-0000-0000-0000E5320000}"/>
    <cellStyle name="Normal 19 6 2 6" xfId="13820" xr:uid="{00000000-0005-0000-0000-0000E6320000}"/>
    <cellStyle name="Normal 19 6 3" xfId="13821" xr:uid="{00000000-0005-0000-0000-0000E7320000}"/>
    <cellStyle name="Normal 19 6 3 2" xfId="13822" xr:uid="{00000000-0005-0000-0000-0000E8320000}"/>
    <cellStyle name="Normal 19 6 3 3" xfId="13823" xr:uid="{00000000-0005-0000-0000-0000E9320000}"/>
    <cellStyle name="Normal 19 6 3 4" xfId="13824" xr:uid="{00000000-0005-0000-0000-0000EA320000}"/>
    <cellStyle name="Normal 19 6 3 5" xfId="13825" xr:uid="{00000000-0005-0000-0000-0000EB320000}"/>
    <cellStyle name="Normal 19 6 3 6" xfId="13826" xr:uid="{00000000-0005-0000-0000-0000EC320000}"/>
    <cellStyle name="Normal 19 6 4" xfId="13827" xr:uid="{00000000-0005-0000-0000-0000ED320000}"/>
    <cellStyle name="Normal 19 6 4 2" xfId="13828" xr:uid="{00000000-0005-0000-0000-0000EE320000}"/>
    <cellStyle name="Normal 19 6 4 3" xfId="13829" xr:uid="{00000000-0005-0000-0000-0000EF320000}"/>
    <cellStyle name="Normal 19 6 4 4" xfId="13830" xr:uid="{00000000-0005-0000-0000-0000F0320000}"/>
    <cellStyle name="Normal 19 6 4 5" xfId="13831" xr:uid="{00000000-0005-0000-0000-0000F1320000}"/>
    <cellStyle name="Normal 19 6 4 6" xfId="13832" xr:uid="{00000000-0005-0000-0000-0000F2320000}"/>
    <cellStyle name="Normal 19 6 5" xfId="13833" xr:uid="{00000000-0005-0000-0000-0000F3320000}"/>
    <cellStyle name="Normal 19 6 5 2" xfId="13834" xr:uid="{00000000-0005-0000-0000-0000F4320000}"/>
    <cellStyle name="Normal 19 6 5 3" xfId="13835" xr:uid="{00000000-0005-0000-0000-0000F5320000}"/>
    <cellStyle name="Normal 19 6 5 4" xfId="13836" xr:uid="{00000000-0005-0000-0000-0000F6320000}"/>
    <cellStyle name="Normal 19 6 5 5" xfId="13837" xr:uid="{00000000-0005-0000-0000-0000F7320000}"/>
    <cellStyle name="Normal 19 6 5 6" xfId="13838" xr:uid="{00000000-0005-0000-0000-0000F8320000}"/>
    <cellStyle name="Normal 19 6 6" xfId="13839" xr:uid="{00000000-0005-0000-0000-0000F9320000}"/>
    <cellStyle name="Normal 19 6 6 2" xfId="13840" xr:uid="{00000000-0005-0000-0000-0000FA320000}"/>
    <cellStyle name="Normal 19 6 6 3" xfId="13841" xr:uid="{00000000-0005-0000-0000-0000FB320000}"/>
    <cellStyle name="Normal 19 6 6 4" xfId="13842" xr:uid="{00000000-0005-0000-0000-0000FC320000}"/>
    <cellStyle name="Normal 19 6 6 5" xfId="13843" xr:uid="{00000000-0005-0000-0000-0000FD320000}"/>
    <cellStyle name="Normal 19 6 6 6" xfId="13844" xr:uid="{00000000-0005-0000-0000-0000FE320000}"/>
    <cellStyle name="Normal 19 6 7" xfId="13845" xr:uid="{00000000-0005-0000-0000-0000FF320000}"/>
    <cellStyle name="Normal 19 6 7 2" xfId="13846" xr:uid="{00000000-0005-0000-0000-000000330000}"/>
    <cellStyle name="Normal 19 6 7 3" xfId="13847" xr:uid="{00000000-0005-0000-0000-000001330000}"/>
    <cellStyle name="Normal 19 6 7 4" xfId="13848" xr:uid="{00000000-0005-0000-0000-000002330000}"/>
    <cellStyle name="Normal 19 6 7 5" xfId="13849" xr:uid="{00000000-0005-0000-0000-000003330000}"/>
    <cellStyle name="Normal 19 6 7 6" xfId="13850" xr:uid="{00000000-0005-0000-0000-000004330000}"/>
    <cellStyle name="Normal 19 6 8" xfId="13851" xr:uid="{00000000-0005-0000-0000-000005330000}"/>
    <cellStyle name="Normal 19 6 8 2" xfId="13852" xr:uid="{00000000-0005-0000-0000-000006330000}"/>
    <cellStyle name="Normal 19 6 8 3" xfId="13853" xr:uid="{00000000-0005-0000-0000-000007330000}"/>
    <cellStyle name="Normal 19 6 8 4" xfId="13854" xr:uid="{00000000-0005-0000-0000-000008330000}"/>
    <cellStyle name="Normal 19 6 8 5" xfId="13855" xr:uid="{00000000-0005-0000-0000-000009330000}"/>
    <cellStyle name="Normal 19 6 8 6" xfId="13856" xr:uid="{00000000-0005-0000-0000-00000A330000}"/>
    <cellStyle name="Normal 19 6 9" xfId="13857" xr:uid="{00000000-0005-0000-0000-00000B330000}"/>
    <cellStyle name="Normal 19 7" xfId="13858" xr:uid="{00000000-0005-0000-0000-00000C330000}"/>
    <cellStyle name="Normal 19 7 10" xfId="13859" xr:uid="{00000000-0005-0000-0000-00000D330000}"/>
    <cellStyle name="Normal 19 7 11" xfId="13860" xr:uid="{00000000-0005-0000-0000-00000E330000}"/>
    <cellStyle name="Normal 19 7 12" xfId="13861" xr:uid="{00000000-0005-0000-0000-00000F330000}"/>
    <cellStyle name="Normal 19 7 13" xfId="13862" xr:uid="{00000000-0005-0000-0000-000010330000}"/>
    <cellStyle name="Normal 19 7 2" xfId="13863" xr:uid="{00000000-0005-0000-0000-000011330000}"/>
    <cellStyle name="Normal 19 7 2 2" xfId="13864" xr:uid="{00000000-0005-0000-0000-000012330000}"/>
    <cellStyle name="Normal 19 7 2 3" xfId="13865" xr:uid="{00000000-0005-0000-0000-000013330000}"/>
    <cellStyle name="Normal 19 7 2 4" xfId="13866" xr:uid="{00000000-0005-0000-0000-000014330000}"/>
    <cellStyle name="Normal 19 7 2 5" xfId="13867" xr:uid="{00000000-0005-0000-0000-000015330000}"/>
    <cellStyle name="Normal 19 7 2 6" xfId="13868" xr:uid="{00000000-0005-0000-0000-000016330000}"/>
    <cellStyle name="Normal 19 7 3" xfId="13869" xr:uid="{00000000-0005-0000-0000-000017330000}"/>
    <cellStyle name="Normal 19 7 3 2" xfId="13870" xr:uid="{00000000-0005-0000-0000-000018330000}"/>
    <cellStyle name="Normal 19 7 3 3" xfId="13871" xr:uid="{00000000-0005-0000-0000-000019330000}"/>
    <cellStyle name="Normal 19 7 3 4" xfId="13872" xr:uid="{00000000-0005-0000-0000-00001A330000}"/>
    <cellStyle name="Normal 19 7 3 5" xfId="13873" xr:uid="{00000000-0005-0000-0000-00001B330000}"/>
    <cellStyle name="Normal 19 7 3 6" xfId="13874" xr:uid="{00000000-0005-0000-0000-00001C330000}"/>
    <cellStyle name="Normal 19 7 4" xfId="13875" xr:uid="{00000000-0005-0000-0000-00001D330000}"/>
    <cellStyle name="Normal 19 7 4 2" xfId="13876" xr:uid="{00000000-0005-0000-0000-00001E330000}"/>
    <cellStyle name="Normal 19 7 4 3" xfId="13877" xr:uid="{00000000-0005-0000-0000-00001F330000}"/>
    <cellStyle name="Normal 19 7 4 4" xfId="13878" xr:uid="{00000000-0005-0000-0000-000020330000}"/>
    <cellStyle name="Normal 19 7 4 5" xfId="13879" xr:uid="{00000000-0005-0000-0000-000021330000}"/>
    <cellStyle name="Normal 19 7 4 6" xfId="13880" xr:uid="{00000000-0005-0000-0000-000022330000}"/>
    <cellStyle name="Normal 19 7 5" xfId="13881" xr:uid="{00000000-0005-0000-0000-000023330000}"/>
    <cellStyle name="Normal 19 7 5 2" xfId="13882" xr:uid="{00000000-0005-0000-0000-000024330000}"/>
    <cellStyle name="Normal 19 7 5 3" xfId="13883" xr:uid="{00000000-0005-0000-0000-000025330000}"/>
    <cellStyle name="Normal 19 7 5 4" xfId="13884" xr:uid="{00000000-0005-0000-0000-000026330000}"/>
    <cellStyle name="Normal 19 7 5 5" xfId="13885" xr:uid="{00000000-0005-0000-0000-000027330000}"/>
    <cellStyle name="Normal 19 7 5 6" xfId="13886" xr:uid="{00000000-0005-0000-0000-000028330000}"/>
    <cellStyle name="Normal 19 7 6" xfId="13887" xr:uid="{00000000-0005-0000-0000-000029330000}"/>
    <cellStyle name="Normal 19 7 6 2" xfId="13888" xr:uid="{00000000-0005-0000-0000-00002A330000}"/>
    <cellStyle name="Normal 19 7 6 3" xfId="13889" xr:uid="{00000000-0005-0000-0000-00002B330000}"/>
    <cellStyle name="Normal 19 7 6 4" xfId="13890" xr:uid="{00000000-0005-0000-0000-00002C330000}"/>
    <cellStyle name="Normal 19 7 6 5" xfId="13891" xr:uid="{00000000-0005-0000-0000-00002D330000}"/>
    <cellStyle name="Normal 19 7 6 6" xfId="13892" xr:uid="{00000000-0005-0000-0000-00002E330000}"/>
    <cellStyle name="Normal 19 7 7" xfId="13893" xr:uid="{00000000-0005-0000-0000-00002F330000}"/>
    <cellStyle name="Normal 19 7 7 2" xfId="13894" xr:uid="{00000000-0005-0000-0000-000030330000}"/>
    <cellStyle name="Normal 19 7 7 3" xfId="13895" xr:uid="{00000000-0005-0000-0000-000031330000}"/>
    <cellStyle name="Normal 19 7 7 4" xfId="13896" xr:uid="{00000000-0005-0000-0000-000032330000}"/>
    <cellStyle name="Normal 19 7 7 5" xfId="13897" xr:uid="{00000000-0005-0000-0000-000033330000}"/>
    <cellStyle name="Normal 19 7 7 6" xfId="13898" xr:uid="{00000000-0005-0000-0000-000034330000}"/>
    <cellStyle name="Normal 19 7 8" xfId="13899" xr:uid="{00000000-0005-0000-0000-000035330000}"/>
    <cellStyle name="Normal 19 7 8 2" xfId="13900" xr:uid="{00000000-0005-0000-0000-000036330000}"/>
    <cellStyle name="Normal 19 7 8 3" xfId="13901" xr:uid="{00000000-0005-0000-0000-000037330000}"/>
    <cellStyle name="Normal 19 7 8 4" xfId="13902" xr:uid="{00000000-0005-0000-0000-000038330000}"/>
    <cellStyle name="Normal 19 7 8 5" xfId="13903" xr:uid="{00000000-0005-0000-0000-000039330000}"/>
    <cellStyle name="Normal 19 7 8 6" xfId="13904" xr:uid="{00000000-0005-0000-0000-00003A330000}"/>
    <cellStyle name="Normal 19 7 9" xfId="13905" xr:uid="{00000000-0005-0000-0000-00003B330000}"/>
    <cellStyle name="Normal 19 8" xfId="13906" xr:uid="{00000000-0005-0000-0000-00003C330000}"/>
    <cellStyle name="Normal 19 8 10" xfId="13907" xr:uid="{00000000-0005-0000-0000-00003D330000}"/>
    <cellStyle name="Normal 19 8 11" xfId="13908" xr:uid="{00000000-0005-0000-0000-00003E330000}"/>
    <cellStyle name="Normal 19 8 12" xfId="13909" xr:uid="{00000000-0005-0000-0000-00003F330000}"/>
    <cellStyle name="Normal 19 8 13" xfId="13910" xr:uid="{00000000-0005-0000-0000-000040330000}"/>
    <cellStyle name="Normal 19 8 2" xfId="13911" xr:uid="{00000000-0005-0000-0000-000041330000}"/>
    <cellStyle name="Normal 19 8 2 2" xfId="13912" xr:uid="{00000000-0005-0000-0000-000042330000}"/>
    <cellStyle name="Normal 19 8 2 3" xfId="13913" xr:uid="{00000000-0005-0000-0000-000043330000}"/>
    <cellStyle name="Normal 19 8 2 4" xfId="13914" xr:uid="{00000000-0005-0000-0000-000044330000}"/>
    <cellStyle name="Normal 19 8 2 5" xfId="13915" xr:uid="{00000000-0005-0000-0000-000045330000}"/>
    <cellStyle name="Normal 19 8 2 6" xfId="13916" xr:uid="{00000000-0005-0000-0000-000046330000}"/>
    <cellStyle name="Normal 19 8 3" xfId="13917" xr:uid="{00000000-0005-0000-0000-000047330000}"/>
    <cellStyle name="Normal 19 8 3 2" xfId="13918" xr:uid="{00000000-0005-0000-0000-000048330000}"/>
    <cellStyle name="Normal 19 8 3 3" xfId="13919" xr:uid="{00000000-0005-0000-0000-000049330000}"/>
    <cellStyle name="Normal 19 8 3 4" xfId="13920" xr:uid="{00000000-0005-0000-0000-00004A330000}"/>
    <cellStyle name="Normal 19 8 3 5" xfId="13921" xr:uid="{00000000-0005-0000-0000-00004B330000}"/>
    <cellStyle name="Normal 19 8 3 6" xfId="13922" xr:uid="{00000000-0005-0000-0000-00004C330000}"/>
    <cellStyle name="Normal 19 8 4" xfId="13923" xr:uid="{00000000-0005-0000-0000-00004D330000}"/>
    <cellStyle name="Normal 19 8 4 2" xfId="13924" xr:uid="{00000000-0005-0000-0000-00004E330000}"/>
    <cellStyle name="Normal 19 8 4 3" xfId="13925" xr:uid="{00000000-0005-0000-0000-00004F330000}"/>
    <cellStyle name="Normal 19 8 4 4" xfId="13926" xr:uid="{00000000-0005-0000-0000-000050330000}"/>
    <cellStyle name="Normal 19 8 4 5" xfId="13927" xr:uid="{00000000-0005-0000-0000-000051330000}"/>
    <cellStyle name="Normal 19 8 4 6" xfId="13928" xr:uid="{00000000-0005-0000-0000-000052330000}"/>
    <cellStyle name="Normal 19 8 5" xfId="13929" xr:uid="{00000000-0005-0000-0000-000053330000}"/>
    <cellStyle name="Normal 19 8 5 2" xfId="13930" xr:uid="{00000000-0005-0000-0000-000054330000}"/>
    <cellStyle name="Normal 19 8 5 3" xfId="13931" xr:uid="{00000000-0005-0000-0000-000055330000}"/>
    <cellStyle name="Normal 19 8 5 4" xfId="13932" xr:uid="{00000000-0005-0000-0000-000056330000}"/>
    <cellStyle name="Normal 19 8 5 5" xfId="13933" xr:uid="{00000000-0005-0000-0000-000057330000}"/>
    <cellStyle name="Normal 19 8 5 6" xfId="13934" xr:uid="{00000000-0005-0000-0000-000058330000}"/>
    <cellStyle name="Normal 19 8 6" xfId="13935" xr:uid="{00000000-0005-0000-0000-000059330000}"/>
    <cellStyle name="Normal 19 8 6 2" xfId="13936" xr:uid="{00000000-0005-0000-0000-00005A330000}"/>
    <cellStyle name="Normal 19 8 6 3" xfId="13937" xr:uid="{00000000-0005-0000-0000-00005B330000}"/>
    <cellStyle name="Normal 19 8 6 4" xfId="13938" xr:uid="{00000000-0005-0000-0000-00005C330000}"/>
    <cellStyle name="Normal 19 8 6 5" xfId="13939" xr:uid="{00000000-0005-0000-0000-00005D330000}"/>
    <cellStyle name="Normal 19 8 6 6" xfId="13940" xr:uid="{00000000-0005-0000-0000-00005E330000}"/>
    <cellStyle name="Normal 19 8 7" xfId="13941" xr:uid="{00000000-0005-0000-0000-00005F330000}"/>
    <cellStyle name="Normal 19 8 7 2" xfId="13942" xr:uid="{00000000-0005-0000-0000-000060330000}"/>
    <cellStyle name="Normal 19 8 7 3" xfId="13943" xr:uid="{00000000-0005-0000-0000-000061330000}"/>
    <cellStyle name="Normal 19 8 7 4" xfId="13944" xr:uid="{00000000-0005-0000-0000-000062330000}"/>
    <cellStyle name="Normal 19 8 7 5" xfId="13945" xr:uid="{00000000-0005-0000-0000-000063330000}"/>
    <cellStyle name="Normal 19 8 7 6" xfId="13946" xr:uid="{00000000-0005-0000-0000-000064330000}"/>
    <cellStyle name="Normal 19 8 8" xfId="13947" xr:uid="{00000000-0005-0000-0000-000065330000}"/>
    <cellStyle name="Normal 19 8 8 2" xfId="13948" xr:uid="{00000000-0005-0000-0000-000066330000}"/>
    <cellStyle name="Normal 19 8 8 3" xfId="13949" xr:uid="{00000000-0005-0000-0000-000067330000}"/>
    <cellStyle name="Normal 19 8 8 4" xfId="13950" xr:uid="{00000000-0005-0000-0000-000068330000}"/>
    <cellStyle name="Normal 19 8 8 5" xfId="13951" xr:uid="{00000000-0005-0000-0000-000069330000}"/>
    <cellStyle name="Normal 19 8 8 6" xfId="13952" xr:uid="{00000000-0005-0000-0000-00006A330000}"/>
    <cellStyle name="Normal 19 8 9" xfId="13953" xr:uid="{00000000-0005-0000-0000-00006B330000}"/>
    <cellStyle name="Normal 19 9" xfId="13954" xr:uid="{00000000-0005-0000-0000-00006C330000}"/>
    <cellStyle name="Normal 19 9 10" xfId="13955" xr:uid="{00000000-0005-0000-0000-00006D330000}"/>
    <cellStyle name="Normal 19 9 11" xfId="13956" xr:uid="{00000000-0005-0000-0000-00006E330000}"/>
    <cellStyle name="Normal 19 9 12" xfId="13957" xr:uid="{00000000-0005-0000-0000-00006F330000}"/>
    <cellStyle name="Normal 19 9 13" xfId="13958" xr:uid="{00000000-0005-0000-0000-000070330000}"/>
    <cellStyle name="Normal 19 9 2" xfId="13959" xr:uid="{00000000-0005-0000-0000-000071330000}"/>
    <cellStyle name="Normal 19 9 2 2" xfId="13960" xr:uid="{00000000-0005-0000-0000-000072330000}"/>
    <cellStyle name="Normal 19 9 2 3" xfId="13961" xr:uid="{00000000-0005-0000-0000-000073330000}"/>
    <cellStyle name="Normal 19 9 2 4" xfId="13962" xr:uid="{00000000-0005-0000-0000-000074330000}"/>
    <cellStyle name="Normal 19 9 2 5" xfId="13963" xr:uid="{00000000-0005-0000-0000-000075330000}"/>
    <cellStyle name="Normal 19 9 2 6" xfId="13964" xr:uid="{00000000-0005-0000-0000-000076330000}"/>
    <cellStyle name="Normal 19 9 3" xfId="13965" xr:uid="{00000000-0005-0000-0000-000077330000}"/>
    <cellStyle name="Normal 19 9 3 2" xfId="13966" xr:uid="{00000000-0005-0000-0000-000078330000}"/>
    <cellStyle name="Normal 19 9 3 3" xfId="13967" xr:uid="{00000000-0005-0000-0000-000079330000}"/>
    <cellStyle name="Normal 19 9 3 4" xfId="13968" xr:uid="{00000000-0005-0000-0000-00007A330000}"/>
    <cellStyle name="Normal 19 9 3 5" xfId="13969" xr:uid="{00000000-0005-0000-0000-00007B330000}"/>
    <cellStyle name="Normal 19 9 3 6" xfId="13970" xr:uid="{00000000-0005-0000-0000-00007C330000}"/>
    <cellStyle name="Normal 19 9 4" xfId="13971" xr:uid="{00000000-0005-0000-0000-00007D330000}"/>
    <cellStyle name="Normal 19 9 4 2" xfId="13972" xr:uid="{00000000-0005-0000-0000-00007E330000}"/>
    <cellStyle name="Normal 19 9 4 3" xfId="13973" xr:uid="{00000000-0005-0000-0000-00007F330000}"/>
    <cellStyle name="Normal 19 9 4 4" xfId="13974" xr:uid="{00000000-0005-0000-0000-000080330000}"/>
    <cellStyle name="Normal 19 9 4 5" xfId="13975" xr:uid="{00000000-0005-0000-0000-000081330000}"/>
    <cellStyle name="Normal 19 9 4 6" xfId="13976" xr:uid="{00000000-0005-0000-0000-000082330000}"/>
    <cellStyle name="Normal 19 9 5" xfId="13977" xr:uid="{00000000-0005-0000-0000-000083330000}"/>
    <cellStyle name="Normal 19 9 5 2" xfId="13978" xr:uid="{00000000-0005-0000-0000-000084330000}"/>
    <cellStyle name="Normal 19 9 5 3" xfId="13979" xr:uid="{00000000-0005-0000-0000-000085330000}"/>
    <cellStyle name="Normal 19 9 5 4" xfId="13980" xr:uid="{00000000-0005-0000-0000-000086330000}"/>
    <cellStyle name="Normal 19 9 5 5" xfId="13981" xr:uid="{00000000-0005-0000-0000-000087330000}"/>
    <cellStyle name="Normal 19 9 5 6" xfId="13982" xr:uid="{00000000-0005-0000-0000-000088330000}"/>
    <cellStyle name="Normal 19 9 6" xfId="13983" xr:uid="{00000000-0005-0000-0000-000089330000}"/>
    <cellStyle name="Normal 19 9 6 2" xfId="13984" xr:uid="{00000000-0005-0000-0000-00008A330000}"/>
    <cellStyle name="Normal 19 9 6 3" xfId="13985" xr:uid="{00000000-0005-0000-0000-00008B330000}"/>
    <cellStyle name="Normal 19 9 6 4" xfId="13986" xr:uid="{00000000-0005-0000-0000-00008C330000}"/>
    <cellStyle name="Normal 19 9 6 5" xfId="13987" xr:uid="{00000000-0005-0000-0000-00008D330000}"/>
    <cellStyle name="Normal 19 9 6 6" xfId="13988" xr:uid="{00000000-0005-0000-0000-00008E330000}"/>
    <cellStyle name="Normal 19 9 7" xfId="13989" xr:uid="{00000000-0005-0000-0000-00008F330000}"/>
    <cellStyle name="Normal 19 9 7 2" xfId="13990" xr:uid="{00000000-0005-0000-0000-000090330000}"/>
    <cellStyle name="Normal 19 9 7 3" xfId="13991" xr:uid="{00000000-0005-0000-0000-000091330000}"/>
    <cellStyle name="Normal 19 9 7 4" xfId="13992" xr:uid="{00000000-0005-0000-0000-000092330000}"/>
    <cellStyle name="Normal 19 9 7 5" xfId="13993" xr:uid="{00000000-0005-0000-0000-000093330000}"/>
    <cellStyle name="Normal 19 9 7 6" xfId="13994" xr:uid="{00000000-0005-0000-0000-000094330000}"/>
    <cellStyle name="Normal 19 9 8" xfId="13995" xr:uid="{00000000-0005-0000-0000-000095330000}"/>
    <cellStyle name="Normal 19 9 8 2" xfId="13996" xr:uid="{00000000-0005-0000-0000-000096330000}"/>
    <cellStyle name="Normal 19 9 8 3" xfId="13997" xr:uid="{00000000-0005-0000-0000-000097330000}"/>
    <cellStyle name="Normal 19 9 8 4" xfId="13998" xr:uid="{00000000-0005-0000-0000-000098330000}"/>
    <cellStyle name="Normal 19 9 8 5" xfId="13999" xr:uid="{00000000-0005-0000-0000-000099330000}"/>
    <cellStyle name="Normal 19 9 8 6" xfId="14000" xr:uid="{00000000-0005-0000-0000-00009A330000}"/>
    <cellStyle name="Normal 19 9 9" xfId="14001" xr:uid="{00000000-0005-0000-0000-00009B330000}"/>
    <cellStyle name="Normal 2" xfId="826" xr:uid="{00000000-0005-0000-0000-00009C330000}"/>
    <cellStyle name="Normal 2 10" xfId="14002" xr:uid="{00000000-0005-0000-0000-00009D330000}"/>
    <cellStyle name="Normal 2 10 10" xfId="14003" xr:uid="{00000000-0005-0000-0000-00009E330000}"/>
    <cellStyle name="Normal 2 10 11" xfId="14004" xr:uid="{00000000-0005-0000-0000-00009F330000}"/>
    <cellStyle name="Normal 2 10 12" xfId="14005" xr:uid="{00000000-0005-0000-0000-0000A0330000}"/>
    <cellStyle name="Normal 2 10 13" xfId="14006" xr:uid="{00000000-0005-0000-0000-0000A1330000}"/>
    <cellStyle name="Normal 2 10 14" xfId="14007" xr:uid="{00000000-0005-0000-0000-0000A2330000}"/>
    <cellStyle name="Normal 2 10 15" xfId="14008" xr:uid="{00000000-0005-0000-0000-0000A3330000}"/>
    <cellStyle name="Normal 2 10 16" xfId="14009" xr:uid="{00000000-0005-0000-0000-0000A4330000}"/>
    <cellStyle name="Normal 2 10 17" xfId="14010" xr:uid="{00000000-0005-0000-0000-0000A5330000}"/>
    <cellStyle name="Normal 2 10 18" xfId="14011" xr:uid="{00000000-0005-0000-0000-0000A6330000}"/>
    <cellStyle name="Normal 2 10 19" xfId="14012" xr:uid="{00000000-0005-0000-0000-0000A7330000}"/>
    <cellStyle name="Normal 2 10 2" xfId="14013" xr:uid="{00000000-0005-0000-0000-0000A8330000}"/>
    <cellStyle name="Normal 2 10 2 2" xfId="14014" xr:uid="{00000000-0005-0000-0000-0000A9330000}"/>
    <cellStyle name="Normal 2 10 2 2 2" xfId="14015" xr:uid="{00000000-0005-0000-0000-0000AA330000}"/>
    <cellStyle name="Normal 2 10 2 2 2 2" xfId="14016" xr:uid="{00000000-0005-0000-0000-0000AB330000}"/>
    <cellStyle name="Normal 2 10 2 2 2 3" xfId="14017" xr:uid="{00000000-0005-0000-0000-0000AC330000}"/>
    <cellStyle name="Normal 2 10 20" xfId="14018" xr:uid="{00000000-0005-0000-0000-0000AD330000}"/>
    <cellStyle name="Normal 2 10 21" xfId="14019" xr:uid="{00000000-0005-0000-0000-0000AE330000}"/>
    <cellStyle name="Normal 2 10 22" xfId="14020" xr:uid="{00000000-0005-0000-0000-0000AF330000}"/>
    <cellStyle name="Normal 2 10 23" xfId="14021" xr:uid="{00000000-0005-0000-0000-0000B0330000}"/>
    <cellStyle name="Normal 2 10 24" xfId="14022" xr:uid="{00000000-0005-0000-0000-0000B1330000}"/>
    <cellStyle name="Normal 2 10 25" xfId="14023" xr:uid="{00000000-0005-0000-0000-0000B2330000}"/>
    <cellStyle name="Normal 2 10 26" xfId="14024" xr:uid="{00000000-0005-0000-0000-0000B3330000}"/>
    <cellStyle name="Normal 2 10 27" xfId="14025" xr:uid="{00000000-0005-0000-0000-0000B4330000}"/>
    <cellStyle name="Normal 2 10 28" xfId="14026" xr:uid="{00000000-0005-0000-0000-0000B5330000}"/>
    <cellStyle name="Normal 2 10 29" xfId="14027" xr:uid="{00000000-0005-0000-0000-0000B6330000}"/>
    <cellStyle name="Normal 2 10 3" xfId="14028" xr:uid="{00000000-0005-0000-0000-0000B7330000}"/>
    <cellStyle name="Normal 2 10 30" xfId="14029" xr:uid="{00000000-0005-0000-0000-0000B8330000}"/>
    <cellStyle name="Normal 2 10 31" xfId="14030" xr:uid="{00000000-0005-0000-0000-0000B9330000}"/>
    <cellStyle name="Normal 2 10 32" xfId="14031" xr:uid="{00000000-0005-0000-0000-0000BA330000}"/>
    <cellStyle name="Normal 2 10 33" xfId="14032" xr:uid="{00000000-0005-0000-0000-0000BB330000}"/>
    <cellStyle name="Normal 2 10 34" xfId="14033" xr:uid="{00000000-0005-0000-0000-0000BC330000}"/>
    <cellStyle name="Normal 2 10 35" xfId="14034" xr:uid="{00000000-0005-0000-0000-0000BD330000}"/>
    <cellStyle name="Normal 2 10 36" xfId="14035" xr:uid="{00000000-0005-0000-0000-0000BE330000}"/>
    <cellStyle name="Normal 2 10 37" xfId="14036" xr:uid="{00000000-0005-0000-0000-0000BF330000}"/>
    <cellStyle name="Normal 2 10 38" xfId="14037" xr:uid="{00000000-0005-0000-0000-0000C0330000}"/>
    <cellStyle name="Normal 2 10 39" xfId="14038" xr:uid="{00000000-0005-0000-0000-0000C1330000}"/>
    <cellStyle name="Normal 2 10 4" xfId="14039" xr:uid="{00000000-0005-0000-0000-0000C2330000}"/>
    <cellStyle name="Normal 2 10 40" xfId="14040" xr:uid="{00000000-0005-0000-0000-0000C3330000}"/>
    <cellStyle name="Normal 2 10 41" xfId="14041" xr:uid="{00000000-0005-0000-0000-0000C4330000}"/>
    <cellStyle name="Normal 2 10 42" xfId="14042" xr:uid="{00000000-0005-0000-0000-0000C5330000}"/>
    <cellStyle name="Normal 2 10 43" xfId="14043" xr:uid="{00000000-0005-0000-0000-0000C6330000}"/>
    <cellStyle name="Normal 2 10 44" xfId="14044" xr:uid="{00000000-0005-0000-0000-0000C7330000}"/>
    <cellStyle name="Normal 2 10 45" xfId="14045" xr:uid="{00000000-0005-0000-0000-0000C8330000}"/>
    <cellStyle name="Normal 2 10 46" xfId="14046" xr:uid="{00000000-0005-0000-0000-0000C9330000}"/>
    <cellStyle name="Normal 2 10 47" xfId="14047" xr:uid="{00000000-0005-0000-0000-0000CA330000}"/>
    <cellStyle name="Normal 2 10 48" xfId="14048" xr:uid="{00000000-0005-0000-0000-0000CB330000}"/>
    <cellStyle name="Normal 2 10 49" xfId="14049" xr:uid="{00000000-0005-0000-0000-0000CC330000}"/>
    <cellStyle name="Normal 2 10 5" xfId="14050" xr:uid="{00000000-0005-0000-0000-0000CD330000}"/>
    <cellStyle name="Normal 2 10 50" xfId="14051" xr:uid="{00000000-0005-0000-0000-0000CE330000}"/>
    <cellStyle name="Normal 2 10 51" xfId="14052" xr:uid="{00000000-0005-0000-0000-0000CF330000}"/>
    <cellStyle name="Normal 2 10 52" xfId="14053" xr:uid="{00000000-0005-0000-0000-0000D0330000}"/>
    <cellStyle name="Normal 2 10 53" xfId="14054" xr:uid="{00000000-0005-0000-0000-0000D1330000}"/>
    <cellStyle name="Normal 2 10 6" xfId="14055" xr:uid="{00000000-0005-0000-0000-0000D2330000}"/>
    <cellStyle name="Normal 2 10 7" xfId="14056" xr:uid="{00000000-0005-0000-0000-0000D3330000}"/>
    <cellStyle name="Normal 2 10 8" xfId="14057" xr:uid="{00000000-0005-0000-0000-0000D4330000}"/>
    <cellStyle name="Normal 2 10 9" xfId="14058" xr:uid="{00000000-0005-0000-0000-0000D5330000}"/>
    <cellStyle name="Normal 2 100" xfId="43195" xr:uid="{00000000-0005-0000-0000-0000D6330000}"/>
    <cellStyle name="Normal 2 11" xfId="14059" xr:uid="{00000000-0005-0000-0000-0000D7330000}"/>
    <cellStyle name="Normal 2 11 10" xfId="14060" xr:uid="{00000000-0005-0000-0000-0000D8330000}"/>
    <cellStyle name="Normal 2 11 11" xfId="14061" xr:uid="{00000000-0005-0000-0000-0000D9330000}"/>
    <cellStyle name="Normal 2 11 12" xfId="14062" xr:uid="{00000000-0005-0000-0000-0000DA330000}"/>
    <cellStyle name="Normal 2 11 13" xfId="14063" xr:uid="{00000000-0005-0000-0000-0000DB330000}"/>
    <cellStyle name="Normal 2 11 14" xfId="14064" xr:uid="{00000000-0005-0000-0000-0000DC330000}"/>
    <cellStyle name="Normal 2 11 15" xfId="14065" xr:uid="{00000000-0005-0000-0000-0000DD330000}"/>
    <cellStyle name="Normal 2 11 16" xfId="14066" xr:uid="{00000000-0005-0000-0000-0000DE330000}"/>
    <cellStyle name="Normal 2 11 17" xfId="14067" xr:uid="{00000000-0005-0000-0000-0000DF330000}"/>
    <cellStyle name="Normal 2 11 18" xfId="14068" xr:uid="{00000000-0005-0000-0000-0000E0330000}"/>
    <cellStyle name="Normal 2 11 19" xfId="14069" xr:uid="{00000000-0005-0000-0000-0000E1330000}"/>
    <cellStyle name="Normal 2 11 2" xfId="14070" xr:uid="{00000000-0005-0000-0000-0000E2330000}"/>
    <cellStyle name="Normal 2 11 20" xfId="14071" xr:uid="{00000000-0005-0000-0000-0000E3330000}"/>
    <cellStyle name="Normal 2 11 21" xfId="14072" xr:uid="{00000000-0005-0000-0000-0000E4330000}"/>
    <cellStyle name="Normal 2 11 22" xfId="14073" xr:uid="{00000000-0005-0000-0000-0000E5330000}"/>
    <cellStyle name="Normal 2 11 23" xfId="14074" xr:uid="{00000000-0005-0000-0000-0000E6330000}"/>
    <cellStyle name="Normal 2 11 24" xfId="14075" xr:uid="{00000000-0005-0000-0000-0000E7330000}"/>
    <cellStyle name="Normal 2 11 25" xfId="14076" xr:uid="{00000000-0005-0000-0000-0000E8330000}"/>
    <cellStyle name="Normal 2 11 26" xfId="14077" xr:uid="{00000000-0005-0000-0000-0000E9330000}"/>
    <cellStyle name="Normal 2 11 27" xfId="14078" xr:uid="{00000000-0005-0000-0000-0000EA330000}"/>
    <cellStyle name="Normal 2 11 28" xfId="14079" xr:uid="{00000000-0005-0000-0000-0000EB330000}"/>
    <cellStyle name="Normal 2 11 29" xfId="14080" xr:uid="{00000000-0005-0000-0000-0000EC330000}"/>
    <cellStyle name="Normal 2 11 3" xfId="14081" xr:uid="{00000000-0005-0000-0000-0000ED330000}"/>
    <cellStyle name="Normal 2 11 30" xfId="14082" xr:uid="{00000000-0005-0000-0000-0000EE330000}"/>
    <cellStyle name="Normal 2 11 31" xfId="14083" xr:uid="{00000000-0005-0000-0000-0000EF330000}"/>
    <cellStyle name="Normal 2 11 32" xfId="14084" xr:uid="{00000000-0005-0000-0000-0000F0330000}"/>
    <cellStyle name="Normal 2 11 33" xfId="14085" xr:uid="{00000000-0005-0000-0000-0000F1330000}"/>
    <cellStyle name="Normal 2 11 34" xfId="14086" xr:uid="{00000000-0005-0000-0000-0000F2330000}"/>
    <cellStyle name="Normal 2 11 35" xfId="14087" xr:uid="{00000000-0005-0000-0000-0000F3330000}"/>
    <cellStyle name="Normal 2 11 36" xfId="14088" xr:uid="{00000000-0005-0000-0000-0000F4330000}"/>
    <cellStyle name="Normal 2 11 37" xfId="14089" xr:uid="{00000000-0005-0000-0000-0000F5330000}"/>
    <cellStyle name="Normal 2 11 38" xfId="14090" xr:uid="{00000000-0005-0000-0000-0000F6330000}"/>
    <cellStyle name="Normal 2 11 39" xfId="14091" xr:uid="{00000000-0005-0000-0000-0000F7330000}"/>
    <cellStyle name="Normal 2 11 4" xfId="14092" xr:uid="{00000000-0005-0000-0000-0000F8330000}"/>
    <cellStyle name="Normal 2 11 40" xfId="14093" xr:uid="{00000000-0005-0000-0000-0000F9330000}"/>
    <cellStyle name="Normal 2 11 41" xfId="14094" xr:uid="{00000000-0005-0000-0000-0000FA330000}"/>
    <cellStyle name="Normal 2 11 42" xfId="14095" xr:uid="{00000000-0005-0000-0000-0000FB330000}"/>
    <cellStyle name="Normal 2 11 43" xfId="14096" xr:uid="{00000000-0005-0000-0000-0000FC330000}"/>
    <cellStyle name="Normal 2 11 44" xfId="14097" xr:uid="{00000000-0005-0000-0000-0000FD330000}"/>
    <cellStyle name="Normal 2 11 45" xfId="14098" xr:uid="{00000000-0005-0000-0000-0000FE330000}"/>
    <cellStyle name="Normal 2 11 46" xfId="14099" xr:uid="{00000000-0005-0000-0000-0000FF330000}"/>
    <cellStyle name="Normal 2 11 47" xfId="14100" xr:uid="{00000000-0005-0000-0000-000000340000}"/>
    <cellStyle name="Normal 2 11 48" xfId="14101" xr:uid="{00000000-0005-0000-0000-000001340000}"/>
    <cellStyle name="Normal 2 11 49" xfId="14102" xr:uid="{00000000-0005-0000-0000-000002340000}"/>
    <cellStyle name="Normal 2 11 5" xfId="14103" xr:uid="{00000000-0005-0000-0000-000003340000}"/>
    <cellStyle name="Normal 2 11 50" xfId="14104" xr:uid="{00000000-0005-0000-0000-000004340000}"/>
    <cellStyle name="Normal 2 11 51" xfId="14105" xr:uid="{00000000-0005-0000-0000-000005340000}"/>
    <cellStyle name="Normal 2 11 52" xfId="14106" xr:uid="{00000000-0005-0000-0000-000006340000}"/>
    <cellStyle name="Normal 2 11 53" xfId="14107" xr:uid="{00000000-0005-0000-0000-000007340000}"/>
    <cellStyle name="Normal 2 11 6" xfId="14108" xr:uid="{00000000-0005-0000-0000-000008340000}"/>
    <cellStyle name="Normal 2 11 7" xfId="14109" xr:uid="{00000000-0005-0000-0000-000009340000}"/>
    <cellStyle name="Normal 2 11 8" xfId="14110" xr:uid="{00000000-0005-0000-0000-00000A340000}"/>
    <cellStyle name="Normal 2 11 9" xfId="14111" xr:uid="{00000000-0005-0000-0000-00000B340000}"/>
    <cellStyle name="Normal 2 12" xfId="14112" xr:uid="{00000000-0005-0000-0000-00000C340000}"/>
    <cellStyle name="Normal 2 12 10" xfId="14113" xr:uid="{00000000-0005-0000-0000-00000D340000}"/>
    <cellStyle name="Normal 2 12 11" xfId="14114" xr:uid="{00000000-0005-0000-0000-00000E340000}"/>
    <cellStyle name="Normal 2 12 12" xfId="14115" xr:uid="{00000000-0005-0000-0000-00000F340000}"/>
    <cellStyle name="Normal 2 12 13" xfId="14116" xr:uid="{00000000-0005-0000-0000-000010340000}"/>
    <cellStyle name="Normal 2 12 14" xfId="14117" xr:uid="{00000000-0005-0000-0000-000011340000}"/>
    <cellStyle name="Normal 2 12 15" xfId="14118" xr:uid="{00000000-0005-0000-0000-000012340000}"/>
    <cellStyle name="Normal 2 12 16" xfId="14119" xr:uid="{00000000-0005-0000-0000-000013340000}"/>
    <cellStyle name="Normal 2 12 17" xfId="14120" xr:uid="{00000000-0005-0000-0000-000014340000}"/>
    <cellStyle name="Normal 2 12 18" xfId="14121" xr:uid="{00000000-0005-0000-0000-000015340000}"/>
    <cellStyle name="Normal 2 12 19" xfId="14122" xr:uid="{00000000-0005-0000-0000-000016340000}"/>
    <cellStyle name="Normal 2 12 2" xfId="14123" xr:uid="{00000000-0005-0000-0000-000017340000}"/>
    <cellStyle name="Normal 2 12 20" xfId="14124" xr:uid="{00000000-0005-0000-0000-000018340000}"/>
    <cellStyle name="Normal 2 12 21" xfId="14125" xr:uid="{00000000-0005-0000-0000-000019340000}"/>
    <cellStyle name="Normal 2 12 22" xfId="14126" xr:uid="{00000000-0005-0000-0000-00001A340000}"/>
    <cellStyle name="Normal 2 12 23" xfId="14127" xr:uid="{00000000-0005-0000-0000-00001B340000}"/>
    <cellStyle name="Normal 2 12 24" xfId="14128" xr:uid="{00000000-0005-0000-0000-00001C340000}"/>
    <cellStyle name="Normal 2 12 25" xfId="14129" xr:uid="{00000000-0005-0000-0000-00001D340000}"/>
    <cellStyle name="Normal 2 12 26" xfId="14130" xr:uid="{00000000-0005-0000-0000-00001E340000}"/>
    <cellStyle name="Normal 2 12 27" xfId="14131" xr:uid="{00000000-0005-0000-0000-00001F340000}"/>
    <cellStyle name="Normal 2 12 28" xfId="14132" xr:uid="{00000000-0005-0000-0000-000020340000}"/>
    <cellStyle name="Normal 2 12 29" xfId="14133" xr:uid="{00000000-0005-0000-0000-000021340000}"/>
    <cellStyle name="Normal 2 12 3" xfId="14134" xr:uid="{00000000-0005-0000-0000-000022340000}"/>
    <cellStyle name="Normal 2 12 30" xfId="14135" xr:uid="{00000000-0005-0000-0000-000023340000}"/>
    <cellStyle name="Normal 2 12 31" xfId="14136" xr:uid="{00000000-0005-0000-0000-000024340000}"/>
    <cellStyle name="Normal 2 12 32" xfId="14137" xr:uid="{00000000-0005-0000-0000-000025340000}"/>
    <cellStyle name="Normal 2 12 33" xfId="14138" xr:uid="{00000000-0005-0000-0000-000026340000}"/>
    <cellStyle name="Normal 2 12 34" xfId="14139" xr:uid="{00000000-0005-0000-0000-000027340000}"/>
    <cellStyle name="Normal 2 12 35" xfId="14140" xr:uid="{00000000-0005-0000-0000-000028340000}"/>
    <cellStyle name="Normal 2 12 36" xfId="14141" xr:uid="{00000000-0005-0000-0000-000029340000}"/>
    <cellStyle name="Normal 2 12 37" xfId="14142" xr:uid="{00000000-0005-0000-0000-00002A340000}"/>
    <cellStyle name="Normal 2 12 38" xfId="14143" xr:uid="{00000000-0005-0000-0000-00002B340000}"/>
    <cellStyle name="Normal 2 12 39" xfId="14144" xr:uid="{00000000-0005-0000-0000-00002C340000}"/>
    <cellStyle name="Normal 2 12 4" xfId="14145" xr:uid="{00000000-0005-0000-0000-00002D340000}"/>
    <cellStyle name="Normal 2 12 40" xfId="14146" xr:uid="{00000000-0005-0000-0000-00002E340000}"/>
    <cellStyle name="Normal 2 12 41" xfId="14147" xr:uid="{00000000-0005-0000-0000-00002F340000}"/>
    <cellStyle name="Normal 2 12 42" xfId="14148" xr:uid="{00000000-0005-0000-0000-000030340000}"/>
    <cellStyle name="Normal 2 12 43" xfId="14149" xr:uid="{00000000-0005-0000-0000-000031340000}"/>
    <cellStyle name="Normal 2 12 44" xfId="14150" xr:uid="{00000000-0005-0000-0000-000032340000}"/>
    <cellStyle name="Normal 2 12 45" xfId="14151" xr:uid="{00000000-0005-0000-0000-000033340000}"/>
    <cellStyle name="Normal 2 12 46" xfId="14152" xr:uid="{00000000-0005-0000-0000-000034340000}"/>
    <cellStyle name="Normal 2 12 47" xfId="14153" xr:uid="{00000000-0005-0000-0000-000035340000}"/>
    <cellStyle name="Normal 2 12 48" xfId="14154" xr:uid="{00000000-0005-0000-0000-000036340000}"/>
    <cellStyle name="Normal 2 12 49" xfId="14155" xr:uid="{00000000-0005-0000-0000-000037340000}"/>
    <cellStyle name="Normal 2 12 5" xfId="14156" xr:uid="{00000000-0005-0000-0000-000038340000}"/>
    <cellStyle name="Normal 2 12 50" xfId="14157" xr:uid="{00000000-0005-0000-0000-000039340000}"/>
    <cellStyle name="Normal 2 12 51" xfId="14158" xr:uid="{00000000-0005-0000-0000-00003A340000}"/>
    <cellStyle name="Normal 2 12 52" xfId="14159" xr:uid="{00000000-0005-0000-0000-00003B340000}"/>
    <cellStyle name="Normal 2 12 53" xfId="14160" xr:uid="{00000000-0005-0000-0000-00003C340000}"/>
    <cellStyle name="Normal 2 12 6" xfId="14161" xr:uid="{00000000-0005-0000-0000-00003D340000}"/>
    <cellStyle name="Normal 2 12 7" xfId="14162" xr:uid="{00000000-0005-0000-0000-00003E340000}"/>
    <cellStyle name="Normal 2 12 8" xfId="14163" xr:uid="{00000000-0005-0000-0000-00003F340000}"/>
    <cellStyle name="Normal 2 12 9" xfId="14164" xr:uid="{00000000-0005-0000-0000-000040340000}"/>
    <cellStyle name="Normal 2 13" xfId="14165" xr:uid="{00000000-0005-0000-0000-000041340000}"/>
    <cellStyle name="Normal 2 13 10" xfId="14166" xr:uid="{00000000-0005-0000-0000-000042340000}"/>
    <cellStyle name="Normal 2 13 11" xfId="14167" xr:uid="{00000000-0005-0000-0000-000043340000}"/>
    <cellStyle name="Normal 2 13 12" xfId="14168" xr:uid="{00000000-0005-0000-0000-000044340000}"/>
    <cellStyle name="Normal 2 13 13" xfId="14169" xr:uid="{00000000-0005-0000-0000-000045340000}"/>
    <cellStyle name="Normal 2 13 14" xfId="14170" xr:uid="{00000000-0005-0000-0000-000046340000}"/>
    <cellStyle name="Normal 2 13 15" xfId="14171" xr:uid="{00000000-0005-0000-0000-000047340000}"/>
    <cellStyle name="Normal 2 13 16" xfId="14172" xr:uid="{00000000-0005-0000-0000-000048340000}"/>
    <cellStyle name="Normal 2 13 17" xfId="14173" xr:uid="{00000000-0005-0000-0000-000049340000}"/>
    <cellStyle name="Normal 2 13 18" xfId="14174" xr:uid="{00000000-0005-0000-0000-00004A340000}"/>
    <cellStyle name="Normal 2 13 19" xfId="14175" xr:uid="{00000000-0005-0000-0000-00004B340000}"/>
    <cellStyle name="Normal 2 13 2" xfId="14176" xr:uid="{00000000-0005-0000-0000-00004C340000}"/>
    <cellStyle name="Normal 2 13 20" xfId="14177" xr:uid="{00000000-0005-0000-0000-00004D340000}"/>
    <cellStyle name="Normal 2 13 21" xfId="14178" xr:uid="{00000000-0005-0000-0000-00004E340000}"/>
    <cellStyle name="Normal 2 13 22" xfId="14179" xr:uid="{00000000-0005-0000-0000-00004F340000}"/>
    <cellStyle name="Normal 2 13 23" xfId="14180" xr:uid="{00000000-0005-0000-0000-000050340000}"/>
    <cellStyle name="Normal 2 13 24" xfId="14181" xr:uid="{00000000-0005-0000-0000-000051340000}"/>
    <cellStyle name="Normal 2 13 25" xfId="14182" xr:uid="{00000000-0005-0000-0000-000052340000}"/>
    <cellStyle name="Normal 2 13 26" xfId="14183" xr:uid="{00000000-0005-0000-0000-000053340000}"/>
    <cellStyle name="Normal 2 13 27" xfId="14184" xr:uid="{00000000-0005-0000-0000-000054340000}"/>
    <cellStyle name="Normal 2 13 28" xfId="14185" xr:uid="{00000000-0005-0000-0000-000055340000}"/>
    <cellStyle name="Normal 2 13 29" xfId="14186" xr:uid="{00000000-0005-0000-0000-000056340000}"/>
    <cellStyle name="Normal 2 13 3" xfId="14187" xr:uid="{00000000-0005-0000-0000-000057340000}"/>
    <cellStyle name="Normal 2 13 30" xfId="14188" xr:uid="{00000000-0005-0000-0000-000058340000}"/>
    <cellStyle name="Normal 2 13 31" xfId="14189" xr:uid="{00000000-0005-0000-0000-000059340000}"/>
    <cellStyle name="Normal 2 13 32" xfId="14190" xr:uid="{00000000-0005-0000-0000-00005A340000}"/>
    <cellStyle name="Normal 2 13 33" xfId="14191" xr:uid="{00000000-0005-0000-0000-00005B340000}"/>
    <cellStyle name="Normal 2 13 34" xfId="14192" xr:uid="{00000000-0005-0000-0000-00005C340000}"/>
    <cellStyle name="Normal 2 13 35" xfId="14193" xr:uid="{00000000-0005-0000-0000-00005D340000}"/>
    <cellStyle name="Normal 2 13 36" xfId="14194" xr:uid="{00000000-0005-0000-0000-00005E340000}"/>
    <cellStyle name="Normal 2 13 37" xfId="14195" xr:uid="{00000000-0005-0000-0000-00005F340000}"/>
    <cellStyle name="Normal 2 13 38" xfId="14196" xr:uid="{00000000-0005-0000-0000-000060340000}"/>
    <cellStyle name="Normal 2 13 39" xfId="14197" xr:uid="{00000000-0005-0000-0000-000061340000}"/>
    <cellStyle name="Normal 2 13 4" xfId="14198" xr:uid="{00000000-0005-0000-0000-000062340000}"/>
    <cellStyle name="Normal 2 13 40" xfId="14199" xr:uid="{00000000-0005-0000-0000-000063340000}"/>
    <cellStyle name="Normal 2 13 41" xfId="14200" xr:uid="{00000000-0005-0000-0000-000064340000}"/>
    <cellStyle name="Normal 2 13 42" xfId="14201" xr:uid="{00000000-0005-0000-0000-000065340000}"/>
    <cellStyle name="Normal 2 13 43" xfId="14202" xr:uid="{00000000-0005-0000-0000-000066340000}"/>
    <cellStyle name="Normal 2 13 44" xfId="14203" xr:uid="{00000000-0005-0000-0000-000067340000}"/>
    <cellStyle name="Normal 2 13 45" xfId="14204" xr:uid="{00000000-0005-0000-0000-000068340000}"/>
    <cellStyle name="Normal 2 13 46" xfId="14205" xr:uid="{00000000-0005-0000-0000-000069340000}"/>
    <cellStyle name="Normal 2 13 47" xfId="14206" xr:uid="{00000000-0005-0000-0000-00006A340000}"/>
    <cellStyle name="Normal 2 13 48" xfId="14207" xr:uid="{00000000-0005-0000-0000-00006B340000}"/>
    <cellStyle name="Normal 2 13 49" xfId="14208" xr:uid="{00000000-0005-0000-0000-00006C340000}"/>
    <cellStyle name="Normal 2 13 5" xfId="14209" xr:uid="{00000000-0005-0000-0000-00006D340000}"/>
    <cellStyle name="Normal 2 13 50" xfId="14210" xr:uid="{00000000-0005-0000-0000-00006E340000}"/>
    <cellStyle name="Normal 2 13 51" xfId="14211" xr:uid="{00000000-0005-0000-0000-00006F340000}"/>
    <cellStyle name="Normal 2 13 52" xfId="14212" xr:uid="{00000000-0005-0000-0000-000070340000}"/>
    <cellStyle name="Normal 2 13 53" xfId="14213" xr:uid="{00000000-0005-0000-0000-000071340000}"/>
    <cellStyle name="Normal 2 13 54" xfId="14214" xr:uid="{00000000-0005-0000-0000-000072340000}"/>
    <cellStyle name="Normal 2 13 6" xfId="14215" xr:uid="{00000000-0005-0000-0000-000073340000}"/>
    <cellStyle name="Normal 2 13 7" xfId="14216" xr:uid="{00000000-0005-0000-0000-000074340000}"/>
    <cellStyle name="Normal 2 13 8" xfId="14217" xr:uid="{00000000-0005-0000-0000-000075340000}"/>
    <cellStyle name="Normal 2 13 9" xfId="14218" xr:uid="{00000000-0005-0000-0000-000076340000}"/>
    <cellStyle name="Normal 2 14" xfId="14219" xr:uid="{00000000-0005-0000-0000-000077340000}"/>
    <cellStyle name="Normal 2 14 10" xfId="14220" xr:uid="{00000000-0005-0000-0000-000078340000}"/>
    <cellStyle name="Normal 2 14 11" xfId="14221" xr:uid="{00000000-0005-0000-0000-000079340000}"/>
    <cellStyle name="Normal 2 14 12" xfId="14222" xr:uid="{00000000-0005-0000-0000-00007A340000}"/>
    <cellStyle name="Normal 2 14 13" xfId="14223" xr:uid="{00000000-0005-0000-0000-00007B340000}"/>
    <cellStyle name="Normal 2 14 14" xfId="14224" xr:uid="{00000000-0005-0000-0000-00007C340000}"/>
    <cellStyle name="Normal 2 14 15" xfId="14225" xr:uid="{00000000-0005-0000-0000-00007D340000}"/>
    <cellStyle name="Normal 2 14 16" xfId="14226" xr:uid="{00000000-0005-0000-0000-00007E340000}"/>
    <cellStyle name="Normal 2 14 17" xfId="14227" xr:uid="{00000000-0005-0000-0000-00007F340000}"/>
    <cellStyle name="Normal 2 14 18" xfId="14228" xr:uid="{00000000-0005-0000-0000-000080340000}"/>
    <cellStyle name="Normal 2 14 19" xfId="14229" xr:uid="{00000000-0005-0000-0000-000081340000}"/>
    <cellStyle name="Normal 2 14 2" xfId="14230" xr:uid="{00000000-0005-0000-0000-000082340000}"/>
    <cellStyle name="Normal 2 14 20" xfId="14231" xr:uid="{00000000-0005-0000-0000-000083340000}"/>
    <cellStyle name="Normal 2 14 21" xfId="14232" xr:uid="{00000000-0005-0000-0000-000084340000}"/>
    <cellStyle name="Normal 2 14 22" xfId="14233" xr:uid="{00000000-0005-0000-0000-000085340000}"/>
    <cellStyle name="Normal 2 14 23" xfId="14234" xr:uid="{00000000-0005-0000-0000-000086340000}"/>
    <cellStyle name="Normal 2 14 24" xfId="14235" xr:uid="{00000000-0005-0000-0000-000087340000}"/>
    <cellStyle name="Normal 2 14 25" xfId="14236" xr:uid="{00000000-0005-0000-0000-000088340000}"/>
    <cellStyle name="Normal 2 14 26" xfId="14237" xr:uid="{00000000-0005-0000-0000-000089340000}"/>
    <cellStyle name="Normal 2 14 27" xfId="14238" xr:uid="{00000000-0005-0000-0000-00008A340000}"/>
    <cellStyle name="Normal 2 14 28" xfId="14239" xr:uid="{00000000-0005-0000-0000-00008B340000}"/>
    <cellStyle name="Normal 2 14 29" xfId="14240" xr:uid="{00000000-0005-0000-0000-00008C340000}"/>
    <cellStyle name="Normal 2 14 3" xfId="14241" xr:uid="{00000000-0005-0000-0000-00008D340000}"/>
    <cellStyle name="Normal 2 14 30" xfId="14242" xr:uid="{00000000-0005-0000-0000-00008E340000}"/>
    <cellStyle name="Normal 2 14 31" xfId="14243" xr:uid="{00000000-0005-0000-0000-00008F340000}"/>
    <cellStyle name="Normal 2 14 32" xfId="14244" xr:uid="{00000000-0005-0000-0000-000090340000}"/>
    <cellStyle name="Normal 2 14 33" xfId="14245" xr:uid="{00000000-0005-0000-0000-000091340000}"/>
    <cellStyle name="Normal 2 14 34" xfId="14246" xr:uid="{00000000-0005-0000-0000-000092340000}"/>
    <cellStyle name="Normal 2 14 35" xfId="14247" xr:uid="{00000000-0005-0000-0000-000093340000}"/>
    <cellStyle name="Normal 2 14 36" xfId="14248" xr:uid="{00000000-0005-0000-0000-000094340000}"/>
    <cellStyle name="Normal 2 14 37" xfId="14249" xr:uid="{00000000-0005-0000-0000-000095340000}"/>
    <cellStyle name="Normal 2 14 38" xfId="14250" xr:uid="{00000000-0005-0000-0000-000096340000}"/>
    <cellStyle name="Normal 2 14 39" xfId="14251" xr:uid="{00000000-0005-0000-0000-000097340000}"/>
    <cellStyle name="Normal 2 14 4" xfId="14252" xr:uid="{00000000-0005-0000-0000-000098340000}"/>
    <cellStyle name="Normal 2 14 40" xfId="14253" xr:uid="{00000000-0005-0000-0000-000099340000}"/>
    <cellStyle name="Normal 2 14 41" xfId="14254" xr:uid="{00000000-0005-0000-0000-00009A340000}"/>
    <cellStyle name="Normal 2 14 42" xfId="14255" xr:uid="{00000000-0005-0000-0000-00009B340000}"/>
    <cellStyle name="Normal 2 14 43" xfId="14256" xr:uid="{00000000-0005-0000-0000-00009C340000}"/>
    <cellStyle name="Normal 2 14 44" xfId="14257" xr:uid="{00000000-0005-0000-0000-00009D340000}"/>
    <cellStyle name="Normal 2 14 45" xfId="14258" xr:uid="{00000000-0005-0000-0000-00009E340000}"/>
    <cellStyle name="Normal 2 14 46" xfId="14259" xr:uid="{00000000-0005-0000-0000-00009F340000}"/>
    <cellStyle name="Normal 2 14 5" xfId="14260" xr:uid="{00000000-0005-0000-0000-0000A0340000}"/>
    <cellStyle name="Normal 2 14 6" xfId="14261" xr:uid="{00000000-0005-0000-0000-0000A1340000}"/>
    <cellStyle name="Normal 2 14 7" xfId="14262" xr:uid="{00000000-0005-0000-0000-0000A2340000}"/>
    <cellStyle name="Normal 2 14 8" xfId="14263" xr:uid="{00000000-0005-0000-0000-0000A3340000}"/>
    <cellStyle name="Normal 2 14 9" xfId="14264" xr:uid="{00000000-0005-0000-0000-0000A4340000}"/>
    <cellStyle name="Normal 2 15" xfId="14265" xr:uid="{00000000-0005-0000-0000-0000A5340000}"/>
    <cellStyle name="Normal 2 15 10" xfId="14266" xr:uid="{00000000-0005-0000-0000-0000A6340000}"/>
    <cellStyle name="Normal 2 15 11" xfId="14267" xr:uid="{00000000-0005-0000-0000-0000A7340000}"/>
    <cellStyle name="Normal 2 15 12" xfId="14268" xr:uid="{00000000-0005-0000-0000-0000A8340000}"/>
    <cellStyle name="Normal 2 15 13" xfId="14269" xr:uid="{00000000-0005-0000-0000-0000A9340000}"/>
    <cellStyle name="Normal 2 15 14" xfId="14270" xr:uid="{00000000-0005-0000-0000-0000AA340000}"/>
    <cellStyle name="Normal 2 15 15" xfId="14271" xr:uid="{00000000-0005-0000-0000-0000AB340000}"/>
    <cellStyle name="Normal 2 15 16" xfId="14272" xr:uid="{00000000-0005-0000-0000-0000AC340000}"/>
    <cellStyle name="Normal 2 15 17" xfId="14273" xr:uid="{00000000-0005-0000-0000-0000AD340000}"/>
    <cellStyle name="Normal 2 15 18" xfId="14274" xr:uid="{00000000-0005-0000-0000-0000AE340000}"/>
    <cellStyle name="Normal 2 15 19" xfId="14275" xr:uid="{00000000-0005-0000-0000-0000AF340000}"/>
    <cellStyle name="Normal 2 15 2" xfId="14276" xr:uid="{00000000-0005-0000-0000-0000B0340000}"/>
    <cellStyle name="Normal 2 15 20" xfId="14277" xr:uid="{00000000-0005-0000-0000-0000B1340000}"/>
    <cellStyle name="Normal 2 15 21" xfId="14278" xr:uid="{00000000-0005-0000-0000-0000B2340000}"/>
    <cellStyle name="Normal 2 15 22" xfId="14279" xr:uid="{00000000-0005-0000-0000-0000B3340000}"/>
    <cellStyle name="Normal 2 15 23" xfId="14280" xr:uid="{00000000-0005-0000-0000-0000B4340000}"/>
    <cellStyle name="Normal 2 15 24" xfId="14281" xr:uid="{00000000-0005-0000-0000-0000B5340000}"/>
    <cellStyle name="Normal 2 15 25" xfId="14282" xr:uid="{00000000-0005-0000-0000-0000B6340000}"/>
    <cellStyle name="Normal 2 15 26" xfId="14283" xr:uid="{00000000-0005-0000-0000-0000B7340000}"/>
    <cellStyle name="Normal 2 15 27" xfId="14284" xr:uid="{00000000-0005-0000-0000-0000B8340000}"/>
    <cellStyle name="Normal 2 15 28" xfId="14285" xr:uid="{00000000-0005-0000-0000-0000B9340000}"/>
    <cellStyle name="Normal 2 15 29" xfId="14286" xr:uid="{00000000-0005-0000-0000-0000BA340000}"/>
    <cellStyle name="Normal 2 15 3" xfId="14287" xr:uid="{00000000-0005-0000-0000-0000BB340000}"/>
    <cellStyle name="Normal 2 15 30" xfId="14288" xr:uid="{00000000-0005-0000-0000-0000BC340000}"/>
    <cellStyle name="Normal 2 15 31" xfId="14289" xr:uid="{00000000-0005-0000-0000-0000BD340000}"/>
    <cellStyle name="Normal 2 15 32" xfId="14290" xr:uid="{00000000-0005-0000-0000-0000BE340000}"/>
    <cellStyle name="Normal 2 15 33" xfId="14291" xr:uid="{00000000-0005-0000-0000-0000BF340000}"/>
    <cellStyle name="Normal 2 15 34" xfId="14292" xr:uid="{00000000-0005-0000-0000-0000C0340000}"/>
    <cellStyle name="Normal 2 15 35" xfId="14293" xr:uid="{00000000-0005-0000-0000-0000C1340000}"/>
    <cellStyle name="Normal 2 15 36" xfId="14294" xr:uid="{00000000-0005-0000-0000-0000C2340000}"/>
    <cellStyle name="Normal 2 15 37" xfId="14295" xr:uid="{00000000-0005-0000-0000-0000C3340000}"/>
    <cellStyle name="Normal 2 15 38" xfId="14296" xr:uid="{00000000-0005-0000-0000-0000C4340000}"/>
    <cellStyle name="Normal 2 15 39" xfId="14297" xr:uid="{00000000-0005-0000-0000-0000C5340000}"/>
    <cellStyle name="Normal 2 15 4" xfId="14298" xr:uid="{00000000-0005-0000-0000-0000C6340000}"/>
    <cellStyle name="Normal 2 15 40" xfId="14299" xr:uid="{00000000-0005-0000-0000-0000C7340000}"/>
    <cellStyle name="Normal 2 15 41" xfId="14300" xr:uid="{00000000-0005-0000-0000-0000C8340000}"/>
    <cellStyle name="Normal 2 15 42" xfId="14301" xr:uid="{00000000-0005-0000-0000-0000C9340000}"/>
    <cellStyle name="Normal 2 15 43" xfId="14302" xr:uid="{00000000-0005-0000-0000-0000CA340000}"/>
    <cellStyle name="Normal 2 15 44" xfId="14303" xr:uid="{00000000-0005-0000-0000-0000CB340000}"/>
    <cellStyle name="Normal 2 15 45" xfId="14304" xr:uid="{00000000-0005-0000-0000-0000CC340000}"/>
    <cellStyle name="Normal 2 15 46" xfId="14305" xr:uid="{00000000-0005-0000-0000-0000CD340000}"/>
    <cellStyle name="Normal 2 15 5" xfId="14306" xr:uid="{00000000-0005-0000-0000-0000CE340000}"/>
    <cellStyle name="Normal 2 15 6" xfId="14307" xr:uid="{00000000-0005-0000-0000-0000CF340000}"/>
    <cellStyle name="Normal 2 15 7" xfId="14308" xr:uid="{00000000-0005-0000-0000-0000D0340000}"/>
    <cellStyle name="Normal 2 15 8" xfId="14309" xr:uid="{00000000-0005-0000-0000-0000D1340000}"/>
    <cellStyle name="Normal 2 15 9" xfId="14310" xr:uid="{00000000-0005-0000-0000-0000D2340000}"/>
    <cellStyle name="Normal 2 16" xfId="14311" xr:uid="{00000000-0005-0000-0000-0000D3340000}"/>
    <cellStyle name="Normal 2 16 10" xfId="14312" xr:uid="{00000000-0005-0000-0000-0000D4340000}"/>
    <cellStyle name="Normal 2 16 11" xfId="14313" xr:uid="{00000000-0005-0000-0000-0000D5340000}"/>
    <cellStyle name="Normal 2 16 12" xfId="14314" xr:uid="{00000000-0005-0000-0000-0000D6340000}"/>
    <cellStyle name="Normal 2 16 13" xfId="14315" xr:uid="{00000000-0005-0000-0000-0000D7340000}"/>
    <cellStyle name="Normal 2 16 14" xfId="14316" xr:uid="{00000000-0005-0000-0000-0000D8340000}"/>
    <cellStyle name="Normal 2 16 15" xfId="14317" xr:uid="{00000000-0005-0000-0000-0000D9340000}"/>
    <cellStyle name="Normal 2 16 16" xfId="14318" xr:uid="{00000000-0005-0000-0000-0000DA340000}"/>
    <cellStyle name="Normal 2 16 17" xfId="14319" xr:uid="{00000000-0005-0000-0000-0000DB340000}"/>
    <cellStyle name="Normal 2 16 18" xfId="14320" xr:uid="{00000000-0005-0000-0000-0000DC340000}"/>
    <cellStyle name="Normal 2 16 19" xfId="14321" xr:uid="{00000000-0005-0000-0000-0000DD340000}"/>
    <cellStyle name="Normal 2 16 2" xfId="14322" xr:uid="{00000000-0005-0000-0000-0000DE340000}"/>
    <cellStyle name="Normal 2 16 20" xfId="14323" xr:uid="{00000000-0005-0000-0000-0000DF340000}"/>
    <cellStyle name="Normal 2 16 21" xfId="14324" xr:uid="{00000000-0005-0000-0000-0000E0340000}"/>
    <cellStyle name="Normal 2 16 22" xfId="14325" xr:uid="{00000000-0005-0000-0000-0000E1340000}"/>
    <cellStyle name="Normal 2 16 23" xfId="14326" xr:uid="{00000000-0005-0000-0000-0000E2340000}"/>
    <cellStyle name="Normal 2 16 24" xfId="14327" xr:uid="{00000000-0005-0000-0000-0000E3340000}"/>
    <cellStyle name="Normal 2 16 25" xfId="14328" xr:uid="{00000000-0005-0000-0000-0000E4340000}"/>
    <cellStyle name="Normal 2 16 26" xfId="14329" xr:uid="{00000000-0005-0000-0000-0000E5340000}"/>
    <cellStyle name="Normal 2 16 27" xfId="14330" xr:uid="{00000000-0005-0000-0000-0000E6340000}"/>
    <cellStyle name="Normal 2 16 28" xfId="14331" xr:uid="{00000000-0005-0000-0000-0000E7340000}"/>
    <cellStyle name="Normal 2 16 29" xfId="14332" xr:uid="{00000000-0005-0000-0000-0000E8340000}"/>
    <cellStyle name="Normal 2 16 3" xfId="14333" xr:uid="{00000000-0005-0000-0000-0000E9340000}"/>
    <cellStyle name="Normal 2 16 30" xfId="14334" xr:uid="{00000000-0005-0000-0000-0000EA340000}"/>
    <cellStyle name="Normal 2 16 31" xfId="14335" xr:uid="{00000000-0005-0000-0000-0000EB340000}"/>
    <cellStyle name="Normal 2 16 32" xfId="14336" xr:uid="{00000000-0005-0000-0000-0000EC340000}"/>
    <cellStyle name="Normal 2 16 33" xfId="14337" xr:uid="{00000000-0005-0000-0000-0000ED340000}"/>
    <cellStyle name="Normal 2 16 34" xfId="14338" xr:uid="{00000000-0005-0000-0000-0000EE340000}"/>
    <cellStyle name="Normal 2 16 35" xfId="14339" xr:uid="{00000000-0005-0000-0000-0000EF340000}"/>
    <cellStyle name="Normal 2 16 36" xfId="14340" xr:uid="{00000000-0005-0000-0000-0000F0340000}"/>
    <cellStyle name="Normal 2 16 37" xfId="14341" xr:uid="{00000000-0005-0000-0000-0000F1340000}"/>
    <cellStyle name="Normal 2 16 38" xfId="14342" xr:uid="{00000000-0005-0000-0000-0000F2340000}"/>
    <cellStyle name="Normal 2 16 39" xfId="14343" xr:uid="{00000000-0005-0000-0000-0000F3340000}"/>
    <cellStyle name="Normal 2 16 4" xfId="14344" xr:uid="{00000000-0005-0000-0000-0000F4340000}"/>
    <cellStyle name="Normal 2 16 40" xfId="14345" xr:uid="{00000000-0005-0000-0000-0000F5340000}"/>
    <cellStyle name="Normal 2 16 41" xfId="14346" xr:uid="{00000000-0005-0000-0000-0000F6340000}"/>
    <cellStyle name="Normal 2 16 42" xfId="14347" xr:uid="{00000000-0005-0000-0000-0000F7340000}"/>
    <cellStyle name="Normal 2 16 43" xfId="14348" xr:uid="{00000000-0005-0000-0000-0000F8340000}"/>
    <cellStyle name="Normal 2 16 44" xfId="14349" xr:uid="{00000000-0005-0000-0000-0000F9340000}"/>
    <cellStyle name="Normal 2 16 45" xfId="14350" xr:uid="{00000000-0005-0000-0000-0000FA340000}"/>
    <cellStyle name="Normal 2 16 46" xfId="14351" xr:uid="{00000000-0005-0000-0000-0000FB340000}"/>
    <cellStyle name="Normal 2 16 5" xfId="14352" xr:uid="{00000000-0005-0000-0000-0000FC340000}"/>
    <cellStyle name="Normal 2 16 6" xfId="14353" xr:uid="{00000000-0005-0000-0000-0000FD340000}"/>
    <cellStyle name="Normal 2 16 7" xfId="14354" xr:uid="{00000000-0005-0000-0000-0000FE340000}"/>
    <cellStyle name="Normal 2 16 8" xfId="14355" xr:uid="{00000000-0005-0000-0000-0000FF340000}"/>
    <cellStyle name="Normal 2 16 9" xfId="14356" xr:uid="{00000000-0005-0000-0000-000000350000}"/>
    <cellStyle name="Normal 2 17" xfId="14357" xr:uid="{00000000-0005-0000-0000-000001350000}"/>
    <cellStyle name="Normal 2 17 10" xfId="14358" xr:uid="{00000000-0005-0000-0000-000002350000}"/>
    <cellStyle name="Normal 2 17 11" xfId="14359" xr:uid="{00000000-0005-0000-0000-000003350000}"/>
    <cellStyle name="Normal 2 17 12" xfId="14360" xr:uid="{00000000-0005-0000-0000-000004350000}"/>
    <cellStyle name="Normal 2 17 13" xfId="14361" xr:uid="{00000000-0005-0000-0000-000005350000}"/>
    <cellStyle name="Normal 2 17 14" xfId="14362" xr:uid="{00000000-0005-0000-0000-000006350000}"/>
    <cellStyle name="Normal 2 17 15" xfId="14363" xr:uid="{00000000-0005-0000-0000-000007350000}"/>
    <cellStyle name="Normal 2 17 16" xfId="14364" xr:uid="{00000000-0005-0000-0000-000008350000}"/>
    <cellStyle name="Normal 2 17 17" xfId="14365" xr:uid="{00000000-0005-0000-0000-000009350000}"/>
    <cellStyle name="Normal 2 17 18" xfId="14366" xr:uid="{00000000-0005-0000-0000-00000A350000}"/>
    <cellStyle name="Normal 2 17 19" xfId="14367" xr:uid="{00000000-0005-0000-0000-00000B350000}"/>
    <cellStyle name="Normal 2 17 2" xfId="14368" xr:uid="{00000000-0005-0000-0000-00000C350000}"/>
    <cellStyle name="Normal 2 17 20" xfId="14369" xr:uid="{00000000-0005-0000-0000-00000D350000}"/>
    <cellStyle name="Normal 2 17 21" xfId="14370" xr:uid="{00000000-0005-0000-0000-00000E350000}"/>
    <cellStyle name="Normal 2 17 22" xfId="14371" xr:uid="{00000000-0005-0000-0000-00000F350000}"/>
    <cellStyle name="Normal 2 17 23" xfId="14372" xr:uid="{00000000-0005-0000-0000-000010350000}"/>
    <cellStyle name="Normal 2 17 24" xfId="14373" xr:uid="{00000000-0005-0000-0000-000011350000}"/>
    <cellStyle name="Normal 2 17 25" xfId="14374" xr:uid="{00000000-0005-0000-0000-000012350000}"/>
    <cellStyle name="Normal 2 17 26" xfId="14375" xr:uid="{00000000-0005-0000-0000-000013350000}"/>
    <cellStyle name="Normal 2 17 27" xfId="14376" xr:uid="{00000000-0005-0000-0000-000014350000}"/>
    <cellStyle name="Normal 2 17 28" xfId="14377" xr:uid="{00000000-0005-0000-0000-000015350000}"/>
    <cellStyle name="Normal 2 17 29" xfId="14378" xr:uid="{00000000-0005-0000-0000-000016350000}"/>
    <cellStyle name="Normal 2 17 3" xfId="14379" xr:uid="{00000000-0005-0000-0000-000017350000}"/>
    <cellStyle name="Normal 2 17 30" xfId="14380" xr:uid="{00000000-0005-0000-0000-000018350000}"/>
    <cellStyle name="Normal 2 17 31" xfId="14381" xr:uid="{00000000-0005-0000-0000-000019350000}"/>
    <cellStyle name="Normal 2 17 32" xfId="14382" xr:uid="{00000000-0005-0000-0000-00001A350000}"/>
    <cellStyle name="Normal 2 17 33" xfId="14383" xr:uid="{00000000-0005-0000-0000-00001B350000}"/>
    <cellStyle name="Normal 2 17 34" xfId="14384" xr:uid="{00000000-0005-0000-0000-00001C350000}"/>
    <cellStyle name="Normal 2 17 35" xfId="14385" xr:uid="{00000000-0005-0000-0000-00001D350000}"/>
    <cellStyle name="Normal 2 17 36" xfId="14386" xr:uid="{00000000-0005-0000-0000-00001E350000}"/>
    <cellStyle name="Normal 2 17 37" xfId="14387" xr:uid="{00000000-0005-0000-0000-00001F350000}"/>
    <cellStyle name="Normal 2 17 38" xfId="14388" xr:uid="{00000000-0005-0000-0000-000020350000}"/>
    <cellStyle name="Normal 2 17 39" xfId="14389" xr:uid="{00000000-0005-0000-0000-000021350000}"/>
    <cellStyle name="Normal 2 17 4" xfId="14390" xr:uid="{00000000-0005-0000-0000-000022350000}"/>
    <cellStyle name="Normal 2 17 40" xfId="14391" xr:uid="{00000000-0005-0000-0000-000023350000}"/>
    <cellStyle name="Normal 2 17 41" xfId="14392" xr:uid="{00000000-0005-0000-0000-000024350000}"/>
    <cellStyle name="Normal 2 17 42" xfId="14393" xr:uid="{00000000-0005-0000-0000-000025350000}"/>
    <cellStyle name="Normal 2 17 43" xfId="14394" xr:uid="{00000000-0005-0000-0000-000026350000}"/>
    <cellStyle name="Normal 2 17 44" xfId="14395" xr:uid="{00000000-0005-0000-0000-000027350000}"/>
    <cellStyle name="Normal 2 17 45" xfId="14396" xr:uid="{00000000-0005-0000-0000-000028350000}"/>
    <cellStyle name="Normal 2 17 46" xfId="14397" xr:uid="{00000000-0005-0000-0000-000029350000}"/>
    <cellStyle name="Normal 2 17 5" xfId="14398" xr:uid="{00000000-0005-0000-0000-00002A350000}"/>
    <cellStyle name="Normal 2 17 6" xfId="14399" xr:uid="{00000000-0005-0000-0000-00002B350000}"/>
    <cellStyle name="Normal 2 17 7" xfId="14400" xr:uid="{00000000-0005-0000-0000-00002C350000}"/>
    <cellStyle name="Normal 2 17 8" xfId="14401" xr:uid="{00000000-0005-0000-0000-00002D350000}"/>
    <cellStyle name="Normal 2 17 9" xfId="14402" xr:uid="{00000000-0005-0000-0000-00002E350000}"/>
    <cellStyle name="Normal 2 18" xfId="14403" xr:uid="{00000000-0005-0000-0000-00002F350000}"/>
    <cellStyle name="Normal 2 18 10" xfId="14404" xr:uid="{00000000-0005-0000-0000-000030350000}"/>
    <cellStyle name="Normal 2 18 11" xfId="14405" xr:uid="{00000000-0005-0000-0000-000031350000}"/>
    <cellStyle name="Normal 2 18 12" xfId="14406" xr:uid="{00000000-0005-0000-0000-000032350000}"/>
    <cellStyle name="Normal 2 18 13" xfId="14407" xr:uid="{00000000-0005-0000-0000-000033350000}"/>
    <cellStyle name="Normal 2 18 14" xfId="14408" xr:uid="{00000000-0005-0000-0000-000034350000}"/>
    <cellStyle name="Normal 2 18 15" xfId="14409" xr:uid="{00000000-0005-0000-0000-000035350000}"/>
    <cellStyle name="Normal 2 18 16" xfId="14410" xr:uid="{00000000-0005-0000-0000-000036350000}"/>
    <cellStyle name="Normal 2 18 17" xfId="14411" xr:uid="{00000000-0005-0000-0000-000037350000}"/>
    <cellStyle name="Normal 2 18 18" xfId="14412" xr:uid="{00000000-0005-0000-0000-000038350000}"/>
    <cellStyle name="Normal 2 18 19" xfId="14413" xr:uid="{00000000-0005-0000-0000-000039350000}"/>
    <cellStyle name="Normal 2 18 2" xfId="14414" xr:uid="{00000000-0005-0000-0000-00003A350000}"/>
    <cellStyle name="Normal 2 18 20" xfId="14415" xr:uid="{00000000-0005-0000-0000-00003B350000}"/>
    <cellStyle name="Normal 2 18 21" xfId="14416" xr:uid="{00000000-0005-0000-0000-00003C350000}"/>
    <cellStyle name="Normal 2 18 22" xfId="14417" xr:uid="{00000000-0005-0000-0000-00003D350000}"/>
    <cellStyle name="Normal 2 18 23" xfId="14418" xr:uid="{00000000-0005-0000-0000-00003E350000}"/>
    <cellStyle name="Normal 2 18 24" xfId="14419" xr:uid="{00000000-0005-0000-0000-00003F350000}"/>
    <cellStyle name="Normal 2 18 25" xfId="14420" xr:uid="{00000000-0005-0000-0000-000040350000}"/>
    <cellStyle name="Normal 2 18 26" xfId="14421" xr:uid="{00000000-0005-0000-0000-000041350000}"/>
    <cellStyle name="Normal 2 18 27" xfId="14422" xr:uid="{00000000-0005-0000-0000-000042350000}"/>
    <cellStyle name="Normal 2 18 28" xfId="14423" xr:uid="{00000000-0005-0000-0000-000043350000}"/>
    <cellStyle name="Normal 2 18 29" xfId="14424" xr:uid="{00000000-0005-0000-0000-000044350000}"/>
    <cellStyle name="Normal 2 18 3" xfId="14425" xr:uid="{00000000-0005-0000-0000-000045350000}"/>
    <cellStyle name="Normal 2 18 30" xfId="14426" xr:uid="{00000000-0005-0000-0000-000046350000}"/>
    <cellStyle name="Normal 2 18 31" xfId="14427" xr:uid="{00000000-0005-0000-0000-000047350000}"/>
    <cellStyle name="Normal 2 18 32" xfId="14428" xr:uid="{00000000-0005-0000-0000-000048350000}"/>
    <cellStyle name="Normal 2 18 33" xfId="14429" xr:uid="{00000000-0005-0000-0000-000049350000}"/>
    <cellStyle name="Normal 2 18 34" xfId="14430" xr:uid="{00000000-0005-0000-0000-00004A350000}"/>
    <cellStyle name="Normal 2 18 35" xfId="14431" xr:uid="{00000000-0005-0000-0000-00004B350000}"/>
    <cellStyle name="Normal 2 18 36" xfId="14432" xr:uid="{00000000-0005-0000-0000-00004C350000}"/>
    <cellStyle name="Normal 2 18 37" xfId="14433" xr:uid="{00000000-0005-0000-0000-00004D350000}"/>
    <cellStyle name="Normal 2 18 38" xfId="14434" xr:uid="{00000000-0005-0000-0000-00004E350000}"/>
    <cellStyle name="Normal 2 18 39" xfId="14435" xr:uid="{00000000-0005-0000-0000-00004F350000}"/>
    <cellStyle name="Normal 2 18 4" xfId="14436" xr:uid="{00000000-0005-0000-0000-000050350000}"/>
    <cellStyle name="Normal 2 18 40" xfId="14437" xr:uid="{00000000-0005-0000-0000-000051350000}"/>
    <cellStyle name="Normal 2 18 41" xfId="14438" xr:uid="{00000000-0005-0000-0000-000052350000}"/>
    <cellStyle name="Normal 2 18 42" xfId="14439" xr:uid="{00000000-0005-0000-0000-000053350000}"/>
    <cellStyle name="Normal 2 18 43" xfId="14440" xr:uid="{00000000-0005-0000-0000-000054350000}"/>
    <cellStyle name="Normal 2 18 44" xfId="14441" xr:uid="{00000000-0005-0000-0000-000055350000}"/>
    <cellStyle name="Normal 2 18 45" xfId="14442" xr:uid="{00000000-0005-0000-0000-000056350000}"/>
    <cellStyle name="Normal 2 18 46" xfId="14443" xr:uid="{00000000-0005-0000-0000-000057350000}"/>
    <cellStyle name="Normal 2 18 5" xfId="14444" xr:uid="{00000000-0005-0000-0000-000058350000}"/>
    <cellStyle name="Normal 2 18 6" xfId="14445" xr:uid="{00000000-0005-0000-0000-000059350000}"/>
    <cellStyle name="Normal 2 18 7" xfId="14446" xr:uid="{00000000-0005-0000-0000-00005A350000}"/>
    <cellStyle name="Normal 2 18 8" xfId="14447" xr:uid="{00000000-0005-0000-0000-00005B350000}"/>
    <cellStyle name="Normal 2 18 9" xfId="14448" xr:uid="{00000000-0005-0000-0000-00005C350000}"/>
    <cellStyle name="Normal 2 19" xfId="14449" xr:uid="{00000000-0005-0000-0000-00005D350000}"/>
    <cellStyle name="Normal 2 19 10" xfId="14450" xr:uid="{00000000-0005-0000-0000-00005E350000}"/>
    <cellStyle name="Normal 2 19 11" xfId="14451" xr:uid="{00000000-0005-0000-0000-00005F350000}"/>
    <cellStyle name="Normal 2 19 12" xfId="14452" xr:uid="{00000000-0005-0000-0000-000060350000}"/>
    <cellStyle name="Normal 2 19 13" xfId="14453" xr:uid="{00000000-0005-0000-0000-000061350000}"/>
    <cellStyle name="Normal 2 19 14" xfId="14454" xr:uid="{00000000-0005-0000-0000-000062350000}"/>
    <cellStyle name="Normal 2 19 15" xfId="14455" xr:uid="{00000000-0005-0000-0000-000063350000}"/>
    <cellStyle name="Normal 2 19 16" xfId="14456" xr:uid="{00000000-0005-0000-0000-000064350000}"/>
    <cellStyle name="Normal 2 19 17" xfId="14457" xr:uid="{00000000-0005-0000-0000-000065350000}"/>
    <cellStyle name="Normal 2 19 18" xfId="14458" xr:uid="{00000000-0005-0000-0000-000066350000}"/>
    <cellStyle name="Normal 2 19 19" xfId="14459" xr:uid="{00000000-0005-0000-0000-000067350000}"/>
    <cellStyle name="Normal 2 19 2" xfId="14460" xr:uid="{00000000-0005-0000-0000-000068350000}"/>
    <cellStyle name="Normal 2 19 20" xfId="14461" xr:uid="{00000000-0005-0000-0000-000069350000}"/>
    <cellStyle name="Normal 2 19 21" xfId="14462" xr:uid="{00000000-0005-0000-0000-00006A350000}"/>
    <cellStyle name="Normal 2 19 22" xfId="14463" xr:uid="{00000000-0005-0000-0000-00006B350000}"/>
    <cellStyle name="Normal 2 19 23" xfId="14464" xr:uid="{00000000-0005-0000-0000-00006C350000}"/>
    <cellStyle name="Normal 2 19 24" xfId="14465" xr:uid="{00000000-0005-0000-0000-00006D350000}"/>
    <cellStyle name="Normal 2 19 25" xfId="14466" xr:uid="{00000000-0005-0000-0000-00006E350000}"/>
    <cellStyle name="Normal 2 19 26" xfId="14467" xr:uid="{00000000-0005-0000-0000-00006F350000}"/>
    <cellStyle name="Normal 2 19 27" xfId="14468" xr:uid="{00000000-0005-0000-0000-000070350000}"/>
    <cellStyle name="Normal 2 19 28" xfId="14469" xr:uid="{00000000-0005-0000-0000-000071350000}"/>
    <cellStyle name="Normal 2 19 29" xfId="14470" xr:uid="{00000000-0005-0000-0000-000072350000}"/>
    <cellStyle name="Normal 2 19 3" xfId="14471" xr:uid="{00000000-0005-0000-0000-000073350000}"/>
    <cellStyle name="Normal 2 19 30" xfId="14472" xr:uid="{00000000-0005-0000-0000-000074350000}"/>
    <cellStyle name="Normal 2 19 31" xfId="14473" xr:uid="{00000000-0005-0000-0000-000075350000}"/>
    <cellStyle name="Normal 2 19 32" xfId="14474" xr:uid="{00000000-0005-0000-0000-000076350000}"/>
    <cellStyle name="Normal 2 19 33" xfId="14475" xr:uid="{00000000-0005-0000-0000-000077350000}"/>
    <cellStyle name="Normal 2 19 34" xfId="14476" xr:uid="{00000000-0005-0000-0000-000078350000}"/>
    <cellStyle name="Normal 2 19 35" xfId="14477" xr:uid="{00000000-0005-0000-0000-000079350000}"/>
    <cellStyle name="Normal 2 19 36" xfId="14478" xr:uid="{00000000-0005-0000-0000-00007A350000}"/>
    <cellStyle name="Normal 2 19 37" xfId="14479" xr:uid="{00000000-0005-0000-0000-00007B350000}"/>
    <cellStyle name="Normal 2 19 38" xfId="14480" xr:uid="{00000000-0005-0000-0000-00007C350000}"/>
    <cellStyle name="Normal 2 19 39" xfId="14481" xr:uid="{00000000-0005-0000-0000-00007D350000}"/>
    <cellStyle name="Normal 2 19 4" xfId="14482" xr:uid="{00000000-0005-0000-0000-00007E350000}"/>
    <cellStyle name="Normal 2 19 40" xfId="14483" xr:uid="{00000000-0005-0000-0000-00007F350000}"/>
    <cellStyle name="Normal 2 19 41" xfId="14484" xr:uid="{00000000-0005-0000-0000-000080350000}"/>
    <cellStyle name="Normal 2 19 42" xfId="14485" xr:uid="{00000000-0005-0000-0000-000081350000}"/>
    <cellStyle name="Normal 2 19 43" xfId="14486" xr:uid="{00000000-0005-0000-0000-000082350000}"/>
    <cellStyle name="Normal 2 19 44" xfId="14487" xr:uid="{00000000-0005-0000-0000-000083350000}"/>
    <cellStyle name="Normal 2 19 45" xfId="14488" xr:uid="{00000000-0005-0000-0000-000084350000}"/>
    <cellStyle name="Normal 2 19 46" xfId="14489" xr:uid="{00000000-0005-0000-0000-000085350000}"/>
    <cellStyle name="Normal 2 19 5" xfId="14490" xr:uid="{00000000-0005-0000-0000-000086350000}"/>
    <cellStyle name="Normal 2 19 6" xfId="14491" xr:uid="{00000000-0005-0000-0000-000087350000}"/>
    <cellStyle name="Normal 2 19 7" xfId="14492" xr:uid="{00000000-0005-0000-0000-000088350000}"/>
    <cellStyle name="Normal 2 19 8" xfId="14493" xr:uid="{00000000-0005-0000-0000-000089350000}"/>
    <cellStyle name="Normal 2 19 9" xfId="14494" xr:uid="{00000000-0005-0000-0000-00008A350000}"/>
    <cellStyle name="Normal 2 2" xfId="1052" xr:uid="{00000000-0005-0000-0000-00008B350000}"/>
    <cellStyle name="Normal 2 2 10" xfId="2244" xr:uid="{00000000-0005-0000-0000-00008C350000}"/>
    <cellStyle name="Normal 2 2 10 10" xfId="14495" xr:uid="{00000000-0005-0000-0000-00008D350000}"/>
    <cellStyle name="Normal 2 2 10 11" xfId="14496" xr:uid="{00000000-0005-0000-0000-00008E350000}"/>
    <cellStyle name="Normal 2 2 10 12" xfId="14497" xr:uid="{00000000-0005-0000-0000-00008F350000}"/>
    <cellStyle name="Normal 2 2 10 13" xfId="14498" xr:uid="{00000000-0005-0000-0000-000090350000}"/>
    <cellStyle name="Normal 2 2 10 14" xfId="14499" xr:uid="{00000000-0005-0000-0000-000091350000}"/>
    <cellStyle name="Normal 2 2 10 2" xfId="14500" xr:uid="{00000000-0005-0000-0000-000092350000}"/>
    <cellStyle name="Normal 2 2 10 2 2" xfId="14501" xr:uid="{00000000-0005-0000-0000-000093350000}"/>
    <cellStyle name="Normal 2 2 10 2 3" xfId="14502" xr:uid="{00000000-0005-0000-0000-000094350000}"/>
    <cellStyle name="Normal 2 2 10 2 4" xfId="14503" xr:uid="{00000000-0005-0000-0000-000095350000}"/>
    <cellStyle name="Normal 2 2 10 2 5" xfId="14504" xr:uid="{00000000-0005-0000-0000-000096350000}"/>
    <cellStyle name="Normal 2 2 10 2 6" xfId="14505" xr:uid="{00000000-0005-0000-0000-000097350000}"/>
    <cellStyle name="Normal 2 2 10 3" xfId="14506" xr:uid="{00000000-0005-0000-0000-000098350000}"/>
    <cellStyle name="Normal 2 2 10 3 2" xfId="14507" xr:uid="{00000000-0005-0000-0000-000099350000}"/>
    <cellStyle name="Normal 2 2 10 3 3" xfId="14508" xr:uid="{00000000-0005-0000-0000-00009A350000}"/>
    <cellStyle name="Normal 2 2 10 3 4" xfId="14509" xr:uid="{00000000-0005-0000-0000-00009B350000}"/>
    <cellStyle name="Normal 2 2 10 3 5" xfId="14510" xr:uid="{00000000-0005-0000-0000-00009C350000}"/>
    <cellStyle name="Normal 2 2 10 3 6" xfId="14511" xr:uid="{00000000-0005-0000-0000-00009D350000}"/>
    <cellStyle name="Normal 2 2 10 4" xfId="14512" xr:uid="{00000000-0005-0000-0000-00009E350000}"/>
    <cellStyle name="Normal 2 2 10 4 2" xfId="14513" xr:uid="{00000000-0005-0000-0000-00009F350000}"/>
    <cellStyle name="Normal 2 2 10 4 3" xfId="14514" xr:uid="{00000000-0005-0000-0000-0000A0350000}"/>
    <cellStyle name="Normal 2 2 10 4 4" xfId="14515" xr:uid="{00000000-0005-0000-0000-0000A1350000}"/>
    <cellStyle name="Normal 2 2 10 4 5" xfId="14516" xr:uid="{00000000-0005-0000-0000-0000A2350000}"/>
    <cellStyle name="Normal 2 2 10 4 6" xfId="14517" xr:uid="{00000000-0005-0000-0000-0000A3350000}"/>
    <cellStyle name="Normal 2 2 10 5" xfId="14518" xr:uid="{00000000-0005-0000-0000-0000A4350000}"/>
    <cellStyle name="Normal 2 2 10 5 2" xfId="14519" xr:uid="{00000000-0005-0000-0000-0000A5350000}"/>
    <cellStyle name="Normal 2 2 10 5 3" xfId="14520" xr:uid="{00000000-0005-0000-0000-0000A6350000}"/>
    <cellStyle name="Normal 2 2 10 5 4" xfId="14521" xr:uid="{00000000-0005-0000-0000-0000A7350000}"/>
    <cellStyle name="Normal 2 2 10 5 5" xfId="14522" xr:uid="{00000000-0005-0000-0000-0000A8350000}"/>
    <cellStyle name="Normal 2 2 10 5 6" xfId="14523" xr:uid="{00000000-0005-0000-0000-0000A9350000}"/>
    <cellStyle name="Normal 2 2 10 6" xfId="14524" xr:uid="{00000000-0005-0000-0000-0000AA350000}"/>
    <cellStyle name="Normal 2 2 10 6 2" xfId="14525" xr:uid="{00000000-0005-0000-0000-0000AB350000}"/>
    <cellStyle name="Normal 2 2 10 6 3" xfId="14526" xr:uid="{00000000-0005-0000-0000-0000AC350000}"/>
    <cellStyle name="Normal 2 2 10 6 4" xfId="14527" xr:uid="{00000000-0005-0000-0000-0000AD350000}"/>
    <cellStyle name="Normal 2 2 10 6 5" xfId="14528" xr:uid="{00000000-0005-0000-0000-0000AE350000}"/>
    <cellStyle name="Normal 2 2 10 6 6" xfId="14529" xr:uid="{00000000-0005-0000-0000-0000AF350000}"/>
    <cellStyle name="Normal 2 2 10 7" xfId="14530" xr:uid="{00000000-0005-0000-0000-0000B0350000}"/>
    <cellStyle name="Normal 2 2 10 7 2" xfId="14531" xr:uid="{00000000-0005-0000-0000-0000B1350000}"/>
    <cellStyle name="Normal 2 2 10 7 3" xfId="14532" xr:uid="{00000000-0005-0000-0000-0000B2350000}"/>
    <cellStyle name="Normal 2 2 10 7 4" xfId="14533" xr:uid="{00000000-0005-0000-0000-0000B3350000}"/>
    <cellStyle name="Normal 2 2 10 7 5" xfId="14534" xr:uid="{00000000-0005-0000-0000-0000B4350000}"/>
    <cellStyle name="Normal 2 2 10 7 6" xfId="14535" xr:uid="{00000000-0005-0000-0000-0000B5350000}"/>
    <cellStyle name="Normal 2 2 10 8" xfId="14536" xr:uid="{00000000-0005-0000-0000-0000B6350000}"/>
    <cellStyle name="Normal 2 2 10 8 2" xfId="14537" xr:uid="{00000000-0005-0000-0000-0000B7350000}"/>
    <cellStyle name="Normal 2 2 10 8 3" xfId="14538" xr:uid="{00000000-0005-0000-0000-0000B8350000}"/>
    <cellStyle name="Normal 2 2 10 8 4" xfId="14539" xr:uid="{00000000-0005-0000-0000-0000B9350000}"/>
    <cellStyle name="Normal 2 2 10 8 5" xfId="14540" xr:uid="{00000000-0005-0000-0000-0000BA350000}"/>
    <cellStyle name="Normal 2 2 10 8 6" xfId="14541" xr:uid="{00000000-0005-0000-0000-0000BB350000}"/>
    <cellStyle name="Normal 2 2 10 9" xfId="14542" xr:uid="{00000000-0005-0000-0000-0000BC350000}"/>
    <cellStyle name="Normal 2 2 11" xfId="14543" xr:uid="{00000000-0005-0000-0000-0000BD350000}"/>
    <cellStyle name="Normal 2 2 11 10" xfId="14544" xr:uid="{00000000-0005-0000-0000-0000BE350000}"/>
    <cellStyle name="Normal 2 2 11 11" xfId="14545" xr:uid="{00000000-0005-0000-0000-0000BF350000}"/>
    <cellStyle name="Normal 2 2 11 12" xfId="14546" xr:uid="{00000000-0005-0000-0000-0000C0350000}"/>
    <cellStyle name="Normal 2 2 11 13" xfId="14547" xr:uid="{00000000-0005-0000-0000-0000C1350000}"/>
    <cellStyle name="Normal 2 2 11 14" xfId="14548" xr:uid="{00000000-0005-0000-0000-0000C2350000}"/>
    <cellStyle name="Normal 2 2 11 2" xfId="14549" xr:uid="{00000000-0005-0000-0000-0000C3350000}"/>
    <cellStyle name="Normal 2 2 11 2 2" xfId="14550" xr:uid="{00000000-0005-0000-0000-0000C4350000}"/>
    <cellStyle name="Normal 2 2 11 2 3" xfId="14551" xr:uid="{00000000-0005-0000-0000-0000C5350000}"/>
    <cellStyle name="Normal 2 2 11 2 4" xfId="14552" xr:uid="{00000000-0005-0000-0000-0000C6350000}"/>
    <cellStyle name="Normal 2 2 11 2 5" xfId="14553" xr:uid="{00000000-0005-0000-0000-0000C7350000}"/>
    <cellStyle name="Normal 2 2 11 2 6" xfId="14554" xr:uid="{00000000-0005-0000-0000-0000C8350000}"/>
    <cellStyle name="Normal 2 2 11 3" xfId="14555" xr:uid="{00000000-0005-0000-0000-0000C9350000}"/>
    <cellStyle name="Normal 2 2 11 3 2" xfId="14556" xr:uid="{00000000-0005-0000-0000-0000CA350000}"/>
    <cellStyle name="Normal 2 2 11 3 3" xfId="14557" xr:uid="{00000000-0005-0000-0000-0000CB350000}"/>
    <cellStyle name="Normal 2 2 11 3 4" xfId="14558" xr:uid="{00000000-0005-0000-0000-0000CC350000}"/>
    <cellStyle name="Normal 2 2 11 3 5" xfId="14559" xr:uid="{00000000-0005-0000-0000-0000CD350000}"/>
    <cellStyle name="Normal 2 2 11 3 6" xfId="14560" xr:uid="{00000000-0005-0000-0000-0000CE350000}"/>
    <cellStyle name="Normal 2 2 11 4" xfId="14561" xr:uid="{00000000-0005-0000-0000-0000CF350000}"/>
    <cellStyle name="Normal 2 2 11 4 2" xfId="14562" xr:uid="{00000000-0005-0000-0000-0000D0350000}"/>
    <cellStyle name="Normal 2 2 11 4 3" xfId="14563" xr:uid="{00000000-0005-0000-0000-0000D1350000}"/>
    <cellStyle name="Normal 2 2 11 4 4" xfId="14564" xr:uid="{00000000-0005-0000-0000-0000D2350000}"/>
    <cellStyle name="Normal 2 2 11 4 5" xfId="14565" xr:uid="{00000000-0005-0000-0000-0000D3350000}"/>
    <cellStyle name="Normal 2 2 11 4 6" xfId="14566" xr:uid="{00000000-0005-0000-0000-0000D4350000}"/>
    <cellStyle name="Normal 2 2 11 5" xfId="14567" xr:uid="{00000000-0005-0000-0000-0000D5350000}"/>
    <cellStyle name="Normal 2 2 11 5 2" xfId="14568" xr:uid="{00000000-0005-0000-0000-0000D6350000}"/>
    <cellStyle name="Normal 2 2 11 5 3" xfId="14569" xr:uid="{00000000-0005-0000-0000-0000D7350000}"/>
    <cellStyle name="Normal 2 2 11 5 4" xfId="14570" xr:uid="{00000000-0005-0000-0000-0000D8350000}"/>
    <cellStyle name="Normal 2 2 11 5 5" xfId="14571" xr:uid="{00000000-0005-0000-0000-0000D9350000}"/>
    <cellStyle name="Normal 2 2 11 5 6" xfId="14572" xr:uid="{00000000-0005-0000-0000-0000DA350000}"/>
    <cellStyle name="Normal 2 2 11 6" xfId="14573" xr:uid="{00000000-0005-0000-0000-0000DB350000}"/>
    <cellStyle name="Normal 2 2 11 6 2" xfId="14574" xr:uid="{00000000-0005-0000-0000-0000DC350000}"/>
    <cellStyle name="Normal 2 2 11 6 3" xfId="14575" xr:uid="{00000000-0005-0000-0000-0000DD350000}"/>
    <cellStyle name="Normal 2 2 11 6 4" xfId="14576" xr:uid="{00000000-0005-0000-0000-0000DE350000}"/>
    <cellStyle name="Normal 2 2 11 6 5" xfId="14577" xr:uid="{00000000-0005-0000-0000-0000DF350000}"/>
    <cellStyle name="Normal 2 2 11 6 6" xfId="14578" xr:uid="{00000000-0005-0000-0000-0000E0350000}"/>
    <cellStyle name="Normal 2 2 11 7" xfId="14579" xr:uid="{00000000-0005-0000-0000-0000E1350000}"/>
    <cellStyle name="Normal 2 2 11 7 2" xfId="14580" xr:uid="{00000000-0005-0000-0000-0000E2350000}"/>
    <cellStyle name="Normal 2 2 11 7 3" xfId="14581" xr:uid="{00000000-0005-0000-0000-0000E3350000}"/>
    <cellStyle name="Normal 2 2 11 7 4" xfId="14582" xr:uid="{00000000-0005-0000-0000-0000E4350000}"/>
    <cellStyle name="Normal 2 2 11 7 5" xfId="14583" xr:uid="{00000000-0005-0000-0000-0000E5350000}"/>
    <cellStyle name="Normal 2 2 11 7 6" xfId="14584" xr:uid="{00000000-0005-0000-0000-0000E6350000}"/>
    <cellStyle name="Normal 2 2 11 8" xfId="14585" xr:uid="{00000000-0005-0000-0000-0000E7350000}"/>
    <cellStyle name="Normal 2 2 11 8 2" xfId="14586" xr:uid="{00000000-0005-0000-0000-0000E8350000}"/>
    <cellStyle name="Normal 2 2 11 8 3" xfId="14587" xr:uid="{00000000-0005-0000-0000-0000E9350000}"/>
    <cellStyle name="Normal 2 2 11 8 4" xfId="14588" xr:uid="{00000000-0005-0000-0000-0000EA350000}"/>
    <cellStyle name="Normal 2 2 11 8 5" xfId="14589" xr:uid="{00000000-0005-0000-0000-0000EB350000}"/>
    <cellStyle name="Normal 2 2 11 8 6" xfId="14590" xr:uid="{00000000-0005-0000-0000-0000EC350000}"/>
    <cellStyle name="Normal 2 2 11 9" xfId="14591" xr:uid="{00000000-0005-0000-0000-0000ED350000}"/>
    <cellStyle name="Normal 2 2 12" xfId="14592" xr:uid="{00000000-0005-0000-0000-0000EE350000}"/>
    <cellStyle name="Normal 2 2 12 10" xfId="14593" xr:uid="{00000000-0005-0000-0000-0000EF350000}"/>
    <cellStyle name="Normal 2 2 12 11" xfId="14594" xr:uid="{00000000-0005-0000-0000-0000F0350000}"/>
    <cellStyle name="Normal 2 2 12 12" xfId="14595" xr:uid="{00000000-0005-0000-0000-0000F1350000}"/>
    <cellStyle name="Normal 2 2 12 13" xfId="14596" xr:uid="{00000000-0005-0000-0000-0000F2350000}"/>
    <cellStyle name="Normal 2 2 12 14" xfId="14597" xr:uid="{00000000-0005-0000-0000-0000F3350000}"/>
    <cellStyle name="Normal 2 2 12 2" xfId="14598" xr:uid="{00000000-0005-0000-0000-0000F4350000}"/>
    <cellStyle name="Normal 2 2 12 2 2" xfId="14599" xr:uid="{00000000-0005-0000-0000-0000F5350000}"/>
    <cellStyle name="Normal 2 2 12 2 3" xfId="14600" xr:uid="{00000000-0005-0000-0000-0000F6350000}"/>
    <cellStyle name="Normal 2 2 12 2 4" xfId="14601" xr:uid="{00000000-0005-0000-0000-0000F7350000}"/>
    <cellStyle name="Normal 2 2 12 2 5" xfId="14602" xr:uid="{00000000-0005-0000-0000-0000F8350000}"/>
    <cellStyle name="Normal 2 2 12 2 6" xfId="14603" xr:uid="{00000000-0005-0000-0000-0000F9350000}"/>
    <cellStyle name="Normal 2 2 12 3" xfId="14604" xr:uid="{00000000-0005-0000-0000-0000FA350000}"/>
    <cellStyle name="Normal 2 2 12 3 2" xfId="14605" xr:uid="{00000000-0005-0000-0000-0000FB350000}"/>
    <cellStyle name="Normal 2 2 12 3 3" xfId="14606" xr:uid="{00000000-0005-0000-0000-0000FC350000}"/>
    <cellStyle name="Normal 2 2 12 3 4" xfId="14607" xr:uid="{00000000-0005-0000-0000-0000FD350000}"/>
    <cellStyle name="Normal 2 2 12 3 5" xfId="14608" xr:uid="{00000000-0005-0000-0000-0000FE350000}"/>
    <cellStyle name="Normal 2 2 12 3 6" xfId="14609" xr:uid="{00000000-0005-0000-0000-0000FF350000}"/>
    <cellStyle name="Normal 2 2 12 4" xfId="14610" xr:uid="{00000000-0005-0000-0000-000000360000}"/>
    <cellStyle name="Normal 2 2 12 4 2" xfId="14611" xr:uid="{00000000-0005-0000-0000-000001360000}"/>
    <cellStyle name="Normal 2 2 12 4 3" xfId="14612" xr:uid="{00000000-0005-0000-0000-000002360000}"/>
    <cellStyle name="Normal 2 2 12 4 4" xfId="14613" xr:uid="{00000000-0005-0000-0000-000003360000}"/>
    <cellStyle name="Normal 2 2 12 4 5" xfId="14614" xr:uid="{00000000-0005-0000-0000-000004360000}"/>
    <cellStyle name="Normal 2 2 12 4 6" xfId="14615" xr:uid="{00000000-0005-0000-0000-000005360000}"/>
    <cellStyle name="Normal 2 2 12 5" xfId="14616" xr:uid="{00000000-0005-0000-0000-000006360000}"/>
    <cellStyle name="Normal 2 2 12 5 2" xfId="14617" xr:uid="{00000000-0005-0000-0000-000007360000}"/>
    <cellStyle name="Normal 2 2 12 5 3" xfId="14618" xr:uid="{00000000-0005-0000-0000-000008360000}"/>
    <cellStyle name="Normal 2 2 12 5 4" xfId="14619" xr:uid="{00000000-0005-0000-0000-000009360000}"/>
    <cellStyle name="Normal 2 2 12 5 5" xfId="14620" xr:uid="{00000000-0005-0000-0000-00000A360000}"/>
    <cellStyle name="Normal 2 2 12 5 6" xfId="14621" xr:uid="{00000000-0005-0000-0000-00000B360000}"/>
    <cellStyle name="Normal 2 2 12 6" xfId="14622" xr:uid="{00000000-0005-0000-0000-00000C360000}"/>
    <cellStyle name="Normal 2 2 12 6 2" xfId="14623" xr:uid="{00000000-0005-0000-0000-00000D360000}"/>
    <cellStyle name="Normal 2 2 12 6 3" xfId="14624" xr:uid="{00000000-0005-0000-0000-00000E360000}"/>
    <cellStyle name="Normal 2 2 12 6 4" xfId="14625" xr:uid="{00000000-0005-0000-0000-00000F360000}"/>
    <cellStyle name="Normal 2 2 12 6 5" xfId="14626" xr:uid="{00000000-0005-0000-0000-000010360000}"/>
    <cellStyle name="Normal 2 2 12 6 6" xfId="14627" xr:uid="{00000000-0005-0000-0000-000011360000}"/>
    <cellStyle name="Normal 2 2 12 7" xfId="14628" xr:uid="{00000000-0005-0000-0000-000012360000}"/>
    <cellStyle name="Normal 2 2 12 7 2" xfId="14629" xr:uid="{00000000-0005-0000-0000-000013360000}"/>
    <cellStyle name="Normal 2 2 12 7 3" xfId="14630" xr:uid="{00000000-0005-0000-0000-000014360000}"/>
    <cellStyle name="Normal 2 2 12 7 4" xfId="14631" xr:uid="{00000000-0005-0000-0000-000015360000}"/>
    <cellStyle name="Normal 2 2 12 7 5" xfId="14632" xr:uid="{00000000-0005-0000-0000-000016360000}"/>
    <cellStyle name="Normal 2 2 12 7 6" xfId="14633" xr:uid="{00000000-0005-0000-0000-000017360000}"/>
    <cellStyle name="Normal 2 2 12 8" xfId="14634" xr:uid="{00000000-0005-0000-0000-000018360000}"/>
    <cellStyle name="Normal 2 2 12 8 2" xfId="14635" xr:uid="{00000000-0005-0000-0000-000019360000}"/>
    <cellStyle name="Normal 2 2 12 8 3" xfId="14636" xr:uid="{00000000-0005-0000-0000-00001A360000}"/>
    <cellStyle name="Normal 2 2 12 8 4" xfId="14637" xr:uid="{00000000-0005-0000-0000-00001B360000}"/>
    <cellStyle name="Normal 2 2 12 8 5" xfId="14638" xr:uid="{00000000-0005-0000-0000-00001C360000}"/>
    <cellStyle name="Normal 2 2 12 8 6" xfId="14639" xr:uid="{00000000-0005-0000-0000-00001D360000}"/>
    <cellStyle name="Normal 2 2 12 9" xfId="14640" xr:uid="{00000000-0005-0000-0000-00001E360000}"/>
    <cellStyle name="Normal 2 2 13" xfId="14641" xr:uid="{00000000-0005-0000-0000-00001F360000}"/>
    <cellStyle name="Normal 2 2 13 10" xfId="14642" xr:uid="{00000000-0005-0000-0000-000020360000}"/>
    <cellStyle name="Normal 2 2 13 11" xfId="14643" xr:uid="{00000000-0005-0000-0000-000021360000}"/>
    <cellStyle name="Normal 2 2 13 12" xfId="14644" xr:uid="{00000000-0005-0000-0000-000022360000}"/>
    <cellStyle name="Normal 2 2 13 13" xfId="14645" xr:uid="{00000000-0005-0000-0000-000023360000}"/>
    <cellStyle name="Normal 2 2 13 14" xfId="14646" xr:uid="{00000000-0005-0000-0000-000024360000}"/>
    <cellStyle name="Normal 2 2 13 2" xfId="14647" xr:uid="{00000000-0005-0000-0000-000025360000}"/>
    <cellStyle name="Normal 2 2 13 2 2" xfId="14648" xr:uid="{00000000-0005-0000-0000-000026360000}"/>
    <cellStyle name="Normal 2 2 13 2 3" xfId="14649" xr:uid="{00000000-0005-0000-0000-000027360000}"/>
    <cellStyle name="Normal 2 2 13 2 4" xfId="14650" xr:uid="{00000000-0005-0000-0000-000028360000}"/>
    <cellStyle name="Normal 2 2 13 2 5" xfId="14651" xr:uid="{00000000-0005-0000-0000-000029360000}"/>
    <cellStyle name="Normal 2 2 13 2 6" xfId="14652" xr:uid="{00000000-0005-0000-0000-00002A360000}"/>
    <cellStyle name="Normal 2 2 13 3" xfId="14653" xr:uid="{00000000-0005-0000-0000-00002B360000}"/>
    <cellStyle name="Normal 2 2 13 3 2" xfId="14654" xr:uid="{00000000-0005-0000-0000-00002C360000}"/>
    <cellStyle name="Normal 2 2 13 3 3" xfId="14655" xr:uid="{00000000-0005-0000-0000-00002D360000}"/>
    <cellStyle name="Normal 2 2 13 3 4" xfId="14656" xr:uid="{00000000-0005-0000-0000-00002E360000}"/>
    <cellStyle name="Normal 2 2 13 3 5" xfId="14657" xr:uid="{00000000-0005-0000-0000-00002F360000}"/>
    <cellStyle name="Normal 2 2 13 3 6" xfId="14658" xr:uid="{00000000-0005-0000-0000-000030360000}"/>
    <cellStyle name="Normal 2 2 13 4" xfId="14659" xr:uid="{00000000-0005-0000-0000-000031360000}"/>
    <cellStyle name="Normal 2 2 13 4 2" xfId="14660" xr:uid="{00000000-0005-0000-0000-000032360000}"/>
    <cellStyle name="Normal 2 2 13 4 3" xfId="14661" xr:uid="{00000000-0005-0000-0000-000033360000}"/>
    <cellStyle name="Normal 2 2 13 4 4" xfId="14662" xr:uid="{00000000-0005-0000-0000-000034360000}"/>
    <cellStyle name="Normal 2 2 13 4 5" xfId="14663" xr:uid="{00000000-0005-0000-0000-000035360000}"/>
    <cellStyle name="Normal 2 2 13 4 6" xfId="14664" xr:uid="{00000000-0005-0000-0000-000036360000}"/>
    <cellStyle name="Normal 2 2 13 5" xfId="14665" xr:uid="{00000000-0005-0000-0000-000037360000}"/>
    <cellStyle name="Normal 2 2 13 5 2" xfId="14666" xr:uid="{00000000-0005-0000-0000-000038360000}"/>
    <cellStyle name="Normal 2 2 13 5 3" xfId="14667" xr:uid="{00000000-0005-0000-0000-000039360000}"/>
    <cellStyle name="Normal 2 2 13 5 4" xfId="14668" xr:uid="{00000000-0005-0000-0000-00003A360000}"/>
    <cellStyle name="Normal 2 2 13 5 5" xfId="14669" xr:uid="{00000000-0005-0000-0000-00003B360000}"/>
    <cellStyle name="Normal 2 2 13 5 6" xfId="14670" xr:uid="{00000000-0005-0000-0000-00003C360000}"/>
    <cellStyle name="Normal 2 2 13 6" xfId="14671" xr:uid="{00000000-0005-0000-0000-00003D360000}"/>
    <cellStyle name="Normal 2 2 13 6 2" xfId="14672" xr:uid="{00000000-0005-0000-0000-00003E360000}"/>
    <cellStyle name="Normal 2 2 13 6 3" xfId="14673" xr:uid="{00000000-0005-0000-0000-00003F360000}"/>
    <cellStyle name="Normal 2 2 13 6 4" xfId="14674" xr:uid="{00000000-0005-0000-0000-000040360000}"/>
    <cellStyle name="Normal 2 2 13 6 5" xfId="14675" xr:uid="{00000000-0005-0000-0000-000041360000}"/>
    <cellStyle name="Normal 2 2 13 6 6" xfId="14676" xr:uid="{00000000-0005-0000-0000-000042360000}"/>
    <cellStyle name="Normal 2 2 13 7" xfId="14677" xr:uid="{00000000-0005-0000-0000-000043360000}"/>
    <cellStyle name="Normal 2 2 13 7 2" xfId="14678" xr:uid="{00000000-0005-0000-0000-000044360000}"/>
    <cellStyle name="Normal 2 2 13 7 3" xfId="14679" xr:uid="{00000000-0005-0000-0000-000045360000}"/>
    <cellStyle name="Normal 2 2 13 7 4" xfId="14680" xr:uid="{00000000-0005-0000-0000-000046360000}"/>
    <cellStyle name="Normal 2 2 13 7 5" xfId="14681" xr:uid="{00000000-0005-0000-0000-000047360000}"/>
    <cellStyle name="Normal 2 2 13 7 6" xfId="14682" xr:uid="{00000000-0005-0000-0000-000048360000}"/>
    <cellStyle name="Normal 2 2 13 8" xfId="14683" xr:uid="{00000000-0005-0000-0000-000049360000}"/>
    <cellStyle name="Normal 2 2 13 8 2" xfId="14684" xr:uid="{00000000-0005-0000-0000-00004A360000}"/>
    <cellStyle name="Normal 2 2 13 8 3" xfId="14685" xr:uid="{00000000-0005-0000-0000-00004B360000}"/>
    <cellStyle name="Normal 2 2 13 8 4" xfId="14686" xr:uid="{00000000-0005-0000-0000-00004C360000}"/>
    <cellStyle name="Normal 2 2 13 8 5" xfId="14687" xr:uid="{00000000-0005-0000-0000-00004D360000}"/>
    <cellStyle name="Normal 2 2 13 8 6" xfId="14688" xr:uid="{00000000-0005-0000-0000-00004E360000}"/>
    <cellStyle name="Normal 2 2 13 9" xfId="14689" xr:uid="{00000000-0005-0000-0000-00004F360000}"/>
    <cellStyle name="Normal 2 2 14" xfId="14690" xr:uid="{00000000-0005-0000-0000-000050360000}"/>
    <cellStyle name="Normal 2 2 14 10" xfId="14691" xr:uid="{00000000-0005-0000-0000-000051360000}"/>
    <cellStyle name="Normal 2 2 14 11" xfId="14692" xr:uid="{00000000-0005-0000-0000-000052360000}"/>
    <cellStyle name="Normal 2 2 14 12" xfId="14693" xr:uid="{00000000-0005-0000-0000-000053360000}"/>
    <cellStyle name="Normal 2 2 14 13" xfId="14694" xr:uid="{00000000-0005-0000-0000-000054360000}"/>
    <cellStyle name="Normal 2 2 14 14" xfId="14695" xr:uid="{00000000-0005-0000-0000-000055360000}"/>
    <cellStyle name="Normal 2 2 14 2" xfId="14696" xr:uid="{00000000-0005-0000-0000-000056360000}"/>
    <cellStyle name="Normal 2 2 14 2 2" xfId="14697" xr:uid="{00000000-0005-0000-0000-000057360000}"/>
    <cellStyle name="Normal 2 2 14 2 3" xfId="14698" xr:uid="{00000000-0005-0000-0000-000058360000}"/>
    <cellStyle name="Normal 2 2 14 2 4" xfId="14699" xr:uid="{00000000-0005-0000-0000-000059360000}"/>
    <cellStyle name="Normal 2 2 14 2 5" xfId="14700" xr:uid="{00000000-0005-0000-0000-00005A360000}"/>
    <cellStyle name="Normal 2 2 14 2 6" xfId="14701" xr:uid="{00000000-0005-0000-0000-00005B360000}"/>
    <cellStyle name="Normal 2 2 14 3" xfId="14702" xr:uid="{00000000-0005-0000-0000-00005C360000}"/>
    <cellStyle name="Normal 2 2 14 3 2" xfId="14703" xr:uid="{00000000-0005-0000-0000-00005D360000}"/>
    <cellStyle name="Normal 2 2 14 3 3" xfId="14704" xr:uid="{00000000-0005-0000-0000-00005E360000}"/>
    <cellStyle name="Normal 2 2 14 3 4" xfId="14705" xr:uid="{00000000-0005-0000-0000-00005F360000}"/>
    <cellStyle name="Normal 2 2 14 3 5" xfId="14706" xr:uid="{00000000-0005-0000-0000-000060360000}"/>
    <cellStyle name="Normal 2 2 14 3 6" xfId="14707" xr:uid="{00000000-0005-0000-0000-000061360000}"/>
    <cellStyle name="Normal 2 2 14 4" xfId="14708" xr:uid="{00000000-0005-0000-0000-000062360000}"/>
    <cellStyle name="Normal 2 2 14 4 2" xfId="14709" xr:uid="{00000000-0005-0000-0000-000063360000}"/>
    <cellStyle name="Normal 2 2 14 4 3" xfId="14710" xr:uid="{00000000-0005-0000-0000-000064360000}"/>
    <cellStyle name="Normal 2 2 14 4 4" xfId="14711" xr:uid="{00000000-0005-0000-0000-000065360000}"/>
    <cellStyle name="Normal 2 2 14 4 5" xfId="14712" xr:uid="{00000000-0005-0000-0000-000066360000}"/>
    <cellStyle name="Normal 2 2 14 4 6" xfId="14713" xr:uid="{00000000-0005-0000-0000-000067360000}"/>
    <cellStyle name="Normal 2 2 14 5" xfId="14714" xr:uid="{00000000-0005-0000-0000-000068360000}"/>
    <cellStyle name="Normal 2 2 14 5 2" xfId="14715" xr:uid="{00000000-0005-0000-0000-000069360000}"/>
    <cellStyle name="Normal 2 2 14 5 3" xfId="14716" xr:uid="{00000000-0005-0000-0000-00006A360000}"/>
    <cellStyle name="Normal 2 2 14 5 4" xfId="14717" xr:uid="{00000000-0005-0000-0000-00006B360000}"/>
    <cellStyle name="Normal 2 2 14 5 5" xfId="14718" xr:uid="{00000000-0005-0000-0000-00006C360000}"/>
    <cellStyle name="Normal 2 2 14 5 6" xfId="14719" xr:uid="{00000000-0005-0000-0000-00006D360000}"/>
    <cellStyle name="Normal 2 2 14 6" xfId="14720" xr:uid="{00000000-0005-0000-0000-00006E360000}"/>
    <cellStyle name="Normal 2 2 14 6 2" xfId="14721" xr:uid="{00000000-0005-0000-0000-00006F360000}"/>
    <cellStyle name="Normal 2 2 14 6 3" xfId="14722" xr:uid="{00000000-0005-0000-0000-000070360000}"/>
    <cellStyle name="Normal 2 2 14 6 4" xfId="14723" xr:uid="{00000000-0005-0000-0000-000071360000}"/>
    <cellStyle name="Normal 2 2 14 6 5" xfId="14724" xr:uid="{00000000-0005-0000-0000-000072360000}"/>
    <cellStyle name="Normal 2 2 14 6 6" xfId="14725" xr:uid="{00000000-0005-0000-0000-000073360000}"/>
    <cellStyle name="Normal 2 2 14 7" xfId="14726" xr:uid="{00000000-0005-0000-0000-000074360000}"/>
    <cellStyle name="Normal 2 2 14 7 2" xfId="14727" xr:uid="{00000000-0005-0000-0000-000075360000}"/>
    <cellStyle name="Normal 2 2 14 7 3" xfId="14728" xr:uid="{00000000-0005-0000-0000-000076360000}"/>
    <cellStyle name="Normal 2 2 14 7 4" xfId="14729" xr:uid="{00000000-0005-0000-0000-000077360000}"/>
    <cellStyle name="Normal 2 2 14 7 5" xfId="14730" xr:uid="{00000000-0005-0000-0000-000078360000}"/>
    <cellStyle name="Normal 2 2 14 7 6" xfId="14731" xr:uid="{00000000-0005-0000-0000-000079360000}"/>
    <cellStyle name="Normal 2 2 14 8" xfId="14732" xr:uid="{00000000-0005-0000-0000-00007A360000}"/>
    <cellStyle name="Normal 2 2 14 8 2" xfId="14733" xr:uid="{00000000-0005-0000-0000-00007B360000}"/>
    <cellStyle name="Normal 2 2 14 8 3" xfId="14734" xr:uid="{00000000-0005-0000-0000-00007C360000}"/>
    <cellStyle name="Normal 2 2 14 8 4" xfId="14735" xr:uid="{00000000-0005-0000-0000-00007D360000}"/>
    <cellStyle name="Normal 2 2 14 8 5" xfId="14736" xr:uid="{00000000-0005-0000-0000-00007E360000}"/>
    <cellStyle name="Normal 2 2 14 8 6" xfId="14737" xr:uid="{00000000-0005-0000-0000-00007F360000}"/>
    <cellStyle name="Normal 2 2 14 9" xfId="14738" xr:uid="{00000000-0005-0000-0000-000080360000}"/>
    <cellStyle name="Normal 2 2 15" xfId="14739" xr:uid="{00000000-0005-0000-0000-000081360000}"/>
    <cellStyle name="Normal 2 2 15 10" xfId="14740" xr:uid="{00000000-0005-0000-0000-000082360000}"/>
    <cellStyle name="Normal 2 2 15 11" xfId="14741" xr:uid="{00000000-0005-0000-0000-000083360000}"/>
    <cellStyle name="Normal 2 2 15 12" xfId="14742" xr:uid="{00000000-0005-0000-0000-000084360000}"/>
    <cellStyle name="Normal 2 2 15 13" xfId="14743" xr:uid="{00000000-0005-0000-0000-000085360000}"/>
    <cellStyle name="Normal 2 2 15 14" xfId="14744" xr:uid="{00000000-0005-0000-0000-000086360000}"/>
    <cellStyle name="Normal 2 2 15 2" xfId="14745" xr:uid="{00000000-0005-0000-0000-000087360000}"/>
    <cellStyle name="Normal 2 2 15 2 2" xfId="14746" xr:uid="{00000000-0005-0000-0000-000088360000}"/>
    <cellStyle name="Normal 2 2 15 2 3" xfId="14747" xr:uid="{00000000-0005-0000-0000-000089360000}"/>
    <cellStyle name="Normal 2 2 15 2 4" xfId="14748" xr:uid="{00000000-0005-0000-0000-00008A360000}"/>
    <cellStyle name="Normal 2 2 15 2 5" xfId="14749" xr:uid="{00000000-0005-0000-0000-00008B360000}"/>
    <cellStyle name="Normal 2 2 15 2 6" xfId="14750" xr:uid="{00000000-0005-0000-0000-00008C360000}"/>
    <cellStyle name="Normal 2 2 15 3" xfId="14751" xr:uid="{00000000-0005-0000-0000-00008D360000}"/>
    <cellStyle name="Normal 2 2 15 3 2" xfId="14752" xr:uid="{00000000-0005-0000-0000-00008E360000}"/>
    <cellStyle name="Normal 2 2 15 3 3" xfId="14753" xr:uid="{00000000-0005-0000-0000-00008F360000}"/>
    <cellStyle name="Normal 2 2 15 3 4" xfId="14754" xr:uid="{00000000-0005-0000-0000-000090360000}"/>
    <cellStyle name="Normal 2 2 15 3 5" xfId="14755" xr:uid="{00000000-0005-0000-0000-000091360000}"/>
    <cellStyle name="Normal 2 2 15 3 6" xfId="14756" xr:uid="{00000000-0005-0000-0000-000092360000}"/>
    <cellStyle name="Normal 2 2 15 4" xfId="14757" xr:uid="{00000000-0005-0000-0000-000093360000}"/>
    <cellStyle name="Normal 2 2 15 4 2" xfId="14758" xr:uid="{00000000-0005-0000-0000-000094360000}"/>
    <cellStyle name="Normal 2 2 15 4 3" xfId="14759" xr:uid="{00000000-0005-0000-0000-000095360000}"/>
    <cellStyle name="Normal 2 2 15 4 4" xfId="14760" xr:uid="{00000000-0005-0000-0000-000096360000}"/>
    <cellStyle name="Normal 2 2 15 4 5" xfId="14761" xr:uid="{00000000-0005-0000-0000-000097360000}"/>
    <cellStyle name="Normal 2 2 15 4 6" xfId="14762" xr:uid="{00000000-0005-0000-0000-000098360000}"/>
    <cellStyle name="Normal 2 2 15 5" xfId="14763" xr:uid="{00000000-0005-0000-0000-000099360000}"/>
    <cellStyle name="Normal 2 2 15 5 2" xfId="14764" xr:uid="{00000000-0005-0000-0000-00009A360000}"/>
    <cellStyle name="Normal 2 2 15 5 3" xfId="14765" xr:uid="{00000000-0005-0000-0000-00009B360000}"/>
    <cellStyle name="Normal 2 2 15 5 4" xfId="14766" xr:uid="{00000000-0005-0000-0000-00009C360000}"/>
    <cellStyle name="Normal 2 2 15 5 5" xfId="14767" xr:uid="{00000000-0005-0000-0000-00009D360000}"/>
    <cellStyle name="Normal 2 2 15 5 6" xfId="14768" xr:uid="{00000000-0005-0000-0000-00009E360000}"/>
    <cellStyle name="Normal 2 2 15 6" xfId="14769" xr:uid="{00000000-0005-0000-0000-00009F360000}"/>
    <cellStyle name="Normal 2 2 15 6 2" xfId="14770" xr:uid="{00000000-0005-0000-0000-0000A0360000}"/>
    <cellStyle name="Normal 2 2 15 6 3" xfId="14771" xr:uid="{00000000-0005-0000-0000-0000A1360000}"/>
    <cellStyle name="Normal 2 2 15 6 4" xfId="14772" xr:uid="{00000000-0005-0000-0000-0000A2360000}"/>
    <cellStyle name="Normal 2 2 15 6 5" xfId="14773" xr:uid="{00000000-0005-0000-0000-0000A3360000}"/>
    <cellStyle name="Normal 2 2 15 6 6" xfId="14774" xr:uid="{00000000-0005-0000-0000-0000A4360000}"/>
    <cellStyle name="Normal 2 2 15 7" xfId="14775" xr:uid="{00000000-0005-0000-0000-0000A5360000}"/>
    <cellStyle name="Normal 2 2 15 7 2" xfId="14776" xr:uid="{00000000-0005-0000-0000-0000A6360000}"/>
    <cellStyle name="Normal 2 2 15 7 3" xfId="14777" xr:uid="{00000000-0005-0000-0000-0000A7360000}"/>
    <cellStyle name="Normal 2 2 15 7 4" xfId="14778" xr:uid="{00000000-0005-0000-0000-0000A8360000}"/>
    <cellStyle name="Normal 2 2 15 7 5" xfId="14779" xr:uid="{00000000-0005-0000-0000-0000A9360000}"/>
    <cellStyle name="Normal 2 2 15 7 6" xfId="14780" xr:uid="{00000000-0005-0000-0000-0000AA360000}"/>
    <cellStyle name="Normal 2 2 15 8" xfId="14781" xr:uid="{00000000-0005-0000-0000-0000AB360000}"/>
    <cellStyle name="Normal 2 2 15 8 2" xfId="14782" xr:uid="{00000000-0005-0000-0000-0000AC360000}"/>
    <cellStyle name="Normal 2 2 15 8 3" xfId="14783" xr:uid="{00000000-0005-0000-0000-0000AD360000}"/>
    <cellStyle name="Normal 2 2 15 8 4" xfId="14784" xr:uid="{00000000-0005-0000-0000-0000AE360000}"/>
    <cellStyle name="Normal 2 2 15 8 5" xfId="14785" xr:uid="{00000000-0005-0000-0000-0000AF360000}"/>
    <cellStyle name="Normal 2 2 15 8 6" xfId="14786" xr:uid="{00000000-0005-0000-0000-0000B0360000}"/>
    <cellStyle name="Normal 2 2 15 9" xfId="14787" xr:uid="{00000000-0005-0000-0000-0000B1360000}"/>
    <cellStyle name="Normal 2 2 16" xfId="14788" xr:uid="{00000000-0005-0000-0000-0000B2360000}"/>
    <cellStyle name="Normal 2 2 16 10" xfId="14789" xr:uid="{00000000-0005-0000-0000-0000B3360000}"/>
    <cellStyle name="Normal 2 2 16 11" xfId="14790" xr:uid="{00000000-0005-0000-0000-0000B4360000}"/>
    <cellStyle name="Normal 2 2 16 12" xfId="14791" xr:uid="{00000000-0005-0000-0000-0000B5360000}"/>
    <cellStyle name="Normal 2 2 16 13" xfId="14792" xr:uid="{00000000-0005-0000-0000-0000B6360000}"/>
    <cellStyle name="Normal 2 2 16 14" xfId="14793" xr:uid="{00000000-0005-0000-0000-0000B7360000}"/>
    <cellStyle name="Normal 2 2 16 2" xfId="14794" xr:uid="{00000000-0005-0000-0000-0000B8360000}"/>
    <cellStyle name="Normal 2 2 16 2 2" xfId="14795" xr:uid="{00000000-0005-0000-0000-0000B9360000}"/>
    <cellStyle name="Normal 2 2 16 2 3" xfId="14796" xr:uid="{00000000-0005-0000-0000-0000BA360000}"/>
    <cellStyle name="Normal 2 2 16 2 4" xfId="14797" xr:uid="{00000000-0005-0000-0000-0000BB360000}"/>
    <cellStyle name="Normal 2 2 16 2 5" xfId="14798" xr:uid="{00000000-0005-0000-0000-0000BC360000}"/>
    <cellStyle name="Normal 2 2 16 2 6" xfId="14799" xr:uid="{00000000-0005-0000-0000-0000BD360000}"/>
    <cellStyle name="Normal 2 2 16 3" xfId="14800" xr:uid="{00000000-0005-0000-0000-0000BE360000}"/>
    <cellStyle name="Normal 2 2 16 3 2" xfId="14801" xr:uid="{00000000-0005-0000-0000-0000BF360000}"/>
    <cellStyle name="Normal 2 2 16 3 3" xfId="14802" xr:uid="{00000000-0005-0000-0000-0000C0360000}"/>
    <cellStyle name="Normal 2 2 16 3 4" xfId="14803" xr:uid="{00000000-0005-0000-0000-0000C1360000}"/>
    <cellStyle name="Normal 2 2 16 3 5" xfId="14804" xr:uid="{00000000-0005-0000-0000-0000C2360000}"/>
    <cellStyle name="Normal 2 2 16 3 6" xfId="14805" xr:uid="{00000000-0005-0000-0000-0000C3360000}"/>
    <cellStyle name="Normal 2 2 16 4" xfId="14806" xr:uid="{00000000-0005-0000-0000-0000C4360000}"/>
    <cellStyle name="Normal 2 2 16 4 2" xfId="14807" xr:uid="{00000000-0005-0000-0000-0000C5360000}"/>
    <cellStyle name="Normal 2 2 16 4 3" xfId="14808" xr:uid="{00000000-0005-0000-0000-0000C6360000}"/>
    <cellStyle name="Normal 2 2 16 4 4" xfId="14809" xr:uid="{00000000-0005-0000-0000-0000C7360000}"/>
    <cellStyle name="Normal 2 2 16 4 5" xfId="14810" xr:uid="{00000000-0005-0000-0000-0000C8360000}"/>
    <cellStyle name="Normal 2 2 16 4 6" xfId="14811" xr:uid="{00000000-0005-0000-0000-0000C9360000}"/>
    <cellStyle name="Normal 2 2 16 5" xfId="14812" xr:uid="{00000000-0005-0000-0000-0000CA360000}"/>
    <cellStyle name="Normal 2 2 16 5 2" xfId="14813" xr:uid="{00000000-0005-0000-0000-0000CB360000}"/>
    <cellStyle name="Normal 2 2 16 5 3" xfId="14814" xr:uid="{00000000-0005-0000-0000-0000CC360000}"/>
    <cellStyle name="Normal 2 2 16 5 4" xfId="14815" xr:uid="{00000000-0005-0000-0000-0000CD360000}"/>
    <cellStyle name="Normal 2 2 16 5 5" xfId="14816" xr:uid="{00000000-0005-0000-0000-0000CE360000}"/>
    <cellStyle name="Normal 2 2 16 5 6" xfId="14817" xr:uid="{00000000-0005-0000-0000-0000CF360000}"/>
    <cellStyle name="Normal 2 2 16 6" xfId="14818" xr:uid="{00000000-0005-0000-0000-0000D0360000}"/>
    <cellStyle name="Normal 2 2 16 6 2" xfId="14819" xr:uid="{00000000-0005-0000-0000-0000D1360000}"/>
    <cellStyle name="Normal 2 2 16 6 3" xfId="14820" xr:uid="{00000000-0005-0000-0000-0000D2360000}"/>
    <cellStyle name="Normal 2 2 16 6 4" xfId="14821" xr:uid="{00000000-0005-0000-0000-0000D3360000}"/>
    <cellStyle name="Normal 2 2 16 6 5" xfId="14822" xr:uid="{00000000-0005-0000-0000-0000D4360000}"/>
    <cellStyle name="Normal 2 2 16 6 6" xfId="14823" xr:uid="{00000000-0005-0000-0000-0000D5360000}"/>
    <cellStyle name="Normal 2 2 16 7" xfId="14824" xr:uid="{00000000-0005-0000-0000-0000D6360000}"/>
    <cellStyle name="Normal 2 2 16 7 2" xfId="14825" xr:uid="{00000000-0005-0000-0000-0000D7360000}"/>
    <cellStyle name="Normal 2 2 16 7 3" xfId="14826" xr:uid="{00000000-0005-0000-0000-0000D8360000}"/>
    <cellStyle name="Normal 2 2 16 7 4" xfId="14827" xr:uid="{00000000-0005-0000-0000-0000D9360000}"/>
    <cellStyle name="Normal 2 2 16 7 5" xfId="14828" xr:uid="{00000000-0005-0000-0000-0000DA360000}"/>
    <cellStyle name="Normal 2 2 16 7 6" xfId="14829" xr:uid="{00000000-0005-0000-0000-0000DB360000}"/>
    <cellStyle name="Normal 2 2 16 8" xfId="14830" xr:uid="{00000000-0005-0000-0000-0000DC360000}"/>
    <cellStyle name="Normal 2 2 16 8 2" xfId="14831" xr:uid="{00000000-0005-0000-0000-0000DD360000}"/>
    <cellStyle name="Normal 2 2 16 8 3" xfId="14832" xr:uid="{00000000-0005-0000-0000-0000DE360000}"/>
    <cellStyle name="Normal 2 2 16 8 4" xfId="14833" xr:uid="{00000000-0005-0000-0000-0000DF360000}"/>
    <cellStyle name="Normal 2 2 16 8 5" xfId="14834" xr:uid="{00000000-0005-0000-0000-0000E0360000}"/>
    <cellStyle name="Normal 2 2 16 8 6" xfId="14835" xr:uid="{00000000-0005-0000-0000-0000E1360000}"/>
    <cellStyle name="Normal 2 2 16 9" xfId="14836" xr:uid="{00000000-0005-0000-0000-0000E2360000}"/>
    <cellStyle name="Normal 2 2 17" xfId="14837" xr:uid="{00000000-0005-0000-0000-0000E3360000}"/>
    <cellStyle name="Normal 2 2 17 10" xfId="14838" xr:uid="{00000000-0005-0000-0000-0000E4360000}"/>
    <cellStyle name="Normal 2 2 17 11" xfId="14839" xr:uid="{00000000-0005-0000-0000-0000E5360000}"/>
    <cellStyle name="Normal 2 2 17 12" xfId="14840" xr:uid="{00000000-0005-0000-0000-0000E6360000}"/>
    <cellStyle name="Normal 2 2 17 13" xfId="14841" xr:uid="{00000000-0005-0000-0000-0000E7360000}"/>
    <cellStyle name="Normal 2 2 17 14" xfId="14842" xr:uid="{00000000-0005-0000-0000-0000E8360000}"/>
    <cellStyle name="Normal 2 2 17 2" xfId="14843" xr:uid="{00000000-0005-0000-0000-0000E9360000}"/>
    <cellStyle name="Normal 2 2 17 2 2" xfId="14844" xr:uid="{00000000-0005-0000-0000-0000EA360000}"/>
    <cellStyle name="Normal 2 2 17 2 3" xfId="14845" xr:uid="{00000000-0005-0000-0000-0000EB360000}"/>
    <cellStyle name="Normal 2 2 17 2 4" xfId="14846" xr:uid="{00000000-0005-0000-0000-0000EC360000}"/>
    <cellStyle name="Normal 2 2 17 2 5" xfId="14847" xr:uid="{00000000-0005-0000-0000-0000ED360000}"/>
    <cellStyle name="Normal 2 2 17 2 6" xfId="14848" xr:uid="{00000000-0005-0000-0000-0000EE360000}"/>
    <cellStyle name="Normal 2 2 17 3" xfId="14849" xr:uid="{00000000-0005-0000-0000-0000EF360000}"/>
    <cellStyle name="Normal 2 2 17 3 2" xfId="14850" xr:uid="{00000000-0005-0000-0000-0000F0360000}"/>
    <cellStyle name="Normal 2 2 17 3 3" xfId="14851" xr:uid="{00000000-0005-0000-0000-0000F1360000}"/>
    <cellStyle name="Normal 2 2 17 3 4" xfId="14852" xr:uid="{00000000-0005-0000-0000-0000F2360000}"/>
    <cellStyle name="Normal 2 2 17 3 5" xfId="14853" xr:uid="{00000000-0005-0000-0000-0000F3360000}"/>
    <cellStyle name="Normal 2 2 17 3 6" xfId="14854" xr:uid="{00000000-0005-0000-0000-0000F4360000}"/>
    <cellStyle name="Normal 2 2 17 4" xfId="14855" xr:uid="{00000000-0005-0000-0000-0000F5360000}"/>
    <cellStyle name="Normal 2 2 17 4 2" xfId="14856" xr:uid="{00000000-0005-0000-0000-0000F6360000}"/>
    <cellStyle name="Normal 2 2 17 4 3" xfId="14857" xr:uid="{00000000-0005-0000-0000-0000F7360000}"/>
    <cellStyle name="Normal 2 2 17 4 4" xfId="14858" xr:uid="{00000000-0005-0000-0000-0000F8360000}"/>
    <cellStyle name="Normal 2 2 17 4 5" xfId="14859" xr:uid="{00000000-0005-0000-0000-0000F9360000}"/>
    <cellStyle name="Normal 2 2 17 4 6" xfId="14860" xr:uid="{00000000-0005-0000-0000-0000FA360000}"/>
    <cellStyle name="Normal 2 2 17 5" xfId="14861" xr:uid="{00000000-0005-0000-0000-0000FB360000}"/>
    <cellStyle name="Normal 2 2 17 5 2" xfId="14862" xr:uid="{00000000-0005-0000-0000-0000FC360000}"/>
    <cellStyle name="Normal 2 2 17 5 3" xfId="14863" xr:uid="{00000000-0005-0000-0000-0000FD360000}"/>
    <cellStyle name="Normal 2 2 17 5 4" xfId="14864" xr:uid="{00000000-0005-0000-0000-0000FE360000}"/>
    <cellStyle name="Normal 2 2 17 5 5" xfId="14865" xr:uid="{00000000-0005-0000-0000-0000FF360000}"/>
    <cellStyle name="Normal 2 2 17 5 6" xfId="14866" xr:uid="{00000000-0005-0000-0000-000000370000}"/>
    <cellStyle name="Normal 2 2 17 6" xfId="14867" xr:uid="{00000000-0005-0000-0000-000001370000}"/>
    <cellStyle name="Normal 2 2 17 6 2" xfId="14868" xr:uid="{00000000-0005-0000-0000-000002370000}"/>
    <cellStyle name="Normal 2 2 17 6 3" xfId="14869" xr:uid="{00000000-0005-0000-0000-000003370000}"/>
    <cellStyle name="Normal 2 2 17 6 4" xfId="14870" xr:uid="{00000000-0005-0000-0000-000004370000}"/>
    <cellStyle name="Normal 2 2 17 6 5" xfId="14871" xr:uid="{00000000-0005-0000-0000-000005370000}"/>
    <cellStyle name="Normal 2 2 17 6 6" xfId="14872" xr:uid="{00000000-0005-0000-0000-000006370000}"/>
    <cellStyle name="Normal 2 2 17 7" xfId="14873" xr:uid="{00000000-0005-0000-0000-000007370000}"/>
    <cellStyle name="Normal 2 2 17 7 2" xfId="14874" xr:uid="{00000000-0005-0000-0000-000008370000}"/>
    <cellStyle name="Normal 2 2 17 7 3" xfId="14875" xr:uid="{00000000-0005-0000-0000-000009370000}"/>
    <cellStyle name="Normal 2 2 17 7 4" xfId="14876" xr:uid="{00000000-0005-0000-0000-00000A370000}"/>
    <cellStyle name="Normal 2 2 17 7 5" xfId="14877" xr:uid="{00000000-0005-0000-0000-00000B370000}"/>
    <cellStyle name="Normal 2 2 17 7 6" xfId="14878" xr:uid="{00000000-0005-0000-0000-00000C370000}"/>
    <cellStyle name="Normal 2 2 17 8" xfId="14879" xr:uid="{00000000-0005-0000-0000-00000D370000}"/>
    <cellStyle name="Normal 2 2 17 8 2" xfId="14880" xr:uid="{00000000-0005-0000-0000-00000E370000}"/>
    <cellStyle name="Normal 2 2 17 8 3" xfId="14881" xr:uid="{00000000-0005-0000-0000-00000F370000}"/>
    <cellStyle name="Normal 2 2 17 8 4" xfId="14882" xr:uid="{00000000-0005-0000-0000-000010370000}"/>
    <cellStyle name="Normal 2 2 17 8 5" xfId="14883" xr:uid="{00000000-0005-0000-0000-000011370000}"/>
    <cellStyle name="Normal 2 2 17 8 6" xfId="14884" xr:uid="{00000000-0005-0000-0000-000012370000}"/>
    <cellStyle name="Normal 2 2 17 9" xfId="14885" xr:uid="{00000000-0005-0000-0000-000013370000}"/>
    <cellStyle name="Normal 2 2 18" xfId="14886" xr:uid="{00000000-0005-0000-0000-000014370000}"/>
    <cellStyle name="Normal 2 2 18 10" xfId="14887" xr:uid="{00000000-0005-0000-0000-000015370000}"/>
    <cellStyle name="Normal 2 2 18 10 2" xfId="14888" xr:uid="{00000000-0005-0000-0000-000016370000}"/>
    <cellStyle name="Normal 2 2 18 10 3" xfId="14889" xr:uid="{00000000-0005-0000-0000-000017370000}"/>
    <cellStyle name="Normal 2 2 18 10 4" xfId="14890" xr:uid="{00000000-0005-0000-0000-000018370000}"/>
    <cellStyle name="Normal 2 2 18 10 5" xfId="14891" xr:uid="{00000000-0005-0000-0000-000019370000}"/>
    <cellStyle name="Normal 2 2 18 10 6" xfId="14892" xr:uid="{00000000-0005-0000-0000-00001A370000}"/>
    <cellStyle name="Normal 2 2 18 11" xfId="14893" xr:uid="{00000000-0005-0000-0000-00001B370000}"/>
    <cellStyle name="Normal 2 2 18 11 2" xfId="14894" xr:uid="{00000000-0005-0000-0000-00001C370000}"/>
    <cellStyle name="Normal 2 2 18 11 3" xfId="14895" xr:uid="{00000000-0005-0000-0000-00001D370000}"/>
    <cellStyle name="Normal 2 2 18 11 4" xfId="14896" xr:uid="{00000000-0005-0000-0000-00001E370000}"/>
    <cellStyle name="Normal 2 2 18 11 5" xfId="14897" xr:uid="{00000000-0005-0000-0000-00001F370000}"/>
    <cellStyle name="Normal 2 2 18 11 6" xfId="14898" xr:uid="{00000000-0005-0000-0000-000020370000}"/>
    <cellStyle name="Normal 2 2 18 12" xfId="14899" xr:uid="{00000000-0005-0000-0000-000021370000}"/>
    <cellStyle name="Normal 2 2 18 12 2" xfId="14900" xr:uid="{00000000-0005-0000-0000-000022370000}"/>
    <cellStyle name="Normal 2 2 18 12 3" xfId="14901" xr:uid="{00000000-0005-0000-0000-000023370000}"/>
    <cellStyle name="Normal 2 2 18 12 4" xfId="14902" xr:uid="{00000000-0005-0000-0000-000024370000}"/>
    <cellStyle name="Normal 2 2 18 12 5" xfId="14903" xr:uid="{00000000-0005-0000-0000-000025370000}"/>
    <cellStyle name="Normal 2 2 18 12 6" xfId="14904" xr:uid="{00000000-0005-0000-0000-000026370000}"/>
    <cellStyle name="Normal 2 2 18 13" xfId="14905" xr:uid="{00000000-0005-0000-0000-000027370000}"/>
    <cellStyle name="Normal 2 2 18 13 2" xfId="14906" xr:uid="{00000000-0005-0000-0000-000028370000}"/>
    <cellStyle name="Normal 2 2 18 13 3" xfId="14907" xr:uid="{00000000-0005-0000-0000-000029370000}"/>
    <cellStyle name="Normal 2 2 18 13 4" xfId="14908" xr:uid="{00000000-0005-0000-0000-00002A370000}"/>
    <cellStyle name="Normal 2 2 18 13 5" xfId="14909" xr:uid="{00000000-0005-0000-0000-00002B370000}"/>
    <cellStyle name="Normal 2 2 18 13 6" xfId="14910" xr:uid="{00000000-0005-0000-0000-00002C370000}"/>
    <cellStyle name="Normal 2 2 18 14" xfId="14911" xr:uid="{00000000-0005-0000-0000-00002D370000}"/>
    <cellStyle name="Normal 2 2 18 14 2" xfId="14912" xr:uid="{00000000-0005-0000-0000-00002E370000}"/>
    <cellStyle name="Normal 2 2 18 14 3" xfId="14913" xr:uid="{00000000-0005-0000-0000-00002F370000}"/>
    <cellStyle name="Normal 2 2 18 14 4" xfId="14914" xr:uid="{00000000-0005-0000-0000-000030370000}"/>
    <cellStyle name="Normal 2 2 18 14 5" xfId="14915" xr:uid="{00000000-0005-0000-0000-000031370000}"/>
    <cellStyle name="Normal 2 2 18 14 6" xfId="14916" xr:uid="{00000000-0005-0000-0000-000032370000}"/>
    <cellStyle name="Normal 2 2 18 15" xfId="14917" xr:uid="{00000000-0005-0000-0000-000033370000}"/>
    <cellStyle name="Normal 2 2 18 16" xfId="14918" xr:uid="{00000000-0005-0000-0000-000034370000}"/>
    <cellStyle name="Normal 2 2 18 17" xfId="14919" xr:uid="{00000000-0005-0000-0000-000035370000}"/>
    <cellStyle name="Normal 2 2 18 18" xfId="14920" xr:uid="{00000000-0005-0000-0000-000036370000}"/>
    <cellStyle name="Normal 2 2 18 19" xfId="14921" xr:uid="{00000000-0005-0000-0000-000037370000}"/>
    <cellStyle name="Normal 2 2 18 2" xfId="14922" xr:uid="{00000000-0005-0000-0000-000038370000}"/>
    <cellStyle name="Normal 2 2 18 2 10" xfId="14923" xr:uid="{00000000-0005-0000-0000-000039370000}"/>
    <cellStyle name="Normal 2 2 18 2 11" xfId="14924" xr:uid="{00000000-0005-0000-0000-00003A370000}"/>
    <cellStyle name="Normal 2 2 18 2 12" xfId="14925" xr:uid="{00000000-0005-0000-0000-00003B370000}"/>
    <cellStyle name="Normal 2 2 18 2 13" xfId="14926" xr:uid="{00000000-0005-0000-0000-00003C370000}"/>
    <cellStyle name="Normal 2 2 18 2 14" xfId="14927" xr:uid="{00000000-0005-0000-0000-00003D370000}"/>
    <cellStyle name="Normal 2 2 18 2 15" xfId="14928" xr:uid="{00000000-0005-0000-0000-00003E370000}"/>
    <cellStyle name="Normal 2 2 18 2 16" xfId="14929" xr:uid="{00000000-0005-0000-0000-00003F370000}"/>
    <cellStyle name="Normal 2 2 18 2 17" xfId="14930" xr:uid="{00000000-0005-0000-0000-000040370000}"/>
    <cellStyle name="Normal 2 2 18 2 18" xfId="14931" xr:uid="{00000000-0005-0000-0000-000041370000}"/>
    <cellStyle name="Normal 2 2 18 2 19" xfId="14932" xr:uid="{00000000-0005-0000-0000-000042370000}"/>
    <cellStyle name="Normal 2 2 18 2 2" xfId="14933" xr:uid="{00000000-0005-0000-0000-000043370000}"/>
    <cellStyle name="Normal 2 2 18 2 20" xfId="14934" xr:uid="{00000000-0005-0000-0000-000044370000}"/>
    <cellStyle name="Normal 2 2 18 2 21" xfId="14935" xr:uid="{00000000-0005-0000-0000-000045370000}"/>
    <cellStyle name="Normal 2 2 18 2 22" xfId="14936" xr:uid="{00000000-0005-0000-0000-000046370000}"/>
    <cellStyle name="Normal 2 2 18 2 23" xfId="14937" xr:uid="{00000000-0005-0000-0000-000047370000}"/>
    <cellStyle name="Normal 2 2 18 2 24" xfId="14938" xr:uid="{00000000-0005-0000-0000-000048370000}"/>
    <cellStyle name="Normal 2 2 18 2 25" xfId="14939" xr:uid="{00000000-0005-0000-0000-000049370000}"/>
    <cellStyle name="Normal 2 2 18 2 26" xfId="14940" xr:uid="{00000000-0005-0000-0000-00004A370000}"/>
    <cellStyle name="Normal 2 2 18 2 27" xfId="14941" xr:uid="{00000000-0005-0000-0000-00004B370000}"/>
    <cellStyle name="Normal 2 2 18 2 28" xfId="14942" xr:uid="{00000000-0005-0000-0000-00004C370000}"/>
    <cellStyle name="Normal 2 2 18 2 29" xfId="14943" xr:uid="{00000000-0005-0000-0000-00004D370000}"/>
    <cellStyle name="Normal 2 2 18 2 3" xfId="14944" xr:uid="{00000000-0005-0000-0000-00004E370000}"/>
    <cellStyle name="Normal 2 2 18 2 30" xfId="14945" xr:uid="{00000000-0005-0000-0000-00004F370000}"/>
    <cellStyle name="Normal 2 2 18 2 31" xfId="14946" xr:uid="{00000000-0005-0000-0000-000050370000}"/>
    <cellStyle name="Normal 2 2 18 2 32" xfId="14947" xr:uid="{00000000-0005-0000-0000-000051370000}"/>
    <cellStyle name="Normal 2 2 18 2 33" xfId="14948" xr:uid="{00000000-0005-0000-0000-000052370000}"/>
    <cellStyle name="Normal 2 2 18 2 34" xfId="14949" xr:uid="{00000000-0005-0000-0000-000053370000}"/>
    <cellStyle name="Normal 2 2 18 2 35" xfId="14950" xr:uid="{00000000-0005-0000-0000-000054370000}"/>
    <cellStyle name="Normal 2 2 18 2 36" xfId="14951" xr:uid="{00000000-0005-0000-0000-000055370000}"/>
    <cellStyle name="Normal 2 2 18 2 37" xfId="14952" xr:uid="{00000000-0005-0000-0000-000056370000}"/>
    <cellStyle name="Normal 2 2 18 2 38" xfId="14953" xr:uid="{00000000-0005-0000-0000-000057370000}"/>
    <cellStyle name="Normal 2 2 18 2 39" xfId="14954" xr:uid="{00000000-0005-0000-0000-000058370000}"/>
    <cellStyle name="Normal 2 2 18 2 4" xfId="14955" xr:uid="{00000000-0005-0000-0000-000059370000}"/>
    <cellStyle name="Normal 2 2 18 2 40" xfId="14956" xr:uid="{00000000-0005-0000-0000-00005A370000}"/>
    <cellStyle name="Normal 2 2 18 2 41" xfId="14957" xr:uid="{00000000-0005-0000-0000-00005B370000}"/>
    <cellStyle name="Normal 2 2 18 2 42" xfId="14958" xr:uid="{00000000-0005-0000-0000-00005C370000}"/>
    <cellStyle name="Normal 2 2 18 2 43" xfId="14959" xr:uid="{00000000-0005-0000-0000-00005D370000}"/>
    <cellStyle name="Normal 2 2 18 2 44" xfId="14960" xr:uid="{00000000-0005-0000-0000-00005E370000}"/>
    <cellStyle name="Normal 2 2 18 2 45" xfId="14961" xr:uid="{00000000-0005-0000-0000-00005F370000}"/>
    <cellStyle name="Normal 2 2 18 2 5" xfId="14962" xr:uid="{00000000-0005-0000-0000-000060370000}"/>
    <cellStyle name="Normal 2 2 18 2 6" xfId="14963" xr:uid="{00000000-0005-0000-0000-000061370000}"/>
    <cellStyle name="Normal 2 2 18 2 7" xfId="14964" xr:uid="{00000000-0005-0000-0000-000062370000}"/>
    <cellStyle name="Normal 2 2 18 2 8" xfId="14965" xr:uid="{00000000-0005-0000-0000-000063370000}"/>
    <cellStyle name="Normal 2 2 18 2 9" xfId="14966" xr:uid="{00000000-0005-0000-0000-000064370000}"/>
    <cellStyle name="Normal 2 2 18 20" xfId="14967" xr:uid="{00000000-0005-0000-0000-000065370000}"/>
    <cellStyle name="Normal 2 2 18 3" xfId="14968" xr:uid="{00000000-0005-0000-0000-000066370000}"/>
    <cellStyle name="Normal 2 2 18 3 10" xfId="14969" xr:uid="{00000000-0005-0000-0000-000067370000}"/>
    <cellStyle name="Normal 2 2 18 3 11" xfId="14970" xr:uid="{00000000-0005-0000-0000-000068370000}"/>
    <cellStyle name="Normal 2 2 18 3 12" xfId="14971" xr:uid="{00000000-0005-0000-0000-000069370000}"/>
    <cellStyle name="Normal 2 2 18 3 13" xfId="14972" xr:uid="{00000000-0005-0000-0000-00006A370000}"/>
    <cellStyle name="Normal 2 2 18 3 14" xfId="14973" xr:uid="{00000000-0005-0000-0000-00006B370000}"/>
    <cellStyle name="Normal 2 2 18 3 15" xfId="14974" xr:uid="{00000000-0005-0000-0000-00006C370000}"/>
    <cellStyle name="Normal 2 2 18 3 16" xfId="14975" xr:uid="{00000000-0005-0000-0000-00006D370000}"/>
    <cellStyle name="Normal 2 2 18 3 17" xfId="14976" xr:uid="{00000000-0005-0000-0000-00006E370000}"/>
    <cellStyle name="Normal 2 2 18 3 18" xfId="14977" xr:uid="{00000000-0005-0000-0000-00006F370000}"/>
    <cellStyle name="Normal 2 2 18 3 19" xfId="14978" xr:uid="{00000000-0005-0000-0000-000070370000}"/>
    <cellStyle name="Normal 2 2 18 3 2" xfId="14979" xr:uid="{00000000-0005-0000-0000-000071370000}"/>
    <cellStyle name="Normal 2 2 18 3 20" xfId="14980" xr:uid="{00000000-0005-0000-0000-000072370000}"/>
    <cellStyle name="Normal 2 2 18 3 21" xfId="14981" xr:uid="{00000000-0005-0000-0000-000073370000}"/>
    <cellStyle name="Normal 2 2 18 3 22" xfId="14982" xr:uid="{00000000-0005-0000-0000-000074370000}"/>
    <cellStyle name="Normal 2 2 18 3 23" xfId="14983" xr:uid="{00000000-0005-0000-0000-000075370000}"/>
    <cellStyle name="Normal 2 2 18 3 24" xfId="14984" xr:uid="{00000000-0005-0000-0000-000076370000}"/>
    <cellStyle name="Normal 2 2 18 3 25" xfId="14985" xr:uid="{00000000-0005-0000-0000-000077370000}"/>
    <cellStyle name="Normal 2 2 18 3 26" xfId="14986" xr:uid="{00000000-0005-0000-0000-000078370000}"/>
    <cellStyle name="Normal 2 2 18 3 27" xfId="14987" xr:uid="{00000000-0005-0000-0000-000079370000}"/>
    <cellStyle name="Normal 2 2 18 3 28" xfId="14988" xr:uid="{00000000-0005-0000-0000-00007A370000}"/>
    <cellStyle name="Normal 2 2 18 3 29" xfId="14989" xr:uid="{00000000-0005-0000-0000-00007B370000}"/>
    <cellStyle name="Normal 2 2 18 3 3" xfId="14990" xr:uid="{00000000-0005-0000-0000-00007C370000}"/>
    <cellStyle name="Normal 2 2 18 3 30" xfId="14991" xr:uid="{00000000-0005-0000-0000-00007D370000}"/>
    <cellStyle name="Normal 2 2 18 3 31" xfId="14992" xr:uid="{00000000-0005-0000-0000-00007E370000}"/>
    <cellStyle name="Normal 2 2 18 3 32" xfId="14993" xr:uid="{00000000-0005-0000-0000-00007F370000}"/>
    <cellStyle name="Normal 2 2 18 3 33" xfId="14994" xr:uid="{00000000-0005-0000-0000-000080370000}"/>
    <cellStyle name="Normal 2 2 18 3 34" xfId="14995" xr:uid="{00000000-0005-0000-0000-000081370000}"/>
    <cellStyle name="Normal 2 2 18 3 35" xfId="14996" xr:uid="{00000000-0005-0000-0000-000082370000}"/>
    <cellStyle name="Normal 2 2 18 3 36" xfId="14997" xr:uid="{00000000-0005-0000-0000-000083370000}"/>
    <cellStyle name="Normal 2 2 18 3 37" xfId="14998" xr:uid="{00000000-0005-0000-0000-000084370000}"/>
    <cellStyle name="Normal 2 2 18 3 38" xfId="14999" xr:uid="{00000000-0005-0000-0000-000085370000}"/>
    <cellStyle name="Normal 2 2 18 3 39" xfId="15000" xr:uid="{00000000-0005-0000-0000-000086370000}"/>
    <cellStyle name="Normal 2 2 18 3 4" xfId="15001" xr:uid="{00000000-0005-0000-0000-000087370000}"/>
    <cellStyle name="Normal 2 2 18 3 40" xfId="15002" xr:uid="{00000000-0005-0000-0000-000088370000}"/>
    <cellStyle name="Normal 2 2 18 3 41" xfId="15003" xr:uid="{00000000-0005-0000-0000-000089370000}"/>
    <cellStyle name="Normal 2 2 18 3 42" xfId="15004" xr:uid="{00000000-0005-0000-0000-00008A370000}"/>
    <cellStyle name="Normal 2 2 18 3 43" xfId="15005" xr:uid="{00000000-0005-0000-0000-00008B370000}"/>
    <cellStyle name="Normal 2 2 18 3 44" xfId="15006" xr:uid="{00000000-0005-0000-0000-00008C370000}"/>
    <cellStyle name="Normal 2 2 18 3 45" xfId="15007" xr:uid="{00000000-0005-0000-0000-00008D370000}"/>
    <cellStyle name="Normal 2 2 18 3 5" xfId="15008" xr:uid="{00000000-0005-0000-0000-00008E370000}"/>
    <cellStyle name="Normal 2 2 18 3 6" xfId="15009" xr:uid="{00000000-0005-0000-0000-00008F370000}"/>
    <cellStyle name="Normal 2 2 18 3 7" xfId="15010" xr:uid="{00000000-0005-0000-0000-000090370000}"/>
    <cellStyle name="Normal 2 2 18 3 8" xfId="15011" xr:uid="{00000000-0005-0000-0000-000091370000}"/>
    <cellStyle name="Normal 2 2 18 3 9" xfId="15012" xr:uid="{00000000-0005-0000-0000-000092370000}"/>
    <cellStyle name="Normal 2 2 18 4" xfId="15013" xr:uid="{00000000-0005-0000-0000-000093370000}"/>
    <cellStyle name="Normal 2 2 18 4 10" xfId="15014" xr:uid="{00000000-0005-0000-0000-000094370000}"/>
    <cellStyle name="Normal 2 2 18 4 11" xfId="15015" xr:uid="{00000000-0005-0000-0000-000095370000}"/>
    <cellStyle name="Normal 2 2 18 4 12" xfId="15016" xr:uid="{00000000-0005-0000-0000-000096370000}"/>
    <cellStyle name="Normal 2 2 18 4 13" xfId="15017" xr:uid="{00000000-0005-0000-0000-000097370000}"/>
    <cellStyle name="Normal 2 2 18 4 14" xfId="15018" xr:uid="{00000000-0005-0000-0000-000098370000}"/>
    <cellStyle name="Normal 2 2 18 4 15" xfId="15019" xr:uid="{00000000-0005-0000-0000-000099370000}"/>
    <cellStyle name="Normal 2 2 18 4 16" xfId="15020" xr:uid="{00000000-0005-0000-0000-00009A370000}"/>
    <cellStyle name="Normal 2 2 18 4 17" xfId="15021" xr:uid="{00000000-0005-0000-0000-00009B370000}"/>
    <cellStyle name="Normal 2 2 18 4 18" xfId="15022" xr:uid="{00000000-0005-0000-0000-00009C370000}"/>
    <cellStyle name="Normal 2 2 18 4 19" xfId="15023" xr:uid="{00000000-0005-0000-0000-00009D370000}"/>
    <cellStyle name="Normal 2 2 18 4 2" xfId="15024" xr:uid="{00000000-0005-0000-0000-00009E370000}"/>
    <cellStyle name="Normal 2 2 18 4 20" xfId="15025" xr:uid="{00000000-0005-0000-0000-00009F370000}"/>
    <cellStyle name="Normal 2 2 18 4 21" xfId="15026" xr:uid="{00000000-0005-0000-0000-0000A0370000}"/>
    <cellStyle name="Normal 2 2 18 4 22" xfId="15027" xr:uid="{00000000-0005-0000-0000-0000A1370000}"/>
    <cellStyle name="Normal 2 2 18 4 23" xfId="15028" xr:uid="{00000000-0005-0000-0000-0000A2370000}"/>
    <cellStyle name="Normal 2 2 18 4 24" xfId="15029" xr:uid="{00000000-0005-0000-0000-0000A3370000}"/>
    <cellStyle name="Normal 2 2 18 4 25" xfId="15030" xr:uid="{00000000-0005-0000-0000-0000A4370000}"/>
    <cellStyle name="Normal 2 2 18 4 26" xfId="15031" xr:uid="{00000000-0005-0000-0000-0000A5370000}"/>
    <cellStyle name="Normal 2 2 18 4 27" xfId="15032" xr:uid="{00000000-0005-0000-0000-0000A6370000}"/>
    <cellStyle name="Normal 2 2 18 4 28" xfId="15033" xr:uid="{00000000-0005-0000-0000-0000A7370000}"/>
    <cellStyle name="Normal 2 2 18 4 29" xfId="15034" xr:uid="{00000000-0005-0000-0000-0000A8370000}"/>
    <cellStyle name="Normal 2 2 18 4 3" xfId="15035" xr:uid="{00000000-0005-0000-0000-0000A9370000}"/>
    <cellStyle name="Normal 2 2 18 4 30" xfId="15036" xr:uid="{00000000-0005-0000-0000-0000AA370000}"/>
    <cellStyle name="Normal 2 2 18 4 31" xfId="15037" xr:uid="{00000000-0005-0000-0000-0000AB370000}"/>
    <cellStyle name="Normal 2 2 18 4 32" xfId="15038" xr:uid="{00000000-0005-0000-0000-0000AC370000}"/>
    <cellStyle name="Normal 2 2 18 4 33" xfId="15039" xr:uid="{00000000-0005-0000-0000-0000AD370000}"/>
    <cellStyle name="Normal 2 2 18 4 34" xfId="15040" xr:uid="{00000000-0005-0000-0000-0000AE370000}"/>
    <cellStyle name="Normal 2 2 18 4 35" xfId="15041" xr:uid="{00000000-0005-0000-0000-0000AF370000}"/>
    <cellStyle name="Normal 2 2 18 4 36" xfId="15042" xr:uid="{00000000-0005-0000-0000-0000B0370000}"/>
    <cellStyle name="Normal 2 2 18 4 37" xfId="15043" xr:uid="{00000000-0005-0000-0000-0000B1370000}"/>
    <cellStyle name="Normal 2 2 18 4 38" xfId="15044" xr:uid="{00000000-0005-0000-0000-0000B2370000}"/>
    <cellStyle name="Normal 2 2 18 4 39" xfId="15045" xr:uid="{00000000-0005-0000-0000-0000B3370000}"/>
    <cellStyle name="Normal 2 2 18 4 4" xfId="15046" xr:uid="{00000000-0005-0000-0000-0000B4370000}"/>
    <cellStyle name="Normal 2 2 18 4 40" xfId="15047" xr:uid="{00000000-0005-0000-0000-0000B5370000}"/>
    <cellStyle name="Normal 2 2 18 4 41" xfId="15048" xr:uid="{00000000-0005-0000-0000-0000B6370000}"/>
    <cellStyle name="Normal 2 2 18 4 42" xfId="15049" xr:uid="{00000000-0005-0000-0000-0000B7370000}"/>
    <cellStyle name="Normal 2 2 18 4 43" xfId="15050" xr:uid="{00000000-0005-0000-0000-0000B8370000}"/>
    <cellStyle name="Normal 2 2 18 4 44" xfId="15051" xr:uid="{00000000-0005-0000-0000-0000B9370000}"/>
    <cellStyle name="Normal 2 2 18 4 45" xfId="15052" xr:uid="{00000000-0005-0000-0000-0000BA370000}"/>
    <cellStyle name="Normal 2 2 18 4 5" xfId="15053" xr:uid="{00000000-0005-0000-0000-0000BB370000}"/>
    <cellStyle name="Normal 2 2 18 4 6" xfId="15054" xr:uid="{00000000-0005-0000-0000-0000BC370000}"/>
    <cellStyle name="Normal 2 2 18 4 7" xfId="15055" xr:uid="{00000000-0005-0000-0000-0000BD370000}"/>
    <cellStyle name="Normal 2 2 18 4 8" xfId="15056" xr:uid="{00000000-0005-0000-0000-0000BE370000}"/>
    <cellStyle name="Normal 2 2 18 4 9" xfId="15057" xr:uid="{00000000-0005-0000-0000-0000BF370000}"/>
    <cellStyle name="Normal 2 2 18 5" xfId="15058" xr:uid="{00000000-0005-0000-0000-0000C0370000}"/>
    <cellStyle name="Normal 2 2 18 5 10" xfId="15059" xr:uid="{00000000-0005-0000-0000-0000C1370000}"/>
    <cellStyle name="Normal 2 2 18 5 11" xfId="15060" xr:uid="{00000000-0005-0000-0000-0000C2370000}"/>
    <cellStyle name="Normal 2 2 18 5 12" xfId="15061" xr:uid="{00000000-0005-0000-0000-0000C3370000}"/>
    <cellStyle name="Normal 2 2 18 5 13" xfId="15062" xr:uid="{00000000-0005-0000-0000-0000C4370000}"/>
    <cellStyle name="Normal 2 2 18 5 14" xfId="15063" xr:uid="{00000000-0005-0000-0000-0000C5370000}"/>
    <cellStyle name="Normal 2 2 18 5 15" xfId="15064" xr:uid="{00000000-0005-0000-0000-0000C6370000}"/>
    <cellStyle name="Normal 2 2 18 5 16" xfId="15065" xr:uid="{00000000-0005-0000-0000-0000C7370000}"/>
    <cellStyle name="Normal 2 2 18 5 17" xfId="15066" xr:uid="{00000000-0005-0000-0000-0000C8370000}"/>
    <cellStyle name="Normal 2 2 18 5 18" xfId="15067" xr:uid="{00000000-0005-0000-0000-0000C9370000}"/>
    <cellStyle name="Normal 2 2 18 5 19" xfId="15068" xr:uid="{00000000-0005-0000-0000-0000CA370000}"/>
    <cellStyle name="Normal 2 2 18 5 2" xfId="15069" xr:uid="{00000000-0005-0000-0000-0000CB370000}"/>
    <cellStyle name="Normal 2 2 18 5 20" xfId="15070" xr:uid="{00000000-0005-0000-0000-0000CC370000}"/>
    <cellStyle name="Normal 2 2 18 5 21" xfId="15071" xr:uid="{00000000-0005-0000-0000-0000CD370000}"/>
    <cellStyle name="Normal 2 2 18 5 22" xfId="15072" xr:uid="{00000000-0005-0000-0000-0000CE370000}"/>
    <cellStyle name="Normal 2 2 18 5 23" xfId="15073" xr:uid="{00000000-0005-0000-0000-0000CF370000}"/>
    <cellStyle name="Normal 2 2 18 5 24" xfId="15074" xr:uid="{00000000-0005-0000-0000-0000D0370000}"/>
    <cellStyle name="Normal 2 2 18 5 25" xfId="15075" xr:uid="{00000000-0005-0000-0000-0000D1370000}"/>
    <cellStyle name="Normal 2 2 18 5 26" xfId="15076" xr:uid="{00000000-0005-0000-0000-0000D2370000}"/>
    <cellStyle name="Normal 2 2 18 5 27" xfId="15077" xr:uid="{00000000-0005-0000-0000-0000D3370000}"/>
    <cellStyle name="Normal 2 2 18 5 28" xfId="15078" xr:uid="{00000000-0005-0000-0000-0000D4370000}"/>
    <cellStyle name="Normal 2 2 18 5 29" xfId="15079" xr:uid="{00000000-0005-0000-0000-0000D5370000}"/>
    <cellStyle name="Normal 2 2 18 5 3" xfId="15080" xr:uid="{00000000-0005-0000-0000-0000D6370000}"/>
    <cellStyle name="Normal 2 2 18 5 30" xfId="15081" xr:uid="{00000000-0005-0000-0000-0000D7370000}"/>
    <cellStyle name="Normal 2 2 18 5 31" xfId="15082" xr:uid="{00000000-0005-0000-0000-0000D8370000}"/>
    <cellStyle name="Normal 2 2 18 5 32" xfId="15083" xr:uid="{00000000-0005-0000-0000-0000D9370000}"/>
    <cellStyle name="Normal 2 2 18 5 33" xfId="15084" xr:uid="{00000000-0005-0000-0000-0000DA370000}"/>
    <cellStyle name="Normal 2 2 18 5 34" xfId="15085" xr:uid="{00000000-0005-0000-0000-0000DB370000}"/>
    <cellStyle name="Normal 2 2 18 5 35" xfId="15086" xr:uid="{00000000-0005-0000-0000-0000DC370000}"/>
    <cellStyle name="Normal 2 2 18 5 36" xfId="15087" xr:uid="{00000000-0005-0000-0000-0000DD370000}"/>
    <cellStyle name="Normal 2 2 18 5 37" xfId="15088" xr:uid="{00000000-0005-0000-0000-0000DE370000}"/>
    <cellStyle name="Normal 2 2 18 5 38" xfId="15089" xr:uid="{00000000-0005-0000-0000-0000DF370000}"/>
    <cellStyle name="Normal 2 2 18 5 39" xfId="15090" xr:uid="{00000000-0005-0000-0000-0000E0370000}"/>
    <cellStyle name="Normal 2 2 18 5 4" xfId="15091" xr:uid="{00000000-0005-0000-0000-0000E1370000}"/>
    <cellStyle name="Normal 2 2 18 5 40" xfId="15092" xr:uid="{00000000-0005-0000-0000-0000E2370000}"/>
    <cellStyle name="Normal 2 2 18 5 41" xfId="15093" xr:uid="{00000000-0005-0000-0000-0000E3370000}"/>
    <cellStyle name="Normal 2 2 18 5 42" xfId="15094" xr:uid="{00000000-0005-0000-0000-0000E4370000}"/>
    <cellStyle name="Normal 2 2 18 5 43" xfId="15095" xr:uid="{00000000-0005-0000-0000-0000E5370000}"/>
    <cellStyle name="Normal 2 2 18 5 44" xfId="15096" xr:uid="{00000000-0005-0000-0000-0000E6370000}"/>
    <cellStyle name="Normal 2 2 18 5 45" xfId="15097" xr:uid="{00000000-0005-0000-0000-0000E7370000}"/>
    <cellStyle name="Normal 2 2 18 5 5" xfId="15098" xr:uid="{00000000-0005-0000-0000-0000E8370000}"/>
    <cellStyle name="Normal 2 2 18 5 6" xfId="15099" xr:uid="{00000000-0005-0000-0000-0000E9370000}"/>
    <cellStyle name="Normal 2 2 18 5 7" xfId="15100" xr:uid="{00000000-0005-0000-0000-0000EA370000}"/>
    <cellStyle name="Normal 2 2 18 5 8" xfId="15101" xr:uid="{00000000-0005-0000-0000-0000EB370000}"/>
    <cellStyle name="Normal 2 2 18 5 9" xfId="15102" xr:uid="{00000000-0005-0000-0000-0000EC370000}"/>
    <cellStyle name="Normal 2 2 18 6" xfId="15103" xr:uid="{00000000-0005-0000-0000-0000ED370000}"/>
    <cellStyle name="Normal 2 2 18 6 10" xfId="15104" xr:uid="{00000000-0005-0000-0000-0000EE370000}"/>
    <cellStyle name="Normal 2 2 18 6 11" xfId="15105" xr:uid="{00000000-0005-0000-0000-0000EF370000}"/>
    <cellStyle name="Normal 2 2 18 6 12" xfId="15106" xr:uid="{00000000-0005-0000-0000-0000F0370000}"/>
    <cellStyle name="Normal 2 2 18 6 13" xfId="15107" xr:uid="{00000000-0005-0000-0000-0000F1370000}"/>
    <cellStyle name="Normal 2 2 18 6 14" xfId="15108" xr:uid="{00000000-0005-0000-0000-0000F2370000}"/>
    <cellStyle name="Normal 2 2 18 6 15" xfId="15109" xr:uid="{00000000-0005-0000-0000-0000F3370000}"/>
    <cellStyle name="Normal 2 2 18 6 16" xfId="15110" xr:uid="{00000000-0005-0000-0000-0000F4370000}"/>
    <cellStyle name="Normal 2 2 18 6 17" xfId="15111" xr:uid="{00000000-0005-0000-0000-0000F5370000}"/>
    <cellStyle name="Normal 2 2 18 6 18" xfId="15112" xr:uid="{00000000-0005-0000-0000-0000F6370000}"/>
    <cellStyle name="Normal 2 2 18 6 19" xfId="15113" xr:uid="{00000000-0005-0000-0000-0000F7370000}"/>
    <cellStyle name="Normal 2 2 18 6 2" xfId="15114" xr:uid="{00000000-0005-0000-0000-0000F8370000}"/>
    <cellStyle name="Normal 2 2 18 6 20" xfId="15115" xr:uid="{00000000-0005-0000-0000-0000F9370000}"/>
    <cellStyle name="Normal 2 2 18 6 21" xfId="15116" xr:uid="{00000000-0005-0000-0000-0000FA370000}"/>
    <cellStyle name="Normal 2 2 18 6 22" xfId="15117" xr:uid="{00000000-0005-0000-0000-0000FB370000}"/>
    <cellStyle name="Normal 2 2 18 6 23" xfId="15118" xr:uid="{00000000-0005-0000-0000-0000FC370000}"/>
    <cellStyle name="Normal 2 2 18 6 24" xfId="15119" xr:uid="{00000000-0005-0000-0000-0000FD370000}"/>
    <cellStyle name="Normal 2 2 18 6 25" xfId="15120" xr:uid="{00000000-0005-0000-0000-0000FE370000}"/>
    <cellStyle name="Normal 2 2 18 6 26" xfId="15121" xr:uid="{00000000-0005-0000-0000-0000FF370000}"/>
    <cellStyle name="Normal 2 2 18 6 27" xfId="15122" xr:uid="{00000000-0005-0000-0000-000000380000}"/>
    <cellStyle name="Normal 2 2 18 6 28" xfId="15123" xr:uid="{00000000-0005-0000-0000-000001380000}"/>
    <cellStyle name="Normal 2 2 18 6 29" xfId="15124" xr:uid="{00000000-0005-0000-0000-000002380000}"/>
    <cellStyle name="Normal 2 2 18 6 3" xfId="15125" xr:uid="{00000000-0005-0000-0000-000003380000}"/>
    <cellStyle name="Normal 2 2 18 6 30" xfId="15126" xr:uid="{00000000-0005-0000-0000-000004380000}"/>
    <cellStyle name="Normal 2 2 18 6 31" xfId="15127" xr:uid="{00000000-0005-0000-0000-000005380000}"/>
    <cellStyle name="Normal 2 2 18 6 32" xfId="15128" xr:uid="{00000000-0005-0000-0000-000006380000}"/>
    <cellStyle name="Normal 2 2 18 6 33" xfId="15129" xr:uid="{00000000-0005-0000-0000-000007380000}"/>
    <cellStyle name="Normal 2 2 18 6 34" xfId="15130" xr:uid="{00000000-0005-0000-0000-000008380000}"/>
    <cellStyle name="Normal 2 2 18 6 35" xfId="15131" xr:uid="{00000000-0005-0000-0000-000009380000}"/>
    <cellStyle name="Normal 2 2 18 6 36" xfId="15132" xr:uid="{00000000-0005-0000-0000-00000A380000}"/>
    <cellStyle name="Normal 2 2 18 6 37" xfId="15133" xr:uid="{00000000-0005-0000-0000-00000B380000}"/>
    <cellStyle name="Normal 2 2 18 6 38" xfId="15134" xr:uid="{00000000-0005-0000-0000-00000C380000}"/>
    <cellStyle name="Normal 2 2 18 6 39" xfId="15135" xr:uid="{00000000-0005-0000-0000-00000D380000}"/>
    <cellStyle name="Normal 2 2 18 6 4" xfId="15136" xr:uid="{00000000-0005-0000-0000-00000E380000}"/>
    <cellStyle name="Normal 2 2 18 6 40" xfId="15137" xr:uid="{00000000-0005-0000-0000-00000F380000}"/>
    <cellStyle name="Normal 2 2 18 6 41" xfId="15138" xr:uid="{00000000-0005-0000-0000-000010380000}"/>
    <cellStyle name="Normal 2 2 18 6 42" xfId="15139" xr:uid="{00000000-0005-0000-0000-000011380000}"/>
    <cellStyle name="Normal 2 2 18 6 43" xfId="15140" xr:uid="{00000000-0005-0000-0000-000012380000}"/>
    <cellStyle name="Normal 2 2 18 6 44" xfId="15141" xr:uid="{00000000-0005-0000-0000-000013380000}"/>
    <cellStyle name="Normal 2 2 18 6 45" xfId="15142" xr:uid="{00000000-0005-0000-0000-000014380000}"/>
    <cellStyle name="Normal 2 2 18 6 5" xfId="15143" xr:uid="{00000000-0005-0000-0000-000015380000}"/>
    <cellStyle name="Normal 2 2 18 6 6" xfId="15144" xr:uid="{00000000-0005-0000-0000-000016380000}"/>
    <cellStyle name="Normal 2 2 18 6 7" xfId="15145" xr:uid="{00000000-0005-0000-0000-000017380000}"/>
    <cellStyle name="Normal 2 2 18 6 8" xfId="15146" xr:uid="{00000000-0005-0000-0000-000018380000}"/>
    <cellStyle name="Normal 2 2 18 6 9" xfId="15147" xr:uid="{00000000-0005-0000-0000-000019380000}"/>
    <cellStyle name="Normal 2 2 18 7" xfId="15148" xr:uid="{00000000-0005-0000-0000-00001A380000}"/>
    <cellStyle name="Normal 2 2 18 7 10" xfId="15149" xr:uid="{00000000-0005-0000-0000-00001B380000}"/>
    <cellStyle name="Normal 2 2 18 7 11" xfId="15150" xr:uid="{00000000-0005-0000-0000-00001C380000}"/>
    <cellStyle name="Normal 2 2 18 7 12" xfId="15151" xr:uid="{00000000-0005-0000-0000-00001D380000}"/>
    <cellStyle name="Normal 2 2 18 7 13" xfId="15152" xr:uid="{00000000-0005-0000-0000-00001E380000}"/>
    <cellStyle name="Normal 2 2 18 7 14" xfId="15153" xr:uid="{00000000-0005-0000-0000-00001F380000}"/>
    <cellStyle name="Normal 2 2 18 7 15" xfId="15154" xr:uid="{00000000-0005-0000-0000-000020380000}"/>
    <cellStyle name="Normal 2 2 18 7 16" xfId="15155" xr:uid="{00000000-0005-0000-0000-000021380000}"/>
    <cellStyle name="Normal 2 2 18 7 17" xfId="15156" xr:uid="{00000000-0005-0000-0000-000022380000}"/>
    <cellStyle name="Normal 2 2 18 7 18" xfId="15157" xr:uid="{00000000-0005-0000-0000-000023380000}"/>
    <cellStyle name="Normal 2 2 18 7 19" xfId="15158" xr:uid="{00000000-0005-0000-0000-000024380000}"/>
    <cellStyle name="Normal 2 2 18 7 2" xfId="15159" xr:uid="{00000000-0005-0000-0000-000025380000}"/>
    <cellStyle name="Normal 2 2 18 7 20" xfId="15160" xr:uid="{00000000-0005-0000-0000-000026380000}"/>
    <cellStyle name="Normal 2 2 18 7 21" xfId="15161" xr:uid="{00000000-0005-0000-0000-000027380000}"/>
    <cellStyle name="Normal 2 2 18 7 22" xfId="15162" xr:uid="{00000000-0005-0000-0000-000028380000}"/>
    <cellStyle name="Normal 2 2 18 7 23" xfId="15163" xr:uid="{00000000-0005-0000-0000-000029380000}"/>
    <cellStyle name="Normal 2 2 18 7 24" xfId="15164" xr:uid="{00000000-0005-0000-0000-00002A380000}"/>
    <cellStyle name="Normal 2 2 18 7 25" xfId="15165" xr:uid="{00000000-0005-0000-0000-00002B380000}"/>
    <cellStyle name="Normal 2 2 18 7 26" xfId="15166" xr:uid="{00000000-0005-0000-0000-00002C380000}"/>
    <cellStyle name="Normal 2 2 18 7 27" xfId="15167" xr:uid="{00000000-0005-0000-0000-00002D380000}"/>
    <cellStyle name="Normal 2 2 18 7 28" xfId="15168" xr:uid="{00000000-0005-0000-0000-00002E380000}"/>
    <cellStyle name="Normal 2 2 18 7 29" xfId="15169" xr:uid="{00000000-0005-0000-0000-00002F380000}"/>
    <cellStyle name="Normal 2 2 18 7 3" xfId="15170" xr:uid="{00000000-0005-0000-0000-000030380000}"/>
    <cellStyle name="Normal 2 2 18 7 30" xfId="15171" xr:uid="{00000000-0005-0000-0000-000031380000}"/>
    <cellStyle name="Normal 2 2 18 7 31" xfId="15172" xr:uid="{00000000-0005-0000-0000-000032380000}"/>
    <cellStyle name="Normal 2 2 18 7 32" xfId="15173" xr:uid="{00000000-0005-0000-0000-000033380000}"/>
    <cellStyle name="Normal 2 2 18 7 33" xfId="15174" xr:uid="{00000000-0005-0000-0000-000034380000}"/>
    <cellStyle name="Normal 2 2 18 7 34" xfId="15175" xr:uid="{00000000-0005-0000-0000-000035380000}"/>
    <cellStyle name="Normal 2 2 18 7 35" xfId="15176" xr:uid="{00000000-0005-0000-0000-000036380000}"/>
    <cellStyle name="Normal 2 2 18 7 36" xfId="15177" xr:uid="{00000000-0005-0000-0000-000037380000}"/>
    <cellStyle name="Normal 2 2 18 7 37" xfId="15178" xr:uid="{00000000-0005-0000-0000-000038380000}"/>
    <cellStyle name="Normal 2 2 18 7 38" xfId="15179" xr:uid="{00000000-0005-0000-0000-000039380000}"/>
    <cellStyle name="Normal 2 2 18 7 39" xfId="15180" xr:uid="{00000000-0005-0000-0000-00003A380000}"/>
    <cellStyle name="Normal 2 2 18 7 4" xfId="15181" xr:uid="{00000000-0005-0000-0000-00003B380000}"/>
    <cellStyle name="Normal 2 2 18 7 40" xfId="15182" xr:uid="{00000000-0005-0000-0000-00003C380000}"/>
    <cellStyle name="Normal 2 2 18 7 41" xfId="15183" xr:uid="{00000000-0005-0000-0000-00003D380000}"/>
    <cellStyle name="Normal 2 2 18 7 42" xfId="15184" xr:uid="{00000000-0005-0000-0000-00003E380000}"/>
    <cellStyle name="Normal 2 2 18 7 43" xfId="15185" xr:uid="{00000000-0005-0000-0000-00003F380000}"/>
    <cellStyle name="Normal 2 2 18 7 44" xfId="15186" xr:uid="{00000000-0005-0000-0000-000040380000}"/>
    <cellStyle name="Normal 2 2 18 7 45" xfId="15187" xr:uid="{00000000-0005-0000-0000-000041380000}"/>
    <cellStyle name="Normal 2 2 18 7 5" xfId="15188" xr:uid="{00000000-0005-0000-0000-000042380000}"/>
    <cellStyle name="Normal 2 2 18 7 6" xfId="15189" xr:uid="{00000000-0005-0000-0000-000043380000}"/>
    <cellStyle name="Normal 2 2 18 7 7" xfId="15190" xr:uid="{00000000-0005-0000-0000-000044380000}"/>
    <cellStyle name="Normal 2 2 18 7 8" xfId="15191" xr:uid="{00000000-0005-0000-0000-000045380000}"/>
    <cellStyle name="Normal 2 2 18 7 9" xfId="15192" xr:uid="{00000000-0005-0000-0000-000046380000}"/>
    <cellStyle name="Normal 2 2 18 8" xfId="15193" xr:uid="{00000000-0005-0000-0000-000047380000}"/>
    <cellStyle name="Normal 2 2 18 8 2" xfId="15194" xr:uid="{00000000-0005-0000-0000-000048380000}"/>
    <cellStyle name="Normal 2 2 18 8 3" xfId="15195" xr:uid="{00000000-0005-0000-0000-000049380000}"/>
    <cellStyle name="Normal 2 2 18 8 4" xfId="15196" xr:uid="{00000000-0005-0000-0000-00004A380000}"/>
    <cellStyle name="Normal 2 2 18 8 5" xfId="15197" xr:uid="{00000000-0005-0000-0000-00004B380000}"/>
    <cellStyle name="Normal 2 2 18 8 6" xfId="15198" xr:uid="{00000000-0005-0000-0000-00004C380000}"/>
    <cellStyle name="Normal 2 2 18 9" xfId="15199" xr:uid="{00000000-0005-0000-0000-00004D380000}"/>
    <cellStyle name="Normal 2 2 18 9 2" xfId="15200" xr:uid="{00000000-0005-0000-0000-00004E380000}"/>
    <cellStyle name="Normal 2 2 18 9 3" xfId="15201" xr:uid="{00000000-0005-0000-0000-00004F380000}"/>
    <cellStyle name="Normal 2 2 18 9 4" xfId="15202" xr:uid="{00000000-0005-0000-0000-000050380000}"/>
    <cellStyle name="Normal 2 2 18 9 5" xfId="15203" xr:uid="{00000000-0005-0000-0000-000051380000}"/>
    <cellStyle name="Normal 2 2 18 9 6" xfId="15204" xr:uid="{00000000-0005-0000-0000-000052380000}"/>
    <cellStyle name="Normal 2 2 19" xfId="15205" xr:uid="{00000000-0005-0000-0000-000053380000}"/>
    <cellStyle name="Normal 2 2 19 10" xfId="15206" xr:uid="{00000000-0005-0000-0000-000054380000}"/>
    <cellStyle name="Normal 2 2 19 11" xfId="15207" xr:uid="{00000000-0005-0000-0000-000055380000}"/>
    <cellStyle name="Normal 2 2 19 12" xfId="15208" xr:uid="{00000000-0005-0000-0000-000056380000}"/>
    <cellStyle name="Normal 2 2 19 13" xfId="15209" xr:uid="{00000000-0005-0000-0000-000057380000}"/>
    <cellStyle name="Normal 2 2 19 14" xfId="15210" xr:uid="{00000000-0005-0000-0000-000058380000}"/>
    <cellStyle name="Normal 2 2 19 15" xfId="15211" xr:uid="{00000000-0005-0000-0000-000059380000}"/>
    <cellStyle name="Normal 2 2 19 16" xfId="15212" xr:uid="{00000000-0005-0000-0000-00005A380000}"/>
    <cellStyle name="Normal 2 2 19 17" xfId="15213" xr:uid="{00000000-0005-0000-0000-00005B380000}"/>
    <cellStyle name="Normal 2 2 19 18" xfId="15214" xr:uid="{00000000-0005-0000-0000-00005C380000}"/>
    <cellStyle name="Normal 2 2 19 19" xfId="15215" xr:uid="{00000000-0005-0000-0000-00005D380000}"/>
    <cellStyle name="Normal 2 2 19 2" xfId="15216" xr:uid="{00000000-0005-0000-0000-00005E380000}"/>
    <cellStyle name="Normal 2 2 19 20" xfId="15217" xr:uid="{00000000-0005-0000-0000-00005F380000}"/>
    <cellStyle name="Normal 2 2 19 21" xfId="15218" xr:uid="{00000000-0005-0000-0000-000060380000}"/>
    <cellStyle name="Normal 2 2 19 22" xfId="15219" xr:uid="{00000000-0005-0000-0000-000061380000}"/>
    <cellStyle name="Normal 2 2 19 23" xfId="15220" xr:uid="{00000000-0005-0000-0000-000062380000}"/>
    <cellStyle name="Normal 2 2 19 24" xfId="15221" xr:uid="{00000000-0005-0000-0000-000063380000}"/>
    <cellStyle name="Normal 2 2 19 25" xfId="15222" xr:uid="{00000000-0005-0000-0000-000064380000}"/>
    <cellStyle name="Normal 2 2 19 26" xfId="15223" xr:uid="{00000000-0005-0000-0000-000065380000}"/>
    <cellStyle name="Normal 2 2 19 27" xfId="15224" xr:uid="{00000000-0005-0000-0000-000066380000}"/>
    <cellStyle name="Normal 2 2 19 28" xfId="15225" xr:uid="{00000000-0005-0000-0000-000067380000}"/>
    <cellStyle name="Normal 2 2 19 29" xfId="15226" xr:uid="{00000000-0005-0000-0000-000068380000}"/>
    <cellStyle name="Normal 2 2 19 3" xfId="15227" xr:uid="{00000000-0005-0000-0000-000069380000}"/>
    <cellStyle name="Normal 2 2 19 30" xfId="15228" xr:uid="{00000000-0005-0000-0000-00006A380000}"/>
    <cellStyle name="Normal 2 2 19 31" xfId="15229" xr:uid="{00000000-0005-0000-0000-00006B380000}"/>
    <cellStyle name="Normal 2 2 19 32" xfId="15230" xr:uid="{00000000-0005-0000-0000-00006C380000}"/>
    <cellStyle name="Normal 2 2 19 33" xfId="15231" xr:uid="{00000000-0005-0000-0000-00006D380000}"/>
    <cellStyle name="Normal 2 2 19 34" xfId="15232" xr:uid="{00000000-0005-0000-0000-00006E380000}"/>
    <cellStyle name="Normal 2 2 19 35" xfId="15233" xr:uid="{00000000-0005-0000-0000-00006F380000}"/>
    <cellStyle name="Normal 2 2 19 36" xfId="15234" xr:uid="{00000000-0005-0000-0000-000070380000}"/>
    <cellStyle name="Normal 2 2 19 37" xfId="15235" xr:uid="{00000000-0005-0000-0000-000071380000}"/>
    <cellStyle name="Normal 2 2 19 38" xfId="15236" xr:uid="{00000000-0005-0000-0000-000072380000}"/>
    <cellStyle name="Normal 2 2 19 39" xfId="15237" xr:uid="{00000000-0005-0000-0000-000073380000}"/>
    <cellStyle name="Normal 2 2 19 4" xfId="15238" xr:uid="{00000000-0005-0000-0000-000074380000}"/>
    <cellStyle name="Normal 2 2 19 40" xfId="15239" xr:uid="{00000000-0005-0000-0000-000075380000}"/>
    <cellStyle name="Normal 2 2 19 41" xfId="15240" xr:uid="{00000000-0005-0000-0000-000076380000}"/>
    <cellStyle name="Normal 2 2 19 42" xfId="15241" xr:uid="{00000000-0005-0000-0000-000077380000}"/>
    <cellStyle name="Normal 2 2 19 43" xfId="15242" xr:uid="{00000000-0005-0000-0000-000078380000}"/>
    <cellStyle name="Normal 2 2 19 44" xfId="15243" xr:uid="{00000000-0005-0000-0000-000079380000}"/>
    <cellStyle name="Normal 2 2 19 45" xfId="15244" xr:uid="{00000000-0005-0000-0000-00007A380000}"/>
    <cellStyle name="Normal 2 2 19 46" xfId="15245" xr:uid="{00000000-0005-0000-0000-00007B380000}"/>
    <cellStyle name="Normal 2 2 19 5" xfId="15246" xr:uid="{00000000-0005-0000-0000-00007C380000}"/>
    <cellStyle name="Normal 2 2 19 6" xfId="15247" xr:uid="{00000000-0005-0000-0000-00007D380000}"/>
    <cellStyle name="Normal 2 2 19 7" xfId="15248" xr:uid="{00000000-0005-0000-0000-00007E380000}"/>
    <cellStyle name="Normal 2 2 19 8" xfId="15249" xr:uid="{00000000-0005-0000-0000-00007F380000}"/>
    <cellStyle name="Normal 2 2 19 9" xfId="15250" xr:uid="{00000000-0005-0000-0000-000080380000}"/>
    <cellStyle name="Normal 2 2 2" xfId="1053" xr:uid="{00000000-0005-0000-0000-000081380000}"/>
    <cellStyle name="Normal 2 2 2 10" xfId="15251" xr:uid="{00000000-0005-0000-0000-000082380000}"/>
    <cellStyle name="Normal 2 2 2 10 10" xfId="15252" xr:uid="{00000000-0005-0000-0000-000083380000}"/>
    <cellStyle name="Normal 2 2 2 10 11" xfId="15253" xr:uid="{00000000-0005-0000-0000-000084380000}"/>
    <cellStyle name="Normal 2 2 2 10 12" xfId="15254" xr:uid="{00000000-0005-0000-0000-000085380000}"/>
    <cellStyle name="Normal 2 2 2 10 13" xfId="15255" xr:uid="{00000000-0005-0000-0000-000086380000}"/>
    <cellStyle name="Normal 2 2 2 10 14" xfId="15256" xr:uid="{00000000-0005-0000-0000-000087380000}"/>
    <cellStyle name="Normal 2 2 2 10 2" xfId="15257" xr:uid="{00000000-0005-0000-0000-000088380000}"/>
    <cellStyle name="Normal 2 2 2 10 2 2" xfId="15258" xr:uid="{00000000-0005-0000-0000-000089380000}"/>
    <cellStyle name="Normal 2 2 2 10 2 3" xfId="15259" xr:uid="{00000000-0005-0000-0000-00008A380000}"/>
    <cellStyle name="Normal 2 2 2 10 2 4" xfId="15260" xr:uid="{00000000-0005-0000-0000-00008B380000}"/>
    <cellStyle name="Normal 2 2 2 10 2 5" xfId="15261" xr:uid="{00000000-0005-0000-0000-00008C380000}"/>
    <cellStyle name="Normal 2 2 2 10 2 6" xfId="15262" xr:uid="{00000000-0005-0000-0000-00008D380000}"/>
    <cellStyle name="Normal 2 2 2 10 3" xfId="15263" xr:uid="{00000000-0005-0000-0000-00008E380000}"/>
    <cellStyle name="Normal 2 2 2 10 3 2" xfId="15264" xr:uid="{00000000-0005-0000-0000-00008F380000}"/>
    <cellStyle name="Normal 2 2 2 10 3 3" xfId="15265" xr:uid="{00000000-0005-0000-0000-000090380000}"/>
    <cellStyle name="Normal 2 2 2 10 3 4" xfId="15266" xr:uid="{00000000-0005-0000-0000-000091380000}"/>
    <cellStyle name="Normal 2 2 2 10 3 5" xfId="15267" xr:uid="{00000000-0005-0000-0000-000092380000}"/>
    <cellStyle name="Normal 2 2 2 10 3 6" xfId="15268" xr:uid="{00000000-0005-0000-0000-000093380000}"/>
    <cellStyle name="Normal 2 2 2 10 4" xfId="15269" xr:uid="{00000000-0005-0000-0000-000094380000}"/>
    <cellStyle name="Normal 2 2 2 10 4 2" xfId="15270" xr:uid="{00000000-0005-0000-0000-000095380000}"/>
    <cellStyle name="Normal 2 2 2 10 4 3" xfId="15271" xr:uid="{00000000-0005-0000-0000-000096380000}"/>
    <cellStyle name="Normal 2 2 2 10 4 4" xfId="15272" xr:uid="{00000000-0005-0000-0000-000097380000}"/>
    <cellStyle name="Normal 2 2 2 10 4 5" xfId="15273" xr:uid="{00000000-0005-0000-0000-000098380000}"/>
    <cellStyle name="Normal 2 2 2 10 4 6" xfId="15274" xr:uid="{00000000-0005-0000-0000-000099380000}"/>
    <cellStyle name="Normal 2 2 2 10 5" xfId="15275" xr:uid="{00000000-0005-0000-0000-00009A380000}"/>
    <cellStyle name="Normal 2 2 2 10 5 2" xfId="15276" xr:uid="{00000000-0005-0000-0000-00009B380000}"/>
    <cellStyle name="Normal 2 2 2 10 5 3" xfId="15277" xr:uid="{00000000-0005-0000-0000-00009C380000}"/>
    <cellStyle name="Normal 2 2 2 10 5 4" xfId="15278" xr:uid="{00000000-0005-0000-0000-00009D380000}"/>
    <cellStyle name="Normal 2 2 2 10 5 5" xfId="15279" xr:uid="{00000000-0005-0000-0000-00009E380000}"/>
    <cellStyle name="Normal 2 2 2 10 5 6" xfId="15280" xr:uid="{00000000-0005-0000-0000-00009F380000}"/>
    <cellStyle name="Normal 2 2 2 10 6" xfId="15281" xr:uid="{00000000-0005-0000-0000-0000A0380000}"/>
    <cellStyle name="Normal 2 2 2 10 6 2" xfId="15282" xr:uid="{00000000-0005-0000-0000-0000A1380000}"/>
    <cellStyle name="Normal 2 2 2 10 6 3" xfId="15283" xr:uid="{00000000-0005-0000-0000-0000A2380000}"/>
    <cellStyle name="Normal 2 2 2 10 6 4" xfId="15284" xr:uid="{00000000-0005-0000-0000-0000A3380000}"/>
    <cellStyle name="Normal 2 2 2 10 6 5" xfId="15285" xr:uid="{00000000-0005-0000-0000-0000A4380000}"/>
    <cellStyle name="Normal 2 2 2 10 6 6" xfId="15286" xr:uid="{00000000-0005-0000-0000-0000A5380000}"/>
    <cellStyle name="Normal 2 2 2 10 7" xfId="15287" xr:uid="{00000000-0005-0000-0000-0000A6380000}"/>
    <cellStyle name="Normal 2 2 2 10 7 2" xfId="15288" xr:uid="{00000000-0005-0000-0000-0000A7380000}"/>
    <cellStyle name="Normal 2 2 2 10 7 3" xfId="15289" xr:uid="{00000000-0005-0000-0000-0000A8380000}"/>
    <cellStyle name="Normal 2 2 2 10 7 4" xfId="15290" xr:uid="{00000000-0005-0000-0000-0000A9380000}"/>
    <cellStyle name="Normal 2 2 2 10 7 5" xfId="15291" xr:uid="{00000000-0005-0000-0000-0000AA380000}"/>
    <cellStyle name="Normal 2 2 2 10 7 6" xfId="15292" xr:uid="{00000000-0005-0000-0000-0000AB380000}"/>
    <cellStyle name="Normal 2 2 2 10 8" xfId="15293" xr:uid="{00000000-0005-0000-0000-0000AC380000}"/>
    <cellStyle name="Normal 2 2 2 10 8 2" xfId="15294" xr:uid="{00000000-0005-0000-0000-0000AD380000}"/>
    <cellStyle name="Normal 2 2 2 10 8 3" xfId="15295" xr:uid="{00000000-0005-0000-0000-0000AE380000}"/>
    <cellStyle name="Normal 2 2 2 10 8 4" xfId="15296" xr:uid="{00000000-0005-0000-0000-0000AF380000}"/>
    <cellStyle name="Normal 2 2 2 10 8 5" xfId="15297" xr:uid="{00000000-0005-0000-0000-0000B0380000}"/>
    <cellStyle name="Normal 2 2 2 10 8 6" xfId="15298" xr:uid="{00000000-0005-0000-0000-0000B1380000}"/>
    <cellStyle name="Normal 2 2 2 10 9" xfId="15299" xr:uid="{00000000-0005-0000-0000-0000B2380000}"/>
    <cellStyle name="Normal 2 2 2 11" xfId="15300" xr:uid="{00000000-0005-0000-0000-0000B3380000}"/>
    <cellStyle name="Normal 2 2 2 11 10" xfId="15301" xr:uid="{00000000-0005-0000-0000-0000B4380000}"/>
    <cellStyle name="Normal 2 2 2 11 11" xfId="15302" xr:uid="{00000000-0005-0000-0000-0000B5380000}"/>
    <cellStyle name="Normal 2 2 2 11 12" xfId="15303" xr:uid="{00000000-0005-0000-0000-0000B6380000}"/>
    <cellStyle name="Normal 2 2 2 11 13" xfId="15304" xr:uid="{00000000-0005-0000-0000-0000B7380000}"/>
    <cellStyle name="Normal 2 2 2 11 14" xfId="15305" xr:uid="{00000000-0005-0000-0000-0000B8380000}"/>
    <cellStyle name="Normal 2 2 2 11 2" xfId="15306" xr:uid="{00000000-0005-0000-0000-0000B9380000}"/>
    <cellStyle name="Normal 2 2 2 11 2 2" xfId="15307" xr:uid="{00000000-0005-0000-0000-0000BA380000}"/>
    <cellStyle name="Normal 2 2 2 11 2 3" xfId="15308" xr:uid="{00000000-0005-0000-0000-0000BB380000}"/>
    <cellStyle name="Normal 2 2 2 11 2 4" xfId="15309" xr:uid="{00000000-0005-0000-0000-0000BC380000}"/>
    <cellStyle name="Normal 2 2 2 11 2 5" xfId="15310" xr:uid="{00000000-0005-0000-0000-0000BD380000}"/>
    <cellStyle name="Normal 2 2 2 11 2 6" xfId="15311" xr:uid="{00000000-0005-0000-0000-0000BE380000}"/>
    <cellStyle name="Normal 2 2 2 11 3" xfId="15312" xr:uid="{00000000-0005-0000-0000-0000BF380000}"/>
    <cellStyle name="Normal 2 2 2 11 3 2" xfId="15313" xr:uid="{00000000-0005-0000-0000-0000C0380000}"/>
    <cellStyle name="Normal 2 2 2 11 3 3" xfId="15314" xr:uid="{00000000-0005-0000-0000-0000C1380000}"/>
    <cellStyle name="Normal 2 2 2 11 3 4" xfId="15315" xr:uid="{00000000-0005-0000-0000-0000C2380000}"/>
    <cellStyle name="Normal 2 2 2 11 3 5" xfId="15316" xr:uid="{00000000-0005-0000-0000-0000C3380000}"/>
    <cellStyle name="Normal 2 2 2 11 3 6" xfId="15317" xr:uid="{00000000-0005-0000-0000-0000C4380000}"/>
    <cellStyle name="Normal 2 2 2 11 4" xfId="15318" xr:uid="{00000000-0005-0000-0000-0000C5380000}"/>
    <cellStyle name="Normal 2 2 2 11 4 2" xfId="15319" xr:uid="{00000000-0005-0000-0000-0000C6380000}"/>
    <cellStyle name="Normal 2 2 2 11 4 3" xfId="15320" xr:uid="{00000000-0005-0000-0000-0000C7380000}"/>
    <cellStyle name="Normal 2 2 2 11 4 4" xfId="15321" xr:uid="{00000000-0005-0000-0000-0000C8380000}"/>
    <cellStyle name="Normal 2 2 2 11 4 5" xfId="15322" xr:uid="{00000000-0005-0000-0000-0000C9380000}"/>
    <cellStyle name="Normal 2 2 2 11 4 6" xfId="15323" xr:uid="{00000000-0005-0000-0000-0000CA380000}"/>
    <cellStyle name="Normal 2 2 2 11 5" xfId="15324" xr:uid="{00000000-0005-0000-0000-0000CB380000}"/>
    <cellStyle name="Normal 2 2 2 11 5 2" xfId="15325" xr:uid="{00000000-0005-0000-0000-0000CC380000}"/>
    <cellStyle name="Normal 2 2 2 11 5 3" xfId="15326" xr:uid="{00000000-0005-0000-0000-0000CD380000}"/>
    <cellStyle name="Normal 2 2 2 11 5 4" xfId="15327" xr:uid="{00000000-0005-0000-0000-0000CE380000}"/>
    <cellStyle name="Normal 2 2 2 11 5 5" xfId="15328" xr:uid="{00000000-0005-0000-0000-0000CF380000}"/>
    <cellStyle name="Normal 2 2 2 11 5 6" xfId="15329" xr:uid="{00000000-0005-0000-0000-0000D0380000}"/>
    <cellStyle name="Normal 2 2 2 11 6" xfId="15330" xr:uid="{00000000-0005-0000-0000-0000D1380000}"/>
    <cellStyle name="Normal 2 2 2 11 6 2" xfId="15331" xr:uid="{00000000-0005-0000-0000-0000D2380000}"/>
    <cellStyle name="Normal 2 2 2 11 6 3" xfId="15332" xr:uid="{00000000-0005-0000-0000-0000D3380000}"/>
    <cellStyle name="Normal 2 2 2 11 6 4" xfId="15333" xr:uid="{00000000-0005-0000-0000-0000D4380000}"/>
    <cellStyle name="Normal 2 2 2 11 6 5" xfId="15334" xr:uid="{00000000-0005-0000-0000-0000D5380000}"/>
    <cellStyle name="Normal 2 2 2 11 6 6" xfId="15335" xr:uid="{00000000-0005-0000-0000-0000D6380000}"/>
    <cellStyle name="Normal 2 2 2 11 7" xfId="15336" xr:uid="{00000000-0005-0000-0000-0000D7380000}"/>
    <cellStyle name="Normal 2 2 2 11 7 2" xfId="15337" xr:uid="{00000000-0005-0000-0000-0000D8380000}"/>
    <cellStyle name="Normal 2 2 2 11 7 3" xfId="15338" xr:uid="{00000000-0005-0000-0000-0000D9380000}"/>
    <cellStyle name="Normal 2 2 2 11 7 4" xfId="15339" xr:uid="{00000000-0005-0000-0000-0000DA380000}"/>
    <cellStyle name="Normal 2 2 2 11 7 5" xfId="15340" xr:uid="{00000000-0005-0000-0000-0000DB380000}"/>
    <cellStyle name="Normal 2 2 2 11 7 6" xfId="15341" xr:uid="{00000000-0005-0000-0000-0000DC380000}"/>
    <cellStyle name="Normal 2 2 2 11 8" xfId="15342" xr:uid="{00000000-0005-0000-0000-0000DD380000}"/>
    <cellStyle name="Normal 2 2 2 11 8 2" xfId="15343" xr:uid="{00000000-0005-0000-0000-0000DE380000}"/>
    <cellStyle name="Normal 2 2 2 11 8 3" xfId="15344" xr:uid="{00000000-0005-0000-0000-0000DF380000}"/>
    <cellStyle name="Normal 2 2 2 11 8 4" xfId="15345" xr:uid="{00000000-0005-0000-0000-0000E0380000}"/>
    <cellStyle name="Normal 2 2 2 11 8 5" xfId="15346" xr:uid="{00000000-0005-0000-0000-0000E1380000}"/>
    <cellStyle name="Normal 2 2 2 11 8 6" xfId="15347" xr:uid="{00000000-0005-0000-0000-0000E2380000}"/>
    <cellStyle name="Normal 2 2 2 11 9" xfId="15348" xr:uid="{00000000-0005-0000-0000-0000E3380000}"/>
    <cellStyle name="Normal 2 2 2 12" xfId="15349" xr:uid="{00000000-0005-0000-0000-0000E4380000}"/>
    <cellStyle name="Normal 2 2 2 12 10" xfId="15350" xr:uid="{00000000-0005-0000-0000-0000E5380000}"/>
    <cellStyle name="Normal 2 2 2 12 11" xfId="15351" xr:uid="{00000000-0005-0000-0000-0000E6380000}"/>
    <cellStyle name="Normal 2 2 2 12 12" xfId="15352" xr:uid="{00000000-0005-0000-0000-0000E7380000}"/>
    <cellStyle name="Normal 2 2 2 12 13" xfId="15353" xr:uid="{00000000-0005-0000-0000-0000E8380000}"/>
    <cellStyle name="Normal 2 2 2 12 14" xfId="15354" xr:uid="{00000000-0005-0000-0000-0000E9380000}"/>
    <cellStyle name="Normal 2 2 2 12 15" xfId="15355" xr:uid="{00000000-0005-0000-0000-0000EA380000}"/>
    <cellStyle name="Normal 2 2 2 12 16" xfId="15356" xr:uid="{00000000-0005-0000-0000-0000EB380000}"/>
    <cellStyle name="Normal 2 2 2 12 17" xfId="15357" xr:uid="{00000000-0005-0000-0000-0000EC380000}"/>
    <cellStyle name="Normal 2 2 2 12 18" xfId="15358" xr:uid="{00000000-0005-0000-0000-0000ED380000}"/>
    <cellStyle name="Normal 2 2 2 12 19" xfId="15359" xr:uid="{00000000-0005-0000-0000-0000EE380000}"/>
    <cellStyle name="Normal 2 2 2 12 2" xfId="15360" xr:uid="{00000000-0005-0000-0000-0000EF380000}"/>
    <cellStyle name="Normal 2 2 2 12 20" xfId="15361" xr:uid="{00000000-0005-0000-0000-0000F0380000}"/>
    <cellStyle name="Normal 2 2 2 12 21" xfId="15362" xr:uid="{00000000-0005-0000-0000-0000F1380000}"/>
    <cellStyle name="Normal 2 2 2 12 22" xfId="15363" xr:uid="{00000000-0005-0000-0000-0000F2380000}"/>
    <cellStyle name="Normal 2 2 2 12 23" xfId="15364" xr:uid="{00000000-0005-0000-0000-0000F3380000}"/>
    <cellStyle name="Normal 2 2 2 12 24" xfId="15365" xr:uid="{00000000-0005-0000-0000-0000F4380000}"/>
    <cellStyle name="Normal 2 2 2 12 25" xfId="15366" xr:uid="{00000000-0005-0000-0000-0000F5380000}"/>
    <cellStyle name="Normal 2 2 2 12 26" xfId="15367" xr:uid="{00000000-0005-0000-0000-0000F6380000}"/>
    <cellStyle name="Normal 2 2 2 12 27" xfId="15368" xr:uid="{00000000-0005-0000-0000-0000F7380000}"/>
    <cellStyle name="Normal 2 2 2 12 28" xfId="15369" xr:uid="{00000000-0005-0000-0000-0000F8380000}"/>
    <cellStyle name="Normal 2 2 2 12 29" xfId="15370" xr:uid="{00000000-0005-0000-0000-0000F9380000}"/>
    <cellStyle name="Normal 2 2 2 12 3" xfId="15371" xr:uid="{00000000-0005-0000-0000-0000FA380000}"/>
    <cellStyle name="Normal 2 2 2 12 30" xfId="15372" xr:uid="{00000000-0005-0000-0000-0000FB380000}"/>
    <cellStyle name="Normal 2 2 2 12 31" xfId="15373" xr:uid="{00000000-0005-0000-0000-0000FC380000}"/>
    <cellStyle name="Normal 2 2 2 12 32" xfId="15374" xr:uid="{00000000-0005-0000-0000-0000FD380000}"/>
    <cellStyle name="Normal 2 2 2 12 33" xfId="15375" xr:uid="{00000000-0005-0000-0000-0000FE380000}"/>
    <cellStyle name="Normal 2 2 2 12 34" xfId="15376" xr:uid="{00000000-0005-0000-0000-0000FF380000}"/>
    <cellStyle name="Normal 2 2 2 12 35" xfId="15377" xr:uid="{00000000-0005-0000-0000-000000390000}"/>
    <cellStyle name="Normal 2 2 2 12 36" xfId="15378" xr:uid="{00000000-0005-0000-0000-000001390000}"/>
    <cellStyle name="Normal 2 2 2 12 37" xfId="15379" xr:uid="{00000000-0005-0000-0000-000002390000}"/>
    <cellStyle name="Normal 2 2 2 12 38" xfId="15380" xr:uid="{00000000-0005-0000-0000-000003390000}"/>
    <cellStyle name="Normal 2 2 2 12 39" xfId="15381" xr:uid="{00000000-0005-0000-0000-000004390000}"/>
    <cellStyle name="Normal 2 2 2 12 4" xfId="15382" xr:uid="{00000000-0005-0000-0000-000005390000}"/>
    <cellStyle name="Normal 2 2 2 12 40" xfId="15383" xr:uid="{00000000-0005-0000-0000-000006390000}"/>
    <cellStyle name="Normal 2 2 2 12 41" xfId="15384" xr:uid="{00000000-0005-0000-0000-000007390000}"/>
    <cellStyle name="Normal 2 2 2 12 42" xfId="15385" xr:uid="{00000000-0005-0000-0000-000008390000}"/>
    <cellStyle name="Normal 2 2 2 12 43" xfId="15386" xr:uid="{00000000-0005-0000-0000-000009390000}"/>
    <cellStyle name="Normal 2 2 2 12 44" xfId="15387" xr:uid="{00000000-0005-0000-0000-00000A390000}"/>
    <cellStyle name="Normal 2 2 2 12 45" xfId="15388" xr:uid="{00000000-0005-0000-0000-00000B390000}"/>
    <cellStyle name="Normal 2 2 2 12 46" xfId="15389" xr:uid="{00000000-0005-0000-0000-00000C390000}"/>
    <cellStyle name="Normal 2 2 2 12 5" xfId="15390" xr:uid="{00000000-0005-0000-0000-00000D390000}"/>
    <cellStyle name="Normal 2 2 2 12 6" xfId="15391" xr:uid="{00000000-0005-0000-0000-00000E390000}"/>
    <cellStyle name="Normal 2 2 2 12 7" xfId="15392" xr:uid="{00000000-0005-0000-0000-00000F390000}"/>
    <cellStyle name="Normal 2 2 2 12 8" xfId="15393" xr:uid="{00000000-0005-0000-0000-000010390000}"/>
    <cellStyle name="Normal 2 2 2 12 9" xfId="15394" xr:uid="{00000000-0005-0000-0000-000011390000}"/>
    <cellStyle name="Normal 2 2 2 13" xfId="15395" xr:uid="{00000000-0005-0000-0000-000012390000}"/>
    <cellStyle name="Normal 2 2 2 13 10" xfId="15396" xr:uid="{00000000-0005-0000-0000-000013390000}"/>
    <cellStyle name="Normal 2 2 2 13 11" xfId="15397" xr:uid="{00000000-0005-0000-0000-000014390000}"/>
    <cellStyle name="Normal 2 2 2 13 12" xfId="15398" xr:uid="{00000000-0005-0000-0000-000015390000}"/>
    <cellStyle name="Normal 2 2 2 13 13" xfId="15399" xr:uid="{00000000-0005-0000-0000-000016390000}"/>
    <cellStyle name="Normal 2 2 2 13 14" xfId="15400" xr:uid="{00000000-0005-0000-0000-000017390000}"/>
    <cellStyle name="Normal 2 2 2 13 15" xfId="15401" xr:uid="{00000000-0005-0000-0000-000018390000}"/>
    <cellStyle name="Normal 2 2 2 13 16" xfId="15402" xr:uid="{00000000-0005-0000-0000-000019390000}"/>
    <cellStyle name="Normal 2 2 2 13 17" xfId="15403" xr:uid="{00000000-0005-0000-0000-00001A390000}"/>
    <cellStyle name="Normal 2 2 2 13 18" xfId="15404" xr:uid="{00000000-0005-0000-0000-00001B390000}"/>
    <cellStyle name="Normal 2 2 2 13 19" xfId="15405" xr:uid="{00000000-0005-0000-0000-00001C390000}"/>
    <cellStyle name="Normal 2 2 2 13 2" xfId="15406" xr:uid="{00000000-0005-0000-0000-00001D390000}"/>
    <cellStyle name="Normal 2 2 2 13 20" xfId="15407" xr:uid="{00000000-0005-0000-0000-00001E390000}"/>
    <cellStyle name="Normal 2 2 2 13 21" xfId="15408" xr:uid="{00000000-0005-0000-0000-00001F390000}"/>
    <cellStyle name="Normal 2 2 2 13 22" xfId="15409" xr:uid="{00000000-0005-0000-0000-000020390000}"/>
    <cellStyle name="Normal 2 2 2 13 23" xfId="15410" xr:uid="{00000000-0005-0000-0000-000021390000}"/>
    <cellStyle name="Normal 2 2 2 13 24" xfId="15411" xr:uid="{00000000-0005-0000-0000-000022390000}"/>
    <cellStyle name="Normal 2 2 2 13 25" xfId="15412" xr:uid="{00000000-0005-0000-0000-000023390000}"/>
    <cellStyle name="Normal 2 2 2 13 26" xfId="15413" xr:uid="{00000000-0005-0000-0000-000024390000}"/>
    <cellStyle name="Normal 2 2 2 13 27" xfId="15414" xr:uid="{00000000-0005-0000-0000-000025390000}"/>
    <cellStyle name="Normal 2 2 2 13 28" xfId="15415" xr:uid="{00000000-0005-0000-0000-000026390000}"/>
    <cellStyle name="Normal 2 2 2 13 29" xfId="15416" xr:uid="{00000000-0005-0000-0000-000027390000}"/>
    <cellStyle name="Normal 2 2 2 13 3" xfId="15417" xr:uid="{00000000-0005-0000-0000-000028390000}"/>
    <cellStyle name="Normal 2 2 2 13 30" xfId="15418" xr:uid="{00000000-0005-0000-0000-000029390000}"/>
    <cellStyle name="Normal 2 2 2 13 31" xfId="15419" xr:uid="{00000000-0005-0000-0000-00002A390000}"/>
    <cellStyle name="Normal 2 2 2 13 32" xfId="15420" xr:uid="{00000000-0005-0000-0000-00002B390000}"/>
    <cellStyle name="Normal 2 2 2 13 33" xfId="15421" xr:uid="{00000000-0005-0000-0000-00002C390000}"/>
    <cellStyle name="Normal 2 2 2 13 34" xfId="15422" xr:uid="{00000000-0005-0000-0000-00002D390000}"/>
    <cellStyle name="Normal 2 2 2 13 35" xfId="15423" xr:uid="{00000000-0005-0000-0000-00002E390000}"/>
    <cellStyle name="Normal 2 2 2 13 36" xfId="15424" xr:uid="{00000000-0005-0000-0000-00002F390000}"/>
    <cellStyle name="Normal 2 2 2 13 37" xfId="15425" xr:uid="{00000000-0005-0000-0000-000030390000}"/>
    <cellStyle name="Normal 2 2 2 13 38" xfId="15426" xr:uid="{00000000-0005-0000-0000-000031390000}"/>
    <cellStyle name="Normal 2 2 2 13 39" xfId="15427" xr:uid="{00000000-0005-0000-0000-000032390000}"/>
    <cellStyle name="Normal 2 2 2 13 4" xfId="15428" xr:uid="{00000000-0005-0000-0000-000033390000}"/>
    <cellStyle name="Normal 2 2 2 13 40" xfId="15429" xr:uid="{00000000-0005-0000-0000-000034390000}"/>
    <cellStyle name="Normal 2 2 2 13 41" xfId="15430" xr:uid="{00000000-0005-0000-0000-000035390000}"/>
    <cellStyle name="Normal 2 2 2 13 42" xfId="15431" xr:uid="{00000000-0005-0000-0000-000036390000}"/>
    <cellStyle name="Normal 2 2 2 13 43" xfId="15432" xr:uid="{00000000-0005-0000-0000-000037390000}"/>
    <cellStyle name="Normal 2 2 2 13 44" xfId="15433" xr:uid="{00000000-0005-0000-0000-000038390000}"/>
    <cellStyle name="Normal 2 2 2 13 45" xfId="15434" xr:uid="{00000000-0005-0000-0000-000039390000}"/>
    <cellStyle name="Normal 2 2 2 13 46" xfId="15435" xr:uid="{00000000-0005-0000-0000-00003A390000}"/>
    <cellStyle name="Normal 2 2 2 13 5" xfId="15436" xr:uid="{00000000-0005-0000-0000-00003B390000}"/>
    <cellStyle name="Normal 2 2 2 13 6" xfId="15437" xr:uid="{00000000-0005-0000-0000-00003C390000}"/>
    <cellStyle name="Normal 2 2 2 13 7" xfId="15438" xr:uid="{00000000-0005-0000-0000-00003D390000}"/>
    <cellStyle name="Normal 2 2 2 13 8" xfId="15439" xr:uid="{00000000-0005-0000-0000-00003E390000}"/>
    <cellStyle name="Normal 2 2 2 13 9" xfId="15440" xr:uid="{00000000-0005-0000-0000-00003F390000}"/>
    <cellStyle name="Normal 2 2 2 14" xfId="15441" xr:uid="{00000000-0005-0000-0000-000040390000}"/>
    <cellStyle name="Normal 2 2 2 14 10" xfId="15442" xr:uid="{00000000-0005-0000-0000-000041390000}"/>
    <cellStyle name="Normal 2 2 2 14 11" xfId="15443" xr:uid="{00000000-0005-0000-0000-000042390000}"/>
    <cellStyle name="Normal 2 2 2 14 12" xfId="15444" xr:uid="{00000000-0005-0000-0000-000043390000}"/>
    <cellStyle name="Normal 2 2 2 14 13" xfId="15445" xr:uid="{00000000-0005-0000-0000-000044390000}"/>
    <cellStyle name="Normal 2 2 2 14 14" xfId="15446" xr:uid="{00000000-0005-0000-0000-000045390000}"/>
    <cellStyle name="Normal 2 2 2 14 15" xfId="15447" xr:uid="{00000000-0005-0000-0000-000046390000}"/>
    <cellStyle name="Normal 2 2 2 14 16" xfId="15448" xr:uid="{00000000-0005-0000-0000-000047390000}"/>
    <cellStyle name="Normal 2 2 2 14 17" xfId="15449" xr:uid="{00000000-0005-0000-0000-000048390000}"/>
    <cellStyle name="Normal 2 2 2 14 18" xfId="15450" xr:uid="{00000000-0005-0000-0000-000049390000}"/>
    <cellStyle name="Normal 2 2 2 14 19" xfId="15451" xr:uid="{00000000-0005-0000-0000-00004A390000}"/>
    <cellStyle name="Normal 2 2 2 14 2" xfId="15452" xr:uid="{00000000-0005-0000-0000-00004B390000}"/>
    <cellStyle name="Normal 2 2 2 14 20" xfId="15453" xr:uid="{00000000-0005-0000-0000-00004C390000}"/>
    <cellStyle name="Normal 2 2 2 14 21" xfId="15454" xr:uid="{00000000-0005-0000-0000-00004D390000}"/>
    <cellStyle name="Normal 2 2 2 14 22" xfId="15455" xr:uid="{00000000-0005-0000-0000-00004E390000}"/>
    <cellStyle name="Normal 2 2 2 14 23" xfId="15456" xr:uid="{00000000-0005-0000-0000-00004F390000}"/>
    <cellStyle name="Normal 2 2 2 14 24" xfId="15457" xr:uid="{00000000-0005-0000-0000-000050390000}"/>
    <cellStyle name="Normal 2 2 2 14 25" xfId="15458" xr:uid="{00000000-0005-0000-0000-000051390000}"/>
    <cellStyle name="Normal 2 2 2 14 26" xfId="15459" xr:uid="{00000000-0005-0000-0000-000052390000}"/>
    <cellStyle name="Normal 2 2 2 14 27" xfId="15460" xr:uid="{00000000-0005-0000-0000-000053390000}"/>
    <cellStyle name="Normal 2 2 2 14 28" xfId="15461" xr:uid="{00000000-0005-0000-0000-000054390000}"/>
    <cellStyle name="Normal 2 2 2 14 29" xfId="15462" xr:uid="{00000000-0005-0000-0000-000055390000}"/>
    <cellStyle name="Normal 2 2 2 14 3" xfId="15463" xr:uid="{00000000-0005-0000-0000-000056390000}"/>
    <cellStyle name="Normal 2 2 2 14 30" xfId="15464" xr:uid="{00000000-0005-0000-0000-000057390000}"/>
    <cellStyle name="Normal 2 2 2 14 31" xfId="15465" xr:uid="{00000000-0005-0000-0000-000058390000}"/>
    <cellStyle name="Normal 2 2 2 14 32" xfId="15466" xr:uid="{00000000-0005-0000-0000-000059390000}"/>
    <cellStyle name="Normal 2 2 2 14 33" xfId="15467" xr:uid="{00000000-0005-0000-0000-00005A390000}"/>
    <cellStyle name="Normal 2 2 2 14 34" xfId="15468" xr:uid="{00000000-0005-0000-0000-00005B390000}"/>
    <cellStyle name="Normal 2 2 2 14 35" xfId="15469" xr:uid="{00000000-0005-0000-0000-00005C390000}"/>
    <cellStyle name="Normal 2 2 2 14 36" xfId="15470" xr:uid="{00000000-0005-0000-0000-00005D390000}"/>
    <cellStyle name="Normal 2 2 2 14 37" xfId="15471" xr:uid="{00000000-0005-0000-0000-00005E390000}"/>
    <cellStyle name="Normal 2 2 2 14 38" xfId="15472" xr:uid="{00000000-0005-0000-0000-00005F390000}"/>
    <cellStyle name="Normal 2 2 2 14 39" xfId="15473" xr:uid="{00000000-0005-0000-0000-000060390000}"/>
    <cellStyle name="Normal 2 2 2 14 4" xfId="15474" xr:uid="{00000000-0005-0000-0000-000061390000}"/>
    <cellStyle name="Normal 2 2 2 14 40" xfId="15475" xr:uid="{00000000-0005-0000-0000-000062390000}"/>
    <cellStyle name="Normal 2 2 2 14 41" xfId="15476" xr:uid="{00000000-0005-0000-0000-000063390000}"/>
    <cellStyle name="Normal 2 2 2 14 42" xfId="15477" xr:uid="{00000000-0005-0000-0000-000064390000}"/>
    <cellStyle name="Normal 2 2 2 14 43" xfId="15478" xr:uid="{00000000-0005-0000-0000-000065390000}"/>
    <cellStyle name="Normal 2 2 2 14 44" xfId="15479" xr:uid="{00000000-0005-0000-0000-000066390000}"/>
    <cellStyle name="Normal 2 2 2 14 45" xfId="15480" xr:uid="{00000000-0005-0000-0000-000067390000}"/>
    <cellStyle name="Normal 2 2 2 14 46" xfId="15481" xr:uid="{00000000-0005-0000-0000-000068390000}"/>
    <cellStyle name="Normal 2 2 2 14 5" xfId="15482" xr:uid="{00000000-0005-0000-0000-000069390000}"/>
    <cellStyle name="Normal 2 2 2 14 6" xfId="15483" xr:uid="{00000000-0005-0000-0000-00006A390000}"/>
    <cellStyle name="Normal 2 2 2 14 7" xfId="15484" xr:uid="{00000000-0005-0000-0000-00006B390000}"/>
    <cellStyle name="Normal 2 2 2 14 8" xfId="15485" xr:uid="{00000000-0005-0000-0000-00006C390000}"/>
    <cellStyle name="Normal 2 2 2 14 9" xfId="15486" xr:uid="{00000000-0005-0000-0000-00006D390000}"/>
    <cellStyle name="Normal 2 2 2 15" xfId="15487" xr:uid="{00000000-0005-0000-0000-00006E390000}"/>
    <cellStyle name="Normal 2 2 2 15 10" xfId="15488" xr:uid="{00000000-0005-0000-0000-00006F390000}"/>
    <cellStyle name="Normal 2 2 2 15 11" xfId="15489" xr:uid="{00000000-0005-0000-0000-000070390000}"/>
    <cellStyle name="Normal 2 2 2 15 12" xfId="15490" xr:uid="{00000000-0005-0000-0000-000071390000}"/>
    <cellStyle name="Normal 2 2 2 15 13" xfId="15491" xr:uid="{00000000-0005-0000-0000-000072390000}"/>
    <cellStyle name="Normal 2 2 2 15 14" xfId="15492" xr:uid="{00000000-0005-0000-0000-000073390000}"/>
    <cellStyle name="Normal 2 2 2 15 15" xfId="15493" xr:uid="{00000000-0005-0000-0000-000074390000}"/>
    <cellStyle name="Normal 2 2 2 15 16" xfId="15494" xr:uid="{00000000-0005-0000-0000-000075390000}"/>
    <cellStyle name="Normal 2 2 2 15 17" xfId="15495" xr:uid="{00000000-0005-0000-0000-000076390000}"/>
    <cellStyle name="Normal 2 2 2 15 18" xfId="15496" xr:uid="{00000000-0005-0000-0000-000077390000}"/>
    <cellStyle name="Normal 2 2 2 15 19" xfId="15497" xr:uid="{00000000-0005-0000-0000-000078390000}"/>
    <cellStyle name="Normal 2 2 2 15 2" xfId="15498" xr:uid="{00000000-0005-0000-0000-000079390000}"/>
    <cellStyle name="Normal 2 2 2 15 20" xfId="15499" xr:uid="{00000000-0005-0000-0000-00007A390000}"/>
    <cellStyle name="Normal 2 2 2 15 21" xfId="15500" xr:uid="{00000000-0005-0000-0000-00007B390000}"/>
    <cellStyle name="Normal 2 2 2 15 22" xfId="15501" xr:uid="{00000000-0005-0000-0000-00007C390000}"/>
    <cellStyle name="Normal 2 2 2 15 23" xfId="15502" xr:uid="{00000000-0005-0000-0000-00007D390000}"/>
    <cellStyle name="Normal 2 2 2 15 24" xfId="15503" xr:uid="{00000000-0005-0000-0000-00007E390000}"/>
    <cellStyle name="Normal 2 2 2 15 25" xfId="15504" xr:uid="{00000000-0005-0000-0000-00007F390000}"/>
    <cellStyle name="Normal 2 2 2 15 26" xfId="15505" xr:uid="{00000000-0005-0000-0000-000080390000}"/>
    <cellStyle name="Normal 2 2 2 15 27" xfId="15506" xr:uid="{00000000-0005-0000-0000-000081390000}"/>
    <cellStyle name="Normal 2 2 2 15 28" xfId="15507" xr:uid="{00000000-0005-0000-0000-000082390000}"/>
    <cellStyle name="Normal 2 2 2 15 29" xfId="15508" xr:uid="{00000000-0005-0000-0000-000083390000}"/>
    <cellStyle name="Normal 2 2 2 15 3" xfId="15509" xr:uid="{00000000-0005-0000-0000-000084390000}"/>
    <cellStyle name="Normal 2 2 2 15 30" xfId="15510" xr:uid="{00000000-0005-0000-0000-000085390000}"/>
    <cellStyle name="Normal 2 2 2 15 31" xfId="15511" xr:uid="{00000000-0005-0000-0000-000086390000}"/>
    <cellStyle name="Normal 2 2 2 15 32" xfId="15512" xr:uid="{00000000-0005-0000-0000-000087390000}"/>
    <cellStyle name="Normal 2 2 2 15 33" xfId="15513" xr:uid="{00000000-0005-0000-0000-000088390000}"/>
    <cellStyle name="Normal 2 2 2 15 34" xfId="15514" xr:uid="{00000000-0005-0000-0000-000089390000}"/>
    <cellStyle name="Normal 2 2 2 15 35" xfId="15515" xr:uid="{00000000-0005-0000-0000-00008A390000}"/>
    <cellStyle name="Normal 2 2 2 15 36" xfId="15516" xr:uid="{00000000-0005-0000-0000-00008B390000}"/>
    <cellStyle name="Normal 2 2 2 15 37" xfId="15517" xr:uid="{00000000-0005-0000-0000-00008C390000}"/>
    <cellStyle name="Normal 2 2 2 15 38" xfId="15518" xr:uid="{00000000-0005-0000-0000-00008D390000}"/>
    <cellStyle name="Normal 2 2 2 15 39" xfId="15519" xr:uid="{00000000-0005-0000-0000-00008E390000}"/>
    <cellStyle name="Normal 2 2 2 15 4" xfId="15520" xr:uid="{00000000-0005-0000-0000-00008F390000}"/>
    <cellStyle name="Normal 2 2 2 15 40" xfId="15521" xr:uid="{00000000-0005-0000-0000-000090390000}"/>
    <cellStyle name="Normal 2 2 2 15 41" xfId="15522" xr:uid="{00000000-0005-0000-0000-000091390000}"/>
    <cellStyle name="Normal 2 2 2 15 42" xfId="15523" xr:uid="{00000000-0005-0000-0000-000092390000}"/>
    <cellStyle name="Normal 2 2 2 15 43" xfId="15524" xr:uid="{00000000-0005-0000-0000-000093390000}"/>
    <cellStyle name="Normal 2 2 2 15 44" xfId="15525" xr:uid="{00000000-0005-0000-0000-000094390000}"/>
    <cellStyle name="Normal 2 2 2 15 45" xfId="15526" xr:uid="{00000000-0005-0000-0000-000095390000}"/>
    <cellStyle name="Normal 2 2 2 15 46" xfId="15527" xr:uid="{00000000-0005-0000-0000-000096390000}"/>
    <cellStyle name="Normal 2 2 2 15 5" xfId="15528" xr:uid="{00000000-0005-0000-0000-000097390000}"/>
    <cellStyle name="Normal 2 2 2 15 6" xfId="15529" xr:uid="{00000000-0005-0000-0000-000098390000}"/>
    <cellStyle name="Normal 2 2 2 15 7" xfId="15530" xr:uid="{00000000-0005-0000-0000-000099390000}"/>
    <cellStyle name="Normal 2 2 2 15 8" xfId="15531" xr:uid="{00000000-0005-0000-0000-00009A390000}"/>
    <cellStyle name="Normal 2 2 2 15 9" xfId="15532" xr:uid="{00000000-0005-0000-0000-00009B390000}"/>
    <cellStyle name="Normal 2 2 2 16" xfId="15533" xr:uid="{00000000-0005-0000-0000-00009C390000}"/>
    <cellStyle name="Normal 2 2 2 16 10" xfId="15534" xr:uid="{00000000-0005-0000-0000-00009D390000}"/>
    <cellStyle name="Normal 2 2 2 16 11" xfId="15535" xr:uid="{00000000-0005-0000-0000-00009E390000}"/>
    <cellStyle name="Normal 2 2 2 16 12" xfId="15536" xr:uid="{00000000-0005-0000-0000-00009F390000}"/>
    <cellStyle name="Normal 2 2 2 16 13" xfId="15537" xr:uid="{00000000-0005-0000-0000-0000A0390000}"/>
    <cellStyle name="Normal 2 2 2 16 14" xfId="15538" xr:uid="{00000000-0005-0000-0000-0000A1390000}"/>
    <cellStyle name="Normal 2 2 2 16 15" xfId="15539" xr:uid="{00000000-0005-0000-0000-0000A2390000}"/>
    <cellStyle name="Normal 2 2 2 16 16" xfId="15540" xr:uid="{00000000-0005-0000-0000-0000A3390000}"/>
    <cellStyle name="Normal 2 2 2 16 17" xfId="15541" xr:uid="{00000000-0005-0000-0000-0000A4390000}"/>
    <cellStyle name="Normal 2 2 2 16 18" xfId="15542" xr:uid="{00000000-0005-0000-0000-0000A5390000}"/>
    <cellStyle name="Normal 2 2 2 16 19" xfId="15543" xr:uid="{00000000-0005-0000-0000-0000A6390000}"/>
    <cellStyle name="Normal 2 2 2 16 2" xfId="15544" xr:uid="{00000000-0005-0000-0000-0000A7390000}"/>
    <cellStyle name="Normal 2 2 2 16 20" xfId="15545" xr:uid="{00000000-0005-0000-0000-0000A8390000}"/>
    <cellStyle name="Normal 2 2 2 16 21" xfId="15546" xr:uid="{00000000-0005-0000-0000-0000A9390000}"/>
    <cellStyle name="Normal 2 2 2 16 22" xfId="15547" xr:uid="{00000000-0005-0000-0000-0000AA390000}"/>
    <cellStyle name="Normal 2 2 2 16 23" xfId="15548" xr:uid="{00000000-0005-0000-0000-0000AB390000}"/>
    <cellStyle name="Normal 2 2 2 16 24" xfId="15549" xr:uid="{00000000-0005-0000-0000-0000AC390000}"/>
    <cellStyle name="Normal 2 2 2 16 25" xfId="15550" xr:uid="{00000000-0005-0000-0000-0000AD390000}"/>
    <cellStyle name="Normal 2 2 2 16 26" xfId="15551" xr:uid="{00000000-0005-0000-0000-0000AE390000}"/>
    <cellStyle name="Normal 2 2 2 16 27" xfId="15552" xr:uid="{00000000-0005-0000-0000-0000AF390000}"/>
    <cellStyle name="Normal 2 2 2 16 28" xfId="15553" xr:uid="{00000000-0005-0000-0000-0000B0390000}"/>
    <cellStyle name="Normal 2 2 2 16 29" xfId="15554" xr:uid="{00000000-0005-0000-0000-0000B1390000}"/>
    <cellStyle name="Normal 2 2 2 16 3" xfId="15555" xr:uid="{00000000-0005-0000-0000-0000B2390000}"/>
    <cellStyle name="Normal 2 2 2 16 30" xfId="15556" xr:uid="{00000000-0005-0000-0000-0000B3390000}"/>
    <cellStyle name="Normal 2 2 2 16 31" xfId="15557" xr:uid="{00000000-0005-0000-0000-0000B4390000}"/>
    <cellStyle name="Normal 2 2 2 16 32" xfId="15558" xr:uid="{00000000-0005-0000-0000-0000B5390000}"/>
    <cellStyle name="Normal 2 2 2 16 33" xfId="15559" xr:uid="{00000000-0005-0000-0000-0000B6390000}"/>
    <cellStyle name="Normal 2 2 2 16 34" xfId="15560" xr:uid="{00000000-0005-0000-0000-0000B7390000}"/>
    <cellStyle name="Normal 2 2 2 16 35" xfId="15561" xr:uid="{00000000-0005-0000-0000-0000B8390000}"/>
    <cellStyle name="Normal 2 2 2 16 36" xfId="15562" xr:uid="{00000000-0005-0000-0000-0000B9390000}"/>
    <cellStyle name="Normal 2 2 2 16 37" xfId="15563" xr:uid="{00000000-0005-0000-0000-0000BA390000}"/>
    <cellStyle name="Normal 2 2 2 16 38" xfId="15564" xr:uid="{00000000-0005-0000-0000-0000BB390000}"/>
    <cellStyle name="Normal 2 2 2 16 39" xfId="15565" xr:uid="{00000000-0005-0000-0000-0000BC390000}"/>
    <cellStyle name="Normal 2 2 2 16 4" xfId="15566" xr:uid="{00000000-0005-0000-0000-0000BD390000}"/>
    <cellStyle name="Normal 2 2 2 16 40" xfId="15567" xr:uid="{00000000-0005-0000-0000-0000BE390000}"/>
    <cellStyle name="Normal 2 2 2 16 41" xfId="15568" xr:uid="{00000000-0005-0000-0000-0000BF390000}"/>
    <cellStyle name="Normal 2 2 2 16 42" xfId="15569" xr:uid="{00000000-0005-0000-0000-0000C0390000}"/>
    <cellStyle name="Normal 2 2 2 16 43" xfId="15570" xr:uid="{00000000-0005-0000-0000-0000C1390000}"/>
    <cellStyle name="Normal 2 2 2 16 44" xfId="15571" xr:uid="{00000000-0005-0000-0000-0000C2390000}"/>
    <cellStyle name="Normal 2 2 2 16 45" xfId="15572" xr:uid="{00000000-0005-0000-0000-0000C3390000}"/>
    <cellStyle name="Normal 2 2 2 16 46" xfId="15573" xr:uid="{00000000-0005-0000-0000-0000C4390000}"/>
    <cellStyle name="Normal 2 2 2 16 5" xfId="15574" xr:uid="{00000000-0005-0000-0000-0000C5390000}"/>
    <cellStyle name="Normal 2 2 2 16 6" xfId="15575" xr:uid="{00000000-0005-0000-0000-0000C6390000}"/>
    <cellStyle name="Normal 2 2 2 16 7" xfId="15576" xr:uid="{00000000-0005-0000-0000-0000C7390000}"/>
    <cellStyle name="Normal 2 2 2 16 8" xfId="15577" xr:uid="{00000000-0005-0000-0000-0000C8390000}"/>
    <cellStyle name="Normal 2 2 2 16 9" xfId="15578" xr:uid="{00000000-0005-0000-0000-0000C9390000}"/>
    <cellStyle name="Normal 2 2 2 17" xfId="15579" xr:uid="{00000000-0005-0000-0000-0000CA390000}"/>
    <cellStyle name="Normal 2 2 2 17 10" xfId="15580" xr:uid="{00000000-0005-0000-0000-0000CB390000}"/>
    <cellStyle name="Normal 2 2 2 17 10 10" xfId="15581" xr:uid="{00000000-0005-0000-0000-0000CC390000}"/>
    <cellStyle name="Normal 2 2 2 17 10 11" xfId="15582" xr:uid="{00000000-0005-0000-0000-0000CD390000}"/>
    <cellStyle name="Normal 2 2 2 17 10 12" xfId="15583" xr:uid="{00000000-0005-0000-0000-0000CE390000}"/>
    <cellStyle name="Normal 2 2 2 17 10 13" xfId="15584" xr:uid="{00000000-0005-0000-0000-0000CF390000}"/>
    <cellStyle name="Normal 2 2 2 17 10 2" xfId="15585" xr:uid="{00000000-0005-0000-0000-0000D0390000}"/>
    <cellStyle name="Normal 2 2 2 17 10 2 2" xfId="15586" xr:uid="{00000000-0005-0000-0000-0000D1390000}"/>
    <cellStyle name="Normal 2 2 2 17 10 2 3" xfId="15587" xr:uid="{00000000-0005-0000-0000-0000D2390000}"/>
    <cellStyle name="Normal 2 2 2 17 10 2 4" xfId="15588" xr:uid="{00000000-0005-0000-0000-0000D3390000}"/>
    <cellStyle name="Normal 2 2 2 17 10 2 5" xfId="15589" xr:uid="{00000000-0005-0000-0000-0000D4390000}"/>
    <cellStyle name="Normal 2 2 2 17 10 2 6" xfId="15590" xr:uid="{00000000-0005-0000-0000-0000D5390000}"/>
    <cellStyle name="Normal 2 2 2 17 10 3" xfId="15591" xr:uid="{00000000-0005-0000-0000-0000D6390000}"/>
    <cellStyle name="Normal 2 2 2 17 10 3 2" xfId="15592" xr:uid="{00000000-0005-0000-0000-0000D7390000}"/>
    <cellStyle name="Normal 2 2 2 17 10 3 3" xfId="15593" xr:uid="{00000000-0005-0000-0000-0000D8390000}"/>
    <cellStyle name="Normal 2 2 2 17 10 3 4" xfId="15594" xr:uid="{00000000-0005-0000-0000-0000D9390000}"/>
    <cellStyle name="Normal 2 2 2 17 10 3 5" xfId="15595" xr:uid="{00000000-0005-0000-0000-0000DA390000}"/>
    <cellStyle name="Normal 2 2 2 17 10 3 6" xfId="15596" xr:uid="{00000000-0005-0000-0000-0000DB390000}"/>
    <cellStyle name="Normal 2 2 2 17 10 4" xfId="15597" xr:uid="{00000000-0005-0000-0000-0000DC390000}"/>
    <cellStyle name="Normal 2 2 2 17 10 4 2" xfId="15598" xr:uid="{00000000-0005-0000-0000-0000DD390000}"/>
    <cellStyle name="Normal 2 2 2 17 10 4 3" xfId="15599" xr:uid="{00000000-0005-0000-0000-0000DE390000}"/>
    <cellStyle name="Normal 2 2 2 17 10 4 4" xfId="15600" xr:uid="{00000000-0005-0000-0000-0000DF390000}"/>
    <cellStyle name="Normal 2 2 2 17 10 4 5" xfId="15601" xr:uid="{00000000-0005-0000-0000-0000E0390000}"/>
    <cellStyle name="Normal 2 2 2 17 10 4 6" xfId="15602" xr:uid="{00000000-0005-0000-0000-0000E1390000}"/>
    <cellStyle name="Normal 2 2 2 17 10 5" xfId="15603" xr:uid="{00000000-0005-0000-0000-0000E2390000}"/>
    <cellStyle name="Normal 2 2 2 17 10 5 2" xfId="15604" xr:uid="{00000000-0005-0000-0000-0000E3390000}"/>
    <cellStyle name="Normal 2 2 2 17 10 5 3" xfId="15605" xr:uid="{00000000-0005-0000-0000-0000E4390000}"/>
    <cellStyle name="Normal 2 2 2 17 10 5 4" xfId="15606" xr:uid="{00000000-0005-0000-0000-0000E5390000}"/>
    <cellStyle name="Normal 2 2 2 17 10 5 5" xfId="15607" xr:uid="{00000000-0005-0000-0000-0000E6390000}"/>
    <cellStyle name="Normal 2 2 2 17 10 5 6" xfId="15608" xr:uid="{00000000-0005-0000-0000-0000E7390000}"/>
    <cellStyle name="Normal 2 2 2 17 10 6" xfId="15609" xr:uid="{00000000-0005-0000-0000-0000E8390000}"/>
    <cellStyle name="Normal 2 2 2 17 10 6 2" xfId="15610" xr:uid="{00000000-0005-0000-0000-0000E9390000}"/>
    <cellStyle name="Normal 2 2 2 17 10 6 3" xfId="15611" xr:uid="{00000000-0005-0000-0000-0000EA390000}"/>
    <cellStyle name="Normal 2 2 2 17 10 6 4" xfId="15612" xr:uid="{00000000-0005-0000-0000-0000EB390000}"/>
    <cellStyle name="Normal 2 2 2 17 10 6 5" xfId="15613" xr:uid="{00000000-0005-0000-0000-0000EC390000}"/>
    <cellStyle name="Normal 2 2 2 17 10 6 6" xfId="15614" xr:uid="{00000000-0005-0000-0000-0000ED390000}"/>
    <cellStyle name="Normal 2 2 2 17 10 7" xfId="15615" xr:uid="{00000000-0005-0000-0000-0000EE390000}"/>
    <cellStyle name="Normal 2 2 2 17 10 7 2" xfId="15616" xr:uid="{00000000-0005-0000-0000-0000EF390000}"/>
    <cellStyle name="Normal 2 2 2 17 10 7 3" xfId="15617" xr:uid="{00000000-0005-0000-0000-0000F0390000}"/>
    <cellStyle name="Normal 2 2 2 17 10 7 4" xfId="15618" xr:uid="{00000000-0005-0000-0000-0000F1390000}"/>
    <cellStyle name="Normal 2 2 2 17 10 7 5" xfId="15619" xr:uid="{00000000-0005-0000-0000-0000F2390000}"/>
    <cellStyle name="Normal 2 2 2 17 10 7 6" xfId="15620" xr:uid="{00000000-0005-0000-0000-0000F3390000}"/>
    <cellStyle name="Normal 2 2 2 17 10 8" xfId="15621" xr:uid="{00000000-0005-0000-0000-0000F4390000}"/>
    <cellStyle name="Normal 2 2 2 17 10 8 2" xfId="15622" xr:uid="{00000000-0005-0000-0000-0000F5390000}"/>
    <cellStyle name="Normal 2 2 2 17 10 8 3" xfId="15623" xr:uid="{00000000-0005-0000-0000-0000F6390000}"/>
    <cellStyle name="Normal 2 2 2 17 10 8 4" xfId="15624" xr:uid="{00000000-0005-0000-0000-0000F7390000}"/>
    <cellStyle name="Normal 2 2 2 17 10 8 5" xfId="15625" xr:uid="{00000000-0005-0000-0000-0000F8390000}"/>
    <cellStyle name="Normal 2 2 2 17 10 8 6" xfId="15626" xr:uid="{00000000-0005-0000-0000-0000F9390000}"/>
    <cellStyle name="Normal 2 2 2 17 10 9" xfId="15627" xr:uid="{00000000-0005-0000-0000-0000FA390000}"/>
    <cellStyle name="Normal 2 2 2 17 11" xfId="15628" xr:uid="{00000000-0005-0000-0000-0000FB390000}"/>
    <cellStyle name="Normal 2 2 2 17 11 10" xfId="15629" xr:uid="{00000000-0005-0000-0000-0000FC390000}"/>
    <cellStyle name="Normal 2 2 2 17 11 11" xfId="15630" xr:uid="{00000000-0005-0000-0000-0000FD390000}"/>
    <cellStyle name="Normal 2 2 2 17 11 12" xfId="15631" xr:uid="{00000000-0005-0000-0000-0000FE390000}"/>
    <cellStyle name="Normal 2 2 2 17 11 13" xfId="15632" xr:uid="{00000000-0005-0000-0000-0000FF390000}"/>
    <cellStyle name="Normal 2 2 2 17 11 2" xfId="15633" xr:uid="{00000000-0005-0000-0000-0000003A0000}"/>
    <cellStyle name="Normal 2 2 2 17 11 2 2" xfId="15634" xr:uid="{00000000-0005-0000-0000-0000013A0000}"/>
    <cellStyle name="Normal 2 2 2 17 11 2 3" xfId="15635" xr:uid="{00000000-0005-0000-0000-0000023A0000}"/>
    <cellStyle name="Normal 2 2 2 17 11 2 4" xfId="15636" xr:uid="{00000000-0005-0000-0000-0000033A0000}"/>
    <cellStyle name="Normal 2 2 2 17 11 2 5" xfId="15637" xr:uid="{00000000-0005-0000-0000-0000043A0000}"/>
    <cellStyle name="Normal 2 2 2 17 11 2 6" xfId="15638" xr:uid="{00000000-0005-0000-0000-0000053A0000}"/>
    <cellStyle name="Normal 2 2 2 17 11 3" xfId="15639" xr:uid="{00000000-0005-0000-0000-0000063A0000}"/>
    <cellStyle name="Normal 2 2 2 17 11 3 2" xfId="15640" xr:uid="{00000000-0005-0000-0000-0000073A0000}"/>
    <cellStyle name="Normal 2 2 2 17 11 3 3" xfId="15641" xr:uid="{00000000-0005-0000-0000-0000083A0000}"/>
    <cellStyle name="Normal 2 2 2 17 11 3 4" xfId="15642" xr:uid="{00000000-0005-0000-0000-0000093A0000}"/>
    <cellStyle name="Normal 2 2 2 17 11 3 5" xfId="15643" xr:uid="{00000000-0005-0000-0000-00000A3A0000}"/>
    <cellStyle name="Normal 2 2 2 17 11 3 6" xfId="15644" xr:uid="{00000000-0005-0000-0000-00000B3A0000}"/>
    <cellStyle name="Normal 2 2 2 17 11 4" xfId="15645" xr:uid="{00000000-0005-0000-0000-00000C3A0000}"/>
    <cellStyle name="Normal 2 2 2 17 11 4 2" xfId="15646" xr:uid="{00000000-0005-0000-0000-00000D3A0000}"/>
    <cellStyle name="Normal 2 2 2 17 11 4 3" xfId="15647" xr:uid="{00000000-0005-0000-0000-00000E3A0000}"/>
    <cellStyle name="Normal 2 2 2 17 11 4 4" xfId="15648" xr:uid="{00000000-0005-0000-0000-00000F3A0000}"/>
    <cellStyle name="Normal 2 2 2 17 11 4 5" xfId="15649" xr:uid="{00000000-0005-0000-0000-0000103A0000}"/>
    <cellStyle name="Normal 2 2 2 17 11 4 6" xfId="15650" xr:uid="{00000000-0005-0000-0000-0000113A0000}"/>
    <cellStyle name="Normal 2 2 2 17 11 5" xfId="15651" xr:uid="{00000000-0005-0000-0000-0000123A0000}"/>
    <cellStyle name="Normal 2 2 2 17 11 5 2" xfId="15652" xr:uid="{00000000-0005-0000-0000-0000133A0000}"/>
    <cellStyle name="Normal 2 2 2 17 11 5 3" xfId="15653" xr:uid="{00000000-0005-0000-0000-0000143A0000}"/>
    <cellStyle name="Normal 2 2 2 17 11 5 4" xfId="15654" xr:uid="{00000000-0005-0000-0000-0000153A0000}"/>
    <cellStyle name="Normal 2 2 2 17 11 5 5" xfId="15655" xr:uid="{00000000-0005-0000-0000-0000163A0000}"/>
    <cellStyle name="Normal 2 2 2 17 11 5 6" xfId="15656" xr:uid="{00000000-0005-0000-0000-0000173A0000}"/>
    <cellStyle name="Normal 2 2 2 17 11 6" xfId="15657" xr:uid="{00000000-0005-0000-0000-0000183A0000}"/>
    <cellStyle name="Normal 2 2 2 17 11 6 2" xfId="15658" xr:uid="{00000000-0005-0000-0000-0000193A0000}"/>
    <cellStyle name="Normal 2 2 2 17 11 6 3" xfId="15659" xr:uid="{00000000-0005-0000-0000-00001A3A0000}"/>
    <cellStyle name="Normal 2 2 2 17 11 6 4" xfId="15660" xr:uid="{00000000-0005-0000-0000-00001B3A0000}"/>
    <cellStyle name="Normal 2 2 2 17 11 6 5" xfId="15661" xr:uid="{00000000-0005-0000-0000-00001C3A0000}"/>
    <cellStyle name="Normal 2 2 2 17 11 6 6" xfId="15662" xr:uid="{00000000-0005-0000-0000-00001D3A0000}"/>
    <cellStyle name="Normal 2 2 2 17 11 7" xfId="15663" xr:uid="{00000000-0005-0000-0000-00001E3A0000}"/>
    <cellStyle name="Normal 2 2 2 17 11 7 2" xfId="15664" xr:uid="{00000000-0005-0000-0000-00001F3A0000}"/>
    <cellStyle name="Normal 2 2 2 17 11 7 3" xfId="15665" xr:uid="{00000000-0005-0000-0000-0000203A0000}"/>
    <cellStyle name="Normal 2 2 2 17 11 7 4" xfId="15666" xr:uid="{00000000-0005-0000-0000-0000213A0000}"/>
    <cellStyle name="Normal 2 2 2 17 11 7 5" xfId="15667" xr:uid="{00000000-0005-0000-0000-0000223A0000}"/>
    <cellStyle name="Normal 2 2 2 17 11 7 6" xfId="15668" xr:uid="{00000000-0005-0000-0000-0000233A0000}"/>
    <cellStyle name="Normal 2 2 2 17 11 8" xfId="15669" xr:uid="{00000000-0005-0000-0000-0000243A0000}"/>
    <cellStyle name="Normal 2 2 2 17 11 8 2" xfId="15670" xr:uid="{00000000-0005-0000-0000-0000253A0000}"/>
    <cellStyle name="Normal 2 2 2 17 11 8 3" xfId="15671" xr:uid="{00000000-0005-0000-0000-0000263A0000}"/>
    <cellStyle name="Normal 2 2 2 17 11 8 4" xfId="15672" xr:uid="{00000000-0005-0000-0000-0000273A0000}"/>
    <cellStyle name="Normal 2 2 2 17 11 8 5" xfId="15673" xr:uid="{00000000-0005-0000-0000-0000283A0000}"/>
    <cellStyle name="Normal 2 2 2 17 11 8 6" xfId="15674" xr:uid="{00000000-0005-0000-0000-0000293A0000}"/>
    <cellStyle name="Normal 2 2 2 17 11 9" xfId="15675" xr:uid="{00000000-0005-0000-0000-00002A3A0000}"/>
    <cellStyle name="Normal 2 2 2 17 12" xfId="15676" xr:uid="{00000000-0005-0000-0000-00002B3A0000}"/>
    <cellStyle name="Normal 2 2 2 17 13" xfId="15677" xr:uid="{00000000-0005-0000-0000-00002C3A0000}"/>
    <cellStyle name="Normal 2 2 2 17 14" xfId="15678" xr:uid="{00000000-0005-0000-0000-00002D3A0000}"/>
    <cellStyle name="Normal 2 2 2 17 15" xfId="15679" xr:uid="{00000000-0005-0000-0000-00002E3A0000}"/>
    <cellStyle name="Normal 2 2 2 17 16" xfId="15680" xr:uid="{00000000-0005-0000-0000-00002F3A0000}"/>
    <cellStyle name="Normal 2 2 2 17 17" xfId="15681" xr:uid="{00000000-0005-0000-0000-0000303A0000}"/>
    <cellStyle name="Normal 2 2 2 17 18" xfId="15682" xr:uid="{00000000-0005-0000-0000-0000313A0000}"/>
    <cellStyle name="Normal 2 2 2 17 19" xfId="15683" xr:uid="{00000000-0005-0000-0000-0000323A0000}"/>
    <cellStyle name="Normal 2 2 2 17 2" xfId="15684" xr:uid="{00000000-0005-0000-0000-0000333A0000}"/>
    <cellStyle name="Normal 2 2 2 17 2 10" xfId="15685" xr:uid="{00000000-0005-0000-0000-0000343A0000}"/>
    <cellStyle name="Normal 2 2 2 17 2 11" xfId="15686" xr:uid="{00000000-0005-0000-0000-0000353A0000}"/>
    <cellStyle name="Normal 2 2 2 17 2 12" xfId="15687" xr:uid="{00000000-0005-0000-0000-0000363A0000}"/>
    <cellStyle name="Normal 2 2 2 17 2 13" xfId="15688" xr:uid="{00000000-0005-0000-0000-0000373A0000}"/>
    <cellStyle name="Normal 2 2 2 17 2 2" xfId="15689" xr:uid="{00000000-0005-0000-0000-0000383A0000}"/>
    <cellStyle name="Normal 2 2 2 17 2 2 2" xfId="15690" xr:uid="{00000000-0005-0000-0000-0000393A0000}"/>
    <cellStyle name="Normal 2 2 2 17 2 2 3" xfId="15691" xr:uid="{00000000-0005-0000-0000-00003A3A0000}"/>
    <cellStyle name="Normal 2 2 2 17 2 2 4" xfId="15692" xr:uid="{00000000-0005-0000-0000-00003B3A0000}"/>
    <cellStyle name="Normal 2 2 2 17 2 2 5" xfId="15693" xr:uid="{00000000-0005-0000-0000-00003C3A0000}"/>
    <cellStyle name="Normal 2 2 2 17 2 2 6" xfId="15694" xr:uid="{00000000-0005-0000-0000-00003D3A0000}"/>
    <cellStyle name="Normal 2 2 2 17 2 3" xfId="15695" xr:uid="{00000000-0005-0000-0000-00003E3A0000}"/>
    <cellStyle name="Normal 2 2 2 17 2 3 2" xfId="15696" xr:uid="{00000000-0005-0000-0000-00003F3A0000}"/>
    <cellStyle name="Normal 2 2 2 17 2 3 3" xfId="15697" xr:uid="{00000000-0005-0000-0000-0000403A0000}"/>
    <cellStyle name="Normal 2 2 2 17 2 3 4" xfId="15698" xr:uid="{00000000-0005-0000-0000-0000413A0000}"/>
    <cellStyle name="Normal 2 2 2 17 2 3 5" xfId="15699" xr:uid="{00000000-0005-0000-0000-0000423A0000}"/>
    <cellStyle name="Normal 2 2 2 17 2 3 6" xfId="15700" xr:uid="{00000000-0005-0000-0000-0000433A0000}"/>
    <cellStyle name="Normal 2 2 2 17 2 4" xfId="15701" xr:uid="{00000000-0005-0000-0000-0000443A0000}"/>
    <cellStyle name="Normal 2 2 2 17 2 4 2" xfId="15702" xr:uid="{00000000-0005-0000-0000-0000453A0000}"/>
    <cellStyle name="Normal 2 2 2 17 2 4 3" xfId="15703" xr:uid="{00000000-0005-0000-0000-0000463A0000}"/>
    <cellStyle name="Normal 2 2 2 17 2 4 4" xfId="15704" xr:uid="{00000000-0005-0000-0000-0000473A0000}"/>
    <cellStyle name="Normal 2 2 2 17 2 4 5" xfId="15705" xr:uid="{00000000-0005-0000-0000-0000483A0000}"/>
    <cellStyle name="Normal 2 2 2 17 2 4 6" xfId="15706" xr:uid="{00000000-0005-0000-0000-0000493A0000}"/>
    <cellStyle name="Normal 2 2 2 17 2 5" xfId="15707" xr:uid="{00000000-0005-0000-0000-00004A3A0000}"/>
    <cellStyle name="Normal 2 2 2 17 2 5 2" xfId="15708" xr:uid="{00000000-0005-0000-0000-00004B3A0000}"/>
    <cellStyle name="Normal 2 2 2 17 2 5 3" xfId="15709" xr:uid="{00000000-0005-0000-0000-00004C3A0000}"/>
    <cellStyle name="Normal 2 2 2 17 2 5 4" xfId="15710" xr:uid="{00000000-0005-0000-0000-00004D3A0000}"/>
    <cellStyle name="Normal 2 2 2 17 2 5 5" xfId="15711" xr:uid="{00000000-0005-0000-0000-00004E3A0000}"/>
    <cellStyle name="Normal 2 2 2 17 2 5 6" xfId="15712" xr:uid="{00000000-0005-0000-0000-00004F3A0000}"/>
    <cellStyle name="Normal 2 2 2 17 2 6" xfId="15713" xr:uid="{00000000-0005-0000-0000-0000503A0000}"/>
    <cellStyle name="Normal 2 2 2 17 2 6 2" xfId="15714" xr:uid="{00000000-0005-0000-0000-0000513A0000}"/>
    <cellStyle name="Normal 2 2 2 17 2 6 3" xfId="15715" xr:uid="{00000000-0005-0000-0000-0000523A0000}"/>
    <cellStyle name="Normal 2 2 2 17 2 6 4" xfId="15716" xr:uid="{00000000-0005-0000-0000-0000533A0000}"/>
    <cellStyle name="Normal 2 2 2 17 2 6 5" xfId="15717" xr:uid="{00000000-0005-0000-0000-0000543A0000}"/>
    <cellStyle name="Normal 2 2 2 17 2 6 6" xfId="15718" xr:uid="{00000000-0005-0000-0000-0000553A0000}"/>
    <cellStyle name="Normal 2 2 2 17 2 7" xfId="15719" xr:uid="{00000000-0005-0000-0000-0000563A0000}"/>
    <cellStyle name="Normal 2 2 2 17 2 7 2" xfId="15720" xr:uid="{00000000-0005-0000-0000-0000573A0000}"/>
    <cellStyle name="Normal 2 2 2 17 2 7 3" xfId="15721" xr:uid="{00000000-0005-0000-0000-0000583A0000}"/>
    <cellStyle name="Normal 2 2 2 17 2 7 4" xfId="15722" xr:uid="{00000000-0005-0000-0000-0000593A0000}"/>
    <cellStyle name="Normal 2 2 2 17 2 7 5" xfId="15723" xr:uid="{00000000-0005-0000-0000-00005A3A0000}"/>
    <cellStyle name="Normal 2 2 2 17 2 7 6" xfId="15724" xr:uid="{00000000-0005-0000-0000-00005B3A0000}"/>
    <cellStyle name="Normal 2 2 2 17 2 8" xfId="15725" xr:uid="{00000000-0005-0000-0000-00005C3A0000}"/>
    <cellStyle name="Normal 2 2 2 17 2 8 2" xfId="15726" xr:uid="{00000000-0005-0000-0000-00005D3A0000}"/>
    <cellStyle name="Normal 2 2 2 17 2 8 3" xfId="15727" xr:uid="{00000000-0005-0000-0000-00005E3A0000}"/>
    <cellStyle name="Normal 2 2 2 17 2 8 4" xfId="15728" xr:uid="{00000000-0005-0000-0000-00005F3A0000}"/>
    <cellStyle name="Normal 2 2 2 17 2 8 5" xfId="15729" xr:uid="{00000000-0005-0000-0000-0000603A0000}"/>
    <cellStyle name="Normal 2 2 2 17 2 8 6" xfId="15730" xr:uid="{00000000-0005-0000-0000-0000613A0000}"/>
    <cellStyle name="Normal 2 2 2 17 2 9" xfId="15731" xr:uid="{00000000-0005-0000-0000-0000623A0000}"/>
    <cellStyle name="Normal 2 2 2 17 20" xfId="15732" xr:uid="{00000000-0005-0000-0000-0000633A0000}"/>
    <cellStyle name="Normal 2 2 2 17 21" xfId="15733" xr:uid="{00000000-0005-0000-0000-0000643A0000}"/>
    <cellStyle name="Normal 2 2 2 17 22" xfId="15734" xr:uid="{00000000-0005-0000-0000-0000653A0000}"/>
    <cellStyle name="Normal 2 2 2 17 23" xfId="15735" xr:uid="{00000000-0005-0000-0000-0000663A0000}"/>
    <cellStyle name="Normal 2 2 2 17 24" xfId="15736" xr:uid="{00000000-0005-0000-0000-0000673A0000}"/>
    <cellStyle name="Normal 2 2 2 17 25" xfId="15737" xr:uid="{00000000-0005-0000-0000-0000683A0000}"/>
    <cellStyle name="Normal 2 2 2 17 26" xfId="15738" xr:uid="{00000000-0005-0000-0000-0000693A0000}"/>
    <cellStyle name="Normal 2 2 2 17 27" xfId="15739" xr:uid="{00000000-0005-0000-0000-00006A3A0000}"/>
    <cellStyle name="Normal 2 2 2 17 28" xfId="15740" xr:uid="{00000000-0005-0000-0000-00006B3A0000}"/>
    <cellStyle name="Normal 2 2 2 17 29" xfId="15741" xr:uid="{00000000-0005-0000-0000-00006C3A0000}"/>
    <cellStyle name="Normal 2 2 2 17 3" xfId="15742" xr:uid="{00000000-0005-0000-0000-00006D3A0000}"/>
    <cellStyle name="Normal 2 2 2 17 3 10" xfId="15743" xr:uid="{00000000-0005-0000-0000-00006E3A0000}"/>
    <cellStyle name="Normal 2 2 2 17 3 11" xfId="15744" xr:uid="{00000000-0005-0000-0000-00006F3A0000}"/>
    <cellStyle name="Normal 2 2 2 17 3 12" xfId="15745" xr:uid="{00000000-0005-0000-0000-0000703A0000}"/>
    <cellStyle name="Normal 2 2 2 17 3 13" xfId="15746" xr:uid="{00000000-0005-0000-0000-0000713A0000}"/>
    <cellStyle name="Normal 2 2 2 17 3 2" xfId="15747" xr:uid="{00000000-0005-0000-0000-0000723A0000}"/>
    <cellStyle name="Normal 2 2 2 17 3 2 2" xfId="15748" xr:uid="{00000000-0005-0000-0000-0000733A0000}"/>
    <cellStyle name="Normal 2 2 2 17 3 2 3" xfId="15749" xr:uid="{00000000-0005-0000-0000-0000743A0000}"/>
    <cellStyle name="Normal 2 2 2 17 3 2 4" xfId="15750" xr:uid="{00000000-0005-0000-0000-0000753A0000}"/>
    <cellStyle name="Normal 2 2 2 17 3 2 5" xfId="15751" xr:uid="{00000000-0005-0000-0000-0000763A0000}"/>
    <cellStyle name="Normal 2 2 2 17 3 2 6" xfId="15752" xr:uid="{00000000-0005-0000-0000-0000773A0000}"/>
    <cellStyle name="Normal 2 2 2 17 3 3" xfId="15753" xr:uid="{00000000-0005-0000-0000-0000783A0000}"/>
    <cellStyle name="Normal 2 2 2 17 3 3 2" xfId="15754" xr:uid="{00000000-0005-0000-0000-0000793A0000}"/>
    <cellStyle name="Normal 2 2 2 17 3 3 3" xfId="15755" xr:uid="{00000000-0005-0000-0000-00007A3A0000}"/>
    <cellStyle name="Normal 2 2 2 17 3 3 4" xfId="15756" xr:uid="{00000000-0005-0000-0000-00007B3A0000}"/>
    <cellStyle name="Normal 2 2 2 17 3 3 5" xfId="15757" xr:uid="{00000000-0005-0000-0000-00007C3A0000}"/>
    <cellStyle name="Normal 2 2 2 17 3 3 6" xfId="15758" xr:uid="{00000000-0005-0000-0000-00007D3A0000}"/>
    <cellStyle name="Normal 2 2 2 17 3 4" xfId="15759" xr:uid="{00000000-0005-0000-0000-00007E3A0000}"/>
    <cellStyle name="Normal 2 2 2 17 3 4 2" xfId="15760" xr:uid="{00000000-0005-0000-0000-00007F3A0000}"/>
    <cellStyle name="Normal 2 2 2 17 3 4 3" xfId="15761" xr:uid="{00000000-0005-0000-0000-0000803A0000}"/>
    <cellStyle name="Normal 2 2 2 17 3 4 4" xfId="15762" xr:uid="{00000000-0005-0000-0000-0000813A0000}"/>
    <cellStyle name="Normal 2 2 2 17 3 4 5" xfId="15763" xr:uid="{00000000-0005-0000-0000-0000823A0000}"/>
    <cellStyle name="Normal 2 2 2 17 3 4 6" xfId="15764" xr:uid="{00000000-0005-0000-0000-0000833A0000}"/>
    <cellStyle name="Normal 2 2 2 17 3 5" xfId="15765" xr:uid="{00000000-0005-0000-0000-0000843A0000}"/>
    <cellStyle name="Normal 2 2 2 17 3 5 2" xfId="15766" xr:uid="{00000000-0005-0000-0000-0000853A0000}"/>
    <cellStyle name="Normal 2 2 2 17 3 5 3" xfId="15767" xr:uid="{00000000-0005-0000-0000-0000863A0000}"/>
    <cellStyle name="Normal 2 2 2 17 3 5 4" xfId="15768" xr:uid="{00000000-0005-0000-0000-0000873A0000}"/>
    <cellStyle name="Normal 2 2 2 17 3 5 5" xfId="15769" xr:uid="{00000000-0005-0000-0000-0000883A0000}"/>
    <cellStyle name="Normal 2 2 2 17 3 5 6" xfId="15770" xr:uid="{00000000-0005-0000-0000-0000893A0000}"/>
    <cellStyle name="Normal 2 2 2 17 3 6" xfId="15771" xr:uid="{00000000-0005-0000-0000-00008A3A0000}"/>
    <cellStyle name="Normal 2 2 2 17 3 6 2" xfId="15772" xr:uid="{00000000-0005-0000-0000-00008B3A0000}"/>
    <cellStyle name="Normal 2 2 2 17 3 6 3" xfId="15773" xr:uid="{00000000-0005-0000-0000-00008C3A0000}"/>
    <cellStyle name="Normal 2 2 2 17 3 6 4" xfId="15774" xr:uid="{00000000-0005-0000-0000-00008D3A0000}"/>
    <cellStyle name="Normal 2 2 2 17 3 6 5" xfId="15775" xr:uid="{00000000-0005-0000-0000-00008E3A0000}"/>
    <cellStyle name="Normal 2 2 2 17 3 6 6" xfId="15776" xr:uid="{00000000-0005-0000-0000-00008F3A0000}"/>
    <cellStyle name="Normal 2 2 2 17 3 7" xfId="15777" xr:uid="{00000000-0005-0000-0000-0000903A0000}"/>
    <cellStyle name="Normal 2 2 2 17 3 7 2" xfId="15778" xr:uid="{00000000-0005-0000-0000-0000913A0000}"/>
    <cellStyle name="Normal 2 2 2 17 3 7 3" xfId="15779" xr:uid="{00000000-0005-0000-0000-0000923A0000}"/>
    <cellStyle name="Normal 2 2 2 17 3 7 4" xfId="15780" xr:uid="{00000000-0005-0000-0000-0000933A0000}"/>
    <cellStyle name="Normal 2 2 2 17 3 7 5" xfId="15781" xr:uid="{00000000-0005-0000-0000-0000943A0000}"/>
    <cellStyle name="Normal 2 2 2 17 3 7 6" xfId="15782" xr:uid="{00000000-0005-0000-0000-0000953A0000}"/>
    <cellStyle name="Normal 2 2 2 17 3 8" xfId="15783" xr:uid="{00000000-0005-0000-0000-0000963A0000}"/>
    <cellStyle name="Normal 2 2 2 17 3 8 2" xfId="15784" xr:uid="{00000000-0005-0000-0000-0000973A0000}"/>
    <cellStyle name="Normal 2 2 2 17 3 8 3" xfId="15785" xr:uid="{00000000-0005-0000-0000-0000983A0000}"/>
    <cellStyle name="Normal 2 2 2 17 3 8 4" xfId="15786" xr:uid="{00000000-0005-0000-0000-0000993A0000}"/>
    <cellStyle name="Normal 2 2 2 17 3 8 5" xfId="15787" xr:uid="{00000000-0005-0000-0000-00009A3A0000}"/>
    <cellStyle name="Normal 2 2 2 17 3 8 6" xfId="15788" xr:uid="{00000000-0005-0000-0000-00009B3A0000}"/>
    <cellStyle name="Normal 2 2 2 17 3 9" xfId="15789" xr:uid="{00000000-0005-0000-0000-00009C3A0000}"/>
    <cellStyle name="Normal 2 2 2 17 30" xfId="15790" xr:uid="{00000000-0005-0000-0000-00009D3A0000}"/>
    <cellStyle name="Normal 2 2 2 17 31" xfId="15791" xr:uid="{00000000-0005-0000-0000-00009E3A0000}"/>
    <cellStyle name="Normal 2 2 2 17 32" xfId="15792" xr:uid="{00000000-0005-0000-0000-00009F3A0000}"/>
    <cellStyle name="Normal 2 2 2 17 33" xfId="15793" xr:uid="{00000000-0005-0000-0000-0000A03A0000}"/>
    <cellStyle name="Normal 2 2 2 17 34" xfId="15794" xr:uid="{00000000-0005-0000-0000-0000A13A0000}"/>
    <cellStyle name="Normal 2 2 2 17 35" xfId="15795" xr:uid="{00000000-0005-0000-0000-0000A23A0000}"/>
    <cellStyle name="Normal 2 2 2 17 36" xfId="15796" xr:uid="{00000000-0005-0000-0000-0000A33A0000}"/>
    <cellStyle name="Normal 2 2 2 17 37" xfId="15797" xr:uid="{00000000-0005-0000-0000-0000A43A0000}"/>
    <cellStyle name="Normal 2 2 2 17 38" xfId="15798" xr:uid="{00000000-0005-0000-0000-0000A53A0000}"/>
    <cellStyle name="Normal 2 2 2 17 39" xfId="15799" xr:uid="{00000000-0005-0000-0000-0000A63A0000}"/>
    <cellStyle name="Normal 2 2 2 17 4" xfId="15800" xr:uid="{00000000-0005-0000-0000-0000A73A0000}"/>
    <cellStyle name="Normal 2 2 2 17 4 10" xfId="15801" xr:uid="{00000000-0005-0000-0000-0000A83A0000}"/>
    <cellStyle name="Normal 2 2 2 17 4 11" xfId="15802" xr:uid="{00000000-0005-0000-0000-0000A93A0000}"/>
    <cellStyle name="Normal 2 2 2 17 4 12" xfId="15803" xr:uid="{00000000-0005-0000-0000-0000AA3A0000}"/>
    <cellStyle name="Normal 2 2 2 17 4 13" xfId="15804" xr:uid="{00000000-0005-0000-0000-0000AB3A0000}"/>
    <cellStyle name="Normal 2 2 2 17 4 2" xfId="15805" xr:uid="{00000000-0005-0000-0000-0000AC3A0000}"/>
    <cellStyle name="Normal 2 2 2 17 4 2 2" xfId="15806" xr:uid="{00000000-0005-0000-0000-0000AD3A0000}"/>
    <cellStyle name="Normal 2 2 2 17 4 2 3" xfId="15807" xr:uid="{00000000-0005-0000-0000-0000AE3A0000}"/>
    <cellStyle name="Normal 2 2 2 17 4 2 4" xfId="15808" xr:uid="{00000000-0005-0000-0000-0000AF3A0000}"/>
    <cellStyle name="Normal 2 2 2 17 4 2 5" xfId="15809" xr:uid="{00000000-0005-0000-0000-0000B03A0000}"/>
    <cellStyle name="Normal 2 2 2 17 4 2 6" xfId="15810" xr:uid="{00000000-0005-0000-0000-0000B13A0000}"/>
    <cellStyle name="Normal 2 2 2 17 4 3" xfId="15811" xr:uid="{00000000-0005-0000-0000-0000B23A0000}"/>
    <cellStyle name="Normal 2 2 2 17 4 3 2" xfId="15812" xr:uid="{00000000-0005-0000-0000-0000B33A0000}"/>
    <cellStyle name="Normal 2 2 2 17 4 3 3" xfId="15813" xr:uid="{00000000-0005-0000-0000-0000B43A0000}"/>
    <cellStyle name="Normal 2 2 2 17 4 3 4" xfId="15814" xr:uid="{00000000-0005-0000-0000-0000B53A0000}"/>
    <cellStyle name="Normal 2 2 2 17 4 3 5" xfId="15815" xr:uid="{00000000-0005-0000-0000-0000B63A0000}"/>
    <cellStyle name="Normal 2 2 2 17 4 3 6" xfId="15816" xr:uid="{00000000-0005-0000-0000-0000B73A0000}"/>
    <cellStyle name="Normal 2 2 2 17 4 4" xfId="15817" xr:uid="{00000000-0005-0000-0000-0000B83A0000}"/>
    <cellStyle name="Normal 2 2 2 17 4 4 2" xfId="15818" xr:uid="{00000000-0005-0000-0000-0000B93A0000}"/>
    <cellStyle name="Normal 2 2 2 17 4 4 3" xfId="15819" xr:uid="{00000000-0005-0000-0000-0000BA3A0000}"/>
    <cellStyle name="Normal 2 2 2 17 4 4 4" xfId="15820" xr:uid="{00000000-0005-0000-0000-0000BB3A0000}"/>
    <cellStyle name="Normal 2 2 2 17 4 4 5" xfId="15821" xr:uid="{00000000-0005-0000-0000-0000BC3A0000}"/>
    <cellStyle name="Normal 2 2 2 17 4 4 6" xfId="15822" xr:uid="{00000000-0005-0000-0000-0000BD3A0000}"/>
    <cellStyle name="Normal 2 2 2 17 4 5" xfId="15823" xr:uid="{00000000-0005-0000-0000-0000BE3A0000}"/>
    <cellStyle name="Normal 2 2 2 17 4 5 2" xfId="15824" xr:uid="{00000000-0005-0000-0000-0000BF3A0000}"/>
    <cellStyle name="Normal 2 2 2 17 4 5 3" xfId="15825" xr:uid="{00000000-0005-0000-0000-0000C03A0000}"/>
    <cellStyle name="Normal 2 2 2 17 4 5 4" xfId="15826" xr:uid="{00000000-0005-0000-0000-0000C13A0000}"/>
    <cellStyle name="Normal 2 2 2 17 4 5 5" xfId="15827" xr:uid="{00000000-0005-0000-0000-0000C23A0000}"/>
    <cellStyle name="Normal 2 2 2 17 4 5 6" xfId="15828" xr:uid="{00000000-0005-0000-0000-0000C33A0000}"/>
    <cellStyle name="Normal 2 2 2 17 4 6" xfId="15829" xr:uid="{00000000-0005-0000-0000-0000C43A0000}"/>
    <cellStyle name="Normal 2 2 2 17 4 6 2" xfId="15830" xr:uid="{00000000-0005-0000-0000-0000C53A0000}"/>
    <cellStyle name="Normal 2 2 2 17 4 6 3" xfId="15831" xr:uid="{00000000-0005-0000-0000-0000C63A0000}"/>
    <cellStyle name="Normal 2 2 2 17 4 6 4" xfId="15832" xr:uid="{00000000-0005-0000-0000-0000C73A0000}"/>
    <cellStyle name="Normal 2 2 2 17 4 6 5" xfId="15833" xr:uid="{00000000-0005-0000-0000-0000C83A0000}"/>
    <cellStyle name="Normal 2 2 2 17 4 6 6" xfId="15834" xr:uid="{00000000-0005-0000-0000-0000C93A0000}"/>
    <cellStyle name="Normal 2 2 2 17 4 7" xfId="15835" xr:uid="{00000000-0005-0000-0000-0000CA3A0000}"/>
    <cellStyle name="Normal 2 2 2 17 4 7 2" xfId="15836" xr:uid="{00000000-0005-0000-0000-0000CB3A0000}"/>
    <cellStyle name="Normal 2 2 2 17 4 7 3" xfId="15837" xr:uid="{00000000-0005-0000-0000-0000CC3A0000}"/>
    <cellStyle name="Normal 2 2 2 17 4 7 4" xfId="15838" xr:uid="{00000000-0005-0000-0000-0000CD3A0000}"/>
    <cellStyle name="Normal 2 2 2 17 4 7 5" xfId="15839" xr:uid="{00000000-0005-0000-0000-0000CE3A0000}"/>
    <cellStyle name="Normal 2 2 2 17 4 7 6" xfId="15840" xr:uid="{00000000-0005-0000-0000-0000CF3A0000}"/>
    <cellStyle name="Normal 2 2 2 17 4 8" xfId="15841" xr:uid="{00000000-0005-0000-0000-0000D03A0000}"/>
    <cellStyle name="Normal 2 2 2 17 4 8 2" xfId="15842" xr:uid="{00000000-0005-0000-0000-0000D13A0000}"/>
    <cellStyle name="Normal 2 2 2 17 4 8 3" xfId="15843" xr:uid="{00000000-0005-0000-0000-0000D23A0000}"/>
    <cellStyle name="Normal 2 2 2 17 4 8 4" xfId="15844" xr:uid="{00000000-0005-0000-0000-0000D33A0000}"/>
    <cellStyle name="Normal 2 2 2 17 4 8 5" xfId="15845" xr:uid="{00000000-0005-0000-0000-0000D43A0000}"/>
    <cellStyle name="Normal 2 2 2 17 4 8 6" xfId="15846" xr:uid="{00000000-0005-0000-0000-0000D53A0000}"/>
    <cellStyle name="Normal 2 2 2 17 4 9" xfId="15847" xr:uid="{00000000-0005-0000-0000-0000D63A0000}"/>
    <cellStyle name="Normal 2 2 2 17 40" xfId="15848" xr:uid="{00000000-0005-0000-0000-0000D73A0000}"/>
    <cellStyle name="Normal 2 2 2 17 41" xfId="15849" xr:uid="{00000000-0005-0000-0000-0000D83A0000}"/>
    <cellStyle name="Normal 2 2 2 17 42" xfId="15850" xr:uid="{00000000-0005-0000-0000-0000D93A0000}"/>
    <cellStyle name="Normal 2 2 2 17 43" xfId="15851" xr:uid="{00000000-0005-0000-0000-0000DA3A0000}"/>
    <cellStyle name="Normal 2 2 2 17 44" xfId="15852" xr:uid="{00000000-0005-0000-0000-0000DB3A0000}"/>
    <cellStyle name="Normal 2 2 2 17 45" xfId="15853" xr:uid="{00000000-0005-0000-0000-0000DC3A0000}"/>
    <cellStyle name="Normal 2 2 2 17 46" xfId="15854" xr:uid="{00000000-0005-0000-0000-0000DD3A0000}"/>
    <cellStyle name="Normal 2 2 2 17 47" xfId="15855" xr:uid="{00000000-0005-0000-0000-0000DE3A0000}"/>
    <cellStyle name="Normal 2 2 2 17 48" xfId="15856" xr:uid="{00000000-0005-0000-0000-0000DF3A0000}"/>
    <cellStyle name="Normal 2 2 2 17 5" xfId="15857" xr:uid="{00000000-0005-0000-0000-0000E03A0000}"/>
    <cellStyle name="Normal 2 2 2 17 5 10" xfId="15858" xr:uid="{00000000-0005-0000-0000-0000E13A0000}"/>
    <cellStyle name="Normal 2 2 2 17 5 11" xfId="15859" xr:uid="{00000000-0005-0000-0000-0000E23A0000}"/>
    <cellStyle name="Normal 2 2 2 17 5 12" xfId="15860" xr:uid="{00000000-0005-0000-0000-0000E33A0000}"/>
    <cellStyle name="Normal 2 2 2 17 5 13" xfId="15861" xr:uid="{00000000-0005-0000-0000-0000E43A0000}"/>
    <cellStyle name="Normal 2 2 2 17 5 2" xfId="15862" xr:uid="{00000000-0005-0000-0000-0000E53A0000}"/>
    <cellStyle name="Normal 2 2 2 17 5 2 2" xfId="15863" xr:uid="{00000000-0005-0000-0000-0000E63A0000}"/>
    <cellStyle name="Normal 2 2 2 17 5 2 3" xfId="15864" xr:uid="{00000000-0005-0000-0000-0000E73A0000}"/>
    <cellStyle name="Normal 2 2 2 17 5 2 4" xfId="15865" xr:uid="{00000000-0005-0000-0000-0000E83A0000}"/>
    <cellStyle name="Normal 2 2 2 17 5 2 5" xfId="15866" xr:uid="{00000000-0005-0000-0000-0000E93A0000}"/>
    <cellStyle name="Normal 2 2 2 17 5 2 6" xfId="15867" xr:uid="{00000000-0005-0000-0000-0000EA3A0000}"/>
    <cellStyle name="Normal 2 2 2 17 5 3" xfId="15868" xr:uid="{00000000-0005-0000-0000-0000EB3A0000}"/>
    <cellStyle name="Normal 2 2 2 17 5 3 2" xfId="15869" xr:uid="{00000000-0005-0000-0000-0000EC3A0000}"/>
    <cellStyle name="Normal 2 2 2 17 5 3 3" xfId="15870" xr:uid="{00000000-0005-0000-0000-0000ED3A0000}"/>
    <cellStyle name="Normal 2 2 2 17 5 3 4" xfId="15871" xr:uid="{00000000-0005-0000-0000-0000EE3A0000}"/>
    <cellStyle name="Normal 2 2 2 17 5 3 5" xfId="15872" xr:uid="{00000000-0005-0000-0000-0000EF3A0000}"/>
    <cellStyle name="Normal 2 2 2 17 5 3 6" xfId="15873" xr:uid="{00000000-0005-0000-0000-0000F03A0000}"/>
    <cellStyle name="Normal 2 2 2 17 5 4" xfId="15874" xr:uid="{00000000-0005-0000-0000-0000F13A0000}"/>
    <cellStyle name="Normal 2 2 2 17 5 4 2" xfId="15875" xr:uid="{00000000-0005-0000-0000-0000F23A0000}"/>
    <cellStyle name="Normal 2 2 2 17 5 4 3" xfId="15876" xr:uid="{00000000-0005-0000-0000-0000F33A0000}"/>
    <cellStyle name="Normal 2 2 2 17 5 4 4" xfId="15877" xr:uid="{00000000-0005-0000-0000-0000F43A0000}"/>
    <cellStyle name="Normal 2 2 2 17 5 4 5" xfId="15878" xr:uid="{00000000-0005-0000-0000-0000F53A0000}"/>
    <cellStyle name="Normal 2 2 2 17 5 4 6" xfId="15879" xr:uid="{00000000-0005-0000-0000-0000F63A0000}"/>
    <cellStyle name="Normal 2 2 2 17 5 5" xfId="15880" xr:uid="{00000000-0005-0000-0000-0000F73A0000}"/>
    <cellStyle name="Normal 2 2 2 17 5 5 2" xfId="15881" xr:uid="{00000000-0005-0000-0000-0000F83A0000}"/>
    <cellStyle name="Normal 2 2 2 17 5 5 3" xfId="15882" xr:uid="{00000000-0005-0000-0000-0000F93A0000}"/>
    <cellStyle name="Normal 2 2 2 17 5 5 4" xfId="15883" xr:uid="{00000000-0005-0000-0000-0000FA3A0000}"/>
    <cellStyle name="Normal 2 2 2 17 5 5 5" xfId="15884" xr:uid="{00000000-0005-0000-0000-0000FB3A0000}"/>
    <cellStyle name="Normal 2 2 2 17 5 5 6" xfId="15885" xr:uid="{00000000-0005-0000-0000-0000FC3A0000}"/>
    <cellStyle name="Normal 2 2 2 17 5 6" xfId="15886" xr:uid="{00000000-0005-0000-0000-0000FD3A0000}"/>
    <cellStyle name="Normal 2 2 2 17 5 6 2" xfId="15887" xr:uid="{00000000-0005-0000-0000-0000FE3A0000}"/>
    <cellStyle name="Normal 2 2 2 17 5 6 3" xfId="15888" xr:uid="{00000000-0005-0000-0000-0000FF3A0000}"/>
    <cellStyle name="Normal 2 2 2 17 5 6 4" xfId="15889" xr:uid="{00000000-0005-0000-0000-0000003B0000}"/>
    <cellStyle name="Normal 2 2 2 17 5 6 5" xfId="15890" xr:uid="{00000000-0005-0000-0000-0000013B0000}"/>
    <cellStyle name="Normal 2 2 2 17 5 6 6" xfId="15891" xr:uid="{00000000-0005-0000-0000-0000023B0000}"/>
    <cellStyle name="Normal 2 2 2 17 5 7" xfId="15892" xr:uid="{00000000-0005-0000-0000-0000033B0000}"/>
    <cellStyle name="Normal 2 2 2 17 5 7 2" xfId="15893" xr:uid="{00000000-0005-0000-0000-0000043B0000}"/>
    <cellStyle name="Normal 2 2 2 17 5 7 3" xfId="15894" xr:uid="{00000000-0005-0000-0000-0000053B0000}"/>
    <cellStyle name="Normal 2 2 2 17 5 7 4" xfId="15895" xr:uid="{00000000-0005-0000-0000-0000063B0000}"/>
    <cellStyle name="Normal 2 2 2 17 5 7 5" xfId="15896" xr:uid="{00000000-0005-0000-0000-0000073B0000}"/>
    <cellStyle name="Normal 2 2 2 17 5 7 6" xfId="15897" xr:uid="{00000000-0005-0000-0000-0000083B0000}"/>
    <cellStyle name="Normal 2 2 2 17 5 8" xfId="15898" xr:uid="{00000000-0005-0000-0000-0000093B0000}"/>
    <cellStyle name="Normal 2 2 2 17 5 8 2" xfId="15899" xr:uid="{00000000-0005-0000-0000-00000A3B0000}"/>
    <cellStyle name="Normal 2 2 2 17 5 8 3" xfId="15900" xr:uid="{00000000-0005-0000-0000-00000B3B0000}"/>
    <cellStyle name="Normal 2 2 2 17 5 8 4" xfId="15901" xr:uid="{00000000-0005-0000-0000-00000C3B0000}"/>
    <cellStyle name="Normal 2 2 2 17 5 8 5" xfId="15902" xr:uid="{00000000-0005-0000-0000-00000D3B0000}"/>
    <cellStyle name="Normal 2 2 2 17 5 8 6" xfId="15903" xr:uid="{00000000-0005-0000-0000-00000E3B0000}"/>
    <cellStyle name="Normal 2 2 2 17 5 9" xfId="15904" xr:uid="{00000000-0005-0000-0000-00000F3B0000}"/>
    <cellStyle name="Normal 2 2 2 17 6" xfId="15905" xr:uid="{00000000-0005-0000-0000-0000103B0000}"/>
    <cellStyle name="Normal 2 2 2 17 6 10" xfId="15906" xr:uid="{00000000-0005-0000-0000-0000113B0000}"/>
    <cellStyle name="Normal 2 2 2 17 6 11" xfId="15907" xr:uid="{00000000-0005-0000-0000-0000123B0000}"/>
    <cellStyle name="Normal 2 2 2 17 6 12" xfId="15908" xr:uid="{00000000-0005-0000-0000-0000133B0000}"/>
    <cellStyle name="Normal 2 2 2 17 6 13" xfId="15909" xr:uid="{00000000-0005-0000-0000-0000143B0000}"/>
    <cellStyle name="Normal 2 2 2 17 6 2" xfId="15910" xr:uid="{00000000-0005-0000-0000-0000153B0000}"/>
    <cellStyle name="Normal 2 2 2 17 6 2 2" xfId="15911" xr:uid="{00000000-0005-0000-0000-0000163B0000}"/>
    <cellStyle name="Normal 2 2 2 17 6 2 3" xfId="15912" xr:uid="{00000000-0005-0000-0000-0000173B0000}"/>
    <cellStyle name="Normal 2 2 2 17 6 2 4" xfId="15913" xr:uid="{00000000-0005-0000-0000-0000183B0000}"/>
    <cellStyle name="Normal 2 2 2 17 6 2 5" xfId="15914" xr:uid="{00000000-0005-0000-0000-0000193B0000}"/>
    <cellStyle name="Normal 2 2 2 17 6 2 6" xfId="15915" xr:uid="{00000000-0005-0000-0000-00001A3B0000}"/>
    <cellStyle name="Normal 2 2 2 17 6 3" xfId="15916" xr:uid="{00000000-0005-0000-0000-00001B3B0000}"/>
    <cellStyle name="Normal 2 2 2 17 6 3 2" xfId="15917" xr:uid="{00000000-0005-0000-0000-00001C3B0000}"/>
    <cellStyle name="Normal 2 2 2 17 6 3 3" xfId="15918" xr:uid="{00000000-0005-0000-0000-00001D3B0000}"/>
    <cellStyle name="Normal 2 2 2 17 6 3 4" xfId="15919" xr:uid="{00000000-0005-0000-0000-00001E3B0000}"/>
    <cellStyle name="Normal 2 2 2 17 6 3 5" xfId="15920" xr:uid="{00000000-0005-0000-0000-00001F3B0000}"/>
    <cellStyle name="Normal 2 2 2 17 6 3 6" xfId="15921" xr:uid="{00000000-0005-0000-0000-0000203B0000}"/>
    <cellStyle name="Normal 2 2 2 17 6 4" xfId="15922" xr:uid="{00000000-0005-0000-0000-0000213B0000}"/>
    <cellStyle name="Normal 2 2 2 17 6 4 2" xfId="15923" xr:uid="{00000000-0005-0000-0000-0000223B0000}"/>
    <cellStyle name="Normal 2 2 2 17 6 4 3" xfId="15924" xr:uid="{00000000-0005-0000-0000-0000233B0000}"/>
    <cellStyle name="Normal 2 2 2 17 6 4 4" xfId="15925" xr:uid="{00000000-0005-0000-0000-0000243B0000}"/>
    <cellStyle name="Normal 2 2 2 17 6 4 5" xfId="15926" xr:uid="{00000000-0005-0000-0000-0000253B0000}"/>
    <cellStyle name="Normal 2 2 2 17 6 4 6" xfId="15927" xr:uid="{00000000-0005-0000-0000-0000263B0000}"/>
    <cellStyle name="Normal 2 2 2 17 6 5" xfId="15928" xr:uid="{00000000-0005-0000-0000-0000273B0000}"/>
    <cellStyle name="Normal 2 2 2 17 6 5 2" xfId="15929" xr:uid="{00000000-0005-0000-0000-0000283B0000}"/>
    <cellStyle name="Normal 2 2 2 17 6 5 3" xfId="15930" xr:uid="{00000000-0005-0000-0000-0000293B0000}"/>
    <cellStyle name="Normal 2 2 2 17 6 5 4" xfId="15931" xr:uid="{00000000-0005-0000-0000-00002A3B0000}"/>
    <cellStyle name="Normal 2 2 2 17 6 5 5" xfId="15932" xr:uid="{00000000-0005-0000-0000-00002B3B0000}"/>
    <cellStyle name="Normal 2 2 2 17 6 5 6" xfId="15933" xr:uid="{00000000-0005-0000-0000-00002C3B0000}"/>
    <cellStyle name="Normal 2 2 2 17 6 6" xfId="15934" xr:uid="{00000000-0005-0000-0000-00002D3B0000}"/>
    <cellStyle name="Normal 2 2 2 17 6 6 2" xfId="15935" xr:uid="{00000000-0005-0000-0000-00002E3B0000}"/>
    <cellStyle name="Normal 2 2 2 17 6 6 3" xfId="15936" xr:uid="{00000000-0005-0000-0000-00002F3B0000}"/>
    <cellStyle name="Normal 2 2 2 17 6 6 4" xfId="15937" xr:uid="{00000000-0005-0000-0000-0000303B0000}"/>
    <cellStyle name="Normal 2 2 2 17 6 6 5" xfId="15938" xr:uid="{00000000-0005-0000-0000-0000313B0000}"/>
    <cellStyle name="Normal 2 2 2 17 6 6 6" xfId="15939" xr:uid="{00000000-0005-0000-0000-0000323B0000}"/>
    <cellStyle name="Normal 2 2 2 17 6 7" xfId="15940" xr:uid="{00000000-0005-0000-0000-0000333B0000}"/>
    <cellStyle name="Normal 2 2 2 17 6 7 2" xfId="15941" xr:uid="{00000000-0005-0000-0000-0000343B0000}"/>
    <cellStyle name="Normal 2 2 2 17 6 7 3" xfId="15942" xr:uid="{00000000-0005-0000-0000-0000353B0000}"/>
    <cellStyle name="Normal 2 2 2 17 6 7 4" xfId="15943" xr:uid="{00000000-0005-0000-0000-0000363B0000}"/>
    <cellStyle name="Normal 2 2 2 17 6 7 5" xfId="15944" xr:uid="{00000000-0005-0000-0000-0000373B0000}"/>
    <cellStyle name="Normal 2 2 2 17 6 7 6" xfId="15945" xr:uid="{00000000-0005-0000-0000-0000383B0000}"/>
    <cellStyle name="Normal 2 2 2 17 6 8" xfId="15946" xr:uid="{00000000-0005-0000-0000-0000393B0000}"/>
    <cellStyle name="Normal 2 2 2 17 6 8 2" xfId="15947" xr:uid="{00000000-0005-0000-0000-00003A3B0000}"/>
    <cellStyle name="Normal 2 2 2 17 6 8 3" xfId="15948" xr:uid="{00000000-0005-0000-0000-00003B3B0000}"/>
    <cellStyle name="Normal 2 2 2 17 6 8 4" xfId="15949" xr:uid="{00000000-0005-0000-0000-00003C3B0000}"/>
    <cellStyle name="Normal 2 2 2 17 6 8 5" xfId="15950" xr:uid="{00000000-0005-0000-0000-00003D3B0000}"/>
    <cellStyle name="Normal 2 2 2 17 6 8 6" xfId="15951" xr:uid="{00000000-0005-0000-0000-00003E3B0000}"/>
    <cellStyle name="Normal 2 2 2 17 6 9" xfId="15952" xr:uid="{00000000-0005-0000-0000-00003F3B0000}"/>
    <cellStyle name="Normal 2 2 2 17 7" xfId="15953" xr:uid="{00000000-0005-0000-0000-0000403B0000}"/>
    <cellStyle name="Normal 2 2 2 17 7 10" xfId="15954" xr:uid="{00000000-0005-0000-0000-0000413B0000}"/>
    <cellStyle name="Normal 2 2 2 17 7 11" xfId="15955" xr:uid="{00000000-0005-0000-0000-0000423B0000}"/>
    <cellStyle name="Normal 2 2 2 17 7 12" xfId="15956" xr:uid="{00000000-0005-0000-0000-0000433B0000}"/>
    <cellStyle name="Normal 2 2 2 17 7 13" xfId="15957" xr:uid="{00000000-0005-0000-0000-0000443B0000}"/>
    <cellStyle name="Normal 2 2 2 17 7 2" xfId="15958" xr:uid="{00000000-0005-0000-0000-0000453B0000}"/>
    <cellStyle name="Normal 2 2 2 17 7 2 2" xfId="15959" xr:uid="{00000000-0005-0000-0000-0000463B0000}"/>
    <cellStyle name="Normal 2 2 2 17 7 2 3" xfId="15960" xr:uid="{00000000-0005-0000-0000-0000473B0000}"/>
    <cellStyle name="Normal 2 2 2 17 7 2 4" xfId="15961" xr:uid="{00000000-0005-0000-0000-0000483B0000}"/>
    <cellStyle name="Normal 2 2 2 17 7 2 5" xfId="15962" xr:uid="{00000000-0005-0000-0000-0000493B0000}"/>
    <cellStyle name="Normal 2 2 2 17 7 2 6" xfId="15963" xr:uid="{00000000-0005-0000-0000-00004A3B0000}"/>
    <cellStyle name="Normal 2 2 2 17 7 3" xfId="15964" xr:uid="{00000000-0005-0000-0000-00004B3B0000}"/>
    <cellStyle name="Normal 2 2 2 17 7 3 2" xfId="15965" xr:uid="{00000000-0005-0000-0000-00004C3B0000}"/>
    <cellStyle name="Normal 2 2 2 17 7 3 3" xfId="15966" xr:uid="{00000000-0005-0000-0000-00004D3B0000}"/>
    <cellStyle name="Normal 2 2 2 17 7 3 4" xfId="15967" xr:uid="{00000000-0005-0000-0000-00004E3B0000}"/>
    <cellStyle name="Normal 2 2 2 17 7 3 5" xfId="15968" xr:uid="{00000000-0005-0000-0000-00004F3B0000}"/>
    <cellStyle name="Normal 2 2 2 17 7 3 6" xfId="15969" xr:uid="{00000000-0005-0000-0000-0000503B0000}"/>
    <cellStyle name="Normal 2 2 2 17 7 4" xfId="15970" xr:uid="{00000000-0005-0000-0000-0000513B0000}"/>
    <cellStyle name="Normal 2 2 2 17 7 4 2" xfId="15971" xr:uid="{00000000-0005-0000-0000-0000523B0000}"/>
    <cellStyle name="Normal 2 2 2 17 7 4 3" xfId="15972" xr:uid="{00000000-0005-0000-0000-0000533B0000}"/>
    <cellStyle name="Normal 2 2 2 17 7 4 4" xfId="15973" xr:uid="{00000000-0005-0000-0000-0000543B0000}"/>
    <cellStyle name="Normal 2 2 2 17 7 4 5" xfId="15974" xr:uid="{00000000-0005-0000-0000-0000553B0000}"/>
    <cellStyle name="Normal 2 2 2 17 7 4 6" xfId="15975" xr:uid="{00000000-0005-0000-0000-0000563B0000}"/>
    <cellStyle name="Normal 2 2 2 17 7 5" xfId="15976" xr:uid="{00000000-0005-0000-0000-0000573B0000}"/>
    <cellStyle name="Normal 2 2 2 17 7 5 2" xfId="15977" xr:uid="{00000000-0005-0000-0000-0000583B0000}"/>
    <cellStyle name="Normal 2 2 2 17 7 5 3" xfId="15978" xr:uid="{00000000-0005-0000-0000-0000593B0000}"/>
    <cellStyle name="Normal 2 2 2 17 7 5 4" xfId="15979" xr:uid="{00000000-0005-0000-0000-00005A3B0000}"/>
    <cellStyle name="Normal 2 2 2 17 7 5 5" xfId="15980" xr:uid="{00000000-0005-0000-0000-00005B3B0000}"/>
    <cellStyle name="Normal 2 2 2 17 7 5 6" xfId="15981" xr:uid="{00000000-0005-0000-0000-00005C3B0000}"/>
    <cellStyle name="Normal 2 2 2 17 7 6" xfId="15982" xr:uid="{00000000-0005-0000-0000-00005D3B0000}"/>
    <cellStyle name="Normal 2 2 2 17 7 6 2" xfId="15983" xr:uid="{00000000-0005-0000-0000-00005E3B0000}"/>
    <cellStyle name="Normal 2 2 2 17 7 6 3" xfId="15984" xr:uid="{00000000-0005-0000-0000-00005F3B0000}"/>
    <cellStyle name="Normal 2 2 2 17 7 6 4" xfId="15985" xr:uid="{00000000-0005-0000-0000-0000603B0000}"/>
    <cellStyle name="Normal 2 2 2 17 7 6 5" xfId="15986" xr:uid="{00000000-0005-0000-0000-0000613B0000}"/>
    <cellStyle name="Normal 2 2 2 17 7 6 6" xfId="15987" xr:uid="{00000000-0005-0000-0000-0000623B0000}"/>
    <cellStyle name="Normal 2 2 2 17 7 7" xfId="15988" xr:uid="{00000000-0005-0000-0000-0000633B0000}"/>
    <cellStyle name="Normal 2 2 2 17 7 7 2" xfId="15989" xr:uid="{00000000-0005-0000-0000-0000643B0000}"/>
    <cellStyle name="Normal 2 2 2 17 7 7 3" xfId="15990" xr:uid="{00000000-0005-0000-0000-0000653B0000}"/>
    <cellStyle name="Normal 2 2 2 17 7 7 4" xfId="15991" xr:uid="{00000000-0005-0000-0000-0000663B0000}"/>
    <cellStyle name="Normal 2 2 2 17 7 7 5" xfId="15992" xr:uid="{00000000-0005-0000-0000-0000673B0000}"/>
    <cellStyle name="Normal 2 2 2 17 7 7 6" xfId="15993" xr:uid="{00000000-0005-0000-0000-0000683B0000}"/>
    <cellStyle name="Normal 2 2 2 17 7 8" xfId="15994" xr:uid="{00000000-0005-0000-0000-0000693B0000}"/>
    <cellStyle name="Normal 2 2 2 17 7 8 2" xfId="15995" xr:uid="{00000000-0005-0000-0000-00006A3B0000}"/>
    <cellStyle name="Normal 2 2 2 17 7 8 3" xfId="15996" xr:uid="{00000000-0005-0000-0000-00006B3B0000}"/>
    <cellStyle name="Normal 2 2 2 17 7 8 4" xfId="15997" xr:uid="{00000000-0005-0000-0000-00006C3B0000}"/>
    <cellStyle name="Normal 2 2 2 17 7 8 5" xfId="15998" xr:uid="{00000000-0005-0000-0000-00006D3B0000}"/>
    <cellStyle name="Normal 2 2 2 17 7 8 6" xfId="15999" xr:uid="{00000000-0005-0000-0000-00006E3B0000}"/>
    <cellStyle name="Normal 2 2 2 17 7 9" xfId="16000" xr:uid="{00000000-0005-0000-0000-00006F3B0000}"/>
    <cellStyle name="Normal 2 2 2 17 8" xfId="16001" xr:uid="{00000000-0005-0000-0000-0000703B0000}"/>
    <cellStyle name="Normal 2 2 2 17 8 10" xfId="16002" xr:uid="{00000000-0005-0000-0000-0000713B0000}"/>
    <cellStyle name="Normal 2 2 2 17 8 11" xfId="16003" xr:uid="{00000000-0005-0000-0000-0000723B0000}"/>
    <cellStyle name="Normal 2 2 2 17 8 12" xfId="16004" xr:uid="{00000000-0005-0000-0000-0000733B0000}"/>
    <cellStyle name="Normal 2 2 2 17 8 13" xfId="16005" xr:uid="{00000000-0005-0000-0000-0000743B0000}"/>
    <cellStyle name="Normal 2 2 2 17 8 2" xfId="16006" xr:uid="{00000000-0005-0000-0000-0000753B0000}"/>
    <cellStyle name="Normal 2 2 2 17 8 2 2" xfId="16007" xr:uid="{00000000-0005-0000-0000-0000763B0000}"/>
    <cellStyle name="Normal 2 2 2 17 8 2 3" xfId="16008" xr:uid="{00000000-0005-0000-0000-0000773B0000}"/>
    <cellStyle name="Normal 2 2 2 17 8 2 4" xfId="16009" xr:uid="{00000000-0005-0000-0000-0000783B0000}"/>
    <cellStyle name="Normal 2 2 2 17 8 2 5" xfId="16010" xr:uid="{00000000-0005-0000-0000-0000793B0000}"/>
    <cellStyle name="Normal 2 2 2 17 8 2 6" xfId="16011" xr:uid="{00000000-0005-0000-0000-00007A3B0000}"/>
    <cellStyle name="Normal 2 2 2 17 8 3" xfId="16012" xr:uid="{00000000-0005-0000-0000-00007B3B0000}"/>
    <cellStyle name="Normal 2 2 2 17 8 3 2" xfId="16013" xr:uid="{00000000-0005-0000-0000-00007C3B0000}"/>
    <cellStyle name="Normal 2 2 2 17 8 3 3" xfId="16014" xr:uid="{00000000-0005-0000-0000-00007D3B0000}"/>
    <cellStyle name="Normal 2 2 2 17 8 3 4" xfId="16015" xr:uid="{00000000-0005-0000-0000-00007E3B0000}"/>
    <cellStyle name="Normal 2 2 2 17 8 3 5" xfId="16016" xr:uid="{00000000-0005-0000-0000-00007F3B0000}"/>
    <cellStyle name="Normal 2 2 2 17 8 3 6" xfId="16017" xr:uid="{00000000-0005-0000-0000-0000803B0000}"/>
    <cellStyle name="Normal 2 2 2 17 8 4" xfId="16018" xr:uid="{00000000-0005-0000-0000-0000813B0000}"/>
    <cellStyle name="Normal 2 2 2 17 8 4 2" xfId="16019" xr:uid="{00000000-0005-0000-0000-0000823B0000}"/>
    <cellStyle name="Normal 2 2 2 17 8 4 3" xfId="16020" xr:uid="{00000000-0005-0000-0000-0000833B0000}"/>
    <cellStyle name="Normal 2 2 2 17 8 4 4" xfId="16021" xr:uid="{00000000-0005-0000-0000-0000843B0000}"/>
    <cellStyle name="Normal 2 2 2 17 8 4 5" xfId="16022" xr:uid="{00000000-0005-0000-0000-0000853B0000}"/>
    <cellStyle name="Normal 2 2 2 17 8 4 6" xfId="16023" xr:uid="{00000000-0005-0000-0000-0000863B0000}"/>
    <cellStyle name="Normal 2 2 2 17 8 5" xfId="16024" xr:uid="{00000000-0005-0000-0000-0000873B0000}"/>
    <cellStyle name="Normal 2 2 2 17 8 5 2" xfId="16025" xr:uid="{00000000-0005-0000-0000-0000883B0000}"/>
    <cellStyle name="Normal 2 2 2 17 8 5 3" xfId="16026" xr:uid="{00000000-0005-0000-0000-0000893B0000}"/>
    <cellStyle name="Normal 2 2 2 17 8 5 4" xfId="16027" xr:uid="{00000000-0005-0000-0000-00008A3B0000}"/>
    <cellStyle name="Normal 2 2 2 17 8 5 5" xfId="16028" xr:uid="{00000000-0005-0000-0000-00008B3B0000}"/>
    <cellStyle name="Normal 2 2 2 17 8 5 6" xfId="16029" xr:uid="{00000000-0005-0000-0000-00008C3B0000}"/>
    <cellStyle name="Normal 2 2 2 17 8 6" xfId="16030" xr:uid="{00000000-0005-0000-0000-00008D3B0000}"/>
    <cellStyle name="Normal 2 2 2 17 8 6 2" xfId="16031" xr:uid="{00000000-0005-0000-0000-00008E3B0000}"/>
    <cellStyle name="Normal 2 2 2 17 8 6 3" xfId="16032" xr:uid="{00000000-0005-0000-0000-00008F3B0000}"/>
    <cellStyle name="Normal 2 2 2 17 8 6 4" xfId="16033" xr:uid="{00000000-0005-0000-0000-0000903B0000}"/>
    <cellStyle name="Normal 2 2 2 17 8 6 5" xfId="16034" xr:uid="{00000000-0005-0000-0000-0000913B0000}"/>
    <cellStyle name="Normal 2 2 2 17 8 6 6" xfId="16035" xr:uid="{00000000-0005-0000-0000-0000923B0000}"/>
    <cellStyle name="Normal 2 2 2 17 8 7" xfId="16036" xr:uid="{00000000-0005-0000-0000-0000933B0000}"/>
    <cellStyle name="Normal 2 2 2 17 8 7 2" xfId="16037" xr:uid="{00000000-0005-0000-0000-0000943B0000}"/>
    <cellStyle name="Normal 2 2 2 17 8 7 3" xfId="16038" xr:uid="{00000000-0005-0000-0000-0000953B0000}"/>
    <cellStyle name="Normal 2 2 2 17 8 7 4" xfId="16039" xr:uid="{00000000-0005-0000-0000-0000963B0000}"/>
    <cellStyle name="Normal 2 2 2 17 8 7 5" xfId="16040" xr:uid="{00000000-0005-0000-0000-0000973B0000}"/>
    <cellStyle name="Normal 2 2 2 17 8 7 6" xfId="16041" xr:uid="{00000000-0005-0000-0000-0000983B0000}"/>
    <cellStyle name="Normal 2 2 2 17 8 8" xfId="16042" xr:uid="{00000000-0005-0000-0000-0000993B0000}"/>
    <cellStyle name="Normal 2 2 2 17 8 8 2" xfId="16043" xr:uid="{00000000-0005-0000-0000-00009A3B0000}"/>
    <cellStyle name="Normal 2 2 2 17 8 8 3" xfId="16044" xr:uid="{00000000-0005-0000-0000-00009B3B0000}"/>
    <cellStyle name="Normal 2 2 2 17 8 8 4" xfId="16045" xr:uid="{00000000-0005-0000-0000-00009C3B0000}"/>
    <cellStyle name="Normal 2 2 2 17 8 8 5" xfId="16046" xr:uid="{00000000-0005-0000-0000-00009D3B0000}"/>
    <cellStyle name="Normal 2 2 2 17 8 8 6" xfId="16047" xr:uid="{00000000-0005-0000-0000-00009E3B0000}"/>
    <cellStyle name="Normal 2 2 2 17 8 9" xfId="16048" xr:uid="{00000000-0005-0000-0000-00009F3B0000}"/>
    <cellStyle name="Normal 2 2 2 17 9" xfId="16049" xr:uid="{00000000-0005-0000-0000-0000A03B0000}"/>
    <cellStyle name="Normal 2 2 2 17 9 10" xfId="16050" xr:uid="{00000000-0005-0000-0000-0000A13B0000}"/>
    <cellStyle name="Normal 2 2 2 17 9 11" xfId="16051" xr:uid="{00000000-0005-0000-0000-0000A23B0000}"/>
    <cellStyle name="Normal 2 2 2 17 9 12" xfId="16052" xr:uid="{00000000-0005-0000-0000-0000A33B0000}"/>
    <cellStyle name="Normal 2 2 2 17 9 13" xfId="16053" xr:uid="{00000000-0005-0000-0000-0000A43B0000}"/>
    <cellStyle name="Normal 2 2 2 17 9 2" xfId="16054" xr:uid="{00000000-0005-0000-0000-0000A53B0000}"/>
    <cellStyle name="Normal 2 2 2 17 9 2 2" xfId="16055" xr:uid="{00000000-0005-0000-0000-0000A63B0000}"/>
    <cellStyle name="Normal 2 2 2 17 9 2 3" xfId="16056" xr:uid="{00000000-0005-0000-0000-0000A73B0000}"/>
    <cellStyle name="Normal 2 2 2 17 9 2 4" xfId="16057" xr:uid="{00000000-0005-0000-0000-0000A83B0000}"/>
    <cellStyle name="Normal 2 2 2 17 9 2 5" xfId="16058" xr:uid="{00000000-0005-0000-0000-0000A93B0000}"/>
    <cellStyle name="Normal 2 2 2 17 9 2 6" xfId="16059" xr:uid="{00000000-0005-0000-0000-0000AA3B0000}"/>
    <cellStyle name="Normal 2 2 2 17 9 3" xfId="16060" xr:uid="{00000000-0005-0000-0000-0000AB3B0000}"/>
    <cellStyle name="Normal 2 2 2 17 9 3 2" xfId="16061" xr:uid="{00000000-0005-0000-0000-0000AC3B0000}"/>
    <cellStyle name="Normal 2 2 2 17 9 3 3" xfId="16062" xr:uid="{00000000-0005-0000-0000-0000AD3B0000}"/>
    <cellStyle name="Normal 2 2 2 17 9 3 4" xfId="16063" xr:uid="{00000000-0005-0000-0000-0000AE3B0000}"/>
    <cellStyle name="Normal 2 2 2 17 9 3 5" xfId="16064" xr:uid="{00000000-0005-0000-0000-0000AF3B0000}"/>
    <cellStyle name="Normal 2 2 2 17 9 3 6" xfId="16065" xr:uid="{00000000-0005-0000-0000-0000B03B0000}"/>
    <cellStyle name="Normal 2 2 2 17 9 4" xfId="16066" xr:uid="{00000000-0005-0000-0000-0000B13B0000}"/>
    <cellStyle name="Normal 2 2 2 17 9 4 2" xfId="16067" xr:uid="{00000000-0005-0000-0000-0000B23B0000}"/>
    <cellStyle name="Normal 2 2 2 17 9 4 3" xfId="16068" xr:uid="{00000000-0005-0000-0000-0000B33B0000}"/>
    <cellStyle name="Normal 2 2 2 17 9 4 4" xfId="16069" xr:uid="{00000000-0005-0000-0000-0000B43B0000}"/>
    <cellStyle name="Normal 2 2 2 17 9 4 5" xfId="16070" xr:uid="{00000000-0005-0000-0000-0000B53B0000}"/>
    <cellStyle name="Normal 2 2 2 17 9 4 6" xfId="16071" xr:uid="{00000000-0005-0000-0000-0000B63B0000}"/>
    <cellStyle name="Normal 2 2 2 17 9 5" xfId="16072" xr:uid="{00000000-0005-0000-0000-0000B73B0000}"/>
    <cellStyle name="Normal 2 2 2 17 9 5 2" xfId="16073" xr:uid="{00000000-0005-0000-0000-0000B83B0000}"/>
    <cellStyle name="Normal 2 2 2 17 9 5 3" xfId="16074" xr:uid="{00000000-0005-0000-0000-0000B93B0000}"/>
    <cellStyle name="Normal 2 2 2 17 9 5 4" xfId="16075" xr:uid="{00000000-0005-0000-0000-0000BA3B0000}"/>
    <cellStyle name="Normal 2 2 2 17 9 5 5" xfId="16076" xr:uid="{00000000-0005-0000-0000-0000BB3B0000}"/>
    <cellStyle name="Normal 2 2 2 17 9 5 6" xfId="16077" xr:uid="{00000000-0005-0000-0000-0000BC3B0000}"/>
    <cellStyle name="Normal 2 2 2 17 9 6" xfId="16078" xr:uid="{00000000-0005-0000-0000-0000BD3B0000}"/>
    <cellStyle name="Normal 2 2 2 17 9 6 2" xfId="16079" xr:uid="{00000000-0005-0000-0000-0000BE3B0000}"/>
    <cellStyle name="Normal 2 2 2 17 9 6 3" xfId="16080" xr:uid="{00000000-0005-0000-0000-0000BF3B0000}"/>
    <cellStyle name="Normal 2 2 2 17 9 6 4" xfId="16081" xr:uid="{00000000-0005-0000-0000-0000C03B0000}"/>
    <cellStyle name="Normal 2 2 2 17 9 6 5" xfId="16082" xr:uid="{00000000-0005-0000-0000-0000C13B0000}"/>
    <cellStyle name="Normal 2 2 2 17 9 6 6" xfId="16083" xr:uid="{00000000-0005-0000-0000-0000C23B0000}"/>
    <cellStyle name="Normal 2 2 2 17 9 7" xfId="16084" xr:uid="{00000000-0005-0000-0000-0000C33B0000}"/>
    <cellStyle name="Normal 2 2 2 17 9 7 2" xfId="16085" xr:uid="{00000000-0005-0000-0000-0000C43B0000}"/>
    <cellStyle name="Normal 2 2 2 17 9 7 3" xfId="16086" xr:uid="{00000000-0005-0000-0000-0000C53B0000}"/>
    <cellStyle name="Normal 2 2 2 17 9 7 4" xfId="16087" xr:uid="{00000000-0005-0000-0000-0000C63B0000}"/>
    <cellStyle name="Normal 2 2 2 17 9 7 5" xfId="16088" xr:uid="{00000000-0005-0000-0000-0000C73B0000}"/>
    <cellStyle name="Normal 2 2 2 17 9 7 6" xfId="16089" xr:uid="{00000000-0005-0000-0000-0000C83B0000}"/>
    <cellStyle name="Normal 2 2 2 17 9 8" xfId="16090" xr:uid="{00000000-0005-0000-0000-0000C93B0000}"/>
    <cellStyle name="Normal 2 2 2 17 9 8 2" xfId="16091" xr:uid="{00000000-0005-0000-0000-0000CA3B0000}"/>
    <cellStyle name="Normal 2 2 2 17 9 8 3" xfId="16092" xr:uid="{00000000-0005-0000-0000-0000CB3B0000}"/>
    <cellStyle name="Normal 2 2 2 17 9 8 4" xfId="16093" xr:uid="{00000000-0005-0000-0000-0000CC3B0000}"/>
    <cellStyle name="Normal 2 2 2 17 9 8 5" xfId="16094" xr:uid="{00000000-0005-0000-0000-0000CD3B0000}"/>
    <cellStyle name="Normal 2 2 2 17 9 8 6" xfId="16095" xr:uid="{00000000-0005-0000-0000-0000CE3B0000}"/>
    <cellStyle name="Normal 2 2 2 17 9 9" xfId="16096" xr:uid="{00000000-0005-0000-0000-0000CF3B0000}"/>
    <cellStyle name="Normal 2 2 2 18" xfId="16097" xr:uid="{00000000-0005-0000-0000-0000D03B0000}"/>
    <cellStyle name="Normal 2 2 2 18 10" xfId="16098" xr:uid="{00000000-0005-0000-0000-0000D13B0000}"/>
    <cellStyle name="Normal 2 2 2 18 11" xfId="16099" xr:uid="{00000000-0005-0000-0000-0000D23B0000}"/>
    <cellStyle name="Normal 2 2 2 18 12" xfId="16100" xr:uid="{00000000-0005-0000-0000-0000D33B0000}"/>
    <cellStyle name="Normal 2 2 2 18 13" xfId="16101" xr:uid="{00000000-0005-0000-0000-0000D43B0000}"/>
    <cellStyle name="Normal 2 2 2 18 14" xfId="16102" xr:uid="{00000000-0005-0000-0000-0000D53B0000}"/>
    <cellStyle name="Normal 2 2 2 18 2" xfId="16103" xr:uid="{00000000-0005-0000-0000-0000D63B0000}"/>
    <cellStyle name="Normal 2 2 2 18 2 2" xfId="16104" xr:uid="{00000000-0005-0000-0000-0000D73B0000}"/>
    <cellStyle name="Normal 2 2 2 18 2 3" xfId="16105" xr:uid="{00000000-0005-0000-0000-0000D83B0000}"/>
    <cellStyle name="Normal 2 2 2 18 2 4" xfId="16106" xr:uid="{00000000-0005-0000-0000-0000D93B0000}"/>
    <cellStyle name="Normal 2 2 2 18 2 5" xfId="16107" xr:uid="{00000000-0005-0000-0000-0000DA3B0000}"/>
    <cellStyle name="Normal 2 2 2 18 2 6" xfId="16108" xr:uid="{00000000-0005-0000-0000-0000DB3B0000}"/>
    <cellStyle name="Normal 2 2 2 18 3" xfId="16109" xr:uid="{00000000-0005-0000-0000-0000DC3B0000}"/>
    <cellStyle name="Normal 2 2 2 18 3 2" xfId="16110" xr:uid="{00000000-0005-0000-0000-0000DD3B0000}"/>
    <cellStyle name="Normal 2 2 2 18 3 3" xfId="16111" xr:uid="{00000000-0005-0000-0000-0000DE3B0000}"/>
    <cellStyle name="Normal 2 2 2 18 3 4" xfId="16112" xr:uid="{00000000-0005-0000-0000-0000DF3B0000}"/>
    <cellStyle name="Normal 2 2 2 18 3 5" xfId="16113" xr:uid="{00000000-0005-0000-0000-0000E03B0000}"/>
    <cellStyle name="Normal 2 2 2 18 3 6" xfId="16114" xr:uid="{00000000-0005-0000-0000-0000E13B0000}"/>
    <cellStyle name="Normal 2 2 2 18 4" xfId="16115" xr:uid="{00000000-0005-0000-0000-0000E23B0000}"/>
    <cellStyle name="Normal 2 2 2 18 4 2" xfId="16116" xr:uid="{00000000-0005-0000-0000-0000E33B0000}"/>
    <cellStyle name="Normal 2 2 2 18 4 3" xfId="16117" xr:uid="{00000000-0005-0000-0000-0000E43B0000}"/>
    <cellStyle name="Normal 2 2 2 18 4 4" xfId="16118" xr:uid="{00000000-0005-0000-0000-0000E53B0000}"/>
    <cellStyle name="Normal 2 2 2 18 4 5" xfId="16119" xr:uid="{00000000-0005-0000-0000-0000E63B0000}"/>
    <cellStyle name="Normal 2 2 2 18 4 6" xfId="16120" xr:uid="{00000000-0005-0000-0000-0000E73B0000}"/>
    <cellStyle name="Normal 2 2 2 18 5" xfId="16121" xr:uid="{00000000-0005-0000-0000-0000E83B0000}"/>
    <cellStyle name="Normal 2 2 2 18 5 2" xfId="16122" xr:uid="{00000000-0005-0000-0000-0000E93B0000}"/>
    <cellStyle name="Normal 2 2 2 18 5 3" xfId="16123" xr:uid="{00000000-0005-0000-0000-0000EA3B0000}"/>
    <cellStyle name="Normal 2 2 2 18 5 4" xfId="16124" xr:uid="{00000000-0005-0000-0000-0000EB3B0000}"/>
    <cellStyle name="Normal 2 2 2 18 5 5" xfId="16125" xr:uid="{00000000-0005-0000-0000-0000EC3B0000}"/>
    <cellStyle name="Normal 2 2 2 18 5 6" xfId="16126" xr:uid="{00000000-0005-0000-0000-0000ED3B0000}"/>
    <cellStyle name="Normal 2 2 2 18 6" xfId="16127" xr:uid="{00000000-0005-0000-0000-0000EE3B0000}"/>
    <cellStyle name="Normal 2 2 2 18 6 2" xfId="16128" xr:uid="{00000000-0005-0000-0000-0000EF3B0000}"/>
    <cellStyle name="Normal 2 2 2 18 6 3" xfId="16129" xr:uid="{00000000-0005-0000-0000-0000F03B0000}"/>
    <cellStyle name="Normal 2 2 2 18 6 4" xfId="16130" xr:uid="{00000000-0005-0000-0000-0000F13B0000}"/>
    <cellStyle name="Normal 2 2 2 18 6 5" xfId="16131" xr:uid="{00000000-0005-0000-0000-0000F23B0000}"/>
    <cellStyle name="Normal 2 2 2 18 6 6" xfId="16132" xr:uid="{00000000-0005-0000-0000-0000F33B0000}"/>
    <cellStyle name="Normal 2 2 2 18 7" xfId="16133" xr:uid="{00000000-0005-0000-0000-0000F43B0000}"/>
    <cellStyle name="Normal 2 2 2 18 7 2" xfId="16134" xr:uid="{00000000-0005-0000-0000-0000F53B0000}"/>
    <cellStyle name="Normal 2 2 2 18 7 3" xfId="16135" xr:uid="{00000000-0005-0000-0000-0000F63B0000}"/>
    <cellStyle name="Normal 2 2 2 18 7 4" xfId="16136" xr:uid="{00000000-0005-0000-0000-0000F73B0000}"/>
    <cellStyle name="Normal 2 2 2 18 7 5" xfId="16137" xr:uid="{00000000-0005-0000-0000-0000F83B0000}"/>
    <cellStyle name="Normal 2 2 2 18 7 6" xfId="16138" xr:uid="{00000000-0005-0000-0000-0000F93B0000}"/>
    <cellStyle name="Normal 2 2 2 18 8" xfId="16139" xr:uid="{00000000-0005-0000-0000-0000FA3B0000}"/>
    <cellStyle name="Normal 2 2 2 18 8 2" xfId="16140" xr:uid="{00000000-0005-0000-0000-0000FB3B0000}"/>
    <cellStyle name="Normal 2 2 2 18 8 3" xfId="16141" xr:uid="{00000000-0005-0000-0000-0000FC3B0000}"/>
    <cellStyle name="Normal 2 2 2 18 8 4" xfId="16142" xr:uid="{00000000-0005-0000-0000-0000FD3B0000}"/>
    <cellStyle name="Normal 2 2 2 18 8 5" xfId="16143" xr:uid="{00000000-0005-0000-0000-0000FE3B0000}"/>
    <cellStyle name="Normal 2 2 2 18 8 6" xfId="16144" xr:uid="{00000000-0005-0000-0000-0000FF3B0000}"/>
    <cellStyle name="Normal 2 2 2 18 9" xfId="16145" xr:uid="{00000000-0005-0000-0000-0000003C0000}"/>
    <cellStyle name="Normal 2 2 2 19" xfId="16146" xr:uid="{00000000-0005-0000-0000-0000013C0000}"/>
    <cellStyle name="Normal 2 2 2 19 10" xfId="16147" xr:uid="{00000000-0005-0000-0000-0000023C0000}"/>
    <cellStyle name="Normal 2 2 2 19 11" xfId="16148" xr:uid="{00000000-0005-0000-0000-0000033C0000}"/>
    <cellStyle name="Normal 2 2 2 19 12" xfId="16149" xr:uid="{00000000-0005-0000-0000-0000043C0000}"/>
    <cellStyle name="Normal 2 2 2 19 13" xfId="16150" xr:uid="{00000000-0005-0000-0000-0000053C0000}"/>
    <cellStyle name="Normal 2 2 2 19 14" xfId="16151" xr:uid="{00000000-0005-0000-0000-0000063C0000}"/>
    <cellStyle name="Normal 2 2 2 19 2" xfId="16152" xr:uid="{00000000-0005-0000-0000-0000073C0000}"/>
    <cellStyle name="Normal 2 2 2 19 2 2" xfId="16153" xr:uid="{00000000-0005-0000-0000-0000083C0000}"/>
    <cellStyle name="Normal 2 2 2 19 2 3" xfId="16154" xr:uid="{00000000-0005-0000-0000-0000093C0000}"/>
    <cellStyle name="Normal 2 2 2 19 2 4" xfId="16155" xr:uid="{00000000-0005-0000-0000-00000A3C0000}"/>
    <cellStyle name="Normal 2 2 2 19 2 5" xfId="16156" xr:uid="{00000000-0005-0000-0000-00000B3C0000}"/>
    <cellStyle name="Normal 2 2 2 19 2 6" xfId="16157" xr:uid="{00000000-0005-0000-0000-00000C3C0000}"/>
    <cellStyle name="Normal 2 2 2 19 3" xfId="16158" xr:uid="{00000000-0005-0000-0000-00000D3C0000}"/>
    <cellStyle name="Normal 2 2 2 19 3 2" xfId="16159" xr:uid="{00000000-0005-0000-0000-00000E3C0000}"/>
    <cellStyle name="Normal 2 2 2 19 3 3" xfId="16160" xr:uid="{00000000-0005-0000-0000-00000F3C0000}"/>
    <cellStyle name="Normal 2 2 2 19 3 4" xfId="16161" xr:uid="{00000000-0005-0000-0000-0000103C0000}"/>
    <cellStyle name="Normal 2 2 2 19 3 5" xfId="16162" xr:uid="{00000000-0005-0000-0000-0000113C0000}"/>
    <cellStyle name="Normal 2 2 2 19 3 6" xfId="16163" xr:uid="{00000000-0005-0000-0000-0000123C0000}"/>
    <cellStyle name="Normal 2 2 2 19 4" xfId="16164" xr:uid="{00000000-0005-0000-0000-0000133C0000}"/>
    <cellStyle name="Normal 2 2 2 19 4 2" xfId="16165" xr:uid="{00000000-0005-0000-0000-0000143C0000}"/>
    <cellStyle name="Normal 2 2 2 19 4 3" xfId="16166" xr:uid="{00000000-0005-0000-0000-0000153C0000}"/>
    <cellStyle name="Normal 2 2 2 19 4 4" xfId="16167" xr:uid="{00000000-0005-0000-0000-0000163C0000}"/>
    <cellStyle name="Normal 2 2 2 19 4 5" xfId="16168" xr:uid="{00000000-0005-0000-0000-0000173C0000}"/>
    <cellStyle name="Normal 2 2 2 19 4 6" xfId="16169" xr:uid="{00000000-0005-0000-0000-0000183C0000}"/>
    <cellStyle name="Normal 2 2 2 19 5" xfId="16170" xr:uid="{00000000-0005-0000-0000-0000193C0000}"/>
    <cellStyle name="Normal 2 2 2 19 5 2" xfId="16171" xr:uid="{00000000-0005-0000-0000-00001A3C0000}"/>
    <cellStyle name="Normal 2 2 2 19 5 3" xfId="16172" xr:uid="{00000000-0005-0000-0000-00001B3C0000}"/>
    <cellStyle name="Normal 2 2 2 19 5 4" xfId="16173" xr:uid="{00000000-0005-0000-0000-00001C3C0000}"/>
    <cellStyle name="Normal 2 2 2 19 5 5" xfId="16174" xr:uid="{00000000-0005-0000-0000-00001D3C0000}"/>
    <cellStyle name="Normal 2 2 2 19 5 6" xfId="16175" xr:uid="{00000000-0005-0000-0000-00001E3C0000}"/>
    <cellStyle name="Normal 2 2 2 19 6" xfId="16176" xr:uid="{00000000-0005-0000-0000-00001F3C0000}"/>
    <cellStyle name="Normal 2 2 2 19 6 2" xfId="16177" xr:uid="{00000000-0005-0000-0000-0000203C0000}"/>
    <cellStyle name="Normal 2 2 2 19 6 3" xfId="16178" xr:uid="{00000000-0005-0000-0000-0000213C0000}"/>
    <cellStyle name="Normal 2 2 2 19 6 4" xfId="16179" xr:uid="{00000000-0005-0000-0000-0000223C0000}"/>
    <cellStyle name="Normal 2 2 2 19 6 5" xfId="16180" xr:uid="{00000000-0005-0000-0000-0000233C0000}"/>
    <cellStyle name="Normal 2 2 2 19 6 6" xfId="16181" xr:uid="{00000000-0005-0000-0000-0000243C0000}"/>
    <cellStyle name="Normal 2 2 2 19 7" xfId="16182" xr:uid="{00000000-0005-0000-0000-0000253C0000}"/>
    <cellStyle name="Normal 2 2 2 19 7 2" xfId="16183" xr:uid="{00000000-0005-0000-0000-0000263C0000}"/>
    <cellStyle name="Normal 2 2 2 19 7 3" xfId="16184" xr:uid="{00000000-0005-0000-0000-0000273C0000}"/>
    <cellStyle name="Normal 2 2 2 19 7 4" xfId="16185" xr:uid="{00000000-0005-0000-0000-0000283C0000}"/>
    <cellStyle name="Normal 2 2 2 19 7 5" xfId="16186" xr:uid="{00000000-0005-0000-0000-0000293C0000}"/>
    <cellStyle name="Normal 2 2 2 19 7 6" xfId="16187" xr:uid="{00000000-0005-0000-0000-00002A3C0000}"/>
    <cellStyle name="Normal 2 2 2 19 8" xfId="16188" xr:uid="{00000000-0005-0000-0000-00002B3C0000}"/>
    <cellStyle name="Normal 2 2 2 19 8 2" xfId="16189" xr:uid="{00000000-0005-0000-0000-00002C3C0000}"/>
    <cellStyle name="Normal 2 2 2 19 8 3" xfId="16190" xr:uid="{00000000-0005-0000-0000-00002D3C0000}"/>
    <cellStyle name="Normal 2 2 2 19 8 4" xfId="16191" xr:uid="{00000000-0005-0000-0000-00002E3C0000}"/>
    <cellStyle name="Normal 2 2 2 19 8 5" xfId="16192" xr:uid="{00000000-0005-0000-0000-00002F3C0000}"/>
    <cellStyle name="Normal 2 2 2 19 8 6" xfId="16193" xr:uid="{00000000-0005-0000-0000-0000303C0000}"/>
    <cellStyle name="Normal 2 2 2 19 9" xfId="16194" xr:uid="{00000000-0005-0000-0000-0000313C0000}"/>
    <cellStyle name="Normal 2 2 2 2" xfId="16195" xr:uid="{00000000-0005-0000-0000-0000323C0000}"/>
    <cellStyle name="Normal 2 2 2 2 10" xfId="16196" xr:uid="{00000000-0005-0000-0000-0000333C0000}"/>
    <cellStyle name="Normal 2 2 2 2 11" xfId="16197" xr:uid="{00000000-0005-0000-0000-0000343C0000}"/>
    <cellStyle name="Normal 2 2 2 2 12" xfId="16198" xr:uid="{00000000-0005-0000-0000-0000353C0000}"/>
    <cellStyle name="Normal 2 2 2 2 12 10" xfId="16199" xr:uid="{00000000-0005-0000-0000-0000363C0000}"/>
    <cellStyle name="Normal 2 2 2 2 12 11" xfId="16200" xr:uid="{00000000-0005-0000-0000-0000373C0000}"/>
    <cellStyle name="Normal 2 2 2 2 12 12" xfId="16201" xr:uid="{00000000-0005-0000-0000-0000383C0000}"/>
    <cellStyle name="Normal 2 2 2 2 12 13" xfId="16202" xr:uid="{00000000-0005-0000-0000-0000393C0000}"/>
    <cellStyle name="Normal 2 2 2 2 12 2" xfId="16203" xr:uid="{00000000-0005-0000-0000-00003A3C0000}"/>
    <cellStyle name="Normal 2 2 2 2 12 2 2" xfId="16204" xr:uid="{00000000-0005-0000-0000-00003B3C0000}"/>
    <cellStyle name="Normal 2 2 2 2 12 2 3" xfId="16205" xr:uid="{00000000-0005-0000-0000-00003C3C0000}"/>
    <cellStyle name="Normal 2 2 2 2 12 2 4" xfId="16206" xr:uid="{00000000-0005-0000-0000-00003D3C0000}"/>
    <cellStyle name="Normal 2 2 2 2 12 2 5" xfId="16207" xr:uid="{00000000-0005-0000-0000-00003E3C0000}"/>
    <cellStyle name="Normal 2 2 2 2 12 2 6" xfId="16208" xr:uid="{00000000-0005-0000-0000-00003F3C0000}"/>
    <cellStyle name="Normal 2 2 2 2 12 3" xfId="16209" xr:uid="{00000000-0005-0000-0000-0000403C0000}"/>
    <cellStyle name="Normal 2 2 2 2 12 3 2" xfId="16210" xr:uid="{00000000-0005-0000-0000-0000413C0000}"/>
    <cellStyle name="Normal 2 2 2 2 12 3 3" xfId="16211" xr:uid="{00000000-0005-0000-0000-0000423C0000}"/>
    <cellStyle name="Normal 2 2 2 2 12 3 4" xfId="16212" xr:uid="{00000000-0005-0000-0000-0000433C0000}"/>
    <cellStyle name="Normal 2 2 2 2 12 3 5" xfId="16213" xr:uid="{00000000-0005-0000-0000-0000443C0000}"/>
    <cellStyle name="Normal 2 2 2 2 12 3 6" xfId="16214" xr:uid="{00000000-0005-0000-0000-0000453C0000}"/>
    <cellStyle name="Normal 2 2 2 2 12 4" xfId="16215" xr:uid="{00000000-0005-0000-0000-0000463C0000}"/>
    <cellStyle name="Normal 2 2 2 2 12 4 2" xfId="16216" xr:uid="{00000000-0005-0000-0000-0000473C0000}"/>
    <cellStyle name="Normal 2 2 2 2 12 4 3" xfId="16217" xr:uid="{00000000-0005-0000-0000-0000483C0000}"/>
    <cellStyle name="Normal 2 2 2 2 12 4 4" xfId="16218" xr:uid="{00000000-0005-0000-0000-0000493C0000}"/>
    <cellStyle name="Normal 2 2 2 2 12 4 5" xfId="16219" xr:uid="{00000000-0005-0000-0000-00004A3C0000}"/>
    <cellStyle name="Normal 2 2 2 2 12 4 6" xfId="16220" xr:uid="{00000000-0005-0000-0000-00004B3C0000}"/>
    <cellStyle name="Normal 2 2 2 2 12 5" xfId="16221" xr:uid="{00000000-0005-0000-0000-00004C3C0000}"/>
    <cellStyle name="Normal 2 2 2 2 12 5 2" xfId="16222" xr:uid="{00000000-0005-0000-0000-00004D3C0000}"/>
    <cellStyle name="Normal 2 2 2 2 12 5 3" xfId="16223" xr:uid="{00000000-0005-0000-0000-00004E3C0000}"/>
    <cellStyle name="Normal 2 2 2 2 12 5 4" xfId="16224" xr:uid="{00000000-0005-0000-0000-00004F3C0000}"/>
    <cellStyle name="Normal 2 2 2 2 12 5 5" xfId="16225" xr:uid="{00000000-0005-0000-0000-0000503C0000}"/>
    <cellStyle name="Normal 2 2 2 2 12 5 6" xfId="16226" xr:uid="{00000000-0005-0000-0000-0000513C0000}"/>
    <cellStyle name="Normal 2 2 2 2 12 6" xfId="16227" xr:uid="{00000000-0005-0000-0000-0000523C0000}"/>
    <cellStyle name="Normal 2 2 2 2 12 6 2" xfId="16228" xr:uid="{00000000-0005-0000-0000-0000533C0000}"/>
    <cellStyle name="Normal 2 2 2 2 12 6 3" xfId="16229" xr:uid="{00000000-0005-0000-0000-0000543C0000}"/>
    <cellStyle name="Normal 2 2 2 2 12 6 4" xfId="16230" xr:uid="{00000000-0005-0000-0000-0000553C0000}"/>
    <cellStyle name="Normal 2 2 2 2 12 6 5" xfId="16231" xr:uid="{00000000-0005-0000-0000-0000563C0000}"/>
    <cellStyle name="Normal 2 2 2 2 12 6 6" xfId="16232" xr:uid="{00000000-0005-0000-0000-0000573C0000}"/>
    <cellStyle name="Normal 2 2 2 2 12 7" xfId="16233" xr:uid="{00000000-0005-0000-0000-0000583C0000}"/>
    <cellStyle name="Normal 2 2 2 2 12 7 2" xfId="16234" xr:uid="{00000000-0005-0000-0000-0000593C0000}"/>
    <cellStyle name="Normal 2 2 2 2 12 7 3" xfId="16235" xr:uid="{00000000-0005-0000-0000-00005A3C0000}"/>
    <cellStyle name="Normal 2 2 2 2 12 7 4" xfId="16236" xr:uid="{00000000-0005-0000-0000-00005B3C0000}"/>
    <cellStyle name="Normal 2 2 2 2 12 7 5" xfId="16237" xr:uid="{00000000-0005-0000-0000-00005C3C0000}"/>
    <cellStyle name="Normal 2 2 2 2 12 7 6" xfId="16238" xr:uid="{00000000-0005-0000-0000-00005D3C0000}"/>
    <cellStyle name="Normal 2 2 2 2 12 8" xfId="16239" xr:uid="{00000000-0005-0000-0000-00005E3C0000}"/>
    <cellStyle name="Normal 2 2 2 2 12 8 2" xfId="16240" xr:uid="{00000000-0005-0000-0000-00005F3C0000}"/>
    <cellStyle name="Normal 2 2 2 2 12 8 3" xfId="16241" xr:uid="{00000000-0005-0000-0000-0000603C0000}"/>
    <cellStyle name="Normal 2 2 2 2 12 8 4" xfId="16242" xr:uid="{00000000-0005-0000-0000-0000613C0000}"/>
    <cellStyle name="Normal 2 2 2 2 12 8 5" xfId="16243" xr:uid="{00000000-0005-0000-0000-0000623C0000}"/>
    <cellStyle name="Normal 2 2 2 2 12 8 6" xfId="16244" xr:uid="{00000000-0005-0000-0000-0000633C0000}"/>
    <cellStyle name="Normal 2 2 2 2 12 9" xfId="16245" xr:uid="{00000000-0005-0000-0000-0000643C0000}"/>
    <cellStyle name="Normal 2 2 2 2 13" xfId="16246" xr:uid="{00000000-0005-0000-0000-0000653C0000}"/>
    <cellStyle name="Normal 2 2 2 2 13 10" xfId="16247" xr:uid="{00000000-0005-0000-0000-0000663C0000}"/>
    <cellStyle name="Normal 2 2 2 2 13 11" xfId="16248" xr:uid="{00000000-0005-0000-0000-0000673C0000}"/>
    <cellStyle name="Normal 2 2 2 2 13 12" xfId="16249" xr:uid="{00000000-0005-0000-0000-0000683C0000}"/>
    <cellStyle name="Normal 2 2 2 2 13 13" xfId="16250" xr:uid="{00000000-0005-0000-0000-0000693C0000}"/>
    <cellStyle name="Normal 2 2 2 2 13 2" xfId="16251" xr:uid="{00000000-0005-0000-0000-00006A3C0000}"/>
    <cellStyle name="Normal 2 2 2 2 13 2 2" xfId="16252" xr:uid="{00000000-0005-0000-0000-00006B3C0000}"/>
    <cellStyle name="Normal 2 2 2 2 13 2 3" xfId="16253" xr:uid="{00000000-0005-0000-0000-00006C3C0000}"/>
    <cellStyle name="Normal 2 2 2 2 13 2 4" xfId="16254" xr:uid="{00000000-0005-0000-0000-00006D3C0000}"/>
    <cellStyle name="Normal 2 2 2 2 13 2 5" xfId="16255" xr:uid="{00000000-0005-0000-0000-00006E3C0000}"/>
    <cellStyle name="Normal 2 2 2 2 13 2 6" xfId="16256" xr:uid="{00000000-0005-0000-0000-00006F3C0000}"/>
    <cellStyle name="Normal 2 2 2 2 13 3" xfId="16257" xr:uid="{00000000-0005-0000-0000-0000703C0000}"/>
    <cellStyle name="Normal 2 2 2 2 13 3 2" xfId="16258" xr:uid="{00000000-0005-0000-0000-0000713C0000}"/>
    <cellStyle name="Normal 2 2 2 2 13 3 3" xfId="16259" xr:uid="{00000000-0005-0000-0000-0000723C0000}"/>
    <cellStyle name="Normal 2 2 2 2 13 3 4" xfId="16260" xr:uid="{00000000-0005-0000-0000-0000733C0000}"/>
    <cellStyle name="Normal 2 2 2 2 13 3 5" xfId="16261" xr:uid="{00000000-0005-0000-0000-0000743C0000}"/>
    <cellStyle name="Normal 2 2 2 2 13 3 6" xfId="16262" xr:uid="{00000000-0005-0000-0000-0000753C0000}"/>
    <cellStyle name="Normal 2 2 2 2 13 4" xfId="16263" xr:uid="{00000000-0005-0000-0000-0000763C0000}"/>
    <cellStyle name="Normal 2 2 2 2 13 4 2" xfId="16264" xr:uid="{00000000-0005-0000-0000-0000773C0000}"/>
    <cellStyle name="Normal 2 2 2 2 13 4 3" xfId="16265" xr:uid="{00000000-0005-0000-0000-0000783C0000}"/>
    <cellStyle name="Normal 2 2 2 2 13 4 4" xfId="16266" xr:uid="{00000000-0005-0000-0000-0000793C0000}"/>
    <cellStyle name="Normal 2 2 2 2 13 4 5" xfId="16267" xr:uid="{00000000-0005-0000-0000-00007A3C0000}"/>
    <cellStyle name="Normal 2 2 2 2 13 4 6" xfId="16268" xr:uid="{00000000-0005-0000-0000-00007B3C0000}"/>
    <cellStyle name="Normal 2 2 2 2 13 5" xfId="16269" xr:uid="{00000000-0005-0000-0000-00007C3C0000}"/>
    <cellStyle name="Normal 2 2 2 2 13 5 2" xfId="16270" xr:uid="{00000000-0005-0000-0000-00007D3C0000}"/>
    <cellStyle name="Normal 2 2 2 2 13 5 3" xfId="16271" xr:uid="{00000000-0005-0000-0000-00007E3C0000}"/>
    <cellStyle name="Normal 2 2 2 2 13 5 4" xfId="16272" xr:uid="{00000000-0005-0000-0000-00007F3C0000}"/>
    <cellStyle name="Normal 2 2 2 2 13 5 5" xfId="16273" xr:uid="{00000000-0005-0000-0000-0000803C0000}"/>
    <cellStyle name="Normal 2 2 2 2 13 5 6" xfId="16274" xr:uid="{00000000-0005-0000-0000-0000813C0000}"/>
    <cellStyle name="Normal 2 2 2 2 13 6" xfId="16275" xr:uid="{00000000-0005-0000-0000-0000823C0000}"/>
    <cellStyle name="Normal 2 2 2 2 13 6 2" xfId="16276" xr:uid="{00000000-0005-0000-0000-0000833C0000}"/>
    <cellStyle name="Normal 2 2 2 2 13 6 3" xfId="16277" xr:uid="{00000000-0005-0000-0000-0000843C0000}"/>
    <cellStyle name="Normal 2 2 2 2 13 6 4" xfId="16278" xr:uid="{00000000-0005-0000-0000-0000853C0000}"/>
    <cellStyle name="Normal 2 2 2 2 13 6 5" xfId="16279" xr:uid="{00000000-0005-0000-0000-0000863C0000}"/>
    <cellStyle name="Normal 2 2 2 2 13 6 6" xfId="16280" xr:uid="{00000000-0005-0000-0000-0000873C0000}"/>
    <cellStyle name="Normal 2 2 2 2 13 7" xfId="16281" xr:uid="{00000000-0005-0000-0000-0000883C0000}"/>
    <cellStyle name="Normal 2 2 2 2 13 7 2" xfId="16282" xr:uid="{00000000-0005-0000-0000-0000893C0000}"/>
    <cellStyle name="Normal 2 2 2 2 13 7 3" xfId="16283" xr:uid="{00000000-0005-0000-0000-00008A3C0000}"/>
    <cellStyle name="Normal 2 2 2 2 13 7 4" xfId="16284" xr:uid="{00000000-0005-0000-0000-00008B3C0000}"/>
    <cellStyle name="Normal 2 2 2 2 13 7 5" xfId="16285" xr:uid="{00000000-0005-0000-0000-00008C3C0000}"/>
    <cellStyle name="Normal 2 2 2 2 13 7 6" xfId="16286" xr:uid="{00000000-0005-0000-0000-00008D3C0000}"/>
    <cellStyle name="Normal 2 2 2 2 13 8" xfId="16287" xr:uid="{00000000-0005-0000-0000-00008E3C0000}"/>
    <cellStyle name="Normal 2 2 2 2 13 8 2" xfId="16288" xr:uid="{00000000-0005-0000-0000-00008F3C0000}"/>
    <cellStyle name="Normal 2 2 2 2 13 8 3" xfId="16289" xr:uid="{00000000-0005-0000-0000-0000903C0000}"/>
    <cellStyle name="Normal 2 2 2 2 13 8 4" xfId="16290" xr:uid="{00000000-0005-0000-0000-0000913C0000}"/>
    <cellStyle name="Normal 2 2 2 2 13 8 5" xfId="16291" xr:uid="{00000000-0005-0000-0000-0000923C0000}"/>
    <cellStyle name="Normal 2 2 2 2 13 8 6" xfId="16292" xr:uid="{00000000-0005-0000-0000-0000933C0000}"/>
    <cellStyle name="Normal 2 2 2 2 13 9" xfId="16293" xr:uid="{00000000-0005-0000-0000-0000943C0000}"/>
    <cellStyle name="Normal 2 2 2 2 14" xfId="16294" xr:uid="{00000000-0005-0000-0000-0000953C0000}"/>
    <cellStyle name="Normal 2 2 2 2 14 10" xfId="16295" xr:uid="{00000000-0005-0000-0000-0000963C0000}"/>
    <cellStyle name="Normal 2 2 2 2 14 11" xfId="16296" xr:uid="{00000000-0005-0000-0000-0000973C0000}"/>
    <cellStyle name="Normal 2 2 2 2 14 12" xfId="16297" xr:uid="{00000000-0005-0000-0000-0000983C0000}"/>
    <cellStyle name="Normal 2 2 2 2 14 13" xfId="16298" xr:uid="{00000000-0005-0000-0000-0000993C0000}"/>
    <cellStyle name="Normal 2 2 2 2 14 2" xfId="16299" xr:uid="{00000000-0005-0000-0000-00009A3C0000}"/>
    <cellStyle name="Normal 2 2 2 2 14 2 2" xfId="16300" xr:uid="{00000000-0005-0000-0000-00009B3C0000}"/>
    <cellStyle name="Normal 2 2 2 2 14 2 3" xfId="16301" xr:uid="{00000000-0005-0000-0000-00009C3C0000}"/>
    <cellStyle name="Normal 2 2 2 2 14 2 4" xfId="16302" xr:uid="{00000000-0005-0000-0000-00009D3C0000}"/>
    <cellStyle name="Normal 2 2 2 2 14 2 5" xfId="16303" xr:uid="{00000000-0005-0000-0000-00009E3C0000}"/>
    <cellStyle name="Normal 2 2 2 2 14 2 6" xfId="16304" xr:uid="{00000000-0005-0000-0000-00009F3C0000}"/>
    <cellStyle name="Normal 2 2 2 2 14 3" xfId="16305" xr:uid="{00000000-0005-0000-0000-0000A03C0000}"/>
    <cellStyle name="Normal 2 2 2 2 14 3 2" xfId="16306" xr:uid="{00000000-0005-0000-0000-0000A13C0000}"/>
    <cellStyle name="Normal 2 2 2 2 14 3 3" xfId="16307" xr:uid="{00000000-0005-0000-0000-0000A23C0000}"/>
    <cellStyle name="Normal 2 2 2 2 14 3 4" xfId="16308" xr:uid="{00000000-0005-0000-0000-0000A33C0000}"/>
    <cellStyle name="Normal 2 2 2 2 14 3 5" xfId="16309" xr:uid="{00000000-0005-0000-0000-0000A43C0000}"/>
    <cellStyle name="Normal 2 2 2 2 14 3 6" xfId="16310" xr:uid="{00000000-0005-0000-0000-0000A53C0000}"/>
    <cellStyle name="Normal 2 2 2 2 14 4" xfId="16311" xr:uid="{00000000-0005-0000-0000-0000A63C0000}"/>
    <cellStyle name="Normal 2 2 2 2 14 4 2" xfId="16312" xr:uid="{00000000-0005-0000-0000-0000A73C0000}"/>
    <cellStyle name="Normal 2 2 2 2 14 4 3" xfId="16313" xr:uid="{00000000-0005-0000-0000-0000A83C0000}"/>
    <cellStyle name="Normal 2 2 2 2 14 4 4" xfId="16314" xr:uid="{00000000-0005-0000-0000-0000A93C0000}"/>
    <cellStyle name="Normal 2 2 2 2 14 4 5" xfId="16315" xr:uid="{00000000-0005-0000-0000-0000AA3C0000}"/>
    <cellStyle name="Normal 2 2 2 2 14 4 6" xfId="16316" xr:uid="{00000000-0005-0000-0000-0000AB3C0000}"/>
    <cellStyle name="Normal 2 2 2 2 14 5" xfId="16317" xr:uid="{00000000-0005-0000-0000-0000AC3C0000}"/>
    <cellStyle name="Normal 2 2 2 2 14 5 2" xfId="16318" xr:uid="{00000000-0005-0000-0000-0000AD3C0000}"/>
    <cellStyle name="Normal 2 2 2 2 14 5 3" xfId="16319" xr:uid="{00000000-0005-0000-0000-0000AE3C0000}"/>
    <cellStyle name="Normal 2 2 2 2 14 5 4" xfId="16320" xr:uid="{00000000-0005-0000-0000-0000AF3C0000}"/>
    <cellStyle name="Normal 2 2 2 2 14 5 5" xfId="16321" xr:uid="{00000000-0005-0000-0000-0000B03C0000}"/>
    <cellStyle name="Normal 2 2 2 2 14 5 6" xfId="16322" xr:uid="{00000000-0005-0000-0000-0000B13C0000}"/>
    <cellStyle name="Normal 2 2 2 2 14 6" xfId="16323" xr:uid="{00000000-0005-0000-0000-0000B23C0000}"/>
    <cellStyle name="Normal 2 2 2 2 14 6 2" xfId="16324" xr:uid="{00000000-0005-0000-0000-0000B33C0000}"/>
    <cellStyle name="Normal 2 2 2 2 14 6 3" xfId="16325" xr:uid="{00000000-0005-0000-0000-0000B43C0000}"/>
    <cellStyle name="Normal 2 2 2 2 14 6 4" xfId="16326" xr:uid="{00000000-0005-0000-0000-0000B53C0000}"/>
    <cellStyle name="Normal 2 2 2 2 14 6 5" xfId="16327" xr:uid="{00000000-0005-0000-0000-0000B63C0000}"/>
    <cellStyle name="Normal 2 2 2 2 14 6 6" xfId="16328" xr:uid="{00000000-0005-0000-0000-0000B73C0000}"/>
    <cellStyle name="Normal 2 2 2 2 14 7" xfId="16329" xr:uid="{00000000-0005-0000-0000-0000B83C0000}"/>
    <cellStyle name="Normal 2 2 2 2 14 7 2" xfId="16330" xr:uid="{00000000-0005-0000-0000-0000B93C0000}"/>
    <cellStyle name="Normal 2 2 2 2 14 7 3" xfId="16331" xr:uid="{00000000-0005-0000-0000-0000BA3C0000}"/>
    <cellStyle name="Normal 2 2 2 2 14 7 4" xfId="16332" xr:uid="{00000000-0005-0000-0000-0000BB3C0000}"/>
    <cellStyle name="Normal 2 2 2 2 14 7 5" xfId="16333" xr:uid="{00000000-0005-0000-0000-0000BC3C0000}"/>
    <cellStyle name="Normal 2 2 2 2 14 7 6" xfId="16334" xr:uid="{00000000-0005-0000-0000-0000BD3C0000}"/>
    <cellStyle name="Normal 2 2 2 2 14 8" xfId="16335" xr:uid="{00000000-0005-0000-0000-0000BE3C0000}"/>
    <cellStyle name="Normal 2 2 2 2 14 8 2" xfId="16336" xr:uid="{00000000-0005-0000-0000-0000BF3C0000}"/>
    <cellStyle name="Normal 2 2 2 2 14 8 3" xfId="16337" xr:uid="{00000000-0005-0000-0000-0000C03C0000}"/>
    <cellStyle name="Normal 2 2 2 2 14 8 4" xfId="16338" xr:uid="{00000000-0005-0000-0000-0000C13C0000}"/>
    <cellStyle name="Normal 2 2 2 2 14 8 5" xfId="16339" xr:uid="{00000000-0005-0000-0000-0000C23C0000}"/>
    <cellStyle name="Normal 2 2 2 2 14 8 6" xfId="16340" xr:uid="{00000000-0005-0000-0000-0000C33C0000}"/>
    <cellStyle name="Normal 2 2 2 2 14 9" xfId="16341" xr:uid="{00000000-0005-0000-0000-0000C43C0000}"/>
    <cellStyle name="Normal 2 2 2 2 15" xfId="16342" xr:uid="{00000000-0005-0000-0000-0000C53C0000}"/>
    <cellStyle name="Normal 2 2 2 2 15 10" xfId="16343" xr:uid="{00000000-0005-0000-0000-0000C63C0000}"/>
    <cellStyle name="Normal 2 2 2 2 15 11" xfId="16344" xr:uid="{00000000-0005-0000-0000-0000C73C0000}"/>
    <cellStyle name="Normal 2 2 2 2 15 12" xfId="16345" xr:uid="{00000000-0005-0000-0000-0000C83C0000}"/>
    <cellStyle name="Normal 2 2 2 2 15 13" xfId="16346" xr:uid="{00000000-0005-0000-0000-0000C93C0000}"/>
    <cellStyle name="Normal 2 2 2 2 15 2" xfId="16347" xr:uid="{00000000-0005-0000-0000-0000CA3C0000}"/>
    <cellStyle name="Normal 2 2 2 2 15 2 2" xfId="16348" xr:uid="{00000000-0005-0000-0000-0000CB3C0000}"/>
    <cellStyle name="Normal 2 2 2 2 15 2 3" xfId="16349" xr:uid="{00000000-0005-0000-0000-0000CC3C0000}"/>
    <cellStyle name="Normal 2 2 2 2 15 2 4" xfId="16350" xr:uid="{00000000-0005-0000-0000-0000CD3C0000}"/>
    <cellStyle name="Normal 2 2 2 2 15 2 5" xfId="16351" xr:uid="{00000000-0005-0000-0000-0000CE3C0000}"/>
    <cellStyle name="Normal 2 2 2 2 15 2 6" xfId="16352" xr:uid="{00000000-0005-0000-0000-0000CF3C0000}"/>
    <cellStyle name="Normal 2 2 2 2 15 3" xfId="16353" xr:uid="{00000000-0005-0000-0000-0000D03C0000}"/>
    <cellStyle name="Normal 2 2 2 2 15 3 2" xfId="16354" xr:uid="{00000000-0005-0000-0000-0000D13C0000}"/>
    <cellStyle name="Normal 2 2 2 2 15 3 3" xfId="16355" xr:uid="{00000000-0005-0000-0000-0000D23C0000}"/>
    <cellStyle name="Normal 2 2 2 2 15 3 4" xfId="16356" xr:uid="{00000000-0005-0000-0000-0000D33C0000}"/>
    <cellStyle name="Normal 2 2 2 2 15 3 5" xfId="16357" xr:uid="{00000000-0005-0000-0000-0000D43C0000}"/>
    <cellStyle name="Normal 2 2 2 2 15 3 6" xfId="16358" xr:uid="{00000000-0005-0000-0000-0000D53C0000}"/>
    <cellStyle name="Normal 2 2 2 2 15 4" xfId="16359" xr:uid="{00000000-0005-0000-0000-0000D63C0000}"/>
    <cellStyle name="Normal 2 2 2 2 15 4 2" xfId="16360" xr:uid="{00000000-0005-0000-0000-0000D73C0000}"/>
    <cellStyle name="Normal 2 2 2 2 15 4 3" xfId="16361" xr:uid="{00000000-0005-0000-0000-0000D83C0000}"/>
    <cellStyle name="Normal 2 2 2 2 15 4 4" xfId="16362" xr:uid="{00000000-0005-0000-0000-0000D93C0000}"/>
    <cellStyle name="Normal 2 2 2 2 15 4 5" xfId="16363" xr:uid="{00000000-0005-0000-0000-0000DA3C0000}"/>
    <cellStyle name="Normal 2 2 2 2 15 4 6" xfId="16364" xr:uid="{00000000-0005-0000-0000-0000DB3C0000}"/>
    <cellStyle name="Normal 2 2 2 2 15 5" xfId="16365" xr:uid="{00000000-0005-0000-0000-0000DC3C0000}"/>
    <cellStyle name="Normal 2 2 2 2 15 5 2" xfId="16366" xr:uid="{00000000-0005-0000-0000-0000DD3C0000}"/>
    <cellStyle name="Normal 2 2 2 2 15 5 3" xfId="16367" xr:uid="{00000000-0005-0000-0000-0000DE3C0000}"/>
    <cellStyle name="Normal 2 2 2 2 15 5 4" xfId="16368" xr:uid="{00000000-0005-0000-0000-0000DF3C0000}"/>
    <cellStyle name="Normal 2 2 2 2 15 5 5" xfId="16369" xr:uid="{00000000-0005-0000-0000-0000E03C0000}"/>
    <cellStyle name="Normal 2 2 2 2 15 5 6" xfId="16370" xr:uid="{00000000-0005-0000-0000-0000E13C0000}"/>
    <cellStyle name="Normal 2 2 2 2 15 6" xfId="16371" xr:uid="{00000000-0005-0000-0000-0000E23C0000}"/>
    <cellStyle name="Normal 2 2 2 2 15 6 2" xfId="16372" xr:uid="{00000000-0005-0000-0000-0000E33C0000}"/>
    <cellStyle name="Normal 2 2 2 2 15 6 3" xfId="16373" xr:uid="{00000000-0005-0000-0000-0000E43C0000}"/>
    <cellStyle name="Normal 2 2 2 2 15 6 4" xfId="16374" xr:uid="{00000000-0005-0000-0000-0000E53C0000}"/>
    <cellStyle name="Normal 2 2 2 2 15 6 5" xfId="16375" xr:uid="{00000000-0005-0000-0000-0000E63C0000}"/>
    <cellStyle name="Normal 2 2 2 2 15 6 6" xfId="16376" xr:uid="{00000000-0005-0000-0000-0000E73C0000}"/>
    <cellStyle name="Normal 2 2 2 2 15 7" xfId="16377" xr:uid="{00000000-0005-0000-0000-0000E83C0000}"/>
    <cellStyle name="Normal 2 2 2 2 15 7 2" xfId="16378" xr:uid="{00000000-0005-0000-0000-0000E93C0000}"/>
    <cellStyle name="Normal 2 2 2 2 15 7 3" xfId="16379" xr:uid="{00000000-0005-0000-0000-0000EA3C0000}"/>
    <cellStyle name="Normal 2 2 2 2 15 7 4" xfId="16380" xr:uid="{00000000-0005-0000-0000-0000EB3C0000}"/>
    <cellStyle name="Normal 2 2 2 2 15 7 5" xfId="16381" xr:uid="{00000000-0005-0000-0000-0000EC3C0000}"/>
    <cellStyle name="Normal 2 2 2 2 15 7 6" xfId="16382" xr:uid="{00000000-0005-0000-0000-0000ED3C0000}"/>
    <cellStyle name="Normal 2 2 2 2 15 8" xfId="16383" xr:uid="{00000000-0005-0000-0000-0000EE3C0000}"/>
    <cellStyle name="Normal 2 2 2 2 15 8 2" xfId="16384" xr:uid="{00000000-0005-0000-0000-0000EF3C0000}"/>
    <cellStyle name="Normal 2 2 2 2 15 8 3" xfId="16385" xr:uid="{00000000-0005-0000-0000-0000F03C0000}"/>
    <cellStyle name="Normal 2 2 2 2 15 8 4" xfId="16386" xr:uid="{00000000-0005-0000-0000-0000F13C0000}"/>
    <cellStyle name="Normal 2 2 2 2 15 8 5" xfId="16387" xr:uid="{00000000-0005-0000-0000-0000F23C0000}"/>
    <cellStyle name="Normal 2 2 2 2 15 8 6" xfId="16388" xr:uid="{00000000-0005-0000-0000-0000F33C0000}"/>
    <cellStyle name="Normal 2 2 2 2 15 9" xfId="16389" xr:uid="{00000000-0005-0000-0000-0000F43C0000}"/>
    <cellStyle name="Normal 2 2 2 2 16" xfId="16390" xr:uid="{00000000-0005-0000-0000-0000F53C0000}"/>
    <cellStyle name="Normal 2 2 2 2 16 10" xfId="16391" xr:uid="{00000000-0005-0000-0000-0000F63C0000}"/>
    <cellStyle name="Normal 2 2 2 2 16 11" xfId="16392" xr:uid="{00000000-0005-0000-0000-0000F73C0000}"/>
    <cellStyle name="Normal 2 2 2 2 16 12" xfId="16393" xr:uid="{00000000-0005-0000-0000-0000F83C0000}"/>
    <cellStyle name="Normal 2 2 2 2 16 13" xfId="16394" xr:uid="{00000000-0005-0000-0000-0000F93C0000}"/>
    <cellStyle name="Normal 2 2 2 2 16 2" xfId="16395" xr:uid="{00000000-0005-0000-0000-0000FA3C0000}"/>
    <cellStyle name="Normal 2 2 2 2 16 2 2" xfId="16396" xr:uid="{00000000-0005-0000-0000-0000FB3C0000}"/>
    <cellStyle name="Normal 2 2 2 2 16 2 3" xfId="16397" xr:uid="{00000000-0005-0000-0000-0000FC3C0000}"/>
    <cellStyle name="Normal 2 2 2 2 16 2 4" xfId="16398" xr:uid="{00000000-0005-0000-0000-0000FD3C0000}"/>
    <cellStyle name="Normal 2 2 2 2 16 2 5" xfId="16399" xr:uid="{00000000-0005-0000-0000-0000FE3C0000}"/>
    <cellStyle name="Normal 2 2 2 2 16 2 6" xfId="16400" xr:uid="{00000000-0005-0000-0000-0000FF3C0000}"/>
    <cellStyle name="Normal 2 2 2 2 16 3" xfId="16401" xr:uid="{00000000-0005-0000-0000-0000003D0000}"/>
    <cellStyle name="Normal 2 2 2 2 16 3 2" xfId="16402" xr:uid="{00000000-0005-0000-0000-0000013D0000}"/>
    <cellStyle name="Normal 2 2 2 2 16 3 3" xfId="16403" xr:uid="{00000000-0005-0000-0000-0000023D0000}"/>
    <cellStyle name="Normal 2 2 2 2 16 3 4" xfId="16404" xr:uid="{00000000-0005-0000-0000-0000033D0000}"/>
    <cellStyle name="Normal 2 2 2 2 16 3 5" xfId="16405" xr:uid="{00000000-0005-0000-0000-0000043D0000}"/>
    <cellStyle name="Normal 2 2 2 2 16 3 6" xfId="16406" xr:uid="{00000000-0005-0000-0000-0000053D0000}"/>
    <cellStyle name="Normal 2 2 2 2 16 4" xfId="16407" xr:uid="{00000000-0005-0000-0000-0000063D0000}"/>
    <cellStyle name="Normal 2 2 2 2 16 4 2" xfId="16408" xr:uid="{00000000-0005-0000-0000-0000073D0000}"/>
    <cellStyle name="Normal 2 2 2 2 16 4 3" xfId="16409" xr:uid="{00000000-0005-0000-0000-0000083D0000}"/>
    <cellStyle name="Normal 2 2 2 2 16 4 4" xfId="16410" xr:uid="{00000000-0005-0000-0000-0000093D0000}"/>
    <cellStyle name="Normal 2 2 2 2 16 4 5" xfId="16411" xr:uid="{00000000-0005-0000-0000-00000A3D0000}"/>
    <cellStyle name="Normal 2 2 2 2 16 4 6" xfId="16412" xr:uid="{00000000-0005-0000-0000-00000B3D0000}"/>
    <cellStyle name="Normal 2 2 2 2 16 5" xfId="16413" xr:uid="{00000000-0005-0000-0000-00000C3D0000}"/>
    <cellStyle name="Normal 2 2 2 2 16 5 2" xfId="16414" xr:uid="{00000000-0005-0000-0000-00000D3D0000}"/>
    <cellStyle name="Normal 2 2 2 2 16 5 3" xfId="16415" xr:uid="{00000000-0005-0000-0000-00000E3D0000}"/>
    <cellStyle name="Normal 2 2 2 2 16 5 4" xfId="16416" xr:uid="{00000000-0005-0000-0000-00000F3D0000}"/>
    <cellStyle name="Normal 2 2 2 2 16 5 5" xfId="16417" xr:uid="{00000000-0005-0000-0000-0000103D0000}"/>
    <cellStyle name="Normal 2 2 2 2 16 5 6" xfId="16418" xr:uid="{00000000-0005-0000-0000-0000113D0000}"/>
    <cellStyle name="Normal 2 2 2 2 16 6" xfId="16419" xr:uid="{00000000-0005-0000-0000-0000123D0000}"/>
    <cellStyle name="Normal 2 2 2 2 16 6 2" xfId="16420" xr:uid="{00000000-0005-0000-0000-0000133D0000}"/>
    <cellStyle name="Normal 2 2 2 2 16 6 3" xfId="16421" xr:uid="{00000000-0005-0000-0000-0000143D0000}"/>
    <cellStyle name="Normal 2 2 2 2 16 6 4" xfId="16422" xr:uid="{00000000-0005-0000-0000-0000153D0000}"/>
    <cellStyle name="Normal 2 2 2 2 16 6 5" xfId="16423" xr:uid="{00000000-0005-0000-0000-0000163D0000}"/>
    <cellStyle name="Normal 2 2 2 2 16 6 6" xfId="16424" xr:uid="{00000000-0005-0000-0000-0000173D0000}"/>
    <cellStyle name="Normal 2 2 2 2 16 7" xfId="16425" xr:uid="{00000000-0005-0000-0000-0000183D0000}"/>
    <cellStyle name="Normal 2 2 2 2 16 7 2" xfId="16426" xr:uid="{00000000-0005-0000-0000-0000193D0000}"/>
    <cellStyle name="Normal 2 2 2 2 16 7 3" xfId="16427" xr:uid="{00000000-0005-0000-0000-00001A3D0000}"/>
    <cellStyle name="Normal 2 2 2 2 16 7 4" xfId="16428" xr:uid="{00000000-0005-0000-0000-00001B3D0000}"/>
    <cellStyle name="Normal 2 2 2 2 16 7 5" xfId="16429" xr:uid="{00000000-0005-0000-0000-00001C3D0000}"/>
    <cellStyle name="Normal 2 2 2 2 16 7 6" xfId="16430" xr:uid="{00000000-0005-0000-0000-00001D3D0000}"/>
    <cellStyle name="Normal 2 2 2 2 16 8" xfId="16431" xr:uid="{00000000-0005-0000-0000-00001E3D0000}"/>
    <cellStyle name="Normal 2 2 2 2 16 8 2" xfId="16432" xr:uid="{00000000-0005-0000-0000-00001F3D0000}"/>
    <cellStyle name="Normal 2 2 2 2 16 8 3" xfId="16433" xr:uid="{00000000-0005-0000-0000-0000203D0000}"/>
    <cellStyle name="Normal 2 2 2 2 16 8 4" xfId="16434" xr:uid="{00000000-0005-0000-0000-0000213D0000}"/>
    <cellStyle name="Normal 2 2 2 2 16 8 5" xfId="16435" xr:uid="{00000000-0005-0000-0000-0000223D0000}"/>
    <cellStyle name="Normal 2 2 2 2 16 8 6" xfId="16436" xr:uid="{00000000-0005-0000-0000-0000233D0000}"/>
    <cellStyle name="Normal 2 2 2 2 16 9" xfId="16437" xr:uid="{00000000-0005-0000-0000-0000243D0000}"/>
    <cellStyle name="Normal 2 2 2 2 17" xfId="16438" xr:uid="{00000000-0005-0000-0000-0000253D0000}"/>
    <cellStyle name="Normal 2 2 2 2 17 10" xfId="16439" xr:uid="{00000000-0005-0000-0000-0000263D0000}"/>
    <cellStyle name="Normal 2 2 2 2 17 11" xfId="16440" xr:uid="{00000000-0005-0000-0000-0000273D0000}"/>
    <cellStyle name="Normal 2 2 2 2 17 12" xfId="16441" xr:uid="{00000000-0005-0000-0000-0000283D0000}"/>
    <cellStyle name="Normal 2 2 2 2 17 12 2" xfId="16442" xr:uid="{00000000-0005-0000-0000-0000293D0000}"/>
    <cellStyle name="Normal 2 2 2 2 17 12 3" xfId="16443" xr:uid="{00000000-0005-0000-0000-00002A3D0000}"/>
    <cellStyle name="Normal 2 2 2 2 17 12 4" xfId="16444" xr:uid="{00000000-0005-0000-0000-00002B3D0000}"/>
    <cellStyle name="Normal 2 2 2 2 17 12 5" xfId="16445" xr:uid="{00000000-0005-0000-0000-00002C3D0000}"/>
    <cellStyle name="Normal 2 2 2 2 17 12 6" xfId="16446" xr:uid="{00000000-0005-0000-0000-00002D3D0000}"/>
    <cellStyle name="Normal 2 2 2 2 17 13" xfId="16447" xr:uid="{00000000-0005-0000-0000-00002E3D0000}"/>
    <cellStyle name="Normal 2 2 2 2 17 13 2" xfId="16448" xr:uid="{00000000-0005-0000-0000-00002F3D0000}"/>
    <cellStyle name="Normal 2 2 2 2 17 13 3" xfId="16449" xr:uid="{00000000-0005-0000-0000-0000303D0000}"/>
    <cellStyle name="Normal 2 2 2 2 17 13 4" xfId="16450" xr:uid="{00000000-0005-0000-0000-0000313D0000}"/>
    <cellStyle name="Normal 2 2 2 2 17 13 5" xfId="16451" xr:uid="{00000000-0005-0000-0000-0000323D0000}"/>
    <cellStyle name="Normal 2 2 2 2 17 13 6" xfId="16452" xr:uid="{00000000-0005-0000-0000-0000333D0000}"/>
    <cellStyle name="Normal 2 2 2 2 17 14" xfId="16453" xr:uid="{00000000-0005-0000-0000-0000343D0000}"/>
    <cellStyle name="Normal 2 2 2 2 17 14 2" xfId="16454" xr:uid="{00000000-0005-0000-0000-0000353D0000}"/>
    <cellStyle name="Normal 2 2 2 2 17 14 3" xfId="16455" xr:uid="{00000000-0005-0000-0000-0000363D0000}"/>
    <cellStyle name="Normal 2 2 2 2 17 14 4" xfId="16456" xr:uid="{00000000-0005-0000-0000-0000373D0000}"/>
    <cellStyle name="Normal 2 2 2 2 17 14 5" xfId="16457" xr:uid="{00000000-0005-0000-0000-0000383D0000}"/>
    <cellStyle name="Normal 2 2 2 2 17 14 6" xfId="16458" xr:uid="{00000000-0005-0000-0000-0000393D0000}"/>
    <cellStyle name="Normal 2 2 2 2 17 15" xfId="16459" xr:uid="{00000000-0005-0000-0000-00003A3D0000}"/>
    <cellStyle name="Normal 2 2 2 2 17 15 2" xfId="16460" xr:uid="{00000000-0005-0000-0000-00003B3D0000}"/>
    <cellStyle name="Normal 2 2 2 2 17 15 3" xfId="16461" xr:uid="{00000000-0005-0000-0000-00003C3D0000}"/>
    <cellStyle name="Normal 2 2 2 2 17 15 4" xfId="16462" xr:uid="{00000000-0005-0000-0000-00003D3D0000}"/>
    <cellStyle name="Normal 2 2 2 2 17 15 5" xfId="16463" xr:uid="{00000000-0005-0000-0000-00003E3D0000}"/>
    <cellStyle name="Normal 2 2 2 2 17 15 6" xfId="16464" xr:uid="{00000000-0005-0000-0000-00003F3D0000}"/>
    <cellStyle name="Normal 2 2 2 2 17 16" xfId="16465" xr:uid="{00000000-0005-0000-0000-0000403D0000}"/>
    <cellStyle name="Normal 2 2 2 2 17 16 2" xfId="16466" xr:uid="{00000000-0005-0000-0000-0000413D0000}"/>
    <cellStyle name="Normal 2 2 2 2 17 16 3" xfId="16467" xr:uid="{00000000-0005-0000-0000-0000423D0000}"/>
    <cellStyle name="Normal 2 2 2 2 17 16 4" xfId="16468" xr:uid="{00000000-0005-0000-0000-0000433D0000}"/>
    <cellStyle name="Normal 2 2 2 2 17 16 5" xfId="16469" xr:uid="{00000000-0005-0000-0000-0000443D0000}"/>
    <cellStyle name="Normal 2 2 2 2 17 16 6" xfId="16470" xr:uid="{00000000-0005-0000-0000-0000453D0000}"/>
    <cellStyle name="Normal 2 2 2 2 17 17" xfId="16471" xr:uid="{00000000-0005-0000-0000-0000463D0000}"/>
    <cellStyle name="Normal 2 2 2 2 17 17 2" xfId="16472" xr:uid="{00000000-0005-0000-0000-0000473D0000}"/>
    <cellStyle name="Normal 2 2 2 2 17 17 3" xfId="16473" xr:uid="{00000000-0005-0000-0000-0000483D0000}"/>
    <cellStyle name="Normal 2 2 2 2 17 17 4" xfId="16474" xr:uid="{00000000-0005-0000-0000-0000493D0000}"/>
    <cellStyle name="Normal 2 2 2 2 17 17 5" xfId="16475" xr:uid="{00000000-0005-0000-0000-00004A3D0000}"/>
    <cellStyle name="Normal 2 2 2 2 17 17 6" xfId="16476" xr:uid="{00000000-0005-0000-0000-00004B3D0000}"/>
    <cellStyle name="Normal 2 2 2 2 17 18" xfId="16477" xr:uid="{00000000-0005-0000-0000-00004C3D0000}"/>
    <cellStyle name="Normal 2 2 2 2 17 18 2" xfId="16478" xr:uid="{00000000-0005-0000-0000-00004D3D0000}"/>
    <cellStyle name="Normal 2 2 2 2 17 18 3" xfId="16479" xr:uid="{00000000-0005-0000-0000-00004E3D0000}"/>
    <cellStyle name="Normal 2 2 2 2 17 18 4" xfId="16480" xr:uid="{00000000-0005-0000-0000-00004F3D0000}"/>
    <cellStyle name="Normal 2 2 2 2 17 18 5" xfId="16481" xr:uid="{00000000-0005-0000-0000-0000503D0000}"/>
    <cellStyle name="Normal 2 2 2 2 17 18 6" xfId="16482" xr:uid="{00000000-0005-0000-0000-0000513D0000}"/>
    <cellStyle name="Normal 2 2 2 2 17 19" xfId="16483" xr:uid="{00000000-0005-0000-0000-0000523D0000}"/>
    <cellStyle name="Normal 2 2 2 2 17 2" xfId="16484" xr:uid="{00000000-0005-0000-0000-0000533D0000}"/>
    <cellStyle name="Normal 2 2 2 2 17 20" xfId="16485" xr:uid="{00000000-0005-0000-0000-0000543D0000}"/>
    <cellStyle name="Normal 2 2 2 2 17 21" xfId="16486" xr:uid="{00000000-0005-0000-0000-0000553D0000}"/>
    <cellStyle name="Normal 2 2 2 2 17 22" xfId="16487" xr:uid="{00000000-0005-0000-0000-0000563D0000}"/>
    <cellStyle name="Normal 2 2 2 2 17 23" xfId="16488" xr:uid="{00000000-0005-0000-0000-0000573D0000}"/>
    <cellStyle name="Normal 2 2 2 2 17 3" xfId="16489" xr:uid="{00000000-0005-0000-0000-0000583D0000}"/>
    <cellStyle name="Normal 2 2 2 2 17 4" xfId="16490" xr:uid="{00000000-0005-0000-0000-0000593D0000}"/>
    <cellStyle name="Normal 2 2 2 2 17 5" xfId="16491" xr:uid="{00000000-0005-0000-0000-00005A3D0000}"/>
    <cellStyle name="Normal 2 2 2 2 17 6" xfId="16492" xr:uid="{00000000-0005-0000-0000-00005B3D0000}"/>
    <cellStyle name="Normal 2 2 2 2 17 7" xfId="16493" xr:uid="{00000000-0005-0000-0000-00005C3D0000}"/>
    <cellStyle name="Normal 2 2 2 2 17 8" xfId="16494" xr:uid="{00000000-0005-0000-0000-00005D3D0000}"/>
    <cellStyle name="Normal 2 2 2 2 17 9" xfId="16495" xr:uid="{00000000-0005-0000-0000-00005E3D0000}"/>
    <cellStyle name="Normal 2 2 2 2 18" xfId="16496" xr:uid="{00000000-0005-0000-0000-00005F3D0000}"/>
    <cellStyle name="Normal 2 2 2 2 18 2" xfId="16497" xr:uid="{00000000-0005-0000-0000-0000603D0000}"/>
    <cellStyle name="Normal 2 2 2 2 18 2 2" xfId="16498" xr:uid="{00000000-0005-0000-0000-0000613D0000}"/>
    <cellStyle name="Normal 2 2 2 2 18 2 2 2" xfId="16499" xr:uid="{00000000-0005-0000-0000-0000623D0000}"/>
    <cellStyle name="Normal 2 2 2 2 18 2 3" xfId="16500" xr:uid="{00000000-0005-0000-0000-0000633D0000}"/>
    <cellStyle name="Normal 2 2 2 2 18 3" xfId="16501" xr:uid="{00000000-0005-0000-0000-0000643D0000}"/>
    <cellStyle name="Normal 2 2 2 2 18 3 2" xfId="16502" xr:uid="{00000000-0005-0000-0000-0000653D0000}"/>
    <cellStyle name="Normal 2 2 2 2 19" xfId="16503" xr:uid="{00000000-0005-0000-0000-0000663D0000}"/>
    <cellStyle name="Normal 2 2 2 2 19 2" xfId="16504" xr:uid="{00000000-0005-0000-0000-0000673D0000}"/>
    <cellStyle name="Normal 2 2 2 2 2" xfId="16505" xr:uid="{00000000-0005-0000-0000-0000683D0000}"/>
    <cellStyle name="Normal 2 2 2 2 2 10" xfId="16506" xr:uid="{00000000-0005-0000-0000-0000693D0000}"/>
    <cellStyle name="Normal 2 2 2 2 2 11" xfId="16507" xr:uid="{00000000-0005-0000-0000-00006A3D0000}"/>
    <cellStyle name="Normal 2 2 2 2 2 11 10" xfId="16508" xr:uid="{00000000-0005-0000-0000-00006B3D0000}"/>
    <cellStyle name="Normal 2 2 2 2 2 11 10 10" xfId="16509" xr:uid="{00000000-0005-0000-0000-00006C3D0000}"/>
    <cellStyle name="Normal 2 2 2 2 2 11 10 11" xfId="16510" xr:uid="{00000000-0005-0000-0000-00006D3D0000}"/>
    <cellStyle name="Normal 2 2 2 2 2 11 10 12" xfId="16511" xr:uid="{00000000-0005-0000-0000-00006E3D0000}"/>
    <cellStyle name="Normal 2 2 2 2 2 11 10 13" xfId="16512" xr:uid="{00000000-0005-0000-0000-00006F3D0000}"/>
    <cellStyle name="Normal 2 2 2 2 2 11 10 2" xfId="16513" xr:uid="{00000000-0005-0000-0000-0000703D0000}"/>
    <cellStyle name="Normal 2 2 2 2 2 11 10 2 2" xfId="16514" xr:uid="{00000000-0005-0000-0000-0000713D0000}"/>
    <cellStyle name="Normal 2 2 2 2 2 11 10 2 3" xfId="16515" xr:uid="{00000000-0005-0000-0000-0000723D0000}"/>
    <cellStyle name="Normal 2 2 2 2 2 11 10 2 4" xfId="16516" xr:uid="{00000000-0005-0000-0000-0000733D0000}"/>
    <cellStyle name="Normal 2 2 2 2 2 11 10 2 5" xfId="16517" xr:uid="{00000000-0005-0000-0000-0000743D0000}"/>
    <cellStyle name="Normal 2 2 2 2 2 11 10 2 6" xfId="16518" xr:uid="{00000000-0005-0000-0000-0000753D0000}"/>
    <cellStyle name="Normal 2 2 2 2 2 11 10 3" xfId="16519" xr:uid="{00000000-0005-0000-0000-0000763D0000}"/>
    <cellStyle name="Normal 2 2 2 2 2 11 10 3 2" xfId="16520" xr:uid="{00000000-0005-0000-0000-0000773D0000}"/>
    <cellStyle name="Normal 2 2 2 2 2 11 10 3 3" xfId="16521" xr:uid="{00000000-0005-0000-0000-0000783D0000}"/>
    <cellStyle name="Normal 2 2 2 2 2 11 10 3 4" xfId="16522" xr:uid="{00000000-0005-0000-0000-0000793D0000}"/>
    <cellStyle name="Normal 2 2 2 2 2 11 10 3 5" xfId="16523" xr:uid="{00000000-0005-0000-0000-00007A3D0000}"/>
    <cellStyle name="Normal 2 2 2 2 2 11 10 3 6" xfId="16524" xr:uid="{00000000-0005-0000-0000-00007B3D0000}"/>
    <cellStyle name="Normal 2 2 2 2 2 11 10 4" xfId="16525" xr:uid="{00000000-0005-0000-0000-00007C3D0000}"/>
    <cellStyle name="Normal 2 2 2 2 2 11 10 4 2" xfId="16526" xr:uid="{00000000-0005-0000-0000-00007D3D0000}"/>
    <cellStyle name="Normal 2 2 2 2 2 11 10 4 3" xfId="16527" xr:uid="{00000000-0005-0000-0000-00007E3D0000}"/>
    <cellStyle name="Normal 2 2 2 2 2 11 10 4 4" xfId="16528" xr:uid="{00000000-0005-0000-0000-00007F3D0000}"/>
    <cellStyle name="Normal 2 2 2 2 2 11 10 4 5" xfId="16529" xr:uid="{00000000-0005-0000-0000-0000803D0000}"/>
    <cellStyle name="Normal 2 2 2 2 2 11 10 4 6" xfId="16530" xr:uid="{00000000-0005-0000-0000-0000813D0000}"/>
    <cellStyle name="Normal 2 2 2 2 2 11 10 5" xfId="16531" xr:uid="{00000000-0005-0000-0000-0000823D0000}"/>
    <cellStyle name="Normal 2 2 2 2 2 11 10 5 2" xfId="16532" xr:uid="{00000000-0005-0000-0000-0000833D0000}"/>
    <cellStyle name="Normal 2 2 2 2 2 11 10 5 3" xfId="16533" xr:uid="{00000000-0005-0000-0000-0000843D0000}"/>
    <cellStyle name="Normal 2 2 2 2 2 11 10 5 4" xfId="16534" xr:uid="{00000000-0005-0000-0000-0000853D0000}"/>
    <cellStyle name="Normal 2 2 2 2 2 11 10 5 5" xfId="16535" xr:uid="{00000000-0005-0000-0000-0000863D0000}"/>
    <cellStyle name="Normal 2 2 2 2 2 11 10 5 6" xfId="16536" xr:uid="{00000000-0005-0000-0000-0000873D0000}"/>
    <cellStyle name="Normal 2 2 2 2 2 11 10 6" xfId="16537" xr:uid="{00000000-0005-0000-0000-0000883D0000}"/>
    <cellStyle name="Normal 2 2 2 2 2 11 10 6 2" xfId="16538" xr:uid="{00000000-0005-0000-0000-0000893D0000}"/>
    <cellStyle name="Normal 2 2 2 2 2 11 10 6 3" xfId="16539" xr:uid="{00000000-0005-0000-0000-00008A3D0000}"/>
    <cellStyle name="Normal 2 2 2 2 2 11 10 6 4" xfId="16540" xr:uid="{00000000-0005-0000-0000-00008B3D0000}"/>
    <cellStyle name="Normal 2 2 2 2 2 11 10 6 5" xfId="16541" xr:uid="{00000000-0005-0000-0000-00008C3D0000}"/>
    <cellStyle name="Normal 2 2 2 2 2 11 10 6 6" xfId="16542" xr:uid="{00000000-0005-0000-0000-00008D3D0000}"/>
    <cellStyle name="Normal 2 2 2 2 2 11 10 7" xfId="16543" xr:uid="{00000000-0005-0000-0000-00008E3D0000}"/>
    <cellStyle name="Normal 2 2 2 2 2 11 10 7 2" xfId="16544" xr:uid="{00000000-0005-0000-0000-00008F3D0000}"/>
    <cellStyle name="Normal 2 2 2 2 2 11 10 7 3" xfId="16545" xr:uid="{00000000-0005-0000-0000-0000903D0000}"/>
    <cellStyle name="Normal 2 2 2 2 2 11 10 7 4" xfId="16546" xr:uid="{00000000-0005-0000-0000-0000913D0000}"/>
    <cellStyle name="Normal 2 2 2 2 2 11 10 7 5" xfId="16547" xr:uid="{00000000-0005-0000-0000-0000923D0000}"/>
    <cellStyle name="Normal 2 2 2 2 2 11 10 7 6" xfId="16548" xr:uid="{00000000-0005-0000-0000-0000933D0000}"/>
    <cellStyle name="Normal 2 2 2 2 2 11 10 8" xfId="16549" xr:uid="{00000000-0005-0000-0000-0000943D0000}"/>
    <cellStyle name="Normal 2 2 2 2 2 11 10 8 2" xfId="16550" xr:uid="{00000000-0005-0000-0000-0000953D0000}"/>
    <cellStyle name="Normal 2 2 2 2 2 11 10 8 3" xfId="16551" xr:uid="{00000000-0005-0000-0000-0000963D0000}"/>
    <cellStyle name="Normal 2 2 2 2 2 11 10 8 4" xfId="16552" xr:uid="{00000000-0005-0000-0000-0000973D0000}"/>
    <cellStyle name="Normal 2 2 2 2 2 11 10 8 5" xfId="16553" xr:uid="{00000000-0005-0000-0000-0000983D0000}"/>
    <cellStyle name="Normal 2 2 2 2 2 11 10 8 6" xfId="16554" xr:uid="{00000000-0005-0000-0000-0000993D0000}"/>
    <cellStyle name="Normal 2 2 2 2 2 11 10 9" xfId="16555" xr:uid="{00000000-0005-0000-0000-00009A3D0000}"/>
    <cellStyle name="Normal 2 2 2 2 2 11 11" xfId="16556" xr:uid="{00000000-0005-0000-0000-00009B3D0000}"/>
    <cellStyle name="Normal 2 2 2 2 2 11 11 10" xfId="16557" xr:uid="{00000000-0005-0000-0000-00009C3D0000}"/>
    <cellStyle name="Normal 2 2 2 2 2 11 11 11" xfId="16558" xr:uid="{00000000-0005-0000-0000-00009D3D0000}"/>
    <cellStyle name="Normal 2 2 2 2 2 11 11 12" xfId="16559" xr:uid="{00000000-0005-0000-0000-00009E3D0000}"/>
    <cellStyle name="Normal 2 2 2 2 2 11 11 13" xfId="16560" xr:uid="{00000000-0005-0000-0000-00009F3D0000}"/>
    <cellStyle name="Normal 2 2 2 2 2 11 11 2" xfId="16561" xr:uid="{00000000-0005-0000-0000-0000A03D0000}"/>
    <cellStyle name="Normal 2 2 2 2 2 11 11 2 2" xfId="16562" xr:uid="{00000000-0005-0000-0000-0000A13D0000}"/>
    <cellStyle name="Normal 2 2 2 2 2 11 11 2 3" xfId="16563" xr:uid="{00000000-0005-0000-0000-0000A23D0000}"/>
    <cellStyle name="Normal 2 2 2 2 2 11 11 2 4" xfId="16564" xr:uid="{00000000-0005-0000-0000-0000A33D0000}"/>
    <cellStyle name="Normal 2 2 2 2 2 11 11 2 5" xfId="16565" xr:uid="{00000000-0005-0000-0000-0000A43D0000}"/>
    <cellStyle name="Normal 2 2 2 2 2 11 11 2 6" xfId="16566" xr:uid="{00000000-0005-0000-0000-0000A53D0000}"/>
    <cellStyle name="Normal 2 2 2 2 2 11 11 3" xfId="16567" xr:uid="{00000000-0005-0000-0000-0000A63D0000}"/>
    <cellStyle name="Normal 2 2 2 2 2 11 11 3 2" xfId="16568" xr:uid="{00000000-0005-0000-0000-0000A73D0000}"/>
    <cellStyle name="Normal 2 2 2 2 2 11 11 3 3" xfId="16569" xr:uid="{00000000-0005-0000-0000-0000A83D0000}"/>
    <cellStyle name="Normal 2 2 2 2 2 11 11 3 4" xfId="16570" xr:uid="{00000000-0005-0000-0000-0000A93D0000}"/>
    <cellStyle name="Normal 2 2 2 2 2 11 11 3 5" xfId="16571" xr:uid="{00000000-0005-0000-0000-0000AA3D0000}"/>
    <cellStyle name="Normal 2 2 2 2 2 11 11 3 6" xfId="16572" xr:uid="{00000000-0005-0000-0000-0000AB3D0000}"/>
    <cellStyle name="Normal 2 2 2 2 2 11 11 4" xfId="16573" xr:uid="{00000000-0005-0000-0000-0000AC3D0000}"/>
    <cellStyle name="Normal 2 2 2 2 2 11 11 4 2" xfId="16574" xr:uid="{00000000-0005-0000-0000-0000AD3D0000}"/>
    <cellStyle name="Normal 2 2 2 2 2 11 11 4 3" xfId="16575" xr:uid="{00000000-0005-0000-0000-0000AE3D0000}"/>
    <cellStyle name="Normal 2 2 2 2 2 11 11 4 4" xfId="16576" xr:uid="{00000000-0005-0000-0000-0000AF3D0000}"/>
    <cellStyle name="Normal 2 2 2 2 2 11 11 4 5" xfId="16577" xr:uid="{00000000-0005-0000-0000-0000B03D0000}"/>
    <cellStyle name="Normal 2 2 2 2 2 11 11 4 6" xfId="16578" xr:uid="{00000000-0005-0000-0000-0000B13D0000}"/>
    <cellStyle name="Normal 2 2 2 2 2 11 11 5" xfId="16579" xr:uid="{00000000-0005-0000-0000-0000B23D0000}"/>
    <cellStyle name="Normal 2 2 2 2 2 11 11 5 2" xfId="16580" xr:uid="{00000000-0005-0000-0000-0000B33D0000}"/>
    <cellStyle name="Normal 2 2 2 2 2 11 11 5 3" xfId="16581" xr:uid="{00000000-0005-0000-0000-0000B43D0000}"/>
    <cellStyle name="Normal 2 2 2 2 2 11 11 5 4" xfId="16582" xr:uid="{00000000-0005-0000-0000-0000B53D0000}"/>
    <cellStyle name="Normal 2 2 2 2 2 11 11 5 5" xfId="16583" xr:uid="{00000000-0005-0000-0000-0000B63D0000}"/>
    <cellStyle name="Normal 2 2 2 2 2 11 11 5 6" xfId="16584" xr:uid="{00000000-0005-0000-0000-0000B73D0000}"/>
    <cellStyle name="Normal 2 2 2 2 2 11 11 6" xfId="16585" xr:uid="{00000000-0005-0000-0000-0000B83D0000}"/>
    <cellStyle name="Normal 2 2 2 2 2 11 11 6 2" xfId="16586" xr:uid="{00000000-0005-0000-0000-0000B93D0000}"/>
    <cellStyle name="Normal 2 2 2 2 2 11 11 6 3" xfId="16587" xr:uid="{00000000-0005-0000-0000-0000BA3D0000}"/>
    <cellStyle name="Normal 2 2 2 2 2 11 11 6 4" xfId="16588" xr:uid="{00000000-0005-0000-0000-0000BB3D0000}"/>
    <cellStyle name="Normal 2 2 2 2 2 11 11 6 5" xfId="16589" xr:uid="{00000000-0005-0000-0000-0000BC3D0000}"/>
    <cellStyle name="Normal 2 2 2 2 2 11 11 6 6" xfId="16590" xr:uid="{00000000-0005-0000-0000-0000BD3D0000}"/>
    <cellStyle name="Normal 2 2 2 2 2 11 11 7" xfId="16591" xr:uid="{00000000-0005-0000-0000-0000BE3D0000}"/>
    <cellStyle name="Normal 2 2 2 2 2 11 11 7 2" xfId="16592" xr:uid="{00000000-0005-0000-0000-0000BF3D0000}"/>
    <cellStyle name="Normal 2 2 2 2 2 11 11 7 3" xfId="16593" xr:uid="{00000000-0005-0000-0000-0000C03D0000}"/>
    <cellStyle name="Normal 2 2 2 2 2 11 11 7 4" xfId="16594" xr:uid="{00000000-0005-0000-0000-0000C13D0000}"/>
    <cellStyle name="Normal 2 2 2 2 2 11 11 7 5" xfId="16595" xr:uid="{00000000-0005-0000-0000-0000C23D0000}"/>
    <cellStyle name="Normal 2 2 2 2 2 11 11 7 6" xfId="16596" xr:uid="{00000000-0005-0000-0000-0000C33D0000}"/>
    <cellStyle name="Normal 2 2 2 2 2 11 11 8" xfId="16597" xr:uid="{00000000-0005-0000-0000-0000C43D0000}"/>
    <cellStyle name="Normal 2 2 2 2 2 11 11 8 2" xfId="16598" xr:uid="{00000000-0005-0000-0000-0000C53D0000}"/>
    <cellStyle name="Normal 2 2 2 2 2 11 11 8 3" xfId="16599" xr:uid="{00000000-0005-0000-0000-0000C63D0000}"/>
    <cellStyle name="Normal 2 2 2 2 2 11 11 8 4" xfId="16600" xr:uid="{00000000-0005-0000-0000-0000C73D0000}"/>
    <cellStyle name="Normal 2 2 2 2 2 11 11 8 5" xfId="16601" xr:uid="{00000000-0005-0000-0000-0000C83D0000}"/>
    <cellStyle name="Normal 2 2 2 2 2 11 11 8 6" xfId="16602" xr:uid="{00000000-0005-0000-0000-0000C93D0000}"/>
    <cellStyle name="Normal 2 2 2 2 2 11 11 9" xfId="16603" xr:uid="{00000000-0005-0000-0000-0000CA3D0000}"/>
    <cellStyle name="Normal 2 2 2 2 2 11 2" xfId="16604" xr:uid="{00000000-0005-0000-0000-0000CB3D0000}"/>
    <cellStyle name="Normal 2 2 2 2 2 11 2 10" xfId="16605" xr:uid="{00000000-0005-0000-0000-0000CC3D0000}"/>
    <cellStyle name="Normal 2 2 2 2 2 11 2 11" xfId="16606" xr:uid="{00000000-0005-0000-0000-0000CD3D0000}"/>
    <cellStyle name="Normal 2 2 2 2 2 11 2 12" xfId="16607" xr:uid="{00000000-0005-0000-0000-0000CE3D0000}"/>
    <cellStyle name="Normal 2 2 2 2 2 11 2 13" xfId="16608" xr:uid="{00000000-0005-0000-0000-0000CF3D0000}"/>
    <cellStyle name="Normal 2 2 2 2 2 11 2 2" xfId="16609" xr:uid="{00000000-0005-0000-0000-0000D03D0000}"/>
    <cellStyle name="Normal 2 2 2 2 2 11 2 2 2" xfId="16610" xr:uid="{00000000-0005-0000-0000-0000D13D0000}"/>
    <cellStyle name="Normal 2 2 2 2 2 11 2 2 3" xfId="16611" xr:uid="{00000000-0005-0000-0000-0000D23D0000}"/>
    <cellStyle name="Normal 2 2 2 2 2 11 2 2 4" xfId="16612" xr:uid="{00000000-0005-0000-0000-0000D33D0000}"/>
    <cellStyle name="Normal 2 2 2 2 2 11 2 2 5" xfId="16613" xr:uid="{00000000-0005-0000-0000-0000D43D0000}"/>
    <cellStyle name="Normal 2 2 2 2 2 11 2 2 6" xfId="16614" xr:uid="{00000000-0005-0000-0000-0000D53D0000}"/>
    <cellStyle name="Normal 2 2 2 2 2 11 2 3" xfId="16615" xr:uid="{00000000-0005-0000-0000-0000D63D0000}"/>
    <cellStyle name="Normal 2 2 2 2 2 11 2 3 2" xfId="16616" xr:uid="{00000000-0005-0000-0000-0000D73D0000}"/>
    <cellStyle name="Normal 2 2 2 2 2 11 2 3 3" xfId="16617" xr:uid="{00000000-0005-0000-0000-0000D83D0000}"/>
    <cellStyle name="Normal 2 2 2 2 2 11 2 3 4" xfId="16618" xr:uid="{00000000-0005-0000-0000-0000D93D0000}"/>
    <cellStyle name="Normal 2 2 2 2 2 11 2 3 5" xfId="16619" xr:uid="{00000000-0005-0000-0000-0000DA3D0000}"/>
    <cellStyle name="Normal 2 2 2 2 2 11 2 3 6" xfId="16620" xr:uid="{00000000-0005-0000-0000-0000DB3D0000}"/>
    <cellStyle name="Normal 2 2 2 2 2 11 2 4" xfId="16621" xr:uid="{00000000-0005-0000-0000-0000DC3D0000}"/>
    <cellStyle name="Normal 2 2 2 2 2 11 2 4 2" xfId="16622" xr:uid="{00000000-0005-0000-0000-0000DD3D0000}"/>
    <cellStyle name="Normal 2 2 2 2 2 11 2 4 3" xfId="16623" xr:uid="{00000000-0005-0000-0000-0000DE3D0000}"/>
    <cellStyle name="Normal 2 2 2 2 2 11 2 4 4" xfId="16624" xr:uid="{00000000-0005-0000-0000-0000DF3D0000}"/>
    <cellStyle name="Normal 2 2 2 2 2 11 2 4 5" xfId="16625" xr:uid="{00000000-0005-0000-0000-0000E03D0000}"/>
    <cellStyle name="Normal 2 2 2 2 2 11 2 4 6" xfId="16626" xr:uid="{00000000-0005-0000-0000-0000E13D0000}"/>
    <cellStyle name="Normal 2 2 2 2 2 11 2 5" xfId="16627" xr:uid="{00000000-0005-0000-0000-0000E23D0000}"/>
    <cellStyle name="Normal 2 2 2 2 2 11 2 5 2" xfId="16628" xr:uid="{00000000-0005-0000-0000-0000E33D0000}"/>
    <cellStyle name="Normal 2 2 2 2 2 11 2 5 3" xfId="16629" xr:uid="{00000000-0005-0000-0000-0000E43D0000}"/>
    <cellStyle name="Normal 2 2 2 2 2 11 2 5 4" xfId="16630" xr:uid="{00000000-0005-0000-0000-0000E53D0000}"/>
    <cellStyle name="Normal 2 2 2 2 2 11 2 5 5" xfId="16631" xr:uid="{00000000-0005-0000-0000-0000E63D0000}"/>
    <cellStyle name="Normal 2 2 2 2 2 11 2 5 6" xfId="16632" xr:uid="{00000000-0005-0000-0000-0000E73D0000}"/>
    <cellStyle name="Normal 2 2 2 2 2 11 2 6" xfId="16633" xr:uid="{00000000-0005-0000-0000-0000E83D0000}"/>
    <cellStyle name="Normal 2 2 2 2 2 11 2 6 2" xfId="16634" xr:uid="{00000000-0005-0000-0000-0000E93D0000}"/>
    <cellStyle name="Normal 2 2 2 2 2 11 2 6 3" xfId="16635" xr:uid="{00000000-0005-0000-0000-0000EA3D0000}"/>
    <cellStyle name="Normal 2 2 2 2 2 11 2 6 4" xfId="16636" xr:uid="{00000000-0005-0000-0000-0000EB3D0000}"/>
    <cellStyle name="Normal 2 2 2 2 2 11 2 6 5" xfId="16637" xr:uid="{00000000-0005-0000-0000-0000EC3D0000}"/>
    <cellStyle name="Normal 2 2 2 2 2 11 2 6 6" xfId="16638" xr:uid="{00000000-0005-0000-0000-0000ED3D0000}"/>
    <cellStyle name="Normal 2 2 2 2 2 11 2 7" xfId="16639" xr:uid="{00000000-0005-0000-0000-0000EE3D0000}"/>
    <cellStyle name="Normal 2 2 2 2 2 11 2 7 2" xfId="16640" xr:uid="{00000000-0005-0000-0000-0000EF3D0000}"/>
    <cellStyle name="Normal 2 2 2 2 2 11 2 7 3" xfId="16641" xr:uid="{00000000-0005-0000-0000-0000F03D0000}"/>
    <cellStyle name="Normal 2 2 2 2 2 11 2 7 4" xfId="16642" xr:uid="{00000000-0005-0000-0000-0000F13D0000}"/>
    <cellStyle name="Normal 2 2 2 2 2 11 2 7 5" xfId="16643" xr:uid="{00000000-0005-0000-0000-0000F23D0000}"/>
    <cellStyle name="Normal 2 2 2 2 2 11 2 7 6" xfId="16644" xr:uid="{00000000-0005-0000-0000-0000F33D0000}"/>
    <cellStyle name="Normal 2 2 2 2 2 11 2 8" xfId="16645" xr:uid="{00000000-0005-0000-0000-0000F43D0000}"/>
    <cellStyle name="Normal 2 2 2 2 2 11 2 8 2" xfId="16646" xr:uid="{00000000-0005-0000-0000-0000F53D0000}"/>
    <cellStyle name="Normal 2 2 2 2 2 11 2 8 3" xfId="16647" xr:uid="{00000000-0005-0000-0000-0000F63D0000}"/>
    <cellStyle name="Normal 2 2 2 2 2 11 2 8 4" xfId="16648" xr:uid="{00000000-0005-0000-0000-0000F73D0000}"/>
    <cellStyle name="Normal 2 2 2 2 2 11 2 8 5" xfId="16649" xr:uid="{00000000-0005-0000-0000-0000F83D0000}"/>
    <cellStyle name="Normal 2 2 2 2 2 11 2 8 6" xfId="16650" xr:uid="{00000000-0005-0000-0000-0000F93D0000}"/>
    <cellStyle name="Normal 2 2 2 2 2 11 2 9" xfId="16651" xr:uid="{00000000-0005-0000-0000-0000FA3D0000}"/>
    <cellStyle name="Normal 2 2 2 2 2 11 3" xfId="16652" xr:uid="{00000000-0005-0000-0000-0000FB3D0000}"/>
    <cellStyle name="Normal 2 2 2 2 2 11 3 10" xfId="16653" xr:uid="{00000000-0005-0000-0000-0000FC3D0000}"/>
    <cellStyle name="Normal 2 2 2 2 2 11 3 11" xfId="16654" xr:uid="{00000000-0005-0000-0000-0000FD3D0000}"/>
    <cellStyle name="Normal 2 2 2 2 2 11 3 12" xfId="16655" xr:uid="{00000000-0005-0000-0000-0000FE3D0000}"/>
    <cellStyle name="Normal 2 2 2 2 2 11 3 13" xfId="16656" xr:uid="{00000000-0005-0000-0000-0000FF3D0000}"/>
    <cellStyle name="Normal 2 2 2 2 2 11 3 2" xfId="16657" xr:uid="{00000000-0005-0000-0000-0000003E0000}"/>
    <cellStyle name="Normal 2 2 2 2 2 11 3 2 2" xfId="16658" xr:uid="{00000000-0005-0000-0000-0000013E0000}"/>
    <cellStyle name="Normal 2 2 2 2 2 11 3 2 3" xfId="16659" xr:uid="{00000000-0005-0000-0000-0000023E0000}"/>
    <cellStyle name="Normal 2 2 2 2 2 11 3 2 4" xfId="16660" xr:uid="{00000000-0005-0000-0000-0000033E0000}"/>
    <cellStyle name="Normal 2 2 2 2 2 11 3 2 5" xfId="16661" xr:uid="{00000000-0005-0000-0000-0000043E0000}"/>
    <cellStyle name="Normal 2 2 2 2 2 11 3 2 6" xfId="16662" xr:uid="{00000000-0005-0000-0000-0000053E0000}"/>
    <cellStyle name="Normal 2 2 2 2 2 11 3 3" xfId="16663" xr:uid="{00000000-0005-0000-0000-0000063E0000}"/>
    <cellStyle name="Normal 2 2 2 2 2 11 3 3 2" xfId="16664" xr:uid="{00000000-0005-0000-0000-0000073E0000}"/>
    <cellStyle name="Normal 2 2 2 2 2 11 3 3 3" xfId="16665" xr:uid="{00000000-0005-0000-0000-0000083E0000}"/>
    <cellStyle name="Normal 2 2 2 2 2 11 3 3 4" xfId="16666" xr:uid="{00000000-0005-0000-0000-0000093E0000}"/>
    <cellStyle name="Normal 2 2 2 2 2 11 3 3 5" xfId="16667" xr:uid="{00000000-0005-0000-0000-00000A3E0000}"/>
    <cellStyle name="Normal 2 2 2 2 2 11 3 3 6" xfId="16668" xr:uid="{00000000-0005-0000-0000-00000B3E0000}"/>
    <cellStyle name="Normal 2 2 2 2 2 11 3 4" xfId="16669" xr:uid="{00000000-0005-0000-0000-00000C3E0000}"/>
    <cellStyle name="Normal 2 2 2 2 2 11 3 4 2" xfId="16670" xr:uid="{00000000-0005-0000-0000-00000D3E0000}"/>
    <cellStyle name="Normal 2 2 2 2 2 11 3 4 3" xfId="16671" xr:uid="{00000000-0005-0000-0000-00000E3E0000}"/>
    <cellStyle name="Normal 2 2 2 2 2 11 3 4 4" xfId="16672" xr:uid="{00000000-0005-0000-0000-00000F3E0000}"/>
    <cellStyle name="Normal 2 2 2 2 2 11 3 4 5" xfId="16673" xr:uid="{00000000-0005-0000-0000-0000103E0000}"/>
    <cellStyle name="Normal 2 2 2 2 2 11 3 4 6" xfId="16674" xr:uid="{00000000-0005-0000-0000-0000113E0000}"/>
    <cellStyle name="Normal 2 2 2 2 2 11 3 5" xfId="16675" xr:uid="{00000000-0005-0000-0000-0000123E0000}"/>
    <cellStyle name="Normal 2 2 2 2 2 11 3 5 2" xfId="16676" xr:uid="{00000000-0005-0000-0000-0000133E0000}"/>
    <cellStyle name="Normal 2 2 2 2 2 11 3 5 3" xfId="16677" xr:uid="{00000000-0005-0000-0000-0000143E0000}"/>
    <cellStyle name="Normal 2 2 2 2 2 11 3 5 4" xfId="16678" xr:uid="{00000000-0005-0000-0000-0000153E0000}"/>
    <cellStyle name="Normal 2 2 2 2 2 11 3 5 5" xfId="16679" xr:uid="{00000000-0005-0000-0000-0000163E0000}"/>
    <cellStyle name="Normal 2 2 2 2 2 11 3 5 6" xfId="16680" xr:uid="{00000000-0005-0000-0000-0000173E0000}"/>
    <cellStyle name="Normal 2 2 2 2 2 11 3 6" xfId="16681" xr:uid="{00000000-0005-0000-0000-0000183E0000}"/>
    <cellStyle name="Normal 2 2 2 2 2 11 3 6 2" xfId="16682" xr:uid="{00000000-0005-0000-0000-0000193E0000}"/>
    <cellStyle name="Normal 2 2 2 2 2 11 3 6 3" xfId="16683" xr:uid="{00000000-0005-0000-0000-00001A3E0000}"/>
    <cellStyle name="Normal 2 2 2 2 2 11 3 6 4" xfId="16684" xr:uid="{00000000-0005-0000-0000-00001B3E0000}"/>
    <cellStyle name="Normal 2 2 2 2 2 11 3 6 5" xfId="16685" xr:uid="{00000000-0005-0000-0000-00001C3E0000}"/>
    <cellStyle name="Normal 2 2 2 2 2 11 3 6 6" xfId="16686" xr:uid="{00000000-0005-0000-0000-00001D3E0000}"/>
    <cellStyle name="Normal 2 2 2 2 2 11 3 7" xfId="16687" xr:uid="{00000000-0005-0000-0000-00001E3E0000}"/>
    <cellStyle name="Normal 2 2 2 2 2 11 3 7 2" xfId="16688" xr:uid="{00000000-0005-0000-0000-00001F3E0000}"/>
    <cellStyle name="Normal 2 2 2 2 2 11 3 7 3" xfId="16689" xr:uid="{00000000-0005-0000-0000-0000203E0000}"/>
    <cellStyle name="Normal 2 2 2 2 2 11 3 7 4" xfId="16690" xr:uid="{00000000-0005-0000-0000-0000213E0000}"/>
    <cellStyle name="Normal 2 2 2 2 2 11 3 7 5" xfId="16691" xr:uid="{00000000-0005-0000-0000-0000223E0000}"/>
    <cellStyle name="Normal 2 2 2 2 2 11 3 7 6" xfId="16692" xr:uid="{00000000-0005-0000-0000-0000233E0000}"/>
    <cellStyle name="Normal 2 2 2 2 2 11 3 8" xfId="16693" xr:uid="{00000000-0005-0000-0000-0000243E0000}"/>
    <cellStyle name="Normal 2 2 2 2 2 11 3 8 2" xfId="16694" xr:uid="{00000000-0005-0000-0000-0000253E0000}"/>
    <cellStyle name="Normal 2 2 2 2 2 11 3 8 3" xfId="16695" xr:uid="{00000000-0005-0000-0000-0000263E0000}"/>
    <cellStyle name="Normal 2 2 2 2 2 11 3 8 4" xfId="16696" xr:uid="{00000000-0005-0000-0000-0000273E0000}"/>
    <cellStyle name="Normal 2 2 2 2 2 11 3 8 5" xfId="16697" xr:uid="{00000000-0005-0000-0000-0000283E0000}"/>
    <cellStyle name="Normal 2 2 2 2 2 11 3 8 6" xfId="16698" xr:uid="{00000000-0005-0000-0000-0000293E0000}"/>
    <cellStyle name="Normal 2 2 2 2 2 11 3 9" xfId="16699" xr:uid="{00000000-0005-0000-0000-00002A3E0000}"/>
    <cellStyle name="Normal 2 2 2 2 2 11 4" xfId="16700" xr:uid="{00000000-0005-0000-0000-00002B3E0000}"/>
    <cellStyle name="Normal 2 2 2 2 2 11 4 10" xfId="16701" xr:uid="{00000000-0005-0000-0000-00002C3E0000}"/>
    <cellStyle name="Normal 2 2 2 2 2 11 4 11" xfId="16702" xr:uid="{00000000-0005-0000-0000-00002D3E0000}"/>
    <cellStyle name="Normal 2 2 2 2 2 11 4 12" xfId="16703" xr:uid="{00000000-0005-0000-0000-00002E3E0000}"/>
    <cellStyle name="Normal 2 2 2 2 2 11 4 13" xfId="16704" xr:uid="{00000000-0005-0000-0000-00002F3E0000}"/>
    <cellStyle name="Normal 2 2 2 2 2 11 4 2" xfId="16705" xr:uid="{00000000-0005-0000-0000-0000303E0000}"/>
    <cellStyle name="Normal 2 2 2 2 2 11 4 2 2" xfId="16706" xr:uid="{00000000-0005-0000-0000-0000313E0000}"/>
    <cellStyle name="Normal 2 2 2 2 2 11 4 2 3" xfId="16707" xr:uid="{00000000-0005-0000-0000-0000323E0000}"/>
    <cellStyle name="Normal 2 2 2 2 2 11 4 2 4" xfId="16708" xr:uid="{00000000-0005-0000-0000-0000333E0000}"/>
    <cellStyle name="Normal 2 2 2 2 2 11 4 2 5" xfId="16709" xr:uid="{00000000-0005-0000-0000-0000343E0000}"/>
    <cellStyle name="Normal 2 2 2 2 2 11 4 2 6" xfId="16710" xr:uid="{00000000-0005-0000-0000-0000353E0000}"/>
    <cellStyle name="Normal 2 2 2 2 2 11 4 3" xfId="16711" xr:uid="{00000000-0005-0000-0000-0000363E0000}"/>
    <cellStyle name="Normal 2 2 2 2 2 11 4 3 2" xfId="16712" xr:uid="{00000000-0005-0000-0000-0000373E0000}"/>
    <cellStyle name="Normal 2 2 2 2 2 11 4 3 3" xfId="16713" xr:uid="{00000000-0005-0000-0000-0000383E0000}"/>
    <cellStyle name="Normal 2 2 2 2 2 11 4 3 4" xfId="16714" xr:uid="{00000000-0005-0000-0000-0000393E0000}"/>
    <cellStyle name="Normal 2 2 2 2 2 11 4 3 5" xfId="16715" xr:uid="{00000000-0005-0000-0000-00003A3E0000}"/>
    <cellStyle name="Normal 2 2 2 2 2 11 4 3 6" xfId="16716" xr:uid="{00000000-0005-0000-0000-00003B3E0000}"/>
    <cellStyle name="Normal 2 2 2 2 2 11 4 4" xfId="16717" xr:uid="{00000000-0005-0000-0000-00003C3E0000}"/>
    <cellStyle name="Normal 2 2 2 2 2 11 4 4 2" xfId="16718" xr:uid="{00000000-0005-0000-0000-00003D3E0000}"/>
    <cellStyle name="Normal 2 2 2 2 2 11 4 4 3" xfId="16719" xr:uid="{00000000-0005-0000-0000-00003E3E0000}"/>
    <cellStyle name="Normal 2 2 2 2 2 11 4 4 4" xfId="16720" xr:uid="{00000000-0005-0000-0000-00003F3E0000}"/>
    <cellStyle name="Normal 2 2 2 2 2 11 4 4 5" xfId="16721" xr:uid="{00000000-0005-0000-0000-0000403E0000}"/>
    <cellStyle name="Normal 2 2 2 2 2 11 4 4 6" xfId="16722" xr:uid="{00000000-0005-0000-0000-0000413E0000}"/>
    <cellStyle name="Normal 2 2 2 2 2 11 4 5" xfId="16723" xr:uid="{00000000-0005-0000-0000-0000423E0000}"/>
    <cellStyle name="Normal 2 2 2 2 2 11 4 5 2" xfId="16724" xr:uid="{00000000-0005-0000-0000-0000433E0000}"/>
    <cellStyle name="Normal 2 2 2 2 2 11 4 5 3" xfId="16725" xr:uid="{00000000-0005-0000-0000-0000443E0000}"/>
    <cellStyle name="Normal 2 2 2 2 2 11 4 5 4" xfId="16726" xr:uid="{00000000-0005-0000-0000-0000453E0000}"/>
    <cellStyle name="Normal 2 2 2 2 2 11 4 5 5" xfId="16727" xr:uid="{00000000-0005-0000-0000-0000463E0000}"/>
    <cellStyle name="Normal 2 2 2 2 2 11 4 5 6" xfId="16728" xr:uid="{00000000-0005-0000-0000-0000473E0000}"/>
    <cellStyle name="Normal 2 2 2 2 2 11 4 6" xfId="16729" xr:uid="{00000000-0005-0000-0000-0000483E0000}"/>
    <cellStyle name="Normal 2 2 2 2 2 11 4 6 2" xfId="16730" xr:uid="{00000000-0005-0000-0000-0000493E0000}"/>
    <cellStyle name="Normal 2 2 2 2 2 11 4 6 3" xfId="16731" xr:uid="{00000000-0005-0000-0000-00004A3E0000}"/>
    <cellStyle name="Normal 2 2 2 2 2 11 4 6 4" xfId="16732" xr:uid="{00000000-0005-0000-0000-00004B3E0000}"/>
    <cellStyle name="Normal 2 2 2 2 2 11 4 6 5" xfId="16733" xr:uid="{00000000-0005-0000-0000-00004C3E0000}"/>
    <cellStyle name="Normal 2 2 2 2 2 11 4 6 6" xfId="16734" xr:uid="{00000000-0005-0000-0000-00004D3E0000}"/>
    <cellStyle name="Normal 2 2 2 2 2 11 4 7" xfId="16735" xr:uid="{00000000-0005-0000-0000-00004E3E0000}"/>
    <cellStyle name="Normal 2 2 2 2 2 11 4 7 2" xfId="16736" xr:uid="{00000000-0005-0000-0000-00004F3E0000}"/>
    <cellStyle name="Normal 2 2 2 2 2 11 4 7 3" xfId="16737" xr:uid="{00000000-0005-0000-0000-0000503E0000}"/>
    <cellStyle name="Normal 2 2 2 2 2 11 4 7 4" xfId="16738" xr:uid="{00000000-0005-0000-0000-0000513E0000}"/>
    <cellStyle name="Normal 2 2 2 2 2 11 4 7 5" xfId="16739" xr:uid="{00000000-0005-0000-0000-0000523E0000}"/>
    <cellStyle name="Normal 2 2 2 2 2 11 4 7 6" xfId="16740" xr:uid="{00000000-0005-0000-0000-0000533E0000}"/>
    <cellStyle name="Normal 2 2 2 2 2 11 4 8" xfId="16741" xr:uid="{00000000-0005-0000-0000-0000543E0000}"/>
    <cellStyle name="Normal 2 2 2 2 2 11 4 8 2" xfId="16742" xr:uid="{00000000-0005-0000-0000-0000553E0000}"/>
    <cellStyle name="Normal 2 2 2 2 2 11 4 8 3" xfId="16743" xr:uid="{00000000-0005-0000-0000-0000563E0000}"/>
    <cellStyle name="Normal 2 2 2 2 2 11 4 8 4" xfId="16744" xr:uid="{00000000-0005-0000-0000-0000573E0000}"/>
    <cellStyle name="Normal 2 2 2 2 2 11 4 8 5" xfId="16745" xr:uid="{00000000-0005-0000-0000-0000583E0000}"/>
    <cellStyle name="Normal 2 2 2 2 2 11 4 8 6" xfId="16746" xr:uid="{00000000-0005-0000-0000-0000593E0000}"/>
    <cellStyle name="Normal 2 2 2 2 2 11 4 9" xfId="16747" xr:uid="{00000000-0005-0000-0000-00005A3E0000}"/>
    <cellStyle name="Normal 2 2 2 2 2 11 5" xfId="16748" xr:uid="{00000000-0005-0000-0000-00005B3E0000}"/>
    <cellStyle name="Normal 2 2 2 2 2 11 5 10" xfId="16749" xr:uid="{00000000-0005-0000-0000-00005C3E0000}"/>
    <cellStyle name="Normal 2 2 2 2 2 11 5 11" xfId="16750" xr:uid="{00000000-0005-0000-0000-00005D3E0000}"/>
    <cellStyle name="Normal 2 2 2 2 2 11 5 12" xfId="16751" xr:uid="{00000000-0005-0000-0000-00005E3E0000}"/>
    <cellStyle name="Normal 2 2 2 2 2 11 5 13" xfId="16752" xr:uid="{00000000-0005-0000-0000-00005F3E0000}"/>
    <cellStyle name="Normal 2 2 2 2 2 11 5 2" xfId="16753" xr:uid="{00000000-0005-0000-0000-0000603E0000}"/>
    <cellStyle name="Normal 2 2 2 2 2 11 5 2 2" xfId="16754" xr:uid="{00000000-0005-0000-0000-0000613E0000}"/>
    <cellStyle name="Normal 2 2 2 2 2 11 5 2 3" xfId="16755" xr:uid="{00000000-0005-0000-0000-0000623E0000}"/>
    <cellStyle name="Normal 2 2 2 2 2 11 5 2 4" xfId="16756" xr:uid="{00000000-0005-0000-0000-0000633E0000}"/>
    <cellStyle name="Normal 2 2 2 2 2 11 5 2 5" xfId="16757" xr:uid="{00000000-0005-0000-0000-0000643E0000}"/>
    <cellStyle name="Normal 2 2 2 2 2 11 5 2 6" xfId="16758" xr:uid="{00000000-0005-0000-0000-0000653E0000}"/>
    <cellStyle name="Normal 2 2 2 2 2 11 5 3" xfId="16759" xr:uid="{00000000-0005-0000-0000-0000663E0000}"/>
    <cellStyle name="Normal 2 2 2 2 2 11 5 3 2" xfId="16760" xr:uid="{00000000-0005-0000-0000-0000673E0000}"/>
    <cellStyle name="Normal 2 2 2 2 2 11 5 3 3" xfId="16761" xr:uid="{00000000-0005-0000-0000-0000683E0000}"/>
    <cellStyle name="Normal 2 2 2 2 2 11 5 3 4" xfId="16762" xr:uid="{00000000-0005-0000-0000-0000693E0000}"/>
    <cellStyle name="Normal 2 2 2 2 2 11 5 3 5" xfId="16763" xr:uid="{00000000-0005-0000-0000-00006A3E0000}"/>
    <cellStyle name="Normal 2 2 2 2 2 11 5 3 6" xfId="16764" xr:uid="{00000000-0005-0000-0000-00006B3E0000}"/>
    <cellStyle name="Normal 2 2 2 2 2 11 5 4" xfId="16765" xr:uid="{00000000-0005-0000-0000-00006C3E0000}"/>
    <cellStyle name="Normal 2 2 2 2 2 11 5 4 2" xfId="16766" xr:uid="{00000000-0005-0000-0000-00006D3E0000}"/>
    <cellStyle name="Normal 2 2 2 2 2 11 5 4 3" xfId="16767" xr:uid="{00000000-0005-0000-0000-00006E3E0000}"/>
    <cellStyle name="Normal 2 2 2 2 2 11 5 4 4" xfId="16768" xr:uid="{00000000-0005-0000-0000-00006F3E0000}"/>
    <cellStyle name="Normal 2 2 2 2 2 11 5 4 5" xfId="16769" xr:uid="{00000000-0005-0000-0000-0000703E0000}"/>
    <cellStyle name="Normal 2 2 2 2 2 11 5 4 6" xfId="16770" xr:uid="{00000000-0005-0000-0000-0000713E0000}"/>
    <cellStyle name="Normal 2 2 2 2 2 11 5 5" xfId="16771" xr:uid="{00000000-0005-0000-0000-0000723E0000}"/>
    <cellStyle name="Normal 2 2 2 2 2 11 5 5 2" xfId="16772" xr:uid="{00000000-0005-0000-0000-0000733E0000}"/>
    <cellStyle name="Normal 2 2 2 2 2 11 5 5 3" xfId="16773" xr:uid="{00000000-0005-0000-0000-0000743E0000}"/>
    <cellStyle name="Normal 2 2 2 2 2 11 5 5 4" xfId="16774" xr:uid="{00000000-0005-0000-0000-0000753E0000}"/>
    <cellStyle name="Normal 2 2 2 2 2 11 5 5 5" xfId="16775" xr:uid="{00000000-0005-0000-0000-0000763E0000}"/>
    <cellStyle name="Normal 2 2 2 2 2 11 5 5 6" xfId="16776" xr:uid="{00000000-0005-0000-0000-0000773E0000}"/>
    <cellStyle name="Normal 2 2 2 2 2 11 5 6" xfId="16777" xr:uid="{00000000-0005-0000-0000-0000783E0000}"/>
    <cellStyle name="Normal 2 2 2 2 2 11 5 6 2" xfId="16778" xr:uid="{00000000-0005-0000-0000-0000793E0000}"/>
    <cellStyle name="Normal 2 2 2 2 2 11 5 6 3" xfId="16779" xr:uid="{00000000-0005-0000-0000-00007A3E0000}"/>
    <cellStyle name="Normal 2 2 2 2 2 11 5 6 4" xfId="16780" xr:uid="{00000000-0005-0000-0000-00007B3E0000}"/>
    <cellStyle name="Normal 2 2 2 2 2 11 5 6 5" xfId="16781" xr:uid="{00000000-0005-0000-0000-00007C3E0000}"/>
    <cellStyle name="Normal 2 2 2 2 2 11 5 6 6" xfId="16782" xr:uid="{00000000-0005-0000-0000-00007D3E0000}"/>
    <cellStyle name="Normal 2 2 2 2 2 11 5 7" xfId="16783" xr:uid="{00000000-0005-0000-0000-00007E3E0000}"/>
    <cellStyle name="Normal 2 2 2 2 2 11 5 7 2" xfId="16784" xr:uid="{00000000-0005-0000-0000-00007F3E0000}"/>
    <cellStyle name="Normal 2 2 2 2 2 11 5 7 3" xfId="16785" xr:uid="{00000000-0005-0000-0000-0000803E0000}"/>
    <cellStyle name="Normal 2 2 2 2 2 11 5 7 4" xfId="16786" xr:uid="{00000000-0005-0000-0000-0000813E0000}"/>
    <cellStyle name="Normal 2 2 2 2 2 11 5 7 5" xfId="16787" xr:uid="{00000000-0005-0000-0000-0000823E0000}"/>
    <cellStyle name="Normal 2 2 2 2 2 11 5 7 6" xfId="16788" xr:uid="{00000000-0005-0000-0000-0000833E0000}"/>
    <cellStyle name="Normal 2 2 2 2 2 11 5 8" xfId="16789" xr:uid="{00000000-0005-0000-0000-0000843E0000}"/>
    <cellStyle name="Normal 2 2 2 2 2 11 5 8 2" xfId="16790" xr:uid="{00000000-0005-0000-0000-0000853E0000}"/>
    <cellStyle name="Normal 2 2 2 2 2 11 5 8 3" xfId="16791" xr:uid="{00000000-0005-0000-0000-0000863E0000}"/>
    <cellStyle name="Normal 2 2 2 2 2 11 5 8 4" xfId="16792" xr:uid="{00000000-0005-0000-0000-0000873E0000}"/>
    <cellStyle name="Normal 2 2 2 2 2 11 5 8 5" xfId="16793" xr:uid="{00000000-0005-0000-0000-0000883E0000}"/>
    <cellStyle name="Normal 2 2 2 2 2 11 5 8 6" xfId="16794" xr:uid="{00000000-0005-0000-0000-0000893E0000}"/>
    <cellStyle name="Normal 2 2 2 2 2 11 5 9" xfId="16795" xr:uid="{00000000-0005-0000-0000-00008A3E0000}"/>
    <cellStyle name="Normal 2 2 2 2 2 11 6" xfId="16796" xr:uid="{00000000-0005-0000-0000-00008B3E0000}"/>
    <cellStyle name="Normal 2 2 2 2 2 11 6 10" xfId="16797" xr:uid="{00000000-0005-0000-0000-00008C3E0000}"/>
    <cellStyle name="Normal 2 2 2 2 2 11 6 11" xfId="16798" xr:uid="{00000000-0005-0000-0000-00008D3E0000}"/>
    <cellStyle name="Normal 2 2 2 2 2 11 6 12" xfId="16799" xr:uid="{00000000-0005-0000-0000-00008E3E0000}"/>
    <cellStyle name="Normal 2 2 2 2 2 11 6 13" xfId="16800" xr:uid="{00000000-0005-0000-0000-00008F3E0000}"/>
    <cellStyle name="Normal 2 2 2 2 2 11 6 2" xfId="16801" xr:uid="{00000000-0005-0000-0000-0000903E0000}"/>
    <cellStyle name="Normal 2 2 2 2 2 11 6 2 2" xfId="16802" xr:uid="{00000000-0005-0000-0000-0000913E0000}"/>
    <cellStyle name="Normal 2 2 2 2 2 11 6 2 3" xfId="16803" xr:uid="{00000000-0005-0000-0000-0000923E0000}"/>
    <cellStyle name="Normal 2 2 2 2 2 11 6 2 4" xfId="16804" xr:uid="{00000000-0005-0000-0000-0000933E0000}"/>
    <cellStyle name="Normal 2 2 2 2 2 11 6 2 5" xfId="16805" xr:uid="{00000000-0005-0000-0000-0000943E0000}"/>
    <cellStyle name="Normal 2 2 2 2 2 11 6 2 6" xfId="16806" xr:uid="{00000000-0005-0000-0000-0000953E0000}"/>
    <cellStyle name="Normal 2 2 2 2 2 11 6 3" xfId="16807" xr:uid="{00000000-0005-0000-0000-0000963E0000}"/>
    <cellStyle name="Normal 2 2 2 2 2 11 6 3 2" xfId="16808" xr:uid="{00000000-0005-0000-0000-0000973E0000}"/>
    <cellStyle name="Normal 2 2 2 2 2 11 6 3 3" xfId="16809" xr:uid="{00000000-0005-0000-0000-0000983E0000}"/>
    <cellStyle name="Normal 2 2 2 2 2 11 6 3 4" xfId="16810" xr:uid="{00000000-0005-0000-0000-0000993E0000}"/>
    <cellStyle name="Normal 2 2 2 2 2 11 6 3 5" xfId="16811" xr:uid="{00000000-0005-0000-0000-00009A3E0000}"/>
    <cellStyle name="Normal 2 2 2 2 2 11 6 3 6" xfId="16812" xr:uid="{00000000-0005-0000-0000-00009B3E0000}"/>
    <cellStyle name="Normal 2 2 2 2 2 11 6 4" xfId="16813" xr:uid="{00000000-0005-0000-0000-00009C3E0000}"/>
    <cellStyle name="Normal 2 2 2 2 2 11 6 4 2" xfId="16814" xr:uid="{00000000-0005-0000-0000-00009D3E0000}"/>
    <cellStyle name="Normal 2 2 2 2 2 11 6 4 3" xfId="16815" xr:uid="{00000000-0005-0000-0000-00009E3E0000}"/>
    <cellStyle name="Normal 2 2 2 2 2 11 6 4 4" xfId="16816" xr:uid="{00000000-0005-0000-0000-00009F3E0000}"/>
    <cellStyle name="Normal 2 2 2 2 2 11 6 4 5" xfId="16817" xr:uid="{00000000-0005-0000-0000-0000A03E0000}"/>
    <cellStyle name="Normal 2 2 2 2 2 11 6 4 6" xfId="16818" xr:uid="{00000000-0005-0000-0000-0000A13E0000}"/>
    <cellStyle name="Normal 2 2 2 2 2 11 6 5" xfId="16819" xr:uid="{00000000-0005-0000-0000-0000A23E0000}"/>
    <cellStyle name="Normal 2 2 2 2 2 11 6 5 2" xfId="16820" xr:uid="{00000000-0005-0000-0000-0000A33E0000}"/>
    <cellStyle name="Normal 2 2 2 2 2 11 6 5 3" xfId="16821" xr:uid="{00000000-0005-0000-0000-0000A43E0000}"/>
    <cellStyle name="Normal 2 2 2 2 2 11 6 5 4" xfId="16822" xr:uid="{00000000-0005-0000-0000-0000A53E0000}"/>
    <cellStyle name="Normal 2 2 2 2 2 11 6 5 5" xfId="16823" xr:uid="{00000000-0005-0000-0000-0000A63E0000}"/>
    <cellStyle name="Normal 2 2 2 2 2 11 6 5 6" xfId="16824" xr:uid="{00000000-0005-0000-0000-0000A73E0000}"/>
    <cellStyle name="Normal 2 2 2 2 2 11 6 6" xfId="16825" xr:uid="{00000000-0005-0000-0000-0000A83E0000}"/>
    <cellStyle name="Normal 2 2 2 2 2 11 6 6 2" xfId="16826" xr:uid="{00000000-0005-0000-0000-0000A93E0000}"/>
    <cellStyle name="Normal 2 2 2 2 2 11 6 6 3" xfId="16827" xr:uid="{00000000-0005-0000-0000-0000AA3E0000}"/>
    <cellStyle name="Normal 2 2 2 2 2 11 6 6 4" xfId="16828" xr:uid="{00000000-0005-0000-0000-0000AB3E0000}"/>
    <cellStyle name="Normal 2 2 2 2 2 11 6 6 5" xfId="16829" xr:uid="{00000000-0005-0000-0000-0000AC3E0000}"/>
    <cellStyle name="Normal 2 2 2 2 2 11 6 6 6" xfId="16830" xr:uid="{00000000-0005-0000-0000-0000AD3E0000}"/>
    <cellStyle name="Normal 2 2 2 2 2 11 6 7" xfId="16831" xr:uid="{00000000-0005-0000-0000-0000AE3E0000}"/>
    <cellStyle name="Normal 2 2 2 2 2 11 6 7 2" xfId="16832" xr:uid="{00000000-0005-0000-0000-0000AF3E0000}"/>
    <cellStyle name="Normal 2 2 2 2 2 11 6 7 3" xfId="16833" xr:uid="{00000000-0005-0000-0000-0000B03E0000}"/>
    <cellStyle name="Normal 2 2 2 2 2 11 6 7 4" xfId="16834" xr:uid="{00000000-0005-0000-0000-0000B13E0000}"/>
    <cellStyle name="Normal 2 2 2 2 2 11 6 7 5" xfId="16835" xr:uid="{00000000-0005-0000-0000-0000B23E0000}"/>
    <cellStyle name="Normal 2 2 2 2 2 11 6 7 6" xfId="16836" xr:uid="{00000000-0005-0000-0000-0000B33E0000}"/>
    <cellStyle name="Normal 2 2 2 2 2 11 6 8" xfId="16837" xr:uid="{00000000-0005-0000-0000-0000B43E0000}"/>
    <cellStyle name="Normal 2 2 2 2 2 11 6 8 2" xfId="16838" xr:uid="{00000000-0005-0000-0000-0000B53E0000}"/>
    <cellStyle name="Normal 2 2 2 2 2 11 6 8 3" xfId="16839" xr:uid="{00000000-0005-0000-0000-0000B63E0000}"/>
    <cellStyle name="Normal 2 2 2 2 2 11 6 8 4" xfId="16840" xr:uid="{00000000-0005-0000-0000-0000B73E0000}"/>
    <cellStyle name="Normal 2 2 2 2 2 11 6 8 5" xfId="16841" xr:uid="{00000000-0005-0000-0000-0000B83E0000}"/>
    <cellStyle name="Normal 2 2 2 2 2 11 6 8 6" xfId="16842" xr:uid="{00000000-0005-0000-0000-0000B93E0000}"/>
    <cellStyle name="Normal 2 2 2 2 2 11 6 9" xfId="16843" xr:uid="{00000000-0005-0000-0000-0000BA3E0000}"/>
    <cellStyle name="Normal 2 2 2 2 2 11 7" xfId="16844" xr:uid="{00000000-0005-0000-0000-0000BB3E0000}"/>
    <cellStyle name="Normal 2 2 2 2 2 11 7 10" xfId="16845" xr:uid="{00000000-0005-0000-0000-0000BC3E0000}"/>
    <cellStyle name="Normal 2 2 2 2 2 11 7 11" xfId="16846" xr:uid="{00000000-0005-0000-0000-0000BD3E0000}"/>
    <cellStyle name="Normal 2 2 2 2 2 11 7 12" xfId="16847" xr:uid="{00000000-0005-0000-0000-0000BE3E0000}"/>
    <cellStyle name="Normal 2 2 2 2 2 11 7 13" xfId="16848" xr:uid="{00000000-0005-0000-0000-0000BF3E0000}"/>
    <cellStyle name="Normal 2 2 2 2 2 11 7 2" xfId="16849" xr:uid="{00000000-0005-0000-0000-0000C03E0000}"/>
    <cellStyle name="Normal 2 2 2 2 2 11 7 2 2" xfId="16850" xr:uid="{00000000-0005-0000-0000-0000C13E0000}"/>
    <cellStyle name="Normal 2 2 2 2 2 11 7 2 3" xfId="16851" xr:uid="{00000000-0005-0000-0000-0000C23E0000}"/>
    <cellStyle name="Normal 2 2 2 2 2 11 7 2 4" xfId="16852" xr:uid="{00000000-0005-0000-0000-0000C33E0000}"/>
    <cellStyle name="Normal 2 2 2 2 2 11 7 2 5" xfId="16853" xr:uid="{00000000-0005-0000-0000-0000C43E0000}"/>
    <cellStyle name="Normal 2 2 2 2 2 11 7 2 6" xfId="16854" xr:uid="{00000000-0005-0000-0000-0000C53E0000}"/>
    <cellStyle name="Normal 2 2 2 2 2 11 7 3" xfId="16855" xr:uid="{00000000-0005-0000-0000-0000C63E0000}"/>
    <cellStyle name="Normal 2 2 2 2 2 11 7 3 2" xfId="16856" xr:uid="{00000000-0005-0000-0000-0000C73E0000}"/>
    <cellStyle name="Normal 2 2 2 2 2 11 7 3 3" xfId="16857" xr:uid="{00000000-0005-0000-0000-0000C83E0000}"/>
    <cellStyle name="Normal 2 2 2 2 2 11 7 3 4" xfId="16858" xr:uid="{00000000-0005-0000-0000-0000C93E0000}"/>
    <cellStyle name="Normal 2 2 2 2 2 11 7 3 5" xfId="16859" xr:uid="{00000000-0005-0000-0000-0000CA3E0000}"/>
    <cellStyle name="Normal 2 2 2 2 2 11 7 3 6" xfId="16860" xr:uid="{00000000-0005-0000-0000-0000CB3E0000}"/>
    <cellStyle name="Normal 2 2 2 2 2 11 7 4" xfId="16861" xr:uid="{00000000-0005-0000-0000-0000CC3E0000}"/>
    <cellStyle name="Normal 2 2 2 2 2 11 7 4 2" xfId="16862" xr:uid="{00000000-0005-0000-0000-0000CD3E0000}"/>
    <cellStyle name="Normal 2 2 2 2 2 11 7 4 3" xfId="16863" xr:uid="{00000000-0005-0000-0000-0000CE3E0000}"/>
    <cellStyle name="Normal 2 2 2 2 2 11 7 4 4" xfId="16864" xr:uid="{00000000-0005-0000-0000-0000CF3E0000}"/>
    <cellStyle name="Normal 2 2 2 2 2 11 7 4 5" xfId="16865" xr:uid="{00000000-0005-0000-0000-0000D03E0000}"/>
    <cellStyle name="Normal 2 2 2 2 2 11 7 4 6" xfId="16866" xr:uid="{00000000-0005-0000-0000-0000D13E0000}"/>
    <cellStyle name="Normal 2 2 2 2 2 11 7 5" xfId="16867" xr:uid="{00000000-0005-0000-0000-0000D23E0000}"/>
    <cellStyle name="Normal 2 2 2 2 2 11 7 5 2" xfId="16868" xr:uid="{00000000-0005-0000-0000-0000D33E0000}"/>
    <cellStyle name="Normal 2 2 2 2 2 11 7 5 3" xfId="16869" xr:uid="{00000000-0005-0000-0000-0000D43E0000}"/>
    <cellStyle name="Normal 2 2 2 2 2 11 7 5 4" xfId="16870" xr:uid="{00000000-0005-0000-0000-0000D53E0000}"/>
    <cellStyle name="Normal 2 2 2 2 2 11 7 5 5" xfId="16871" xr:uid="{00000000-0005-0000-0000-0000D63E0000}"/>
    <cellStyle name="Normal 2 2 2 2 2 11 7 5 6" xfId="16872" xr:uid="{00000000-0005-0000-0000-0000D73E0000}"/>
    <cellStyle name="Normal 2 2 2 2 2 11 7 6" xfId="16873" xr:uid="{00000000-0005-0000-0000-0000D83E0000}"/>
    <cellStyle name="Normal 2 2 2 2 2 11 7 6 2" xfId="16874" xr:uid="{00000000-0005-0000-0000-0000D93E0000}"/>
    <cellStyle name="Normal 2 2 2 2 2 11 7 6 3" xfId="16875" xr:uid="{00000000-0005-0000-0000-0000DA3E0000}"/>
    <cellStyle name="Normal 2 2 2 2 2 11 7 6 4" xfId="16876" xr:uid="{00000000-0005-0000-0000-0000DB3E0000}"/>
    <cellStyle name="Normal 2 2 2 2 2 11 7 6 5" xfId="16877" xr:uid="{00000000-0005-0000-0000-0000DC3E0000}"/>
    <cellStyle name="Normal 2 2 2 2 2 11 7 6 6" xfId="16878" xr:uid="{00000000-0005-0000-0000-0000DD3E0000}"/>
    <cellStyle name="Normal 2 2 2 2 2 11 7 7" xfId="16879" xr:uid="{00000000-0005-0000-0000-0000DE3E0000}"/>
    <cellStyle name="Normal 2 2 2 2 2 11 7 7 2" xfId="16880" xr:uid="{00000000-0005-0000-0000-0000DF3E0000}"/>
    <cellStyle name="Normal 2 2 2 2 2 11 7 7 3" xfId="16881" xr:uid="{00000000-0005-0000-0000-0000E03E0000}"/>
    <cellStyle name="Normal 2 2 2 2 2 11 7 7 4" xfId="16882" xr:uid="{00000000-0005-0000-0000-0000E13E0000}"/>
    <cellStyle name="Normal 2 2 2 2 2 11 7 7 5" xfId="16883" xr:uid="{00000000-0005-0000-0000-0000E23E0000}"/>
    <cellStyle name="Normal 2 2 2 2 2 11 7 7 6" xfId="16884" xr:uid="{00000000-0005-0000-0000-0000E33E0000}"/>
    <cellStyle name="Normal 2 2 2 2 2 11 7 8" xfId="16885" xr:uid="{00000000-0005-0000-0000-0000E43E0000}"/>
    <cellStyle name="Normal 2 2 2 2 2 11 7 8 2" xfId="16886" xr:uid="{00000000-0005-0000-0000-0000E53E0000}"/>
    <cellStyle name="Normal 2 2 2 2 2 11 7 8 3" xfId="16887" xr:uid="{00000000-0005-0000-0000-0000E63E0000}"/>
    <cellStyle name="Normal 2 2 2 2 2 11 7 8 4" xfId="16888" xr:uid="{00000000-0005-0000-0000-0000E73E0000}"/>
    <cellStyle name="Normal 2 2 2 2 2 11 7 8 5" xfId="16889" xr:uid="{00000000-0005-0000-0000-0000E83E0000}"/>
    <cellStyle name="Normal 2 2 2 2 2 11 7 8 6" xfId="16890" xr:uid="{00000000-0005-0000-0000-0000E93E0000}"/>
    <cellStyle name="Normal 2 2 2 2 2 11 7 9" xfId="16891" xr:uid="{00000000-0005-0000-0000-0000EA3E0000}"/>
    <cellStyle name="Normal 2 2 2 2 2 11 8" xfId="16892" xr:uid="{00000000-0005-0000-0000-0000EB3E0000}"/>
    <cellStyle name="Normal 2 2 2 2 2 11 8 10" xfId="16893" xr:uid="{00000000-0005-0000-0000-0000EC3E0000}"/>
    <cellStyle name="Normal 2 2 2 2 2 11 8 11" xfId="16894" xr:uid="{00000000-0005-0000-0000-0000ED3E0000}"/>
    <cellStyle name="Normal 2 2 2 2 2 11 8 12" xfId="16895" xr:uid="{00000000-0005-0000-0000-0000EE3E0000}"/>
    <cellStyle name="Normal 2 2 2 2 2 11 8 13" xfId="16896" xr:uid="{00000000-0005-0000-0000-0000EF3E0000}"/>
    <cellStyle name="Normal 2 2 2 2 2 11 8 2" xfId="16897" xr:uid="{00000000-0005-0000-0000-0000F03E0000}"/>
    <cellStyle name="Normal 2 2 2 2 2 11 8 2 2" xfId="16898" xr:uid="{00000000-0005-0000-0000-0000F13E0000}"/>
    <cellStyle name="Normal 2 2 2 2 2 11 8 2 3" xfId="16899" xr:uid="{00000000-0005-0000-0000-0000F23E0000}"/>
    <cellStyle name="Normal 2 2 2 2 2 11 8 2 4" xfId="16900" xr:uid="{00000000-0005-0000-0000-0000F33E0000}"/>
    <cellStyle name="Normal 2 2 2 2 2 11 8 2 5" xfId="16901" xr:uid="{00000000-0005-0000-0000-0000F43E0000}"/>
    <cellStyle name="Normal 2 2 2 2 2 11 8 2 6" xfId="16902" xr:uid="{00000000-0005-0000-0000-0000F53E0000}"/>
    <cellStyle name="Normal 2 2 2 2 2 11 8 3" xfId="16903" xr:uid="{00000000-0005-0000-0000-0000F63E0000}"/>
    <cellStyle name="Normal 2 2 2 2 2 11 8 3 2" xfId="16904" xr:uid="{00000000-0005-0000-0000-0000F73E0000}"/>
    <cellStyle name="Normal 2 2 2 2 2 11 8 3 3" xfId="16905" xr:uid="{00000000-0005-0000-0000-0000F83E0000}"/>
    <cellStyle name="Normal 2 2 2 2 2 11 8 3 4" xfId="16906" xr:uid="{00000000-0005-0000-0000-0000F93E0000}"/>
    <cellStyle name="Normal 2 2 2 2 2 11 8 3 5" xfId="16907" xr:uid="{00000000-0005-0000-0000-0000FA3E0000}"/>
    <cellStyle name="Normal 2 2 2 2 2 11 8 3 6" xfId="16908" xr:uid="{00000000-0005-0000-0000-0000FB3E0000}"/>
    <cellStyle name="Normal 2 2 2 2 2 11 8 4" xfId="16909" xr:uid="{00000000-0005-0000-0000-0000FC3E0000}"/>
    <cellStyle name="Normal 2 2 2 2 2 11 8 4 2" xfId="16910" xr:uid="{00000000-0005-0000-0000-0000FD3E0000}"/>
    <cellStyle name="Normal 2 2 2 2 2 11 8 4 3" xfId="16911" xr:uid="{00000000-0005-0000-0000-0000FE3E0000}"/>
    <cellStyle name="Normal 2 2 2 2 2 11 8 4 4" xfId="16912" xr:uid="{00000000-0005-0000-0000-0000FF3E0000}"/>
    <cellStyle name="Normal 2 2 2 2 2 11 8 4 5" xfId="16913" xr:uid="{00000000-0005-0000-0000-0000003F0000}"/>
    <cellStyle name="Normal 2 2 2 2 2 11 8 4 6" xfId="16914" xr:uid="{00000000-0005-0000-0000-0000013F0000}"/>
    <cellStyle name="Normal 2 2 2 2 2 11 8 5" xfId="16915" xr:uid="{00000000-0005-0000-0000-0000023F0000}"/>
    <cellStyle name="Normal 2 2 2 2 2 11 8 5 2" xfId="16916" xr:uid="{00000000-0005-0000-0000-0000033F0000}"/>
    <cellStyle name="Normal 2 2 2 2 2 11 8 5 3" xfId="16917" xr:uid="{00000000-0005-0000-0000-0000043F0000}"/>
    <cellStyle name="Normal 2 2 2 2 2 11 8 5 4" xfId="16918" xr:uid="{00000000-0005-0000-0000-0000053F0000}"/>
    <cellStyle name="Normal 2 2 2 2 2 11 8 5 5" xfId="16919" xr:uid="{00000000-0005-0000-0000-0000063F0000}"/>
    <cellStyle name="Normal 2 2 2 2 2 11 8 5 6" xfId="16920" xr:uid="{00000000-0005-0000-0000-0000073F0000}"/>
    <cellStyle name="Normal 2 2 2 2 2 11 8 6" xfId="16921" xr:uid="{00000000-0005-0000-0000-0000083F0000}"/>
    <cellStyle name="Normal 2 2 2 2 2 11 8 6 2" xfId="16922" xr:uid="{00000000-0005-0000-0000-0000093F0000}"/>
    <cellStyle name="Normal 2 2 2 2 2 11 8 6 3" xfId="16923" xr:uid="{00000000-0005-0000-0000-00000A3F0000}"/>
    <cellStyle name="Normal 2 2 2 2 2 11 8 6 4" xfId="16924" xr:uid="{00000000-0005-0000-0000-00000B3F0000}"/>
    <cellStyle name="Normal 2 2 2 2 2 11 8 6 5" xfId="16925" xr:uid="{00000000-0005-0000-0000-00000C3F0000}"/>
    <cellStyle name="Normal 2 2 2 2 2 11 8 6 6" xfId="16926" xr:uid="{00000000-0005-0000-0000-00000D3F0000}"/>
    <cellStyle name="Normal 2 2 2 2 2 11 8 7" xfId="16927" xr:uid="{00000000-0005-0000-0000-00000E3F0000}"/>
    <cellStyle name="Normal 2 2 2 2 2 11 8 7 2" xfId="16928" xr:uid="{00000000-0005-0000-0000-00000F3F0000}"/>
    <cellStyle name="Normal 2 2 2 2 2 11 8 7 3" xfId="16929" xr:uid="{00000000-0005-0000-0000-0000103F0000}"/>
    <cellStyle name="Normal 2 2 2 2 2 11 8 7 4" xfId="16930" xr:uid="{00000000-0005-0000-0000-0000113F0000}"/>
    <cellStyle name="Normal 2 2 2 2 2 11 8 7 5" xfId="16931" xr:uid="{00000000-0005-0000-0000-0000123F0000}"/>
    <cellStyle name="Normal 2 2 2 2 2 11 8 7 6" xfId="16932" xr:uid="{00000000-0005-0000-0000-0000133F0000}"/>
    <cellStyle name="Normal 2 2 2 2 2 11 8 8" xfId="16933" xr:uid="{00000000-0005-0000-0000-0000143F0000}"/>
    <cellStyle name="Normal 2 2 2 2 2 11 8 8 2" xfId="16934" xr:uid="{00000000-0005-0000-0000-0000153F0000}"/>
    <cellStyle name="Normal 2 2 2 2 2 11 8 8 3" xfId="16935" xr:uid="{00000000-0005-0000-0000-0000163F0000}"/>
    <cellStyle name="Normal 2 2 2 2 2 11 8 8 4" xfId="16936" xr:uid="{00000000-0005-0000-0000-0000173F0000}"/>
    <cellStyle name="Normal 2 2 2 2 2 11 8 8 5" xfId="16937" xr:uid="{00000000-0005-0000-0000-0000183F0000}"/>
    <cellStyle name="Normal 2 2 2 2 2 11 8 8 6" xfId="16938" xr:uid="{00000000-0005-0000-0000-0000193F0000}"/>
    <cellStyle name="Normal 2 2 2 2 2 11 8 9" xfId="16939" xr:uid="{00000000-0005-0000-0000-00001A3F0000}"/>
    <cellStyle name="Normal 2 2 2 2 2 11 9" xfId="16940" xr:uid="{00000000-0005-0000-0000-00001B3F0000}"/>
    <cellStyle name="Normal 2 2 2 2 2 11 9 10" xfId="16941" xr:uid="{00000000-0005-0000-0000-00001C3F0000}"/>
    <cellStyle name="Normal 2 2 2 2 2 11 9 11" xfId="16942" xr:uid="{00000000-0005-0000-0000-00001D3F0000}"/>
    <cellStyle name="Normal 2 2 2 2 2 11 9 12" xfId="16943" xr:uid="{00000000-0005-0000-0000-00001E3F0000}"/>
    <cellStyle name="Normal 2 2 2 2 2 11 9 13" xfId="16944" xr:uid="{00000000-0005-0000-0000-00001F3F0000}"/>
    <cellStyle name="Normal 2 2 2 2 2 11 9 2" xfId="16945" xr:uid="{00000000-0005-0000-0000-0000203F0000}"/>
    <cellStyle name="Normal 2 2 2 2 2 11 9 2 2" xfId="16946" xr:uid="{00000000-0005-0000-0000-0000213F0000}"/>
    <cellStyle name="Normal 2 2 2 2 2 11 9 2 3" xfId="16947" xr:uid="{00000000-0005-0000-0000-0000223F0000}"/>
    <cellStyle name="Normal 2 2 2 2 2 11 9 2 4" xfId="16948" xr:uid="{00000000-0005-0000-0000-0000233F0000}"/>
    <cellStyle name="Normal 2 2 2 2 2 11 9 2 5" xfId="16949" xr:uid="{00000000-0005-0000-0000-0000243F0000}"/>
    <cellStyle name="Normal 2 2 2 2 2 11 9 2 6" xfId="16950" xr:uid="{00000000-0005-0000-0000-0000253F0000}"/>
    <cellStyle name="Normal 2 2 2 2 2 11 9 3" xfId="16951" xr:uid="{00000000-0005-0000-0000-0000263F0000}"/>
    <cellStyle name="Normal 2 2 2 2 2 11 9 3 2" xfId="16952" xr:uid="{00000000-0005-0000-0000-0000273F0000}"/>
    <cellStyle name="Normal 2 2 2 2 2 11 9 3 3" xfId="16953" xr:uid="{00000000-0005-0000-0000-0000283F0000}"/>
    <cellStyle name="Normal 2 2 2 2 2 11 9 3 4" xfId="16954" xr:uid="{00000000-0005-0000-0000-0000293F0000}"/>
    <cellStyle name="Normal 2 2 2 2 2 11 9 3 5" xfId="16955" xr:uid="{00000000-0005-0000-0000-00002A3F0000}"/>
    <cellStyle name="Normal 2 2 2 2 2 11 9 3 6" xfId="16956" xr:uid="{00000000-0005-0000-0000-00002B3F0000}"/>
    <cellStyle name="Normal 2 2 2 2 2 11 9 4" xfId="16957" xr:uid="{00000000-0005-0000-0000-00002C3F0000}"/>
    <cellStyle name="Normal 2 2 2 2 2 11 9 4 2" xfId="16958" xr:uid="{00000000-0005-0000-0000-00002D3F0000}"/>
    <cellStyle name="Normal 2 2 2 2 2 11 9 4 3" xfId="16959" xr:uid="{00000000-0005-0000-0000-00002E3F0000}"/>
    <cellStyle name="Normal 2 2 2 2 2 11 9 4 4" xfId="16960" xr:uid="{00000000-0005-0000-0000-00002F3F0000}"/>
    <cellStyle name="Normal 2 2 2 2 2 11 9 4 5" xfId="16961" xr:uid="{00000000-0005-0000-0000-0000303F0000}"/>
    <cellStyle name="Normal 2 2 2 2 2 11 9 4 6" xfId="16962" xr:uid="{00000000-0005-0000-0000-0000313F0000}"/>
    <cellStyle name="Normal 2 2 2 2 2 11 9 5" xfId="16963" xr:uid="{00000000-0005-0000-0000-0000323F0000}"/>
    <cellStyle name="Normal 2 2 2 2 2 11 9 5 2" xfId="16964" xr:uid="{00000000-0005-0000-0000-0000333F0000}"/>
    <cellStyle name="Normal 2 2 2 2 2 11 9 5 3" xfId="16965" xr:uid="{00000000-0005-0000-0000-0000343F0000}"/>
    <cellStyle name="Normal 2 2 2 2 2 11 9 5 4" xfId="16966" xr:uid="{00000000-0005-0000-0000-0000353F0000}"/>
    <cellStyle name="Normal 2 2 2 2 2 11 9 5 5" xfId="16967" xr:uid="{00000000-0005-0000-0000-0000363F0000}"/>
    <cellStyle name="Normal 2 2 2 2 2 11 9 5 6" xfId="16968" xr:uid="{00000000-0005-0000-0000-0000373F0000}"/>
    <cellStyle name="Normal 2 2 2 2 2 11 9 6" xfId="16969" xr:uid="{00000000-0005-0000-0000-0000383F0000}"/>
    <cellStyle name="Normal 2 2 2 2 2 11 9 6 2" xfId="16970" xr:uid="{00000000-0005-0000-0000-0000393F0000}"/>
    <cellStyle name="Normal 2 2 2 2 2 11 9 6 3" xfId="16971" xr:uid="{00000000-0005-0000-0000-00003A3F0000}"/>
    <cellStyle name="Normal 2 2 2 2 2 11 9 6 4" xfId="16972" xr:uid="{00000000-0005-0000-0000-00003B3F0000}"/>
    <cellStyle name="Normal 2 2 2 2 2 11 9 6 5" xfId="16973" xr:uid="{00000000-0005-0000-0000-00003C3F0000}"/>
    <cellStyle name="Normal 2 2 2 2 2 11 9 6 6" xfId="16974" xr:uid="{00000000-0005-0000-0000-00003D3F0000}"/>
    <cellStyle name="Normal 2 2 2 2 2 11 9 7" xfId="16975" xr:uid="{00000000-0005-0000-0000-00003E3F0000}"/>
    <cellStyle name="Normal 2 2 2 2 2 11 9 7 2" xfId="16976" xr:uid="{00000000-0005-0000-0000-00003F3F0000}"/>
    <cellStyle name="Normal 2 2 2 2 2 11 9 7 3" xfId="16977" xr:uid="{00000000-0005-0000-0000-0000403F0000}"/>
    <cellStyle name="Normal 2 2 2 2 2 11 9 7 4" xfId="16978" xr:uid="{00000000-0005-0000-0000-0000413F0000}"/>
    <cellStyle name="Normal 2 2 2 2 2 11 9 7 5" xfId="16979" xr:uid="{00000000-0005-0000-0000-0000423F0000}"/>
    <cellStyle name="Normal 2 2 2 2 2 11 9 7 6" xfId="16980" xr:uid="{00000000-0005-0000-0000-0000433F0000}"/>
    <cellStyle name="Normal 2 2 2 2 2 11 9 8" xfId="16981" xr:uid="{00000000-0005-0000-0000-0000443F0000}"/>
    <cellStyle name="Normal 2 2 2 2 2 11 9 8 2" xfId="16982" xr:uid="{00000000-0005-0000-0000-0000453F0000}"/>
    <cellStyle name="Normal 2 2 2 2 2 11 9 8 3" xfId="16983" xr:uid="{00000000-0005-0000-0000-0000463F0000}"/>
    <cellStyle name="Normal 2 2 2 2 2 11 9 8 4" xfId="16984" xr:uid="{00000000-0005-0000-0000-0000473F0000}"/>
    <cellStyle name="Normal 2 2 2 2 2 11 9 8 5" xfId="16985" xr:uid="{00000000-0005-0000-0000-0000483F0000}"/>
    <cellStyle name="Normal 2 2 2 2 2 11 9 8 6" xfId="16986" xr:uid="{00000000-0005-0000-0000-0000493F0000}"/>
    <cellStyle name="Normal 2 2 2 2 2 11 9 9" xfId="16987" xr:uid="{00000000-0005-0000-0000-00004A3F0000}"/>
    <cellStyle name="Normal 2 2 2 2 2 12" xfId="16988" xr:uid="{00000000-0005-0000-0000-00004B3F0000}"/>
    <cellStyle name="Normal 2 2 2 2 2 12 10" xfId="16989" xr:uid="{00000000-0005-0000-0000-00004C3F0000}"/>
    <cellStyle name="Normal 2 2 2 2 2 12 11" xfId="16990" xr:uid="{00000000-0005-0000-0000-00004D3F0000}"/>
    <cellStyle name="Normal 2 2 2 2 2 12 12" xfId="16991" xr:uid="{00000000-0005-0000-0000-00004E3F0000}"/>
    <cellStyle name="Normal 2 2 2 2 2 12 13" xfId="16992" xr:uid="{00000000-0005-0000-0000-00004F3F0000}"/>
    <cellStyle name="Normal 2 2 2 2 2 12 2" xfId="16993" xr:uid="{00000000-0005-0000-0000-0000503F0000}"/>
    <cellStyle name="Normal 2 2 2 2 2 12 2 2" xfId="16994" xr:uid="{00000000-0005-0000-0000-0000513F0000}"/>
    <cellStyle name="Normal 2 2 2 2 2 12 2 3" xfId="16995" xr:uid="{00000000-0005-0000-0000-0000523F0000}"/>
    <cellStyle name="Normal 2 2 2 2 2 12 2 4" xfId="16996" xr:uid="{00000000-0005-0000-0000-0000533F0000}"/>
    <cellStyle name="Normal 2 2 2 2 2 12 2 5" xfId="16997" xr:uid="{00000000-0005-0000-0000-0000543F0000}"/>
    <cellStyle name="Normal 2 2 2 2 2 12 2 6" xfId="16998" xr:uid="{00000000-0005-0000-0000-0000553F0000}"/>
    <cellStyle name="Normal 2 2 2 2 2 12 3" xfId="16999" xr:uid="{00000000-0005-0000-0000-0000563F0000}"/>
    <cellStyle name="Normal 2 2 2 2 2 12 3 2" xfId="17000" xr:uid="{00000000-0005-0000-0000-0000573F0000}"/>
    <cellStyle name="Normal 2 2 2 2 2 12 3 3" xfId="17001" xr:uid="{00000000-0005-0000-0000-0000583F0000}"/>
    <cellStyle name="Normal 2 2 2 2 2 12 3 4" xfId="17002" xr:uid="{00000000-0005-0000-0000-0000593F0000}"/>
    <cellStyle name="Normal 2 2 2 2 2 12 3 5" xfId="17003" xr:uid="{00000000-0005-0000-0000-00005A3F0000}"/>
    <cellStyle name="Normal 2 2 2 2 2 12 3 6" xfId="17004" xr:uid="{00000000-0005-0000-0000-00005B3F0000}"/>
    <cellStyle name="Normal 2 2 2 2 2 12 4" xfId="17005" xr:uid="{00000000-0005-0000-0000-00005C3F0000}"/>
    <cellStyle name="Normal 2 2 2 2 2 12 4 2" xfId="17006" xr:uid="{00000000-0005-0000-0000-00005D3F0000}"/>
    <cellStyle name="Normal 2 2 2 2 2 12 4 3" xfId="17007" xr:uid="{00000000-0005-0000-0000-00005E3F0000}"/>
    <cellStyle name="Normal 2 2 2 2 2 12 4 4" xfId="17008" xr:uid="{00000000-0005-0000-0000-00005F3F0000}"/>
    <cellStyle name="Normal 2 2 2 2 2 12 4 5" xfId="17009" xr:uid="{00000000-0005-0000-0000-0000603F0000}"/>
    <cellStyle name="Normal 2 2 2 2 2 12 4 6" xfId="17010" xr:uid="{00000000-0005-0000-0000-0000613F0000}"/>
    <cellStyle name="Normal 2 2 2 2 2 12 5" xfId="17011" xr:uid="{00000000-0005-0000-0000-0000623F0000}"/>
    <cellStyle name="Normal 2 2 2 2 2 12 5 2" xfId="17012" xr:uid="{00000000-0005-0000-0000-0000633F0000}"/>
    <cellStyle name="Normal 2 2 2 2 2 12 5 3" xfId="17013" xr:uid="{00000000-0005-0000-0000-0000643F0000}"/>
    <cellStyle name="Normal 2 2 2 2 2 12 5 4" xfId="17014" xr:uid="{00000000-0005-0000-0000-0000653F0000}"/>
    <cellStyle name="Normal 2 2 2 2 2 12 5 5" xfId="17015" xr:uid="{00000000-0005-0000-0000-0000663F0000}"/>
    <cellStyle name="Normal 2 2 2 2 2 12 5 6" xfId="17016" xr:uid="{00000000-0005-0000-0000-0000673F0000}"/>
    <cellStyle name="Normal 2 2 2 2 2 12 6" xfId="17017" xr:uid="{00000000-0005-0000-0000-0000683F0000}"/>
    <cellStyle name="Normal 2 2 2 2 2 12 6 2" xfId="17018" xr:uid="{00000000-0005-0000-0000-0000693F0000}"/>
    <cellStyle name="Normal 2 2 2 2 2 12 6 3" xfId="17019" xr:uid="{00000000-0005-0000-0000-00006A3F0000}"/>
    <cellStyle name="Normal 2 2 2 2 2 12 6 4" xfId="17020" xr:uid="{00000000-0005-0000-0000-00006B3F0000}"/>
    <cellStyle name="Normal 2 2 2 2 2 12 6 5" xfId="17021" xr:uid="{00000000-0005-0000-0000-00006C3F0000}"/>
    <cellStyle name="Normal 2 2 2 2 2 12 6 6" xfId="17022" xr:uid="{00000000-0005-0000-0000-00006D3F0000}"/>
    <cellStyle name="Normal 2 2 2 2 2 12 7" xfId="17023" xr:uid="{00000000-0005-0000-0000-00006E3F0000}"/>
    <cellStyle name="Normal 2 2 2 2 2 12 7 2" xfId="17024" xr:uid="{00000000-0005-0000-0000-00006F3F0000}"/>
    <cellStyle name="Normal 2 2 2 2 2 12 7 3" xfId="17025" xr:uid="{00000000-0005-0000-0000-0000703F0000}"/>
    <cellStyle name="Normal 2 2 2 2 2 12 7 4" xfId="17026" xr:uid="{00000000-0005-0000-0000-0000713F0000}"/>
    <cellStyle name="Normal 2 2 2 2 2 12 7 5" xfId="17027" xr:uid="{00000000-0005-0000-0000-0000723F0000}"/>
    <cellStyle name="Normal 2 2 2 2 2 12 7 6" xfId="17028" xr:uid="{00000000-0005-0000-0000-0000733F0000}"/>
    <cellStyle name="Normal 2 2 2 2 2 12 8" xfId="17029" xr:uid="{00000000-0005-0000-0000-0000743F0000}"/>
    <cellStyle name="Normal 2 2 2 2 2 12 8 2" xfId="17030" xr:uid="{00000000-0005-0000-0000-0000753F0000}"/>
    <cellStyle name="Normal 2 2 2 2 2 12 8 3" xfId="17031" xr:uid="{00000000-0005-0000-0000-0000763F0000}"/>
    <cellStyle name="Normal 2 2 2 2 2 12 8 4" xfId="17032" xr:uid="{00000000-0005-0000-0000-0000773F0000}"/>
    <cellStyle name="Normal 2 2 2 2 2 12 8 5" xfId="17033" xr:uid="{00000000-0005-0000-0000-0000783F0000}"/>
    <cellStyle name="Normal 2 2 2 2 2 12 8 6" xfId="17034" xr:uid="{00000000-0005-0000-0000-0000793F0000}"/>
    <cellStyle name="Normal 2 2 2 2 2 12 9" xfId="17035" xr:uid="{00000000-0005-0000-0000-00007A3F0000}"/>
    <cellStyle name="Normal 2 2 2 2 2 13" xfId="17036" xr:uid="{00000000-0005-0000-0000-00007B3F0000}"/>
    <cellStyle name="Normal 2 2 2 2 2 13 10" xfId="17037" xr:uid="{00000000-0005-0000-0000-00007C3F0000}"/>
    <cellStyle name="Normal 2 2 2 2 2 13 11" xfId="17038" xr:uid="{00000000-0005-0000-0000-00007D3F0000}"/>
    <cellStyle name="Normal 2 2 2 2 2 13 12" xfId="17039" xr:uid="{00000000-0005-0000-0000-00007E3F0000}"/>
    <cellStyle name="Normal 2 2 2 2 2 13 13" xfId="17040" xr:uid="{00000000-0005-0000-0000-00007F3F0000}"/>
    <cellStyle name="Normal 2 2 2 2 2 13 2" xfId="17041" xr:uid="{00000000-0005-0000-0000-0000803F0000}"/>
    <cellStyle name="Normal 2 2 2 2 2 13 2 2" xfId="17042" xr:uid="{00000000-0005-0000-0000-0000813F0000}"/>
    <cellStyle name="Normal 2 2 2 2 2 13 2 3" xfId="17043" xr:uid="{00000000-0005-0000-0000-0000823F0000}"/>
    <cellStyle name="Normal 2 2 2 2 2 13 2 4" xfId="17044" xr:uid="{00000000-0005-0000-0000-0000833F0000}"/>
    <cellStyle name="Normal 2 2 2 2 2 13 2 5" xfId="17045" xr:uid="{00000000-0005-0000-0000-0000843F0000}"/>
    <cellStyle name="Normal 2 2 2 2 2 13 2 6" xfId="17046" xr:uid="{00000000-0005-0000-0000-0000853F0000}"/>
    <cellStyle name="Normal 2 2 2 2 2 13 3" xfId="17047" xr:uid="{00000000-0005-0000-0000-0000863F0000}"/>
    <cellStyle name="Normal 2 2 2 2 2 13 3 2" xfId="17048" xr:uid="{00000000-0005-0000-0000-0000873F0000}"/>
    <cellStyle name="Normal 2 2 2 2 2 13 3 3" xfId="17049" xr:uid="{00000000-0005-0000-0000-0000883F0000}"/>
    <cellStyle name="Normal 2 2 2 2 2 13 3 4" xfId="17050" xr:uid="{00000000-0005-0000-0000-0000893F0000}"/>
    <cellStyle name="Normal 2 2 2 2 2 13 3 5" xfId="17051" xr:uid="{00000000-0005-0000-0000-00008A3F0000}"/>
    <cellStyle name="Normal 2 2 2 2 2 13 3 6" xfId="17052" xr:uid="{00000000-0005-0000-0000-00008B3F0000}"/>
    <cellStyle name="Normal 2 2 2 2 2 13 4" xfId="17053" xr:uid="{00000000-0005-0000-0000-00008C3F0000}"/>
    <cellStyle name="Normal 2 2 2 2 2 13 4 2" xfId="17054" xr:uid="{00000000-0005-0000-0000-00008D3F0000}"/>
    <cellStyle name="Normal 2 2 2 2 2 13 4 3" xfId="17055" xr:uid="{00000000-0005-0000-0000-00008E3F0000}"/>
    <cellStyle name="Normal 2 2 2 2 2 13 4 4" xfId="17056" xr:uid="{00000000-0005-0000-0000-00008F3F0000}"/>
    <cellStyle name="Normal 2 2 2 2 2 13 4 5" xfId="17057" xr:uid="{00000000-0005-0000-0000-0000903F0000}"/>
    <cellStyle name="Normal 2 2 2 2 2 13 4 6" xfId="17058" xr:uid="{00000000-0005-0000-0000-0000913F0000}"/>
    <cellStyle name="Normal 2 2 2 2 2 13 5" xfId="17059" xr:uid="{00000000-0005-0000-0000-0000923F0000}"/>
    <cellStyle name="Normal 2 2 2 2 2 13 5 2" xfId="17060" xr:uid="{00000000-0005-0000-0000-0000933F0000}"/>
    <cellStyle name="Normal 2 2 2 2 2 13 5 3" xfId="17061" xr:uid="{00000000-0005-0000-0000-0000943F0000}"/>
    <cellStyle name="Normal 2 2 2 2 2 13 5 4" xfId="17062" xr:uid="{00000000-0005-0000-0000-0000953F0000}"/>
    <cellStyle name="Normal 2 2 2 2 2 13 5 5" xfId="17063" xr:uid="{00000000-0005-0000-0000-0000963F0000}"/>
    <cellStyle name="Normal 2 2 2 2 2 13 5 6" xfId="17064" xr:uid="{00000000-0005-0000-0000-0000973F0000}"/>
    <cellStyle name="Normal 2 2 2 2 2 13 6" xfId="17065" xr:uid="{00000000-0005-0000-0000-0000983F0000}"/>
    <cellStyle name="Normal 2 2 2 2 2 13 6 2" xfId="17066" xr:uid="{00000000-0005-0000-0000-0000993F0000}"/>
    <cellStyle name="Normal 2 2 2 2 2 13 6 3" xfId="17067" xr:uid="{00000000-0005-0000-0000-00009A3F0000}"/>
    <cellStyle name="Normal 2 2 2 2 2 13 6 4" xfId="17068" xr:uid="{00000000-0005-0000-0000-00009B3F0000}"/>
    <cellStyle name="Normal 2 2 2 2 2 13 6 5" xfId="17069" xr:uid="{00000000-0005-0000-0000-00009C3F0000}"/>
    <cellStyle name="Normal 2 2 2 2 2 13 6 6" xfId="17070" xr:uid="{00000000-0005-0000-0000-00009D3F0000}"/>
    <cellStyle name="Normal 2 2 2 2 2 13 7" xfId="17071" xr:uid="{00000000-0005-0000-0000-00009E3F0000}"/>
    <cellStyle name="Normal 2 2 2 2 2 13 7 2" xfId="17072" xr:uid="{00000000-0005-0000-0000-00009F3F0000}"/>
    <cellStyle name="Normal 2 2 2 2 2 13 7 3" xfId="17073" xr:uid="{00000000-0005-0000-0000-0000A03F0000}"/>
    <cellStyle name="Normal 2 2 2 2 2 13 7 4" xfId="17074" xr:uid="{00000000-0005-0000-0000-0000A13F0000}"/>
    <cellStyle name="Normal 2 2 2 2 2 13 7 5" xfId="17075" xr:uid="{00000000-0005-0000-0000-0000A23F0000}"/>
    <cellStyle name="Normal 2 2 2 2 2 13 7 6" xfId="17076" xr:uid="{00000000-0005-0000-0000-0000A33F0000}"/>
    <cellStyle name="Normal 2 2 2 2 2 13 8" xfId="17077" xr:uid="{00000000-0005-0000-0000-0000A43F0000}"/>
    <cellStyle name="Normal 2 2 2 2 2 13 8 2" xfId="17078" xr:uid="{00000000-0005-0000-0000-0000A53F0000}"/>
    <cellStyle name="Normal 2 2 2 2 2 13 8 3" xfId="17079" xr:uid="{00000000-0005-0000-0000-0000A63F0000}"/>
    <cellStyle name="Normal 2 2 2 2 2 13 8 4" xfId="17080" xr:uid="{00000000-0005-0000-0000-0000A73F0000}"/>
    <cellStyle name="Normal 2 2 2 2 2 13 8 5" xfId="17081" xr:uid="{00000000-0005-0000-0000-0000A83F0000}"/>
    <cellStyle name="Normal 2 2 2 2 2 13 8 6" xfId="17082" xr:uid="{00000000-0005-0000-0000-0000A93F0000}"/>
    <cellStyle name="Normal 2 2 2 2 2 13 9" xfId="17083" xr:uid="{00000000-0005-0000-0000-0000AA3F0000}"/>
    <cellStyle name="Normal 2 2 2 2 2 14" xfId="17084" xr:uid="{00000000-0005-0000-0000-0000AB3F0000}"/>
    <cellStyle name="Normal 2 2 2 2 2 14 10" xfId="17085" xr:uid="{00000000-0005-0000-0000-0000AC3F0000}"/>
    <cellStyle name="Normal 2 2 2 2 2 14 11" xfId="17086" xr:uid="{00000000-0005-0000-0000-0000AD3F0000}"/>
    <cellStyle name="Normal 2 2 2 2 2 14 12" xfId="17087" xr:uid="{00000000-0005-0000-0000-0000AE3F0000}"/>
    <cellStyle name="Normal 2 2 2 2 2 14 13" xfId="17088" xr:uid="{00000000-0005-0000-0000-0000AF3F0000}"/>
    <cellStyle name="Normal 2 2 2 2 2 14 2" xfId="17089" xr:uid="{00000000-0005-0000-0000-0000B03F0000}"/>
    <cellStyle name="Normal 2 2 2 2 2 14 2 2" xfId="17090" xr:uid="{00000000-0005-0000-0000-0000B13F0000}"/>
    <cellStyle name="Normal 2 2 2 2 2 14 2 3" xfId="17091" xr:uid="{00000000-0005-0000-0000-0000B23F0000}"/>
    <cellStyle name="Normal 2 2 2 2 2 14 2 4" xfId="17092" xr:uid="{00000000-0005-0000-0000-0000B33F0000}"/>
    <cellStyle name="Normal 2 2 2 2 2 14 2 5" xfId="17093" xr:uid="{00000000-0005-0000-0000-0000B43F0000}"/>
    <cellStyle name="Normal 2 2 2 2 2 14 2 6" xfId="17094" xr:uid="{00000000-0005-0000-0000-0000B53F0000}"/>
    <cellStyle name="Normal 2 2 2 2 2 14 3" xfId="17095" xr:uid="{00000000-0005-0000-0000-0000B63F0000}"/>
    <cellStyle name="Normal 2 2 2 2 2 14 3 2" xfId="17096" xr:uid="{00000000-0005-0000-0000-0000B73F0000}"/>
    <cellStyle name="Normal 2 2 2 2 2 14 3 3" xfId="17097" xr:uid="{00000000-0005-0000-0000-0000B83F0000}"/>
    <cellStyle name="Normal 2 2 2 2 2 14 3 4" xfId="17098" xr:uid="{00000000-0005-0000-0000-0000B93F0000}"/>
    <cellStyle name="Normal 2 2 2 2 2 14 3 5" xfId="17099" xr:uid="{00000000-0005-0000-0000-0000BA3F0000}"/>
    <cellStyle name="Normal 2 2 2 2 2 14 3 6" xfId="17100" xr:uid="{00000000-0005-0000-0000-0000BB3F0000}"/>
    <cellStyle name="Normal 2 2 2 2 2 14 4" xfId="17101" xr:uid="{00000000-0005-0000-0000-0000BC3F0000}"/>
    <cellStyle name="Normal 2 2 2 2 2 14 4 2" xfId="17102" xr:uid="{00000000-0005-0000-0000-0000BD3F0000}"/>
    <cellStyle name="Normal 2 2 2 2 2 14 4 3" xfId="17103" xr:uid="{00000000-0005-0000-0000-0000BE3F0000}"/>
    <cellStyle name="Normal 2 2 2 2 2 14 4 4" xfId="17104" xr:uid="{00000000-0005-0000-0000-0000BF3F0000}"/>
    <cellStyle name="Normal 2 2 2 2 2 14 4 5" xfId="17105" xr:uid="{00000000-0005-0000-0000-0000C03F0000}"/>
    <cellStyle name="Normal 2 2 2 2 2 14 4 6" xfId="17106" xr:uid="{00000000-0005-0000-0000-0000C13F0000}"/>
    <cellStyle name="Normal 2 2 2 2 2 14 5" xfId="17107" xr:uid="{00000000-0005-0000-0000-0000C23F0000}"/>
    <cellStyle name="Normal 2 2 2 2 2 14 5 2" xfId="17108" xr:uid="{00000000-0005-0000-0000-0000C33F0000}"/>
    <cellStyle name="Normal 2 2 2 2 2 14 5 3" xfId="17109" xr:uid="{00000000-0005-0000-0000-0000C43F0000}"/>
    <cellStyle name="Normal 2 2 2 2 2 14 5 4" xfId="17110" xr:uid="{00000000-0005-0000-0000-0000C53F0000}"/>
    <cellStyle name="Normal 2 2 2 2 2 14 5 5" xfId="17111" xr:uid="{00000000-0005-0000-0000-0000C63F0000}"/>
    <cellStyle name="Normal 2 2 2 2 2 14 5 6" xfId="17112" xr:uid="{00000000-0005-0000-0000-0000C73F0000}"/>
    <cellStyle name="Normal 2 2 2 2 2 14 6" xfId="17113" xr:uid="{00000000-0005-0000-0000-0000C83F0000}"/>
    <cellStyle name="Normal 2 2 2 2 2 14 6 2" xfId="17114" xr:uid="{00000000-0005-0000-0000-0000C93F0000}"/>
    <cellStyle name="Normal 2 2 2 2 2 14 6 3" xfId="17115" xr:uid="{00000000-0005-0000-0000-0000CA3F0000}"/>
    <cellStyle name="Normal 2 2 2 2 2 14 6 4" xfId="17116" xr:uid="{00000000-0005-0000-0000-0000CB3F0000}"/>
    <cellStyle name="Normal 2 2 2 2 2 14 6 5" xfId="17117" xr:uid="{00000000-0005-0000-0000-0000CC3F0000}"/>
    <cellStyle name="Normal 2 2 2 2 2 14 6 6" xfId="17118" xr:uid="{00000000-0005-0000-0000-0000CD3F0000}"/>
    <cellStyle name="Normal 2 2 2 2 2 14 7" xfId="17119" xr:uid="{00000000-0005-0000-0000-0000CE3F0000}"/>
    <cellStyle name="Normal 2 2 2 2 2 14 7 2" xfId="17120" xr:uid="{00000000-0005-0000-0000-0000CF3F0000}"/>
    <cellStyle name="Normal 2 2 2 2 2 14 7 3" xfId="17121" xr:uid="{00000000-0005-0000-0000-0000D03F0000}"/>
    <cellStyle name="Normal 2 2 2 2 2 14 7 4" xfId="17122" xr:uid="{00000000-0005-0000-0000-0000D13F0000}"/>
    <cellStyle name="Normal 2 2 2 2 2 14 7 5" xfId="17123" xr:uid="{00000000-0005-0000-0000-0000D23F0000}"/>
    <cellStyle name="Normal 2 2 2 2 2 14 7 6" xfId="17124" xr:uid="{00000000-0005-0000-0000-0000D33F0000}"/>
    <cellStyle name="Normal 2 2 2 2 2 14 8" xfId="17125" xr:uid="{00000000-0005-0000-0000-0000D43F0000}"/>
    <cellStyle name="Normal 2 2 2 2 2 14 8 2" xfId="17126" xr:uid="{00000000-0005-0000-0000-0000D53F0000}"/>
    <cellStyle name="Normal 2 2 2 2 2 14 8 3" xfId="17127" xr:uid="{00000000-0005-0000-0000-0000D63F0000}"/>
    <cellStyle name="Normal 2 2 2 2 2 14 8 4" xfId="17128" xr:uid="{00000000-0005-0000-0000-0000D73F0000}"/>
    <cellStyle name="Normal 2 2 2 2 2 14 8 5" xfId="17129" xr:uid="{00000000-0005-0000-0000-0000D83F0000}"/>
    <cellStyle name="Normal 2 2 2 2 2 14 8 6" xfId="17130" xr:uid="{00000000-0005-0000-0000-0000D93F0000}"/>
    <cellStyle name="Normal 2 2 2 2 2 14 9" xfId="17131" xr:uid="{00000000-0005-0000-0000-0000DA3F0000}"/>
    <cellStyle name="Normal 2 2 2 2 2 15" xfId="17132" xr:uid="{00000000-0005-0000-0000-0000DB3F0000}"/>
    <cellStyle name="Normal 2 2 2 2 2 15 10" xfId="17133" xr:uid="{00000000-0005-0000-0000-0000DC3F0000}"/>
    <cellStyle name="Normal 2 2 2 2 2 15 11" xfId="17134" xr:uid="{00000000-0005-0000-0000-0000DD3F0000}"/>
    <cellStyle name="Normal 2 2 2 2 2 15 12" xfId="17135" xr:uid="{00000000-0005-0000-0000-0000DE3F0000}"/>
    <cellStyle name="Normal 2 2 2 2 2 15 13" xfId="17136" xr:uid="{00000000-0005-0000-0000-0000DF3F0000}"/>
    <cellStyle name="Normal 2 2 2 2 2 15 2" xfId="17137" xr:uid="{00000000-0005-0000-0000-0000E03F0000}"/>
    <cellStyle name="Normal 2 2 2 2 2 15 2 2" xfId="17138" xr:uid="{00000000-0005-0000-0000-0000E13F0000}"/>
    <cellStyle name="Normal 2 2 2 2 2 15 2 3" xfId="17139" xr:uid="{00000000-0005-0000-0000-0000E23F0000}"/>
    <cellStyle name="Normal 2 2 2 2 2 15 2 4" xfId="17140" xr:uid="{00000000-0005-0000-0000-0000E33F0000}"/>
    <cellStyle name="Normal 2 2 2 2 2 15 2 5" xfId="17141" xr:uid="{00000000-0005-0000-0000-0000E43F0000}"/>
    <cellStyle name="Normal 2 2 2 2 2 15 2 6" xfId="17142" xr:uid="{00000000-0005-0000-0000-0000E53F0000}"/>
    <cellStyle name="Normal 2 2 2 2 2 15 3" xfId="17143" xr:uid="{00000000-0005-0000-0000-0000E63F0000}"/>
    <cellStyle name="Normal 2 2 2 2 2 15 3 2" xfId="17144" xr:uid="{00000000-0005-0000-0000-0000E73F0000}"/>
    <cellStyle name="Normal 2 2 2 2 2 15 3 3" xfId="17145" xr:uid="{00000000-0005-0000-0000-0000E83F0000}"/>
    <cellStyle name="Normal 2 2 2 2 2 15 3 4" xfId="17146" xr:uid="{00000000-0005-0000-0000-0000E93F0000}"/>
    <cellStyle name="Normal 2 2 2 2 2 15 3 5" xfId="17147" xr:uid="{00000000-0005-0000-0000-0000EA3F0000}"/>
    <cellStyle name="Normal 2 2 2 2 2 15 3 6" xfId="17148" xr:uid="{00000000-0005-0000-0000-0000EB3F0000}"/>
    <cellStyle name="Normal 2 2 2 2 2 15 4" xfId="17149" xr:uid="{00000000-0005-0000-0000-0000EC3F0000}"/>
    <cellStyle name="Normal 2 2 2 2 2 15 4 2" xfId="17150" xr:uid="{00000000-0005-0000-0000-0000ED3F0000}"/>
    <cellStyle name="Normal 2 2 2 2 2 15 4 3" xfId="17151" xr:uid="{00000000-0005-0000-0000-0000EE3F0000}"/>
    <cellStyle name="Normal 2 2 2 2 2 15 4 4" xfId="17152" xr:uid="{00000000-0005-0000-0000-0000EF3F0000}"/>
    <cellStyle name="Normal 2 2 2 2 2 15 4 5" xfId="17153" xr:uid="{00000000-0005-0000-0000-0000F03F0000}"/>
    <cellStyle name="Normal 2 2 2 2 2 15 4 6" xfId="17154" xr:uid="{00000000-0005-0000-0000-0000F13F0000}"/>
    <cellStyle name="Normal 2 2 2 2 2 15 5" xfId="17155" xr:uid="{00000000-0005-0000-0000-0000F23F0000}"/>
    <cellStyle name="Normal 2 2 2 2 2 15 5 2" xfId="17156" xr:uid="{00000000-0005-0000-0000-0000F33F0000}"/>
    <cellStyle name="Normal 2 2 2 2 2 15 5 3" xfId="17157" xr:uid="{00000000-0005-0000-0000-0000F43F0000}"/>
    <cellStyle name="Normal 2 2 2 2 2 15 5 4" xfId="17158" xr:uid="{00000000-0005-0000-0000-0000F53F0000}"/>
    <cellStyle name="Normal 2 2 2 2 2 15 5 5" xfId="17159" xr:uid="{00000000-0005-0000-0000-0000F63F0000}"/>
    <cellStyle name="Normal 2 2 2 2 2 15 5 6" xfId="17160" xr:uid="{00000000-0005-0000-0000-0000F73F0000}"/>
    <cellStyle name="Normal 2 2 2 2 2 15 6" xfId="17161" xr:uid="{00000000-0005-0000-0000-0000F83F0000}"/>
    <cellStyle name="Normal 2 2 2 2 2 15 6 2" xfId="17162" xr:uid="{00000000-0005-0000-0000-0000F93F0000}"/>
    <cellStyle name="Normal 2 2 2 2 2 15 6 3" xfId="17163" xr:uid="{00000000-0005-0000-0000-0000FA3F0000}"/>
    <cellStyle name="Normal 2 2 2 2 2 15 6 4" xfId="17164" xr:uid="{00000000-0005-0000-0000-0000FB3F0000}"/>
    <cellStyle name="Normal 2 2 2 2 2 15 6 5" xfId="17165" xr:uid="{00000000-0005-0000-0000-0000FC3F0000}"/>
    <cellStyle name="Normal 2 2 2 2 2 15 6 6" xfId="17166" xr:uid="{00000000-0005-0000-0000-0000FD3F0000}"/>
    <cellStyle name="Normal 2 2 2 2 2 15 7" xfId="17167" xr:uid="{00000000-0005-0000-0000-0000FE3F0000}"/>
    <cellStyle name="Normal 2 2 2 2 2 15 7 2" xfId="17168" xr:uid="{00000000-0005-0000-0000-0000FF3F0000}"/>
    <cellStyle name="Normal 2 2 2 2 2 15 7 3" xfId="17169" xr:uid="{00000000-0005-0000-0000-000000400000}"/>
    <cellStyle name="Normal 2 2 2 2 2 15 7 4" xfId="17170" xr:uid="{00000000-0005-0000-0000-000001400000}"/>
    <cellStyle name="Normal 2 2 2 2 2 15 7 5" xfId="17171" xr:uid="{00000000-0005-0000-0000-000002400000}"/>
    <cellStyle name="Normal 2 2 2 2 2 15 7 6" xfId="17172" xr:uid="{00000000-0005-0000-0000-000003400000}"/>
    <cellStyle name="Normal 2 2 2 2 2 15 8" xfId="17173" xr:uid="{00000000-0005-0000-0000-000004400000}"/>
    <cellStyle name="Normal 2 2 2 2 2 15 8 2" xfId="17174" xr:uid="{00000000-0005-0000-0000-000005400000}"/>
    <cellStyle name="Normal 2 2 2 2 2 15 8 3" xfId="17175" xr:uid="{00000000-0005-0000-0000-000006400000}"/>
    <cellStyle name="Normal 2 2 2 2 2 15 8 4" xfId="17176" xr:uid="{00000000-0005-0000-0000-000007400000}"/>
    <cellStyle name="Normal 2 2 2 2 2 15 8 5" xfId="17177" xr:uid="{00000000-0005-0000-0000-000008400000}"/>
    <cellStyle name="Normal 2 2 2 2 2 15 8 6" xfId="17178" xr:uid="{00000000-0005-0000-0000-000009400000}"/>
    <cellStyle name="Normal 2 2 2 2 2 15 9" xfId="17179" xr:uid="{00000000-0005-0000-0000-00000A400000}"/>
    <cellStyle name="Normal 2 2 2 2 2 16" xfId="17180" xr:uid="{00000000-0005-0000-0000-00000B400000}"/>
    <cellStyle name="Normal 2 2 2 2 2 16 10" xfId="17181" xr:uid="{00000000-0005-0000-0000-00000C400000}"/>
    <cellStyle name="Normal 2 2 2 2 2 16 11" xfId="17182" xr:uid="{00000000-0005-0000-0000-00000D400000}"/>
    <cellStyle name="Normal 2 2 2 2 2 16 12" xfId="17183" xr:uid="{00000000-0005-0000-0000-00000E400000}"/>
    <cellStyle name="Normal 2 2 2 2 2 16 13" xfId="17184" xr:uid="{00000000-0005-0000-0000-00000F400000}"/>
    <cellStyle name="Normal 2 2 2 2 2 16 2" xfId="17185" xr:uid="{00000000-0005-0000-0000-000010400000}"/>
    <cellStyle name="Normal 2 2 2 2 2 16 2 2" xfId="17186" xr:uid="{00000000-0005-0000-0000-000011400000}"/>
    <cellStyle name="Normal 2 2 2 2 2 16 2 3" xfId="17187" xr:uid="{00000000-0005-0000-0000-000012400000}"/>
    <cellStyle name="Normal 2 2 2 2 2 16 2 4" xfId="17188" xr:uid="{00000000-0005-0000-0000-000013400000}"/>
    <cellStyle name="Normal 2 2 2 2 2 16 2 5" xfId="17189" xr:uid="{00000000-0005-0000-0000-000014400000}"/>
    <cellStyle name="Normal 2 2 2 2 2 16 2 6" xfId="17190" xr:uid="{00000000-0005-0000-0000-000015400000}"/>
    <cellStyle name="Normal 2 2 2 2 2 16 3" xfId="17191" xr:uid="{00000000-0005-0000-0000-000016400000}"/>
    <cellStyle name="Normal 2 2 2 2 2 16 3 2" xfId="17192" xr:uid="{00000000-0005-0000-0000-000017400000}"/>
    <cellStyle name="Normal 2 2 2 2 2 16 3 3" xfId="17193" xr:uid="{00000000-0005-0000-0000-000018400000}"/>
    <cellStyle name="Normal 2 2 2 2 2 16 3 4" xfId="17194" xr:uid="{00000000-0005-0000-0000-000019400000}"/>
    <cellStyle name="Normal 2 2 2 2 2 16 3 5" xfId="17195" xr:uid="{00000000-0005-0000-0000-00001A400000}"/>
    <cellStyle name="Normal 2 2 2 2 2 16 3 6" xfId="17196" xr:uid="{00000000-0005-0000-0000-00001B400000}"/>
    <cellStyle name="Normal 2 2 2 2 2 16 4" xfId="17197" xr:uid="{00000000-0005-0000-0000-00001C400000}"/>
    <cellStyle name="Normal 2 2 2 2 2 16 4 2" xfId="17198" xr:uid="{00000000-0005-0000-0000-00001D400000}"/>
    <cellStyle name="Normal 2 2 2 2 2 16 4 3" xfId="17199" xr:uid="{00000000-0005-0000-0000-00001E400000}"/>
    <cellStyle name="Normal 2 2 2 2 2 16 4 4" xfId="17200" xr:uid="{00000000-0005-0000-0000-00001F400000}"/>
    <cellStyle name="Normal 2 2 2 2 2 16 4 5" xfId="17201" xr:uid="{00000000-0005-0000-0000-000020400000}"/>
    <cellStyle name="Normal 2 2 2 2 2 16 4 6" xfId="17202" xr:uid="{00000000-0005-0000-0000-000021400000}"/>
    <cellStyle name="Normal 2 2 2 2 2 16 5" xfId="17203" xr:uid="{00000000-0005-0000-0000-000022400000}"/>
    <cellStyle name="Normal 2 2 2 2 2 16 5 2" xfId="17204" xr:uid="{00000000-0005-0000-0000-000023400000}"/>
    <cellStyle name="Normal 2 2 2 2 2 16 5 3" xfId="17205" xr:uid="{00000000-0005-0000-0000-000024400000}"/>
    <cellStyle name="Normal 2 2 2 2 2 16 5 4" xfId="17206" xr:uid="{00000000-0005-0000-0000-000025400000}"/>
    <cellStyle name="Normal 2 2 2 2 2 16 5 5" xfId="17207" xr:uid="{00000000-0005-0000-0000-000026400000}"/>
    <cellStyle name="Normal 2 2 2 2 2 16 5 6" xfId="17208" xr:uid="{00000000-0005-0000-0000-000027400000}"/>
    <cellStyle name="Normal 2 2 2 2 2 16 6" xfId="17209" xr:uid="{00000000-0005-0000-0000-000028400000}"/>
    <cellStyle name="Normal 2 2 2 2 2 16 6 2" xfId="17210" xr:uid="{00000000-0005-0000-0000-000029400000}"/>
    <cellStyle name="Normal 2 2 2 2 2 16 6 3" xfId="17211" xr:uid="{00000000-0005-0000-0000-00002A400000}"/>
    <cellStyle name="Normal 2 2 2 2 2 16 6 4" xfId="17212" xr:uid="{00000000-0005-0000-0000-00002B400000}"/>
    <cellStyle name="Normal 2 2 2 2 2 16 6 5" xfId="17213" xr:uid="{00000000-0005-0000-0000-00002C400000}"/>
    <cellStyle name="Normal 2 2 2 2 2 16 6 6" xfId="17214" xr:uid="{00000000-0005-0000-0000-00002D400000}"/>
    <cellStyle name="Normal 2 2 2 2 2 16 7" xfId="17215" xr:uid="{00000000-0005-0000-0000-00002E400000}"/>
    <cellStyle name="Normal 2 2 2 2 2 16 7 2" xfId="17216" xr:uid="{00000000-0005-0000-0000-00002F400000}"/>
    <cellStyle name="Normal 2 2 2 2 2 16 7 3" xfId="17217" xr:uid="{00000000-0005-0000-0000-000030400000}"/>
    <cellStyle name="Normal 2 2 2 2 2 16 7 4" xfId="17218" xr:uid="{00000000-0005-0000-0000-000031400000}"/>
    <cellStyle name="Normal 2 2 2 2 2 16 7 5" xfId="17219" xr:uid="{00000000-0005-0000-0000-000032400000}"/>
    <cellStyle name="Normal 2 2 2 2 2 16 7 6" xfId="17220" xr:uid="{00000000-0005-0000-0000-000033400000}"/>
    <cellStyle name="Normal 2 2 2 2 2 16 8" xfId="17221" xr:uid="{00000000-0005-0000-0000-000034400000}"/>
    <cellStyle name="Normal 2 2 2 2 2 16 8 2" xfId="17222" xr:uid="{00000000-0005-0000-0000-000035400000}"/>
    <cellStyle name="Normal 2 2 2 2 2 16 8 3" xfId="17223" xr:uid="{00000000-0005-0000-0000-000036400000}"/>
    <cellStyle name="Normal 2 2 2 2 2 16 8 4" xfId="17224" xr:uid="{00000000-0005-0000-0000-000037400000}"/>
    <cellStyle name="Normal 2 2 2 2 2 16 8 5" xfId="17225" xr:uid="{00000000-0005-0000-0000-000038400000}"/>
    <cellStyle name="Normal 2 2 2 2 2 16 8 6" xfId="17226" xr:uid="{00000000-0005-0000-0000-000039400000}"/>
    <cellStyle name="Normal 2 2 2 2 2 16 9" xfId="17227" xr:uid="{00000000-0005-0000-0000-00003A400000}"/>
    <cellStyle name="Normal 2 2 2 2 2 17" xfId="17228" xr:uid="{00000000-0005-0000-0000-00003B400000}"/>
    <cellStyle name="Normal 2 2 2 2 2 17 10" xfId="17229" xr:uid="{00000000-0005-0000-0000-00003C400000}"/>
    <cellStyle name="Normal 2 2 2 2 2 17 11" xfId="17230" xr:uid="{00000000-0005-0000-0000-00003D400000}"/>
    <cellStyle name="Normal 2 2 2 2 2 17 12" xfId="17231" xr:uid="{00000000-0005-0000-0000-00003E400000}"/>
    <cellStyle name="Normal 2 2 2 2 2 17 13" xfId="17232" xr:uid="{00000000-0005-0000-0000-00003F400000}"/>
    <cellStyle name="Normal 2 2 2 2 2 17 2" xfId="17233" xr:uid="{00000000-0005-0000-0000-000040400000}"/>
    <cellStyle name="Normal 2 2 2 2 2 17 2 2" xfId="17234" xr:uid="{00000000-0005-0000-0000-000041400000}"/>
    <cellStyle name="Normal 2 2 2 2 2 17 2 3" xfId="17235" xr:uid="{00000000-0005-0000-0000-000042400000}"/>
    <cellStyle name="Normal 2 2 2 2 2 17 2 4" xfId="17236" xr:uid="{00000000-0005-0000-0000-000043400000}"/>
    <cellStyle name="Normal 2 2 2 2 2 17 2 5" xfId="17237" xr:uid="{00000000-0005-0000-0000-000044400000}"/>
    <cellStyle name="Normal 2 2 2 2 2 17 2 6" xfId="17238" xr:uid="{00000000-0005-0000-0000-000045400000}"/>
    <cellStyle name="Normal 2 2 2 2 2 17 3" xfId="17239" xr:uid="{00000000-0005-0000-0000-000046400000}"/>
    <cellStyle name="Normal 2 2 2 2 2 17 3 2" xfId="17240" xr:uid="{00000000-0005-0000-0000-000047400000}"/>
    <cellStyle name="Normal 2 2 2 2 2 17 3 3" xfId="17241" xr:uid="{00000000-0005-0000-0000-000048400000}"/>
    <cellStyle name="Normal 2 2 2 2 2 17 3 4" xfId="17242" xr:uid="{00000000-0005-0000-0000-000049400000}"/>
    <cellStyle name="Normal 2 2 2 2 2 17 3 5" xfId="17243" xr:uid="{00000000-0005-0000-0000-00004A400000}"/>
    <cellStyle name="Normal 2 2 2 2 2 17 3 6" xfId="17244" xr:uid="{00000000-0005-0000-0000-00004B400000}"/>
    <cellStyle name="Normal 2 2 2 2 2 17 4" xfId="17245" xr:uid="{00000000-0005-0000-0000-00004C400000}"/>
    <cellStyle name="Normal 2 2 2 2 2 17 4 2" xfId="17246" xr:uid="{00000000-0005-0000-0000-00004D400000}"/>
    <cellStyle name="Normal 2 2 2 2 2 17 4 3" xfId="17247" xr:uid="{00000000-0005-0000-0000-00004E400000}"/>
    <cellStyle name="Normal 2 2 2 2 2 17 4 4" xfId="17248" xr:uid="{00000000-0005-0000-0000-00004F400000}"/>
    <cellStyle name="Normal 2 2 2 2 2 17 4 5" xfId="17249" xr:uid="{00000000-0005-0000-0000-000050400000}"/>
    <cellStyle name="Normal 2 2 2 2 2 17 4 6" xfId="17250" xr:uid="{00000000-0005-0000-0000-000051400000}"/>
    <cellStyle name="Normal 2 2 2 2 2 17 5" xfId="17251" xr:uid="{00000000-0005-0000-0000-000052400000}"/>
    <cellStyle name="Normal 2 2 2 2 2 17 5 2" xfId="17252" xr:uid="{00000000-0005-0000-0000-000053400000}"/>
    <cellStyle name="Normal 2 2 2 2 2 17 5 3" xfId="17253" xr:uid="{00000000-0005-0000-0000-000054400000}"/>
    <cellStyle name="Normal 2 2 2 2 2 17 5 4" xfId="17254" xr:uid="{00000000-0005-0000-0000-000055400000}"/>
    <cellStyle name="Normal 2 2 2 2 2 17 5 5" xfId="17255" xr:uid="{00000000-0005-0000-0000-000056400000}"/>
    <cellStyle name="Normal 2 2 2 2 2 17 5 6" xfId="17256" xr:uid="{00000000-0005-0000-0000-000057400000}"/>
    <cellStyle name="Normal 2 2 2 2 2 17 6" xfId="17257" xr:uid="{00000000-0005-0000-0000-000058400000}"/>
    <cellStyle name="Normal 2 2 2 2 2 17 6 2" xfId="17258" xr:uid="{00000000-0005-0000-0000-000059400000}"/>
    <cellStyle name="Normal 2 2 2 2 2 17 6 3" xfId="17259" xr:uid="{00000000-0005-0000-0000-00005A400000}"/>
    <cellStyle name="Normal 2 2 2 2 2 17 6 4" xfId="17260" xr:uid="{00000000-0005-0000-0000-00005B400000}"/>
    <cellStyle name="Normal 2 2 2 2 2 17 6 5" xfId="17261" xr:uid="{00000000-0005-0000-0000-00005C400000}"/>
    <cellStyle name="Normal 2 2 2 2 2 17 6 6" xfId="17262" xr:uid="{00000000-0005-0000-0000-00005D400000}"/>
    <cellStyle name="Normal 2 2 2 2 2 17 7" xfId="17263" xr:uid="{00000000-0005-0000-0000-00005E400000}"/>
    <cellStyle name="Normal 2 2 2 2 2 17 7 2" xfId="17264" xr:uid="{00000000-0005-0000-0000-00005F400000}"/>
    <cellStyle name="Normal 2 2 2 2 2 17 7 3" xfId="17265" xr:uid="{00000000-0005-0000-0000-000060400000}"/>
    <cellStyle name="Normal 2 2 2 2 2 17 7 4" xfId="17266" xr:uid="{00000000-0005-0000-0000-000061400000}"/>
    <cellStyle name="Normal 2 2 2 2 2 17 7 5" xfId="17267" xr:uid="{00000000-0005-0000-0000-000062400000}"/>
    <cellStyle name="Normal 2 2 2 2 2 17 7 6" xfId="17268" xr:uid="{00000000-0005-0000-0000-000063400000}"/>
    <cellStyle name="Normal 2 2 2 2 2 17 8" xfId="17269" xr:uid="{00000000-0005-0000-0000-000064400000}"/>
    <cellStyle name="Normal 2 2 2 2 2 17 8 2" xfId="17270" xr:uid="{00000000-0005-0000-0000-000065400000}"/>
    <cellStyle name="Normal 2 2 2 2 2 17 8 3" xfId="17271" xr:uid="{00000000-0005-0000-0000-000066400000}"/>
    <cellStyle name="Normal 2 2 2 2 2 17 8 4" xfId="17272" xr:uid="{00000000-0005-0000-0000-000067400000}"/>
    <cellStyle name="Normal 2 2 2 2 2 17 8 5" xfId="17273" xr:uid="{00000000-0005-0000-0000-000068400000}"/>
    <cellStyle name="Normal 2 2 2 2 2 17 8 6" xfId="17274" xr:uid="{00000000-0005-0000-0000-000069400000}"/>
    <cellStyle name="Normal 2 2 2 2 2 17 9" xfId="17275" xr:uid="{00000000-0005-0000-0000-00006A400000}"/>
    <cellStyle name="Normal 2 2 2 2 2 18" xfId="17276" xr:uid="{00000000-0005-0000-0000-00006B400000}"/>
    <cellStyle name="Normal 2 2 2 2 2 18 10" xfId="17277" xr:uid="{00000000-0005-0000-0000-00006C400000}"/>
    <cellStyle name="Normal 2 2 2 2 2 18 11" xfId="17278" xr:uid="{00000000-0005-0000-0000-00006D400000}"/>
    <cellStyle name="Normal 2 2 2 2 2 18 12" xfId="17279" xr:uid="{00000000-0005-0000-0000-00006E400000}"/>
    <cellStyle name="Normal 2 2 2 2 2 18 13" xfId="17280" xr:uid="{00000000-0005-0000-0000-00006F400000}"/>
    <cellStyle name="Normal 2 2 2 2 2 18 2" xfId="17281" xr:uid="{00000000-0005-0000-0000-000070400000}"/>
    <cellStyle name="Normal 2 2 2 2 2 18 2 2" xfId="17282" xr:uid="{00000000-0005-0000-0000-000071400000}"/>
    <cellStyle name="Normal 2 2 2 2 2 18 2 2 2" xfId="17283" xr:uid="{00000000-0005-0000-0000-000072400000}"/>
    <cellStyle name="Normal 2 2 2 2 2 18 2 3" xfId="17284" xr:uid="{00000000-0005-0000-0000-000073400000}"/>
    <cellStyle name="Normal 2 2 2 2 2 18 2 4" xfId="17285" xr:uid="{00000000-0005-0000-0000-000074400000}"/>
    <cellStyle name="Normal 2 2 2 2 2 18 2 5" xfId="17286" xr:uid="{00000000-0005-0000-0000-000075400000}"/>
    <cellStyle name="Normal 2 2 2 2 2 18 2 6" xfId="17287" xr:uid="{00000000-0005-0000-0000-000076400000}"/>
    <cellStyle name="Normal 2 2 2 2 2 18 3" xfId="17288" xr:uid="{00000000-0005-0000-0000-000077400000}"/>
    <cellStyle name="Normal 2 2 2 2 2 18 3 2" xfId="17289" xr:uid="{00000000-0005-0000-0000-000078400000}"/>
    <cellStyle name="Normal 2 2 2 2 2 18 3 3" xfId="17290" xr:uid="{00000000-0005-0000-0000-000079400000}"/>
    <cellStyle name="Normal 2 2 2 2 2 18 3 4" xfId="17291" xr:uid="{00000000-0005-0000-0000-00007A400000}"/>
    <cellStyle name="Normal 2 2 2 2 2 18 3 5" xfId="17292" xr:uid="{00000000-0005-0000-0000-00007B400000}"/>
    <cellStyle name="Normal 2 2 2 2 2 18 3 6" xfId="17293" xr:uid="{00000000-0005-0000-0000-00007C400000}"/>
    <cellStyle name="Normal 2 2 2 2 2 18 4" xfId="17294" xr:uid="{00000000-0005-0000-0000-00007D400000}"/>
    <cellStyle name="Normal 2 2 2 2 2 18 4 2" xfId="17295" xr:uid="{00000000-0005-0000-0000-00007E400000}"/>
    <cellStyle name="Normal 2 2 2 2 2 18 4 3" xfId="17296" xr:uid="{00000000-0005-0000-0000-00007F400000}"/>
    <cellStyle name="Normal 2 2 2 2 2 18 4 4" xfId="17297" xr:uid="{00000000-0005-0000-0000-000080400000}"/>
    <cellStyle name="Normal 2 2 2 2 2 18 4 5" xfId="17298" xr:uid="{00000000-0005-0000-0000-000081400000}"/>
    <cellStyle name="Normal 2 2 2 2 2 18 4 6" xfId="17299" xr:uid="{00000000-0005-0000-0000-000082400000}"/>
    <cellStyle name="Normal 2 2 2 2 2 18 5" xfId="17300" xr:uid="{00000000-0005-0000-0000-000083400000}"/>
    <cellStyle name="Normal 2 2 2 2 2 18 5 2" xfId="17301" xr:uid="{00000000-0005-0000-0000-000084400000}"/>
    <cellStyle name="Normal 2 2 2 2 2 18 5 3" xfId="17302" xr:uid="{00000000-0005-0000-0000-000085400000}"/>
    <cellStyle name="Normal 2 2 2 2 2 18 5 4" xfId="17303" xr:uid="{00000000-0005-0000-0000-000086400000}"/>
    <cellStyle name="Normal 2 2 2 2 2 18 5 5" xfId="17304" xr:uid="{00000000-0005-0000-0000-000087400000}"/>
    <cellStyle name="Normal 2 2 2 2 2 18 5 6" xfId="17305" xr:uid="{00000000-0005-0000-0000-000088400000}"/>
    <cellStyle name="Normal 2 2 2 2 2 18 6" xfId="17306" xr:uid="{00000000-0005-0000-0000-000089400000}"/>
    <cellStyle name="Normal 2 2 2 2 2 18 6 2" xfId="17307" xr:uid="{00000000-0005-0000-0000-00008A400000}"/>
    <cellStyle name="Normal 2 2 2 2 2 18 6 3" xfId="17308" xr:uid="{00000000-0005-0000-0000-00008B400000}"/>
    <cellStyle name="Normal 2 2 2 2 2 18 6 4" xfId="17309" xr:uid="{00000000-0005-0000-0000-00008C400000}"/>
    <cellStyle name="Normal 2 2 2 2 2 18 6 5" xfId="17310" xr:uid="{00000000-0005-0000-0000-00008D400000}"/>
    <cellStyle name="Normal 2 2 2 2 2 18 6 6" xfId="17311" xr:uid="{00000000-0005-0000-0000-00008E400000}"/>
    <cellStyle name="Normal 2 2 2 2 2 18 7" xfId="17312" xr:uid="{00000000-0005-0000-0000-00008F400000}"/>
    <cellStyle name="Normal 2 2 2 2 2 18 7 2" xfId="17313" xr:uid="{00000000-0005-0000-0000-000090400000}"/>
    <cellStyle name="Normal 2 2 2 2 2 18 7 3" xfId="17314" xr:uid="{00000000-0005-0000-0000-000091400000}"/>
    <cellStyle name="Normal 2 2 2 2 2 18 7 4" xfId="17315" xr:uid="{00000000-0005-0000-0000-000092400000}"/>
    <cellStyle name="Normal 2 2 2 2 2 18 7 5" xfId="17316" xr:uid="{00000000-0005-0000-0000-000093400000}"/>
    <cellStyle name="Normal 2 2 2 2 2 18 7 6" xfId="17317" xr:uid="{00000000-0005-0000-0000-000094400000}"/>
    <cellStyle name="Normal 2 2 2 2 2 18 8" xfId="17318" xr:uid="{00000000-0005-0000-0000-000095400000}"/>
    <cellStyle name="Normal 2 2 2 2 2 18 8 2" xfId="17319" xr:uid="{00000000-0005-0000-0000-000096400000}"/>
    <cellStyle name="Normal 2 2 2 2 2 18 8 3" xfId="17320" xr:uid="{00000000-0005-0000-0000-000097400000}"/>
    <cellStyle name="Normal 2 2 2 2 2 18 8 4" xfId="17321" xr:uid="{00000000-0005-0000-0000-000098400000}"/>
    <cellStyle name="Normal 2 2 2 2 2 18 8 5" xfId="17322" xr:uid="{00000000-0005-0000-0000-000099400000}"/>
    <cellStyle name="Normal 2 2 2 2 2 18 8 6" xfId="17323" xr:uid="{00000000-0005-0000-0000-00009A400000}"/>
    <cellStyle name="Normal 2 2 2 2 2 18 9" xfId="17324" xr:uid="{00000000-0005-0000-0000-00009B400000}"/>
    <cellStyle name="Normal 2 2 2 2 2 19" xfId="17325" xr:uid="{00000000-0005-0000-0000-00009C400000}"/>
    <cellStyle name="Normal 2 2 2 2 2 19 10" xfId="17326" xr:uid="{00000000-0005-0000-0000-00009D400000}"/>
    <cellStyle name="Normal 2 2 2 2 2 19 11" xfId="17327" xr:uid="{00000000-0005-0000-0000-00009E400000}"/>
    <cellStyle name="Normal 2 2 2 2 2 19 12" xfId="17328" xr:uid="{00000000-0005-0000-0000-00009F400000}"/>
    <cellStyle name="Normal 2 2 2 2 2 19 13" xfId="17329" xr:uid="{00000000-0005-0000-0000-0000A0400000}"/>
    <cellStyle name="Normal 2 2 2 2 2 19 2" xfId="17330" xr:uid="{00000000-0005-0000-0000-0000A1400000}"/>
    <cellStyle name="Normal 2 2 2 2 2 19 2 2" xfId="17331" xr:uid="{00000000-0005-0000-0000-0000A2400000}"/>
    <cellStyle name="Normal 2 2 2 2 2 19 2 3" xfId="17332" xr:uid="{00000000-0005-0000-0000-0000A3400000}"/>
    <cellStyle name="Normal 2 2 2 2 2 19 2 4" xfId="17333" xr:uid="{00000000-0005-0000-0000-0000A4400000}"/>
    <cellStyle name="Normal 2 2 2 2 2 19 2 5" xfId="17334" xr:uid="{00000000-0005-0000-0000-0000A5400000}"/>
    <cellStyle name="Normal 2 2 2 2 2 19 2 6" xfId="17335" xr:uid="{00000000-0005-0000-0000-0000A6400000}"/>
    <cellStyle name="Normal 2 2 2 2 2 19 3" xfId="17336" xr:uid="{00000000-0005-0000-0000-0000A7400000}"/>
    <cellStyle name="Normal 2 2 2 2 2 19 3 2" xfId="17337" xr:uid="{00000000-0005-0000-0000-0000A8400000}"/>
    <cellStyle name="Normal 2 2 2 2 2 19 3 3" xfId="17338" xr:uid="{00000000-0005-0000-0000-0000A9400000}"/>
    <cellStyle name="Normal 2 2 2 2 2 19 3 4" xfId="17339" xr:uid="{00000000-0005-0000-0000-0000AA400000}"/>
    <cellStyle name="Normal 2 2 2 2 2 19 3 5" xfId="17340" xr:uid="{00000000-0005-0000-0000-0000AB400000}"/>
    <cellStyle name="Normal 2 2 2 2 2 19 3 6" xfId="17341" xr:uid="{00000000-0005-0000-0000-0000AC400000}"/>
    <cellStyle name="Normal 2 2 2 2 2 19 4" xfId="17342" xr:uid="{00000000-0005-0000-0000-0000AD400000}"/>
    <cellStyle name="Normal 2 2 2 2 2 19 4 2" xfId="17343" xr:uid="{00000000-0005-0000-0000-0000AE400000}"/>
    <cellStyle name="Normal 2 2 2 2 2 19 4 3" xfId="17344" xr:uid="{00000000-0005-0000-0000-0000AF400000}"/>
    <cellStyle name="Normal 2 2 2 2 2 19 4 4" xfId="17345" xr:uid="{00000000-0005-0000-0000-0000B0400000}"/>
    <cellStyle name="Normal 2 2 2 2 2 19 4 5" xfId="17346" xr:uid="{00000000-0005-0000-0000-0000B1400000}"/>
    <cellStyle name="Normal 2 2 2 2 2 19 4 6" xfId="17347" xr:uid="{00000000-0005-0000-0000-0000B2400000}"/>
    <cellStyle name="Normal 2 2 2 2 2 19 5" xfId="17348" xr:uid="{00000000-0005-0000-0000-0000B3400000}"/>
    <cellStyle name="Normal 2 2 2 2 2 19 5 2" xfId="17349" xr:uid="{00000000-0005-0000-0000-0000B4400000}"/>
    <cellStyle name="Normal 2 2 2 2 2 19 5 3" xfId="17350" xr:uid="{00000000-0005-0000-0000-0000B5400000}"/>
    <cellStyle name="Normal 2 2 2 2 2 19 5 4" xfId="17351" xr:uid="{00000000-0005-0000-0000-0000B6400000}"/>
    <cellStyle name="Normal 2 2 2 2 2 19 5 5" xfId="17352" xr:uid="{00000000-0005-0000-0000-0000B7400000}"/>
    <cellStyle name="Normal 2 2 2 2 2 19 5 6" xfId="17353" xr:uid="{00000000-0005-0000-0000-0000B8400000}"/>
    <cellStyle name="Normal 2 2 2 2 2 19 6" xfId="17354" xr:uid="{00000000-0005-0000-0000-0000B9400000}"/>
    <cellStyle name="Normal 2 2 2 2 2 19 6 2" xfId="17355" xr:uid="{00000000-0005-0000-0000-0000BA400000}"/>
    <cellStyle name="Normal 2 2 2 2 2 19 6 3" xfId="17356" xr:uid="{00000000-0005-0000-0000-0000BB400000}"/>
    <cellStyle name="Normal 2 2 2 2 2 19 6 4" xfId="17357" xr:uid="{00000000-0005-0000-0000-0000BC400000}"/>
    <cellStyle name="Normal 2 2 2 2 2 19 6 5" xfId="17358" xr:uid="{00000000-0005-0000-0000-0000BD400000}"/>
    <cellStyle name="Normal 2 2 2 2 2 19 6 6" xfId="17359" xr:uid="{00000000-0005-0000-0000-0000BE400000}"/>
    <cellStyle name="Normal 2 2 2 2 2 19 7" xfId="17360" xr:uid="{00000000-0005-0000-0000-0000BF400000}"/>
    <cellStyle name="Normal 2 2 2 2 2 19 7 2" xfId="17361" xr:uid="{00000000-0005-0000-0000-0000C0400000}"/>
    <cellStyle name="Normal 2 2 2 2 2 19 7 3" xfId="17362" xr:uid="{00000000-0005-0000-0000-0000C1400000}"/>
    <cellStyle name="Normal 2 2 2 2 2 19 7 4" xfId="17363" xr:uid="{00000000-0005-0000-0000-0000C2400000}"/>
    <cellStyle name="Normal 2 2 2 2 2 19 7 5" xfId="17364" xr:uid="{00000000-0005-0000-0000-0000C3400000}"/>
    <cellStyle name="Normal 2 2 2 2 2 19 7 6" xfId="17365" xr:uid="{00000000-0005-0000-0000-0000C4400000}"/>
    <cellStyle name="Normal 2 2 2 2 2 19 8" xfId="17366" xr:uid="{00000000-0005-0000-0000-0000C5400000}"/>
    <cellStyle name="Normal 2 2 2 2 2 19 8 2" xfId="17367" xr:uid="{00000000-0005-0000-0000-0000C6400000}"/>
    <cellStyle name="Normal 2 2 2 2 2 19 8 3" xfId="17368" xr:uid="{00000000-0005-0000-0000-0000C7400000}"/>
    <cellStyle name="Normal 2 2 2 2 2 19 8 4" xfId="17369" xr:uid="{00000000-0005-0000-0000-0000C8400000}"/>
    <cellStyle name="Normal 2 2 2 2 2 19 8 5" xfId="17370" xr:uid="{00000000-0005-0000-0000-0000C9400000}"/>
    <cellStyle name="Normal 2 2 2 2 2 19 8 6" xfId="17371" xr:uid="{00000000-0005-0000-0000-0000CA400000}"/>
    <cellStyle name="Normal 2 2 2 2 2 19 9" xfId="17372" xr:uid="{00000000-0005-0000-0000-0000CB400000}"/>
    <cellStyle name="Normal 2 2 2 2 2 2" xfId="17373" xr:uid="{00000000-0005-0000-0000-0000CC400000}"/>
    <cellStyle name="Normal 2 2 2 2 2 2 10" xfId="17374" xr:uid="{00000000-0005-0000-0000-0000CD400000}"/>
    <cellStyle name="Normal 2 2 2 2 2 2 11" xfId="17375" xr:uid="{00000000-0005-0000-0000-0000CE400000}"/>
    <cellStyle name="Normal 2 2 2 2 2 2 12" xfId="17376" xr:uid="{00000000-0005-0000-0000-0000CF400000}"/>
    <cellStyle name="Normal 2 2 2 2 2 2 13" xfId="17377" xr:uid="{00000000-0005-0000-0000-0000D0400000}"/>
    <cellStyle name="Normal 2 2 2 2 2 2 14" xfId="17378" xr:uid="{00000000-0005-0000-0000-0000D1400000}"/>
    <cellStyle name="Normal 2 2 2 2 2 2 15" xfId="17379" xr:uid="{00000000-0005-0000-0000-0000D2400000}"/>
    <cellStyle name="Normal 2 2 2 2 2 2 16" xfId="17380" xr:uid="{00000000-0005-0000-0000-0000D3400000}"/>
    <cellStyle name="Normal 2 2 2 2 2 2 17" xfId="17381" xr:uid="{00000000-0005-0000-0000-0000D4400000}"/>
    <cellStyle name="Normal 2 2 2 2 2 2 18" xfId="17382" xr:uid="{00000000-0005-0000-0000-0000D5400000}"/>
    <cellStyle name="Normal 2 2 2 2 2 2 19" xfId="17383" xr:uid="{00000000-0005-0000-0000-0000D6400000}"/>
    <cellStyle name="Normal 2 2 2 2 2 2 19 10" xfId="17384" xr:uid="{00000000-0005-0000-0000-0000D7400000}"/>
    <cellStyle name="Normal 2 2 2 2 2 2 19 11" xfId="17385" xr:uid="{00000000-0005-0000-0000-0000D8400000}"/>
    <cellStyle name="Normal 2 2 2 2 2 2 19 12" xfId="17386" xr:uid="{00000000-0005-0000-0000-0000D9400000}"/>
    <cellStyle name="Normal 2 2 2 2 2 2 19 13" xfId="17387" xr:uid="{00000000-0005-0000-0000-0000DA400000}"/>
    <cellStyle name="Normal 2 2 2 2 2 2 19 2" xfId="17388" xr:uid="{00000000-0005-0000-0000-0000DB400000}"/>
    <cellStyle name="Normal 2 2 2 2 2 2 19 2 2" xfId="17389" xr:uid="{00000000-0005-0000-0000-0000DC400000}"/>
    <cellStyle name="Normal 2 2 2 2 2 2 19 2 3" xfId="17390" xr:uid="{00000000-0005-0000-0000-0000DD400000}"/>
    <cellStyle name="Normal 2 2 2 2 2 2 19 2 4" xfId="17391" xr:uid="{00000000-0005-0000-0000-0000DE400000}"/>
    <cellStyle name="Normal 2 2 2 2 2 2 19 2 5" xfId="17392" xr:uid="{00000000-0005-0000-0000-0000DF400000}"/>
    <cellStyle name="Normal 2 2 2 2 2 2 19 2 6" xfId="17393" xr:uid="{00000000-0005-0000-0000-0000E0400000}"/>
    <cellStyle name="Normal 2 2 2 2 2 2 19 3" xfId="17394" xr:uid="{00000000-0005-0000-0000-0000E1400000}"/>
    <cellStyle name="Normal 2 2 2 2 2 2 19 3 2" xfId="17395" xr:uid="{00000000-0005-0000-0000-0000E2400000}"/>
    <cellStyle name="Normal 2 2 2 2 2 2 19 3 3" xfId="17396" xr:uid="{00000000-0005-0000-0000-0000E3400000}"/>
    <cellStyle name="Normal 2 2 2 2 2 2 19 3 4" xfId="17397" xr:uid="{00000000-0005-0000-0000-0000E4400000}"/>
    <cellStyle name="Normal 2 2 2 2 2 2 19 3 5" xfId="17398" xr:uid="{00000000-0005-0000-0000-0000E5400000}"/>
    <cellStyle name="Normal 2 2 2 2 2 2 19 3 6" xfId="17399" xr:uid="{00000000-0005-0000-0000-0000E6400000}"/>
    <cellStyle name="Normal 2 2 2 2 2 2 19 4" xfId="17400" xr:uid="{00000000-0005-0000-0000-0000E7400000}"/>
    <cellStyle name="Normal 2 2 2 2 2 2 19 4 2" xfId="17401" xr:uid="{00000000-0005-0000-0000-0000E8400000}"/>
    <cellStyle name="Normal 2 2 2 2 2 2 19 4 3" xfId="17402" xr:uid="{00000000-0005-0000-0000-0000E9400000}"/>
    <cellStyle name="Normal 2 2 2 2 2 2 19 4 4" xfId="17403" xr:uid="{00000000-0005-0000-0000-0000EA400000}"/>
    <cellStyle name="Normal 2 2 2 2 2 2 19 4 5" xfId="17404" xr:uid="{00000000-0005-0000-0000-0000EB400000}"/>
    <cellStyle name="Normal 2 2 2 2 2 2 19 4 6" xfId="17405" xr:uid="{00000000-0005-0000-0000-0000EC400000}"/>
    <cellStyle name="Normal 2 2 2 2 2 2 19 5" xfId="17406" xr:uid="{00000000-0005-0000-0000-0000ED400000}"/>
    <cellStyle name="Normal 2 2 2 2 2 2 19 5 2" xfId="17407" xr:uid="{00000000-0005-0000-0000-0000EE400000}"/>
    <cellStyle name="Normal 2 2 2 2 2 2 19 5 3" xfId="17408" xr:uid="{00000000-0005-0000-0000-0000EF400000}"/>
    <cellStyle name="Normal 2 2 2 2 2 2 19 5 4" xfId="17409" xr:uid="{00000000-0005-0000-0000-0000F0400000}"/>
    <cellStyle name="Normal 2 2 2 2 2 2 19 5 5" xfId="17410" xr:uid="{00000000-0005-0000-0000-0000F1400000}"/>
    <cellStyle name="Normal 2 2 2 2 2 2 19 5 6" xfId="17411" xr:uid="{00000000-0005-0000-0000-0000F2400000}"/>
    <cellStyle name="Normal 2 2 2 2 2 2 19 6" xfId="17412" xr:uid="{00000000-0005-0000-0000-0000F3400000}"/>
    <cellStyle name="Normal 2 2 2 2 2 2 19 6 2" xfId="17413" xr:uid="{00000000-0005-0000-0000-0000F4400000}"/>
    <cellStyle name="Normal 2 2 2 2 2 2 19 6 3" xfId="17414" xr:uid="{00000000-0005-0000-0000-0000F5400000}"/>
    <cellStyle name="Normal 2 2 2 2 2 2 19 6 4" xfId="17415" xr:uid="{00000000-0005-0000-0000-0000F6400000}"/>
    <cellStyle name="Normal 2 2 2 2 2 2 19 6 5" xfId="17416" xr:uid="{00000000-0005-0000-0000-0000F7400000}"/>
    <cellStyle name="Normal 2 2 2 2 2 2 19 6 6" xfId="17417" xr:uid="{00000000-0005-0000-0000-0000F8400000}"/>
    <cellStyle name="Normal 2 2 2 2 2 2 19 7" xfId="17418" xr:uid="{00000000-0005-0000-0000-0000F9400000}"/>
    <cellStyle name="Normal 2 2 2 2 2 2 19 7 2" xfId="17419" xr:uid="{00000000-0005-0000-0000-0000FA400000}"/>
    <cellStyle name="Normal 2 2 2 2 2 2 19 7 3" xfId="17420" xr:uid="{00000000-0005-0000-0000-0000FB400000}"/>
    <cellStyle name="Normal 2 2 2 2 2 2 19 7 4" xfId="17421" xr:uid="{00000000-0005-0000-0000-0000FC400000}"/>
    <cellStyle name="Normal 2 2 2 2 2 2 19 7 5" xfId="17422" xr:uid="{00000000-0005-0000-0000-0000FD400000}"/>
    <cellStyle name="Normal 2 2 2 2 2 2 19 7 6" xfId="17423" xr:uid="{00000000-0005-0000-0000-0000FE400000}"/>
    <cellStyle name="Normal 2 2 2 2 2 2 19 8" xfId="17424" xr:uid="{00000000-0005-0000-0000-0000FF400000}"/>
    <cellStyle name="Normal 2 2 2 2 2 2 19 8 2" xfId="17425" xr:uid="{00000000-0005-0000-0000-000000410000}"/>
    <cellStyle name="Normal 2 2 2 2 2 2 19 8 3" xfId="17426" xr:uid="{00000000-0005-0000-0000-000001410000}"/>
    <cellStyle name="Normal 2 2 2 2 2 2 19 8 4" xfId="17427" xr:uid="{00000000-0005-0000-0000-000002410000}"/>
    <cellStyle name="Normal 2 2 2 2 2 2 19 8 5" xfId="17428" xr:uid="{00000000-0005-0000-0000-000003410000}"/>
    <cellStyle name="Normal 2 2 2 2 2 2 19 8 6" xfId="17429" xr:uid="{00000000-0005-0000-0000-000004410000}"/>
    <cellStyle name="Normal 2 2 2 2 2 2 19 9" xfId="17430" xr:uid="{00000000-0005-0000-0000-000005410000}"/>
    <cellStyle name="Normal 2 2 2 2 2 2 2" xfId="17431" xr:uid="{00000000-0005-0000-0000-000006410000}"/>
    <cellStyle name="Normal 2 2 2 2 2 2 2 10" xfId="17432" xr:uid="{00000000-0005-0000-0000-000007410000}"/>
    <cellStyle name="Normal 2 2 2 2 2 2 2 10 10" xfId="17433" xr:uid="{00000000-0005-0000-0000-000008410000}"/>
    <cellStyle name="Normal 2 2 2 2 2 2 2 10 11" xfId="17434" xr:uid="{00000000-0005-0000-0000-000009410000}"/>
    <cellStyle name="Normal 2 2 2 2 2 2 2 10 12" xfId="17435" xr:uid="{00000000-0005-0000-0000-00000A410000}"/>
    <cellStyle name="Normal 2 2 2 2 2 2 2 10 13" xfId="17436" xr:uid="{00000000-0005-0000-0000-00000B410000}"/>
    <cellStyle name="Normal 2 2 2 2 2 2 2 10 2" xfId="17437" xr:uid="{00000000-0005-0000-0000-00000C410000}"/>
    <cellStyle name="Normal 2 2 2 2 2 2 2 10 2 2" xfId="17438" xr:uid="{00000000-0005-0000-0000-00000D410000}"/>
    <cellStyle name="Normal 2 2 2 2 2 2 2 10 2 3" xfId="17439" xr:uid="{00000000-0005-0000-0000-00000E410000}"/>
    <cellStyle name="Normal 2 2 2 2 2 2 2 10 2 4" xfId="17440" xr:uid="{00000000-0005-0000-0000-00000F410000}"/>
    <cellStyle name="Normal 2 2 2 2 2 2 2 10 2 5" xfId="17441" xr:uid="{00000000-0005-0000-0000-000010410000}"/>
    <cellStyle name="Normal 2 2 2 2 2 2 2 10 2 6" xfId="17442" xr:uid="{00000000-0005-0000-0000-000011410000}"/>
    <cellStyle name="Normal 2 2 2 2 2 2 2 10 3" xfId="17443" xr:uid="{00000000-0005-0000-0000-000012410000}"/>
    <cellStyle name="Normal 2 2 2 2 2 2 2 10 3 2" xfId="17444" xr:uid="{00000000-0005-0000-0000-000013410000}"/>
    <cellStyle name="Normal 2 2 2 2 2 2 2 10 3 3" xfId="17445" xr:uid="{00000000-0005-0000-0000-000014410000}"/>
    <cellStyle name="Normal 2 2 2 2 2 2 2 10 3 4" xfId="17446" xr:uid="{00000000-0005-0000-0000-000015410000}"/>
    <cellStyle name="Normal 2 2 2 2 2 2 2 10 3 5" xfId="17447" xr:uid="{00000000-0005-0000-0000-000016410000}"/>
    <cellStyle name="Normal 2 2 2 2 2 2 2 10 3 6" xfId="17448" xr:uid="{00000000-0005-0000-0000-000017410000}"/>
    <cellStyle name="Normal 2 2 2 2 2 2 2 10 4" xfId="17449" xr:uid="{00000000-0005-0000-0000-000018410000}"/>
    <cellStyle name="Normal 2 2 2 2 2 2 2 10 4 2" xfId="17450" xr:uid="{00000000-0005-0000-0000-000019410000}"/>
    <cellStyle name="Normal 2 2 2 2 2 2 2 10 4 3" xfId="17451" xr:uid="{00000000-0005-0000-0000-00001A410000}"/>
    <cellStyle name="Normal 2 2 2 2 2 2 2 10 4 4" xfId="17452" xr:uid="{00000000-0005-0000-0000-00001B410000}"/>
    <cellStyle name="Normal 2 2 2 2 2 2 2 10 4 5" xfId="17453" xr:uid="{00000000-0005-0000-0000-00001C410000}"/>
    <cellStyle name="Normal 2 2 2 2 2 2 2 10 4 6" xfId="17454" xr:uid="{00000000-0005-0000-0000-00001D410000}"/>
    <cellStyle name="Normal 2 2 2 2 2 2 2 10 5" xfId="17455" xr:uid="{00000000-0005-0000-0000-00001E410000}"/>
    <cellStyle name="Normal 2 2 2 2 2 2 2 10 5 2" xfId="17456" xr:uid="{00000000-0005-0000-0000-00001F410000}"/>
    <cellStyle name="Normal 2 2 2 2 2 2 2 10 5 3" xfId="17457" xr:uid="{00000000-0005-0000-0000-000020410000}"/>
    <cellStyle name="Normal 2 2 2 2 2 2 2 10 5 4" xfId="17458" xr:uid="{00000000-0005-0000-0000-000021410000}"/>
    <cellStyle name="Normal 2 2 2 2 2 2 2 10 5 5" xfId="17459" xr:uid="{00000000-0005-0000-0000-000022410000}"/>
    <cellStyle name="Normal 2 2 2 2 2 2 2 10 5 6" xfId="17460" xr:uid="{00000000-0005-0000-0000-000023410000}"/>
    <cellStyle name="Normal 2 2 2 2 2 2 2 10 6" xfId="17461" xr:uid="{00000000-0005-0000-0000-000024410000}"/>
    <cellStyle name="Normal 2 2 2 2 2 2 2 10 6 2" xfId="17462" xr:uid="{00000000-0005-0000-0000-000025410000}"/>
    <cellStyle name="Normal 2 2 2 2 2 2 2 10 6 3" xfId="17463" xr:uid="{00000000-0005-0000-0000-000026410000}"/>
    <cellStyle name="Normal 2 2 2 2 2 2 2 10 6 4" xfId="17464" xr:uid="{00000000-0005-0000-0000-000027410000}"/>
    <cellStyle name="Normal 2 2 2 2 2 2 2 10 6 5" xfId="17465" xr:uid="{00000000-0005-0000-0000-000028410000}"/>
    <cellStyle name="Normal 2 2 2 2 2 2 2 10 6 6" xfId="17466" xr:uid="{00000000-0005-0000-0000-000029410000}"/>
    <cellStyle name="Normal 2 2 2 2 2 2 2 10 7" xfId="17467" xr:uid="{00000000-0005-0000-0000-00002A410000}"/>
    <cellStyle name="Normal 2 2 2 2 2 2 2 10 7 2" xfId="17468" xr:uid="{00000000-0005-0000-0000-00002B410000}"/>
    <cellStyle name="Normal 2 2 2 2 2 2 2 10 7 3" xfId="17469" xr:uid="{00000000-0005-0000-0000-00002C410000}"/>
    <cellStyle name="Normal 2 2 2 2 2 2 2 10 7 4" xfId="17470" xr:uid="{00000000-0005-0000-0000-00002D410000}"/>
    <cellStyle name="Normal 2 2 2 2 2 2 2 10 7 5" xfId="17471" xr:uid="{00000000-0005-0000-0000-00002E410000}"/>
    <cellStyle name="Normal 2 2 2 2 2 2 2 10 7 6" xfId="17472" xr:uid="{00000000-0005-0000-0000-00002F410000}"/>
    <cellStyle name="Normal 2 2 2 2 2 2 2 10 8" xfId="17473" xr:uid="{00000000-0005-0000-0000-000030410000}"/>
    <cellStyle name="Normal 2 2 2 2 2 2 2 10 8 2" xfId="17474" xr:uid="{00000000-0005-0000-0000-000031410000}"/>
    <cellStyle name="Normal 2 2 2 2 2 2 2 10 8 3" xfId="17475" xr:uid="{00000000-0005-0000-0000-000032410000}"/>
    <cellStyle name="Normal 2 2 2 2 2 2 2 10 8 4" xfId="17476" xr:uid="{00000000-0005-0000-0000-000033410000}"/>
    <cellStyle name="Normal 2 2 2 2 2 2 2 10 8 5" xfId="17477" xr:uid="{00000000-0005-0000-0000-000034410000}"/>
    <cellStyle name="Normal 2 2 2 2 2 2 2 10 8 6" xfId="17478" xr:uid="{00000000-0005-0000-0000-000035410000}"/>
    <cellStyle name="Normal 2 2 2 2 2 2 2 10 9" xfId="17479" xr:uid="{00000000-0005-0000-0000-000036410000}"/>
    <cellStyle name="Normal 2 2 2 2 2 2 2 11" xfId="17480" xr:uid="{00000000-0005-0000-0000-000037410000}"/>
    <cellStyle name="Normal 2 2 2 2 2 2 2 11 10" xfId="17481" xr:uid="{00000000-0005-0000-0000-000038410000}"/>
    <cellStyle name="Normal 2 2 2 2 2 2 2 11 11" xfId="17482" xr:uid="{00000000-0005-0000-0000-000039410000}"/>
    <cellStyle name="Normal 2 2 2 2 2 2 2 11 12" xfId="17483" xr:uid="{00000000-0005-0000-0000-00003A410000}"/>
    <cellStyle name="Normal 2 2 2 2 2 2 2 11 13" xfId="17484" xr:uid="{00000000-0005-0000-0000-00003B410000}"/>
    <cellStyle name="Normal 2 2 2 2 2 2 2 11 2" xfId="17485" xr:uid="{00000000-0005-0000-0000-00003C410000}"/>
    <cellStyle name="Normal 2 2 2 2 2 2 2 11 2 2" xfId="17486" xr:uid="{00000000-0005-0000-0000-00003D410000}"/>
    <cellStyle name="Normal 2 2 2 2 2 2 2 11 2 3" xfId="17487" xr:uid="{00000000-0005-0000-0000-00003E410000}"/>
    <cellStyle name="Normal 2 2 2 2 2 2 2 11 2 4" xfId="17488" xr:uid="{00000000-0005-0000-0000-00003F410000}"/>
    <cellStyle name="Normal 2 2 2 2 2 2 2 11 2 5" xfId="17489" xr:uid="{00000000-0005-0000-0000-000040410000}"/>
    <cellStyle name="Normal 2 2 2 2 2 2 2 11 2 6" xfId="17490" xr:uid="{00000000-0005-0000-0000-000041410000}"/>
    <cellStyle name="Normal 2 2 2 2 2 2 2 11 3" xfId="17491" xr:uid="{00000000-0005-0000-0000-000042410000}"/>
    <cellStyle name="Normal 2 2 2 2 2 2 2 11 3 2" xfId="17492" xr:uid="{00000000-0005-0000-0000-000043410000}"/>
    <cellStyle name="Normal 2 2 2 2 2 2 2 11 3 3" xfId="17493" xr:uid="{00000000-0005-0000-0000-000044410000}"/>
    <cellStyle name="Normal 2 2 2 2 2 2 2 11 3 4" xfId="17494" xr:uid="{00000000-0005-0000-0000-000045410000}"/>
    <cellStyle name="Normal 2 2 2 2 2 2 2 11 3 5" xfId="17495" xr:uid="{00000000-0005-0000-0000-000046410000}"/>
    <cellStyle name="Normal 2 2 2 2 2 2 2 11 3 6" xfId="17496" xr:uid="{00000000-0005-0000-0000-000047410000}"/>
    <cellStyle name="Normal 2 2 2 2 2 2 2 11 4" xfId="17497" xr:uid="{00000000-0005-0000-0000-000048410000}"/>
    <cellStyle name="Normal 2 2 2 2 2 2 2 11 4 2" xfId="17498" xr:uid="{00000000-0005-0000-0000-000049410000}"/>
    <cellStyle name="Normal 2 2 2 2 2 2 2 11 4 3" xfId="17499" xr:uid="{00000000-0005-0000-0000-00004A410000}"/>
    <cellStyle name="Normal 2 2 2 2 2 2 2 11 4 4" xfId="17500" xr:uid="{00000000-0005-0000-0000-00004B410000}"/>
    <cellStyle name="Normal 2 2 2 2 2 2 2 11 4 5" xfId="17501" xr:uid="{00000000-0005-0000-0000-00004C410000}"/>
    <cellStyle name="Normal 2 2 2 2 2 2 2 11 4 6" xfId="17502" xr:uid="{00000000-0005-0000-0000-00004D410000}"/>
    <cellStyle name="Normal 2 2 2 2 2 2 2 11 5" xfId="17503" xr:uid="{00000000-0005-0000-0000-00004E410000}"/>
    <cellStyle name="Normal 2 2 2 2 2 2 2 11 5 2" xfId="17504" xr:uid="{00000000-0005-0000-0000-00004F410000}"/>
    <cellStyle name="Normal 2 2 2 2 2 2 2 11 5 3" xfId="17505" xr:uid="{00000000-0005-0000-0000-000050410000}"/>
    <cellStyle name="Normal 2 2 2 2 2 2 2 11 5 4" xfId="17506" xr:uid="{00000000-0005-0000-0000-000051410000}"/>
    <cellStyle name="Normal 2 2 2 2 2 2 2 11 5 5" xfId="17507" xr:uid="{00000000-0005-0000-0000-000052410000}"/>
    <cellStyle name="Normal 2 2 2 2 2 2 2 11 5 6" xfId="17508" xr:uid="{00000000-0005-0000-0000-000053410000}"/>
    <cellStyle name="Normal 2 2 2 2 2 2 2 11 6" xfId="17509" xr:uid="{00000000-0005-0000-0000-000054410000}"/>
    <cellStyle name="Normal 2 2 2 2 2 2 2 11 6 2" xfId="17510" xr:uid="{00000000-0005-0000-0000-000055410000}"/>
    <cellStyle name="Normal 2 2 2 2 2 2 2 11 6 3" xfId="17511" xr:uid="{00000000-0005-0000-0000-000056410000}"/>
    <cellStyle name="Normal 2 2 2 2 2 2 2 11 6 4" xfId="17512" xr:uid="{00000000-0005-0000-0000-000057410000}"/>
    <cellStyle name="Normal 2 2 2 2 2 2 2 11 6 5" xfId="17513" xr:uid="{00000000-0005-0000-0000-000058410000}"/>
    <cellStyle name="Normal 2 2 2 2 2 2 2 11 6 6" xfId="17514" xr:uid="{00000000-0005-0000-0000-000059410000}"/>
    <cellStyle name="Normal 2 2 2 2 2 2 2 11 7" xfId="17515" xr:uid="{00000000-0005-0000-0000-00005A410000}"/>
    <cellStyle name="Normal 2 2 2 2 2 2 2 11 7 2" xfId="17516" xr:uid="{00000000-0005-0000-0000-00005B410000}"/>
    <cellStyle name="Normal 2 2 2 2 2 2 2 11 7 3" xfId="17517" xr:uid="{00000000-0005-0000-0000-00005C410000}"/>
    <cellStyle name="Normal 2 2 2 2 2 2 2 11 7 4" xfId="17518" xr:uid="{00000000-0005-0000-0000-00005D410000}"/>
    <cellStyle name="Normal 2 2 2 2 2 2 2 11 7 5" xfId="17519" xr:uid="{00000000-0005-0000-0000-00005E410000}"/>
    <cellStyle name="Normal 2 2 2 2 2 2 2 11 7 6" xfId="17520" xr:uid="{00000000-0005-0000-0000-00005F410000}"/>
    <cellStyle name="Normal 2 2 2 2 2 2 2 11 8" xfId="17521" xr:uid="{00000000-0005-0000-0000-000060410000}"/>
    <cellStyle name="Normal 2 2 2 2 2 2 2 11 8 2" xfId="17522" xr:uid="{00000000-0005-0000-0000-000061410000}"/>
    <cellStyle name="Normal 2 2 2 2 2 2 2 11 8 3" xfId="17523" xr:uid="{00000000-0005-0000-0000-000062410000}"/>
    <cellStyle name="Normal 2 2 2 2 2 2 2 11 8 4" xfId="17524" xr:uid="{00000000-0005-0000-0000-000063410000}"/>
    <cellStyle name="Normal 2 2 2 2 2 2 2 11 8 5" xfId="17525" xr:uid="{00000000-0005-0000-0000-000064410000}"/>
    <cellStyle name="Normal 2 2 2 2 2 2 2 11 8 6" xfId="17526" xr:uid="{00000000-0005-0000-0000-000065410000}"/>
    <cellStyle name="Normal 2 2 2 2 2 2 2 11 9" xfId="17527" xr:uid="{00000000-0005-0000-0000-000066410000}"/>
    <cellStyle name="Normal 2 2 2 2 2 2 2 12" xfId="17528" xr:uid="{00000000-0005-0000-0000-000067410000}"/>
    <cellStyle name="Normal 2 2 2 2 2 2 2 12 10" xfId="17529" xr:uid="{00000000-0005-0000-0000-000068410000}"/>
    <cellStyle name="Normal 2 2 2 2 2 2 2 12 11" xfId="17530" xr:uid="{00000000-0005-0000-0000-000069410000}"/>
    <cellStyle name="Normal 2 2 2 2 2 2 2 12 12" xfId="17531" xr:uid="{00000000-0005-0000-0000-00006A410000}"/>
    <cellStyle name="Normal 2 2 2 2 2 2 2 12 13" xfId="17532" xr:uid="{00000000-0005-0000-0000-00006B410000}"/>
    <cellStyle name="Normal 2 2 2 2 2 2 2 12 2" xfId="17533" xr:uid="{00000000-0005-0000-0000-00006C410000}"/>
    <cellStyle name="Normal 2 2 2 2 2 2 2 12 2 2" xfId="17534" xr:uid="{00000000-0005-0000-0000-00006D410000}"/>
    <cellStyle name="Normal 2 2 2 2 2 2 2 12 2 3" xfId="17535" xr:uid="{00000000-0005-0000-0000-00006E410000}"/>
    <cellStyle name="Normal 2 2 2 2 2 2 2 12 2 4" xfId="17536" xr:uid="{00000000-0005-0000-0000-00006F410000}"/>
    <cellStyle name="Normal 2 2 2 2 2 2 2 12 2 5" xfId="17537" xr:uid="{00000000-0005-0000-0000-000070410000}"/>
    <cellStyle name="Normal 2 2 2 2 2 2 2 12 2 6" xfId="17538" xr:uid="{00000000-0005-0000-0000-000071410000}"/>
    <cellStyle name="Normal 2 2 2 2 2 2 2 12 3" xfId="17539" xr:uid="{00000000-0005-0000-0000-000072410000}"/>
    <cellStyle name="Normal 2 2 2 2 2 2 2 12 3 2" xfId="17540" xr:uid="{00000000-0005-0000-0000-000073410000}"/>
    <cellStyle name="Normal 2 2 2 2 2 2 2 12 3 3" xfId="17541" xr:uid="{00000000-0005-0000-0000-000074410000}"/>
    <cellStyle name="Normal 2 2 2 2 2 2 2 12 3 4" xfId="17542" xr:uid="{00000000-0005-0000-0000-000075410000}"/>
    <cellStyle name="Normal 2 2 2 2 2 2 2 12 3 5" xfId="17543" xr:uid="{00000000-0005-0000-0000-000076410000}"/>
    <cellStyle name="Normal 2 2 2 2 2 2 2 12 3 6" xfId="17544" xr:uid="{00000000-0005-0000-0000-000077410000}"/>
    <cellStyle name="Normal 2 2 2 2 2 2 2 12 4" xfId="17545" xr:uid="{00000000-0005-0000-0000-000078410000}"/>
    <cellStyle name="Normal 2 2 2 2 2 2 2 12 4 2" xfId="17546" xr:uid="{00000000-0005-0000-0000-000079410000}"/>
    <cellStyle name="Normal 2 2 2 2 2 2 2 12 4 3" xfId="17547" xr:uid="{00000000-0005-0000-0000-00007A410000}"/>
    <cellStyle name="Normal 2 2 2 2 2 2 2 12 4 4" xfId="17548" xr:uid="{00000000-0005-0000-0000-00007B410000}"/>
    <cellStyle name="Normal 2 2 2 2 2 2 2 12 4 5" xfId="17549" xr:uid="{00000000-0005-0000-0000-00007C410000}"/>
    <cellStyle name="Normal 2 2 2 2 2 2 2 12 4 6" xfId="17550" xr:uid="{00000000-0005-0000-0000-00007D410000}"/>
    <cellStyle name="Normal 2 2 2 2 2 2 2 12 5" xfId="17551" xr:uid="{00000000-0005-0000-0000-00007E410000}"/>
    <cellStyle name="Normal 2 2 2 2 2 2 2 12 5 2" xfId="17552" xr:uid="{00000000-0005-0000-0000-00007F410000}"/>
    <cellStyle name="Normal 2 2 2 2 2 2 2 12 5 3" xfId="17553" xr:uid="{00000000-0005-0000-0000-000080410000}"/>
    <cellStyle name="Normal 2 2 2 2 2 2 2 12 5 4" xfId="17554" xr:uid="{00000000-0005-0000-0000-000081410000}"/>
    <cellStyle name="Normal 2 2 2 2 2 2 2 12 5 5" xfId="17555" xr:uid="{00000000-0005-0000-0000-000082410000}"/>
    <cellStyle name="Normal 2 2 2 2 2 2 2 12 5 6" xfId="17556" xr:uid="{00000000-0005-0000-0000-000083410000}"/>
    <cellStyle name="Normal 2 2 2 2 2 2 2 12 6" xfId="17557" xr:uid="{00000000-0005-0000-0000-000084410000}"/>
    <cellStyle name="Normal 2 2 2 2 2 2 2 12 6 2" xfId="17558" xr:uid="{00000000-0005-0000-0000-000085410000}"/>
    <cellStyle name="Normal 2 2 2 2 2 2 2 12 6 3" xfId="17559" xr:uid="{00000000-0005-0000-0000-000086410000}"/>
    <cellStyle name="Normal 2 2 2 2 2 2 2 12 6 4" xfId="17560" xr:uid="{00000000-0005-0000-0000-000087410000}"/>
    <cellStyle name="Normal 2 2 2 2 2 2 2 12 6 5" xfId="17561" xr:uid="{00000000-0005-0000-0000-000088410000}"/>
    <cellStyle name="Normal 2 2 2 2 2 2 2 12 6 6" xfId="17562" xr:uid="{00000000-0005-0000-0000-000089410000}"/>
    <cellStyle name="Normal 2 2 2 2 2 2 2 12 7" xfId="17563" xr:uid="{00000000-0005-0000-0000-00008A410000}"/>
    <cellStyle name="Normal 2 2 2 2 2 2 2 12 7 2" xfId="17564" xr:uid="{00000000-0005-0000-0000-00008B410000}"/>
    <cellStyle name="Normal 2 2 2 2 2 2 2 12 7 3" xfId="17565" xr:uid="{00000000-0005-0000-0000-00008C410000}"/>
    <cellStyle name="Normal 2 2 2 2 2 2 2 12 7 4" xfId="17566" xr:uid="{00000000-0005-0000-0000-00008D410000}"/>
    <cellStyle name="Normal 2 2 2 2 2 2 2 12 7 5" xfId="17567" xr:uid="{00000000-0005-0000-0000-00008E410000}"/>
    <cellStyle name="Normal 2 2 2 2 2 2 2 12 7 6" xfId="17568" xr:uid="{00000000-0005-0000-0000-00008F410000}"/>
    <cellStyle name="Normal 2 2 2 2 2 2 2 12 8" xfId="17569" xr:uid="{00000000-0005-0000-0000-000090410000}"/>
    <cellStyle name="Normal 2 2 2 2 2 2 2 12 8 2" xfId="17570" xr:uid="{00000000-0005-0000-0000-000091410000}"/>
    <cellStyle name="Normal 2 2 2 2 2 2 2 12 8 3" xfId="17571" xr:uid="{00000000-0005-0000-0000-000092410000}"/>
    <cellStyle name="Normal 2 2 2 2 2 2 2 12 8 4" xfId="17572" xr:uid="{00000000-0005-0000-0000-000093410000}"/>
    <cellStyle name="Normal 2 2 2 2 2 2 2 12 8 5" xfId="17573" xr:uid="{00000000-0005-0000-0000-000094410000}"/>
    <cellStyle name="Normal 2 2 2 2 2 2 2 12 8 6" xfId="17574" xr:uid="{00000000-0005-0000-0000-000095410000}"/>
    <cellStyle name="Normal 2 2 2 2 2 2 2 12 9" xfId="17575" xr:uid="{00000000-0005-0000-0000-000096410000}"/>
    <cellStyle name="Normal 2 2 2 2 2 2 2 13" xfId="17576" xr:uid="{00000000-0005-0000-0000-000097410000}"/>
    <cellStyle name="Normal 2 2 2 2 2 2 2 13 10" xfId="17577" xr:uid="{00000000-0005-0000-0000-000098410000}"/>
    <cellStyle name="Normal 2 2 2 2 2 2 2 13 11" xfId="17578" xr:uid="{00000000-0005-0000-0000-000099410000}"/>
    <cellStyle name="Normal 2 2 2 2 2 2 2 13 12" xfId="17579" xr:uid="{00000000-0005-0000-0000-00009A410000}"/>
    <cellStyle name="Normal 2 2 2 2 2 2 2 13 13" xfId="17580" xr:uid="{00000000-0005-0000-0000-00009B410000}"/>
    <cellStyle name="Normal 2 2 2 2 2 2 2 13 2" xfId="17581" xr:uid="{00000000-0005-0000-0000-00009C410000}"/>
    <cellStyle name="Normal 2 2 2 2 2 2 2 13 2 2" xfId="17582" xr:uid="{00000000-0005-0000-0000-00009D410000}"/>
    <cellStyle name="Normal 2 2 2 2 2 2 2 13 2 3" xfId="17583" xr:uid="{00000000-0005-0000-0000-00009E410000}"/>
    <cellStyle name="Normal 2 2 2 2 2 2 2 13 2 4" xfId="17584" xr:uid="{00000000-0005-0000-0000-00009F410000}"/>
    <cellStyle name="Normal 2 2 2 2 2 2 2 13 2 5" xfId="17585" xr:uid="{00000000-0005-0000-0000-0000A0410000}"/>
    <cellStyle name="Normal 2 2 2 2 2 2 2 13 2 6" xfId="17586" xr:uid="{00000000-0005-0000-0000-0000A1410000}"/>
    <cellStyle name="Normal 2 2 2 2 2 2 2 13 3" xfId="17587" xr:uid="{00000000-0005-0000-0000-0000A2410000}"/>
    <cellStyle name="Normal 2 2 2 2 2 2 2 13 3 2" xfId="17588" xr:uid="{00000000-0005-0000-0000-0000A3410000}"/>
    <cellStyle name="Normal 2 2 2 2 2 2 2 13 3 3" xfId="17589" xr:uid="{00000000-0005-0000-0000-0000A4410000}"/>
    <cellStyle name="Normal 2 2 2 2 2 2 2 13 3 4" xfId="17590" xr:uid="{00000000-0005-0000-0000-0000A5410000}"/>
    <cellStyle name="Normal 2 2 2 2 2 2 2 13 3 5" xfId="17591" xr:uid="{00000000-0005-0000-0000-0000A6410000}"/>
    <cellStyle name="Normal 2 2 2 2 2 2 2 13 3 6" xfId="17592" xr:uid="{00000000-0005-0000-0000-0000A7410000}"/>
    <cellStyle name="Normal 2 2 2 2 2 2 2 13 4" xfId="17593" xr:uid="{00000000-0005-0000-0000-0000A8410000}"/>
    <cellStyle name="Normal 2 2 2 2 2 2 2 13 4 2" xfId="17594" xr:uid="{00000000-0005-0000-0000-0000A9410000}"/>
    <cellStyle name="Normal 2 2 2 2 2 2 2 13 4 3" xfId="17595" xr:uid="{00000000-0005-0000-0000-0000AA410000}"/>
    <cellStyle name="Normal 2 2 2 2 2 2 2 13 4 4" xfId="17596" xr:uid="{00000000-0005-0000-0000-0000AB410000}"/>
    <cellStyle name="Normal 2 2 2 2 2 2 2 13 4 5" xfId="17597" xr:uid="{00000000-0005-0000-0000-0000AC410000}"/>
    <cellStyle name="Normal 2 2 2 2 2 2 2 13 4 6" xfId="17598" xr:uid="{00000000-0005-0000-0000-0000AD410000}"/>
    <cellStyle name="Normal 2 2 2 2 2 2 2 13 5" xfId="17599" xr:uid="{00000000-0005-0000-0000-0000AE410000}"/>
    <cellStyle name="Normal 2 2 2 2 2 2 2 13 5 2" xfId="17600" xr:uid="{00000000-0005-0000-0000-0000AF410000}"/>
    <cellStyle name="Normal 2 2 2 2 2 2 2 13 5 3" xfId="17601" xr:uid="{00000000-0005-0000-0000-0000B0410000}"/>
    <cellStyle name="Normal 2 2 2 2 2 2 2 13 5 4" xfId="17602" xr:uid="{00000000-0005-0000-0000-0000B1410000}"/>
    <cellStyle name="Normal 2 2 2 2 2 2 2 13 5 5" xfId="17603" xr:uid="{00000000-0005-0000-0000-0000B2410000}"/>
    <cellStyle name="Normal 2 2 2 2 2 2 2 13 5 6" xfId="17604" xr:uid="{00000000-0005-0000-0000-0000B3410000}"/>
    <cellStyle name="Normal 2 2 2 2 2 2 2 13 6" xfId="17605" xr:uid="{00000000-0005-0000-0000-0000B4410000}"/>
    <cellStyle name="Normal 2 2 2 2 2 2 2 13 6 2" xfId="17606" xr:uid="{00000000-0005-0000-0000-0000B5410000}"/>
    <cellStyle name="Normal 2 2 2 2 2 2 2 13 6 3" xfId="17607" xr:uid="{00000000-0005-0000-0000-0000B6410000}"/>
    <cellStyle name="Normal 2 2 2 2 2 2 2 13 6 4" xfId="17608" xr:uid="{00000000-0005-0000-0000-0000B7410000}"/>
    <cellStyle name="Normal 2 2 2 2 2 2 2 13 6 5" xfId="17609" xr:uid="{00000000-0005-0000-0000-0000B8410000}"/>
    <cellStyle name="Normal 2 2 2 2 2 2 2 13 6 6" xfId="17610" xr:uid="{00000000-0005-0000-0000-0000B9410000}"/>
    <cellStyle name="Normal 2 2 2 2 2 2 2 13 7" xfId="17611" xr:uid="{00000000-0005-0000-0000-0000BA410000}"/>
    <cellStyle name="Normal 2 2 2 2 2 2 2 13 7 2" xfId="17612" xr:uid="{00000000-0005-0000-0000-0000BB410000}"/>
    <cellStyle name="Normal 2 2 2 2 2 2 2 13 7 3" xfId="17613" xr:uid="{00000000-0005-0000-0000-0000BC410000}"/>
    <cellStyle name="Normal 2 2 2 2 2 2 2 13 7 4" xfId="17614" xr:uid="{00000000-0005-0000-0000-0000BD410000}"/>
    <cellStyle name="Normal 2 2 2 2 2 2 2 13 7 5" xfId="17615" xr:uid="{00000000-0005-0000-0000-0000BE410000}"/>
    <cellStyle name="Normal 2 2 2 2 2 2 2 13 7 6" xfId="17616" xr:uid="{00000000-0005-0000-0000-0000BF410000}"/>
    <cellStyle name="Normal 2 2 2 2 2 2 2 13 8" xfId="17617" xr:uid="{00000000-0005-0000-0000-0000C0410000}"/>
    <cellStyle name="Normal 2 2 2 2 2 2 2 13 8 2" xfId="17618" xr:uid="{00000000-0005-0000-0000-0000C1410000}"/>
    <cellStyle name="Normal 2 2 2 2 2 2 2 13 8 3" xfId="17619" xr:uid="{00000000-0005-0000-0000-0000C2410000}"/>
    <cellStyle name="Normal 2 2 2 2 2 2 2 13 8 4" xfId="17620" xr:uid="{00000000-0005-0000-0000-0000C3410000}"/>
    <cellStyle name="Normal 2 2 2 2 2 2 2 13 8 5" xfId="17621" xr:uid="{00000000-0005-0000-0000-0000C4410000}"/>
    <cellStyle name="Normal 2 2 2 2 2 2 2 13 8 6" xfId="17622" xr:uid="{00000000-0005-0000-0000-0000C5410000}"/>
    <cellStyle name="Normal 2 2 2 2 2 2 2 13 9" xfId="17623" xr:uid="{00000000-0005-0000-0000-0000C6410000}"/>
    <cellStyle name="Normal 2 2 2 2 2 2 2 14" xfId="17624" xr:uid="{00000000-0005-0000-0000-0000C7410000}"/>
    <cellStyle name="Normal 2 2 2 2 2 2 2 15" xfId="17625" xr:uid="{00000000-0005-0000-0000-0000C8410000}"/>
    <cellStyle name="Normal 2 2 2 2 2 2 2 16" xfId="17626" xr:uid="{00000000-0005-0000-0000-0000C9410000}"/>
    <cellStyle name="Normal 2 2 2 2 2 2 2 17" xfId="17627" xr:uid="{00000000-0005-0000-0000-0000CA410000}"/>
    <cellStyle name="Normal 2 2 2 2 2 2 2 18" xfId="17628" xr:uid="{00000000-0005-0000-0000-0000CB410000}"/>
    <cellStyle name="Normal 2 2 2 2 2 2 2 19" xfId="17629" xr:uid="{00000000-0005-0000-0000-0000CC410000}"/>
    <cellStyle name="Normal 2 2 2 2 2 2 2 2" xfId="17630" xr:uid="{00000000-0005-0000-0000-0000CD410000}"/>
    <cellStyle name="Normal 2 2 2 2 2 2 2 2 10" xfId="17631" xr:uid="{00000000-0005-0000-0000-0000CE410000}"/>
    <cellStyle name="Normal 2 2 2 2 2 2 2 2 10 10" xfId="17632" xr:uid="{00000000-0005-0000-0000-0000CF410000}"/>
    <cellStyle name="Normal 2 2 2 2 2 2 2 2 10 11" xfId="17633" xr:uid="{00000000-0005-0000-0000-0000D0410000}"/>
    <cellStyle name="Normal 2 2 2 2 2 2 2 2 10 12" xfId="17634" xr:uid="{00000000-0005-0000-0000-0000D1410000}"/>
    <cellStyle name="Normal 2 2 2 2 2 2 2 2 10 13" xfId="17635" xr:uid="{00000000-0005-0000-0000-0000D2410000}"/>
    <cellStyle name="Normal 2 2 2 2 2 2 2 2 10 2" xfId="17636" xr:uid="{00000000-0005-0000-0000-0000D3410000}"/>
    <cellStyle name="Normal 2 2 2 2 2 2 2 2 10 2 2" xfId="17637" xr:uid="{00000000-0005-0000-0000-0000D4410000}"/>
    <cellStyle name="Normal 2 2 2 2 2 2 2 2 10 2 3" xfId="17638" xr:uid="{00000000-0005-0000-0000-0000D5410000}"/>
    <cellStyle name="Normal 2 2 2 2 2 2 2 2 10 2 4" xfId="17639" xr:uid="{00000000-0005-0000-0000-0000D6410000}"/>
    <cellStyle name="Normal 2 2 2 2 2 2 2 2 10 2 5" xfId="17640" xr:uid="{00000000-0005-0000-0000-0000D7410000}"/>
    <cellStyle name="Normal 2 2 2 2 2 2 2 2 10 2 6" xfId="17641" xr:uid="{00000000-0005-0000-0000-0000D8410000}"/>
    <cellStyle name="Normal 2 2 2 2 2 2 2 2 10 3" xfId="17642" xr:uid="{00000000-0005-0000-0000-0000D9410000}"/>
    <cellStyle name="Normal 2 2 2 2 2 2 2 2 10 3 2" xfId="17643" xr:uid="{00000000-0005-0000-0000-0000DA410000}"/>
    <cellStyle name="Normal 2 2 2 2 2 2 2 2 10 3 3" xfId="17644" xr:uid="{00000000-0005-0000-0000-0000DB410000}"/>
    <cellStyle name="Normal 2 2 2 2 2 2 2 2 10 3 4" xfId="17645" xr:uid="{00000000-0005-0000-0000-0000DC410000}"/>
    <cellStyle name="Normal 2 2 2 2 2 2 2 2 10 3 5" xfId="17646" xr:uid="{00000000-0005-0000-0000-0000DD410000}"/>
    <cellStyle name="Normal 2 2 2 2 2 2 2 2 10 3 6" xfId="17647" xr:uid="{00000000-0005-0000-0000-0000DE410000}"/>
    <cellStyle name="Normal 2 2 2 2 2 2 2 2 10 4" xfId="17648" xr:uid="{00000000-0005-0000-0000-0000DF410000}"/>
    <cellStyle name="Normal 2 2 2 2 2 2 2 2 10 4 2" xfId="17649" xr:uid="{00000000-0005-0000-0000-0000E0410000}"/>
    <cellStyle name="Normal 2 2 2 2 2 2 2 2 10 4 3" xfId="17650" xr:uid="{00000000-0005-0000-0000-0000E1410000}"/>
    <cellStyle name="Normal 2 2 2 2 2 2 2 2 10 4 4" xfId="17651" xr:uid="{00000000-0005-0000-0000-0000E2410000}"/>
    <cellStyle name="Normal 2 2 2 2 2 2 2 2 10 4 5" xfId="17652" xr:uid="{00000000-0005-0000-0000-0000E3410000}"/>
    <cellStyle name="Normal 2 2 2 2 2 2 2 2 10 4 6" xfId="17653" xr:uid="{00000000-0005-0000-0000-0000E4410000}"/>
    <cellStyle name="Normal 2 2 2 2 2 2 2 2 10 5" xfId="17654" xr:uid="{00000000-0005-0000-0000-0000E5410000}"/>
    <cellStyle name="Normal 2 2 2 2 2 2 2 2 10 5 2" xfId="17655" xr:uid="{00000000-0005-0000-0000-0000E6410000}"/>
    <cellStyle name="Normal 2 2 2 2 2 2 2 2 10 5 3" xfId="17656" xr:uid="{00000000-0005-0000-0000-0000E7410000}"/>
    <cellStyle name="Normal 2 2 2 2 2 2 2 2 10 5 4" xfId="17657" xr:uid="{00000000-0005-0000-0000-0000E8410000}"/>
    <cellStyle name="Normal 2 2 2 2 2 2 2 2 10 5 5" xfId="17658" xr:uid="{00000000-0005-0000-0000-0000E9410000}"/>
    <cellStyle name="Normal 2 2 2 2 2 2 2 2 10 5 6" xfId="17659" xr:uid="{00000000-0005-0000-0000-0000EA410000}"/>
    <cellStyle name="Normal 2 2 2 2 2 2 2 2 10 6" xfId="17660" xr:uid="{00000000-0005-0000-0000-0000EB410000}"/>
    <cellStyle name="Normal 2 2 2 2 2 2 2 2 10 6 2" xfId="17661" xr:uid="{00000000-0005-0000-0000-0000EC410000}"/>
    <cellStyle name="Normal 2 2 2 2 2 2 2 2 10 6 3" xfId="17662" xr:uid="{00000000-0005-0000-0000-0000ED410000}"/>
    <cellStyle name="Normal 2 2 2 2 2 2 2 2 10 6 4" xfId="17663" xr:uid="{00000000-0005-0000-0000-0000EE410000}"/>
    <cellStyle name="Normal 2 2 2 2 2 2 2 2 10 6 5" xfId="17664" xr:uid="{00000000-0005-0000-0000-0000EF410000}"/>
    <cellStyle name="Normal 2 2 2 2 2 2 2 2 10 6 6" xfId="17665" xr:uid="{00000000-0005-0000-0000-0000F0410000}"/>
    <cellStyle name="Normal 2 2 2 2 2 2 2 2 10 7" xfId="17666" xr:uid="{00000000-0005-0000-0000-0000F1410000}"/>
    <cellStyle name="Normal 2 2 2 2 2 2 2 2 10 7 2" xfId="17667" xr:uid="{00000000-0005-0000-0000-0000F2410000}"/>
    <cellStyle name="Normal 2 2 2 2 2 2 2 2 10 7 3" xfId="17668" xr:uid="{00000000-0005-0000-0000-0000F3410000}"/>
    <cellStyle name="Normal 2 2 2 2 2 2 2 2 10 7 4" xfId="17669" xr:uid="{00000000-0005-0000-0000-0000F4410000}"/>
    <cellStyle name="Normal 2 2 2 2 2 2 2 2 10 7 5" xfId="17670" xr:uid="{00000000-0005-0000-0000-0000F5410000}"/>
    <cellStyle name="Normal 2 2 2 2 2 2 2 2 10 7 6" xfId="17671" xr:uid="{00000000-0005-0000-0000-0000F6410000}"/>
    <cellStyle name="Normal 2 2 2 2 2 2 2 2 10 8" xfId="17672" xr:uid="{00000000-0005-0000-0000-0000F7410000}"/>
    <cellStyle name="Normal 2 2 2 2 2 2 2 2 10 8 2" xfId="17673" xr:uid="{00000000-0005-0000-0000-0000F8410000}"/>
    <cellStyle name="Normal 2 2 2 2 2 2 2 2 10 8 3" xfId="17674" xr:uid="{00000000-0005-0000-0000-0000F9410000}"/>
    <cellStyle name="Normal 2 2 2 2 2 2 2 2 10 8 4" xfId="17675" xr:uid="{00000000-0005-0000-0000-0000FA410000}"/>
    <cellStyle name="Normal 2 2 2 2 2 2 2 2 10 8 5" xfId="17676" xr:uid="{00000000-0005-0000-0000-0000FB410000}"/>
    <cellStyle name="Normal 2 2 2 2 2 2 2 2 10 8 6" xfId="17677" xr:uid="{00000000-0005-0000-0000-0000FC410000}"/>
    <cellStyle name="Normal 2 2 2 2 2 2 2 2 10 9" xfId="17678" xr:uid="{00000000-0005-0000-0000-0000FD410000}"/>
    <cellStyle name="Normal 2 2 2 2 2 2 2 2 11" xfId="17679" xr:uid="{00000000-0005-0000-0000-0000FE410000}"/>
    <cellStyle name="Normal 2 2 2 2 2 2 2 2 11 10" xfId="17680" xr:uid="{00000000-0005-0000-0000-0000FF410000}"/>
    <cellStyle name="Normal 2 2 2 2 2 2 2 2 11 11" xfId="17681" xr:uid="{00000000-0005-0000-0000-000000420000}"/>
    <cellStyle name="Normal 2 2 2 2 2 2 2 2 11 12" xfId="17682" xr:uid="{00000000-0005-0000-0000-000001420000}"/>
    <cellStyle name="Normal 2 2 2 2 2 2 2 2 11 13" xfId="17683" xr:uid="{00000000-0005-0000-0000-000002420000}"/>
    <cellStyle name="Normal 2 2 2 2 2 2 2 2 11 2" xfId="17684" xr:uid="{00000000-0005-0000-0000-000003420000}"/>
    <cellStyle name="Normal 2 2 2 2 2 2 2 2 11 2 2" xfId="17685" xr:uid="{00000000-0005-0000-0000-000004420000}"/>
    <cellStyle name="Normal 2 2 2 2 2 2 2 2 11 2 3" xfId="17686" xr:uid="{00000000-0005-0000-0000-000005420000}"/>
    <cellStyle name="Normal 2 2 2 2 2 2 2 2 11 2 4" xfId="17687" xr:uid="{00000000-0005-0000-0000-000006420000}"/>
    <cellStyle name="Normal 2 2 2 2 2 2 2 2 11 2 5" xfId="17688" xr:uid="{00000000-0005-0000-0000-000007420000}"/>
    <cellStyle name="Normal 2 2 2 2 2 2 2 2 11 2 6" xfId="17689" xr:uid="{00000000-0005-0000-0000-000008420000}"/>
    <cellStyle name="Normal 2 2 2 2 2 2 2 2 11 3" xfId="17690" xr:uid="{00000000-0005-0000-0000-000009420000}"/>
    <cellStyle name="Normal 2 2 2 2 2 2 2 2 11 3 2" xfId="17691" xr:uid="{00000000-0005-0000-0000-00000A420000}"/>
    <cellStyle name="Normal 2 2 2 2 2 2 2 2 11 3 3" xfId="17692" xr:uid="{00000000-0005-0000-0000-00000B420000}"/>
    <cellStyle name="Normal 2 2 2 2 2 2 2 2 11 3 4" xfId="17693" xr:uid="{00000000-0005-0000-0000-00000C420000}"/>
    <cellStyle name="Normal 2 2 2 2 2 2 2 2 11 3 5" xfId="17694" xr:uid="{00000000-0005-0000-0000-00000D420000}"/>
    <cellStyle name="Normal 2 2 2 2 2 2 2 2 11 3 6" xfId="17695" xr:uid="{00000000-0005-0000-0000-00000E420000}"/>
    <cellStyle name="Normal 2 2 2 2 2 2 2 2 11 4" xfId="17696" xr:uid="{00000000-0005-0000-0000-00000F420000}"/>
    <cellStyle name="Normal 2 2 2 2 2 2 2 2 11 4 2" xfId="17697" xr:uid="{00000000-0005-0000-0000-000010420000}"/>
    <cellStyle name="Normal 2 2 2 2 2 2 2 2 11 4 3" xfId="17698" xr:uid="{00000000-0005-0000-0000-000011420000}"/>
    <cellStyle name="Normal 2 2 2 2 2 2 2 2 11 4 4" xfId="17699" xr:uid="{00000000-0005-0000-0000-000012420000}"/>
    <cellStyle name="Normal 2 2 2 2 2 2 2 2 11 4 5" xfId="17700" xr:uid="{00000000-0005-0000-0000-000013420000}"/>
    <cellStyle name="Normal 2 2 2 2 2 2 2 2 11 4 6" xfId="17701" xr:uid="{00000000-0005-0000-0000-000014420000}"/>
    <cellStyle name="Normal 2 2 2 2 2 2 2 2 11 5" xfId="17702" xr:uid="{00000000-0005-0000-0000-000015420000}"/>
    <cellStyle name="Normal 2 2 2 2 2 2 2 2 11 5 2" xfId="17703" xr:uid="{00000000-0005-0000-0000-000016420000}"/>
    <cellStyle name="Normal 2 2 2 2 2 2 2 2 11 5 3" xfId="17704" xr:uid="{00000000-0005-0000-0000-000017420000}"/>
    <cellStyle name="Normal 2 2 2 2 2 2 2 2 11 5 4" xfId="17705" xr:uid="{00000000-0005-0000-0000-000018420000}"/>
    <cellStyle name="Normal 2 2 2 2 2 2 2 2 11 5 5" xfId="17706" xr:uid="{00000000-0005-0000-0000-000019420000}"/>
    <cellStyle name="Normal 2 2 2 2 2 2 2 2 11 5 6" xfId="17707" xr:uid="{00000000-0005-0000-0000-00001A420000}"/>
    <cellStyle name="Normal 2 2 2 2 2 2 2 2 11 6" xfId="17708" xr:uid="{00000000-0005-0000-0000-00001B420000}"/>
    <cellStyle name="Normal 2 2 2 2 2 2 2 2 11 6 2" xfId="17709" xr:uid="{00000000-0005-0000-0000-00001C420000}"/>
    <cellStyle name="Normal 2 2 2 2 2 2 2 2 11 6 3" xfId="17710" xr:uid="{00000000-0005-0000-0000-00001D420000}"/>
    <cellStyle name="Normal 2 2 2 2 2 2 2 2 11 6 4" xfId="17711" xr:uid="{00000000-0005-0000-0000-00001E420000}"/>
    <cellStyle name="Normal 2 2 2 2 2 2 2 2 11 6 5" xfId="17712" xr:uid="{00000000-0005-0000-0000-00001F420000}"/>
    <cellStyle name="Normal 2 2 2 2 2 2 2 2 11 6 6" xfId="17713" xr:uid="{00000000-0005-0000-0000-000020420000}"/>
    <cellStyle name="Normal 2 2 2 2 2 2 2 2 11 7" xfId="17714" xr:uid="{00000000-0005-0000-0000-000021420000}"/>
    <cellStyle name="Normal 2 2 2 2 2 2 2 2 11 7 2" xfId="17715" xr:uid="{00000000-0005-0000-0000-000022420000}"/>
    <cellStyle name="Normal 2 2 2 2 2 2 2 2 11 7 3" xfId="17716" xr:uid="{00000000-0005-0000-0000-000023420000}"/>
    <cellStyle name="Normal 2 2 2 2 2 2 2 2 11 7 4" xfId="17717" xr:uid="{00000000-0005-0000-0000-000024420000}"/>
    <cellStyle name="Normal 2 2 2 2 2 2 2 2 11 7 5" xfId="17718" xr:uid="{00000000-0005-0000-0000-000025420000}"/>
    <cellStyle name="Normal 2 2 2 2 2 2 2 2 11 7 6" xfId="17719" xr:uid="{00000000-0005-0000-0000-000026420000}"/>
    <cellStyle name="Normal 2 2 2 2 2 2 2 2 11 8" xfId="17720" xr:uid="{00000000-0005-0000-0000-000027420000}"/>
    <cellStyle name="Normal 2 2 2 2 2 2 2 2 11 8 2" xfId="17721" xr:uid="{00000000-0005-0000-0000-000028420000}"/>
    <cellStyle name="Normal 2 2 2 2 2 2 2 2 11 8 3" xfId="17722" xr:uid="{00000000-0005-0000-0000-000029420000}"/>
    <cellStyle name="Normal 2 2 2 2 2 2 2 2 11 8 4" xfId="17723" xr:uid="{00000000-0005-0000-0000-00002A420000}"/>
    <cellStyle name="Normal 2 2 2 2 2 2 2 2 11 8 5" xfId="17724" xr:uid="{00000000-0005-0000-0000-00002B420000}"/>
    <cellStyle name="Normal 2 2 2 2 2 2 2 2 11 8 6" xfId="17725" xr:uid="{00000000-0005-0000-0000-00002C420000}"/>
    <cellStyle name="Normal 2 2 2 2 2 2 2 2 11 9" xfId="17726" xr:uid="{00000000-0005-0000-0000-00002D420000}"/>
    <cellStyle name="Normal 2 2 2 2 2 2 2 2 12" xfId="17727" xr:uid="{00000000-0005-0000-0000-00002E420000}"/>
    <cellStyle name="Normal 2 2 2 2 2 2 2 2 12 10" xfId="17728" xr:uid="{00000000-0005-0000-0000-00002F420000}"/>
    <cellStyle name="Normal 2 2 2 2 2 2 2 2 12 11" xfId="17729" xr:uid="{00000000-0005-0000-0000-000030420000}"/>
    <cellStyle name="Normal 2 2 2 2 2 2 2 2 12 2" xfId="17730" xr:uid="{00000000-0005-0000-0000-000031420000}"/>
    <cellStyle name="Normal 2 2 2 2 2 2 2 2 12 3" xfId="17731" xr:uid="{00000000-0005-0000-0000-000032420000}"/>
    <cellStyle name="Normal 2 2 2 2 2 2 2 2 12 4" xfId="17732" xr:uid="{00000000-0005-0000-0000-000033420000}"/>
    <cellStyle name="Normal 2 2 2 2 2 2 2 2 12 5" xfId="17733" xr:uid="{00000000-0005-0000-0000-000034420000}"/>
    <cellStyle name="Normal 2 2 2 2 2 2 2 2 12 6" xfId="17734" xr:uid="{00000000-0005-0000-0000-000035420000}"/>
    <cellStyle name="Normal 2 2 2 2 2 2 2 2 12 7" xfId="17735" xr:uid="{00000000-0005-0000-0000-000036420000}"/>
    <cellStyle name="Normal 2 2 2 2 2 2 2 2 12 8" xfId="17736" xr:uid="{00000000-0005-0000-0000-000037420000}"/>
    <cellStyle name="Normal 2 2 2 2 2 2 2 2 12 9" xfId="17737" xr:uid="{00000000-0005-0000-0000-000038420000}"/>
    <cellStyle name="Normal 2 2 2 2 2 2 2 2 13" xfId="17738" xr:uid="{00000000-0005-0000-0000-000039420000}"/>
    <cellStyle name="Normal 2 2 2 2 2 2 2 2 14" xfId="17739" xr:uid="{00000000-0005-0000-0000-00003A420000}"/>
    <cellStyle name="Normal 2 2 2 2 2 2 2 2 15" xfId="17740" xr:uid="{00000000-0005-0000-0000-00003B420000}"/>
    <cellStyle name="Normal 2 2 2 2 2 2 2 2 16" xfId="17741" xr:uid="{00000000-0005-0000-0000-00003C420000}"/>
    <cellStyle name="Normal 2 2 2 2 2 2 2 2 17" xfId="17742" xr:uid="{00000000-0005-0000-0000-00003D420000}"/>
    <cellStyle name="Normal 2 2 2 2 2 2 2 2 18" xfId="17743" xr:uid="{00000000-0005-0000-0000-00003E420000}"/>
    <cellStyle name="Normal 2 2 2 2 2 2 2 2 19" xfId="17744" xr:uid="{00000000-0005-0000-0000-00003F420000}"/>
    <cellStyle name="Normal 2 2 2 2 2 2 2 2 2" xfId="17745" xr:uid="{00000000-0005-0000-0000-000040420000}"/>
    <cellStyle name="Normal 2 2 2 2 2 2 2 2 2 10" xfId="17746" xr:uid="{00000000-0005-0000-0000-000041420000}"/>
    <cellStyle name="Normal 2 2 2 2 2 2 2 2 2 10 2" xfId="17747" xr:uid="{00000000-0005-0000-0000-000042420000}"/>
    <cellStyle name="Normal 2 2 2 2 2 2 2 2 2 10 3" xfId="17748" xr:uid="{00000000-0005-0000-0000-000043420000}"/>
    <cellStyle name="Normal 2 2 2 2 2 2 2 2 2 10 4" xfId="17749" xr:uid="{00000000-0005-0000-0000-000044420000}"/>
    <cellStyle name="Normal 2 2 2 2 2 2 2 2 2 10 5" xfId="17750" xr:uid="{00000000-0005-0000-0000-000045420000}"/>
    <cellStyle name="Normal 2 2 2 2 2 2 2 2 2 10 6" xfId="17751" xr:uid="{00000000-0005-0000-0000-000046420000}"/>
    <cellStyle name="Normal 2 2 2 2 2 2 2 2 2 11" xfId="17752" xr:uid="{00000000-0005-0000-0000-000047420000}"/>
    <cellStyle name="Normal 2 2 2 2 2 2 2 2 2 11 2" xfId="17753" xr:uid="{00000000-0005-0000-0000-000048420000}"/>
    <cellStyle name="Normal 2 2 2 2 2 2 2 2 2 11 3" xfId="17754" xr:uid="{00000000-0005-0000-0000-000049420000}"/>
    <cellStyle name="Normal 2 2 2 2 2 2 2 2 2 11 4" xfId="17755" xr:uid="{00000000-0005-0000-0000-00004A420000}"/>
    <cellStyle name="Normal 2 2 2 2 2 2 2 2 2 11 5" xfId="17756" xr:uid="{00000000-0005-0000-0000-00004B420000}"/>
    <cellStyle name="Normal 2 2 2 2 2 2 2 2 2 11 6" xfId="17757" xr:uid="{00000000-0005-0000-0000-00004C420000}"/>
    <cellStyle name="Normal 2 2 2 2 2 2 2 2 2 12" xfId="17758" xr:uid="{00000000-0005-0000-0000-00004D420000}"/>
    <cellStyle name="Normal 2 2 2 2 2 2 2 2 2 12 2" xfId="17759" xr:uid="{00000000-0005-0000-0000-00004E420000}"/>
    <cellStyle name="Normal 2 2 2 2 2 2 2 2 2 12 3" xfId="17760" xr:uid="{00000000-0005-0000-0000-00004F420000}"/>
    <cellStyle name="Normal 2 2 2 2 2 2 2 2 2 12 4" xfId="17761" xr:uid="{00000000-0005-0000-0000-000050420000}"/>
    <cellStyle name="Normal 2 2 2 2 2 2 2 2 2 12 5" xfId="17762" xr:uid="{00000000-0005-0000-0000-000051420000}"/>
    <cellStyle name="Normal 2 2 2 2 2 2 2 2 2 12 6" xfId="17763" xr:uid="{00000000-0005-0000-0000-000052420000}"/>
    <cellStyle name="Normal 2 2 2 2 2 2 2 2 2 13" xfId="17764" xr:uid="{00000000-0005-0000-0000-000053420000}"/>
    <cellStyle name="Normal 2 2 2 2 2 2 2 2 2 13 2" xfId="17765" xr:uid="{00000000-0005-0000-0000-000054420000}"/>
    <cellStyle name="Normal 2 2 2 2 2 2 2 2 2 13 3" xfId="17766" xr:uid="{00000000-0005-0000-0000-000055420000}"/>
    <cellStyle name="Normal 2 2 2 2 2 2 2 2 2 13 4" xfId="17767" xr:uid="{00000000-0005-0000-0000-000056420000}"/>
    <cellStyle name="Normal 2 2 2 2 2 2 2 2 2 13 5" xfId="17768" xr:uid="{00000000-0005-0000-0000-000057420000}"/>
    <cellStyle name="Normal 2 2 2 2 2 2 2 2 2 13 6" xfId="17769" xr:uid="{00000000-0005-0000-0000-000058420000}"/>
    <cellStyle name="Normal 2 2 2 2 2 2 2 2 2 14" xfId="17770" xr:uid="{00000000-0005-0000-0000-000059420000}"/>
    <cellStyle name="Normal 2 2 2 2 2 2 2 2 2 14 2" xfId="17771" xr:uid="{00000000-0005-0000-0000-00005A420000}"/>
    <cellStyle name="Normal 2 2 2 2 2 2 2 2 2 14 3" xfId="17772" xr:uid="{00000000-0005-0000-0000-00005B420000}"/>
    <cellStyle name="Normal 2 2 2 2 2 2 2 2 2 14 4" xfId="17773" xr:uid="{00000000-0005-0000-0000-00005C420000}"/>
    <cellStyle name="Normal 2 2 2 2 2 2 2 2 2 14 5" xfId="17774" xr:uid="{00000000-0005-0000-0000-00005D420000}"/>
    <cellStyle name="Normal 2 2 2 2 2 2 2 2 2 14 6" xfId="17775" xr:uid="{00000000-0005-0000-0000-00005E420000}"/>
    <cellStyle name="Normal 2 2 2 2 2 2 2 2 2 15" xfId="17776" xr:uid="{00000000-0005-0000-0000-00005F420000}"/>
    <cellStyle name="Normal 2 2 2 2 2 2 2 2 2 15 2" xfId="17777" xr:uid="{00000000-0005-0000-0000-000060420000}"/>
    <cellStyle name="Normal 2 2 2 2 2 2 2 2 2 15 3" xfId="17778" xr:uid="{00000000-0005-0000-0000-000061420000}"/>
    <cellStyle name="Normal 2 2 2 2 2 2 2 2 2 15 4" xfId="17779" xr:uid="{00000000-0005-0000-0000-000062420000}"/>
    <cellStyle name="Normal 2 2 2 2 2 2 2 2 2 15 5" xfId="17780" xr:uid="{00000000-0005-0000-0000-000063420000}"/>
    <cellStyle name="Normal 2 2 2 2 2 2 2 2 2 15 6" xfId="17781" xr:uid="{00000000-0005-0000-0000-000064420000}"/>
    <cellStyle name="Normal 2 2 2 2 2 2 2 2 2 16" xfId="17782" xr:uid="{00000000-0005-0000-0000-000065420000}"/>
    <cellStyle name="Normal 2 2 2 2 2 2 2 2 2 16 2" xfId="17783" xr:uid="{00000000-0005-0000-0000-000066420000}"/>
    <cellStyle name="Normal 2 2 2 2 2 2 2 2 2 16 3" xfId="17784" xr:uid="{00000000-0005-0000-0000-000067420000}"/>
    <cellStyle name="Normal 2 2 2 2 2 2 2 2 2 16 4" xfId="17785" xr:uid="{00000000-0005-0000-0000-000068420000}"/>
    <cellStyle name="Normal 2 2 2 2 2 2 2 2 2 16 5" xfId="17786" xr:uid="{00000000-0005-0000-0000-000069420000}"/>
    <cellStyle name="Normal 2 2 2 2 2 2 2 2 2 16 6" xfId="17787" xr:uid="{00000000-0005-0000-0000-00006A420000}"/>
    <cellStyle name="Normal 2 2 2 2 2 2 2 2 2 17" xfId="17788" xr:uid="{00000000-0005-0000-0000-00006B420000}"/>
    <cellStyle name="Normal 2 2 2 2 2 2 2 2 2 17 2" xfId="17789" xr:uid="{00000000-0005-0000-0000-00006C420000}"/>
    <cellStyle name="Normal 2 2 2 2 2 2 2 2 2 17 3" xfId="17790" xr:uid="{00000000-0005-0000-0000-00006D420000}"/>
    <cellStyle name="Normal 2 2 2 2 2 2 2 2 2 17 4" xfId="17791" xr:uid="{00000000-0005-0000-0000-00006E420000}"/>
    <cellStyle name="Normal 2 2 2 2 2 2 2 2 2 17 5" xfId="17792" xr:uid="{00000000-0005-0000-0000-00006F420000}"/>
    <cellStyle name="Normal 2 2 2 2 2 2 2 2 2 17 6" xfId="17793" xr:uid="{00000000-0005-0000-0000-000070420000}"/>
    <cellStyle name="Normal 2 2 2 2 2 2 2 2 2 18" xfId="17794" xr:uid="{00000000-0005-0000-0000-000071420000}"/>
    <cellStyle name="Normal 2 2 2 2 2 2 2 2 2 19" xfId="17795" xr:uid="{00000000-0005-0000-0000-000072420000}"/>
    <cellStyle name="Normal 2 2 2 2 2 2 2 2 2 2" xfId="17796" xr:uid="{00000000-0005-0000-0000-000073420000}"/>
    <cellStyle name="Normal 2 2 2 2 2 2 2 2 2 2 10" xfId="17797" xr:uid="{00000000-0005-0000-0000-000074420000}"/>
    <cellStyle name="Normal 2 2 2 2 2 2 2 2 2 2 11" xfId="17798" xr:uid="{00000000-0005-0000-0000-000075420000}"/>
    <cellStyle name="Normal 2 2 2 2 2 2 2 2 2 2 12" xfId="17799" xr:uid="{00000000-0005-0000-0000-000076420000}"/>
    <cellStyle name="Normal 2 2 2 2 2 2 2 2 2 2 13" xfId="17800" xr:uid="{00000000-0005-0000-0000-000077420000}"/>
    <cellStyle name="Normal 2 2 2 2 2 2 2 2 2 2 14" xfId="17801" xr:uid="{00000000-0005-0000-0000-000078420000}"/>
    <cellStyle name="Normal 2 2 2 2 2 2 2 2 2 2 15" xfId="17802" xr:uid="{00000000-0005-0000-0000-000079420000}"/>
    <cellStyle name="Normal 2 2 2 2 2 2 2 2 2 2 16" xfId="17803" xr:uid="{00000000-0005-0000-0000-00007A420000}"/>
    <cellStyle name="Normal 2 2 2 2 2 2 2 2 2 2 17" xfId="17804" xr:uid="{00000000-0005-0000-0000-00007B420000}"/>
    <cellStyle name="Normal 2 2 2 2 2 2 2 2 2 2 18" xfId="17805" xr:uid="{00000000-0005-0000-0000-00007C420000}"/>
    <cellStyle name="Normal 2 2 2 2 2 2 2 2 2 2 19" xfId="17806" xr:uid="{00000000-0005-0000-0000-00007D420000}"/>
    <cellStyle name="Normal 2 2 2 2 2 2 2 2 2 2 2" xfId="17807" xr:uid="{00000000-0005-0000-0000-00007E420000}"/>
    <cellStyle name="Normal 2 2 2 2 2 2 2 2 2 2 2 10" xfId="17808" xr:uid="{00000000-0005-0000-0000-00007F420000}"/>
    <cellStyle name="Normal 2 2 2 2 2 2 2 2 2 2 2 10 2" xfId="17809" xr:uid="{00000000-0005-0000-0000-000080420000}"/>
    <cellStyle name="Normal 2 2 2 2 2 2 2 2 2 2 2 10 3" xfId="17810" xr:uid="{00000000-0005-0000-0000-000081420000}"/>
    <cellStyle name="Normal 2 2 2 2 2 2 2 2 2 2 2 10 4" xfId="17811" xr:uid="{00000000-0005-0000-0000-000082420000}"/>
    <cellStyle name="Normal 2 2 2 2 2 2 2 2 2 2 2 10 5" xfId="17812" xr:uid="{00000000-0005-0000-0000-000083420000}"/>
    <cellStyle name="Normal 2 2 2 2 2 2 2 2 2 2 2 10 6" xfId="17813" xr:uid="{00000000-0005-0000-0000-000084420000}"/>
    <cellStyle name="Normal 2 2 2 2 2 2 2 2 2 2 2 11" xfId="17814" xr:uid="{00000000-0005-0000-0000-000085420000}"/>
    <cellStyle name="Normal 2 2 2 2 2 2 2 2 2 2 2 11 2" xfId="17815" xr:uid="{00000000-0005-0000-0000-000086420000}"/>
    <cellStyle name="Normal 2 2 2 2 2 2 2 2 2 2 2 11 3" xfId="17816" xr:uid="{00000000-0005-0000-0000-000087420000}"/>
    <cellStyle name="Normal 2 2 2 2 2 2 2 2 2 2 2 11 4" xfId="17817" xr:uid="{00000000-0005-0000-0000-000088420000}"/>
    <cellStyle name="Normal 2 2 2 2 2 2 2 2 2 2 2 11 5" xfId="17818" xr:uid="{00000000-0005-0000-0000-000089420000}"/>
    <cellStyle name="Normal 2 2 2 2 2 2 2 2 2 2 2 11 6" xfId="17819" xr:uid="{00000000-0005-0000-0000-00008A420000}"/>
    <cellStyle name="Normal 2 2 2 2 2 2 2 2 2 2 2 12" xfId="17820" xr:uid="{00000000-0005-0000-0000-00008B420000}"/>
    <cellStyle name="Normal 2 2 2 2 2 2 2 2 2 2 2 12 2" xfId="17821" xr:uid="{00000000-0005-0000-0000-00008C420000}"/>
    <cellStyle name="Normal 2 2 2 2 2 2 2 2 2 2 2 12 3" xfId="17822" xr:uid="{00000000-0005-0000-0000-00008D420000}"/>
    <cellStyle name="Normal 2 2 2 2 2 2 2 2 2 2 2 12 4" xfId="17823" xr:uid="{00000000-0005-0000-0000-00008E420000}"/>
    <cellStyle name="Normal 2 2 2 2 2 2 2 2 2 2 2 12 5" xfId="17824" xr:uid="{00000000-0005-0000-0000-00008F420000}"/>
    <cellStyle name="Normal 2 2 2 2 2 2 2 2 2 2 2 12 6" xfId="17825" xr:uid="{00000000-0005-0000-0000-000090420000}"/>
    <cellStyle name="Normal 2 2 2 2 2 2 2 2 2 2 2 13" xfId="17826" xr:uid="{00000000-0005-0000-0000-000091420000}"/>
    <cellStyle name="Normal 2 2 2 2 2 2 2 2 2 2 2 13 2" xfId="17827" xr:uid="{00000000-0005-0000-0000-000092420000}"/>
    <cellStyle name="Normal 2 2 2 2 2 2 2 2 2 2 2 13 3" xfId="17828" xr:uid="{00000000-0005-0000-0000-000093420000}"/>
    <cellStyle name="Normal 2 2 2 2 2 2 2 2 2 2 2 13 4" xfId="17829" xr:uid="{00000000-0005-0000-0000-000094420000}"/>
    <cellStyle name="Normal 2 2 2 2 2 2 2 2 2 2 2 13 5" xfId="17830" xr:uid="{00000000-0005-0000-0000-000095420000}"/>
    <cellStyle name="Normal 2 2 2 2 2 2 2 2 2 2 2 13 6" xfId="17831" xr:uid="{00000000-0005-0000-0000-000096420000}"/>
    <cellStyle name="Normal 2 2 2 2 2 2 2 2 2 2 2 14" xfId="17832" xr:uid="{00000000-0005-0000-0000-000097420000}"/>
    <cellStyle name="Normal 2 2 2 2 2 2 2 2 2 2 2 14 2" xfId="17833" xr:uid="{00000000-0005-0000-0000-000098420000}"/>
    <cellStyle name="Normal 2 2 2 2 2 2 2 2 2 2 2 14 3" xfId="17834" xr:uid="{00000000-0005-0000-0000-000099420000}"/>
    <cellStyle name="Normal 2 2 2 2 2 2 2 2 2 2 2 14 4" xfId="17835" xr:uid="{00000000-0005-0000-0000-00009A420000}"/>
    <cellStyle name="Normal 2 2 2 2 2 2 2 2 2 2 2 14 5" xfId="17836" xr:uid="{00000000-0005-0000-0000-00009B420000}"/>
    <cellStyle name="Normal 2 2 2 2 2 2 2 2 2 2 2 14 6" xfId="17837" xr:uid="{00000000-0005-0000-0000-00009C420000}"/>
    <cellStyle name="Normal 2 2 2 2 2 2 2 2 2 2 2 15" xfId="17838" xr:uid="{00000000-0005-0000-0000-00009D420000}"/>
    <cellStyle name="Normal 2 2 2 2 2 2 2 2 2 2 2 15 2" xfId="17839" xr:uid="{00000000-0005-0000-0000-00009E420000}"/>
    <cellStyle name="Normal 2 2 2 2 2 2 2 2 2 2 2 15 3" xfId="17840" xr:uid="{00000000-0005-0000-0000-00009F420000}"/>
    <cellStyle name="Normal 2 2 2 2 2 2 2 2 2 2 2 15 4" xfId="17841" xr:uid="{00000000-0005-0000-0000-0000A0420000}"/>
    <cellStyle name="Normal 2 2 2 2 2 2 2 2 2 2 2 15 5" xfId="17842" xr:uid="{00000000-0005-0000-0000-0000A1420000}"/>
    <cellStyle name="Normal 2 2 2 2 2 2 2 2 2 2 2 15 6" xfId="17843" xr:uid="{00000000-0005-0000-0000-0000A2420000}"/>
    <cellStyle name="Normal 2 2 2 2 2 2 2 2 2 2 2 16" xfId="17844" xr:uid="{00000000-0005-0000-0000-0000A3420000}"/>
    <cellStyle name="Normal 2 2 2 2 2 2 2 2 2 2 2 16 2" xfId="17845" xr:uid="{00000000-0005-0000-0000-0000A4420000}"/>
    <cellStyle name="Normal 2 2 2 2 2 2 2 2 2 2 2 16 3" xfId="17846" xr:uid="{00000000-0005-0000-0000-0000A5420000}"/>
    <cellStyle name="Normal 2 2 2 2 2 2 2 2 2 2 2 16 4" xfId="17847" xr:uid="{00000000-0005-0000-0000-0000A6420000}"/>
    <cellStyle name="Normal 2 2 2 2 2 2 2 2 2 2 2 16 5" xfId="17848" xr:uid="{00000000-0005-0000-0000-0000A7420000}"/>
    <cellStyle name="Normal 2 2 2 2 2 2 2 2 2 2 2 16 6" xfId="17849" xr:uid="{00000000-0005-0000-0000-0000A8420000}"/>
    <cellStyle name="Normal 2 2 2 2 2 2 2 2 2 2 2 17" xfId="17850" xr:uid="{00000000-0005-0000-0000-0000A9420000}"/>
    <cellStyle name="Normal 2 2 2 2 2 2 2 2 2 2 2 17 2" xfId="17851" xr:uid="{00000000-0005-0000-0000-0000AA420000}"/>
    <cellStyle name="Normal 2 2 2 2 2 2 2 2 2 2 2 17 3" xfId="17852" xr:uid="{00000000-0005-0000-0000-0000AB420000}"/>
    <cellStyle name="Normal 2 2 2 2 2 2 2 2 2 2 2 17 4" xfId="17853" xr:uid="{00000000-0005-0000-0000-0000AC420000}"/>
    <cellStyle name="Normal 2 2 2 2 2 2 2 2 2 2 2 17 5" xfId="17854" xr:uid="{00000000-0005-0000-0000-0000AD420000}"/>
    <cellStyle name="Normal 2 2 2 2 2 2 2 2 2 2 2 17 6" xfId="17855" xr:uid="{00000000-0005-0000-0000-0000AE420000}"/>
    <cellStyle name="Normal 2 2 2 2 2 2 2 2 2 2 2 18" xfId="17856" xr:uid="{00000000-0005-0000-0000-0000AF420000}"/>
    <cellStyle name="Normal 2 2 2 2 2 2 2 2 2 2 2 18 2" xfId="17857" xr:uid="{00000000-0005-0000-0000-0000B0420000}"/>
    <cellStyle name="Normal 2 2 2 2 2 2 2 2 2 2 2 18 3" xfId="17858" xr:uid="{00000000-0005-0000-0000-0000B1420000}"/>
    <cellStyle name="Normal 2 2 2 2 2 2 2 2 2 2 2 18 4" xfId="17859" xr:uid="{00000000-0005-0000-0000-0000B2420000}"/>
    <cellStyle name="Normal 2 2 2 2 2 2 2 2 2 2 2 18 5" xfId="17860" xr:uid="{00000000-0005-0000-0000-0000B3420000}"/>
    <cellStyle name="Normal 2 2 2 2 2 2 2 2 2 2 2 18 6" xfId="17861" xr:uid="{00000000-0005-0000-0000-0000B4420000}"/>
    <cellStyle name="Normal 2 2 2 2 2 2 2 2 2 2 2 19" xfId="17862" xr:uid="{00000000-0005-0000-0000-0000B5420000}"/>
    <cellStyle name="Normal 2 2 2 2 2 2 2 2 2 2 2 19 2" xfId="17863" xr:uid="{00000000-0005-0000-0000-0000B6420000}"/>
    <cellStyle name="Normal 2 2 2 2 2 2 2 2 2 2 2 19 3" xfId="17864" xr:uid="{00000000-0005-0000-0000-0000B7420000}"/>
    <cellStyle name="Normal 2 2 2 2 2 2 2 2 2 2 2 19 4" xfId="17865" xr:uid="{00000000-0005-0000-0000-0000B8420000}"/>
    <cellStyle name="Normal 2 2 2 2 2 2 2 2 2 2 2 19 5" xfId="17866" xr:uid="{00000000-0005-0000-0000-0000B9420000}"/>
    <cellStyle name="Normal 2 2 2 2 2 2 2 2 2 2 2 19 6" xfId="17867" xr:uid="{00000000-0005-0000-0000-0000BA420000}"/>
    <cellStyle name="Normal 2 2 2 2 2 2 2 2 2 2 2 2" xfId="17868" xr:uid="{00000000-0005-0000-0000-0000BB420000}"/>
    <cellStyle name="Normal 2 2 2 2 2 2 2 2 2 2 2 2 10" xfId="17869" xr:uid="{00000000-0005-0000-0000-0000BC420000}"/>
    <cellStyle name="Normal 2 2 2 2 2 2 2 2 2 2 2 2 11" xfId="17870" xr:uid="{00000000-0005-0000-0000-0000BD420000}"/>
    <cellStyle name="Normal 2 2 2 2 2 2 2 2 2 2 2 2 12" xfId="17871" xr:uid="{00000000-0005-0000-0000-0000BE420000}"/>
    <cellStyle name="Normal 2 2 2 2 2 2 2 2 2 2 2 2 13" xfId="17872" xr:uid="{00000000-0005-0000-0000-0000BF420000}"/>
    <cellStyle name="Normal 2 2 2 2 2 2 2 2 2 2 2 2 14" xfId="17873" xr:uid="{00000000-0005-0000-0000-0000C0420000}"/>
    <cellStyle name="Normal 2 2 2 2 2 2 2 2 2 2 2 2 15" xfId="17874" xr:uid="{00000000-0005-0000-0000-0000C1420000}"/>
    <cellStyle name="Normal 2 2 2 2 2 2 2 2 2 2 2 2 2" xfId="17875" xr:uid="{00000000-0005-0000-0000-0000C2420000}"/>
    <cellStyle name="Normal 2 2 2 2 2 2 2 2 2 2 2 2 2 10" xfId="17876" xr:uid="{00000000-0005-0000-0000-0000C3420000}"/>
    <cellStyle name="Normal 2 2 2 2 2 2 2 2 2 2 2 2 2 11" xfId="17877" xr:uid="{00000000-0005-0000-0000-0000C4420000}"/>
    <cellStyle name="Normal 2 2 2 2 2 2 2 2 2 2 2 2 2 12" xfId="17878" xr:uid="{00000000-0005-0000-0000-0000C5420000}"/>
    <cellStyle name="Normal 2 2 2 2 2 2 2 2 2 2 2 2 2 13" xfId="17879" xr:uid="{00000000-0005-0000-0000-0000C6420000}"/>
    <cellStyle name="Normal 2 2 2 2 2 2 2 2 2 2 2 2 2 14" xfId="17880" xr:uid="{00000000-0005-0000-0000-0000C7420000}"/>
    <cellStyle name="Normal 2 2 2 2 2 2 2 2 2 2 2 2 2 2" xfId="17881" xr:uid="{00000000-0005-0000-0000-0000C8420000}"/>
    <cellStyle name="Normal 2 2 2 2 2 2 2 2 2 2 2 2 2 2 10" xfId="17882" xr:uid="{00000000-0005-0000-0000-0000C9420000}"/>
    <cellStyle name="Normal 2 2 2 2 2 2 2 2 2 2 2 2 2 2 11" xfId="17883" xr:uid="{00000000-0005-0000-0000-0000CA420000}"/>
    <cellStyle name="Normal 2 2 2 2 2 2 2 2 2 2 2 2 2 2 12" xfId="17884" xr:uid="{00000000-0005-0000-0000-0000CB420000}"/>
    <cellStyle name="Normal 2 2 2 2 2 2 2 2 2 2 2 2 2 2 13" xfId="17885" xr:uid="{00000000-0005-0000-0000-0000CC420000}"/>
    <cellStyle name="Normal 2 2 2 2 2 2 2 2 2 2 2 2 2 2 14" xfId="17886" xr:uid="{00000000-0005-0000-0000-0000CD420000}"/>
    <cellStyle name="Normal 2 2 2 2 2 2 2 2 2 2 2 2 2 2 2" xfId="17887" xr:uid="{00000000-0005-0000-0000-0000CE420000}"/>
    <cellStyle name="Normal 2 2 2 2 2 2 2 2 2 2 2 2 2 2 2 10" xfId="17888" xr:uid="{00000000-0005-0000-0000-0000CF420000}"/>
    <cellStyle name="Normal 2 2 2 2 2 2 2 2 2 2 2 2 2 2 2 11" xfId="17889" xr:uid="{00000000-0005-0000-0000-0000D0420000}"/>
    <cellStyle name="Normal 2 2 2 2 2 2 2 2 2 2 2 2 2 2 2 12" xfId="17890" xr:uid="{00000000-0005-0000-0000-0000D1420000}"/>
    <cellStyle name="Normal 2 2 2 2 2 2 2 2 2 2 2 2 2 2 2 13" xfId="17891" xr:uid="{00000000-0005-0000-0000-0000D2420000}"/>
    <cellStyle name="Normal 2 2 2 2 2 2 2 2 2 2 2 2 2 2 2 14" xfId="17892" xr:uid="{00000000-0005-0000-0000-0000D3420000}"/>
    <cellStyle name="Normal 2 2 2 2 2 2 2 2 2 2 2 2 2 2 2 2" xfId="17893" xr:uid="{00000000-0005-0000-0000-0000D4420000}"/>
    <cellStyle name="Normal 2 2 2 2 2 2 2 2 2 2 2 2 2 2 2 2 10" xfId="17894" xr:uid="{00000000-0005-0000-0000-0000D5420000}"/>
    <cellStyle name="Normal 2 2 2 2 2 2 2 2 2 2 2 2 2 2 2 2 11" xfId="17895" xr:uid="{00000000-0005-0000-0000-0000D6420000}"/>
    <cellStyle name="Normal 2 2 2 2 2 2 2 2 2 2 2 2 2 2 2 2 2" xfId="17896" xr:uid="{00000000-0005-0000-0000-0000D7420000}"/>
    <cellStyle name="Normal 2 2 2 2 2 2 2 2 2 2 2 2 2 2 2 2 2 2" xfId="17897" xr:uid="{00000000-0005-0000-0000-0000D8420000}"/>
    <cellStyle name="Normal 2 2 2 2 2 2 2 2 2 2 2 2 2 2 2 2 2 2 2" xfId="17898" xr:uid="{00000000-0005-0000-0000-0000D9420000}"/>
    <cellStyle name="Normal 2 2 2 2 2 2 2 2 2 2 2 2 2 2 2 2 2 2 3" xfId="17899" xr:uid="{00000000-0005-0000-0000-0000DA420000}"/>
    <cellStyle name="Normal 2 2 2 2 2 2 2 2 2 2 2 2 2 2 2 2 2 3" xfId="17900" xr:uid="{00000000-0005-0000-0000-0000DB420000}"/>
    <cellStyle name="Normal 2 2 2 2 2 2 2 2 2 2 2 2 2 2 2 2 2 4" xfId="17901" xr:uid="{00000000-0005-0000-0000-0000DC420000}"/>
    <cellStyle name="Normal 2 2 2 2 2 2 2 2 2 2 2 2 2 2 2 2 2 5" xfId="17902" xr:uid="{00000000-0005-0000-0000-0000DD420000}"/>
    <cellStyle name="Normal 2 2 2 2 2 2 2 2 2 2 2 2 2 2 2 2 2 6" xfId="17903" xr:uid="{00000000-0005-0000-0000-0000DE420000}"/>
    <cellStyle name="Normal 2 2 2 2 2 2 2 2 2 2 2 2 2 2 2 2 2 7" xfId="17904" xr:uid="{00000000-0005-0000-0000-0000DF420000}"/>
    <cellStyle name="Normal 2 2 2 2 2 2 2 2 2 2 2 2 2 2 2 2 2 8" xfId="17905" xr:uid="{00000000-0005-0000-0000-0000E0420000}"/>
    <cellStyle name="Normal 2 2 2 2 2 2 2 2 2 2 2 2 2 2 2 2 2 9" xfId="17906" xr:uid="{00000000-0005-0000-0000-0000E1420000}"/>
    <cellStyle name="Normal 2 2 2 2 2 2 2 2 2 2 2 2 2 2 2 2 3" xfId="17907" xr:uid="{00000000-0005-0000-0000-0000E2420000}"/>
    <cellStyle name="Normal 2 2 2 2 2 2 2 2 2 2 2 2 2 2 2 2 4" xfId="17908" xr:uid="{00000000-0005-0000-0000-0000E3420000}"/>
    <cellStyle name="Normal 2 2 2 2 2 2 2 2 2 2 2 2 2 2 2 2 5" xfId="17909" xr:uid="{00000000-0005-0000-0000-0000E4420000}"/>
    <cellStyle name="Normal 2 2 2 2 2 2 2 2 2 2 2 2 2 2 2 2 5 2" xfId="17910" xr:uid="{00000000-0005-0000-0000-0000E5420000}"/>
    <cellStyle name="Normal 2 2 2 2 2 2 2 2 2 2 2 2 2 2 2 2 5 3" xfId="17911" xr:uid="{00000000-0005-0000-0000-0000E6420000}"/>
    <cellStyle name="Normal 2 2 2 2 2 2 2 2 2 2 2 2 2 2 2 2 6" xfId="17912" xr:uid="{00000000-0005-0000-0000-0000E7420000}"/>
    <cellStyle name="Normal 2 2 2 2 2 2 2 2 2 2 2 2 2 2 2 2 7" xfId="17913" xr:uid="{00000000-0005-0000-0000-0000E8420000}"/>
    <cellStyle name="Normal 2 2 2 2 2 2 2 2 2 2 2 2 2 2 2 2 8" xfId="17914" xr:uid="{00000000-0005-0000-0000-0000E9420000}"/>
    <cellStyle name="Normal 2 2 2 2 2 2 2 2 2 2 2 2 2 2 2 2 9" xfId="17915" xr:uid="{00000000-0005-0000-0000-0000EA420000}"/>
    <cellStyle name="Normal 2 2 2 2 2 2 2 2 2 2 2 2 2 2 2 3" xfId="17916" xr:uid="{00000000-0005-0000-0000-0000EB420000}"/>
    <cellStyle name="Normal 2 2 2 2 2 2 2 2 2 2 2 2 2 2 2 4" xfId="17917" xr:uid="{00000000-0005-0000-0000-0000EC420000}"/>
    <cellStyle name="Normal 2 2 2 2 2 2 2 2 2 2 2 2 2 2 2 5" xfId="17918" xr:uid="{00000000-0005-0000-0000-0000ED420000}"/>
    <cellStyle name="Normal 2 2 2 2 2 2 2 2 2 2 2 2 2 2 2 6" xfId="17919" xr:uid="{00000000-0005-0000-0000-0000EE420000}"/>
    <cellStyle name="Normal 2 2 2 2 2 2 2 2 2 2 2 2 2 2 2 6 2" xfId="17920" xr:uid="{00000000-0005-0000-0000-0000EF420000}"/>
    <cellStyle name="Normal 2 2 2 2 2 2 2 2 2 2 2 2 2 2 2 6 2 2" xfId="17921" xr:uid="{00000000-0005-0000-0000-0000F0420000}"/>
    <cellStyle name="Normal 2 2 2 2 2 2 2 2 2 2 2 2 2 2 2 6 2 3" xfId="17922" xr:uid="{00000000-0005-0000-0000-0000F1420000}"/>
    <cellStyle name="Normal 2 2 2 2 2 2 2 2 2 2 2 2 2 2 2 6 3" xfId="17923" xr:uid="{00000000-0005-0000-0000-0000F2420000}"/>
    <cellStyle name="Normal 2 2 2 2 2 2 2 2 2 2 2 2 2 2 2 6 4" xfId="17924" xr:uid="{00000000-0005-0000-0000-0000F3420000}"/>
    <cellStyle name="Normal 2 2 2 2 2 2 2 2 2 2 2 2 2 2 2 6 5" xfId="17925" xr:uid="{00000000-0005-0000-0000-0000F4420000}"/>
    <cellStyle name="Normal 2 2 2 2 2 2 2 2 2 2 2 2 2 2 2 6 6" xfId="17926" xr:uid="{00000000-0005-0000-0000-0000F5420000}"/>
    <cellStyle name="Normal 2 2 2 2 2 2 2 2 2 2 2 2 2 2 2 6 7" xfId="17927" xr:uid="{00000000-0005-0000-0000-0000F6420000}"/>
    <cellStyle name="Normal 2 2 2 2 2 2 2 2 2 2 2 2 2 2 2 6 8" xfId="17928" xr:uid="{00000000-0005-0000-0000-0000F7420000}"/>
    <cellStyle name="Normal 2 2 2 2 2 2 2 2 2 2 2 2 2 2 2 6 9" xfId="17929" xr:uid="{00000000-0005-0000-0000-0000F8420000}"/>
    <cellStyle name="Normal 2 2 2 2 2 2 2 2 2 2 2 2 2 2 2 7" xfId="17930" xr:uid="{00000000-0005-0000-0000-0000F9420000}"/>
    <cellStyle name="Normal 2 2 2 2 2 2 2 2 2 2 2 2 2 2 2 8" xfId="17931" xr:uid="{00000000-0005-0000-0000-0000FA420000}"/>
    <cellStyle name="Normal 2 2 2 2 2 2 2 2 2 2 2 2 2 2 2 8 2" xfId="17932" xr:uid="{00000000-0005-0000-0000-0000FB420000}"/>
    <cellStyle name="Normal 2 2 2 2 2 2 2 2 2 2 2 2 2 2 2 8 3" xfId="17933" xr:uid="{00000000-0005-0000-0000-0000FC420000}"/>
    <cellStyle name="Normal 2 2 2 2 2 2 2 2 2 2 2 2 2 2 2 9" xfId="17934" xr:uid="{00000000-0005-0000-0000-0000FD420000}"/>
    <cellStyle name="Normal 2 2 2 2 2 2 2 2 2 2 2 2 2 2 3" xfId="17935" xr:uid="{00000000-0005-0000-0000-0000FE420000}"/>
    <cellStyle name="Normal 2 2 2 2 2 2 2 2 2 2 2 2 2 2 3 10" xfId="17936" xr:uid="{00000000-0005-0000-0000-0000FF420000}"/>
    <cellStyle name="Normal 2 2 2 2 2 2 2 2 2 2 2 2 2 2 3 11" xfId="17937" xr:uid="{00000000-0005-0000-0000-000000430000}"/>
    <cellStyle name="Normal 2 2 2 2 2 2 2 2 2 2 2 2 2 2 3 2" xfId="17938" xr:uid="{00000000-0005-0000-0000-000001430000}"/>
    <cellStyle name="Normal 2 2 2 2 2 2 2 2 2 2 2 2 2 2 3 2 2" xfId="17939" xr:uid="{00000000-0005-0000-0000-000002430000}"/>
    <cellStyle name="Normal 2 2 2 2 2 2 2 2 2 2 2 2 2 2 3 2 2 2" xfId="17940" xr:uid="{00000000-0005-0000-0000-000003430000}"/>
    <cellStyle name="Normal 2 2 2 2 2 2 2 2 2 2 2 2 2 2 3 2 2 3" xfId="17941" xr:uid="{00000000-0005-0000-0000-000004430000}"/>
    <cellStyle name="Normal 2 2 2 2 2 2 2 2 2 2 2 2 2 2 3 2 3" xfId="17942" xr:uid="{00000000-0005-0000-0000-000005430000}"/>
    <cellStyle name="Normal 2 2 2 2 2 2 2 2 2 2 2 2 2 2 3 2 4" xfId="17943" xr:uid="{00000000-0005-0000-0000-000006430000}"/>
    <cellStyle name="Normal 2 2 2 2 2 2 2 2 2 2 2 2 2 2 3 2 5" xfId="17944" xr:uid="{00000000-0005-0000-0000-000007430000}"/>
    <cellStyle name="Normal 2 2 2 2 2 2 2 2 2 2 2 2 2 2 3 2 6" xfId="17945" xr:uid="{00000000-0005-0000-0000-000008430000}"/>
    <cellStyle name="Normal 2 2 2 2 2 2 2 2 2 2 2 2 2 2 3 2 7" xfId="17946" xr:uid="{00000000-0005-0000-0000-000009430000}"/>
    <cellStyle name="Normal 2 2 2 2 2 2 2 2 2 2 2 2 2 2 3 2 8" xfId="17947" xr:uid="{00000000-0005-0000-0000-00000A430000}"/>
    <cellStyle name="Normal 2 2 2 2 2 2 2 2 2 2 2 2 2 2 3 2 9" xfId="17948" xr:uid="{00000000-0005-0000-0000-00000B430000}"/>
    <cellStyle name="Normal 2 2 2 2 2 2 2 2 2 2 2 2 2 2 3 3" xfId="17949" xr:uid="{00000000-0005-0000-0000-00000C430000}"/>
    <cellStyle name="Normal 2 2 2 2 2 2 2 2 2 2 2 2 2 2 3 4" xfId="17950" xr:uid="{00000000-0005-0000-0000-00000D430000}"/>
    <cellStyle name="Normal 2 2 2 2 2 2 2 2 2 2 2 2 2 2 3 5" xfId="17951" xr:uid="{00000000-0005-0000-0000-00000E430000}"/>
    <cellStyle name="Normal 2 2 2 2 2 2 2 2 2 2 2 2 2 2 3 5 2" xfId="17952" xr:uid="{00000000-0005-0000-0000-00000F430000}"/>
    <cellStyle name="Normal 2 2 2 2 2 2 2 2 2 2 2 2 2 2 3 5 3" xfId="17953" xr:uid="{00000000-0005-0000-0000-000010430000}"/>
    <cellStyle name="Normal 2 2 2 2 2 2 2 2 2 2 2 2 2 2 3 6" xfId="17954" xr:uid="{00000000-0005-0000-0000-000011430000}"/>
    <cellStyle name="Normal 2 2 2 2 2 2 2 2 2 2 2 2 2 2 3 7" xfId="17955" xr:uid="{00000000-0005-0000-0000-000012430000}"/>
    <cellStyle name="Normal 2 2 2 2 2 2 2 2 2 2 2 2 2 2 3 8" xfId="17956" xr:uid="{00000000-0005-0000-0000-000013430000}"/>
    <cellStyle name="Normal 2 2 2 2 2 2 2 2 2 2 2 2 2 2 3 9" xfId="17957" xr:uid="{00000000-0005-0000-0000-000014430000}"/>
    <cellStyle name="Normal 2 2 2 2 2 2 2 2 2 2 2 2 2 2 4" xfId="17958" xr:uid="{00000000-0005-0000-0000-000015430000}"/>
    <cellStyle name="Normal 2 2 2 2 2 2 2 2 2 2 2 2 2 2 5" xfId="17959" xr:uid="{00000000-0005-0000-0000-000016430000}"/>
    <cellStyle name="Normal 2 2 2 2 2 2 2 2 2 2 2 2 2 2 6" xfId="17960" xr:uid="{00000000-0005-0000-0000-000017430000}"/>
    <cellStyle name="Normal 2 2 2 2 2 2 2 2 2 2 2 2 2 2 6 2" xfId="17961" xr:uid="{00000000-0005-0000-0000-000018430000}"/>
    <cellStyle name="Normal 2 2 2 2 2 2 2 2 2 2 2 2 2 2 6 2 2" xfId="17962" xr:uid="{00000000-0005-0000-0000-000019430000}"/>
    <cellStyle name="Normal 2 2 2 2 2 2 2 2 2 2 2 2 2 2 6 2 3" xfId="17963" xr:uid="{00000000-0005-0000-0000-00001A430000}"/>
    <cellStyle name="Normal 2 2 2 2 2 2 2 2 2 2 2 2 2 2 6 3" xfId="17964" xr:uid="{00000000-0005-0000-0000-00001B430000}"/>
    <cellStyle name="Normal 2 2 2 2 2 2 2 2 2 2 2 2 2 2 6 4" xfId="17965" xr:uid="{00000000-0005-0000-0000-00001C430000}"/>
    <cellStyle name="Normal 2 2 2 2 2 2 2 2 2 2 2 2 2 2 6 5" xfId="17966" xr:uid="{00000000-0005-0000-0000-00001D430000}"/>
    <cellStyle name="Normal 2 2 2 2 2 2 2 2 2 2 2 2 2 2 6 6" xfId="17967" xr:uid="{00000000-0005-0000-0000-00001E430000}"/>
    <cellStyle name="Normal 2 2 2 2 2 2 2 2 2 2 2 2 2 2 6 7" xfId="17968" xr:uid="{00000000-0005-0000-0000-00001F430000}"/>
    <cellStyle name="Normal 2 2 2 2 2 2 2 2 2 2 2 2 2 2 6 8" xfId="17969" xr:uid="{00000000-0005-0000-0000-000020430000}"/>
    <cellStyle name="Normal 2 2 2 2 2 2 2 2 2 2 2 2 2 2 6 9" xfId="17970" xr:uid="{00000000-0005-0000-0000-000021430000}"/>
    <cellStyle name="Normal 2 2 2 2 2 2 2 2 2 2 2 2 2 2 7" xfId="17971" xr:uid="{00000000-0005-0000-0000-000022430000}"/>
    <cellStyle name="Normal 2 2 2 2 2 2 2 2 2 2 2 2 2 2 8" xfId="17972" xr:uid="{00000000-0005-0000-0000-000023430000}"/>
    <cellStyle name="Normal 2 2 2 2 2 2 2 2 2 2 2 2 2 2 8 2" xfId="17973" xr:uid="{00000000-0005-0000-0000-000024430000}"/>
    <cellStyle name="Normal 2 2 2 2 2 2 2 2 2 2 2 2 2 2 8 3" xfId="17974" xr:uid="{00000000-0005-0000-0000-000025430000}"/>
    <cellStyle name="Normal 2 2 2 2 2 2 2 2 2 2 2 2 2 2 9" xfId="17975" xr:uid="{00000000-0005-0000-0000-000026430000}"/>
    <cellStyle name="Normal 2 2 2 2 2 2 2 2 2 2 2 2 2 3" xfId="17976" xr:uid="{00000000-0005-0000-0000-000027430000}"/>
    <cellStyle name="Normal 2 2 2 2 2 2 2 2 2 2 2 2 2 3 10" xfId="17977" xr:uid="{00000000-0005-0000-0000-000028430000}"/>
    <cellStyle name="Normal 2 2 2 2 2 2 2 2 2 2 2 2 2 3 11" xfId="17978" xr:uid="{00000000-0005-0000-0000-000029430000}"/>
    <cellStyle name="Normal 2 2 2 2 2 2 2 2 2 2 2 2 2 3 2" xfId="17979" xr:uid="{00000000-0005-0000-0000-00002A430000}"/>
    <cellStyle name="Normal 2 2 2 2 2 2 2 2 2 2 2 2 2 3 2 2" xfId="17980" xr:uid="{00000000-0005-0000-0000-00002B430000}"/>
    <cellStyle name="Normal 2 2 2 2 2 2 2 2 2 2 2 2 2 3 2 2 2" xfId="17981" xr:uid="{00000000-0005-0000-0000-00002C430000}"/>
    <cellStyle name="Normal 2 2 2 2 2 2 2 2 2 2 2 2 2 3 2 2 3" xfId="17982" xr:uid="{00000000-0005-0000-0000-00002D430000}"/>
    <cellStyle name="Normal 2 2 2 2 2 2 2 2 2 2 2 2 2 3 2 3" xfId="17983" xr:uid="{00000000-0005-0000-0000-00002E430000}"/>
    <cellStyle name="Normal 2 2 2 2 2 2 2 2 2 2 2 2 2 3 2 4" xfId="17984" xr:uid="{00000000-0005-0000-0000-00002F430000}"/>
    <cellStyle name="Normal 2 2 2 2 2 2 2 2 2 2 2 2 2 3 2 5" xfId="17985" xr:uid="{00000000-0005-0000-0000-000030430000}"/>
    <cellStyle name="Normal 2 2 2 2 2 2 2 2 2 2 2 2 2 3 2 6" xfId="17986" xr:uid="{00000000-0005-0000-0000-000031430000}"/>
    <cellStyle name="Normal 2 2 2 2 2 2 2 2 2 2 2 2 2 3 2 7" xfId="17987" xr:uid="{00000000-0005-0000-0000-000032430000}"/>
    <cellStyle name="Normal 2 2 2 2 2 2 2 2 2 2 2 2 2 3 2 8" xfId="17988" xr:uid="{00000000-0005-0000-0000-000033430000}"/>
    <cellStyle name="Normal 2 2 2 2 2 2 2 2 2 2 2 2 2 3 2 9" xfId="17989" xr:uid="{00000000-0005-0000-0000-000034430000}"/>
    <cellStyle name="Normal 2 2 2 2 2 2 2 2 2 2 2 2 2 3 3" xfId="17990" xr:uid="{00000000-0005-0000-0000-000035430000}"/>
    <cellStyle name="Normal 2 2 2 2 2 2 2 2 2 2 2 2 2 3 4" xfId="17991" xr:uid="{00000000-0005-0000-0000-000036430000}"/>
    <cellStyle name="Normal 2 2 2 2 2 2 2 2 2 2 2 2 2 3 5" xfId="17992" xr:uid="{00000000-0005-0000-0000-000037430000}"/>
    <cellStyle name="Normal 2 2 2 2 2 2 2 2 2 2 2 2 2 3 5 2" xfId="17993" xr:uid="{00000000-0005-0000-0000-000038430000}"/>
    <cellStyle name="Normal 2 2 2 2 2 2 2 2 2 2 2 2 2 3 5 3" xfId="17994" xr:uid="{00000000-0005-0000-0000-000039430000}"/>
    <cellStyle name="Normal 2 2 2 2 2 2 2 2 2 2 2 2 2 3 6" xfId="17995" xr:uid="{00000000-0005-0000-0000-00003A430000}"/>
    <cellStyle name="Normal 2 2 2 2 2 2 2 2 2 2 2 2 2 3 7" xfId="17996" xr:uid="{00000000-0005-0000-0000-00003B430000}"/>
    <cellStyle name="Normal 2 2 2 2 2 2 2 2 2 2 2 2 2 3 8" xfId="17997" xr:uid="{00000000-0005-0000-0000-00003C430000}"/>
    <cellStyle name="Normal 2 2 2 2 2 2 2 2 2 2 2 2 2 3 9" xfId="17998" xr:uid="{00000000-0005-0000-0000-00003D430000}"/>
    <cellStyle name="Normal 2 2 2 2 2 2 2 2 2 2 2 2 2 4" xfId="17999" xr:uid="{00000000-0005-0000-0000-00003E430000}"/>
    <cellStyle name="Normal 2 2 2 2 2 2 2 2 2 2 2 2 2 5" xfId="18000" xr:uid="{00000000-0005-0000-0000-00003F430000}"/>
    <cellStyle name="Normal 2 2 2 2 2 2 2 2 2 2 2 2 2 6" xfId="18001" xr:uid="{00000000-0005-0000-0000-000040430000}"/>
    <cellStyle name="Normal 2 2 2 2 2 2 2 2 2 2 2 2 2 6 2" xfId="18002" xr:uid="{00000000-0005-0000-0000-000041430000}"/>
    <cellStyle name="Normal 2 2 2 2 2 2 2 2 2 2 2 2 2 6 2 2" xfId="18003" xr:uid="{00000000-0005-0000-0000-000042430000}"/>
    <cellStyle name="Normal 2 2 2 2 2 2 2 2 2 2 2 2 2 6 2 3" xfId="18004" xr:uid="{00000000-0005-0000-0000-000043430000}"/>
    <cellStyle name="Normal 2 2 2 2 2 2 2 2 2 2 2 2 2 6 3" xfId="18005" xr:uid="{00000000-0005-0000-0000-000044430000}"/>
    <cellStyle name="Normal 2 2 2 2 2 2 2 2 2 2 2 2 2 6 4" xfId="18006" xr:uid="{00000000-0005-0000-0000-000045430000}"/>
    <cellStyle name="Normal 2 2 2 2 2 2 2 2 2 2 2 2 2 6 5" xfId="18007" xr:uid="{00000000-0005-0000-0000-000046430000}"/>
    <cellStyle name="Normal 2 2 2 2 2 2 2 2 2 2 2 2 2 6 6" xfId="18008" xr:uid="{00000000-0005-0000-0000-000047430000}"/>
    <cellStyle name="Normal 2 2 2 2 2 2 2 2 2 2 2 2 2 6 7" xfId="18009" xr:uid="{00000000-0005-0000-0000-000048430000}"/>
    <cellStyle name="Normal 2 2 2 2 2 2 2 2 2 2 2 2 2 6 8" xfId="18010" xr:uid="{00000000-0005-0000-0000-000049430000}"/>
    <cellStyle name="Normal 2 2 2 2 2 2 2 2 2 2 2 2 2 6 9" xfId="18011" xr:uid="{00000000-0005-0000-0000-00004A430000}"/>
    <cellStyle name="Normal 2 2 2 2 2 2 2 2 2 2 2 2 2 7" xfId="18012" xr:uid="{00000000-0005-0000-0000-00004B430000}"/>
    <cellStyle name="Normal 2 2 2 2 2 2 2 2 2 2 2 2 2 8" xfId="18013" xr:uid="{00000000-0005-0000-0000-00004C430000}"/>
    <cellStyle name="Normal 2 2 2 2 2 2 2 2 2 2 2 2 2 8 2" xfId="18014" xr:uid="{00000000-0005-0000-0000-00004D430000}"/>
    <cellStyle name="Normal 2 2 2 2 2 2 2 2 2 2 2 2 2 8 3" xfId="18015" xr:uid="{00000000-0005-0000-0000-00004E430000}"/>
    <cellStyle name="Normal 2 2 2 2 2 2 2 2 2 2 2 2 2 9" xfId="18016" xr:uid="{00000000-0005-0000-0000-00004F430000}"/>
    <cellStyle name="Normal 2 2 2 2 2 2 2 2 2 2 2 2 3" xfId="18017" xr:uid="{00000000-0005-0000-0000-000050430000}"/>
    <cellStyle name="Normal 2 2 2 2 2 2 2 2 2 2 2 2 3 2" xfId="18018" xr:uid="{00000000-0005-0000-0000-000051430000}"/>
    <cellStyle name="Normal 2 2 2 2 2 2 2 2 2 2 2 2 3 3" xfId="18019" xr:uid="{00000000-0005-0000-0000-000052430000}"/>
    <cellStyle name="Normal 2 2 2 2 2 2 2 2 2 2 2 2 3 4" xfId="18020" xr:uid="{00000000-0005-0000-0000-000053430000}"/>
    <cellStyle name="Normal 2 2 2 2 2 2 2 2 2 2 2 2 3 5" xfId="18021" xr:uid="{00000000-0005-0000-0000-000054430000}"/>
    <cellStyle name="Normal 2 2 2 2 2 2 2 2 2 2 2 2 3 6" xfId="18022" xr:uid="{00000000-0005-0000-0000-000055430000}"/>
    <cellStyle name="Normal 2 2 2 2 2 2 2 2 2 2 2 2 4" xfId="18023" xr:uid="{00000000-0005-0000-0000-000056430000}"/>
    <cellStyle name="Normal 2 2 2 2 2 2 2 2 2 2 2 2 4 10" xfId="18024" xr:uid="{00000000-0005-0000-0000-000057430000}"/>
    <cellStyle name="Normal 2 2 2 2 2 2 2 2 2 2 2 2 4 11" xfId="18025" xr:uid="{00000000-0005-0000-0000-000058430000}"/>
    <cellStyle name="Normal 2 2 2 2 2 2 2 2 2 2 2 2 4 2" xfId="18026" xr:uid="{00000000-0005-0000-0000-000059430000}"/>
    <cellStyle name="Normal 2 2 2 2 2 2 2 2 2 2 2 2 4 2 2" xfId="18027" xr:uid="{00000000-0005-0000-0000-00005A430000}"/>
    <cellStyle name="Normal 2 2 2 2 2 2 2 2 2 2 2 2 4 2 2 2" xfId="18028" xr:uid="{00000000-0005-0000-0000-00005B430000}"/>
    <cellStyle name="Normal 2 2 2 2 2 2 2 2 2 2 2 2 4 2 2 3" xfId="18029" xr:uid="{00000000-0005-0000-0000-00005C430000}"/>
    <cellStyle name="Normal 2 2 2 2 2 2 2 2 2 2 2 2 4 2 3" xfId="18030" xr:uid="{00000000-0005-0000-0000-00005D430000}"/>
    <cellStyle name="Normal 2 2 2 2 2 2 2 2 2 2 2 2 4 2 4" xfId="18031" xr:uid="{00000000-0005-0000-0000-00005E430000}"/>
    <cellStyle name="Normal 2 2 2 2 2 2 2 2 2 2 2 2 4 2 5" xfId="18032" xr:uid="{00000000-0005-0000-0000-00005F430000}"/>
    <cellStyle name="Normal 2 2 2 2 2 2 2 2 2 2 2 2 4 2 6" xfId="18033" xr:uid="{00000000-0005-0000-0000-000060430000}"/>
    <cellStyle name="Normal 2 2 2 2 2 2 2 2 2 2 2 2 4 2 7" xfId="18034" xr:uid="{00000000-0005-0000-0000-000061430000}"/>
    <cellStyle name="Normal 2 2 2 2 2 2 2 2 2 2 2 2 4 2 8" xfId="18035" xr:uid="{00000000-0005-0000-0000-000062430000}"/>
    <cellStyle name="Normal 2 2 2 2 2 2 2 2 2 2 2 2 4 2 9" xfId="18036" xr:uid="{00000000-0005-0000-0000-000063430000}"/>
    <cellStyle name="Normal 2 2 2 2 2 2 2 2 2 2 2 2 4 3" xfId="18037" xr:uid="{00000000-0005-0000-0000-000064430000}"/>
    <cellStyle name="Normal 2 2 2 2 2 2 2 2 2 2 2 2 4 4" xfId="18038" xr:uid="{00000000-0005-0000-0000-000065430000}"/>
    <cellStyle name="Normal 2 2 2 2 2 2 2 2 2 2 2 2 4 5" xfId="18039" xr:uid="{00000000-0005-0000-0000-000066430000}"/>
    <cellStyle name="Normal 2 2 2 2 2 2 2 2 2 2 2 2 4 5 2" xfId="18040" xr:uid="{00000000-0005-0000-0000-000067430000}"/>
    <cellStyle name="Normal 2 2 2 2 2 2 2 2 2 2 2 2 4 5 3" xfId="18041" xr:uid="{00000000-0005-0000-0000-000068430000}"/>
    <cellStyle name="Normal 2 2 2 2 2 2 2 2 2 2 2 2 4 6" xfId="18042" xr:uid="{00000000-0005-0000-0000-000069430000}"/>
    <cellStyle name="Normal 2 2 2 2 2 2 2 2 2 2 2 2 4 7" xfId="18043" xr:uid="{00000000-0005-0000-0000-00006A430000}"/>
    <cellStyle name="Normal 2 2 2 2 2 2 2 2 2 2 2 2 4 8" xfId="18044" xr:uid="{00000000-0005-0000-0000-00006B430000}"/>
    <cellStyle name="Normal 2 2 2 2 2 2 2 2 2 2 2 2 4 9" xfId="18045" xr:uid="{00000000-0005-0000-0000-00006C430000}"/>
    <cellStyle name="Normal 2 2 2 2 2 2 2 2 2 2 2 2 5" xfId="18046" xr:uid="{00000000-0005-0000-0000-00006D430000}"/>
    <cellStyle name="Normal 2 2 2 2 2 2 2 2 2 2 2 2 6" xfId="18047" xr:uid="{00000000-0005-0000-0000-00006E430000}"/>
    <cellStyle name="Normal 2 2 2 2 2 2 2 2 2 2 2 2 7" xfId="18048" xr:uid="{00000000-0005-0000-0000-00006F430000}"/>
    <cellStyle name="Normal 2 2 2 2 2 2 2 2 2 2 2 2 7 2" xfId="18049" xr:uid="{00000000-0005-0000-0000-000070430000}"/>
    <cellStyle name="Normal 2 2 2 2 2 2 2 2 2 2 2 2 7 2 2" xfId="18050" xr:uid="{00000000-0005-0000-0000-000071430000}"/>
    <cellStyle name="Normal 2 2 2 2 2 2 2 2 2 2 2 2 7 2 3" xfId="18051" xr:uid="{00000000-0005-0000-0000-000072430000}"/>
    <cellStyle name="Normal 2 2 2 2 2 2 2 2 2 2 2 2 7 3" xfId="18052" xr:uid="{00000000-0005-0000-0000-000073430000}"/>
    <cellStyle name="Normal 2 2 2 2 2 2 2 2 2 2 2 2 7 4" xfId="18053" xr:uid="{00000000-0005-0000-0000-000074430000}"/>
    <cellStyle name="Normal 2 2 2 2 2 2 2 2 2 2 2 2 7 5" xfId="18054" xr:uid="{00000000-0005-0000-0000-000075430000}"/>
    <cellStyle name="Normal 2 2 2 2 2 2 2 2 2 2 2 2 7 6" xfId="18055" xr:uid="{00000000-0005-0000-0000-000076430000}"/>
    <cellStyle name="Normal 2 2 2 2 2 2 2 2 2 2 2 2 7 7" xfId="18056" xr:uid="{00000000-0005-0000-0000-000077430000}"/>
    <cellStyle name="Normal 2 2 2 2 2 2 2 2 2 2 2 2 7 8" xfId="18057" xr:uid="{00000000-0005-0000-0000-000078430000}"/>
    <cellStyle name="Normal 2 2 2 2 2 2 2 2 2 2 2 2 7 9" xfId="18058" xr:uid="{00000000-0005-0000-0000-000079430000}"/>
    <cellStyle name="Normal 2 2 2 2 2 2 2 2 2 2 2 2 8" xfId="18059" xr:uid="{00000000-0005-0000-0000-00007A430000}"/>
    <cellStyle name="Normal 2 2 2 2 2 2 2 2 2 2 2 2 9" xfId="18060" xr:uid="{00000000-0005-0000-0000-00007B430000}"/>
    <cellStyle name="Normal 2 2 2 2 2 2 2 2 2 2 2 2 9 2" xfId="18061" xr:uid="{00000000-0005-0000-0000-00007C430000}"/>
    <cellStyle name="Normal 2 2 2 2 2 2 2 2 2 2 2 2 9 3" xfId="18062" xr:uid="{00000000-0005-0000-0000-00007D430000}"/>
    <cellStyle name="Normal 2 2 2 2 2 2 2 2 2 2 2 20" xfId="18063" xr:uid="{00000000-0005-0000-0000-00007E430000}"/>
    <cellStyle name="Normal 2 2 2 2 2 2 2 2 2 2 2 20 2" xfId="18064" xr:uid="{00000000-0005-0000-0000-00007F430000}"/>
    <cellStyle name="Normal 2 2 2 2 2 2 2 2 2 2 2 20 3" xfId="18065" xr:uid="{00000000-0005-0000-0000-000080430000}"/>
    <cellStyle name="Normal 2 2 2 2 2 2 2 2 2 2 2 20 4" xfId="18066" xr:uid="{00000000-0005-0000-0000-000081430000}"/>
    <cellStyle name="Normal 2 2 2 2 2 2 2 2 2 2 2 20 5" xfId="18067" xr:uid="{00000000-0005-0000-0000-000082430000}"/>
    <cellStyle name="Normal 2 2 2 2 2 2 2 2 2 2 2 20 6" xfId="18068" xr:uid="{00000000-0005-0000-0000-000083430000}"/>
    <cellStyle name="Normal 2 2 2 2 2 2 2 2 2 2 2 21" xfId="18069" xr:uid="{00000000-0005-0000-0000-000084430000}"/>
    <cellStyle name="Normal 2 2 2 2 2 2 2 2 2 2 2 21 2" xfId="18070" xr:uid="{00000000-0005-0000-0000-000085430000}"/>
    <cellStyle name="Normal 2 2 2 2 2 2 2 2 2 2 2 21 3" xfId="18071" xr:uid="{00000000-0005-0000-0000-000086430000}"/>
    <cellStyle name="Normal 2 2 2 2 2 2 2 2 2 2 2 21 4" xfId="18072" xr:uid="{00000000-0005-0000-0000-000087430000}"/>
    <cellStyle name="Normal 2 2 2 2 2 2 2 2 2 2 2 21 5" xfId="18073" xr:uid="{00000000-0005-0000-0000-000088430000}"/>
    <cellStyle name="Normal 2 2 2 2 2 2 2 2 2 2 2 21 6" xfId="18074" xr:uid="{00000000-0005-0000-0000-000089430000}"/>
    <cellStyle name="Normal 2 2 2 2 2 2 2 2 2 2 2 22" xfId="18075" xr:uid="{00000000-0005-0000-0000-00008A430000}"/>
    <cellStyle name="Normal 2 2 2 2 2 2 2 2 2 2 2 22 2" xfId="18076" xr:uid="{00000000-0005-0000-0000-00008B430000}"/>
    <cellStyle name="Normal 2 2 2 2 2 2 2 2 2 2 2 22 3" xfId="18077" xr:uid="{00000000-0005-0000-0000-00008C430000}"/>
    <cellStyle name="Normal 2 2 2 2 2 2 2 2 2 2 2 22 4" xfId="18078" xr:uid="{00000000-0005-0000-0000-00008D430000}"/>
    <cellStyle name="Normal 2 2 2 2 2 2 2 2 2 2 2 22 5" xfId="18079" xr:uid="{00000000-0005-0000-0000-00008E430000}"/>
    <cellStyle name="Normal 2 2 2 2 2 2 2 2 2 2 2 22 6" xfId="18080" xr:uid="{00000000-0005-0000-0000-00008F430000}"/>
    <cellStyle name="Normal 2 2 2 2 2 2 2 2 2 2 2 23" xfId="18081" xr:uid="{00000000-0005-0000-0000-000090430000}"/>
    <cellStyle name="Normal 2 2 2 2 2 2 2 2 2 2 2 23 2" xfId="18082" xr:uid="{00000000-0005-0000-0000-000091430000}"/>
    <cellStyle name="Normal 2 2 2 2 2 2 2 2 2 2 2 23 2 2" xfId="18083" xr:uid="{00000000-0005-0000-0000-000092430000}"/>
    <cellStyle name="Normal 2 2 2 2 2 2 2 2 2 2 2 23 2 3" xfId="18084" xr:uid="{00000000-0005-0000-0000-000093430000}"/>
    <cellStyle name="Normal 2 2 2 2 2 2 2 2 2 2 2 23 2 4" xfId="18085" xr:uid="{00000000-0005-0000-0000-000094430000}"/>
    <cellStyle name="Normal 2 2 2 2 2 2 2 2 2 2 2 23 2 5" xfId="18086" xr:uid="{00000000-0005-0000-0000-000095430000}"/>
    <cellStyle name="Normal 2 2 2 2 2 2 2 2 2 2 2 23 2 6" xfId="18087" xr:uid="{00000000-0005-0000-0000-000096430000}"/>
    <cellStyle name="Normal 2 2 2 2 2 2 2 2 2 2 2 24" xfId="18088" xr:uid="{00000000-0005-0000-0000-000097430000}"/>
    <cellStyle name="Normal 2 2 2 2 2 2 2 2 2 2 2 24 10" xfId="18089" xr:uid="{00000000-0005-0000-0000-000098430000}"/>
    <cellStyle name="Normal 2 2 2 2 2 2 2 2 2 2 2 24 11" xfId="18090" xr:uid="{00000000-0005-0000-0000-000099430000}"/>
    <cellStyle name="Normal 2 2 2 2 2 2 2 2 2 2 2 24 2" xfId="18091" xr:uid="{00000000-0005-0000-0000-00009A430000}"/>
    <cellStyle name="Normal 2 2 2 2 2 2 2 2 2 2 2 24 2 2" xfId="18092" xr:uid="{00000000-0005-0000-0000-00009B430000}"/>
    <cellStyle name="Normal 2 2 2 2 2 2 2 2 2 2 2 24 2 2 2" xfId="18093" xr:uid="{00000000-0005-0000-0000-00009C430000}"/>
    <cellStyle name="Normal 2 2 2 2 2 2 2 2 2 2 2 24 2 2 3" xfId="18094" xr:uid="{00000000-0005-0000-0000-00009D430000}"/>
    <cellStyle name="Normal 2 2 2 2 2 2 2 2 2 2 2 24 2 3" xfId="18095" xr:uid="{00000000-0005-0000-0000-00009E430000}"/>
    <cellStyle name="Normal 2 2 2 2 2 2 2 2 2 2 2 24 2 4" xfId="18096" xr:uid="{00000000-0005-0000-0000-00009F430000}"/>
    <cellStyle name="Normal 2 2 2 2 2 2 2 2 2 2 2 24 2 5" xfId="18097" xr:uid="{00000000-0005-0000-0000-0000A0430000}"/>
    <cellStyle name="Normal 2 2 2 2 2 2 2 2 2 2 2 24 2 6" xfId="18098" xr:uid="{00000000-0005-0000-0000-0000A1430000}"/>
    <cellStyle name="Normal 2 2 2 2 2 2 2 2 2 2 2 24 2 7" xfId="18099" xr:uid="{00000000-0005-0000-0000-0000A2430000}"/>
    <cellStyle name="Normal 2 2 2 2 2 2 2 2 2 2 2 24 2 8" xfId="18100" xr:uid="{00000000-0005-0000-0000-0000A3430000}"/>
    <cellStyle name="Normal 2 2 2 2 2 2 2 2 2 2 2 24 2 9" xfId="18101" xr:uid="{00000000-0005-0000-0000-0000A4430000}"/>
    <cellStyle name="Normal 2 2 2 2 2 2 2 2 2 2 2 24 3" xfId="18102" xr:uid="{00000000-0005-0000-0000-0000A5430000}"/>
    <cellStyle name="Normal 2 2 2 2 2 2 2 2 2 2 2 24 4" xfId="18103" xr:uid="{00000000-0005-0000-0000-0000A6430000}"/>
    <cellStyle name="Normal 2 2 2 2 2 2 2 2 2 2 2 24 5" xfId="18104" xr:uid="{00000000-0005-0000-0000-0000A7430000}"/>
    <cellStyle name="Normal 2 2 2 2 2 2 2 2 2 2 2 24 5 2" xfId="18105" xr:uid="{00000000-0005-0000-0000-0000A8430000}"/>
    <cellStyle name="Normal 2 2 2 2 2 2 2 2 2 2 2 24 5 3" xfId="18106" xr:uid="{00000000-0005-0000-0000-0000A9430000}"/>
    <cellStyle name="Normal 2 2 2 2 2 2 2 2 2 2 2 24 6" xfId="18107" xr:uid="{00000000-0005-0000-0000-0000AA430000}"/>
    <cellStyle name="Normal 2 2 2 2 2 2 2 2 2 2 2 24 7" xfId="18108" xr:uid="{00000000-0005-0000-0000-0000AB430000}"/>
    <cellStyle name="Normal 2 2 2 2 2 2 2 2 2 2 2 24 8" xfId="18109" xr:uid="{00000000-0005-0000-0000-0000AC430000}"/>
    <cellStyle name="Normal 2 2 2 2 2 2 2 2 2 2 2 24 9" xfId="18110" xr:uid="{00000000-0005-0000-0000-0000AD430000}"/>
    <cellStyle name="Normal 2 2 2 2 2 2 2 2 2 2 2 25" xfId="18111" xr:uid="{00000000-0005-0000-0000-0000AE430000}"/>
    <cellStyle name="Normal 2 2 2 2 2 2 2 2 2 2 2 26" xfId="18112" xr:uid="{00000000-0005-0000-0000-0000AF430000}"/>
    <cellStyle name="Normal 2 2 2 2 2 2 2 2 2 2 2 27" xfId="18113" xr:uid="{00000000-0005-0000-0000-0000B0430000}"/>
    <cellStyle name="Normal 2 2 2 2 2 2 2 2 2 2 2 27 2" xfId="18114" xr:uid="{00000000-0005-0000-0000-0000B1430000}"/>
    <cellStyle name="Normal 2 2 2 2 2 2 2 2 2 2 2 27 2 2" xfId="18115" xr:uid="{00000000-0005-0000-0000-0000B2430000}"/>
    <cellStyle name="Normal 2 2 2 2 2 2 2 2 2 2 2 27 2 3" xfId="18116" xr:uid="{00000000-0005-0000-0000-0000B3430000}"/>
    <cellStyle name="Normal 2 2 2 2 2 2 2 2 2 2 2 27 3" xfId="18117" xr:uid="{00000000-0005-0000-0000-0000B4430000}"/>
    <cellStyle name="Normal 2 2 2 2 2 2 2 2 2 2 2 27 4" xfId="18118" xr:uid="{00000000-0005-0000-0000-0000B5430000}"/>
    <cellStyle name="Normal 2 2 2 2 2 2 2 2 2 2 2 27 5" xfId="18119" xr:uid="{00000000-0005-0000-0000-0000B6430000}"/>
    <cellStyle name="Normal 2 2 2 2 2 2 2 2 2 2 2 27 6" xfId="18120" xr:uid="{00000000-0005-0000-0000-0000B7430000}"/>
    <cellStyle name="Normal 2 2 2 2 2 2 2 2 2 2 2 27 7" xfId="18121" xr:uid="{00000000-0005-0000-0000-0000B8430000}"/>
    <cellStyle name="Normal 2 2 2 2 2 2 2 2 2 2 2 27 8" xfId="18122" xr:uid="{00000000-0005-0000-0000-0000B9430000}"/>
    <cellStyle name="Normal 2 2 2 2 2 2 2 2 2 2 2 27 9" xfId="18123" xr:uid="{00000000-0005-0000-0000-0000BA430000}"/>
    <cellStyle name="Normal 2 2 2 2 2 2 2 2 2 2 2 28" xfId="18124" xr:uid="{00000000-0005-0000-0000-0000BB430000}"/>
    <cellStyle name="Normal 2 2 2 2 2 2 2 2 2 2 2 29" xfId="18125" xr:uid="{00000000-0005-0000-0000-0000BC430000}"/>
    <cellStyle name="Normal 2 2 2 2 2 2 2 2 2 2 2 29 2" xfId="18126" xr:uid="{00000000-0005-0000-0000-0000BD430000}"/>
    <cellStyle name="Normal 2 2 2 2 2 2 2 2 2 2 2 29 3" xfId="18127" xr:uid="{00000000-0005-0000-0000-0000BE430000}"/>
    <cellStyle name="Normal 2 2 2 2 2 2 2 2 2 2 2 3" xfId="18128" xr:uid="{00000000-0005-0000-0000-0000BF430000}"/>
    <cellStyle name="Normal 2 2 2 2 2 2 2 2 2 2 2 3 2" xfId="18129" xr:uid="{00000000-0005-0000-0000-0000C0430000}"/>
    <cellStyle name="Normal 2 2 2 2 2 2 2 2 2 2 2 3 3" xfId="18130" xr:uid="{00000000-0005-0000-0000-0000C1430000}"/>
    <cellStyle name="Normal 2 2 2 2 2 2 2 2 2 2 2 3 4" xfId="18131" xr:uid="{00000000-0005-0000-0000-0000C2430000}"/>
    <cellStyle name="Normal 2 2 2 2 2 2 2 2 2 2 2 3 5" xfId="18132" xr:uid="{00000000-0005-0000-0000-0000C3430000}"/>
    <cellStyle name="Normal 2 2 2 2 2 2 2 2 2 2 2 3 6" xfId="18133" xr:uid="{00000000-0005-0000-0000-0000C4430000}"/>
    <cellStyle name="Normal 2 2 2 2 2 2 2 2 2 2 2 30" xfId="18134" xr:uid="{00000000-0005-0000-0000-0000C5430000}"/>
    <cellStyle name="Normal 2 2 2 2 2 2 2 2 2 2 2 31" xfId="18135" xr:uid="{00000000-0005-0000-0000-0000C6430000}"/>
    <cellStyle name="Normal 2 2 2 2 2 2 2 2 2 2 2 32" xfId="18136" xr:uid="{00000000-0005-0000-0000-0000C7430000}"/>
    <cellStyle name="Normal 2 2 2 2 2 2 2 2 2 2 2 33" xfId="18137" xr:uid="{00000000-0005-0000-0000-0000C8430000}"/>
    <cellStyle name="Normal 2 2 2 2 2 2 2 2 2 2 2 34" xfId="18138" xr:uid="{00000000-0005-0000-0000-0000C9430000}"/>
    <cellStyle name="Normal 2 2 2 2 2 2 2 2 2 2 2 35" xfId="18139" xr:uid="{00000000-0005-0000-0000-0000CA430000}"/>
    <cellStyle name="Normal 2 2 2 2 2 2 2 2 2 2 2 4" xfId="18140" xr:uid="{00000000-0005-0000-0000-0000CB430000}"/>
    <cellStyle name="Normal 2 2 2 2 2 2 2 2 2 2 2 4 2" xfId="18141" xr:uid="{00000000-0005-0000-0000-0000CC430000}"/>
    <cellStyle name="Normal 2 2 2 2 2 2 2 2 2 2 2 4 3" xfId="18142" xr:uid="{00000000-0005-0000-0000-0000CD430000}"/>
    <cellStyle name="Normal 2 2 2 2 2 2 2 2 2 2 2 4 4" xfId="18143" xr:uid="{00000000-0005-0000-0000-0000CE430000}"/>
    <cellStyle name="Normal 2 2 2 2 2 2 2 2 2 2 2 4 5" xfId="18144" xr:uid="{00000000-0005-0000-0000-0000CF430000}"/>
    <cellStyle name="Normal 2 2 2 2 2 2 2 2 2 2 2 4 6" xfId="18145" xr:uid="{00000000-0005-0000-0000-0000D0430000}"/>
    <cellStyle name="Normal 2 2 2 2 2 2 2 2 2 2 2 5" xfId="18146" xr:uid="{00000000-0005-0000-0000-0000D1430000}"/>
    <cellStyle name="Normal 2 2 2 2 2 2 2 2 2 2 2 5 2" xfId="18147" xr:uid="{00000000-0005-0000-0000-0000D2430000}"/>
    <cellStyle name="Normal 2 2 2 2 2 2 2 2 2 2 2 5 3" xfId="18148" xr:uid="{00000000-0005-0000-0000-0000D3430000}"/>
    <cellStyle name="Normal 2 2 2 2 2 2 2 2 2 2 2 5 4" xfId="18149" xr:uid="{00000000-0005-0000-0000-0000D4430000}"/>
    <cellStyle name="Normal 2 2 2 2 2 2 2 2 2 2 2 5 5" xfId="18150" xr:uid="{00000000-0005-0000-0000-0000D5430000}"/>
    <cellStyle name="Normal 2 2 2 2 2 2 2 2 2 2 2 5 6" xfId="18151" xr:uid="{00000000-0005-0000-0000-0000D6430000}"/>
    <cellStyle name="Normal 2 2 2 2 2 2 2 2 2 2 2 6" xfId="18152" xr:uid="{00000000-0005-0000-0000-0000D7430000}"/>
    <cellStyle name="Normal 2 2 2 2 2 2 2 2 2 2 2 6 2" xfId="18153" xr:uid="{00000000-0005-0000-0000-0000D8430000}"/>
    <cellStyle name="Normal 2 2 2 2 2 2 2 2 2 2 2 6 3" xfId="18154" xr:uid="{00000000-0005-0000-0000-0000D9430000}"/>
    <cellStyle name="Normal 2 2 2 2 2 2 2 2 2 2 2 6 4" xfId="18155" xr:uid="{00000000-0005-0000-0000-0000DA430000}"/>
    <cellStyle name="Normal 2 2 2 2 2 2 2 2 2 2 2 6 5" xfId="18156" xr:uid="{00000000-0005-0000-0000-0000DB430000}"/>
    <cellStyle name="Normal 2 2 2 2 2 2 2 2 2 2 2 6 6" xfId="18157" xr:uid="{00000000-0005-0000-0000-0000DC430000}"/>
    <cellStyle name="Normal 2 2 2 2 2 2 2 2 2 2 2 7" xfId="18158" xr:uid="{00000000-0005-0000-0000-0000DD430000}"/>
    <cellStyle name="Normal 2 2 2 2 2 2 2 2 2 2 2 7 2" xfId="18159" xr:uid="{00000000-0005-0000-0000-0000DE430000}"/>
    <cellStyle name="Normal 2 2 2 2 2 2 2 2 2 2 2 7 3" xfId="18160" xr:uid="{00000000-0005-0000-0000-0000DF430000}"/>
    <cellStyle name="Normal 2 2 2 2 2 2 2 2 2 2 2 7 4" xfId="18161" xr:uid="{00000000-0005-0000-0000-0000E0430000}"/>
    <cellStyle name="Normal 2 2 2 2 2 2 2 2 2 2 2 7 5" xfId="18162" xr:uid="{00000000-0005-0000-0000-0000E1430000}"/>
    <cellStyle name="Normal 2 2 2 2 2 2 2 2 2 2 2 7 6" xfId="18163" xr:uid="{00000000-0005-0000-0000-0000E2430000}"/>
    <cellStyle name="Normal 2 2 2 2 2 2 2 2 2 2 2 8" xfId="18164" xr:uid="{00000000-0005-0000-0000-0000E3430000}"/>
    <cellStyle name="Normal 2 2 2 2 2 2 2 2 2 2 2 8 2" xfId="18165" xr:uid="{00000000-0005-0000-0000-0000E4430000}"/>
    <cellStyle name="Normal 2 2 2 2 2 2 2 2 2 2 2 8 3" xfId="18166" xr:uid="{00000000-0005-0000-0000-0000E5430000}"/>
    <cellStyle name="Normal 2 2 2 2 2 2 2 2 2 2 2 8 4" xfId="18167" xr:uid="{00000000-0005-0000-0000-0000E6430000}"/>
    <cellStyle name="Normal 2 2 2 2 2 2 2 2 2 2 2 8 5" xfId="18168" xr:uid="{00000000-0005-0000-0000-0000E7430000}"/>
    <cellStyle name="Normal 2 2 2 2 2 2 2 2 2 2 2 8 6" xfId="18169" xr:uid="{00000000-0005-0000-0000-0000E8430000}"/>
    <cellStyle name="Normal 2 2 2 2 2 2 2 2 2 2 2 9" xfId="18170" xr:uid="{00000000-0005-0000-0000-0000E9430000}"/>
    <cellStyle name="Normal 2 2 2 2 2 2 2 2 2 2 2 9 2" xfId="18171" xr:uid="{00000000-0005-0000-0000-0000EA430000}"/>
    <cellStyle name="Normal 2 2 2 2 2 2 2 2 2 2 2 9 3" xfId="18172" xr:uid="{00000000-0005-0000-0000-0000EB430000}"/>
    <cellStyle name="Normal 2 2 2 2 2 2 2 2 2 2 2 9 4" xfId="18173" xr:uid="{00000000-0005-0000-0000-0000EC430000}"/>
    <cellStyle name="Normal 2 2 2 2 2 2 2 2 2 2 2 9 5" xfId="18174" xr:uid="{00000000-0005-0000-0000-0000ED430000}"/>
    <cellStyle name="Normal 2 2 2 2 2 2 2 2 2 2 2 9 6" xfId="18175" xr:uid="{00000000-0005-0000-0000-0000EE430000}"/>
    <cellStyle name="Normal 2 2 2 2 2 2 2 2 2 2 20" xfId="18176" xr:uid="{00000000-0005-0000-0000-0000EF430000}"/>
    <cellStyle name="Normal 2 2 2 2 2 2 2 2 2 2 21" xfId="18177" xr:uid="{00000000-0005-0000-0000-0000F0430000}"/>
    <cellStyle name="Normal 2 2 2 2 2 2 2 2 2 2 22" xfId="18178" xr:uid="{00000000-0005-0000-0000-0000F1430000}"/>
    <cellStyle name="Normal 2 2 2 2 2 2 2 2 2 2 23" xfId="18179" xr:uid="{00000000-0005-0000-0000-0000F2430000}"/>
    <cellStyle name="Normal 2 2 2 2 2 2 2 2 2 2 24" xfId="18180" xr:uid="{00000000-0005-0000-0000-0000F3430000}"/>
    <cellStyle name="Normal 2 2 2 2 2 2 2 2 2 2 25" xfId="18181" xr:uid="{00000000-0005-0000-0000-0000F4430000}"/>
    <cellStyle name="Normal 2 2 2 2 2 2 2 2 2 2 26" xfId="18182" xr:uid="{00000000-0005-0000-0000-0000F5430000}"/>
    <cellStyle name="Normal 2 2 2 2 2 2 2 2 2 2 27" xfId="18183" xr:uid="{00000000-0005-0000-0000-0000F6430000}"/>
    <cellStyle name="Normal 2 2 2 2 2 2 2 2 2 2 27 2" xfId="18184" xr:uid="{00000000-0005-0000-0000-0000F7430000}"/>
    <cellStyle name="Normal 2 2 2 2 2 2 2 2 2 2 27 3" xfId="18185" xr:uid="{00000000-0005-0000-0000-0000F8430000}"/>
    <cellStyle name="Normal 2 2 2 2 2 2 2 2 2 2 27 4" xfId="18186" xr:uid="{00000000-0005-0000-0000-0000F9430000}"/>
    <cellStyle name="Normal 2 2 2 2 2 2 2 2 2 2 27 5" xfId="18187" xr:uid="{00000000-0005-0000-0000-0000FA430000}"/>
    <cellStyle name="Normal 2 2 2 2 2 2 2 2 2 2 27 6" xfId="18188" xr:uid="{00000000-0005-0000-0000-0000FB430000}"/>
    <cellStyle name="Normal 2 2 2 2 2 2 2 2 2 2 27 7" xfId="18189" xr:uid="{00000000-0005-0000-0000-0000FC430000}"/>
    <cellStyle name="Normal 2 2 2 2 2 2 2 2 2 2 28" xfId="18190" xr:uid="{00000000-0005-0000-0000-0000FD430000}"/>
    <cellStyle name="Normal 2 2 2 2 2 2 2 2 2 2 28 10" xfId="18191" xr:uid="{00000000-0005-0000-0000-0000FE430000}"/>
    <cellStyle name="Normal 2 2 2 2 2 2 2 2 2 2 28 11" xfId="18192" xr:uid="{00000000-0005-0000-0000-0000FF430000}"/>
    <cellStyle name="Normal 2 2 2 2 2 2 2 2 2 2 28 2" xfId="18193" xr:uid="{00000000-0005-0000-0000-000000440000}"/>
    <cellStyle name="Normal 2 2 2 2 2 2 2 2 2 2 28 2 2" xfId="18194" xr:uid="{00000000-0005-0000-0000-000001440000}"/>
    <cellStyle name="Normal 2 2 2 2 2 2 2 2 2 2 28 2 2 2" xfId="18195" xr:uid="{00000000-0005-0000-0000-000002440000}"/>
    <cellStyle name="Normal 2 2 2 2 2 2 2 2 2 2 28 2 2 3" xfId="18196" xr:uid="{00000000-0005-0000-0000-000003440000}"/>
    <cellStyle name="Normal 2 2 2 2 2 2 2 2 2 2 28 2 3" xfId="18197" xr:uid="{00000000-0005-0000-0000-000004440000}"/>
    <cellStyle name="Normal 2 2 2 2 2 2 2 2 2 2 28 2 4" xfId="18198" xr:uid="{00000000-0005-0000-0000-000005440000}"/>
    <cellStyle name="Normal 2 2 2 2 2 2 2 2 2 2 28 2 5" xfId="18199" xr:uid="{00000000-0005-0000-0000-000006440000}"/>
    <cellStyle name="Normal 2 2 2 2 2 2 2 2 2 2 28 2 6" xfId="18200" xr:uid="{00000000-0005-0000-0000-000007440000}"/>
    <cellStyle name="Normal 2 2 2 2 2 2 2 2 2 2 28 2 7" xfId="18201" xr:uid="{00000000-0005-0000-0000-000008440000}"/>
    <cellStyle name="Normal 2 2 2 2 2 2 2 2 2 2 28 2 8" xfId="18202" xr:uid="{00000000-0005-0000-0000-000009440000}"/>
    <cellStyle name="Normal 2 2 2 2 2 2 2 2 2 2 28 2 9" xfId="18203" xr:uid="{00000000-0005-0000-0000-00000A440000}"/>
    <cellStyle name="Normal 2 2 2 2 2 2 2 2 2 2 28 3" xfId="18204" xr:uid="{00000000-0005-0000-0000-00000B440000}"/>
    <cellStyle name="Normal 2 2 2 2 2 2 2 2 2 2 28 4" xfId="18205" xr:uid="{00000000-0005-0000-0000-00000C440000}"/>
    <cellStyle name="Normal 2 2 2 2 2 2 2 2 2 2 28 5" xfId="18206" xr:uid="{00000000-0005-0000-0000-00000D440000}"/>
    <cellStyle name="Normal 2 2 2 2 2 2 2 2 2 2 28 5 2" xfId="18207" xr:uid="{00000000-0005-0000-0000-00000E440000}"/>
    <cellStyle name="Normal 2 2 2 2 2 2 2 2 2 2 28 5 3" xfId="18208" xr:uid="{00000000-0005-0000-0000-00000F440000}"/>
    <cellStyle name="Normal 2 2 2 2 2 2 2 2 2 2 28 6" xfId="18209" xr:uid="{00000000-0005-0000-0000-000010440000}"/>
    <cellStyle name="Normal 2 2 2 2 2 2 2 2 2 2 28 7" xfId="18210" xr:uid="{00000000-0005-0000-0000-000011440000}"/>
    <cellStyle name="Normal 2 2 2 2 2 2 2 2 2 2 28 8" xfId="18211" xr:uid="{00000000-0005-0000-0000-000012440000}"/>
    <cellStyle name="Normal 2 2 2 2 2 2 2 2 2 2 28 9" xfId="18212" xr:uid="{00000000-0005-0000-0000-000013440000}"/>
    <cellStyle name="Normal 2 2 2 2 2 2 2 2 2 2 29" xfId="18213" xr:uid="{00000000-0005-0000-0000-000014440000}"/>
    <cellStyle name="Normal 2 2 2 2 2 2 2 2 2 2 3" xfId="18214" xr:uid="{00000000-0005-0000-0000-000015440000}"/>
    <cellStyle name="Normal 2 2 2 2 2 2 2 2 2 2 3 2" xfId="18215" xr:uid="{00000000-0005-0000-0000-000016440000}"/>
    <cellStyle name="Normal 2 2 2 2 2 2 2 2 2 2 3 3" xfId="18216" xr:uid="{00000000-0005-0000-0000-000017440000}"/>
    <cellStyle name="Normal 2 2 2 2 2 2 2 2 2 2 3 4" xfId="18217" xr:uid="{00000000-0005-0000-0000-000018440000}"/>
    <cellStyle name="Normal 2 2 2 2 2 2 2 2 2 2 3 5" xfId="18218" xr:uid="{00000000-0005-0000-0000-000019440000}"/>
    <cellStyle name="Normal 2 2 2 2 2 2 2 2 2 2 3 6" xfId="18219" xr:uid="{00000000-0005-0000-0000-00001A440000}"/>
    <cellStyle name="Normal 2 2 2 2 2 2 2 2 2 2 30" xfId="18220" xr:uid="{00000000-0005-0000-0000-00001B440000}"/>
    <cellStyle name="Normal 2 2 2 2 2 2 2 2 2 2 31" xfId="18221" xr:uid="{00000000-0005-0000-0000-00001C440000}"/>
    <cellStyle name="Normal 2 2 2 2 2 2 2 2 2 2 31 2" xfId="18222" xr:uid="{00000000-0005-0000-0000-00001D440000}"/>
    <cellStyle name="Normal 2 2 2 2 2 2 2 2 2 2 31 2 2" xfId="18223" xr:uid="{00000000-0005-0000-0000-00001E440000}"/>
    <cellStyle name="Normal 2 2 2 2 2 2 2 2 2 2 31 2 3" xfId="18224" xr:uid="{00000000-0005-0000-0000-00001F440000}"/>
    <cellStyle name="Normal 2 2 2 2 2 2 2 2 2 2 31 3" xfId="18225" xr:uid="{00000000-0005-0000-0000-000020440000}"/>
    <cellStyle name="Normal 2 2 2 2 2 2 2 2 2 2 31 4" xfId="18226" xr:uid="{00000000-0005-0000-0000-000021440000}"/>
    <cellStyle name="Normal 2 2 2 2 2 2 2 2 2 2 31 5" xfId="18227" xr:uid="{00000000-0005-0000-0000-000022440000}"/>
    <cellStyle name="Normal 2 2 2 2 2 2 2 2 2 2 31 6" xfId="18228" xr:uid="{00000000-0005-0000-0000-000023440000}"/>
    <cellStyle name="Normal 2 2 2 2 2 2 2 2 2 2 31 7" xfId="18229" xr:uid="{00000000-0005-0000-0000-000024440000}"/>
    <cellStyle name="Normal 2 2 2 2 2 2 2 2 2 2 31 8" xfId="18230" xr:uid="{00000000-0005-0000-0000-000025440000}"/>
    <cellStyle name="Normal 2 2 2 2 2 2 2 2 2 2 31 9" xfId="18231" xr:uid="{00000000-0005-0000-0000-000026440000}"/>
    <cellStyle name="Normal 2 2 2 2 2 2 2 2 2 2 32" xfId="18232" xr:uid="{00000000-0005-0000-0000-000027440000}"/>
    <cellStyle name="Normal 2 2 2 2 2 2 2 2 2 2 33" xfId="18233" xr:uid="{00000000-0005-0000-0000-000028440000}"/>
    <cellStyle name="Normal 2 2 2 2 2 2 2 2 2 2 33 2" xfId="18234" xr:uid="{00000000-0005-0000-0000-000029440000}"/>
    <cellStyle name="Normal 2 2 2 2 2 2 2 2 2 2 33 3" xfId="18235" xr:uid="{00000000-0005-0000-0000-00002A440000}"/>
    <cellStyle name="Normal 2 2 2 2 2 2 2 2 2 2 34" xfId="18236" xr:uid="{00000000-0005-0000-0000-00002B440000}"/>
    <cellStyle name="Normal 2 2 2 2 2 2 2 2 2 2 35" xfId="18237" xr:uid="{00000000-0005-0000-0000-00002C440000}"/>
    <cellStyle name="Normal 2 2 2 2 2 2 2 2 2 2 36" xfId="18238" xr:uid="{00000000-0005-0000-0000-00002D440000}"/>
    <cellStyle name="Normal 2 2 2 2 2 2 2 2 2 2 37" xfId="18239" xr:uid="{00000000-0005-0000-0000-00002E440000}"/>
    <cellStyle name="Normal 2 2 2 2 2 2 2 2 2 2 38" xfId="18240" xr:uid="{00000000-0005-0000-0000-00002F440000}"/>
    <cellStyle name="Normal 2 2 2 2 2 2 2 2 2 2 39" xfId="18241" xr:uid="{00000000-0005-0000-0000-000030440000}"/>
    <cellStyle name="Normal 2 2 2 2 2 2 2 2 2 2 4" xfId="18242" xr:uid="{00000000-0005-0000-0000-000031440000}"/>
    <cellStyle name="Normal 2 2 2 2 2 2 2 2 2 2 4 2" xfId="18243" xr:uid="{00000000-0005-0000-0000-000032440000}"/>
    <cellStyle name="Normal 2 2 2 2 2 2 2 2 2 2 4 3" xfId="18244" xr:uid="{00000000-0005-0000-0000-000033440000}"/>
    <cellStyle name="Normal 2 2 2 2 2 2 2 2 2 2 4 4" xfId="18245" xr:uid="{00000000-0005-0000-0000-000034440000}"/>
    <cellStyle name="Normal 2 2 2 2 2 2 2 2 2 2 4 5" xfId="18246" xr:uid="{00000000-0005-0000-0000-000035440000}"/>
    <cellStyle name="Normal 2 2 2 2 2 2 2 2 2 2 4 6" xfId="18247" xr:uid="{00000000-0005-0000-0000-000036440000}"/>
    <cellStyle name="Normal 2 2 2 2 2 2 2 2 2 2 5" xfId="18248" xr:uid="{00000000-0005-0000-0000-000037440000}"/>
    <cellStyle name="Normal 2 2 2 2 2 2 2 2 2 2 5 2" xfId="18249" xr:uid="{00000000-0005-0000-0000-000038440000}"/>
    <cellStyle name="Normal 2 2 2 2 2 2 2 2 2 2 5 3" xfId="18250" xr:uid="{00000000-0005-0000-0000-000039440000}"/>
    <cellStyle name="Normal 2 2 2 2 2 2 2 2 2 2 5 4" xfId="18251" xr:uid="{00000000-0005-0000-0000-00003A440000}"/>
    <cellStyle name="Normal 2 2 2 2 2 2 2 2 2 2 5 5" xfId="18252" xr:uid="{00000000-0005-0000-0000-00003B440000}"/>
    <cellStyle name="Normal 2 2 2 2 2 2 2 2 2 2 5 6" xfId="18253" xr:uid="{00000000-0005-0000-0000-00003C440000}"/>
    <cellStyle name="Normal 2 2 2 2 2 2 2 2 2 2 6" xfId="18254" xr:uid="{00000000-0005-0000-0000-00003D440000}"/>
    <cellStyle name="Normal 2 2 2 2 2 2 2 2 2 2 6 2" xfId="18255" xr:uid="{00000000-0005-0000-0000-00003E440000}"/>
    <cellStyle name="Normal 2 2 2 2 2 2 2 2 2 2 6 3" xfId="18256" xr:uid="{00000000-0005-0000-0000-00003F440000}"/>
    <cellStyle name="Normal 2 2 2 2 2 2 2 2 2 2 6 4" xfId="18257" xr:uid="{00000000-0005-0000-0000-000040440000}"/>
    <cellStyle name="Normal 2 2 2 2 2 2 2 2 2 2 6 5" xfId="18258" xr:uid="{00000000-0005-0000-0000-000041440000}"/>
    <cellStyle name="Normal 2 2 2 2 2 2 2 2 2 2 6 6" xfId="18259" xr:uid="{00000000-0005-0000-0000-000042440000}"/>
    <cellStyle name="Normal 2 2 2 2 2 2 2 2 2 2 7" xfId="18260" xr:uid="{00000000-0005-0000-0000-000043440000}"/>
    <cellStyle name="Normal 2 2 2 2 2 2 2 2 2 2 7 2" xfId="18261" xr:uid="{00000000-0005-0000-0000-000044440000}"/>
    <cellStyle name="Normal 2 2 2 2 2 2 2 2 2 2 7 2 2" xfId="18262" xr:uid="{00000000-0005-0000-0000-000045440000}"/>
    <cellStyle name="Normal 2 2 2 2 2 2 2 2 2 2 7 2 2 2" xfId="18263" xr:uid="{00000000-0005-0000-0000-000046440000}"/>
    <cellStyle name="Normal 2 2 2 2 2 2 2 2 2 2 7 2 2 3" xfId="18264" xr:uid="{00000000-0005-0000-0000-000047440000}"/>
    <cellStyle name="Normal 2 2 2 2 2 2 2 2 2 2 7 2 2 4" xfId="18265" xr:uid="{00000000-0005-0000-0000-000048440000}"/>
    <cellStyle name="Normal 2 2 2 2 2 2 2 2 2 2 7 2 2 5" xfId="18266" xr:uid="{00000000-0005-0000-0000-000049440000}"/>
    <cellStyle name="Normal 2 2 2 2 2 2 2 2 2 2 7 2 2 6" xfId="18267" xr:uid="{00000000-0005-0000-0000-00004A440000}"/>
    <cellStyle name="Normal 2 2 2 2 2 2 2 2 2 2 7 2 2 7" xfId="18268" xr:uid="{00000000-0005-0000-0000-00004B440000}"/>
    <cellStyle name="Normal 2 2 2 2 2 2 2 2 2 2 7 3" xfId="18269" xr:uid="{00000000-0005-0000-0000-00004C440000}"/>
    <cellStyle name="Normal 2 2 2 2 2 2 2 2 2 2 7 4" xfId="18270" xr:uid="{00000000-0005-0000-0000-00004D440000}"/>
    <cellStyle name="Normal 2 2 2 2 2 2 2 2 2 2 7 5" xfId="18271" xr:uid="{00000000-0005-0000-0000-00004E440000}"/>
    <cellStyle name="Normal 2 2 2 2 2 2 2 2 2 2 7 6" xfId="18272" xr:uid="{00000000-0005-0000-0000-00004F440000}"/>
    <cellStyle name="Normal 2 2 2 2 2 2 2 2 2 2 7 7" xfId="18273" xr:uid="{00000000-0005-0000-0000-000050440000}"/>
    <cellStyle name="Normal 2 2 2 2 2 2 2 2 2 2 7 8" xfId="18274" xr:uid="{00000000-0005-0000-0000-000051440000}"/>
    <cellStyle name="Normal 2 2 2 2 2 2 2 2 2 2 8" xfId="18275" xr:uid="{00000000-0005-0000-0000-000052440000}"/>
    <cellStyle name="Normal 2 2 2 2 2 2 2 2 2 2 9" xfId="18276" xr:uid="{00000000-0005-0000-0000-000053440000}"/>
    <cellStyle name="Normal 2 2 2 2 2 2 2 2 2 20" xfId="18277" xr:uid="{00000000-0005-0000-0000-000054440000}"/>
    <cellStyle name="Normal 2 2 2 2 2 2 2 2 2 21" xfId="18278" xr:uid="{00000000-0005-0000-0000-000055440000}"/>
    <cellStyle name="Normal 2 2 2 2 2 2 2 2 2 22" xfId="18279" xr:uid="{00000000-0005-0000-0000-000056440000}"/>
    <cellStyle name="Normal 2 2 2 2 2 2 2 2 2 22 2" xfId="18280" xr:uid="{00000000-0005-0000-0000-000057440000}"/>
    <cellStyle name="Normal 2 2 2 2 2 2 2 2 2 22 2 2" xfId="18281" xr:uid="{00000000-0005-0000-0000-000058440000}"/>
    <cellStyle name="Normal 2 2 2 2 2 2 2 2 2 22 2 2 2" xfId="18282" xr:uid="{00000000-0005-0000-0000-000059440000}"/>
    <cellStyle name="Normal 2 2 2 2 2 2 2 2 2 22 2 2 2 2" xfId="18283" xr:uid="{00000000-0005-0000-0000-00005A440000}"/>
    <cellStyle name="Normal 2 2 2 2 2 2 2 2 2 22 2 2 2 3" xfId="18284" xr:uid="{00000000-0005-0000-0000-00005B440000}"/>
    <cellStyle name="Normal 2 2 2 2 2 2 2 2 2 22 2 2 2 4" xfId="18285" xr:uid="{00000000-0005-0000-0000-00005C440000}"/>
    <cellStyle name="Normal 2 2 2 2 2 2 2 2 2 22 2 2 2 5" xfId="18286" xr:uid="{00000000-0005-0000-0000-00005D440000}"/>
    <cellStyle name="Normal 2 2 2 2 2 2 2 2 2 22 2 2 2 6" xfId="18287" xr:uid="{00000000-0005-0000-0000-00005E440000}"/>
    <cellStyle name="Normal 2 2 2 2 2 2 2 2 2 22 2 3" xfId="18288" xr:uid="{00000000-0005-0000-0000-00005F440000}"/>
    <cellStyle name="Normal 2 2 2 2 2 2 2 2 2 22 2 4" xfId="18289" xr:uid="{00000000-0005-0000-0000-000060440000}"/>
    <cellStyle name="Normal 2 2 2 2 2 2 2 2 2 22 2 5" xfId="18290" xr:uid="{00000000-0005-0000-0000-000061440000}"/>
    <cellStyle name="Normal 2 2 2 2 2 2 2 2 2 22 2 6" xfId="18291" xr:uid="{00000000-0005-0000-0000-000062440000}"/>
    <cellStyle name="Normal 2 2 2 2 2 2 2 2 2 22 2 7" xfId="18292" xr:uid="{00000000-0005-0000-0000-000063440000}"/>
    <cellStyle name="Normal 2 2 2 2 2 2 2 2 2 22 3" xfId="18293" xr:uid="{00000000-0005-0000-0000-000064440000}"/>
    <cellStyle name="Normal 2 2 2 2 2 2 2 2 2 22 3 2" xfId="18294" xr:uid="{00000000-0005-0000-0000-000065440000}"/>
    <cellStyle name="Normal 2 2 2 2 2 2 2 2 2 22 3 3" xfId="18295" xr:uid="{00000000-0005-0000-0000-000066440000}"/>
    <cellStyle name="Normal 2 2 2 2 2 2 2 2 2 22 3 4" xfId="18296" xr:uid="{00000000-0005-0000-0000-000067440000}"/>
    <cellStyle name="Normal 2 2 2 2 2 2 2 2 2 22 3 5" xfId="18297" xr:uid="{00000000-0005-0000-0000-000068440000}"/>
    <cellStyle name="Normal 2 2 2 2 2 2 2 2 2 22 3 6" xfId="18298" xr:uid="{00000000-0005-0000-0000-000069440000}"/>
    <cellStyle name="Normal 2 2 2 2 2 2 2 2 2 23" xfId="18299" xr:uid="{00000000-0005-0000-0000-00006A440000}"/>
    <cellStyle name="Normal 2 2 2 2 2 2 2 2 2 23 2" xfId="18300" xr:uid="{00000000-0005-0000-0000-00006B440000}"/>
    <cellStyle name="Normal 2 2 2 2 2 2 2 2 2 23 3" xfId="18301" xr:uid="{00000000-0005-0000-0000-00006C440000}"/>
    <cellStyle name="Normal 2 2 2 2 2 2 2 2 2 23 4" xfId="18302" xr:uid="{00000000-0005-0000-0000-00006D440000}"/>
    <cellStyle name="Normal 2 2 2 2 2 2 2 2 2 23 5" xfId="18303" xr:uid="{00000000-0005-0000-0000-00006E440000}"/>
    <cellStyle name="Normal 2 2 2 2 2 2 2 2 2 23 6" xfId="18304" xr:uid="{00000000-0005-0000-0000-00006F440000}"/>
    <cellStyle name="Normal 2 2 2 2 2 2 2 2 2 24" xfId="18305" xr:uid="{00000000-0005-0000-0000-000070440000}"/>
    <cellStyle name="Normal 2 2 2 2 2 2 2 2 2 24 2" xfId="18306" xr:uid="{00000000-0005-0000-0000-000071440000}"/>
    <cellStyle name="Normal 2 2 2 2 2 2 2 2 2 24 3" xfId="18307" xr:uid="{00000000-0005-0000-0000-000072440000}"/>
    <cellStyle name="Normal 2 2 2 2 2 2 2 2 2 24 4" xfId="18308" xr:uid="{00000000-0005-0000-0000-000073440000}"/>
    <cellStyle name="Normal 2 2 2 2 2 2 2 2 2 24 5" xfId="18309" xr:uid="{00000000-0005-0000-0000-000074440000}"/>
    <cellStyle name="Normal 2 2 2 2 2 2 2 2 2 24 6" xfId="18310" xr:uid="{00000000-0005-0000-0000-000075440000}"/>
    <cellStyle name="Normal 2 2 2 2 2 2 2 2 2 25" xfId="18311" xr:uid="{00000000-0005-0000-0000-000076440000}"/>
    <cellStyle name="Normal 2 2 2 2 2 2 2 2 2 25 2" xfId="18312" xr:uid="{00000000-0005-0000-0000-000077440000}"/>
    <cellStyle name="Normal 2 2 2 2 2 2 2 2 2 25 3" xfId="18313" xr:uid="{00000000-0005-0000-0000-000078440000}"/>
    <cellStyle name="Normal 2 2 2 2 2 2 2 2 2 25 4" xfId="18314" xr:uid="{00000000-0005-0000-0000-000079440000}"/>
    <cellStyle name="Normal 2 2 2 2 2 2 2 2 2 25 5" xfId="18315" xr:uid="{00000000-0005-0000-0000-00007A440000}"/>
    <cellStyle name="Normal 2 2 2 2 2 2 2 2 2 25 6" xfId="18316" xr:uid="{00000000-0005-0000-0000-00007B440000}"/>
    <cellStyle name="Normal 2 2 2 2 2 2 2 2 2 26" xfId="18317" xr:uid="{00000000-0005-0000-0000-00007C440000}"/>
    <cellStyle name="Normal 2 2 2 2 2 2 2 2 2 26 2" xfId="18318" xr:uid="{00000000-0005-0000-0000-00007D440000}"/>
    <cellStyle name="Normal 2 2 2 2 2 2 2 2 2 26 3" xfId="18319" xr:uid="{00000000-0005-0000-0000-00007E440000}"/>
    <cellStyle name="Normal 2 2 2 2 2 2 2 2 2 26 4" xfId="18320" xr:uid="{00000000-0005-0000-0000-00007F440000}"/>
    <cellStyle name="Normal 2 2 2 2 2 2 2 2 2 26 5" xfId="18321" xr:uid="{00000000-0005-0000-0000-000080440000}"/>
    <cellStyle name="Normal 2 2 2 2 2 2 2 2 2 26 6" xfId="18322" xr:uid="{00000000-0005-0000-0000-000081440000}"/>
    <cellStyle name="Normal 2 2 2 2 2 2 2 2 2 27" xfId="18323" xr:uid="{00000000-0005-0000-0000-000082440000}"/>
    <cellStyle name="Normal 2 2 2 2 2 2 2 2 2 27 2" xfId="18324" xr:uid="{00000000-0005-0000-0000-000083440000}"/>
    <cellStyle name="Normal 2 2 2 2 2 2 2 2 2 27 3" xfId="18325" xr:uid="{00000000-0005-0000-0000-000084440000}"/>
    <cellStyle name="Normal 2 2 2 2 2 2 2 2 2 27 4" xfId="18326" xr:uid="{00000000-0005-0000-0000-000085440000}"/>
    <cellStyle name="Normal 2 2 2 2 2 2 2 2 2 27 5" xfId="18327" xr:uid="{00000000-0005-0000-0000-000086440000}"/>
    <cellStyle name="Normal 2 2 2 2 2 2 2 2 2 27 6" xfId="18328" xr:uid="{00000000-0005-0000-0000-000087440000}"/>
    <cellStyle name="Normal 2 2 2 2 2 2 2 2 2 28" xfId="18329" xr:uid="{00000000-0005-0000-0000-000088440000}"/>
    <cellStyle name="Normal 2 2 2 2 2 2 2 2 2 28 2" xfId="18330" xr:uid="{00000000-0005-0000-0000-000089440000}"/>
    <cellStyle name="Normal 2 2 2 2 2 2 2 2 2 28 3" xfId="18331" xr:uid="{00000000-0005-0000-0000-00008A440000}"/>
    <cellStyle name="Normal 2 2 2 2 2 2 2 2 2 28 4" xfId="18332" xr:uid="{00000000-0005-0000-0000-00008B440000}"/>
    <cellStyle name="Normal 2 2 2 2 2 2 2 2 2 28 5" xfId="18333" xr:uid="{00000000-0005-0000-0000-00008C440000}"/>
    <cellStyle name="Normal 2 2 2 2 2 2 2 2 2 28 6" xfId="18334" xr:uid="{00000000-0005-0000-0000-00008D440000}"/>
    <cellStyle name="Normal 2 2 2 2 2 2 2 2 2 29" xfId="18335" xr:uid="{00000000-0005-0000-0000-00008E440000}"/>
    <cellStyle name="Normal 2 2 2 2 2 2 2 2 2 29 2" xfId="18336" xr:uid="{00000000-0005-0000-0000-00008F440000}"/>
    <cellStyle name="Normal 2 2 2 2 2 2 2 2 2 29 3" xfId="18337" xr:uid="{00000000-0005-0000-0000-000090440000}"/>
    <cellStyle name="Normal 2 2 2 2 2 2 2 2 2 29 4" xfId="18338" xr:uid="{00000000-0005-0000-0000-000091440000}"/>
    <cellStyle name="Normal 2 2 2 2 2 2 2 2 2 29 5" xfId="18339" xr:uid="{00000000-0005-0000-0000-000092440000}"/>
    <cellStyle name="Normal 2 2 2 2 2 2 2 2 2 29 6" xfId="18340" xr:uid="{00000000-0005-0000-0000-000093440000}"/>
    <cellStyle name="Normal 2 2 2 2 2 2 2 2 2 3" xfId="18341" xr:uid="{00000000-0005-0000-0000-000094440000}"/>
    <cellStyle name="Normal 2 2 2 2 2 2 2 2 2 3 2" xfId="18342" xr:uid="{00000000-0005-0000-0000-000095440000}"/>
    <cellStyle name="Normal 2 2 2 2 2 2 2 2 2 3 3" xfId="18343" xr:uid="{00000000-0005-0000-0000-000096440000}"/>
    <cellStyle name="Normal 2 2 2 2 2 2 2 2 2 3 4" xfId="18344" xr:uid="{00000000-0005-0000-0000-000097440000}"/>
    <cellStyle name="Normal 2 2 2 2 2 2 2 2 2 3 5" xfId="18345" xr:uid="{00000000-0005-0000-0000-000098440000}"/>
    <cellStyle name="Normal 2 2 2 2 2 2 2 2 2 3 6" xfId="18346" xr:uid="{00000000-0005-0000-0000-000099440000}"/>
    <cellStyle name="Normal 2 2 2 2 2 2 2 2 2 30" xfId="18347" xr:uid="{00000000-0005-0000-0000-00009A440000}"/>
    <cellStyle name="Normal 2 2 2 2 2 2 2 2 2 30 2" xfId="18348" xr:uid="{00000000-0005-0000-0000-00009B440000}"/>
    <cellStyle name="Normal 2 2 2 2 2 2 2 2 2 30 3" xfId="18349" xr:uid="{00000000-0005-0000-0000-00009C440000}"/>
    <cellStyle name="Normal 2 2 2 2 2 2 2 2 2 30 4" xfId="18350" xr:uid="{00000000-0005-0000-0000-00009D440000}"/>
    <cellStyle name="Normal 2 2 2 2 2 2 2 2 2 30 5" xfId="18351" xr:uid="{00000000-0005-0000-0000-00009E440000}"/>
    <cellStyle name="Normal 2 2 2 2 2 2 2 2 2 30 6" xfId="18352" xr:uid="{00000000-0005-0000-0000-00009F440000}"/>
    <cellStyle name="Normal 2 2 2 2 2 2 2 2 2 31" xfId="18353" xr:uid="{00000000-0005-0000-0000-0000A0440000}"/>
    <cellStyle name="Normal 2 2 2 2 2 2 2 2 2 31 2" xfId="18354" xr:uid="{00000000-0005-0000-0000-0000A1440000}"/>
    <cellStyle name="Normal 2 2 2 2 2 2 2 2 2 31 3" xfId="18355" xr:uid="{00000000-0005-0000-0000-0000A2440000}"/>
    <cellStyle name="Normal 2 2 2 2 2 2 2 2 2 31 4" xfId="18356" xr:uid="{00000000-0005-0000-0000-0000A3440000}"/>
    <cellStyle name="Normal 2 2 2 2 2 2 2 2 2 31 5" xfId="18357" xr:uid="{00000000-0005-0000-0000-0000A4440000}"/>
    <cellStyle name="Normal 2 2 2 2 2 2 2 2 2 31 6" xfId="18358" xr:uid="{00000000-0005-0000-0000-0000A5440000}"/>
    <cellStyle name="Normal 2 2 2 2 2 2 2 2 2 32" xfId="18359" xr:uid="{00000000-0005-0000-0000-0000A6440000}"/>
    <cellStyle name="Normal 2 2 2 2 2 2 2 2 2 32 2" xfId="18360" xr:uid="{00000000-0005-0000-0000-0000A7440000}"/>
    <cellStyle name="Normal 2 2 2 2 2 2 2 2 2 32 3" xfId="18361" xr:uid="{00000000-0005-0000-0000-0000A8440000}"/>
    <cellStyle name="Normal 2 2 2 2 2 2 2 2 2 32 4" xfId="18362" xr:uid="{00000000-0005-0000-0000-0000A9440000}"/>
    <cellStyle name="Normal 2 2 2 2 2 2 2 2 2 32 5" xfId="18363" xr:uid="{00000000-0005-0000-0000-0000AA440000}"/>
    <cellStyle name="Normal 2 2 2 2 2 2 2 2 2 32 6" xfId="18364" xr:uid="{00000000-0005-0000-0000-0000AB440000}"/>
    <cellStyle name="Normal 2 2 2 2 2 2 2 2 2 33" xfId="18365" xr:uid="{00000000-0005-0000-0000-0000AC440000}"/>
    <cellStyle name="Normal 2 2 2 2 2 2 2 2 2 33 2" xfId="18366" xr:uid="{00000000-0005-0000-0000-0000AD440000}"/>
    <cellStyle name="Normal 2 2 2 2 2 2 2 2 2 33 3" xfId="18367" xr:uid="{00000000-0005-0000-0000-0000AE440000}"/>
    <cellStyle name="Normal 2 2 2 2 2 2 2 2 2 33 4" xfId="18368" xr:uid="{00000000-0005-0000-0000-0000AF440000}"/>
    <cellStyle name="Normal 2 2 2 2 2 2 2 2 2 33 5" xfId="18369" xr:uid="{00000000-0005-0000-0000-0000B0440000}"/>
    <cellStyle name="Normal 2 2 2 2 2 2 2 2 2 33 6" xfId="18370" xr:uid="{00000000-0005-0000-0000-0000B1440000}"/>
    <cellStyle name="Normal 2 2 2 2 2 2 2 2 2 34" xfId="18371" xr:uid="{00000000-0005-0000-0000-0000B2440000}"/>
    <cellStyle name="Normal 2 2 2 2 2 2 2 2 2 34 2" xfId="18372" xr:uid="{00000000-0005-0000-0000-0000B3440000}"/>
    <cellStyle name="Normal 2 2 2 2 2 2 2 2 2 34 3" xfId="18373" xr:uid="{00000000-0005-0000-0000-0000B4440000}"/>
    <cellStyle name="Normal 2 2 2 2 2 2 2 2 2 34 4" xfId="18374" xr:uid="{00000000-0005-0000-0000-0000B5440000}"/>
    <cellStyle name="Normal 2 2 2 2 2 2 2 2 2 34 5" xfId="18375" xr:uid="{00000000-0005-0000-0000-0000B6440000}"/>
    <cellStyle name="Normal 2 2 2 2 2 2 2 2 2 34 6" xfId="18376" xr:uid="{00000000-0005-0000-0000-0000B7440000}"/>
    <cellStyle name="Normal 2 2 2 2 2 2 2 2 2 35" xfId="18377" xr:uid="{00000000-0005-0000-0000-0000B8440000}"/>
    <cellStyle name="Normal 2 2 2 2 2 2 2 2 2 35 2" xfId="18378" xr:uid="{00000000-0005-0000-0000-0000B9440000}"/>
    <cellStyle name="Normal 2 2 2 2 2 2 2 2 2 35 3" xfId="18379" xr:uid="{00000000-0005-0000-0000-0000BA440000}"/>
    <cellStyle name="Normal 2 2 2 2 2 2 2 2 2 35 4" xfId="18380" xr:uid="{00000000-0005-0000-0000-0000BB440000}"/>
    <cellStyle name="Normal 2 2 2 2 2 2 2 2 2 35 5" xfId="18381" xr:uid="{00000000-0005-0000-0000-0000BC440000}"/>
    <cellStyle name="Normal 2 2 2 2 2 2 2 2 2 35 6" xfId="18382" xr:uid="{00000000-0005-0000-0000-0000BD440000}"/>
    <cellStyle name="Normal 2 2 2 2 2 2 2 2 2 36" xfId="18383" xr:uid="{00000000-0005-0000-0000-0000BE440000}"/>
    <cellStyle name="Normal 2 2 2 2 2 2 2 2 2 36 2" xfId="18384" xr:uid="{00000000-0005-0000-0000-0000BF440000}"/>
    <cellStyle name="Normal 2 2 2 2 2 2 2 2 2 36 3" xfId="18385" xr:uid="{00000000-0005-0000-0000-0000C0440000}"/>
    <cellStyle name="Normal 2 2 2 2 2 2 2 2 2 36 4" xfId="18386" xr:uid="{00000000-0005-0000-0000-0000C1440000}"/>
    <cellStyle name="Normal 2 2 2 2 2 2 2 2 2 36 5" xfId="18387" xr:uid="{00000000-0005-0000-0000-0000C2440000}"/>
    <cellStyle name="Normal 2 2 2 2 2 2 2 2 2 36 6" xfId="18388" xr:uid="{00000000-0005-0000-0000-0000C3440000}"/>
    <cellStyle name="Normal 2 2 2 2 2 2 2 2 2 37" xfId="18389" xr:uid="{00000000-0005-0000-0000-0000C4440000}"/>
    <cellStyle name="Normal 2 2 2 2 2 2 2 2 2 37 2" xfId="18390" xr:uid="{00000000-0005-0000-0000-0000C5440000}"/>
    <cellStyle name="Normal 2 2 2 2 2 2 2 2 2 37 3" xfId="18391" xr:uid="{00000000-0005-0000-0000-0000C6440000}"/>
    <cellStyle name="Normal 2 2 2 2 2 2 2 2 2 37 4" xfId="18392" xr:uid="{00000000-0005-0000-0000-0000C7440000}"/>
    <cellStyle name="Normal 2 2 2 2 2 2 2 2 2 37 5" xfId="18393" xr:uid="{00000000-0005-0000-0000-0000C8440000}"/>
    <cellStyle name="Normal 2 2 2 2 2 2 2 2 2 37 6" xfId="18394" xr:uid="{00000000-0005-0000-0000-0000C9440000}"/>
    <cellStyle name="Normal 2 2 2 2 2 2 2 2 2 38" xfId="18395" xr:uid="{00000000-0005-0000-0000-0000CA440000}"/>
    <cellStyle name="Normal 2 2 2 2 2 2 2 2 2 38 2" xfId="18396" xr:uid="{00000000-0005-0000-0000-0000CB440000}"/>
    <cellStyle name="Normal 2 2 2 2 2 2 2 2 2 38 3" xfId="18397" xr:uid="{00000000-0005-0000-0000-0000CC440000}"/>
    <cellStyle name="Normal 2 2 2 2 2 2 2 2 2 38 4" xfId="18398" xr:uid="{00000000-0005-0000-0000-0000CD440000}"/>
    <cellStyle name="Normal 2 2 2 2 2 2 2 2 2 38 5" xfId="18399" xr:uid="{00000000-0005-0000-0000-0000CE440000}"/>
    <cellStyle name="Normal 2 2 2 2 2 2 2 2 2 38 6" xfId="18400" xr:uid="{00000000-0005-0000-0000-0000CF440000}"/>
    <cellStyle name="Normal 2 2 2 2 2 2 2 2 2 39" xfId="18401" xr:uid="{00000000-0005-0000-0000-0000D0440000}"/>
    <cellStyle name="Normal 2 2 2 2 2 2 2 2 2 39 2" xfId="18402" xr:uid="{00000000-0005-0000-0000-0000D1440000}"/>
    <cellStyle name="Normal 2 2 2 2 2 2 2 2 2 39 3" xfId="18403" xr:uid="{00000000-0005-0000-0000-0000D2440000}"/>
    <cellStyle name="Normal 2 2 2 2 2 2 2 2 2 39 4" xfId="18404" xr:uid="{00000000-0005-0000-0000-0000D3440000}"/>
    <cellStyle name="Normal 2 2 2 2 2 2 2 2 2 39 5" xfId="18405" xr:uid="{00000000-0005-0000-0000-0000D4440000}"/>
    <cellStyle name="Normal 2 2 2 2 2 2 2 2 2 39 6" xfId="18406" xr:uid="{00000000-0005-0000-0000-0000D5440000}"/>
    <cellStyle name="Normal 2 2 2 2 2 2 2 2 2 4" xfId="18407" xr:uid="{00000000-0005-0000-0000-0000D6440000}"/>
    <cellStyle name="Normal 2 2 2 2 2 2 2 2 2 4 2" xfId="18408" xr:uid="{00000000-0005-0000-0000-0000D7440000}"/>
    <cellStyle name="Normal 2 2 2 2 2 2 2 2 2 4 3" xfId="18409" xr:uid="{00000000-0005-0000-0000-0000D8440000}"/>
    <cellStyle name="Normal 2 2 2 2 2 2 2 2 2 4 4" xfId="18410" xr:uid="{00000000-0005-0000-0000-0000D9440000}"/>
    <cellStyle name="Normal 2 2 2 2 2 2 2 2 2 4 5" xfId="18411" xr:uid="{00000000-0005-0000-0000-0000DA440000}"/>
    <cellStyle name="Normal 2 2 2 2 2 2 2 2 2 4 6" xfId="18412" xr:uid="{00000000-0005-0000-0000-0000DB440000}"/>
    <cellStyle name="Normal 2 2 2 2 2 2 2 2 2 40" xfId="18413" xr:uid="{00000000-0005-0000-0000-0000DC440000}"/>
    <cellStyle name="Normal 2 2 2 2 2 2 2 2 2 40 2" xfId="18414" xr:uid="{00000000-0005-0000-0000-0000DD440000}"/>
    <cellStyle name="Normal 2 2 2 2 2 2 2 2 2 40 3" xfId="18415" xr:uid="{00000000-0005-0000-0000-0000DE440000}"/>
    <cellStyle name="Normal 2 2 2 2 2 2 2 2 2 40 4" xfId="18416" xr:uid="{00000000-0005-0000-0000-0000DF440000}"/>
    <cellStyle name="Normal 2 2 2 2 2 2 2 2 2 40 5" xfId="18417" xr:uid="{00000000-0005-0000-0000-0000E0440000}"/>
    <cellStyle name="Normal 2 2 2 2 2 2 2 2 2 40 6" xfId="18418" xr:uid="{00000000-0005-0000-0000-0000E1440000}"/>
    <cellStyle name="Normal 2 2 2 2 2 2 2 2 2 41" xfId="18419" xr:uid="{00000000-0005-0000-0000-0000E2440000}"/>
    <cellStyle name="Normal 2 2 2 2 2 2 2 2 2 41 2" xfId="18420" xr:uid="{00000000-0005-0000-0000-0000E3440000}"/>
    <cellStyle name="Normal 2 2 2 2 2 2 2 2 2 41 3" xfId="18421" xr:uid="{00000000-0005-0000-0000-0000E4440000}"/>
    <cellStyle name="Normal 2 2 2 2 2 2 2 2 2 41 4" xfId="18422" xr:uid="{00000000-0005-0000-0000-0000E5440000}"/>
    <cellStyle name="Normal 2 2 2 2 2 2 2 2 2 41 5" xfId="18423" xr:uid="{00000000-0005-0000-0000-0000E6440000}"/>
    <cellStyle name="Normal 2 2 2 2 2 2 2 2 2 41 6" xfId="18424" xr:uid="{00000000-0005-0000-0000-0000E7440000}"/>
    <cellStyle name="Normal 2 2 2 2 2 2 2 2 2 42" xfId="18425" xr:uid="{00000000-0005-0000-0000-0000E8440000}"/>
    <cellStyle name="Normal 2 2 2 2 2 2 2 2 2 42 2" xfId="18426" xr:uid="{00000000-0005-0000-0000-0000E9440000}"/>
    <cellStyle name="Normal 2 2 2 2 2 2 2 2 2 42 2 2" xfId="18427" xr:uid="{00000000-0005-0000-0000-0000EA440000}"/>
    <cellStyle name="Normal 2 2 2 2 2 2 2 2 2 42 2 3" xfId="18428" xr:uid="{00000000-0005-0000-0000-0000EB440000}"/>
    <cellStyle name="Normal 2 2 2 2 2 2 2 2 2 42 2 4" xfId="18429" xr:uid="{00000000-0005-0000-0000-0000EC440000}"/>
    <cellStyle name="Normal 2 2 2 2 2 2 2 2 2 42 2 5" xfId="18430" xr:uid="{00000000-0005-0000-0000-0000ED440000}"/>
    <cellStyle name="Normal 2 2 2 2 2 2 2 2 2 42 2 6" xfId="18431" xr:uid="{00000000-0005-0000-0000-0000EE440000}"/>
    <cellStyle name="Normal 2 2 2 2 2 2 2 2 2 43" xfId="18432" xr:uid="{00000000-0005-0000-0000-0000EF440000}"/>
    <cellStyle name="Normal 2 2 2 2 2 2 2 2 2 43 10" xfId="18433" xr:uid="{00000000-0005-0000-0000-0000F0440000}"/>
    <cellStyle name="Normal 2 2 2 2 2 2 2 2 2 43 11" xfId="18434" xr:uid="{00000000-0005-0000-0000-0000F1440000}"/>
    <cellStyle name="Normal 2 2 2 2 2 2 2 2 2 43 2" xfId="18435" xr:uid="{00000000-0005-0000-0000-0000F2440000}"/>
    <cellStyle name="Normal 2 2 2 2 2 2 2 2 2 43 2 2" xfId="18436" xr:uid="{00000000-0005-0000-0000-0000F3440000}"/>
    <cellStyle name="Normal 2 2 2 2 2 2 2 2 2 43 2 2 2" xfId="18437" xr:uid="{00000000-0005-0000-0000-0000F4440000}"/>
    <cellStyle name="Normal 2 2 2 2 2 2 2 2 2 43 2 2 3" xfId="18438" xr:uid="{00000000-0005-0000-0000-0000F5440000}"/>
    <cellStyle name="Normal 2 2 2 2 2 2 2 2 2 43 2 3" xfId="18439" xr:uid="{00000000-0005-0000-0000-0000F6440000}"/>
    <cellStyle name="Normal 2 2 2 2 2 2 2 2 2 43 2 4" xfId="18440" xr:uid="{00000000-0005-0000-0000-0000F7440000}"/>
    <cellStyle name="Normal 2 2 2 2 2 2 2 2 2 43 2 5" xfId="18441" xr:uid="{00000000-0005-0000-0000-0000F8440000}"/>
    <cellStyle name="Normal 2 2 2 2 2 2 2 2 2 43 2 6" xfId="18442" xr:uid="{00000000-0005-0000-0000-0000F9440000}"/>
    <cellStyle name="Normal 2 2 2 2 2 2 2 2 2 43 2 7" xfId="18443" xr:uid="{00000000-0005-0000-0000-0000FA440000}"/>
    <cellStyle name="Normal 2 2 2 2 2 2 2 2 2 43 2 8" xfId="18444" xr:uid="{00000000-0005-0000-0000-0000FB440000}"/>
    <cellStyle name="Normal 2 2 2 2 2 2 2 2 2 43 2 9" xfId="18445" xr:uid="{00000000-0005-0000-0000-0000FC440000}"/>
    <cellStyle name="Normal 2 2 2 2 2 2 2 2 2 43 3" xfId="18446" xr:uid="{00000000-0005-0000-0000-0000FD440000}"/>
    <cellStyle name="Normal 2 2 2 2 2 2 2 2 2 43 4" xfId="18447" xr:uid="{00000000-0005-0000-0000-0000FE440000}"/>
    <cellStyle name="Normal 2 2 2 2 2 2 2 2 2 43 5" xfId="18448" xr:uid="{00000000-0005-0000-0000-0000FF440000}"/>
    <cellStyle name="Normal 2 2 2 2 2 2 2 2 2 43 5 2" xfId="18449" xr:uid="{00000000-0005-0000-0000-000000450000}"/>
    <cellStyle name="Normal 2 2 2 2 2 2 2 2 2 43 5 3" xfId="18450" xr:uid="{00000000-0005-0000-0000-000001450000}"/>
    <cellStyle name="Normal 2 2 2 2 2 2 2 2 2 43 6" xfId="18451" xr:uid="{00000000-0005-0000-0000-000002450000}"/>
    <cellStyle name="Normal 2 2 2 2 2 2 2 2 2 43 7" xfId="18452" xr:uid="{00000000-0005-0000-0000-000003450000}"/>
    <cellStyle name="Normal 2 2 2 2 2 2 2 2 2 43 8" xfId="18453" xr:uid="{00000000-0005-0000-0000-000004450000}"/>
    <cellStyle name="Normal 2 2 2 2 2 2 2 2 2 43 9" xfId="18454" xr:uid="{00000000-0005-0000-0000-000005450000}"/>
    <cellStyle name="Normal 2 2 2 2 2 2 2 2 2 44" xfId="18455" xr:uid="{00000000-0005-0000-0000-000006450000}"/>
    <cellStyle name="Normal 2 2 2 2 2 2 2 2 2 45" xfId="18456" xr:uid="{00000000-0005-0000-0000-000007450000}"/>
    <cellStyle name="Normal 2 2 2 2 2 2 2 2 2 46" xfId="18457" xr:uid="{00000000-0005-0000-0000-000008450000}"/>
    <cellStyle name="Normal 2 2 2 2 2 2 2 2 2 46 2" xfId="18458" xr:uid="{00000000-0005-0000-0000-000009450000}"/>
    <cellStyle name="Normal 2 2 2 2 2 2 2 2 2 46 2 2" xfId="18459" xr:uid="{00000000-0005-0000-0000-00000A450000}"/>
    <cellStyle name="Normal 2 2 2 2 2 2 2 2 2 46 2 3" xfId="18460" xr:uid="{00000000-0005-0000-0000-00000B450000}"/>
    <cellStyle name="Normal 2 2 2 2 2 2 2 2 2 46 3" xfId="18461" xr:uid="{00000000-0005-0000-0000-00000C450000}"/>
    <cellStyle name="Normal 2 2 2 2 2 2 2 2 2 46 4" xfId="18462" xr:uid="{00000000-0005-0000-0000-00000D450000}"/>
    <cellStyle name="Normal 2 2 2 2 2 2 2 2 2 46 5" xfId="18463" xr:uid="{00000000-0005-0000-0000-00000E450000}"/>
    <cellStyle name="Normal 2 2 2 2 2 2 2 2 2 46 6" xfId="18464" xr:uid="{00000000-0005-0000-0000-00000F450000}"/>
    <cellStyle name="Normal 2 2 2 2 2 2 2 2 2 46 7" xfId="18465" xr:uid="{00000000-0005-0000-0000-000010450000}"/>
    <cellStyle name="Normal 2 2 2 2 2 2 2 2 2 46 8" xfId="18466" xr:uid="{00000000-0005-0000-0000-000011450000}"/>
    <cellStyle name="Normal 2 2 2 2 2 2 2 2 2 46 9" xfId="18467" xr:uid="{00000000-0005-0000-0000-000012450000}"/>
    <cellStyle name="Normal 2 2 2 2 2 2 2 2 2 47" xfId="18468" xr:uid="{00000000-0005-0000-0000-000013450000}"/>
    <cellStyle name="Normal 2 2 2 2 2 2 2 2 2 48" xfId="18469" xr:uid="{00000000-0005-0000-0000-000014450000}"/>
    <cellStyle name="Normal 2 2 2 2 2 2 2 2 2 48 2" xfId="18470" xr:uid="{00000000-0005-0000-0000-000015450000}"/>
    <cellStyle name="Normal 2 2 2 2 2 2 2 2 2 48 3" xfId="18471" xr:uid="{00000000-0005-0000-0000-000016450000}"/>
    <cellStyle name="Normal 2 2 2 2 2 2 2 2 2 49" xfId="18472" xr:uid="{00000000-0005-0000-0000-000017450000}"/>
    <cellStyle name="Normal 2 2 2 2 2 2 2 2 2 5" xfId="18473" xr:uid="{00000000-0005-0000-0000-000018450000}"/>
    <cellStyle name="Normal 2 2 2 2 2 2 2 2 2 5 2" xfId="18474" xr:uid="{00000000-0005-0000-0000-000019450000}"/>
    <cellStyle name="Normal 2 2 2 2 2 2 2 2 2 5 3" xfId="18475" xr:uid="{00000000-0005-0000-0000-00001A450000}"/>
    <cellStyle name="Normal 2 2 2 2 2 2 2 2 2 5 4" xfId="18476" xr:uid="{00000000-0005-0000-0000-00001B450000}"/>
    <cellStyle name="Normal 2 2 2 2 2 2 2 2 2 5 5" xfId="18477" xr:uid="{00000000-0005-0000-0000-00001C450000}"/>
    <cellStyle name="Normal 2 2 2 2 2 2 2 2 2 5 6" xfId="18478" xr:uid="{00000000-0005-0000-0000-00001D450000}"/>
    <cellStyle name="Normal 2 2 2 2 2 2 2 2 2 50" xfId="18479" xr:uid="{00000000-0005-0000-0000-00001E450000}"/>
    <cellStyle name="Normal 2 2 2 2 2 2 2 2 2 51" xfId="18480" xr:uid="{00000000-0005-0000-0000-00001F450000}"/>
    <cellStyle name="Normal 2 2 2 2 2 2 2 2 2 52" xfId="18481" xr:uid="{00000000-0005-0000-0000-000020450000}"/>
    <cellStyle name="Normal 2 2 2 2 2 2 2 2 2 53" xfId="18482" xr:uid="{00000000-0005-0000-0000-000021450000}"/>
    <cellStyle name="Normal 2 2 2 2 2 2 2 2 2 54" xfId="18483" xr:uid="{00000000-0005-0000-0000-000022450000}"/>
    <cellStyle name="Normal 2 2 2 2 2 2 2 2 2 6" xfId="18484" xr:uid="{00000000-0005-0000-0000-000023450000}"/>
    <cellStyle name="Normal 2 2 2 2 2 2 2 2 2 6 2" xfId="18485" xr:uid="{00000000-0005-0000-0000-000024450000}"/>
    <cellStyle name="Normal 2 2 2 2 2 2 2 2 2 6 3" xfId="18486" xr:uid="{00000000-0005-0000-0000-000025450000}"/>
    <cellStyle name="Normal 2 2 2 2 2 2 2 2 2 6 4" xfId="18487" xr:uid="{00000000-0005-0000-0000-000026450000}"/>
    <cellStyle name="Normal 2 2 2 2 2 2 2 2 2 6 5" xfId="18488" xr:uid="{00000000-0005-0000-0000-000027450000}"/>
    <cellStyle name="Normal 2 2 2 2 2 2 2 2 2 6 6" xfId="18489" xr:uid="{00000000-0005-0000-0000-000028450000}"/>
    <cellStyle name="Normal 2 2 2 2 2 2 2 2 2 7" xfId="18490" xr:uid="{00000000-0005-0000-0000-000029450000}"/>
    <cellStyle name="Normal 2 2 2 2 2 2 2 2 2 7 2" xfId="18491" xr:uid="{00000000-0005-0000-0000-00002A450000}"/>
    <cellStyle name="Normal 2 2 2 2 2 2 2 2 2 7 3" xfId="18492" xr:uid="{00000000-0005-0000-0000-00002B450000}"/>
    <cellStyle name="Normal 2 2 2 2 2 2 2 2 2 7 4" xfId="18493" xr:uid="{00000000-0005-0000-0000-00002C450000}"/>
    <cellStyle name="Normal 2 2 2 2 2 2 2 2 2 7 5" xfId="18494" xr:uid="{00000000-0005-0000-0000-00002D450000}"/>
    <cellStyle name="Normal 2 2 2 2 2 2 2 2 2 7 6" xfId="18495" xr:uid="{00000000-0005-0000-0000-00002E450000}"/>
    <cellStyle name="Normal 2 2 2 2 2 2 2 2 2 8" xfId="18496" xr:uid="{00000000-0005-0000-0000-00002F450000}"/>
    <cellStyle name="Normal 2 2 2 2 2 2 2 2 2 8 2" xfId="18497" xr:uid="{00000000-0005-0000-0000-000030450000}"/>
    <cellStyle name="Normal 2 2 2 2 2 2 2 2 2 8 3" xfId="18498" xr:uid="{00000000-0005-0000-0000-000031450000}"/>
    <cellStyle name="Normal 2 2 2 2 2 2 2 2 2 8 4" xfId="18499" xr:uid="{00000000-0005-0000-0000-000032450000}"/>
    <cellStyle name="Normal 2 2 2 2 2 2 2 2 2 8 5" xfId="18500" xr:uid="{00000000-0005-0000-0000-000033450000}"/>
    <cellStyle name="Normal 2 2 2 2 2 2 2 2 2 8 6" xfId="18501" xr:uid="{00000000-0005-0000-0000-000034450000}"/>
    <cellStyle name="Normal 2 2 2 2 2 2 2 2 2 9" xfId="18502" xr:uid="{00000000-0005-0000-0000-000035450000}"/>
    <cellStyle name="Normal 2 2 2 2 2 2 2 2 2 9 2" xfId="18503" xr:uid="{00000000-0005-0000-0000-000036450000}"/>
    <cellStyle name="Normal 2 2 2 2 2 2 2 2 2 9 3" xfId="18504" xr:uid="{00000000-0005-0000-0000-000037450000}"/>
    <cellStyle name="Normal 2 2 2 2 2 2 2 2 2 9 4" xfId="18505" xr:uid="{00000000-0005-0000-0000-000038450000}"/>
    <cellStyle name="Normal 2 2 2 2 2 2 2 2 2 9 5" xfId="18506" xr:uid="{00000000-0005-0000-0000-000039450000}"/>
    <cellStyle name="Normal 2 2 2 2 2 2 2 2 2 9 6" xfId="18507" xr:uid="{00000000-0005-0000-0000-00003A450000}"/>
    <cellStyle name="Normal 2 2 2 2 2 2 2 2 20" xfId="18508" xr:uid="{00000000-0005-0000-0000-00003B450000}"/>
    <cellStyle name="Normal 2 2 2 2 2 2 2 2 21" xfId="18509" xr:uid="{00000000-0005-0000-0000-00003C450000}"/>
    <cellStyle name="Normal 2 2 2 2 2 2 2 2 22" xfId="18510" xr:uid="{00000000-0005-0000-0000-00003D450000}"/>
    <cellStyle name="Normal 2 2 2 2 2 2 2 2 23" xfId="18511" xr:uid="{00000000-0005-0000-0000-00003E450000}"/>
    <cellStyle name="Normal 2 2 2 2 2 2 2 2 24" xfId="18512" xr:uid="{00000000-0005-0000-0000-00003F450000}"/>
    <cellStyle name="Normal 2 2 2 2 2 2 2 2 25" xfId="18513" xr:uid="{00000000-0005-0000-0000-000040450000}"/>
    <cellStyle name="Normal 2 2 2 2 2 2 2 2 26" xfId="18514" xr:uid="{00000000-0005-0000-0000-000041450000}"/>
    <cellStyle name="Normal 2 2 2 2 2 2 2 2 27" xfId="18515" xr:uid="{00000000-0005-0000-0000-000042450000}"/>
    <cellStyle name="Normal 2 2 2 2 2 2 2 2 27 2" xfId="18516" xr:uid="{00000000-0005-0000-0000-000043450000}"/>
    <cellStyle name="Normal 2 2 2 2 2 2 2 2 27 3" xfId="18517" xr:uid="{00000000-0005-0000-0000-000044450000}"/>
    <cellStyle name="Normal 2 2 2 2 2 2 2 2 27 4" xfId="18518" xr:uid="{00000000-0005-0000-0000-000045450000}"/>
    <cellStyle name="Normal 2 2 2 2 2 2 2 2 27 5" xfId="18519" xr:uid="{00000000-0005-0000-0000-000046450000}"/>
    <cellStyle name="Normal 2 2 2 2 2 2 2 2 27 6" xfId="18520" xr:uid="{00000000-0005-0000-0000-000047450000}"/>
    <cellStyle name="Normal 2 2 2 2 2 2 2 2 28" xfId="18521" xr:uid="{00000000-0005-0000-0000-000048450000}"/>
    <cellStyle name="Normal 2 2 2 2 2 2 2 2 28 2" xfId="18522" xr:uid="{00000000-0005-0000-0000-000049450000}"/>
    <cellStyle name="Normal 2 2 2 2 2 2 2 2 28 3" xfId="18523" xr:uid="{00000000-0005-0000-0000-00004A450000}"/>
    <cellStyle name="Normal 2 2 2 2 2 2 2 2 28 4" xfId="18524" xr:uid="{00000000-0005-0000-0000-00004B450000}"/>
    <cellStyle name="Normal 2 2 2 2 2 2 2 2 28 5" xfId="18525" xr:uid="{00000000-0005-0000-0000-00004C450000}"/>
    <cellStyle name="Normal 2 2 2 2 2 2 2 2 28 6" xfId="18526" xr:uid="{00000000-0005-0000-0000-00004D450000}"/>
    <cellStyle name="Normal 2 2 2 2 2 2 2 2 29" xfId="18527" xr:uid="{00000000-0005-0000-0000-00004E450000}"/>
    <cellStyle name="Normal 2 2 2 2 2 2 2 2 29 2" xfId="18528" xr:uid="{00000000-0005-0000-0000-00004F450000}"/>
    <cellStyle name="Normal 2 2 2 2 2 2 2 2 29 3" xfId="18529" xr:uid="{00000000-0005-0000-0000-000050450000}"/>
    <cellStyle name="Normal 2 2 2 2 2 2 2 2 29 4" xfId="18530" xr:uid="{00000000-0005-0000-0000-000051450000}"/>
    <cellStyle name="Normal 2 2 2 2 2 2 2 2 29 5" xfId="18531" xr:uid="{00000000-0005-0000-0000-000052450000}"/>
    <cellStyle name="Normal 2 2 2 2 2 2 2 2 29 6" xfId="18532" xr:uid="{00000000-0005-0000-0000-000053450000}"/>
    <cellStyle name="Normal 2 2 2 2 2 2 2 2 3" xfId="18533" xr:uid="{00000000-0005-0000-0000-000054450000}"/>
    <cellStyle name="Normal 2 2 2 2 2 2 2 2 3 10" xfId="18534" xr:uid="{00000000-0005-0000-0000-000055450000}"/>
    <cellStyle name="Normal 2 2 2 2 2 2 2 2 3 11" xfId="18535" xr:uid="{00000000-0005-0000-0000-000056450000}"/>
    <cellStyle name="Normal 2 2 2 2 2 2 2 2 3 12" xfId="18536" xr:uid="{00000000-0005-0000-0000-000057450000}"/>
    <cellStyle name="Normal 2 2 2 2 2 2 2 2 3 13" xfId="18537" xr:uid="{00000000-0005-0000-0000-000058450000}"/>
    <cellStyle name="Normal 2 2 2 2 2 2 2 2 3 2" xfId="18538" xr:uid="{00000000-0005-0000-0000-000059450000}"/>
    <cellStyle name="Normal 2 2 2 2 2 2 2 2 3 2 2" xfId="18539" xr:uid="{00000000-0005-0000-0000-00005A450000}"/>
    <cellStyle name="Normal 2 2 2 2 2 2 2 2 3 2 3" xfId="18540" xr:uid="{00000000-0005-0000-0000-00005B450000}"/>
    <cellStyle name="Normal 2 2 2 2 2 2 2 2 3 2 4" xfId="18541" xr:uid="{00000000-0005-0000-0000-00005C450000}"/>
    <cellStyle name="Normal 2 2 2 2 2 2 2 2 3 2 5" xfId="18542" xr:uid="{00000000-0005-0000-0000-00005D450000}"/>
    <cellStyle name="Normal 2 2 2 2 2 2 2 2 3 2 6" xfId="18543" xr:uid="{00000000-0005-0000-0000-00005E450000}"/>
    <cellStyle name="Normal 2 2 2 2 2 2 2 2 3 3" xfId="18544" xr:uid="{00000000-0005-0000-0000-00005F450000}"/>
    <cellStyle name="Normal 2 2 2 2 2 2 2 2 3 3 2" xfId="18545" xr:uid="{00000000-0005-0000-0000-000060450000}"/>
    <cellStyle name="Normal 2 2 2 2 2 2 2 2 3 3 3" xfId="18546" xr:uid="{00000000-0005-0000-0000-000061450000}"/>
    <cellStyle name="Normal 2 2 2 2 2 2 2 2 3 3 4" xfId="18547" xr:uid="{00000000-0005-0000-0000-000062450000}"/>
    <cellStyle name="Normal 2 2 2 2 2 2 2 2 3 3 5" xfId="18548" xr:uid="{00000000-0005-0000-0000-000063450000}"/>
    <cellStyle name="Normal 2 2 2 2 2 2 2 2 3 3 6" xfId="18549" xr:uid="{00000000-0005-0000-0000-000064450000}"/>
    <cellStyle name="Normal 2 2 2 2 2 2 2 2 3 4" xfId="18550" xr:uid="{00000000-0005-0000-0000-000065450000}"/>
    <cellStyle name="Normal 2 2 2 2 2 2 2 2 3 4 2" xfId="18551" xr:uid="{00000000-0005-0000-0000-000066450000}"/>
    <cellStyle name="Normal 2 2 2 2 2 2 2 2 3 4 3" xfId="18552" xr:uid="{00000000-0005-0000-0000-000067450000}"/>
    <cellStyle name="Normal 2 2 2 2 2 2 2 2 3 4 4" xfId="18553" xr:uid="{00000000-0005-0000-0000-000068450000}"/>
    <cellStyle name="Normal 2 2 2 2 2 2 2 2 3 4 5" xfId="18554" xr:uid="{00000000-0005-0000-0000-000069450000}"/>
    <cellStyle name="Normal 2 2 2 2 2 2 2 2 3 4 6" xfId="18555" xr:uid="{00000000-0005-0000-0000-00006A450000}"/>
    <cellStyle name="Normal 2 2 2 2 2 2 2 2 3 5" xfId="18556" xr:uid="{00000000-0005-0000-0000-00006B450000}"/>
    <cellStyle name="Normal 2 2 2 2 2 2 2 2 3 5 2" xfId="18557" xr:uid="{00000000-0005-0000-0000-00006C450000}"/>
    <cellStyle name="Normal 2 2 2 2 2 2 2 2 3 5 3" xfId="18558" xr:uid="{00000000-0005-0000-0000-00006D450000}"/>
    <cellStyle name="Normal 2 2 2 2 2 2 2 2 3 5 4" xfId="18559" xr:uid="{00000000-0005-0000-0000-00006E450000}"/>
    <cellStyle name="Normal 2 2 2 2 2 2 2 2 3 5 5" xfId="18560" xr:uid="{00000000-0005-0000-0000-00006F450000}"/>
    <cellStyle name="Normal 2 2 2 2 2 2 2 2 3 5 6" xfId="18561" xr:uid="{00000000-0005-0000-0000-000070450000}"/>
    <cellStyle name="Normal 2 2 2 2 2 2 2 2 3 6" xfId="18562" xr:uid="{00000000-0005-0000-0000-000071450000}"/>
    <cellStyle name="Normal 2 2 2 2 2 2 2 2 3 6 2" xfId="18563" xr:uid="{00000000-0005-0000-0000-000072450000}"/>
    <cellStyle name="Normal 2 2 2 2 2 2 2 2 3 6 3" xfId="18564" xr:uid="{00000000-0005-0000-0000-000073450000}"/>
    <cellStyle name="Normal 2 2 2 2 2 2 2 2 3 6 4" xfId="18565" xr:uid="{00000000-0005-0000-0000-000074450000}"/>
    <cellStyle name="Normal 2 2 2 2 2 2 2 2 3 6 5" xfId="18566" xr:uid="{00000000-0005-0000-0000-000075450000}"/>
    <cellStyle name="Normal 2 2 2 2 2 2 2 2 3 6 6" xfId="18567" xr:uid="{00000000-0005-0000-0000-000076450000}"/>
    <cellStyle name="Normal 2 2 2 2 2 2 2 2 3 7" xfId="18568" xr:uid="{00000000-0005-0000-0000-000077450000}"/>
    <cellStyle name="Normal 2 2 2 2 2 2 2 2 3 7 2" xfId="18569" xr:uid="{00000000-0005-0000-0000-000078450000}"/>
    <cellStyle name="Normal 2 2 2 2 2 2 2 2 3 7 3" xfId="18570" xr:uid="{00000000-0005-0000-0000-000079450000}"/>
    <cellStyle name="Normal 2 2 2 2 2 2 2 2 3 7 4" xfId="18571" xr:uid="{00000000-0005-0000-0000-00007A450000}"/>
    <cellStyle name="Normal 2 2 2 2 2 2 2 2 3 7 5" xfId="18572" xr:uid="{00000000-0005-0000-0000-00007B450000}"/>
    <cellStyle name="Normal 2 2 2 2 2 2 2 2 3 7 6" xfId="18573" xr:uid="{00000000-0005-0000-0000-00007C450000}"/>
    <cellStyle name="Normal 2 2 2 2 2 2 2 2 3 8" xfId="18574" xr:uid="{00000000-0005-0000-0000-00007D450000}"/>
    <cellStyle name="Normal 2 2 2 2 2 2 2 2 3 8 2" xfId="18575" xr:uid="{00000000-0005-0000-0000-00007E450000}"/>
    <cellStyle name="Normal 2 2 2 2 2 2 2 2 3 8 3" xfId="18576" xr:uid="{00000000-0005-0000-0000-00007F450000}"/>
    <cellStyle name="Normal 2 2 2 2 2 2 2 2 3 8 4" xfId="18577" xr:uid="{00000000-0005-0000-0000-000080450000}"/>
    <cellStyle name="Normal 2 2 2 2 2 2 2 2 3 8 5" xfId="18578" xr:uid="{00000000-0005-0000-0000-000081450000}"/>
    <cellStyle name="Normal 2 2 2 2 2 2 2 2 3 8 6" xfId="18579" xr:uid="{00000000-0005-0000-0000-000082450000}"/>
    <cellStyle name="Normal 2 2 2 2 2 2 2 2 3 9" xfId="18580" xr:uid="{00000000-0005-0000-0000-000083450000}"/>
    <cellStyle name="Normal 2 2 2 2 2 2 2 2 30" xfId="18581" xr:uid="{00000000-0005-0000-0000-000084450000}"/>
    <cellStyle name="Normal 2 2 2 2 2 2 2 2 30 2" xfId="18582" xr:uid="{00000000-0005-0000-0000-000085450000}"/>
    <cellStyle name="Normal 2 2 2 2 2 2 2 2 30 3" xfId="18583" xr:uid="{00000000-0005-0000-0000-000086450000}"/>
    <cellStyle name="Normal 2 2 2 2 2 2 2 2 30 4" xfId="18584" xr:uid="{00000000-0005-0000-0000-000087450000}"/>
    <cellStyle name="Normal 2 2 2 2 2 2 2 2 30 5" xfId="18585" xr:uid="{00000000-0005-0000-0000-000088450000}"/>
    <cellStyle name="Normal 2 2 2 2 2 2 2 2 30 6" xfId="18586" xr:uid="{00000000-0005-0000-0000-000089450000}"/>
    <cellStyle name="Normal 2 2 2 2 2 2 2 2 31" xfId="18587" xr:uid="{00000000-0005-0000-0000-00008A450000}"/>
    <cellStyle name="Normal 2 2 2 2 2 2 2 2 31 2" xfId="18588" xr:uid="{00000000-0005-0000-0000-00008B450000}"/>
    <cellStyle name="Normal 2 2 2 2 2 2 2 2 31 2 2" xfId="18589" xr:uid="{00000000-0005-0000-0000-00008C450000}"/>
    <cellStyle name="Normal 2 2 2 2 2 2 2 2 31 2 2 2" xfId="18590" xr:uid="{00000000-0005-0000-0000-00008D450000}"/>
    <cellStyle name="Normal 2 2 2 2 2 2 2 2 31 2 2 3" xfId="18591" xr:uid="{00000000-0005-0000-0000-00008E450000}"/>
    <cellStyle name="Normal 2 2 2 2 2 2 2 2 31 2 2 4" xfId="18592" xr:uid="{00000000-0005-0000-0000-00008F450000}"/>
    <cellStyle name="Normal 2 2 2 2 2 2 2 2 31 2 2 5" xfId="18593" xr:uid="{00000000-0005-0000-0000-000090450000}"/>
    <cellStyle name="Normal 2 2 2 2 2 2 2 2 31 2 2 6" xfId="18594" xr:uid="{00000000-0005-0000-0000-000091450000}"/>
    <cellStyle name="Normal 2 2 2 2 2 2 2 2 31 2 2 7" xfId="18595" xr:uid="{00000000-0005-0000-0000-000092450000}"/>
    <cellStyle name="Normal 2 2 2 2 2 2 2 2 31 3" xfId="18596" xr:uid="{00000000-0005-0000-0000-000093450000}"/>
    <cellStyle name="Normal 2 2 2 2 2 2 2 2 31 4" xfId="18597" xr:uid="{00000000-0005-0000-0000-000094450000}"/>
    <cellStyle name="Normal 2 2 2 2 2 2 2 2 31 5" xfId="18598" xr:uid="{00000000-0005-0000-0000-000095450000}"/>
    <cellStyle name="Normal 2 2 2 2 2 2 2 2 31 6" xfId="18599" xr:uid="{00000000-0005-0000-0000-000096450000}"/>
    <cellStyle name="Normal 2 2 2 2 2 2 2 2 31 7" xfId="18600" xr:uid="{00000000-0005-0000-0000-000097450000}"/>
    <cellStyle name="Normal 2 2 2 2 2 2 2 2 31 8" xfId="18601" xr:uid="{00000000-0005-0000-0000-000098450000}"/>
    <cellStyle name="Normal 2 2 2 2 2 2 2 2 32" xfId="18602" xr:uid="{00000000-0005-0000-0000-000099450000}"/>
    <cellStyle name="Normal 2 2 2 2 2 2 2 2 33" xfId="18603" xr:uid="{00000000-0005-0000-0000-00009A450000}"/>
    <cellStyle name="Normal 2 2 2 2 2 2 2 2 34" xfId="18604" xr:uid="{00000000-0005-0000-0000-00009B450000}"/>
    <cellStyle name="Normal 2 2 2 2 2 2 2 2 35" xfId="18605" xr:uid="{00000000-0005-0000-0000-00009C450000}"/>
    <cellStyle name="Normal 2 2 2 2 2 2 2 2 36" xfId="18606" xr:uid="{00000000-0005-0000-0000-00009D450000}"/>
    <cellStyle name="Normal 2 2 2 2 2 2 2 2 37" xfId="18607" xr:uid="{00000000-0005-0000-0000-00009E450000}"/>
    <cellStyle name="Normal 2 2 2 2 2 2 2 2 38" xfId="18608" xr:uid="{00000000-0005-0000-0000-00009F450000}"/>
    <cellStyle name="Normal 2 2 2 2 2 2 2 2 39" xfId="18609" xr:uid="{00000000-0005-0000-0000-0000A0450000}"/>
    <cellStyle name="Normal 2 2 2 2 2 2 2 2 4" xfId="18610" xr:uid="{00000000-0005-0000-0000-0000A1450000}"/>
    <cellStyle name="Normal 2 2 2 2 2 2 2 2 4 10" xfId="18611" xr:uid="{00000000-0005-0000-0000-0000A2450000}"/>
    <cellStyle name="Normal 2 2 2 2 2 2 2 2 4 11" xfId="18612" xr:uid="{00000000-0005-0000-0000-0000A3450000}"/>
    <cellStyle name="Normal 2 2 2 2 2 2 2 2 4 12" xfId="18613" xr:uid="{00000000-0005-0000-0000-0000A4450000}"/>
    <cellStyle name="Normal 2 2 2 2 2 2 2 2 4 13" xfId="18614" xr:uid="{00000000-0005-0000-0000-0000A5450000}"/>
    <cellStyle name="Normal 2 2 2 2 2 2 2 2 4 2" xfId="18615" xr:uid="{00000000-0005-0000-0000-0000A6450000}"/>
    <cellStyle name="Normal 2 2 2 2 2 2 2 2 4 2 2" xfId="18616" xr:uid="{00000000-0005-0000-0000-0000A7450000}"/>
    <cellStyle name="Normal 2 2 2 2 2 2 2 2 4 2 3" xfId="18617" xr:uid="{00000000-0005-0000-0000-0000A8450000}"/>
    <cellStyle name="Normal 2 2 2 2 2 2 2 2 4 2 4" xfId="18618" xr:uid="{00000000-0005-0000-0000-0000A9450000}"/>
    <cellStyle name="Normal 2 2 2 2 2 2 2 2 4 2 5" xfId="18619" xr:uid="{00000000-0005-0000-0000-0000AA450000}"/>
    <cellStyle name="Normal 2 2 2 2 2 2 2 2 4 2 6" xfId="18620" xr:uid="{00000000-0005-0000-0000-0000AB450000}"/>
    <cellStyle name="Normal 2 2 2 2 2 2 2 2 4 3" xfId="18621" xr:uid="{00000000-0005-0000-0000-0000AC450000}"/>
    <cellStyle name="Normal 2 2 2 2 2 2 2 2 4 3 2" xfId="18622" xr:uid="{00000000-0005-0000-0000-0000AD450000}"/>
    <cellStyle name="Normal 2 2 2 2 2 2 2 2 4 3 3" xfId="18623" xr:uid="{00000000-0005-0000-0000-0000AE450000}"/>
    <cellStyle name="Normal 2 2 2 2 2 2 2 2 4 3 4" xfId="18624" xr:uid="{00000000-0005-0000-0000-0000AF450000}"/>
    <cellStyle name="Normal 2 2 2 2 2 2 2 2 4 3 5" xfId="18625" xr:uid="{00000000-0005-0000-0000-0000B0450000}"/>
    <cellStyle name="Normal 2 2 2 2 2 2 2 2 4 3 6" xfId="18626" xr:uid="{00000000-0005-0000-0000-0000B1450000}"/>
    <cellStyle name="Normal 2 2 2 2 2 2 2 2 4 4" xfId="18627" xr:uid="{00000000-0005-0000-0000-0000B2450000}"/>
    <cellStyle name="Normal 2 2 2 2 2 2 2 2 4 4 2" xfId="18628" xr:uid="{00000000-0005-0000-0000-0000B3450000}"/>
    <cellStyle name="Normal 2 2 2 2 2 2 2 2 4 4 3" xfId="18629" xr:uid="{00000000-0005-0000-0000-0000B4450000}"/>
    <cellStyle name="Normal 2 2 2 2 2 2 2 2 4 4 4" xfId="18630" xr:uid="{00000000-0005-0000-0000-0000B5450000}"/>
    <cellStyle name="Normal 2 2 2 2 2 2 2 2 4 4 5" xfId="18631" xr:uid="{00000000-0005-0000-0000-0000B6450000}"/>
    <cellStyle name="Normal 2 2 2 2 2 2 2 2 4 4 6" xfId="18632" xr:uid="{00000000-0005-0000-0000-0000B7450000}"/>
    <cellStyle name="Normal 2 2 2 2 2 2 2 2 4 5" xfId="18633" xr:uid="{00000000-0005-0000-0000-0000B8450000}"/>
    <cellStyle name="Normal 2 2 2 2 2 2 2 2 4 5 2" xfId="18634" xr:uid="{00000000-0005-0000-0000-0000B9450000}"/>
    <cellStyle name="Normal 2 2 2 2 2 2 2 2 4 5 3" xfId="18635" xr:uid="{00000000-0005-0000-0000-0000BA450000}"/>
    <cellStyle name="Normal 2 2 2 2 2 2 2 2 4 5 4" xfId="18636" xr:uid="{00000000-0005-0000-0000-0000BB450000}"/>
    <cellStyle name="Normal 2 2 2 2 2 2 2 2 4 5 5" xfId="18637" xr:uid="{00000000-0005-0000-0000-0000BC450000}"/>
    <cellStyle name="Normal 2 2 2 2 2 2 2 2 4 5 6" xfId="18638" xr:uid="{00000000-0005-0000-0000-0000BD450000}"/>
    <cellStyle name="Normal 2 2 2 2 2 2 2 2 4 6" xfId="18639" xr:uid="{00000000-0005-0000-0000-0000BE450000}"/>
    <cellStyle name="Normal 2 2 2 2 2 2 2 2 4 6 2" xfId="18640" xr:uid="{00000000-0005-0000-0000-0000BF450000}"/>
    <cellStyle name="Normal 2 2 2 2 2 2 2 2 4 6 3" xfId="18641" xr:uid="{00000000-0005-0000-0000-0000C0450000}"/>
    <cellStyle name="Normal 2 2 2 2 2 2 2 2 4 6 4" xfId="18642" xr:uid="{00000000-0005-0000-0000-0000C1450000}"/>
    <cellStyle name="Normal 2 2 2 2 2 2 2 2 4 6 5" xfId="18643" xr:uid="{00000000-0005-0000-0000-0000C2450000}"/>
    <cellStyle name="Normal 2 2 2 2 2 2 2 2 4 6 6" xfId="18644" xr:uid="{00000000-0005-0000-0000-0000C3450000}"/>
    <cellStyle name="Normal 2 2 2 2 2 2 2 2 4 7" xfId="18645" xr:uid="{00000000-0005-0000-0000-0000C4450000}"/>
    <cellStyle name="Normal 2 2 2 2 2 2 2 2 4 7 2" xfId="18646" xr:uid="{00000000-0005-0000-0000-0000C5450000}"/>
    <cellStyle name="Normal 2 2 2 2 2 2 2 2 4 7 3" xfId="18647" xr:uid="{00000000-0005-0000-0000-0000C6450000}"/>
    <cellStyle name="Normal 2 2 2 2 2 2 2 2 4 7 4" xfId="18648" xr:uid="{00000000-0005-0000-0000-0000C7450000}"/>
    <cellStyle name="Normal 2 2 2 2 2 2 2 2 4 7 5" xfId="18649" xr:uid="{00000000-0005-0000-0000-0000C8450000}"/>
    <cellStyle name="Normal 2 2 2 2 2 2 2 2 4 7 6" xfId="18650" xr:uid="{00000000-0005-0000-0000-0000C9450000}"/>
    <cellStyle name="Normal 2 2 2 2 2 2 2 2 4 8" xfId="18651" xr:uid="{00000000-0005-0000-0000-0000CA450000}"/>
    <cellStyle name="Normal 2 2 2 2 2 2 2 2 4 8 2" xfId="18652" xr:uid="{00000000-0005-0000-0000-0000CB450000}"/>
    <cellStyle name="Normal 2 2 2 2 2 2 2 2 4 8 3" xfId="18653" xr:uid="{00000000-0005-0000-0000-0000CC450000}"/>
    <cellStyle name="Normal 2 2 2 2 2 2 2 2 4 8 4" xfId="18654" xr:uid="{00000000-0005-0000-0000-0000CD450000}"/>
    <cellStyle name="Normal 2 2 2 2 2 2 2 2 4 8 5" xfId="18655" xr:uid="{00000000-0005-0000-0000-0000CE450000}"/>
    <cellStyle name="Normal 2 2 2 2 2 2 2 2 4 8 6" xfId="18656" xr:uid="{00000000-0005-0000-0000-0000CF450000}"/>
    <cellStyle name="Normal 2 2 2 2 2 2 2 2 4 9" xfId="18657" xr:uid="{00000000-0005-0000-0000-0000D0450000}"/>
    <cellStyle name="Normal 2 2 2 2 2 2 2 2 40" xfId="18658" xr:uid="{00000000-0005-0000-0000-0000D1450000}"/>
    <cellStyle name="Normal 2 2 2 2 2 2 2 2 41" xfId="18659" xr:uid="{00000000-0005-0000-0000-0000D2450000}"/>
    <cellStyle name="Normal 2 2 2 2 2 2 2 2 42" xfId="18660" xr:uid="{00000000-0005-0000-0000-0000D3450000}"/>
    <cellStyle name="Normal 2 2 2 2 2 2 2 2 43" xfId="18661" xr:uid="{00000000-0005-0000-0000-0000D4450000}"/>
    <cellStyle name="Normal 2 2 2 2 2 2 2 2 44" xfId="18662" xr:uid="{00000000-0005-0000-0000-0000D5450000}"/>
    <cellStyle name="Normal 2 2 2 2 2 2 2 2 45" xfId="18663" xr:uid="{00000000-0005-0000-0000-0000D6450000}"/>
    <cellStyle name="Normal 2 2 2 2 2 2 2 2 46" xfId="18664" xr:uid="{00000000-0005-0000-0000-0000D7450000}"/>
    <cellStyle name="Normal 2 2 2 2 2 2 2 2 47" xfId="18665" xr:uid="{00000000-0005-0000-0000-0000D8450000}"/>
    <cellStyle name="Normal 2 2 2 2 2 2 2 2 48" xfId="18666" xr:uid="{00000000-0005-0000-0000-0000D9450000}"/>
    <cellStyle name="Normal 2 2 2 2 2 2 2 2 49" xfId="18667" xr:uid="{00000000-0005-0000-0000-0000DA450000}"/>
    <cellStyle name="Normal 2 2 2 2 2 2 2 2 5" xfId="18668" xr:uid="{00000000-0005-0000-0000-0000DB450000}"/>
    <cellStyle name="Normal 2 2 2 2 2 2 2 2 5 10" xfId="18669" xr:uid="{00000000-0005-0000-0000-0000DC450000}"/>
    <cellStyle name="Normal 2 2 2 2 2 2 2 2 5 11" xfId="18670" xr:uid="{00000000-0005-0000-0000-0000DD450000}"/>
    <cellStyle name="Normal 2 2 2 2 2 2 2 2 5 12" xfId="18671" xr:uid="{00000000-0005-0000-0000-0000DE450000}"/>
    <cellStyle name="Normal 2 2 2 2 2 2 2 2 5 13" xfId="18672" xr:uid="{00000000-0005-0000-0000-0000DF450000}"/>
    <cellStyle name="Normal 2 2 2 2 2 2 2 2 5 2" xfId="18673" xr:uid="{00000000-0005-0000-0000-0000E0450000}"/>
    <cellStyle name="Normal 2 2 2 2 2 2 2 2 5 2 2" xfId="18674" xr:uid="{00000000-0005-0000-0000-0000E1450000}"/>
    <cellStyle name="Normal 2 2 2 2 2 2 2 2 5 2 3" xfId="18675" xr:uid="{00000000-0005-0000-0000-0000E2450000}"/>
    <cellStyle name="Normal 2 2 2 2 2 2 2 2 5 2 4" xfId="18676" xr:uid="{00000000-0005-0000-0000-0000E3450000}"/>
    <cellStyle name="Normal 2 2 2 2 2 2 2 2 5 2 5" xfId="18677" xr:uid="{00000000-0005-0000-0000-0000E4450000}"/>
    <cellStyle name="Normal 2 2 2 2 2 2 2 2 5 2 6" xfId="18678" xr:uid="{00000000-0005-0000-0000-0000E5450000}"/>
    <cellStyle name="Normal 2 2 2 2 2 2 2 2 5 3" xfId="18679" xr:uid="{00000000-0005-0000-0000-0000E6450000}"/>
    <cellStyle name="Normal 2 2 2 2 2 2 2 2 5 3 2" xfId="18680" xr:uid="{00000000-0005-0000-0000-0000E7450000}"/>
    <cellStyle name="Normal 2 2 2 2 2 2 2 2 5 3 3" xfId="18681" xr:uid="{00000000-0005-0000-0000-0000E8450000}"/>
    <cellStyle name="Normal 2 2 2 2 2 2 2 2 5 3 4" xfId="18682" xr:uid="{00000000-0005-0000-0000-0000E9450000}"/>
    <cellStyle name="Normal 2 2 2 2 2 2 2 2 5 3 5" xfId="18683" xr:uid="{00000000-0005-0000-0000-0000EA450000}"/>
    <cellStyle name="Normal 2 2 2 2 2 2 2 2 5 3 6" xfId="18684" xr:uid="{00000000-0005-0000-0000-0000EB450000}"/>
    <cellStyle name="Normal 2 2 2 2 2 2 2 2 5 4" xfId="18685" xr:uid="{00000000-0005-0000-0000-0000EC450000}"/>
    <cellStyle name="Normal 2 2 2 2 2 2 2 2 5 4 2" xfId="18686" xr:uid="{00000000-0005-0000-0000-0000ED450000}"/>
    <cellStyle name="Normal 2 2 2 2 2 2 2 2 5 4 3" xfId="18687" xr:uid="{00000000-0005-0000-0000-0000EE450000}"/>
    <cellStyle name="Normal 2 2 2 2 2 2 2 2 5 4 4" xfId="18688" xr:uid="{00000000-0005-0000-0000-0000EF450000}"/>
    <cellStyle name="Normal 2 2 2 2 2 2 2 2 5 4 5" xfId="18689" xr:uid="{00000000-0005-0000-0000-0000F0450000}"/>
    <cellStyle name="Normal 2 2 2 2 2 2 2 2 5 4 6" xfId="18690" xr:uid="{00000000-0005-0000-0000-0000F1450000}"/>
    <cellStyle name="Normal 2 2 2 2 2 2 2 2 5 5" xfId="18691" xr:uid="{00000000-0005-0000-0000-0000F2450000}"/>
    <cellStyle name="Normal 2 2 2 2 2 2 2 2 5 5 2" xfId="18692" xr:uid="{00000000-0005-0000-0000-0000F3450000}"/>
    <cellStyle name="Normal 2 2 2 2 2 2 2 2 5 5 3" xfId="18693" xr:uid="{00000000-0005-0000-0000-0000F4450000}"/>
    <cellStyle name="Normal 2 2 2 2 2 2 2 2 5 5 4" xfId="18694" xr:uid="{00000000-0005-0000-0000-0000F5450000}"/>
    <cellStyle name="Normal 2 2 2 2 2 2 2 2 5 5 5" xfId="18695" xr:uid="{00000000-0005-0000-0000-0000F6450000}"/>
    <cellStyle name="Normal 2 2 2 2 2 2 2 2 5 5 6" xfId="18696" xr:uid="{00000000-0005-0000-0000-0000F7450000}"/>
    <cellStyle name="Normal 2 2 2 2 2 2 2 2 5 6" xfId="18697" xr:uid="{00000000-0005-0000-0000-0000F8450000}"/>
    <cellStyle name="Normal 2 2 2 2 2 2 2 2 5 6 2" xfId="18698" xr:uid="{00000000-0005-0000-0000-0000F9450000}"/>
    <cellStyle name="Normal 2 2 2 2 2 2 2 2 5 6 3" xfId="18699" xr:uid="{00000000-0005-0000-0000-0000FA450000}"/>
    <cellStyle name="Normal 2 2 2 2 2 2 2 2 5 6 4" xfId="18700" xr:uid="{00000000-0005-0000-0000-0000FB450000}"/>
    <cellStyle name="Normal 2 2 2 2 2 2 2 2 5 6 5" xfId="18701" xr:uid="{00000000-0005-0000-0000-0000FC450000}"/>
    <cellStyle name="Normal 2 2 2 2 2 2 2 2 5 6 6" xfId="18702" xr:uid="{00000000-0005-0000-0000-0000FD450000}"/>
    <cellStyle name="Normal 2 2 2 2 2 2 2 2 5 7" xfId="18703" xr:uid="{00000000-0005-0000-0000-0000FE450000}"/>
    <cellStyle name="Normal 2 2 2 2 2 2 2 2 5 7 2" xfId="18704" xr:uid="{00000000-0005-0000-0000-0000FF450000}"/>
    <cellStyle name="Normal 2 2 2 2 2 2 2 2 5 7 3" xfId="18705" xr:uid="{00000000-0005-0000-0000-000000460000}"/>
    <cellStyle name="Normal 2 2 2 2 2 2 2 2 5 7 4" xfId="18706" xr:uid="{00000000-0005-0000-0000-000001460000}"/>
    <cellStyle name="Normal 2 2 2 2 2 2 2 2 5 7 5" xfId="18707" xr:uid="{00000000-0005-0000-0000-000002460000}"/>
    <cellStyle name="Normal 2 2 2 2 2 2 2 2 5 7 6" xfId="18708" xr:uid="{00000000-0005-0000-0000-000003460000}"/>
    <cellStyle name="Normal 2 2 2 2 2 2 2 2 5 8" xfId="18709" xr:uid="{00000000-0005-0000-0000-000004460000}"/>
    <cellStyle name="Normal 2 2 2 2 2 2 2 2 5 8 2" xfId="18710" xr:uid="{00000000-0005-0000-0000-000005460000}"/>
    <cellStyle name="Normal 2 2 2 2 2 2 2 2 5 8 3" xfId="18711" xr:uid="{00000000-0005-0000-0000-000006460000}"/>
    <cellStyle name="Normal 2 2 2 2 2 2 2 2 5 8 4" xfId="18712" xr:uid="{00000000-0005-0000-0000-000007460000}"/>
    <cellStyle name="Normal 2 2 2 2 2 2 2 2 5 8 5" xfId="18713" xr:uid="{00000000-0005-0000-0000-000008460000}"/>
    <cellStyle name="Normal 2 2 2 2 2 2 2 2 5 8 6" xfId="18714" xr:uid="{00000000-0005-0000-0000-000009460000}"/>
    <cellStyle name="Normal 2 2 2 2 2 2 2 2 5 9" xfId="18715" xr:uid="{00000000-0005-0000-0000-00000A460000}"/>
    <cellStyle name="Normal 2 2 2 2 2 2 2 2 50" xfId="18716" xr:uid="{00000000-0005-0000-0000-00000B460000}"/>
    <cellStyle name="Normal 2 2 2 2 2 2 2 2 51" xfId="18717" xr:uid="{00000000-0005-0000-0000-00000C460000}"/>
    <cellStyle name="Normal 2 2 2 2 2 2 2 2 51 2" xfId="18718" xr:uid="{00000000-0005-0000-0000-00000D460000}"/>
    <cellStyle name="Normal 2 2 2 2 2 2 2 2 51 3" xfId="18719" xr:uid="{00000000-0005-0000-0000-00000E460000}"/>
    <cellStyle name="Normal 2 2 2 2 2 2 2 2 51 4" xfId="18720" xr:uid="{00000000-0005-0000-0000-00000F460000}"/>
    <cellStyle name="Normal 2 2 2 2 2 2 2 2 51 5" xfId="18721" xr:uid="{00000000-0005-0000-0000-000010460000}"/>
    <cellStyle name="Normal 2 2 2 2 2 2 2 2 51 6" xfId="18722" xr:uid="{00000000-0005-0000-0000-000011460000}"/>
    <cellStyle name="Normal 2 2 2 2 2 2 2 2 51 7" xfId="18723" xr:uid="{00000000-0005-0000-0000-000012460000}"/>
    <cellStyle name="Normal 2 2 2 2 2 2 2 2 52" xfId="18724" xr:uid="{00000000-0005-0000-0000-000013460000}"/>
    <cellStyle name="Normal 2 2 2 2 2 2 2 2 52 10" xfId="18725" xr:uid="{00000000-0005-0000-0000-000014460000}"/>
    <cellStyle name="Normal 2 2 2 2 2 2 2 2 52 11" xfId="18726" xr:uid="{00000000-0005-0000-0000-000015460000}"/>
    <cellStyle name="Normal 2 2 2 2 2 2 2 2 52 2" xfId="18727" xr:uid="{00000000-0005-0000-0000-000016460000}"/>
    <cellStyle name="Normal 2 2 2 2 2 2 2 2 52 2 2" xfId="18728" xr:uid="{00000000-0005-0000-0000-000017460000}"/>
    <cellStyle name="Normal 2 2 2 2 2 2 2 2 52 2 2 2" xfId="18729" xr:uid="{00000000-0005-0000-0000-000018460000}"/>
    <cellStyle name="Normal 2 2 2 2 2 2 2 2 52 2 2 3" xfId="18730" xr:uid="{00000000-0005-0000-0000-000019460000}"/>
    <cellStyle name="Normal 2 2 2 2 2 2 2 2 52 2 3" xfId="18731" xr:uid="{00000000-0005-0000-0000-00001A460000}"/>
    <cellStyle name="Normal 2 2 2 2 2 2 2 2 52 2 4" xfId="18732" xr:uid="{00000000-0005-0000-0000-00001B460000}"/>
    <cellStyle name="Normal 2 2 2 2 2 2 2 2 52 2 5" xfId="18733" xr:uid="{00000000-0005-0000-0000-00001C460000}"/>
    <cellStyle name="Normal 2 2 2 2 2 2 2 2 52 2 6" xfId="18734" xr:uid="{00000000-0005-0000-0000-00001D460000}"/>
    <cellStyle name="Normal 2 2 2 2 2 2 2 2 52 2 7" xfId="18735" xr:uid="{00000000-0005-0000-0000-00001E460000}"/>
    <cellStyle name="Normal 2 2 2 2 2 2 2 2 52 2 8" xfId="18736" xr:uid="{00000000-0005-0000-0000-00001F460000}"/>
    <cellStyle name="Normal 2 2 2 2 2 2 2 2 52 2 9" xfId="18737" xr:uid="{00000000-0005-0000-0000-000020460000}"/>
    <cellStyle name="Normal 2 2 2 2 2 2 2 2 52 3" xfId="18738" xr:uid="{00000000-0005-0000-0000-000021460000}"/>
    <cellStyle name="Normal 2 2 2 2 2 2 2 2 52 4" xfId="18739" xr:uid="{00000000-0005-0000-0000-000022460000}"/>
    <cellStyle name="Normal 2 2 2 2 2 2 2 2 52 5" xfId="18740" xr:uid="{00000000-0005-0000-0000-000023460000}"/>
    <cellStyle name="Normal 2 2 2 2 2 2 2 2 52 5 2" xfId="18741" xr:uid="{00000000-0005-0000-0000-000024460000}"/>
    <cellStyle name="Normal 2 2 2 2 2 2 2 2 52 5 3" xfId="18742" xr:uid="{00000000-0005-0000-0000-000025460000}"/>
    <cellStyle name="Normal 2 2 2 2 2 2 2 2 52 6" xfId="18743" xr:uid="{00000000-0005-0000-0000-000026460000}"/>
    <cellStyle name="Normal 2 2 2 2 2 2 2 2 52 7" xfId="18744" xr:uid="{00000000-0005-0000-0000-000027460000}"/>
    <cellStyle name="Normal 2 2 2 2 2 2 2 2 52 8" xfId="18745" xr:uid="{00000000-0005-0000-0000-000028460000}"/>
    <cellStyle name="Normal 2 2 2 2 2 2 2 2 52 9" xfId="18746" xr:uid="{00000000-0005-0000-0000-000029460000}"/>
    <cellStyle name="Normal 2 2 2 2 2 2 2 2 53" xfId="18747" xr:uid="{00000000-0005-0000-0000-00002A460000}"/>
    <cellStyle name="Normal 2 2 2 2 2 2 2 2 54" xfId="18748" xr:uid="{00000000-0005-0000-0000-00002B460000}"/>
    <cellStyle name="Normal 2 2 2 2 2 2 2 2 55" xfId="18749" xr:uid="{00000000-0005-0000-0000-00002C460000}"/>
    <cellStyle name="Normal 2 2 2 2 2 2 2 2 55 2" xfId="18750" xr:uid="{00000000-0005-0000-0000-00002D460000}"/>
    <cellStyle name="Normal 2 2 2 2 2 2 2 2 55 2 2" xfId="18751" xr:uid="{00000000-0005-0000-0000-00002E460000}"/>
    <cellStyle name="Normal 2 2 2 2 2 2 2 2 55 2 3" xfId="18752" xr:uid="{00000000-0005-0000-0000-00002F460000}"/>
    <cellStyle name="Normal 2 2 2 2 2 2 2 2 55 3" xfId="18753" xr:uid="{00000000-0005-0000-0000-000030460000}"/>
    <cellStyle name="Normal 2 2 2 2 2 2 2 2 55 4" xfId="18754" xr:uid="{00000000-0005-0000-0000-000031460000}"/>
    <cellStyle name="Normal 2 2 2 2 2 2 2 2 55 5" xfId="18755" xr:uid="{00000000-0005-0000-0000-000032460000}"/>
    <cellStyle name="Normal 2 2 2 2 2 2 2 2 55 6" xfId="18756" xr:uid="{00000000-0005-0000-0000-000033460000}"/>
    <cellStyle name="Normal 2 2 2 2 2 2 2 2 55 7" xfId="18757" xr:uid="{00000000-0005-0000-0000-000034460000}"/>
    <cellStyle name="Normal 2 2 2 2 2 2 2 2 55 8" xfId="18758" xr:uid="{00000000-0005-0000-0000-000035460000}"/>
    <cellStyle name="Normal 2 2 2 2 2 2 2 2 55 9" xfId="18759" xr:uid="{00000000-0005-0000-0000-000036460000}"/>
    <cellStyle name="Normal 2 2 2 2 2 2 2 2 56" xfId="18760" xr:uid="{00000000-0005-0000-0000-000037460000}"/>
    <cellStyle name="Normal 2 2 2 2 2 2 2 2 57" xfId="18761" xr:uid="{00000000-0005-0000-0000-000038460000}"/>
    <cellStyle name="Normal 2 2 2 2 2 2 2 2 57 2" xfId="18762" xr:uid="{00000000-0005-0000-0000-000039460000}"/>
    <cellStyle name="Normal 2 2 2 2 2 2 2 2 57 3" xfId="18763" xr:uid="{00000000-0005-0000-0000-00003A460000}"/>
    <cellStyle name="Normal 2 2 2 2 2 2 2 2 58" xfId="18764" xr:uid="{00000000-0005-0000-0000-00003B460000}"/>
    <cellStyle name="Normal 2 2 2 2 2 2 2 2 59" xfId="18765" xr:uid="{00000000-0005-0000-0000-00003C460000}"/>
    <cellStyle name="Normal 2 2 2 2 2 2 2 2 6" xfId="18766" xr:uid="{00000000-0005-0000-0000-00003D460000}"/>
    <cellStyle name="Normal 2 2 2 2 2 2 2 2 6 10" xfId="18767" xr:uid="{00000000-0005-0000-0000-00003E460000}"/>
    <cellStyle name="Normal 2 2 2 2 2 2 2 2 6 11" xfId="18768" xr:uid="{00000000-0005-0000-0000-00003F460000}"/>
    <cellStyle name="Normal 2 2 2 2 2 2 2 2 6 12" xfId="18769" xr:uid="{00000000-0005-0000-0000-000040460000}"/>
    <cellStyle name="Normal 2 2 2 2 2 2 2 2 6 13" xfId="18770" xr:uid="{00000000-0005-0000-0000-000041460000}"/>
    <cellStyle name="Normal 2 2 2 2 2 2 2 2 6 2" xfId="18771" xr:uid="{00000000-0005-0000-0000-000042460000}"/>
    <cellStyle name="Normal 2 2 2 2 2 2 2 2 6 2 2" xfId="18772" xr:uid="{00000000-0005-0000-0000-000043460000}"/>
    <cellStyle name="Normal 2 2 2 2 2 2 2 2 6 2 3" xfId="18773" xr:uid="{00000000-0005-0000-0000-000044460000}"/>
    <cellStyle name="Normal 2 2 2 2 2 2 2 2 6 2 4" xfId="18774" xr:uid="{00000000-0005-0000-0000-000045460000}"/>
    <cellStyle name="Normal 2 2 2 2 2 2 2 2 6 2 5" xfId="18775" xr:uid="{00000000-0005-0000-0000-000046460000}"/>
    <cellStyle name="Normal 2 2 2 2 2 2 2 2 6 2 6" xfId="18776" xr:uid="{00000000-0005-0000-0000-000047460000}"/>
    <cellStyle name="Normal 2 2 2 2 2 2 2 2 6 3" xfId="18777" xr:uid="{00000000-0005-0000-0000-000048460000}"/>
    <cellStyle name="Normal 2 2 2 2 2 2 2 2 6 3 2" xfId="18778" xr:uid="{00000000-0005-0000-0000-000049460000}"/>
    <cellStyle name="Normal 2 2 2 2 2 2 2 2 6 3 3" xfId="18779" xr:uid="{00000000-0005-0000-0000-00004A460000}"/>
    <cellStyle name="Normal 2 2 2 2 2 2 2 2 6 3 4" xfId="18780" xr:uid="{00000000-0005-0000-0000-00004B460000}"/>
    <cellStyle name="Normal 2 2 2 2 2 2 2 2 6 3 5" xfId="18781" xr:uid="{00000000-0005-0000-0000-00004C460000}"/>
    <cellStyle name="Normal 2 2 2 2 2 2 2 2 6 3 6" xfId="18782" xr:uid="{00000000-0005-0000-0000-00004D460000}"/>
    <cellStyle name="Normal 2 2 2 2 2 2 2 2 6 4" xfId="18783" xr:uid="{00000000-0005-0000-0000-00004E460000}"/>
    <cellStyle name="Normal 2 2 2 2 2 2 2 2 6 4 2" xfId="18784" xr:uid="{00000000-0005-0000-0000-00004F460000}"/>
    <cellStyle name="Normal 2 2 2 2 2 2 2 2 6 4 3" xfId="18785" xr:uid="{00000000-0005-0000-0000-000050460000}"/>
    <cellStyle name="Normal 2 2 2 2 2 2 2 2 6 4 4" xfId="18786" xr:uid="{00000000-0005-0000-0000-000051460000}"/>
    <cellStyle name="Normal 2 2 2 2 2 2 2 2 6 4 5" xfId="18787" xr:uid="{00000000-0005-0000-0000-000052460000}"/>
    <cellStyle name="Normal 2 2 2 2 2 2 2 2 6 4 6" xfId="18788" xr:uid="{00000000-0005-0000-0000-000053460000}"/>
    <cellStyle name="Normal 2 2 2 2 2 2 2 2 6 5" xfId="18789" xr:uid="{00000000-0005-0000-0000-000054460000}"/>
    <cellStyle name="Normal 2 2 2 2 2 2 2 2 6 5 2" xfId="18790" xr:uid="{00000000-0005-0000-0000-000055460000}"/>
    <cellStyle name="Normal 2 2 2 2 2 2 2 2 6 5 3" xfId="18791" xr:uid="{00000000-0005-0000-0000-000056460000}"/>
    <cellStyle name="Normal 2 2 2 2 2 2 2 2 6 5 4" xfId="18792" xr:uid="{00000000-0005-0000-0000-000057460000}"/>
    <cellStyle name="Normal 2 2 2 2 2 2 2 2 6 5 5" xfId="18793" xr:uid="{00000000-0005-0000-0000-000058460000}"/>
    <cellStyle name="Normal 2 2 2 2 2 2 2 2 6 5 6" xfId="18794" xr:uid="{00000000-0005-0000-0000-000059460000}"/>
    <cellStyle name="Normal 2 2 2 2 2 2 2 2 6 6" xfId="18795" xr:uid="{00000000-0005-0000-0000-00005A460000}"/>
    <cellStyle name="Normal 2 2 2 2 2 2 2 2 6 6 2" xfId="18796" xr:uid="{00000000-0005-0000-0000-00005B460000}"/>
    <cellStyle name="Normal 2 2 2 2 2 2 2 2 6 6 3" xfId="18797" xr:uid="{00000000-0005-0000-0000-00005C460000}"/>
    <cellStyle name="Normal 2 2 2 2 2 2 2 2 6 6 4" xfId="18798" xr:uid="{00000000-0005-0000-0000-00005D460000}"/>
    <cellStyle name="Normal 2 2 2 2 2 2 2 2 6 6 5" xfId="18799" xr:uid="{00000000-0005-0000-0000-00005E460000}"/>
    <cellStyle name="Normal 2 2 2 2 2 2 2 2 6 6 6" xfId="18800" xr:uid="{00000000-0005-0000-0000-00005F460000}"/>
    <cellStyle name="Normal 2 2 2 2 2 2 2 2 6 7" xfId="18801" xr:uid="{00000000-0005-0000-0000-000060460000}"/>
    <cellStyle name="Normal 2 2 2 2 2 2 2 2 6 7 2" xfId="18802" xr:uid="{00000000-0005-0000-0000-000061460000}"/>
    <cellStyle name="Normal 2 2 2 2 2 2 2 2 6 7 3" xfId="18803" xr:uid="{00000000-0005-0000-0000-000062460000}"/>
    <cellStyle name="Normal 2 2 2 2 2 2 2 2 6 7 4" xfId="18804" xr:uid="{00000000-0005-0000-0000-000063460000}"/>
    <cellStyle name="Normal 2 2 2 2 2 2 2 2 6 7 5" xfId="18805" xr:uid="{00000000-0005-0000-0000-000064460000}"/>
    <cellStyle name="Normal 2 2 2 2 2 2 2 2 6 7 6" xfId="18806" xr:uid="{00000000-0005-0000-0000-000065460000}"/>
    <cellStyle name="Normal 2 2 2 2 2 2 2 2 6 8" xfId="18807" xr:uid="{00000000-0005-0000-0000-000066460000}"/>
    <cellStyle name="Normal 2 2 2 2 2 2 2 2 6 8 2" xfId="18808" xr:uid="{00000000-0005-0000-0000-000067460000}"/>
    <cellStyle name="Normal 2 2 2 2 2 2 2 2 6 8 3" xfId="18809" xr:uid="{00000000-0005-0000-0000-000068460000}"/>
    <cellStyle name="Normal 2 2 2 2 2 2 2 2 6 8 4" xfId="18810" xr:uid="{00000000-0005-0000-0000-000069460000}"/>
    <cellStyle name="Normal 2 2 2 2 2 2 2 2 6 8 5" xfId="18811" xr:uid="{00000000-0005-0000-0000-00006A460000}"/>
    <cellStyle name="Normal 2 2 2 2 2 2 2 2 6 8 6" xfId="18812" xr:uid="{00000000-0005-0000-0000-00006B460000}"/>
    <cellStyle name="Normal 2 2 2 2 2 2 2 2 6 9" xfId="18813" xr:uid="{00000000-0005-0000-0000-00006C460000}"/>
    <cellStyle name="Normal 2 2 2 2 2 2 2 2 60" xfId="18814" xr:uid="{00000000-0005-0000-0000-00006D460000}"/>
    <cellStyle name="Normal 2 2 2 2 2 2 2 2 61" xfId="18815" xr:uid="{00000000-0005-0000-0000-00006E460000}"/>
    <cellStyle name="Normal 2 2 2 2 2 2 2 2 62" xfId="18816" xr:uid="{00000000-0005-0000-0000-00006F460000}"/>
    <cellStyle name="Normal 2 2 2 2 2 2 2 2 63" xfId="18817" xr:uid="{00000000-0005-0000-0000-000070460000}"/>
    <cellStyle name="Normal 2 2 2 2 2 2 2 2 7" xfId="18818" xr:uid="{00000000-0005-0000-0000-000071460000}"/>
    <cellStyle name="Normal 2 2 2 2 2 2 2 2 7 10" xfId="18819" xr:uid="{00000000-0005-0000-0000-000072460000}"/>
    <cellStyle name="Normal 2 2 2 2 2 2 2 2 7 11" xfId="18820" xr:uid="{00000000-0005-0000-0000-000073460000}"/>
    <cellStyle name="Normal 2 2 2 2 2 2 2 2 7 12" xfId="18821" xr:uid="{00000000-0005-0000-0000-000074460000}"/>
    <cellStyle name="Normal 2 2 2 2 2 2 2 2 7 13" xfId="18822" xr:uid="{00000000-0005-0000-0000-000075460000}"/>
    <cellStyle name="Normal 2 2 2 2 2 2 2 2 7 2" xfId="18823" xr:uid="{00000000-0005-0000-0000-000076460000}"/>
    <cellStyle name="Normal 2 2 2 2 2 2 2 2 7 2 2" xfId="18824" xr:uid="{00000000-0005-0000-0000-000077460000}"/>
    <cellStyle name="Normal 2 2 2 2 2 2 2 2 7 2 3" xfId="18825" xr:uid="{00000000-0005-0000-0000-000078460000}"/>
    <cellStyle name="Normal 2 2 2 2 2 2 2 2 7 2 4" xfId="18826" xr:uid="{00000000-0005-0000-0000-000079460000}"/>
    <cellStyle name="Normal 2 2 2 2 2 2 2 2 7 2 5" xfId="18827" xr:uid="{00000000-0005-0000-0000-00007A460000}"/>
    <cellStyle name="Normal 2 2 2 2 2 2 2 2 7 2 6" xfId="18828" xr:uid="{00000000-0005-0000-0000-00007B460000}"/>
    <cellStyle name="Normal 2 2 2 2 2 2 2 2 7 3" xfId="18829" xr:uid="{00000000-0005-0000-0000-00007C460000}"/>
    <cellStyle name="Normal 2 2 2 2 2 2 2 2 7 3 2" xfId="18830" xr:uid="{00000000-0005-0000-0000-00007D460000}"/>
    <cellStyle name="Normal 2 2 2 2 2 2 2 2 7 3 3" xfId="18831" xr:uid="{00000000-0005-0000-0000-00007E460000}"/>
    <cellStyle name="Normal 2 2 2 2 2 2 2 2 7 3 4" xfId="18832" xr:uid="{00000000-0005-0000-0000-00007F460000}"/>
    <cellStyle name="Normal 2 2 2 2 2 2 2 2 7 3 5" xfId="18833" xr:uid="{00000000-0005-0000-0000-000080460000}"/>
    <cellStyle name="Normal 2 2 2 2 2 2 2 2 7 3 6" xfId="18834" xr:uid="{00000000-0005-0000-0000-000081460000}"/>
    <cellStyle name="Normal 2 2 2 2 2 2 2 2 7 4" xfId="18835" xr:uid="{00000000-0005-0000-0000-000082460000}"/>
    <cellStyle name="Normal 2 2 2 2 2 2 2 2 7 4 2" xfId="18836" xr:uid="{00000000-0005-0000-0000-000083460000}"/>
    <cellStyle name="Normal 2 2 2 2 2 2 2 2 7 4 3" xfId="18837" xr:uid="{00000000-0005-0000-0000-000084460000}"/>
    <cellStyle name="Normal 2 2 2 2 2 2 2 2 7 4 4" xfId="18838" xr:uid="{00000000-0005-0000-0000-000085460000}"/>
    <cellStyle name="Normal 2 2 2 2 2 2 2 2 7 4 5" xfId="18839" xr:uid="{00000000-0005-0000-0000-000086460000}"/>
    <cellStyle name="Normal 2 2 2 2 2 2 2 2 7 4 6" xfId="18840" xr:uid="{00000000-0005-0000-0000-000087460000}"/>
    <cellStyle name="Normal 2 2 2 2 2 2 2 2 7 5" xfId="18841" xr:uid="{00000000-0005-0000-0000-000088460000}"/>
    <cellStyle name="Normal 2 2 2 2 2 2 2 2 7 5 2" xfId="18842" xr:uid="{00000000-0005-0000-0000-000089460000}"/>
    <cellStyle name="Normal 2 2 2 2 2 2 2 2 7 5 3" xfId="18843" xr:uid="{00000000-0005-0000-0000-00008A460000}"/>
    <cellStyle name="Normal 2 2 2 2 2 2 2 2 7 5 4" xfId="18844" xr:uid="{00000000-0005-0000-0000-00008B460000}"/>
    <cellStyle name="Normal 2 2 2 2 2 2 2 2 7 5 5" xfId="18845" xr:uid="{00000000-0005-0000-0000-00008C460000}"/>
    <cellStyle name="Normal 2 2 2 2 2 2 2 2 7 5 6" xfId="18846" xr:uid="{00000000-0005-0000-0000-00008D460000}"/>
    <cellStyle name="Normal 2 2 2 2 2 2 2 2 7 6" xfId="18847" xr:uid="{00000000-0005-0000-0000-00008E460000}"/>
    <cellStyle name="Normal 2 2 2 2 2 2 2 2 7 6 2" xfId="18848" xr:uid="{00000000-0005-0000-0000-00008F460000}"/>
    <cellStyle name="Normal 2 2 2 2 2 2 2 2 7 6 3" xfId="18849" xr:uid="{00000000-0005-0000-0000-000090460000}"/>
    <cellStyle name="Normal 2 2 2 2 2 2 2 2 7 6 4" xfId="18850" xr:uid="{00000000-0005-0000-0000-000091460000}"/>
    <cellStyle name="Normal 2 2 2 2 2 2 2 2 7 6 5" xfId="18851" xr:uid="{00000000-0005-0000-0000-000092460000}"/>
    <cellStyle name="Normal 2 2 2 2 2 2 2 2 7 6 6" xfId="18852" xr:uid="{00000000-0005-0000-0000-000093460000}"/>
    <cellStyle name="Normal 2 2 2 2 2 2 2 2 7 7" xfId="18853" xr:uid="{00000000-0005-0000-0000-000094460000}"/>
    <cellStyle name="Normal 2 2 2 2 2 2 2 2 7 7 2" xfId="18854" xr:uid="{00000000-0005-0000-0000-000095460000}"/>
    <cellStyle name="Normal 2 2 2 2 2 2 2 2 7 7 3" xfId="18855" xr:uid="{00000000-0005-0000-0000-000096460000}"/>
    <cellStyle name="Normal 2 2 2 2 2 2 2 2 7 7 4" xfId="18856" xr:uid="{00000000-0005-0000-0000-000097460000}"/>
    <cellStyle name="Normal 2 2 2 2 2 2 2 2 7 7 5" xfId="18857" xr:uid="{00000000-0005-0000-0000-000098460000}"/>
    <cellStyle name="Normal 2 2 2 2 2 2 2 2 7 7 6" xfId="18858" xr:uid="{00000000-0005-0000-0000-000099460000}"/>
    <cellStyle name="Normal 2 2 2 2 2 2 2 2 7 8" xfId="18859" xr:uid="{00000000-0005-0000-0000-00009A460000}"/>
    <cellStyle name="Normal 2 2 2 2 2 2 2 2 7 8 2" xfId="18860" xr:uid="{00000000-0005-0000-0000-00009B460000}"/>
    <cellStyle name="Normal 2 2 2 2 2 2 2 2 7 8 3" xfId="18861" xr:uid="{00000000-0005-0000-0000-00009C460000}"/>
    <cellStyle name="Normal 2 2 2 2 2 2 2 2 7 8 4" xfId="18862" xr:uid="{00000000-0005-0000-0000-00009D460000}"/>
    <cellStyle name="Normal 2 2 2 2 2 2 2 2 7 8 5" xfId="18863" xr:uid="{00000000-0005-0000-0000-00009E460000}"/>
    <cellStyle name="Normal 2 2 2 2 2 2 2 2 7 8 6" xfId="18864" xr:uid="{00000000-0005-0000-0000-00009F460000}"/>
    <cellStyle name="Normal 2 2 2 2 2 2 2 2 7 9" xfId="18865" xr:uid="{00000000-0005-0000-0000-0000A0460000}"/>
    <cellStyle name="Normal 2 2 2 2 2 2 2 2 8" xfId="18866" xr:uid="{00000000-0005-0000-0000-0000A1460000}"/>
    <cellStyle name="Normal 2 2 2 2 2 2 2 2 8 10" xfId="18867" xr:uid="{00000000-0005-0000-0000-0000A2460000}"/>
    <cellStyle name="Normal 2 2 2 2 2 2 2 2 8 11" xfId="18868" xr:uid="{00000000-0005-0000-0000-0000A3460000}"/>
    <cellStyle name="Normal 2 2 2 2 2 2 2 2 8 12" xfId="18869" xr:uid="{00000000-0005-0000-0000-0000A4460000}"/>
    <cellStyle name="Normal 2 2 2 2 2 2 2 2 8 13" xfId="18870" xr:uid="{00000000-0005-0000-0000-0000A5460000}"/>
    <cellStyle name="Normal 2 2 2 2 2 2 2 2 8 2" xfId="18871" xr:uid="{00000000-0005-0000-0000-0000A6460000}"/>
    <cellStyle name="Normal 2 2 2 2 2 2 2 2 8 2 2" xfId="18872" xr:uid="{00000000-0005-0000-0000-0000A7460000}"/>
    <cellStyle name="Normal 2 2 2 2 2 2 2 2 8 2 3" xfId="18873" xr:uid="{00000000-0005-0000-0000-0000A8460000}"/>
    <cellStyle name="Normal 2 2 2 2 2 2 2 2 8 2 4" xfId="18874" xr:uid="{00000000-0005-0000-0000-0000A9460000}"/>
    <cellStyle name="Normal 2 2 2 2 2 2 2 2 8 2 5" xfId="18875" xr:uid="{00000000-0005-0000-0000-0000AA460000}"/>
    <cellStyle name="Normal 2 2 2 2 2 2 2 2 8 2 6" xfId="18876" xr:uid="{00000000-0005-0000-0000-0000AB460000}"/>
    <cellStyle name="Normal 2 2 2 2 2 2 2 2 8 3" xfId="18877" xr:uid="{00000000-0005-0000-0000-0000AC460000}"/>
    <cellStyle name="Normal 2 2 2 2 2 2 2 2 8 3 2" xfId="18878" xr:uid="{00000000-0005-0000-0000-0000AD460000}"/>
    <cellStyle name="Normal 2 2 2 2 2 2 2 2 8 3 3" xfId="18879" xr:uid="{00000000-0005-0000-0000-0000AE460000}"/>
    <cellStyle name="Normal 2 2 2 2 2 2 2 2 8 3 4" xfId="18880" xr:uid="{00000000-0005-0000-0000-0000AF460000}"/>
    <cellStyle name="Normal 2 2 2 2 2 2 2 2 8 3 5" xfId="18881" xr:uid="{00000000-0005-0000-0000-0000B0460000}"/>
    <cellStyle name="Normal 2 2 2 2 2 2 2 2 8 3 6" xfId="18882" xr:uid="{00000000-0005-0000-0000-0000B1460000}"/>
    <cellStyle name="Normal 2 2 2 2 2 2 2 2 8 4" xfId="18883" xr:uid="{00000000-0005-0000-0000-0000B2460000}"/>
    <cellStyle name="Normal 2 2 2 2 2 2 2 2 8 4 2" xfId="18884" xr:uid="{00000000-0005-0000-0000-0000B3460000}"/>
    <cellStyle name="Normal 2 2 2 2 2 2 2 2 8 4 3" xfId="18885" xr:uid="{00000000-0005-0000-0000-0000B4460000}"/>
    <cellStyle name="Normal 2 2 2 2 2 2 2 2 8 4 4" xfId="18886" xr:uid="{00000000-0005-0000-0000-0000B5460000}"/>
    <cellStyle name="Normal 2 2 2 2 2 2 2 2 8 4 5" xfId="18887" xr:uid="{00000000-0005-0000-0000-0000B6460000}"/>
    <cellStyle name="Normal 2 2 2 2 2 2 2 2 8 4 6" xfId="18888" xr:uid="{00000000-0005-0000-0000-0000B7460000}"/>
    <cellStyle name="Normal 2 2 2 2 2 2 2 2 8 5" xfId="18889" xr:uid="{00000000-0005-0000-0000-0000B8460000}"/>
    <cellStyle name="Normal 2 2 2 2 2 2 2 2 8 5 2" xfId="18890" xr:uid="{00000000-0005-0000-0000-0000B9460000}"/>
    <cellStyle name="Normal 2 2 2 2 2 2 2 2 8 5 3" xfId="18891" xr:uid="{00000000-0005-0000-0000-0000BA460000}"/>
    <cellStyle name="Normal 2 2 2 2 2 2 2 2 8 5 4" xfId="18892" xr:uid="{00000000-0005-0000-0000-0000BB460000}"/>
    <cellStyle name="Normal 2 2 2 2 2 2 2 2 8 5 5" xfId="18893" xr:uid="{00000000-0005-0000-0000-0000BC460000}"/>
    <cellStyle name="Normal 2 2 2 2 2 2 2 2 8 5 6" xfId="18894" xr:uid="{00000000-0005-0000-0000-0000BD460000}"/>
    <cellStyle name="Normal 2 2 2 2 2 2 2 2 8 6" xfId="18895" xr:uid="{00000000-0005-0000-0000-0000BE460000}"/>
    <cellStyle name="Normal 2 2 2 2 2 2 2 2 8 6 2" xfId="18896" xr:uid="{00000000-0005-0000-0000-0000BF460000}"/>
    <cellStyle name="Normal 2 2 2 2 2 2 2 2 8 6 3" xfId="18897" xr:uid="{00000000-0005-0000-0000-0000C0460000}"/>
    <cellStyle name="Normal 2 2 2 2 2 2 2 2 8 6 4" xfId="18898" xr:uid="{00000000-0005-0000-0000-0000C1460000}"/>
    <cellStyle name="Normal 2 2 2 2 2 2 2 2 8 6 5" xfId="18899" xr:uid="{00000000-0005-0000-0000-0000C2460000}"/>
    <cellStyle name="Normal 2 2 2 2 2 2 2 2 8 6 6" xfId="18900" xr:uid="{00000000-0005-0000-0000-0000C3460000}"/>
    <cellStyle name="Normal 2 2 2 2 2 2 2 2 8 7" xfId="18901" xr:uid="{00000000-0005-0000-0000-0000C4460000}"/>
    <cellStyle name="Normal 2 2 2 2 2 2 2 2 8 7 2" xfId="18902" xr:uid="{00000000-0005-0000-0000-0000C5460000}"/>
    <cellStyle name="Normal 2 2 2 2 2 2 2 2 8 7 3" xfId="18903" xr:uid="{00000000-0005-0000-0000-0000C6460000}"/>
    <cellStyle name="Normal 2 2 2 2 2 2 2 2 8 7 4" xfId="18904" xr:uid="{00000000-0005-0000-0000-0000C7460000}"/>
    <cellStyle name="Normal 2 2 2 2 2 2 2 2 8 7 5" xfId="18905" xr:uid="{00000000-0005-0000-0000-0000C8460000}"/>
    <cellStyle name="Normal 2 2 2 2 2 2 2 2 8 7 6" xfId="18906" xr:uid="{00000000-0005-0000-0000-0000C9460000}"/>
    <cellStyle name="Normal 2 2 2 2 2 2 2 2 8 8" xfId="18907" xr:uid="{00000000-0005-0000-0000-0000CA460000}"/>
    <cellStyle name="Normal 2 2 2 2 2 2 2 2 8 8 2" xfId="18908" xr:uid="{00000000-0005-0000-0000-0000CB460000}"/>
    <cellStyle name="Normal 2 2 2 2 2 2 2 2 8 8 3" xfId="18909" xr:uid="{00000000-0005-0000-0000-0000CC460000}"/>
    <cellStyle name="Normal 2 2 2 2 2 2 2 2 8 8 4" xfId="18910" xr:uid="{00000000-0005-0000-0000-0000CD460000}"/>
    <cellStyle name="Normal 2 2 2 2 2 2 2 2 8 8 5" xfId="18911" xr:uid="{00000000-0005-0000-0000-0000CE460000}"/>
    <cellStyle name="Normal 2 2 2 2 2 2 2 2 8 8 6" xfId="18912" xr:uid="{00000000-0005-0000-0000-0000CF460000}"/>
    <cellStyle name="Normal 2 2 2 2 2 2 2 2 8 9" xfId="18913" xr:uid="{00000000-0005-0000-0000-0000D0460000}"/>
    <cellStyle name="Normal 2 2 2 2 2 2 2 2 9" xfId="18914" xr:uid="{00000000-0005-0000-0000-0000D1460000}"/>
    <cellStyle name="Normal 2 2 2 2 2 2 2 2 9 10" xfId="18915" xr:uid="{00000000-0005-0000-0000-0000D2460000}"/>
    <cellStyle name="Normal 2 2 2 2 2 2 2 2 9 11" xfId="18916" xr:uid="{00000000-0005-0000-0000-0000D3460000}"/>
    <cellStyle name="Normal 2 2 2 2 2 2 2 2 9 12" xfId="18917" xr:uid="{00000000-0005-0000-0000-0000D4460000}"/>
    <cellStyle name="Normal 2 2 2 2 2 2 2 2 9 13" xfId="18918" xr:uid="{00000000-0005-0000-0000-0000D5460000}"/>
    <cellStyle name="Normal 2 2 2 2 2 2 2 2 9 2" xfId="18919" xr:uid="{00000000-0005-0000-0000-0000D6460000}"/>
    <cellStyle name="Normal 2 2 2 2 2 2 2 2 9 2 2" xfId="18920" xr:uid="{00000000-0005-0000-0000-0000D7460000}"/>
    <cellStyle name="Normal 2 2 2 2 2 2 2 2 9 2 3" xfId="18921" xr:uid="{00000000-0005-0000-0000-0000D8460000}"/>
    <cellStyle name="Normal 2 2 2 2 2 2 2 2 9 2 4" xfId="18922" xr:uid="{00000000-0005-0000-0000-0000D9460000}"/>
    <cellStyle name="Normal 2 2 2 2 2 2 2 2 9 2 5" xfId="18923" xr:uid="{00000000-0005-0000-0000-0000DA460000}"/>
    <cellStyle name="Normal 2 2 2 2 2 2 2 2 9 2 6" xfId="18924" xr:uid="{00000000-0005-0000-0000-0000DB460000}"/>
    <cellStyle name="Normal 2 2 2 2 2 2 2 2 9 3" xfId="18925" xr:uid="{00000000-0005-0000-0000-0000DC460000}"/>
    <cellStyle name="Normal 2 2 2 2 2 2 2 2 9 3 2" xfId="18926" xr:uid="{00000000-0005-0000-0000-0000DD460000}"/>
    <cellStyle name="Normal 2 2 2 2 2 2 2 2 9 3 3" xfId="18927" xr:uid="{00000000-0005-0000-0000-0000DE460000}"/>
    <cellStyle name="Normal 2 2 2 2 2 2 2 2 9 3 4" xfId="18928" xr:uid="{00000000-0005-0000-0000-0000DF460000}"/>
    <cellStyle name="Normal 2 2 2 2 2 2 2 2 9 3 5" xfId="18929" xr:uid="{00000000-0005-0000-0000-0000E0460000}"/>
    <cellStyle name="Normal 2 2 2 2 2 2 2 2 9 3 6" xfId="18930" xr:uid="{00000000-0005-0000-0000-0000E1460000}"/>
    <cellStyle name="Normal 2 2 2 2 2 2 2 2 9 4" xfId="18931" xr:uid="{00000000-0005-0000-0000-0000E2460000}"/>
    <cellStyle name="Normal 2 2 2 2 2 2 2 2 9 4 2" xfId="18932" xr:uid="{00000000-0005-0000-0000-0000E3460000}"/>
    <cellStyle name="Normal 2 2 2 2 2 2 2 2 9 4 3" xfId="18933" xr:uid="{00000000-0005-0000-0000-0000E4460000}"/>
    <cellStyle name="Normal 2 2 2 2 2 2 2 2 9 4 4" xfId="18934" xr:uid="{00000000-0005-0000-0000-0000E5460000}"/>
    <cellStyle name="Normal 2 2 2 2 2 2 2 2 9 4 5" xfId="18935" xr:uid="{00000000-0005-0000-0000-0000E6460000}"/>
    <cellStyle name="Normal 2 2 2 2 2 2 2 2 9 4 6" xfId="18936" xr:uid="{00000000-0005-0000-0000-0000E7460000}"/>
    <cellStyle name="Normal 2 2 2 2 2 2 2 2 9 5" xfId="18937" xr:uid="{00000000-0005-0000-0000-0000E8460000}"/>
    <cellStyle name="Normal 2 2 2 2 2 2 2 2 9 5 2" xfId="18938" xr:uid="{00000000-0005-0000-0000-0000E9460000}"/>
    <cellStyle name="Normal 2 2 2 2 2 2 2 2 9 5 3" xfId="18939" xr:uid="{00000000-0005-0000-0000-0000EA460000}"/>
    <cellStyle name="Normal 2 2 2 2 2 2 2 2 9 5 4" xfId="18940" xr:uid="{00000000-0005-0000-0000-0000EB460000}"/>
    <cellStyle name="Normal 2 2 2 2 2 2 2 2 9 5 5" xfId="18941" xr:uid="{00000000-0005-0000-0000-0000EC460000}"/>
    <cellStyle name="Normal 2 2 2 2 2 2 2 2 9 5 6" xfId="18942" xr:uid="{00000000-0005-0000-0000-0000ED460000}"/>
    <cellStyle name="Normal 2 2 2 2 2 2 2 2 9 6" xfId="18943" xr:uid="{00000000-0005-0000-0000-0000EE460000}"/>
    <cellStyle name="Normal 2 2 2 2 2 2 2 2 9 6 2" xfId="18944" xr:uid="{00000000-0005-0000-0000-0000EF460000}"/>
    <cellStyle name="Normal 2 2 2 2 2 2 2 2 9 6 3" xfId="18945" xr:uid="{00000000-0005-0000-0000-0000F0460000}"/>
    <cellStyle name="Normal 2 2 2 2 2 2 2 2 9 6 4" xfId="18946" xr:uid="{00000000-0005-0000-0000-0000F1460000}"/>
    <cellStyle name="Normal 2 2 2 2 2 2 2 2 9 6 5" xfId="18947" xr:uid="{00000000-0005-0000-0000-0000F2460000}"/>
    <cellStyle name="Normal 2 2 2 2 2 2 2 2 9 6 6" xfId="18948" xr:uid="{00000000-0005-0000-0000-0000F3460000}"/>
    <cellStyle name="Normal 2 2 2 2 2 2 2 2 9 7" xfId="18949" xr:uid="{00000000-0005-0000-0000-0000F4460000}"/>
    <cellStyle name="Normal 2 2 2 2 2 2 2 2 9 7 2" xfId="18950" xr:uid="{00000000-0005-0000-0000-0000F5460000}"/>
    <cellStyle name="Normal 2 2 2 2 2 2 2 2 9 7 3" xfId="18951" xr:uid="{00000000-0005-0000-0000-0000F6460000}"/>
    <cellStyle name="Normal 2 2 2 2 2 2 2 2 9 7 4" xfId="18952" xr:uid="{00000000-0005-0000-0000-0000F7460000}"/>
    <cellStyle name="Normal 2 2 2 2 2 2 2 2 9 7 5" xfId="18953" xr:uid="{00000000-0005-0000-0000-0000F8460000}"/>
    <cellStyle name="Normal 2 2 2 2 2 2 2 2 9 7 6" xfId="18954" xr:uid="{00000000-0005-0000-0000-0000F9460000}"/>
    <cellStyle name="Normal 2 2 2 2 2 2 2 2 9 8" xfId="18955" xr:uid="{00000000-0005-0000-0000-0000FA460000}"/>
    <cellStyle name="Normal 2 2 2 2 2 2 2 2 9 8 2" xfId="18956" xr:uid="{00000000-0005-0000-0000-0000FB460000}"/>
    <cellStyle name="Normal 2 2 2 2 2 2 2 2 9 8 3" xfId="18957" xr:uid="{00000000-0005-0000-0000-0000FC460000}"/>
    <cellStyle name="Normal 2 2 2 2 2 2 2 2 9 8 4" xfId="18958" xr:uid="{00000000-0005-0000-0000-0000FD460000}"/>
    <cellStyle name="Normal 2 2 2 2 2 2 2 2 9 8 5" xfId="18959" xr:uid="{00000000-0005-0000-0000-0000FE460000}"/>
    <cellStyle name="Normal 2 2 2 2 2 2 2 2 9 8 6" xfId="18960" xr:uid="{00000000-0005-0000-0000-0000FF460000}"/>
    <cellStyle name="Normal 2 2 2 2 2 2 2 2 9 9" xfId="18961" xr:uid="{00000000-0005-0000-0000-000000470000}"/>
    <cellStyle name="Normal 2 2 2 2 2 2 2 20" xfId="18962" xr:uid="{00000000-0005-0000-0000-000001470000}"/>
    <cellStyle name="Normal 2 2 2 2 2 2 2 21" xfId="18963" xr:uid="{00000000-0005-0000-0000-000002470000}"/>
    <cellStyle name="Normal 2 2 2 2 2 2 2 22" xfId="18964" xr:uid="{00000000-0005-0000-0000-000003470000}"/>
    <cellStyle name="Normal 2 2 2 2 2 2 2 23" xfId="18965" xr:uid="{00000000-0005-0000-0000-000004470000}"/>
    <cellStyle name="Normal 2 2 2 2 2 2 2 23 2" xfId="18966" xr:uid="{00000000-0005-0000-0000-000005470000}"/>
    <cellStyle name="Normal 2 2 2 2 2 2 2 23 2 2" xfId="18967" xr:uid="{00000000-0005-0000-0000-000006470000}"/>
    <cellStyle name="Normal 2 2 2 2 2 2 2 23 2 3" xfId="18968" xr:uid="{00000000-0005-0000-0000-000007470000}"/>
    <cellStyle name="Normal 2 2 2 2 2 2 2 23 2 4" xfId="18969" xr:uid="{00000000-0005-0000-0000-000008470000}"/>
    <cellStyle name="Normal 2 2 2 2 2 2 2 23 2 5" xfId="18970" xr:uid="{00000000-0005-0000-0000-000009470000}"/>
    <cellStyle name="Normal 2 2 2 2 2 2 2 23 2 6" xfId="18971" xr:uid="{00000000-0005-0000-0000-00000A470000}"/>
    <cellStyle name="Normal 2 2 2 2 2 2 2 23 3" xfId="18972" xr:uid="{00000000-0005-0000-0000-00000B470000}"/>
    <cellStyle name="Normal 2 2 2 2 2 2 2 23 3 2" xfId="18973" xr:uid="{00000000-0005-0000-0000-00000C470000}"/>
    <cellStyle name="Normal 2 2 2 2 2 2 2 23 3 3" xfId="18974" xr:uid="{00000000-0005-0000-0000-00000D470000}"/>
    <cellStyle name="Normal 2 2 2 2 2 2 2 23 3 4" xfId="18975" xr:uid="{00000000-0005-0000-0000-00000E470000}"/>
    <cellStyle name="Normal 2 2 2 2 2 2 2 23 3 5" xfId="18976" xr:uid="{00000000-0005-0000-0000-00000F470000}"/>
    <cellStyle name="Normal 2 2 2 2 2 2 2 23 3 6" xfId="18977" xr:uid="{00000000-0005-0000-0000-000010470000}"/>
    <cellStyle name="Normal 2 2 2 2 2 2 2 23 4" xfId="18978" xr:uid="{00000000-0005-0000-0000-000011470000}"/>
    <cellStyle name="Normal 2 2 2 2 2 2 2 23 4 2" xfId="18979" xr:uid="{00000000-0005-0000-0000-000012470000}"/>
    <cellStyle name="Normal 2 2 2 2 2 2 2 23 4 3" xfId="18980" xr:uid="{00000000-0005-0000-0000-000013470000}"/>
    <cellStyle name="Normal 2 2 2 2 2 2 2 23 4 4" xfId="18981" xr:uid="{00000000-0005-0000-0000-000014470000}"/>
    <cellStyle name="Normal 2 2 2 2 2 2 2 23 4 5" xfId="18982" xr:uid="{00000000-0005-0000-0000-000015470000}"/>
    <cellStyle name="Normal 2 2 2 2 2 2 2 23 4 6" xfId="18983" xr:uid="{00000000-0005-0000-0000-000016470000}"/>
    <cellStyle name="Normal 2 2 2 2 2 2 2 23 5" xfId="18984" xr:uid="{00000000-0005-0000-0000-000017470000}"/>
    <cellStyle name="Normal 2 2 2 2 2 2 2 23 5 2" xfId="18985" xr:uid="{00000000-0005-0000-0000-000018470000}"/>
    <cellStyle name="Normal 2 2 2 2 2 2 2 23 5 3" xfId="18986" xr:uid="{00000000-0005-0000-0000-000019470000}"/>
    <cellStyle name="Normal 2 2 2 2 2 2 2 23 5 4" xfId="18987" xr:uid="{00000000-0005-0000-0000-00001A470000}"/>
    <cellStyle name="Normal 2 2 2 2 2 2 2 23 5 5" xfId="18988" xr:uid="{00000000-0005-0000-0000-00001B470000}"/>
    <cellStyle name="Normal 2 2 2 2 2 2 2 23 5 6" xfId="18989" xr:uid="{00000000-0005-0000-0000-00001C470000}"/>
    <cellStyle name="Normal 2 2 2 2 2 2 2 23 6" xfId="18990" xr:uid="{00000000-0005-0000-0000-00001D470000}"/>
    <cellStyle name="Normal 2 2 2 2 2 2 2 23 6 2" xfId="18991" xr:uid="{00000000-0005-0000-0000-00001E470000}"/>
    <cellStyle name="Normal 2 2 2 2 2 2 2 23 6 3" xfId="18992" xr:uid="{00000000-0005-0000-0000-00001F470000}"/>
    <cellStyle name="Normal 2 2 2 2 2 2 2 23 6 4" xfId="18993" xr:uid="{00000000-0005-0000-0000-000020470000}"/>
    <cellStyle name="Normal 2 2 2 2 2 2 2 23 6 5" xfId="18994" xr:uid="{00000000-0005-0000-0000-000021470000}"/>
    <cellStyle name="Normal 2 2 2 2 2 2 2 23 6 6" xfId="18995" xr:uid="{00000000-0005-0000-0000-000022470000}"/>
    <cellStyle name="Normal 2 2 2 2 2 2 2 24" xfId="18996" xr:uid="{00000000-0005-0000-0000-000023470000}"/>
    <cellStyle name="Normal 2 2 2 2 2 2 2 24 2" xfId="18997" xr:uid="{00000000-0005-0000-0000-000024470000}"/>
    <cellStyle name="Normal 2 2 2 2 2 2 2 24 3" xfId="18998" xr:uid="{00000000-0005-0000-0000-000025470000}"/>
    <cellStyle name="Normal 2 2 2 2 2 2 2 24 4" xfId="18999" xr:uid="{00000000-0005-0000-0000-000026470000}"/>
    <cellStyle name="Normal 2 2 2 2 2 2 2 24 5" xfId="19000" xr:uid="{00000000-0005-0000-0000-000027470000}"/>
    <cellStyle name="Normal 2 2 2 2 2 2 2 24 6" xfId="19001" xr:uid="{00000000-0005-0000-0000-000028470000}"/>
    <cellStyle name="Normal 2 2 2 2 2 2 2 25" xfId="19002" xr:uid="{00000000-0005-0000-0000-000029470000}"/>
    <cellStyle name="Normal 2 2 2 2 2 2 2 25 2" xfId="19003" xr:uid="{00000000-0005-0000-0000-00002A470000}"/>
    <cellStyle name="Normal 2 2 2 2 2 2 2 25 3" xfId="19004" xr:uid="{00000000-0005-0000-0000-00002B470000}"/>
    <cellStyle name="Normal 2 2 2 2 2 2 2 25 4" xfId="19005" xr:uid="{00000000-0005-0000-0000-00002C470000}"/>
    <cellStyle name="Normal 2 2 2 2 2 2 2 25 5" xfId="19006" xr:uid="{00000000-0005-0000-0000-00002D470000}"/>
    <cellStyle name="Normal 2 2 2 2 2 2 2 25 6" xfId="19007" xr:uid="{00000000-0005-0000-0000-00002E470000}"/>
    <cellStyle name="Normal 2 2 2 2 2 2 2 26" xfId="19008" xr:uid="{00000000-0005-0000-0000-00002F470000}"/>
    <cellStyle name="Normal 2 2 2 2 2 2 2 26 2" xfId="19009" xr:uid="{00000000-0005-0000-0000-000030470000}"/>
    <cellStyle name="Normal 2 2 2 2 2 2 2 26 3" xfId="19010" xr:uid="{00000000-0005-0000-0000-000031470000}"/>
    <cellStyle name="Normal 2 2 2 2 2 2 2 26 4" xfId="19011" xr:uid="{00000000-0005-0000-0000-000032470000}"/>
    <cellStyle name="Normal 2 2 2 2 2 2 2 26 5" xfId="19012" xr:uid="{00000000-0005-0000-0000-000033470000}"/>
    <cellStyle name="Normal 2 2 2 2 2 2 2 26 6" xfId="19013" xr:uid="{00000000-0005-0000-0000-000034470000}"/>
    <cellStyle name="Normal 2 2 2 2 2 2 2 27" xfId="19014" xr:uid="{00000000-0005-0000-0000-000035470000}"/>
    <cellStyle name="Normal 2 2 2 2 2 2 2 27 2" xfId="19015" xr:uid="{00000000-0005-0000-0000-000036470000}"/>
    <cellStyle name="Normal 2 2 2 2 2 2 2 27 3" xfId="19016" xr:uid="{00000000-0005-0000-0000-000037470000}"/>
    <cellStyle name="Normal 2 2 2 2 2 2 2 27 4" xfId="19017" xr:uid="{00000000-0005-0000-0000-000038470000}"/>
    <cellStyle name="Normal 2 2 2 2 2 2 2 27 5" xfId="19018" xr:uid="{00000000-0005-0000-0000-000039470000}"/>
    <cellStyle name="Normal 2 2 2 2 2 2 2 27 6" xfId="19019" xr:uid="{00000000-0005-0000-0000-00003A470000}"/>
    <cellStyle name="Normal 2 2 2 2 2 2 2 28" xfId="19020" xr:uid="{00000000-0005-0000-0000-00003B470000}"/>
    <cellStyle name="Normal 2 2 2 2 2 2 2 28 2" xfId="19021" xr:uid="{00000000-0005-0000-0000-00003C470000}"/>
    <cellStyle name="Normal 2 2 2 2 2 2 2 28 3" xfId="19022" xr:uid="{00000000-0005-0000-0000-00003D470000}"/>
    <cellStyle name="Normal 2 2 2 2 2 2 2 28 4" xfId="19023" xr:uid="{00000000-0005-0000-0000-00003E470000}"/>
    <cellStyle name="Normal 2 2 2 2 2 2 2 28 5" xfId="19024" xr:uid="{00000000-0005-0000-0000-00003F470000}"/>
    <cellStyle name="Normal 2 2 2 2 2 2 2 28 6" xfId="19025" xr:uid="{00000000-0005-0000-0000-000040470000}"/>
    <cellStyle name="Normal 2 2 2 2 2 2 2 29" xfId="19026" xr:uid="{00000000-0005-0000-0000-000041470000}"/>
    <cellStyle name="Normal 2 2 2 2 2 2 2 29 2" xfId="19027" xr:uid="{00000000-0005-0000-0000-000042470000}"/>
    <cellStyle name="Normal 2 2 2 2 2 2 2 29 3" xfId="19028" xr:uid="{00000000-0005-0000-0000-000043470000}"/>
    <cellStyle name="Normal 2 2 2 2 2 2 2 29 4" xfId="19029" xr:uid="{00000000-0005-0000-0000-000044470000}"/>
    <cellStyle name="Normal 2 2 2 2 2 2 2 29 5" xfId="19030" xr:uid="{00000000-0005-0000-0000-000045470000}"/>
    <cellStyle name="Normal 2 2 2 2 2 2 2 29 6" xfId="19031" xr:uid="{00000000-0005-0000-0000-000046470000}"/>
    <cellStyle name="Normal 2 2 2 2 2 2 2 3" xfId="19032" xr:uid="{00000000-0005-0000-0000-000047470000}"/>
    <cellStyle name="Normal 2 2 2 2 2 2 2 3 10" xfId="19033" xr:uid="{00000000-0005-0000-0000-000048470000}"/>
    <cellStyle name="Normal 2 2 2 2 2 2 2 3 11" xfId="19034" xr:uid="{00000000-0005-0000-0000-000049470000}"/>
    <cellStyle name="Normal 2 2 2 2 2 2 2 3 12" xfId="19035" xr:uid="{00000000-0005-0000-0000-00004A470000}"/>
    <cellStyle name="Normal 2 2 2 2 2 2 2 3 13" xfId="19036" xr:uid="{00000000-0005-0000-0000-00004B470000}"/>
    <cellStyle name="Normal 2 2 2 2 2 2 2 3 2" xfId="19037" xr:uid="{00000000-0005-0000-0000-00004C470000}"/>
    <cellStyle name="Normal 2 2 2 2 2 2 2 3 2 2" xfId="19038" xr:uid="{00000000-0005-0000-0000-00004D470000}"/>
    <cellStyle name="Normal 2 2 2 2 2 2 2 3 2 3" xfId="19039" xr:uid="{00000000-0005-0000-0000-00004E470000}"/>
    <cellStyle name="Normal 2 2 2 2 2 2 2 3 2 4" xfId="19040" xr:uid="{00000000-0005-0000-0000-00004F470000}"/>
    <cellStyle name="Normal 2 2 2 2 2 2 2 3 2 5" xfId="19041" xr:uid="{00000000-0005-0000-0000-000050470000}"/>
    <cellStyle name="Normal 2 2 2 2 2 2 2 3 2 6" xfId="19042" xr:uid="{00000000-0005-0000-0000-000051470000}"/>
    <cellStyle name="Normal 2 2 2 2 2 2 2 3 3" xfId="19043" xr:uid="{00000000-0005-0000-0000-000052470000}"/>
    <cellStyle name="Normal 2 2 2 2 2 2 2 3 3 2" xfId="19044" xr:uid="{00000000-0005-0000-0000-000053470000}"/>
    <cellStyle name="Normal 2 2 2 2 2 2 2 3 3 3" xfId="19045" xr:uid="{00000000-0005-0000-0000-000054470000}"/>
    <cellStyle name="Normal 2 2 2 2 2 2 2 3 3 4" xfId="19046" xr:uid="{00000000-0005-0000-0000-000055470000}"/>
    <cellStyle name="Normal 2 2 2 2 2 2 2 3 3 5" xfId="19047" xr:uid="{00000000-0005-0000-0000-000056470000}"/>
    <cellStyle name="Normal 2 2 2 2 2 2 2 3 3 6" xfId="19048" xr:uid="{00000000-0005-0000-0000-000057470000}"/>
    <cellStyle name="Normal 2 2 2 2 2 2 2 3 4" xfId="19049" xr:uid="{00000000-0005-0000-0000-000058470000}"/>
    <cellStyle name="Normal 2 2 2 2 2 2 2 3 4 2" xfId="19050" xr:uid="{00000000-0005-0000-0000-000059470000}"/>
    <cellStyle name="Normal 2 2 2 2 2 2 2 3 4 3" xfId="19051" xr:uid="{00000000-0005-0000-0000-00005A470000}"/>
    <cellStyle name="Normal 2 2 2 2 2 2 2 3 4 4" xfId="19052" xr:uid="{00000000-0005-0000-0000-00005B470000}"/>
    <cellStyle name="Normal 2 2 2 2 2 2 2 3 4 5" xfId="19053" xr:uid="{00000000-0005-0000-0000-00005C470000}"/>
    <cellStyle name="Normal 2 2 2 2 2 2 2 3 4 6" xfId="19054" xr:uid="{00000000-0005-0000-0000-00005D470000}"/>
    <cellStyle name="Normal 2 2 2 2 2 2 2 3 5" xfId="19055" xr:uid="{00000000-0005-0000-0000-00005E470000}"/>
    <cellStyle name="Normal 2 2 2 2 2 2 2 3 5 2" xfId="19056" xr:uid="{00000000-0005-0000-0000-00005F470000}"/>
    <cellStyle name="Normal 2 2 2 2 2 2 2 3 5 3" xfId="19057" xr:uid="{00000000-0005-0000-0000-000060470000}"/>
    <cellStyle name="Normal 2 2 2 2 2 2 2 3 5 4" xfId="19058" xr:uid="{00000000-0005-0000-0000-000061470000}"/>
    <cellStyle name="Normal 2 2 2 2 2 2 2 3 5 5" xfId="19059" xr:uid="{00000000-0005-0000-0000-000062470000}"/>
    <cellStyle name="Normal 2 2 2 2 2 2 2 3 5 6" xfId="19060" xr:uid="{00000000-0005-0000-0000-000063470000}"/>
    <cellStyle name="Normal 2 2 2 2 2 2 2 3 6" xfId="19061" xr:uid="{00000000-0005-0000-0000-000064470000}"/>
    <cellStyle name="Normal 2 2 2 2 2 2 2 3 6 2" xfId="19062" xr:uid="{00000000-0005-0000-0000-000065470000}"/>
    <cellStyle name="Normal 2 2 2 2 2 2 2 3 6 3" xfId="19063" xr:uid="{00000000-0005-0000-0000-000066470000}"/>
    <cellStyle name="Normal 2 2 2 2 2 2 2 3 6 4" xfId="19064" xr:uid="{00000000-0005-0000-0000-000067470000}"/>
    <cellStyle name="Normal 2 2 2 2 2 2 2 3 6 5" xfId="19065" xr:uid="{00000000-0005-0000-0000-000068470000}"/>
    <cellStyle name="Normal 2 2 2 2 2 2 2 3 6 6" xfId="19066" xr:uid="{00000000-0005-0000-0000-000069470000}"/>
    <cellStyle name="Normal 2 2 2 2 2 2 2 3 7" xfId="19067" xr:uid="{00000000-0005-0000-0000-00006A470000}"/>
    <cellStyle name="Normal 2 2 2 2 2 2 2 3 7 2" xfId="19068" xr:uid="{00000000-0005-0000-0000-00006B470000}"/>
    <cellStyle name="Normal 2 2 2 2 2 2 2 3 7 3" xfId="19069" xr:uid="{00000000-0005-0000-0000-00006C470000}"/>
    <cellStyle name="Normal 2 2 2 2 2 2 2 3 7 4" xfId="19070" xr:uid="{00000000-0005-0000-0000-00006D470000}"/>
    <cellStyle name="Normal 2 2 2 2 2 2 2 3 7 5" xfId="19071" xr:uid="{00000000-0005-0000-0000-00006E470000}"/>
    <cellStyle name="Normal 2 2 2 2 2 2 2 3 7 6" xfId="19072" xr:uid="{00000000-0005-0000-0000-00006F470000}"/>
    <cellStyle name="Normal 2 2 2 2 2 2 2 3 8" xfId="19073" xr:uid="{00000000-0005-0000-0000-000070470000}"/>
    <cellStyle name="Normal 2 2 2 2 2 2 2 3 8 2" xfId="19074" xr:uid="{00000000-0005-0000-0000-000071470000}"/>
    <cellStyle name="Normal 2 2 2 2 2 2 2 3 8 3" xfId="19075" xr:uid="{00000000-0005-0000-0000-000072470000}"/>
    <cellStyle name="Normal 2 2 2 2 2 2 2 3 8 4" xfId="19076" xr:uid="{00000000-0005-0000-0000-000073470000}"/>
    <cellStyle name="Normal 2 2 2 2 2 2 2 3 8 5" xfId="19077" xr:uid="{00000000-0005-0000-0000-000074470000}"/>
    <cellStyle name="Normal 2 2 2 2 2 2 2 3 8 6" xfId="19078" xr:uid="{00000000-0005-0000-0000-000075470000}"/>
    <cellStyle name="Normal 2 2 2 2 2 2 2 3 9" xfId="19079" xr:uid="{00000000-0005-0000-0000-000076470000}"/>
    <cellStyle name="Normal 2 2 2 2 2 2 2 30" xfId="19080" xr:uid="{00000000-0005-0000-0000-000077470000}"/>
    <cellStyle name="Normal 2 2 2 2 2 2 2 30 2" xfId="19081" xr:uid="{00000000-0005-0000-0000-000078470000}"/>
    <cellStyle name="Normal 2 2 2 2 2 2 2 30 3" xfId="19082" xr:uid="{00000000-0005-0000-0000-000079470000}"/>
    <cellStyle name="Normal 2 2 2 2 2 2 2 30 4" xfId="19083" xr:uid="{00000000-0005-0000-0000-00007A470000}"/>
    <cellStyle name="Normal 2 2 2 2 2 2 2 30 5" xfId="19084" xr:uid="{00000000-0005-0000-0000-00007B470000}"/>
    <cellStyle name="Normal 2 2 2 2 2 2 2 30 6" xfId="19085" xr:uid="{00000000-0005-0000-0000-00007C470000}"/>
    <cellStyle name="Normal 2 2 2 2 2 2 2 31" xfId="19086" xr:uid="{00000000-0005-0000-0000-00007D470000}"/>
    <cellStyle name="Normal 2 2 2 2 2 2 2 31 2" xfId="19087" xr:uid="{00000000-0005-0000-0000-00007E470000}"/>
    <cellStyle name="Normal 2 2 2 2 2 2 2 31 3" xfId="19088" xr:uid="{00000000-0005-0000-0000-00007F470000}"/>
    <cellStyle name="Normal 2 2 2 2 2 2 2 31 4" xfId="19089" xr:uid="{00000000-0005-0000-0000-000080470000}"/>
    <cellStyle name="Normal 2 2 2 2 2 2 2 31 5" xfId="19090" xr:uid="{00000000-0005-0000-0000-000081470000}"/>
    <cellStyle name="Normal 2 2 2 2 2 2 2 31 6" xfId="19091" xr:uid="{00000000-0005-0000-0000-000082470000}"/>
    <cellStyle name="Normal 2 2 2 2 2 2 2 32" xfId="19092" xr:uid="{00000000-0005-0000-0000-000083470000}"/>
    <cellStyle name="Normal 2 2 2 2 2 2 2 32 2" xfId="19093" xr:uid="{00000000-0005-0000-0000-000084470000}"/>
    <cellStyle name="Normal 2 2 2 2 2 2 2 32 3" xfId="19094" xr:uid="{00000000-0005-0000-0000-000085470000}"/>
    <cellStyle name="Normal 2 2 2 2 2 2 2 32 4" xfId="19095" xr:uid="{00000000-0005-0000-0000-000086470000}"/>
    <cellStyle name="Normal 2 2 2 2 2 2 2 32 5" xfId="19096" xr:uid="{00000000-0005-0000-0000-000087470000}"/>
    <cellStyle name="Normal 2 2 2 2 2 2 2 32 6" xfId="19097" xr:uid="{00000000-0005-0000-0000-000088470000}"/>
    <cellStyle name="Normal 2 2 2 2 2 2 2 33" xfId="19098" xr:uid="{00000000-0005-0000-0000-000089470000}"/>
    <cellStyle name="Normal 2 2 2 2 2 2 2 33 2" xfId="19099" xr:uid="{00000000-0005-0000-0000-00008A470000}"/>
    <cellStyle name="Normal 2 2 2 2 2 2 2 33 3" xfId="19100" xr:uid="{00000000-0005-0000-0000-00008B470000}"/>
    <cellStyle name="Normal 2 2 2 2 2 2 2 33 4" xfId="19101" xr:uid="{00000000-0005-0000-0000-00008C470000}"/>
    <cellStyle name="Normal 2 2 2 2 2 2 2 33 5" xfId="19102" xr:uid="{00000000-0005-0000-0000-00008D470000}"/>
    <cellStyle name="Normal 2 2 2 2 2 2 2 33 6" xfId="19103" xr:uid="{00000000-0005-0000-0000-00008E470000}"/>
    <cellStyle name="Normal 2 2 2 2 2 2 2 34" xfId="19104" xr:uid="{00000000-0005-0000-0000-00008F470000}"/>
    <cellStyle name="Normal 2 2 2 2 2 2 2 34 2" xfId="19105" xr:uid="{00000000-0005-0000-0000-000090470000}"/>
    <cellStyle name="Normal 2 2 2 2 2 2 2 34 3" xfId="19106" xr:uid="{00000000-0005-0000-0000-000091470000}"/>
    <cellStyle name="Normal 2 2 2 2 2 2 2 34 4" xfId="19107" xr:uid="{00000000-0005-0000-0000-000092470000}"/>
    <cellStyle name="Normal 2 2 2 2 2 2 2 34 5" xfId="19108" xr:uid="{00000000-0005-0000-0000-000093470000}"/>
    <cellStyle name="Normal 2 2 2 2 2 2 2 34 6" xfId="19109" xr:uid="{00000000-0005-0000-0000-000094470000}"/>
    <cellStyle name="Normal 2 2 2 2 2 2 2 35" xfId="19110" xr:uid="{00000000-0005-0000-0000-000095470000}"/>
    <cellStyle name="Normal 2 2 2 2 2 2 2 35 2" xfId="19111" xr:uid="{00000000-0005-0000-0000-000096470000}"/>
    <cellStyle name="Normal 2 2 2 2 2 2 2 35 3" xfId="19112" xr:uid="{00000000-0005-0000-0000-000097470000}"/>
    <cellStyle name="Normal 2 2 2 2 2 2 2 35 4" xfId="19113" xr:uid="{00000000-0005-0000-0000-000098470000}"/>
    <cellStyle name="Normal 2 2 2 2 2 2 2 35 5" xfId="19114" xr:uid="{00000000-0005-0000-0000-000099470000}"/>
    <cellStyle name="Normal 2 2 2 2 2 2 2 35 6" xfId="19115" xr:uid="{00000000-0005-0000-0000-00009A470000}"/>
    <cellStyle name="Normal 2 2 2 2 2 2 2 36" xfId="19116" xr:uid="{00000000-0005-0000-0000-00009B470000}"/>
    <cellStyle name="Normal 2 2 2 2 2 2 2 36 2" xfId="19117" xr:uid="{00000000-0005-0000-0000-00009C470000}"/>
    <cellStyle name="Normal 2 2 2 2 2 2 2 36 3" xfId="19118" xr:uid="{00000000-0005-0000-0000-00009D470000}"/>
    <cellStyle name="Normal 2 2 2 2 2 2 2 36 4" xfId="19119" xr:uid="{00000000-0005-0000-0000-00009E470000}"/>
    <cellStyle name="Normal 2 2 2 2 2 2 2 36 5" xfId="19120" xr:uid="{00000000-0005-0000-0000-00009F470000}"/>
    <cellStyle name="Normal 2 2 2 2 2 2 2 36 6" xfId="19121" xr:uid="{00000000-0005-0000-0000-0000A0470000}"/>
    <cellStyle name="Normal 2 2 2 2 2 2 2 37" xfId="19122" xr:uid="{00000000-0005-0000-0000-0000A1470000}"/>
    <cellStyle name="Normal 2 2 2 2 2 2 2 37 2" xfId="19123" xr:uid="{00000000-0005-0000-0000-0000A2470000}"/>
    <cellStyle name="Normal 2 2 2 2 2 2 2 37 3" xfId="19124" xr:uid="{00000000-0005-0000-0000-0000A3470000}"/>
    <cellStyle name="Normal 2 2 2 2 2 2 2 37 4" xfId="19125" xr:uid="{00000000-0005-0000-0000-0000A4470000}"/>
    <cellStyle name="Normal 2 2 2 2 2 2 2 37 5" xfId="19126" xr:uid="{00000000-0005-0000-0000-0000A5470000}"/>
    <cellStyle name="Normal 2 2 2 2 2 2 2 37 6" xfId="19127" xr:uid="{00000000-0005-0000-0000-0000A6470000}"/>
    <cellStyle name="Normal 2 2 2 2 2 2 2 38" xfId="19128" xr:uid="{00000000-0005-0000-0000-0000A7470000}"/>
    <cellStyle name="Normal 2 2 2 2 2 2 2 39" xfId="19129" xr:uid="{00000000-0005-0000-0000-0000A8470000}"/>
    <cellStyle name="Normal 2 2 2 2 2 2 2 4" xfId="19130" xr:uid="{00000000-0005-0000-0000-0000A9470000}"/>
    <cellStyle name="Normal 2 2 2 2 2 2 2 4 10" xfId="19131" xr:uid="{00000000-0005-0000-0000-0000AA470000}"/>
    <cellStyle name="Normal 2 2 2 2 2 2 2 4 11" xfId="19132" xr:uid="{00000000-0005-0000-0000-0000AB470000}"/>
    <cellStyle name="Normal 2 2 2 2 2 2 2 4 12" xfId="19133" xr:uid="{00000000-0005-0000-0000-0000AC470000}"/>
    <cellStyle name="Normal 2 2 2 2 2 2 2 4 13" xfId="19134" xr:uid="{00000000-0005-0000-0000-0000AD470000}"/>
    <cellStyle name="Normal 2 2 2 2 2 2 2 4 2" xfId="19135" xr:uid="{00000000-0005-0000-0000-0000AE470000}"/>
    <cellStyle name="Normal 2 2 2 2 2 2 2 4 2 2" xfId="19136" xr:uid="{00000000-0005-0000-0000-0000AF470000}"/>
    <cellStyle name="Normal 2 2 2 2 2 2 2 4 2 3" xfId="19137" xr:uid="{00000000-0005-0000-0000-0000B0470000}"/>
    <cellStyle name="Normal 2 2 2 2 2 2 2 4 2 4" xfId="19138" xr:uid="{00000000-0005-0000-0000-0000B1470000}"/>
    <cellStyle name="Normal 2 2 2 2 2 2 2 4 2 5" xfId="19139" xr:uid="{00000000-0005-0000-0000-0000B2470000}"/>
    <cellStyle name="Normal 2 2 2 2 2 2 2 4 2 6" xfId="19140" xr:uid="{00000000-0005-0000-0000-0000B3470000}"/>
    <cellStyle name="Normal 2 2 2 2 2 2 2 4 3" xfId="19141" xr:uid="{00000000-0005-0000-0000-0000B4470000}"/>
    <cellStyle name="Normal 2 2 2 2 2 2 2 4 3 2" xfId="19142" xr:uid="{00000000-0005-0000-0000-0000B5470000}"/>
    <cellStyle name="Normal 2 2 2 2 2 2 2 4 3 3" xfId="19143" xr:uid="{00000000-0005-0000-0000-0000B6470000}"/>
    <cellStyle name="Normal 2 2 2 2 2 2 2 4 3 4" xfId="19144" xr:uid="{00000000-0005-0000-0000-0000B7470000}"/>
    <cellStyle name="Normal 2 2 2 2 2 2 2 4 3 5" xfId="19145" xr:uid="{00000000-0005-0000-0000-0000B8470000}"/>
    <cellStyle name="Normal 2 2 2 2 2 2 2 4 3 6" xfId="19146" xr:uid="{00000000-0005-0000-0000-0000B9470000}"/>
    <cellStyle name="Normal 2 2 2 2 2 2 2 4 4" xfId="19147" xr:uid="{00000000-0005-0000-0000-0000BA470000}"/>
    <cellStyle name="Normal 2 2 2 2 2 2 2 4 4 2" xfId="19148" xr:uid="{00000000-0005-0000-0000-0000BB470000}"/>
    <cellStyle name="Normal 2 2 2 2 2 2 2 4 4 3" xfId="19149" xr:uid="{00000000-0005-0000-0000-0000BC470000}"/>
    <cellStyle name="Normal 2 2 2 2 2 2 2 4 4 4" xfId="19150" xr:uid="{00000000-0005-0000-0000-0000BD470000}"/>
    <cellStyle name="Normal 2 2 2 2 2 2 2 4 4 5" xfId="19151" xr:uid="{00000000-0005-0000-0000-0000BE470000}"/>
    <cellStyle name="Normal 2 2 2 2 2 2 2 4 4 6" xfId="19152" xr:uid="{00000000-0005-0000-0000-0000BF470000}"/>
    <cellStyle name="Normal 2 2 2 2 2 2 2 4 5" xfId="19153" xr:uid="{00000000-0005-0000-0000-0000C0470000}"/>
    <cellStyle name="Normal 2 2 2 2 2 2 2 4 5 2" xfId="19154" xr:uid="{00000000-0005-0000-0000-0000C1470000}"/>
    <cellStyle name="Normal 2 2 2 2 2 2 2 4 5 3" xfId="19155" xr:uid="{00000000-0005-0000-0000-0000C2470000}"/>
    <cellStyle name="Normal 2 2 2 2 2 2 2 4 5 4" xfId="19156" xr:uid="{00000000-0005-0000-0000-0000C3470000}"/>
    <cellStyle name="Normal 2 2 2 2 2 2 2 4 5 5" xfId="19157" xr:uid="{00000000-0005-0000-0000-0000C4470000}"/>
    <cellStyle name="Normal 2 2 2 2 2 2 2 4 5 6" xfId="19158" xr:uid="{00000000-0005-0000-0000-0000C5470000}"/>
    <cellStyle name="Normal 2 2 2 2 2 2 2 4 6" xfId="19159" xr:uid="{00000000-0005-0000-0000-0000C6470000}"/>
    <cellStyle name="Normal 2 2 2 2 2 2 2 4 6 2" xfId="19160" xr:uid="{00000000-0005-0000-0000-0000C7470000}"/>
    <cellStyle name="Normal 2 2 2 2 2 2 2 4 6 3" xfId="19161" xr:uid="{00000000-0005-0000-0000-0000C8470000}"/>
    <cellStyle name="Normal 2 2 2 2 2 2 2 4 6 4" xfId="19162" xr:uid="{00000000-0005-0000-0000-0000C9470000}"/>
    <cellStyle name="Normal 2 2 2 2 2 2 2 4 6 5" xfId="19163" xr:uid="{00000000-0005-0000-0000-0000CA470000}"/>
    <cellStyle name="Normal 2 2 2 2 2 2 2 4 6 6" xfId="19164" xr:uid="{00000000-0005-0000-0000-0000CB470000}"/>
    <cellStyle name="Normal 2 2 2 2 2 2 2 4 7" xfId="19165" xr:uid="{00000000-0005-0000-0000-0000CC470000}"/>
    <cellStyle name="Normal 2 2 2 2 2 2 2 4 7 2" xfId="19166" xr:uid="{00000000-0005-0000-0000-0000CD470000}"/>
    <cellStyle name="Normal 2 2 2 2 2 2 2 4 7 3" xfId="19167" xr:uid="{00000000-0005-0000-0000-0000CE470000}"/>
    <cellStyle name="Normal 2 2 2 2 2 2 2 4 7 4" xfId="19168" xr:uid="{00000000-0005-0000-0000-0000CF470000}"/>
    <cellStyle name="Normal 2 2 2 2 2 2 2 4 7 5" xfId="19169" xr:uid="{00000000-0005-0000-0000-0000D0470000}"/>
    <cellStyle name="Normal 2 2 2 2 2 2 2 4 7 6" xfId="19170" xr:uid="{00000000-0005-0000-0000-0000D1470000}"/>
    <cellStyle name="Normal 2 2 2 2 2 2 2 4 8" xfId="19171" xr:uid="{00000000-0005-0000-0000-0000D2470000}"/>
    <cellStyle name="Normal 2 2 2 2 2 2 2 4 8 2" xfId="19172" xr:uid="{00000000-0005-0000-0000-0000D3470000}"/>
    <cellStyle name="Normal 2 2 2 2 2 2 2 4 8 3" xfId="19173" xr:uid="{00000000-0005-0000-0000-0000D4470000}"/>
    <cellStyle name="Normal 2 2 2 2 2 2 2 4 8 4" xfId="19174" xr:uid="{00000000-0005-0000-0000-0000D5470000}"/>
    <cellStyle name="Normal 2 2 2 2 2 2 2 4 8 5" xfId="19175" xr:uid="{00000000-0005-0000-0000-0000D6470000}"/>
    <cellStyle name="Normal 2 2 2 2 2 2 2 4 8 6" xfId="19176" xr:uid="{00000000-0005-0000-0000-0000D7470000}"/>
    <cellStyle name="Normal 2 2 2 2 2 2 2 4 9" xfId="19177" xr:uid="{00000000-0005-0000-0000-0000D8470000}"/>
    <cellStyle name="Normal 2 2 2 2 2 2 2 40" xfId="19178" xr:uid="{00000000-0005-0000-0000-0000D9470000}"/>
    <cellStyle name="Normal 2 2 2 2 2 2 2 41" xfId="19179" xr:uid="{00000000-0005-0000-0000-0000DA470000}"/>
    <cellStyle name="Normal 2 2 2 2 2 2 2 42" xfId="19180" xr:uid="{00000000-0005-0000-0000-0000DB470000}"/>
    <cellStyle name="Normal 2 2 2 2 2 2 2 42 2" xfId="19181" xr:uid="{00000000-0005-0000-0000-0000DC470000}"/>
    <cellStyle name="Normal 2 2 2 2 2 2 2 42 2 2" xfId="19182" xr:uid="{00000000-0005-0000-0000-0000DD470000}"/>
    <cellStyle name="Normal 2 2 2 2 2 2 2 42 2 2 2" xfId="19183" xr:uid="{00000000-0005-0000-0000-0000DE470000}"/>
    <cellStyle name="Normal 2 2 2 2 2 2 2 42 2 2 2 2" xfId="19184" xr:uid="{00000000-0005-0000-0000-0000DF470000}"/>
    <cellStyle name="Normal 2 2 2 2 2 2 2 42 2 2 2 3" xfId="19185" xr:uid="{00000000-0005-0000-0000-0000E0470000}"/>
    <cellStyle name="Normal 2 2 2 2 2 2 2 42 2 2 2 4" xfId="19186" xr:uid="{00000000-0005-0000-0000-0000E1470000}"/>
    <cellStyle name="Normal 2 2 2 2 2 2 2 42 2 2 2 5" xfId="19187" xr:uid="{00000000-0005-0000-0000-0000E2470000}"/>
    <cellStyle name="Normal 2 2 2 2 2 2 2 42 2 2 2 6" xfId="19188" xr:uid="{00000000-0005-0000-0000-0000E3470000}"/>
    <cellStyle name="Normal 2 2 2 2 2 2 2 42 2 3" xfId="19189" xr:uid="{00000000-0005-0000-0000-0000E4470000}"/>
    <cellStyle name="Normal 2 2 2 2 2 2 2 42 2 4" xfId="19190" xr:uid="{00000000-0005-0000-0000-0000E5470000}"/>
    <cellStyle name="Normal 2 2 2 2 2 2 2 42 2 5" xfId="19191" xr:uid="{00000000-0005-0000-0000-0000E6470000}"/>
    <cellStyle name="Normal 2 2 2 2 2 2 2 42 2 6" xfId="19192" xr:uid="{00000000-0005-0000-0000-0000E7470000}"/>
    <cellStyle name="Normal 2 2 2 2 2 2 2 42 2 7" xfId="19193" xr:uid="{00000000-0005-0000-0000-0000E8470000}"/>
    <cellStyle name="Normal 2 2 2 2 2 2 2 42 3" xfId="19194" xr:uid="{00000000-0005-0000-0000-0000E9470000}"/>
    <cellStyle name="Normal 2 2 2 2 2 2 2 42 3 2" xfId="19195" xr:uid="{00000000-0005-0000-0000-0000EA470000}"/>
    <cellStyle name="Normal 2 2 2 2 2 2 2 42 3 3" xfId="19196" xr:uid="{00000000-0005-0000-0000-0000EB470000}"/>
    <cellStyle name="Normal 2 2 2 2 2 2 2 42 3 4" xfId="19197" xr:uid="{00000000-0005-0000-0000-0000EC470000}"/>
    <cellStyle name="Normal 2 2 2 2 2 2 2 42 3 5" xfId="19198" xr:uid="{00000000-0005-0000-0000-0000ED470000}"/>
    <cellStyle name="Normal 2 2 2 2 2 2 2 42 3 6" xfId="19199" xr:uid="{00000000-0005-0000-0000-0000EE470000}"/>
    <cellStyle name="Normal 2 2 2 2 2 2 2 43" xfId="19200" xr:uid="{00000000-0005-0000-0000-0000EF470000}"/>
    <cellStyle name="Normal 2 2 2 2 2 2 2 43 2" xfId="19201" xr:uid="{00000000-0005-0000-0000-0000F0470000}"/>
    <cellStyle name="Normal 2 2 2 2 2 2 2 43 3" xfId="19202" xr:uid="{00000000-0005-0000-0000-0000F1470000}"/>
    <cellStyle name="Normal 2 2 2 2 2 2 2 43 4" xfId="19203" xr:uid="{00000000-0005-0000-0000-0000F2470000}"/>
    <cellStyle name="Normal 2 2 2 2 2 2 2 43 5" xfId="19204" xr:uid="{00000000-0005-0000-0000-0000F3470000}"/>
    <cellStyle name="Normal 2 2 2 2 2 2 2 43 6" xfId="19205" xr:uid="{00000000-0005-0000-0000-0000F4470000}"/>
    <cellStyle name="Normal 2 2 2 2 2 2 2 44" xfId="19206" xr:uid="{00000000-0005-0000-0000-0000F5470000}"/>
    <cellStyle name="Normal 2 2 2 2 2 2 2 44 2" xfId="19207" xr:uid="{00000000-0005-0000-0000-0000F6470000}"/>
    <cellStyle name="Normal 2 2 2 2 2 2 2 44 3" xfId="19208" xr:uid="{00000000-0005-0000-0000-0000F7470000}"/>
    <cellStyle name="Normal 2 2 2 2 2 2 2 44 4" xfId="19209" xr:uid="{00000000-0005-0000-0000-0000F8470000}"/>
    <cellStyle name="Normal 2 2 2 2 2 2 2 44 5" xfId="19210" xr:uid="{00000000-0005-0000-0000-0000F9470000}"/>
    <cellStyle name="Normal 2 2 2 2 2 2 2 44 6" xfId="19211" xr:uid="{00000000-0005-0000-0000-0000FA470000}"/>
    <cellStyle name="Normal 2 2 2 2 2 2 2 45" xfId="19212" xr:uid="{00000000-0005-0000-0000-0000FB470000}"/>
    <cellStyle name="Normal 2 2 2 2 2 2 2 45 2" xfId="19213" xr:uid="{00000000-0005-0000-0000-0000FC470000}"/>
    <cellStyle name="Normal 2 2 2 2 2 2 2 45 3" xfId="19214" xr:uid="{00000000-0005-0000-0000-0000FD470000}"/>
    <cellStyle name="Normal 2 2 2 2 2 2 2 45 4" xfId="19215" xr:uid="{00000000-0005-0000-0000-0000FE470000}"/>
    <cellStyle name="Normal 2 2 2 2 2 2 2 45 5" xfId="19216" xr:uid="{00000000-0005-0000-0000-0000FF470000}"/>
    <cellStyle name="Normal 2 2 2 2 2 2 2 45 6" xfId="19217" xr:uid="{00000000-0005-0000-0000-000000480000}"/>
    <cellStyle name="Normal 2 2 2 2 2 2 2 46" xfId="19218" xr:uid="{00000000-0005-0000-0000-000001480000}"/>
    <cellStyle name="Normal 2 2 2 2 2 2 2 46 2" xfId="19219" xr:uid="{00000000-0005-0000-0000-000002480000}"/>
    <cellStyle name="Normal 2 2 2 2 2 2 2 46 3" xfId="19220" xr:uid="{00000000-0005-0000-0000-000003480000}"/>
    <cellStyle name="Normal 2 2 2 2 2 2 2 46 4" xfId="19221" xr:uid="{00000000-0005-0000-0000-000004480000}"/>
    <cellStyle name="Normal 2 2 2 2 2 2 2 46 5" xfId="19222" xr:uid="{00000000-0005-0000-0000-000005480000}"/>
    <cellStyle name="Normal 2 2 2 2 2 2 2 46 6" xfId="19223" xr:uid="{00000000-0005-0000-0000-000006480000}"/>
    <cellStyle name="Normal 2 2 2 2 2 2 2 47" xfId="19224" xr:uid="{00000000-0005-0000-0000-000007480000}"/>
    <cellStyle name="Normal 2 2 2 2 2 2 2 47 2" xfId="19225" xr:uid="{00000000-0005-0000-0000-000008480000}"/>
    <cellStyle name="Normal 2 2 2 2 2 2 2 47 3" xfId="19226" xr:uid="{00000000-0005-0000-0000-000009480000}"/>
    <cellStyle name="Normal 2 2 2 2 2 2 2 47 4" xfId="19227" xr:uid="{00000000-0005-0000-0000-00000A480000}"/>
    <cellStyle name="Normal 2 2 2 2 2 2 2 47 5" xfId="19228" xr:uid="{00000000-0005-0000-0000-00000B480000}"/>
    <cellStyle name="Normal 2 2 2 2 2 2 2 47 6" xfId="19229" xr:uid="{00000000-0005-0000-0000-00000C480000}"/>
    <cellStyle name="Normal 2 2 2 2 2 2 2 48" xfId="19230" xr:uid="{00000000-0005-0000-0000-00000D480000}"/>
    <cellStyle name="Normal 2 2 2 2 2 2 2 48 2" xfId="19231" xr:uid="{00000000-0005-0000-0000-00000E480000}"/>
    <cellStyle name="Normal 2 2 2 2 2 2 2 48 3" xfId="19232" xr:uid="{00000000-0005-0000-0000-00000F480000}"/>
    <cellStyle name="Normal 2 2 2 2 2 2 2 48 4" xfId="19233" xr:uid="{00000000-0005-0000-0000-000010480000}"/>
    <cellStyle name="Normal 2 2 2 2 2 2 2 48 5" xfId="19234" xr:uid="{00000000-0005-0000-0000-000011480000}"/>
    <cellStyle name="Normal 2 2 2 2 2 2 2 48 6" xfId="19235" xr:uid="{00000000-0005-0000-0000-000012480000}"/>
    <cellStyle name="Normal 2 2 2 2 2 2 2 49" xfId="19236" xr:uid="{00000000-0005-0000-0000-000013480000}"/>
    <cellStyle name="Normal 2 2 2 2 2 2 2 49 2" xfId="19237" xr:uid="{00000000-0005-0000-0000-000014480000}"/>
    <cellStyle name="Normal 2 2 2 2 2 2 2 49 3" xfId="19238" xr:uid="{00000000-0005-0000-0000-000015480000}"/>
    <cellStyle name="Normal 2 2 2 2 2 2 2 49 4" xfId="19239" xr:uid="{00000000-0005-0000-0000-000016480000}"/>
    <cellStyle name="Normal 2 2 2 2 2 2 2 49 5" xfId="19240" xr:uid="{00000000-0005-0000-0000-000017480000}"/>
    <cellStyle name="Normal 2 2 2 2 2 2 2 49 6" xfId="19241" xr:uid="{00000000-0005-0000-0000-000018480000}"/>
    <cellStyle name="Normal 2 2 2 2 2 2 2 5" xfId="19242" xr:uid="{00000000-0005-0000-0000-000019480000}"/>
    <cellStyle name="Normal 2 2 2 2 2 2 2 5 10" xfId="19243" xr:uid="{00000000-0005-0000-0000-00001A480000}"/>
    <cellStyle name="Normal 2 2 2 2 2 2 2 5 11" xfId="19244" xr:uid="{00000000-0005-0000-0000-00001B480000}"/>
    <cellStyle name="Normal 2 2 2 2 2 2 2 5 12" xfId="19245" xr:uid="{00000000-0005-0000-0000-00001C480000}"/>
    <cellStyle name="Normal 2 2 2 2 2 2 2 5 13" xfId="19246" xr:uid="{00000000-0005-0000-0000-00001D480000}"/>
    <cellStyle name="Normal 2 2 2 2 2 2 2 5 2" xfId="19247" xr:uid="{00000000-0005-0000-0000-00001E480000}"/>
    <cellStyle name="Normal 2 2 2 2 2 2 2 5 2 2" xfId="19248" xr:uid="{00000000-0005-0000-0000-00001F480000}"/>
    <cellStyle name="Normal 2 2 2 2 2 2 2 5 2 3" xfId="19249" xr:uid="{00000000-0005-0000-0000-000020480000}"/>
    <cellStyle name="Normal 2 2 2 2 2 2 2 5 2 4" xfId="19250" xr:uid="{00000000-0005-0000-0000-000021480000}"/>
    <cellStyle name="Normal 2 2 2 2 2 2 2 5 2 5" xfId="19251" xr:uid="{00000000-0005-0000-0000-000022480000}"/>
    <cellStyle name="Normal 2 2 2 2 2 2 2 5 2 6" xfId="19252" xr:uid="{00000000-0005-0000-0000-000023480000}"/>
    <cellStyle name="Normal 2 2 2 2 2 2 2 5 3" xfId="19253" xr:uid="{00000000-0005-0000-0000-000024480000}"/>
    <cellStyle name="Normal 2 2 2 2 2 2 2 5 3 2" xfId="19254" xr:uid="{00000000-0005-0000-0000-000025480000}"/>
    <cellStyle name="Normal 2 2 2 2 2 2 2 5 3 3" xfId="19255" xr:uid="{00000000-0005-0000-0000-000026480000}"/>
    <cellStyle name="Normal 2 2 2 2 2 2 2 5 3 4" xfId="19256" xr:uid="{00000000-0005-0000-0000-000027480000}"/>
    <cellStyle name="Normal 2 2 2 2 2 2 2 5 3 5" xfId="19257" xr:uid="{00000000-0005-0000-0000-000028480000}"/>
    <cellStyle name="Normal 2 2 2 2 2 2 2 5 3 6" xfId="19258" xr:uid="{00000000-0005-0000-0000-000029480000}"/>
    <cellStyle name="Normal 2 2 2 2 2 2 2 5 4" xfId="19259" xr:uid="{00000000-0005-0000-0000-00002A480000}"/>
    <cellStyle name="Normal 2 2 2 2 2 2 2 5 4 2" xfId="19260" xr:uid="{00000000-0005-0000-0000-00002B480000}"/>
    <cellStyle name="Normal 2 2 2 2 2 2 2 5 4 3" xfId="19261" xr:uid="{00000000-0005-0000-0000-00002C480000}"/>
    <cellStyle name="Normal 2 2 2 2 2 2 2 5 4 4" xfId="19262" xr:uid="{00000000-0005-0000-0000-00002D480000}"/>
    <cellStyle name="Normal 2 2 2 2 2 2 2 5 4 5" xfId="19263" xr:uid="{00000000-0005-0000-0000-00002E480000}"/>
    <cellStyle name="Normal 2 2 2 2 2 2 2 5 4 6" xfId="19264" xr:uid="{00000000-0005-0000-0000-00002F480000}"/>
    <cellStyle name="Normal 2 2 2 2 2 2 2 5 5" xfId="19265" xr:uid="{00000000-0005-0000-0000-000030480000}"/>
    <cellStyle name="Normal 2 2 2 2 2 2 2 5 5 2" xfId="19266" xr:uid="{00000000-0005-0000-0000-000031480000}"/>
    <cellStyle name="Normal 2 2 2 2 2 2 2 5 5 3" xfId="19267" xr:uid="{00000000-0005-0000-0000-000032480000}"/>
    <cellStyle name="Normal 2 2 2 2 2 2 2 5 5 4" xfId="19268" xr:uid="{00000000-0005-0000-0000-000033480000}"/>
    <cellStyle name="Normal 2 2 2 2 2 2 2 5 5 5" xfId="19269" xr:uid="{00000000-0005-0000-0000-000034480000}"/>
    <cellStyle name="Normal 2 2 2 2 2 2 2 5 5 6" xfId="19270" xr:uid="{00000000-0005-0000-0000-000035480000}"/>
    <cellStyle name="Normal 2 2 2 2 2 2 2 5 6" xfId="19271" xr:uid="{00000000-0005-0000-0000-000036480000}"/>
    <cellStyle name="Normal 2 2 2 2 2 2 2 5 6 2" xfId="19272" xr:uid="{00000000-0005-0000-0000-000037480000}"/>
    <cellStyle name="Normal 2 2 2 2 2 2 2 5 6 3" xfId="19273" xr:uid="{00000000-0005-0000-0000-000038480000}"/>
    <cellStyle name="Normal 2 2 2 2 2 2 2 5 6 4" xfId="19274" xr:uid="{00000000-0005-0000-0000-000039480000}"/>
    <cellStyle name="Normal 2 2 2 2 2 2 2 5 6 5" xfId="19275" xr:uid="{00000000-0005-0000-0000-00003A480000}"/>
    <cellStyle name="Normal 2 2 2 2 2 2 2 5 6 6" xfId="19276" xr:uid="{00000000-0005-0000-0000-00003B480000}"/>
    <cellStyle name="Normal 2 2 2 2 2 2 2 5 7" xfId="19277" xr:uid="{00000000-0005-0000-0000-00003C480000}"/>
    <cellStyle name="Normal 2 2 2 2 2 2 2 5 7 2" xfId="19278" xr:uid="{00000000-0005-0000-0000-00003D480000}"/>
    <cellStyle name="Normal 2 2 2 2 2 2 2 5 7 3" xfId="19279" xr:uid="{00000000-0005-0000-0000-00003E480000}"/>
    <cellStyle name="Normal 2 2 2 2 2 2 2 5 7 4" xfId="19280" xr:uid="{00000000-0005-0000-0000-00003F480000}"/>
    <cellStyle name="Normal 2 2 2 2 2 2 2 5 7 5" xfId="19281" xr:uid="{00000000-0005-0000-0000-000040480000}"/>
    <cellStyle name="Normal 2 2 2 2 2 2 2 5 7 6" xfId="19282" xr:uid="{00000000-0005-0000-0000-000041480000}"/>
    <cellStyle name="Normal 2 2 2 2 2 2 2 5 8" xfId="19283" xr:uid="{00000000-0005-0000-0000-000042480000}"/>
    <cellStyle name="Normal 2 2 2 2 2 2 2 5 8 2" xfId="19284" xr:uid="{00000000-0005-0000-0000-000043480000}"/>
    <cellStyle name="Normal 2 2 2 2 2 2 2 5 8 3" xfId="19285" xr:uid="{00000000-0005-0000-0000-000044480000}"/>
    <cellStyle name="Normal 2 2 2 2 2 2 2 5 8 4" xfId="19286" xr:uid="{00000000-0005-0000-0000-000045480000}"/>
    <cellStyle name="Normal 2 2 2 2 2 2 2 5 8 5" xfId="19287" xr:uid="{00000000-0005-0000-0000-000046480000}"/>
    <cellStyle name="Normal 2 2 2 2 2 2 2 5 8 6" xfId="19288" xr:uid="{00000000-0005-0000-0000-000047480000}"/>
    <cellStyle name="Normal 2 2 2 2 2 2 2 5 9" xfId="19289" xr:uid="{00000000-0005-0000-0000-000048480000}"/>
    <cellStyle name="Normal 2 2 2 2 2 2 2 50" xfId="19290" xr:uid="{00000000-0005-0000-0000-000049480000}"/>
    <cellStyle name="Normal 2 2 2 2 2 2 2 50 2" xfId="19291" xr:uid="{00000000-0005-0000-0000-00004A480000}"/>
    <cellStyle name="Normal 2 2 2 2 2 2 2 50 3" xfId="19292" xr:uid="{00000000-0005-0000-0000-00004B480000}"/>
    <cellStyle name="Normal 2 2 2 2 2 2 2 50 4" xfId="19293" xr:uid="{00000000-0005-0000-0000-00004C480000}"/>
    <cellStyle name="Normal 2 2 2 2 2 2 2 50 5" xfId="19294" xr:uid="{00000000-0005-0000-0000-00004D480000}"/>
    <cellStyle name="Normal 2 2 2 2 2 2 2 50 6" xfId="19295" xr:uid="{00000000-0005-0000-0000-00004E480000}"/>
    <cellStyle name="Normal 2 2 2 2 2 2 2 51" xfId="19296" xr:uid="{00000000-0005-0000-0000-00004F480000}"/>
    <cellStyle name="Normal 2 2 2 2 2 2 2 51 2" xfId="19297" xr:uid="{00000000-0005-0000-0000-000050480000}"/>
    <cellStyle name="Normal 2 2 2 2 2 2 2 51 3" xfId="19298" xr:uid="{00000000-0005-0000-0000-000051480000}"/>
    <cellStyle name="Normal 2 2 2 2 2 2 2 51 4" xfId="19299" xr:uid="{00000000-0005-0000-0000-000052480000}"/>
    <cellStyle name="Normal 2 2 2 2 2 2 2 51 5" xfId="19300" xr:uid="{00000000-0005-0000-0000-000053480000}"/>
    <cellStyle name="Normal 2 2 2 2 2 2 2 51 6" xfId="19301" xr:uid="{00000000-0005-0000-0000-000054480000}"/>
    <cellStyle name="Normal 2 2 2 2 2 2 2 52" xfId="19302" xr:uid="{00000000-0005-0000-0000-000055480000}"/>
    <cellStyle name="Normal 2 2 2 2 2 2 2 52 2" xfId="19303" xr:uid="{00000000-0005-0000-0000-000056480000}"/>
    <cellStyle name="Normal 2 2 2 2 2 2 2 52 3" xfId="19304" xr:uid="{00000000-0005-0000-0000-000057480000}"/>
    <cellStyle name="Normal 2 2 2 2 2 2 2 52 4" xfId="19305" xr:uid="{00000000-0005-0000-0000-000058480000}"/>
    <cellStyle name="Normal 2 2 2 2 2 2 2 52 5" xfId="19306" xr:uid="{00000000-0005-0000-0000-000059480000}"/>
    <cellStyle name="Normal 2 2 2 2 2 2 2 52 6" xfId="19307" xr:uid="{00000000-0005-0000-0000-00005A480000}"/>
    <cellStyle name="Normal 2 2 2 2 2 2 2 53" xfId="19308" xr:uid="{00000000-0005-0000-0000-00005B480000}"/>
    <cellStyle name="Normal 2 2 2 2 2 2 2 53 2" xfId="19309" xr:uid="{00000000-0005-0000-0000-00005C480000}"/>
    <cellStyle name="Normal 2 2 2 2 2 2 2 53 3" xfId="19310" xr:uid="{00000000-0005-0000-0000-00005D480000}"/>
    <cellStyle name="Normal 2 2 2 2 2 2 2 53 4" xfId="19311" xr:uid="{00000000-0005-0000-0000-00005E480000}"/>
    <cellStyle name="Normal 2 2 2 2 2 2 2 53 5" xfId="19312" xr:uid="{00000000-0005-0000-0000-00005F480000}"/>
    <cellStyle name="Normal 2 2 2 2 2 2 2 53 6" xfId="19313" xr:uid="{00000000-0005-0000-0000-000060480000}"/>
    <cellStyle name="Normal 2 2 2 2 2 2 2 54" xfId="19314" xr:uid="{00000000-0005-0000-0000-000061480000}"/>
    <cellStyle name="Normal 2 2 2 2 2 2 2 54 2" xfId="19315" xr:uid="{00000000-0005-0000-0000-000062480000}"/>
    <cellStyle name="Normal 2 2 2 2 2 2 2 54 3" xfId="19316" xr:uid="{00000000-0005-0000-0000-000063480000}"/>
    <cellStyle name="Normal 2 2 2 2 2 2 2 54 4" xfId="19317" xr:uid="{00000000-0005-0000-0000-000064480000}"/>
    <cellStyle name="Normal 2 2 2 2 2 2 2 54 5" xfId="19318" xr:uid="{00000000-0005-0000-0000-000065480000}"/>
    <cellStyle name="Normal 2 2 2 2 2 2 2 54 6" xfId="19319" xr:uid="{00000000-0005-0000-0000-000066480000}"/>
    <cellStyle name="Normal 2 2 2 2 2 2 2 55" xfId="19320" xr:uid="{00000000-0005-0000-0000-000067480000}"/>
    <cellStyle name="Normal 2 2 2 2 2 2 2 55 2" xfId="19321" xr:uid="{00000000-0005-0000-0000-000068480000}"/>
    <cellStyle name="Normal 2 2 2 2 2 2 2 55 3" xfId="19322" xr:uid="{00000000-0005-0000-0000-000069480000}"/>
    <cellStyle name="Normal 2 2 2 2 2 2 2 55 4" xfId="19323" xr:uid="{00000000-0005-0000-0000-00006A480000}"/>
    <cellStyle name="Normal 2 2 2 2 2 2 2 55 5" xfId="19324" xr:uid="{00000000-0005-0000-0000-00006B480000}"/>
    <cellStyle name="Normal 2 2 2 2 2 2 2 55 6" xfId="19325" xr:uid="{00000000-0005-0000-0000-00006C480000}"/>
    <cellStyle name="Normal 2 2 2 2 2 2 2 56" xfId="19326" xr:uid="{00000000-0005-0000-0000-00006D480000}"/>
    <cellStyle name="Normal 2 2 2 2 2 2 2 56 2" xfId="19327" xr:uid="{00000000-0005-0000-0000-00006E480000}"/>
    <cellStyle name="Normal 2 2 2 2 2 2 2 56 3" xfId="19328" xr:uid="{00000000-0005-0000-0000-00006F480000}"/>
    <cellStyle name="Normal 2 2 2 2 2 2 2 56 4" xfId="19329" xr:uid="{00000000-0005-0000-0000-000070480000}"/>
    <cellStyle name="Normal 2 2 2 2 2 2 2 56 5" xfId="19330" xr:uid="{00000000-0005-0000-0000-000071480000}"/>
    <cellStyle name="Normal 2 2 2 2 2 2 2 56 6" xfId="19331" xr:uid="{00000000-0005-0000-0000-000072480000}"/>
    <cellStyle name="Normal 2 2 2 2 2 2 2 57" xfId="19332" xr:uid="{00000000-0005-0000-0000-000073480000}"/>
    <cellStyle name="Normal 2 2 2 2 2 2 2 57 2" xfId="19333" xr:uid="{00000000-0005-0000-0000-000074480000}"/>
    <cellStyle name="Normal 2 2 2 2 2 2 2 57 3" xfId="19334" xr:uid="{00000000-0005-0000-0000-000075480000}"/>
    <cellStyle name="Normal 2 2 2 2 2 2 2 57 4" xfId="19335" xr:uid="{00000000-0005-0000-0000-000076480000}"/>
    <cellStyle name="Normal 2 2 2 2 2 2 2 57 5" xfId="19336" xr:uid="{00000000-0005-0000-0000-000077480000}"/>
    <cellStyle name="Normal 2 2 2 2 2 2 2 57 6" xfId="19337" xr:uid="{00000000-0005-0000-0000-000078480000}"/>
    <cellStyle name="Normal 2 2 2 2 2 2 2 58" xfId="19338" xr:uid="{00000000-0005-0000-0000-000079480000}"/>
    <cellStyle name="Normal 2 2 2 2 2 2 2 58 2" xfId="19339" xr:uid="{00000000-0005-0000-0000-00007A480000}"/>
    <cellStyle name="Normal 2 2 2 2 2 2 2 58 3" xfId="19340" xr:uid="{00000000-0005-0000-0000-00007B480000}"/>
    <cellStyle name="Normal 2 2 2 2 2 2 2 58 4" xfId="19341" xr:uid="{00000000-0005-0000-0000-00007C480000}"/>
    <cellStyle name="Normal 2 2 2 2 2 2 2 58 5" xfId="19342" xr:uid="{00000000-0005-0000-0000-00007D480000}"/>
    <cellStyle name="Normal 2 2 2 2 2 2 2 58 6" xfId="19343" xr:uid="{00000000-0005-0000-0000-00007E480000}"/>
    <cellStyle name="Normal 2 2 2 2 2 2 2 59" xfId="19344" xr:uid="{00000000-0005-0000-0000-00007F480000}"/>
    <cellStyle name="Normal 2 2 2 2 2 2 2 59 2" xfId="19345" xr:uid="{00000000-0005-0000-0000-000080480000}"/>
    <cellStyle name="Normal 2 2 2 2 2 2 2 59 3" xfId="19346" xr:uid="{00000000-0005-0000-0000-000081480000}"/>
    <cellStyle name="Normal 2 2 2 2 2 2 2 59 4" xfId="19347" xr:uid="{00000000-0005-0000-0000-000082480000}"/>
    <cellStyle name="Normal 2 2 2 2 2 2 2 59 5" xfId="19348" xr:uid="{00000000-0005-0000-0000-000083480000}"/>
    <cellStyle name="Normal 2 2 2 2 2 2 2 59 6" xfId="19349" xr:uid="{00000000-0005-0000-0000-000084480000}"/>
    <cellStyle name="Normal 2 2 2 2 2 2 2 6" xfId="19350" xr:uid="{00000000-0005-0000-0000-000085480000}"/>
    <cellStyle name="Normal 2 2 2 2 2 2 2 6 10" xfId="19351" xr:uid="{00000000-0005-0000-0000-000086480000}"/>
    <cellStyle name="Normal 2 2 2 2 2 2 2 6 11" xfId="19352" xr:uid="{00000000-0005-0000-0000-000087480000}"/>
    <cellStyle name="Normal 2 2 2 2 2 2 2 6 12" xfId="19353" xr:uid="{00000000-0005-0000-0000-000088480000}"/>
    <cellStyle name="Normal 2 2 2 2 2 2 2 6 13" xfId="19354" xr:uid="{00000000-0005-0000-0000-000089480000}"/>
    <cellStyle name="Normal 2 2 2 2 2 2 2 6 2" xfId="19355" xr:uid="{00000000-0005-0000-0000-00008A480000}"/>
    <cellStyle name="Normal 2 2 2 2 2 2 2 6 2 2" xfId="19356" xr:uid="{00000000-0005-0000-0000-00008B480000}"/>
    <cellStyle name="Normal 2 2 2 2 2 2 2 6 2 3" xfId="19357" xr:uid="{00000000-0005-0000-0000-00008C480000}"/>
    <cellStyle name="Normal 2 2 2 2 2 2 2 6 2 4" xfId="19358" xr:uid="{00000000-0005-0000-0000-00008D480000}"/>
    <cellStyle name="Normal 2 2 2 2 2 2 2 6 2 5" xfId="19359" xr:uid="{00000000-0005-0000-0000-00008E480000}"/>
    <cellStyle name="Normal 2 2 2 2 2 2 2 6 2 6" xfId="19360" xr:uid="{00000000-0005-0000-0000-00008F480000}"/>
    <cellStyle name="Normal 2 2 2 2 2 2 2 6 3" xfId="19361" xr:uid="{00000000-0005-0000-0000-000090480000}"/>
    <cellStyle name="Normal 2 2 2 2 2 2 2 6 3 2" xfId="19362" xr:uid="{00000000-0005-0000-0000-000091480000}"/>
    <cellStyle name="Normal 2 2 2 2 2 2 2 6 3 3" xfId="19363" xr:uid="{00000000-0005-0000-0000-000092480000}"/>
    <cellStyle name="Normal 2 2 2 2 2 2 2 6 3 4" xfId="19364" xr:uid="{00000000-0005-0000-0000-000093480000}"/>
    <cellStyle name="Normal 2 2 2 2 2 2 2 6 3 5" xfId="19365" xr:uid="{00000000-0005-0000-0000-000094480000}"/>
    <cellStyle name="Normal 2 2 2 2 2 2 2 6 3 6" xfId="19366" xr:uid="{00000000-0005-0000-0000-000095480000}"/>
    <cellStyle name="Normal 2 2 2 2 2 2 2 6 4" xfId="19367" xr:uid="{00000000-0005-0000-0000-000096480000}"/>
    <cellStyle name="Normal 2 2 2 2 2 2 2 6 4 2" xfId="19368" xr:uid="{00000000-0005-0000-0000-000097480000}"/>
    <cellStyle name="Normal 2 2 2 2 2 2 2 6 4 3" xfId="19369" xr:uid="{00000000-0005-0000-0000-000098480000}"/>
    <cellStyle name="Normal 2 2 2 2 2 2 2 6 4 4" xfId="19370" xr:uid="{00000000-0005-0000-0000-000099480000}"/>
    <cellStyle name="Normal 2 2 2 2 2 2 2 6 4 5" xfId="19371" xr:uid="{00000000-0005-0000-0000-00009A480000}"/>
    <cellStyle name="Normal 2 2 2 2 2 2 2 6 4 6" xfId="19372" xr:uid="{00000000-0005-0000-0000-00009B480000}"/>
    <cellStyle name="Normal 2 2 2 2 2 2 2 6 5" xfId="19373" xr:uid="{00000000-0005-0000-0000-00009C480000}"/>
    <cellStyle name="Normal 2 2 2 2 2 2 2 6 5 2" xfId="19374" xr:uid="{00000000-0005-0000-0000-00009D480000}"/>
    <cellStyle name="Normal 2 2 2 2 2 2 2 6 5 3" xfId="19375" xr:uid="{00000000-0005-0000-0000-00009E480000}"/>
    <cellStyle name="Normal 2 2 2 2 2 2 2 6 5 4" xfId="19376" xr:uid="{00000000-0005-0000-0000-00009F480000}"/>
    <cellStyle name="Normal 2 2 2 2 2 2 2 6 5 5" xfId="19377" xr:uid="{00000000-0005-0000-0000-0000A0480000}"/>
    <cellStyle name="Normal 2 2 2 2 2 2 2 6 5 6" xfId="19378" xr:uid="{00000000-0005-0000-0000-0000A1480000}"/>
    <cellStyle name="Normal 2 2 2 2 2 2 2 6 6" xfId="19379" xr:uid="{00000000-0005-0000-0000-0000A2480000}"/>
    <cellStyle name="Normal 2 2 2 2 2 2 2 6 6 2" xfId="19380" xr:uid="{00000000-0005-0000-0000-0000A3480000}"/>
    <cellStyle name="Normal 2 2 2 2 2 2 2 6 6 3" xfId="19381" xr:uid="{00000000-0005-0000-0000-0000A4480000}"/>
    <cellStyle name="Normal 2 2 2 2 2 2 2 6 6 4" xfId="19382" xr:uid="{00000000-0005-0000-0000-0000A5480000}"/>
    <cellStyle name="Normal 2 2 2 2 2 2 2 6 6 5" xfId="19383" xr:uid="{00000000-0005-0000-0000-0000A6480000}"/>
    <cellStyle name="Normal 2 2 2 2 2 2 2 6 6 6" xfId="19384" xr:uid="{00000000-0005-0000-0000-0000A7480000}"/>
    <cellStyle name="Normal 2 2 2 2 2 2 2 6 7" xfId="19385" xr:uid="{00000000-0005-0000-0000-0000A8480000}"/>
    <cellStyle name="Normal 2 2 2 2 2 2 2 6 7 2" xfId="19386" xr:uid="{00000000-0005-0000-0000-0000A9480000}"/>
    <cellStyle name="Normal 2 2 2 2 2 2 2 6 7 3" xfId="19387" xr:uid="{00000000-0005-0000-0000-0000AA480000}"/>
    <cellStyle name="Normal 2 2 2 2 2 2 2 6 7 4" xfId="19388" xr:uid="{00000000-0005-0000-0000-0000AB480000}"/>
    <cellStyle name="Normal 2 2 2 2 2 2 2 6 7 5" xfId="19389" xr:uid="{00000000-0005-0000-0000-0000AC480000}"/>
    <cellStyle name="Normal 2 2 2 2 2 2 2 6 7 6" xfId="19390" xr:uid="{00000000-0005-0000-0000-0000AD480000}"/>
    <cellStyle name="Normal 2 2 2 2 2 2 2 6 8" xfId="19391" xr:uid="{00000000-0005-0000-0000-0000AE480000}"/>
    <cellStyle name="Normal 2 2 2 2 2 2 2 6 8 2" xfId="19392" xr:uid="{00000000-0005-0000-0000-0000AF480000}"/>
    <cellStyle name="Normal 2 2 2 2 2 2 2 6 8 3" xfId="19393" xr:uid="{00000000-0005-0000-0000-0000B0480000}"/>
    <cellStyle name="Normal 2 2 2 2 2 2 2 6 8 4" xfId="19394" xr:uid="{00000000-0005-0000-0000-0000B1480000}"/>
    <cellStyle name="Normal 2 2 2 2 2 2 2 6 8 5" xfId="19395" xr:uid="{00000000-0005-0000-0000-0000B2480000}"/>
    <cellStyle name="Normal 2 2 2 2 2 2 2 6 8 6" xfId="19396" xr:uid="{00000000-0005-0000-0000-0000B3480000}"/>
    <cellStyle name="Normal 2 2 2 2 2 2 2 6 9" xfId="19397" xr:uid="{00000000-0005-0000-0000-0000B4480000}"/>
    <cellStyle name="Normal 2 2 2 2 2 2 2 60" xfId="19398" xr:uid="{00000000-0005-0000-0000-0000B5480000}"/>
    <cellStyle name="Normal 2 2 2 2 2 2 2 60 2" xfId="19399" xr:uid="{00000000-0005-0000-0000-0000B6480000}"/>
    <cellStyle name="Normal 2 2 2 2 2 2 2 60 3" xfId="19400" xr:uid="{00000000-0005-0000-0000-0000B7480000}"/>
    <cellStyle name="Normal 2 2 2 2 2 2 2 60 4" xfId="19401" xr:uid="{00000000-0005-0000-0000-0000B8480000}"/>
    <cellStyle name="Normal 2 2 2 2 2 2 2 60 5" xfId="19402" xr:uid="{00000000-0005-0000-0000-0000B9480000}"/>
    <cellStyle name="Normal 2 2 2 2 2 2 2 60 6" xfId="19403" xr:uid="{00000000-0005-0000-0000-0000BA480000}"/>
    <cellStyle name="Normal 2 2 2 2 2 2 2 61" xfId="19404" xr:uid="{00000000-0005-0000-0000-0000BB480000}"/>
    <cellStyle name="Normal 2 2 2 2 2 2 2 61 2" xfId="19405" xr:uid="{00000000-0005-0000-0000-0000BC480000}"/>
    <cellStyle name="Normal 2 2 2 2 2 2 2 61 3" xfId="19406" xr:uid="{00000000-0005-0000-0000-0000BD480000}"/>
    <cellStyle name="Normal 2 2 2 2 2 2 2 61 4" xfId="19407" xr:uid="{00000000-0005-0000-0000-0000BE480000}"/>
    <cellStyle name="Normal 2 2 2 2 2 2 2 61 5" xfId="19408" xr:uid="{00000000-0005-0000-0000-0000BF480000}"/>
    <cellStyle name="Normal 2 2 2 2 2 2 2 61 6" xfId="19409" xr:uid="{00000000-0005-0000-0000-0000C0480000}"/>
    <cellStyle name="Normal 2 2 2 2 2 2 2 62" xfId="19410" xr:uid="{00000000-0005-0000-0000-0000C1480000}"/>
    <cellStyle name="Normal 2 2 2 2 2 2 2 62 2" xfId="19411" xr:uid="{00000000-0005-0000-0000-0000C2480000}"/>
    <cellStyle name="Normal 2 2 2 2 2 2 2 62 2 2" xfId="19412" xr:uid="{00000000-0005-0000-0000-0000C3480000}"/>
    <cellStyle name="Normal 2 2 2 2 2 2 2 62 2 3" xfId="19413" xr:uid="{00000000-0005-0000-0000-0000C4480000}"/>
    <cellStyle name="Normal 2 2 2 2 2 2 2 62 2 4" xfId="19414" xr:uid="{00000000-0005-0000-0000-0000C5480000}"/>
    <cellStyle name="Normal 2 2 2 2 2 2 2 62 2 5" xfId="19415" xr:uid="{00000000-0005-0000-0000-0000C6480000}"/>
    <cellStyle name="Normal 2 2 2 2 2 2 2 62 2 6" xfId="19416" xr:uid="{00000000-0005-0000-0000-0000C7480000}"/>
    <cellStyle name="Normal 2 2 2 2 2 2 2 63" xfId="19417" xr:uid="{00000000-0005-0000-0000-0000C8480000}"/>
    <cellStyle name="Normal 2 2 2 2 2 2 2 63 10" xfId="19418" xr:uid="{00000000-0005-0000-0000-0000C9480000}"/>
    <cellStyle name="Normal 2 2 2 2 2 2 2 63 11" xfId="19419" xr:uid="{00000000-0005-0000-0000-0000CA480000}"/>
    <cellStyle name="Normal 2 2 2 2 2 2 2 63 2" xfId="19420" xr:uid="{00000000-0005-0000-0000-0000CB480000}"/>
    <cellStyle name="Normal 2 2 2 2 2 2 2 63 2 2" xfId="19421" xr:uid="{00000000-0005-0000-0000-0000CC480000}"/>
    <cellStyle name="Normal 2 2 2 2 2 2 2 63 2 2 2" xfId="19422" xr:uid="{00000000-0005-0000-0000-0000CD480000}"/>
    <cellStyle name="Normal 2 2 2 2 2 2 2 63 2 2 3" xfId="19423" xr:uid="{00000000-0005-0000-0000-0000CE480000}"/>
    <cellStyle name="Normal 2 2 2 2 2 2 2 63 2 3" xfId="19424" xr:uid="{00000000-0005-0000-0000-0000CF480000}"/>
    <cellStyle name="Normal 2 2 2 2 2 2 2 63 2 4" xfId="19425" xr:uid="{00000000-0005-0000-0000-0000D0480000}"/>
    <cellStyle name="Normal 2 2 2 2 2 2 2 63 2 5" xfId="19426" xr:uid="{00000000-0005-0000-0000-0000D1480000}"/>
    <cellStyle name="Normal 2 2 2 2 2 2 2 63 2 6" xfId="19427" xr:uid="{00000000-0005-0000-0000-0000D2480000}"/>
    <cellStyle name="Normal 2 2 2 2 2 2 2 63 2 7" xfId="19428" xr:uid="{00000000-0005-0000-0000-0000D3480000}"/>
    <cellStyle name="Normal 2 2 2 2 2 2 2 63 2 8" xfId="19429" xr:uid="{00000000-0005-0000-0000-0000D4480000}"/>
    <cellStyle name="Normal 2 2 2 2 2 2 2 63 2 9" xfId="19430" xr:uid="{00000000-0005-0000-0000-0000D5480000}"/>
    <cellStyle name="Normal 2 2 2 2 2 2 2 63 3" xfId="19431" xr:uid="{00000000-0005-0000-0000-0000D6480000}"/>
    <cellStyle name="Normal 2 2 2 2 2 2 2 63 4" xfId="19432" xr:uid="{00000000-0005-0000-0000-0000D7480000}"/>
    <cellStyle name="Normal 2 2 2 2 2 2 2 63 5" xfId="19433" xr:uid="{00000000-0005-0000-0000-0000D8480000}"/>
    <cellStyle name="Normal 2 2 2 2 2 2 2 63 5 2" xfId="19434" xr:uid="{00000000-0005-0000-0000-0000D9480000}"/>
    <cellStyle name="Normal 2 2 2 2 2 2 2 63 5 3" xfId="19435" xr:uid="{00000000-0005-0000-0000-0000DA480000}"/>
    <cellStyle name="Normal 2 2 2 2 2 2 2 63 6" xfId="19436" xr:uid="{00000000-0005-0000-0000-0000DB480000}"/>
    <cellStyle name="Normal 2 2 2 2 2 2 2 63 7" xfId="19437" xr:uid="{00000000-0005-0000-0000-0000DC480000}"/>
    <cellStyle name="Normal 2 2 2 2 2 2 2 63 8" xfId="19438" xr:uid="{00000000-0005-0000-0000-0000DD480000}"/>
    <cellStyle name="Normal 2 2 2 2 2 2 2 63 9" xfId="19439" xr:uid="{00000000-0005-0000-0000-0000DE480000}"/>
    <cellStyle name="Normal 2 2 2 2 2 2 2 64" xfId="19440" xr:uid="{00000000-0005-0000-0000-0000DF480000}"/>
    <cellStyle name="Normal 2 2 2 2 2 2 2 65" xfId="19441" xr:uid="{00000000-0005-0000-0000-0000E0480000}"/>
    <cellStyle name="Normal 2 2 2 2 2 2 2 66" xfId="19442" xr:uid="{00000000-0005-0000-0000-0000E1480000}"/>
    <cellStyle name="Normal 2 2 2 2 2 2 2 66 2" xfId="19443" xr:uid="{00000000-0005-0000-0000-0000E2480000}"/>
    <cellStyle name="Normal 2 2 2 2 2 2 2 66 2 2" xfId="19444" xr:uid="{00000000-0005-0000-0000-0000E3480000}"/>
    <cellStyle name="Normal 2 2 2 2 2 2 2 66 2 3" xfId="19445" xr:uid="{00000000-0005-0000-0000-0000E4480000}"/>
    <cellStyle name="Normal 2 2 2 2 2 2 2 66 3" xfId="19446" xr:uid="{00000000-0005-0000-0000-0000E5480000}"/>
    <cellStyle name="Normal 2 2 2 2 2 2 2 66 4" xfId="19447" xr:uid="{00000000-0005-0000-0000-0000E6480000}"/>
    <cellStyle name="Normal 2 2 2 2 2 2 2 66 5" xfId="19448" xr:uid="{00000000-0005-0000-0000-0000E7480000}"/>
    <cellStyle name="Normal 2 2 2 2 2 2 2 66 6" xfId="19449" xr:uid="{00000000-0005-0000-0000-0000E8480000}"/>
    <cellStyle name="Normal 2 2 2 2 2 2 2 66 7" xfId="19450" xr:uid="{00000000-0005-0000-0000-0000E9480000}"/>
    <cellStyle name="Normal 2 2 2 2 2 2 2 66 8" xfId="19451" xr:uid="{00000000-0005-0000-0000-0000EA480000}"/>
    <cellStyle name="Normal 2 2 2 2 2 2 2 66 9" xfId="19452" xr:uid="{00000000-0005-0000-0000-0000EB480000}"/>
    <cellStyle name="Normal 2 2 2 2 2 2 2 67" xfId="19453" xr:uid="{00000000-0005-0000-0000-0000EC480000}"/>
    <cellStyle name="Normal 2 2 2 2 2 2 2 68" xfId="19454" xr:uid="{00000000-0005-0000-0000-0000ED480000}"/>
    <cellStyle name="Normal 2 2 2 2 2 2 2 68 2" xfId="19455" xr:uid="{00000000-0005-0000-0000-0000EE480000}"/>
    <cellStyle name="Normal 2 2 2 2 2 2 2 68 3" xfId="19456" xr:uid="{00000000-0005-0000-0000-0000EF480000}"/>
    <cellStyle name="Normal 2 2 2 2 2 2 2 69" xfId="19457" xr:uid="{00000000-0005-0000-0000-0000F0480000}"/>
    <cellStyle name="Normal 2 2 2 2 2 2 2 7" xfId="19458" xr:uid="{00000000-0005-0000-0000-0000F1480000}"/>
    <cellStyle name="Normal 2 2 2 2 2 2 2 7 10" xfId="19459" xr:uid="{00000000-0005-0000-0000-0000F2480000}"/>
    <cellStyle name="Normal 2 2 2 2 2 2 2 7 11" xfId="19460" xr:uid="{00000000-0005-0000-0000-0000F3480000}"/>
    <cellStyle name="Normal 2 2 2 2 2 2 2 7 12" xfId="19461" xr:uid="{00000000-0005-0000-0000-0000F4480000}"/>
    <cellStyle name="Normal 2 2 2 2 2 2 2 7 13" xfId="19462" xr:uid="{00000000-0005-0000-0000-0000F5480000}"/>
    <cellStyle name="Normal 2 2 2 2 2 2 2 7 2" xfId="19463" xr:uid="{00000000-0005-0000-0000-0000F6480000}"/>
    <cellStyle name="Normal 2 2 2 2 2 2 2 7 2 2" xfId="19464" xr:uid="{00000000-0005-0000-0000-0000F7480000}"/>
    <cellStyle name="Normal 2 2 2 2 2 2 2 7 2 3" xfId="19465" xr:uid="{00000000-0005-0000-0000-0000F8480000}"/>
    <cellStyle name="Normal 2 2 2 2 2 2 2 7 2 4" xfId="19466" xr:uid="{00000000-0005-0000-0000-0000F9480000}"/>
    <cellStyle name="Normal 2 2 2 2 2 2 2 7 2 5" xfId="19467" xr:uid="{00000000-0005-0000-0000-0000FA480000}"/>
    <cellStyle name="Normal 2 2 2 2 2 2 2 7 2 6" xfId="19468" xr:uid="{00000000-0005-0000-0000-0000FB480000}"/>
    <cellStyle name="Normal 2 2 2 2 2 2 2 7 3" xfId="19469" xr:uid="{00000000-0005-0000-0000-0000FC480000}"/>
    <cellStyle name="Normal 2 2 2 2 2 2 2 7 3 2" xfId="19470" xr:uid="{00000000-0005-0000-0000-0000FD480000}"/>
    <cellStyle name="Normal 2 2 2 2 2 2 2 7 3 3" xfId="19471" xr:uid="{00000000-0005-0000-0000-0000FE480000}"/>
    <cellStyle name="Normal 2 2 2 2 2 2 2 7 3 4" xfId="19472" xr:uid="{00000000-0005-0000-0000-0000FF480000}"/>
    <cellStyle name="Normal 2 2 2 2 2 2 2 7 3 5" xfId="19473" xr:uid="{00000000-0005-0000-0000-000000490000}"/>
    <cellStyle name="Normal 2 2 2 2 2 2 2 7 3 6" xfId="19474" xr:uid="{00000000-0005-0000-0000-000001490000}"/>
    <cellStyle name="Normal 2 2 2 2 2 2 2 7 4" xfId="19475" xr:uid="{00000000-0005-0000-0000-000002490000}"/>
    <cellStyle name="Normal 2 2 2 2 2 2 2 7 4 2" xfId="19476" xr:uid="{00000000-0005-0000-0000-000003490000}"/>
    <cellStyle name="Normal 2 2 2 2 2 2 2 7 4 3" xfId="19477" xr:uid="{00000000-0005-0000-0000-000004490000}"/>
    <cellStyle name="Normal 2 2 2 2 2 2 2 7 4 4" xfId="19478" xr:uid="{00000000-0005-0000-0000-000005490000}"/>
    <cellStyle name="Normal 2 2 2 2 2 2 2 7 4 5" xfId="19479" xr:uid="{00000000-0005-0000-0000-000006490000}"/>
    <cellStyle name="Normal 2 2 2 2 2 2 2 7 4 6" xfId="19480" xr:uid="{00000000-0005-0000-0000-000007490000}"/>
    <cellStyle name="Normal 2 2 2 2 2 2 2 7 5" xfId="19481" xr:uid="{00000000-0005-0000-0000-000008490000}"/>
    <cellStyle name="Normal 2 2 2 2 2 2 2 7 5 2" xfId="19482" xr:uid="{00000000-0005-0000-0000-000009490000}"/>
    <cellStyle name="Normal 2 2 2 2 2 2 2 7 5 3" xfId="19483" xr:uid="{00000000-0005-0000-0000-00000A490000}"/>
    <cellStyle name="Normal 2 2 2 2 2 2 2 7 5 4" xfId="19484" xr:uid="{00000000-0005-0000-0000-00000B490000}"/>
    <cellStyle name="Normal 2 2 2 2 2 2 2 7 5 5" xfId="19485" xr:uid="{00000000-0005-0000-0000-00000C490000}"/>
    <cellStyle name="Normal 2 2 2 2 2 2 2 7 5 6" xfId="19486" xr:uid="{00000000-0005-0000-0000-00000D490000}"/>
    <cellStyle name="Normal 2 2 2 2 2 2 2 7 6" xfId="19487" xr:uid="{00000000-0005-0000-0000-00000E490000}"/>
    <cellStyle name="Normal 2 2 2 2 2 2 2 7 6 2" xfId="19488" xr:uid="{00000000-0005-0000-0000-00000F490000}"/>
    <cellStyle name="Normal 2 2 2 2 2 2 2 7 6 3" xfId="19489" xr:uid="{00000000-0005-0000-0000-000010490000}"/>
    <cellStyle name="Normal 2 2 2 2 2 2 2 7 6 4" xfId="19490" xr:uid="{00000000-0005-0000-0000-000011490000}"/>
    <cellStyle name="Normal 2 2 2 2 2 2 2 7 6 5" xfId="19491" xr:uid="{00000000-0005-0000-0000-000012490000}"/>
    <cellStyle name="Normal 2 2 2 2 2 2 2 7 6 6" xfId="19492" xr:uid="{00000000-0005-0000-0000-000013490000}"/>
    <cellStyle name="Normal 2 2 2 2 2 2 2 7 7" xfId="19493" xr:uid="{00000000-0005-0000-0000-000014490000}"/>
    <cellStyle name="Normal 2 2 2 2 2 2 2 7 7 2" xfId="19494" xr:uid="{00000000-0005-0000-0000-000015490000}"/>
    <cellStyle name="Normal 2 2 2 2 2 2 2 7 7 3" xfId="19495" xr:uid="{00000000-0005-0000-0000-000016490000}"/>
    <cellStyle name="Normal 2 2 2 2 2 2 2 7 7 4" xfId="19496" xr:uid="{00000000-0005-0000-0000-000017490000}"/>
    <cellStyle name="Normal 2 2 2 2 2 2 2 7 7 5" xfId="19497" xr:uid="{00000000-0005-0000-0000-000018490000}"/>
    <cellStyle name="Normal 2 2 2 2 2 2 2 7 7 6" xfId="19498" xr:uid="{00000000-0005-0000-0000-000019490000}"/>
    <cellStyle name="Normal 2 2 2 2 2 2 2 7 8" xfId="19499" xr:uid="{00000000-0005-0000-0000-00001A490000}"/>
    <cellStyle name="Normal 2 2 2 2 2 2 2 7 8 2" xfId="19500" xr:uid="{00000000-0005-0000-0000-00001B490000}"/>
    <cellStyle name="Normal 2 2 2 2 2 2 2 7 8 3" xfId="19501" xr:uid="{00000000-0005-0000-0000-00001C490000}"/>
    <cellStyle name="Normal 2 2 2 2 2 2 2 7 8 4" xfId="19502" xr:uid="{00000000-0005-0000-0000-00001D490000}"/>
    <cellStyle name="Normal 2 2 2 2 2 2 2 7 8 5" xfId="19503" xr:uid="{00000000-0005-0000-0000-00001E490000}"/>
    <cellStyle name="Normal 2 2 2 2 2 2 2 7 8 6" xfId="19504" xr:uid="{00000000-0005-0000-0000-00001F490000}"/>
    <cellStyle name="Normal 2 2 2 2 2 2 2 7 9" xfId="19505" xr:uid="{00000000-0005-0000-0000-000020490000}"/>
    <cellStyle name="Normal 2 2 2 2 2 2 2 70" xfId="19506" xr:uid="{00000000-0005-0000-0000-000021490000}"/>
    <cellStyle name="Normal 2 2 2 2 2 2 2 71" xfId="19507" xr:uid="{00000000-0005-0000-0000-000022490000}"/>
    <cellStyle name="Normal 2 2 2 2 2 2 2 72" xfId="19508" xr:uid="{00000000-0005-0000-0000-000023490000}"/>
    <cellStyle name="Normal 2 2 2 2 2 2 2 73" xfId="19509" xr:uid="{00000000-0005-0000-0000-000024490000}"/>
    <cellStyle name="Normal 2 2 2 2 2 2 2 74" xfId="19510" xr:uid="{00000000-0005-0000-0000-000025490000}"/>
    <cellStyle name="Normal 2 2 2 2 2 2 2 75" xfId="19511" xr:uid="{00000000-0005-0000-0000-000026490000}"/>
    <cellStyle name="Normal 2 2 2 2 2 2 2 8" xfId="19512" xr:uid="{00000000-0005-0000-0000-000027490000}"/>
    <cellStyle name="Normal 2 2 2 2 2 2 2 8 10" xfId="19513" xr:uid="{00000000-0005-0000-0000-000028490000}"/>
    <cellStyle name="Normal 2 2 2 2 2 2 2 8 11" xfId="19514" xr:uid="{00000000-0005-0000-0000-000029490000}"/>
    <cellStyle name="Normal 2 2 2 2 2 2 2 8 12" xfId="19515" xr:uid="{00000000-0005-0000-0000-00002A490000}"/>
    <cellStyle name="Normal 2 2 2 2 2 2 2 8 13" xfId="19516" xr:uid="{00000000-0005-0000-0000-00002B490000}"/>
    <cellStyle name="Normal 2 2 2 2 2 2 2 8 2" xfId="19517" xr:uid="{00000000-0005-0000-0000-00002C490000}"/>
    <cellStyle name="Normal 2 2 2 2 2 2 2 8 2 2" xfId="19518" xr:uid="{00000000-0005-0000-0000-00002D490000}"/>
    <cellStyle name="Normal 2 2 2 2 2 2 2 8 2 3" xfId="19519" xr:uid="{00000000-0005-0000-0000-00002E490000}"/>
    <cellStyle name="Normal 2 2 2 2 2 2 2 8 2 4" xfId="19520" xr:uid="{00000000-0005-0000-0000-00002F490000}"/>
    <cellStyle name="Normal 2 2 2 2 2 2 2 8 2 5" xfId="19521" xr:uid="{00000000-0005-0000-0000-000030490000}"/>
    <cellStyle name="Normal 2 2 2 2 2 2 2 8 2 6" xfId="19522" xr:uid="{00000000-0005-0000-0000-000031490000}"/>
    <cellStyle name="Normal 2 2 2 2 2 2 2 8 3" xfId="19523" xr:uid="{00000000-0005-0000-0000-000032490000}"/>
    <cellStyle name="Normal 2 2 2 2 2 2 2 8 3 2" xfId="19524" xr:uid="{00000000-0005-0000-0000-000033490000}"/>
    <cellStyle name="Normal 2 2 2 2 2 2 2 8 3 3" xfId="19525" xr:uid="{00000000-0005-0000-0000-000034490000}"/>
    <cellStyle name="Normal 2 2 2 2 2 2 2 8 3 4" xfId="19526" xr:uid="{00000000-0005-0000-0000-000035490000}"/>
    <cellStyle name="Normal 2 2 2 2 2 2 2 8 3 5" xfId="19527" xr:uid="{00000000-0005-0000-0000-000036490000}"/>
    <cellStyle name="Normal 2 2 2 2 2 2 2 8 3 6" xfId="19528" xr:uid="{00000000-0005-0000-0000-000037490000}"/>
    <cellStyle name="Normal 2 2 2 2 2 2 2 8 4" xfId="19529" xr:uid="{00000000-0005-0000-0000-000038490000}"/>
    <cellStyle name="Normal 2 2 2 2 2 2 2 8 4 2" xfId="19530" xr:uid="{00000000-0005-0000-0000-000039490000}"/>
    <cellStyle name="Normal 2 2 2 2 2 2 2 8 4 3" xfId="19531" xr:uid="{00000000-0005-0000-0000-00003A490000}"/>
    <cellStyle name="Normal 2 2 2 2 2 2 2 8 4 4" xfId="19532" xr:uid="{00000000-0005-0000-0000-00003B490000}"/>
    <cellStyle name="Normal 2 2 2 2 2 2 2 8 4 5" xfId="19533" xr:uid="{00000000-0005-0000-0000-00003C490000}"/>
    <cellStyle name="Normal 2 2 2 2 2 2 2 8 4 6" xfId="19534" xr:uid="{00000000-0005-0000-0000-00003D490000}"/>
    <cellStyle name="Normal 2 2 2 2 2 2 2 8 5" xfId="19535" xr:uid="{00000000-0005-0000-0000-00003E490000}"/>
    <cellStyle name="Normal 2 2 2 2 2 2 2 8 5 2" xfId="19536" xr:uid="{00000000-0005-0000-0000-00003F490000}"/>
    <cellStyle name="Normal 2 2 2 2 2 2 2 8 5 3" xfId="19537" xr:uid="{00000000-0005-0000-0000-000040490000}"/>
    <cellStyle name="Normal 2 2 2 2 2 2 2 8 5 4" xfId="19538" xr:uid="{00000000-0005-0000-0000-000041490000}"/>
    <cellStyle name="Normal 2 2 2 2 2 2 2 8 5 5" xfId="19539" xr:uid="{00000000-0005-0000-0000-000042490000}"/>
    <cellStyle name="Normal 2 2 2 2 2 2 2 8 5 6" xfId="19540" xr:uid="{00000000-0005-0000-0000-000043490000}"/>
    <cellStyle name="Normal 2 2 2 2 2 2 2 8 6" xfId="19541" xr:uid="{00000000-0005-0000-0000-000044490000}"/>
    <cellStyle name="Normal 2 2 2 2 2 2 2 8 6 2" xfId="19542" xr:uid="{00000000-0005-0000-0000-000045490000}"/>
    <cellStyle name="Normal 2 2 2 2 2 2 2 8 6 3" xfId="19543" xr:uid="{00000000-0005-0000-0000-000046490000}"/>
    <cellStyle name="Normal 2 2 2 2 2 2 2 8 6 4" xfId="19544" xr:uid="{00000000-0005-0000-0000-000047490000}"/>
    <cellStyle name="Normal 2 2 2 2 2 2 2 8 6 5" xfId="19545" xr:uid="{00000000-0005-0000-0000-000048490000}"/>
    <cellStyle name="Normal 2 2 2 2 2 2 2 8 6 6" xfId="19546" xr:uid="{00000000-0005-0000-0000-000049490000}"/>
    <cellStyle name="Normal 2 2 2 2 2 2 2 8 7" xfId="19547" xr:uid="{00000000-0005-0000-0000-00004A490000}"/>
    <cellStyle name="Normal 2 2 2 2 2 2 2 8 7 2" xfId="19548" xr:uid="{00000000-0005-0000-0000-00004B490000}"/>
    <cellStyle name="Normal 2 2 2 2 2 2 2 8 7 3" xfId="19549" xr:uid="{00000000-0005-0000-0000-00004C490000}"/>
    <cellStyle name="Normal 2 2 2 2 2 2 2 8 7 4" xfId="19550" xr:uid="{00000000-0005-0000-0000-00004D490000}"/>
    <cellStyle name="Normal 2 2 2 2 2 2 2 8 7 5" xfId="19551" xr:uid="{00000000-0005-0000-0000-00004E490000}"/>
    <cellStyle name="Normal 2 2 2 2 2 2 2 8 7 6" xfId="19552" xr:uid="{00000000-0005-0000-0000-00004F490000}"/>
    <cellStyle name="Normal 2 2 2 2 2 2 2 8 8" xfId="19553" xr:uid="{00000000-0005-0000-0000-000050490000}"/>
    <cellStyle name="Normal 2 2 2 2 2 2 2 8 8 2" xfId="19554" xr:uid="{00000000-0005-0000-0000-000051490000}"/>
    <cellStyle name="Normal 2 2 2 2 2 2 2 8 8 3" xfId="19555" xr:uid="{00000000-0005-0000-0000-000052490000}"/>
    <cellStyle name="Normal 2 2 2 2 2 2 2 8 8 4" xfId="19556" xr:uid="{00000000-0005-0000-0000-000053490000}"/>
    <cellStyle name="Normal 2 2 2 2 2 2 2 8 8 5" xfId="19557" xr:uid="{00000000-0005-0000-0000-000054490000}"/>
    <cellStyle name="Normal 2 2 2 2 2 2 2 8 8 6" xfId="19558" xr:uid="{00000000-0005-0000-0000-000055490000}"/>
    <cellStyle name="Normal 2 2 2 2 2 2 2 8 9" xfId="19559" xr:uid="{00000000-0005-0000-0000-000056490000}"/>
    <cellStyle name="Normal 2 2 2 2 2 2 2 9" xfId="19560" xr:uid="{00000000-0005-0000-0000-000057490000}"/>
    <cellStyle name="Normal 2 2 2 2 2 2 2 9 10" xfId="19561" xr:uid="{00000000-0005-0000-0000-000058490000}"/>
    <cellStyle name="Normal 2 2 2 2 2 2 2 9 11" xfId="19562" xr:uid="{00000000-0005-0000-0000-000059490000}"/>
    <cellStyle name="Normal 2 2 2 2 2 2 2 9 12" xfId="19563" xr:uid="{00000000-0005-0000-0000-00005A490000}"/>
    <cellStyle name="Normal 2 2 2 2 2 2 2 9 13" xfId="19564" xr:uid="{00000000-0005-0000-0000-00005B490000}"/>
    <cellStyle name="Normal 2 2 2 2 2 2 2 9 2" xfId="19565" xr:uid="{00000000-0005-0000-0000-00005C490000}"/>
    <cellStyle name="Normal 2 2 2 2 2 2 2 9 2 2" xfId="19566" xr:uid="{00000000-0005-0000-0000-00005D490000}"/>
    <cellStyle name="Normal 2 2 2 2 2 2 2 9 2 3" xfId="19567" xr:uid="{00000000-0005-0000-0000-00005E490000}"/>
    <cellStyle name="Normal 2 2 2 2 2 2 2 9 2 4" xfId="19568" xr:uid="{00000000-0005-0000-0000-00005F490000}"/>
    <cellStyle name="Normal 2 2 2 2 2 2 2 9 2 5" xfId="19569" xr:uid="{00000000-0005-0000-0000-000060490000}"/>
    <cellStyle name="Normal 2 2 2 2 2 2 2 9 2 6" xfId="19570" xr:uid="{00000000-0005-0000-0000-000061490000}"/>
    <cellStyle name="Normal 2 2 2 2 2 2 2 9 3" xfId="19571" xr:uid="{00000000-0005-0000-0000-000062490000}"/>
    <cellStyle name="Normal 2 2 2 2 2 2 2 9 3 2" xfId="19572" xr:uid="{00000000-0005-0000-0000-000063490000}"/>
    <cellStyle name="Normal 2 2 2 2 2 2 2 9 3 3" xfId="19573" xr:uid="{00000000-0005-0000-0000-000064490000}"/>
    <cellStyle name="Normal 2 2 2 2 2 2 2 9 3 4" xfId="19574" xr:uid="{00000000-0005-0000-0000-000065490000}"/>
    <cellStyle name="Normal 2 2 2 2 2 2 2 9 3 5" xfId="19575" xr:uid="{00000000-0005-0000-0000-000066490000}"/>
    <cellStyle name="Normal 2 2 2 2 2 2 2 9 3 6" xfId="19576" xr:uid="{00000000-0005-0000-0000-000067490000}"/>
    <cellStyle name="Normal 2 2 2 2 2 2 2 9 4" xfId="19577" xr:uid="{00000000-0005-0000-0000-000068490000}"/>
    <cellStyle name="Normal 2 2 2 2 2 2 2 9 4 2" xfId="19578" xr:uid="{00000000-0005-0000-0000-000069490000}"/>
    <cellStyle name="Normal 2 2 2 2 2 2 2 9 4 3" xfId="19579" xr:uid="{00000000-0005-0000-0000-00006A490000}"/>
    <cellStyle name="Normal 2 2 2 2 2 2 2 9 4 4" xfId="19580" xr:uid="{00000000-0005-0000-0000-00006B490000}"/>
    <cellStyle name="Normal 2 2 2 2 2 2 2 9 4 5" xfId="19581" xr:uid="{00000000-0005-0000-0000-00006C490000}"/>
    <cellStyle name="Normal 2 2 2 2 2 2 2 9 4 6" xfId="19582" xr:uid="{00000000-0005-0000-0000-00006D490000}"/>
    <cellStyle name="Normal 2 2 2 2 2 2 2 9 5" xfId="19583" xr:uid="{00000000-0005-0000-0000-00006E490000}"/>
    <cellStyle name="Normal 2 2 2 2 2 2 2 9 5 2" xfId="19584" xr:uid="{00000000-0005-0000-0000-00006F490000}"/>
    <cellStyle name="Normal 2 2 2 2 2 2 2 9 5 3" xfId="19585" xr:uid="{00000000-0005-0000-0000-000070490000}"/>
    <cellStyle name="Normal 2 2 2 2 2 2 2 9 5 4" xfId="19586" xr:uid="{00000000-0005-0000-0000-000071490000}"/>
    <cellStyle name="Normal 2 2 2 2 2 2 2 9 5 5" xfId="19587" xr:uid="{00000000-0005-0000-0000-000072490000}"/>
    <cellStyle name="Normal 2 2 2 2 2 2 2 9 5 6" xfId="19588" xr:uid="{00000000-0005-0000-0000-000073490000}"/>
    <cellStyle name="Normal 2 2 2 2 2 2 2 9 6" xfId="19589" xr:uid="{00000000-0005-0000-0000-000074490000}"/>
    <cellStyle name="Normal 2 2 2 2 2 2 2 9 6 2" xfId="19590" xr:uid="{00000000-0005-0000-0000-000075490000}"/>
    <cellStyle name="Normal 2 2 2 2 2 2 2 9 6 3" xfId="19591" xr:uid="{00000000-0005-0000-0000-000076490000}"/>
    <cellStyle name="Normal 2 2 2 2 2 2 2 9 6 4" xfId="19592" xr:uid="{00000000-0005-0000-0000-000077490000}"/>
    <cellStyle name="Normal 2 2 2 2 2 2 2 9 6 5" xfId="19593" xr:uid="{00000000-0005-0000-0000-000078490000}"/>
    <cellStyle name="Normal 2 2 2 2 2 2 2 9 6 6" xfId="19594" xr:uid="{00000000-0005-0000-0000-000079490000}"/>
    <cellStyle name="Normal 2 2 2 2 2 2 2 9 7" xfId="19595" xr:uid="{00000000-0005-0000-0000-00007A490000}"/>
    <cellStyle name="Normal 2 2 2 2 2 2 2 9 7 2" xfId="19596" xr:uid="{00000000-0005-0000-0000-00007B490000}"/>
    <cellStyle name="Normal 2 2 2 2 2 2 2 9 7 3" xfId="19597" xr:uid="{00000000-0005-0000-0000-00007C490000}"/>
    <cellStyle name="Normal 2 2 2 2 2 2 2 9 7 4" xfId="19598" xr:uid="{00000000-0005-0000-0000-00007D490000}"/>
    <cellStyle name="Normal 2 2 2 2 2 2 2 9 7 5" xfId="19599" xr:uid="{00000000-0005-0000-0000-00007E490000}"/>
    <cellStyle name="Normal 2 2 2 2 2 2 2 9 7 6" xfId="19600" xr:uid="{00000000-0005-0000-0000-00007F490000}"/>
    <cellStyle name="Normal 2 2 2 2 2 2 2 9 8" xfId="19601" xr:uid="{00000000-0005-0000-0000-000080490000}"/>
    <cellStyle name="Normal 2 2 2 2 2 2 2 9 8 2" xfId="19602" xr:uid="{00000000-0005-0000-0000-000081490000}"/>
    <cellStyle name="Normal 2 2 2 2 2 2 2 9 8 3" xfId="19603" xr:uid="{00000000-0005-0000-0000-000082490000}"/>
    <cellStyle name="Normal 2 2 2 2 2 2 2 9 8 4" xfId="19604" xr:uid="{00000000-0005-0000-0000-000083490000}"/>
    <cellStyle name="Normal 2 2 2 2 2 2 2 9 8 5" xfId="19605" xr:uid="{00000000-0005-0000-0000-000084490000}"/>
    <cellStyle name="Normal 2 2 2 2 2 2 2 9 8 6" xfId="19606" xr:uid="{00000000-0005-0000-0000-000085490000}"/>
    <cellStyle name="Normal 2 2 2 2 2 2 2 9 9" xfId="19607" xr:uid="{00000000-0005-0000-0000-000086490000}"/>
    <cellStyle name="Normal 2 2 2 2 2 2 20" xfId="19608" xr:uid="{00000000-0005-0000-0000-000087490000}"/>
    <cellStyle name="Normal 2 2 2 2 2 2 20 10" xfId="19609" xr:uid="{00000000-0005-0000-0000-000088490000}"/>
    <cellStyle name="Normal 2 2 2 2 2 2 20 11" xfId="19610" xr:uid="{00000000-0005-0000-0000-000089490000}"/>
    <cellStyle name="Normal 2 2 2 2 2 2 20 12" xfId="19611" xr:uid="{00000000-0005-0000-0000-00008A490000}"/>
    <cellStyle name="Normal 2 2 2 2 2 2 20 13" xfId="19612" xr:uid="{00000000-0005-0000-0000-00008B490000}"/>
    <cellStyle name="Normal 2 2 2 2 2 2 20 2" xfId="19613" xr:uid="{00000000-0005-0000-0000-00008C490000}"/>
    <cellStyle name="Normal 2 2 2 2 2 2 20 2 2" xfId="19614" xr:uid="{00000000-0005-0000-0000-00008D490000}"/>
    <cellStyle name="Normal 2 2 2 2 2 2 20 2 3" xfId="19615" xr:uid="{00000000-0005-0000-0000-00008E490000}"/>
    <cellStyle name="Normal 2 2 2 2 2 2 20 2 4" xfId="19616" xr:uid="{00000000-0005-0000-0000-00008F490000}"/>
    <cellStyle name="Normal 2 2 2 2 2 2 20 2 5" xfId="19617" xr:uid="{00000000-0005-0000-0000-000090490000}"/>
    <cellStyle name="Normal 2 2 2 2 2 2 20 2 6" xfId="19618" xr:uid="{00000000-0005-0000-0000-000091490000}"/>
    <cellStyle name="Normal 2 2 2 2 2 2 20 3" xfId="19619" xr:uid="{00000000-0005-0000-0000-000092490000}"/>
    <cellStyle name="Normal 2 2 2 2 2 2 20 3 2" xfId="19620" xr:uid="{00000000-0005-0000-0000-000093490000}"/>
    <cellStyle name="Normal 2 2 2 2 2 2 20 3 3" xfId="19621" xr:uid="{00000000-0005-0000-0000-000094490000}"/>
    <cellStyle name="Normal 2 2 2 2 2 2 20 3 4" xfId="19622" xr:uid="{00000000-0005-0000-0000-000095490000}"/>
    <cellStyle name="Normal 2 2 2 2 2 2 20 3 5" xfId="19623" xr:uid="{00000000-0005-0000-0000-000096490000}"/>
    <cellStyle name="Normal 2 2 2 2 2 2 20 3 6" xfId="19624" xr:uid="{00000000-0005-0000-0000-000097490000}"/>
    <cellStyle name="Normal 2 2 2 2 2 2 20 4" xfId="19625" xr:uid="{00000000-0005-0000-0000-000098490000}"/>
    <cellStyle name="Normal 2 2 2 2 2 2 20 4 2" xfId="19626" xr:uid="{00000000-0005-0000-0000-000099490000}"/>
    <cellStyle name="Normal 2 2 2 2 2 2 20 4 3" xfId="19627" xr:uid="{00000000-0005-0000-0000-00009A490000}"/>
    <cellStyle name="Normal 2 2 2 2 2 2 20 4 4" xfId="19628" xr:uid="{00000000-0005-0000-0000-00009B490000}"/>
    <cellStyle name="Normal 2 2 2 2 2 2 20 4 5" xfId="19629" xr:uid="{00000000-0005-0000-0000-00009C490000}"/>
    <cellStyle name="Normal 2 2 2 2 2 2 20 4 6" xfId="19630" xr:uid="{00000000-0005-0000-0000-00009D490000}"/>
    <cellStyle name="Normal 2 2 2 2 2 2 20 5" xfId="19631" xr:uid="{00000000-0005-0000-0000-00009E490000}"/>
    <cellStyle name="Normal 2 2 2 2 2 2 20 5 2" xfId="19632" xr:uid="{00000000-0005-0000-0000-00009F490000}"/>
    <cellStyle name="Normal 2 2 2 2 2 2 20 5 3" xfId="19633" xr:uid="{00000000-0005-0000-0000-0000A0490000}"/>
    <cellStyle name="Normal 2 2 2 2 2 2 20 5 4" xfId="19634" xr:uid="{00000000-0005-0000-0000-0000A1490000}"/>
    <cellStyle name="Normal 2 2 2 2 2 2 20 5 5" xfId="19635" xr:uid="{00000000-0005-0000-0000-0000A2490000}"/>
    <cellStyle name="Normal 2 2 2 2 2 2 20 5 6" xfId="19636" xr:uid="{00000000-0005-0000-0000-0000A3490000}"/>
    <cellStyle name="Normal 2 2 2 2 2 2 20 6" xfId="19637" xr:uid="{00000000-0005-0000-0000-0000A4490000}"/>
    <cellStyle name="Normal 2 2 2 2 2 2 20 6 2" xfId="19638" xr:uid="{00000000-0005-0000-0000-0000A5490000}"/>
    <cellStyle name="Normal 2 2 2 2 2 2 20 6 3" xfId="19639" xr:uid="{00000000-0005-0000-0000-0000A6490000}"/>
    <cellStyle name="Normal 2 2 2 2 2 2 20 6 4" xfId="19640" xr:uid="{00000000-0005-0000-0000-0000A7490000}"/>
    <cellStyle name="Normal 2 2 2 2 2 2 20 6 5" xfId="19641" xr:uid="{00000000-0005-0000-0000-0000A8490000}"/>
    <cellStyle name="Normal 2 2 2 2 2 2 20 6 6" xfId="19642" xr:uid="{00000000-0005-0000-0000-0000A9490000}"/>
    <cellStyle name="Normal 2 2 2 2 2 2 20 7" xfId="19643" xr:uid="{00000000-0005-0000-0000-0000AA490000}"/>
    <cellStyle name="Normal 2 2 2 2 2 2 20 7 2" xfId="19644" xr:uid="{00000000-0005-0000-0000-0000AB490000}"/>
    <cellStyle name="Normal 2 2 2 2 2 2 20 7 3" xfId="19645" xr:uid="{00000000-0005-0000-0000-0000AC490000}"/>
    <cellStyle name="Normal 2 2 2 2 2 2 20 7 4" xfId="19646" xr:uid="{00000000-0005-0000-0000-0000AD490000}"/>
    <cellStyle name="Normal 2 2 2 2 2 2 20 7 5" xfId="19647" xr:uid="{00000000-0005-0000-0000-0000AE490000}"/>
    <cellStyle name="Normal 2 2 2 2 2 2 20 7 6" xfId="19648" xr:uid="{00000000-0005-0000-0000-0000AF490000}"/>
    <cellStyle name="Normal 2 2 2 2 2 2 20 8" xfId="19649" xr:uid="{00000000-0005-0000-0000-0000B0490000}"/>
    <cellStyle name="Normal 2 2 2 2 2 2 20 8 2" xfId="19650" xr:uid="{00000000-0005-0000-0000-0000B1490000}"/>
    <cellStyle name="Normal 2 2 2 2 2 2 20 8 3" xfId="19651" xr:uid="{00000000-0005-0000-0000-0000B2490000}"/>
    <cellStyle name="Normal 2 2 2 2 2 2 20 8 4" xfId="19652" xr:uid="{00000000-0005-0000-0000-0000B3490000}"/>
    <cellStyle name="Normal 2 2 2 2 2 2 20 8 5" xfId="19653" xr:uid="{00000000-0005-0000-0000-0000B4490000}"/>
    <cellStyle name="Normal 2 2 2 2 2 2 20 8 6" xfId="19654" xr:uid="{00000000-0005-0000-0000-0000B5490000}"/>
    <cellStyle name="Normal 2 2 2 2 2 2 20 9" xfId="19655" xr:uid="{00000000-0005-0000-0000-0000B6490000}"/>
    <cellStyle name="Normal 2 2 2 2 2 2 21" xfId="19656" xr:uid="{00000000-0005-0000-0000-0000B7490000}"/>
    <cellStyle name="Normal 2 2 2 2 2 2 21 10" xfId="19657" xr:uid="{00000000-0005-0000-0000-0000B8490000}"/>
    <cellStyle name="Normal 2 2 2 2 2 2 21 11" xfId="19658" xr:uid="{00000000-0005-0000-0000-0000B9490000}"/>
    <cellStyle name="Normal 2 2 2 2 2 2 21 12" xfId="19659" xr:uid="{00000000-0005-0000-0000-0000BA490000}"/>
    <cellStyle name="Normal 2 2 2 2 2 2 21 13" xfId="19660" xr:uid="{00000000-0005-0000-0000-0000BB490000}"/>
    <cellStyle name="Normal 2 2 2 2 2 2 21 2" xfId="19661" xr:uid="{00000000-0005-0000-0000-0000BC490000}"/>
    <cellStyle name="Normal 2 2 2 2 2 2 21 2 2" xfId="19662" xr:uid="{00000000-0005-0000-0000-0000BD490000}"/>
    <cellStyle name="Normal 2 2 2 2 2 2 21 2 3" xfId="19663" xr:uid="{00000000-0005-0000-0000-0000BE490000}"/>
    <cellStyle name="Normal 2 2 2 2 2 2 21 2 4" xfId="19664" xr:uid="{00000000-0005-0000-0000-0000BF490000}"/>
    <cellStyle name="Normal 2 2 2 2 2 2 21 2 5" xfId="19665" xr:uid="{00000000-0005-0000-0000-0000C0490000}"/>
    <cellStyle name="Normal 2 2 2 2 2 2 21 2 6" xfId="19666" xr:uid="{00000000-0005-0000-0000-0000C1490000}"/>
    <cellStyle name="Normal 2 2 2 2 2 2 21 3" xfId="19667" xr:uid="{00000000-0005-0000-0000-0000C2490000}"/>
    <cellStyle name="Normal 2 2 2 2 2 2 21 3 2" xfId="19668" xr:uid="{00000000-0005-0000-0000-0000C3490000}"/>
    <cellStyle name="Normal 2 2 2 2 2 2 21 3 3" xfId="19669" xr:uid="{00000000-0005-0000-0000-0000C4490000}"/>
    <cellStyle name="Normal 2 2 2 2 2 2 21 3 4" xfId="19670" xr:uid="{00000000-0005-0000-0000-0000C5490000}"/>
    <cellStyle name="Normal 2 2 2 2 2 2 21 3 5" xfId="19671" xr:uid="{00000000-0005-0000-0000-0000C6490000}"/>
    <cellStyle name="Normal 2 2 2 2 2 2 21 3 6" xfId="19672" xr:uid="{00000000-0005-0000-0000-0000C7490000}"/>
    <cellStyle name="Normal 2 2 2 2 2 2 21 4" xfId="19673" xr:uid="{00000000-0005-0000-0000-0000C8490000}"/>
    <cellStyle name="Normal 2 2 2 2 2 2 21 4 2" xfId="19674" xr:uid="{00000000-0005-0000-0000-0000C9490000}"/>
    <cellStyle name="Normal 2 2 2 2 2 2 21 4 3" xfId="19675" xr:uid="{00000000-0005-0000-0000-0000CA490000}"/>
    <cellStyle name="Normal 2 2 2 2 2 2 21 4 4" xfId="19676" xr:uid="{00000000-0005-0000-0000-0000CB490000}"/>
    <cellStyle name="Normal 2 2 2 2 2 2 21 4 5" xfId="19677" xr:uid="{00000000-0005-0000-0000-0000CC490000}"/>
    <cellStyle name="Normal 2 2 2 2 2 2 21 4 6" xfId="19678" xr:uid="{00000000-0005-0000-0000-0000CD490000}"/>
    <cellStyle name="Normal 2 2 2 2 2 2 21 5" xfId="19679" xr:uid="{00000000-0005-0000-0000-0000CE490000}"/>
    <cellStyle name="Normal 2 2 2 2 2 2 21 5 2" xfId="19680" xr:uid="{00000000-0005-0000-0000-0000CF490000}"/>
    <cellStyle name="Normal 2 2 2 2 2 2 21 5 3" xfId="19681" xr:uid="{00000000-0005-0000-0000-0000D0490000}"/>
    <cellStyle name="Normal 2 2 2 2 2 2 21 5 4" xfId="19682" xr:uid="{00000000-0005-0000-0000-0000D1490000}"/>
    <cellStyle name="Normal 2 2 2 2 2 2 21 5 5" xfId="19683" xr:uid="{00000000-0005-0000-0000-0000D2490000}"/>
    <cellStyle name="Normal 2 2 2 2 2 2 21 5 6" xfId="19684" xr:uid="{00000000-0005-0000-0000-0000D3490000}"/>
    <cellStyle name="Normal 2 2 2 2 2 2 21 6" xfId="19685" xr:uid="{00000000-0005-0000-0000-0000D4490000}"/>
    <cellStyle name="Normal 2 2 2 2 2 2 21 6 2" xfId="19686" xr:uid="{00000000-0005-0000-0000-0000D5490000}"/>
    <cellStyle name="Normal 2 2 2 2 2 2 21 6 3" xfId="19687" xr:uid="{00000000-0005-0000-0000-0000D6490000}"/>
    <cellStyle name="Normal 2 2 2 2 2 2 21 6 4" xfId="19688" xr:uid="{00000000-0005-0000-0000-0000D7490000}"/>
    <cellStyle name="Normal 2 2 2 2 2 2 21 6 5" xfId="19689" xr:uid="{00000000-0005-0000-0000-0000D8490000}"/>
    <cellStyle name="Normal 2 2 2 2 2 2 21 6 6" xfId="19690" xr:uid="{00000000-0005-0000-0000-0000D9490000}"/>
    <cellStyle name="Normal 2 2 2 2 2 2 21 7" xfId="19691" xr:uid="{00000000-0005-0000-0000-0000DA490000}"/>
    <cellStyle name="Normal 2 2 2 2 2 2 21 7 2" xfId="19692" xr:uid="{00000000-0005-0000-0000-0000DB490000}"/>
    <cellStyle name="Normal 2 2 2 2 2 2 21 7 3" xfId="19693" xr:uid="{00000000-0005-0000-0000-0000DC490000}"/>
    <cellStyle name="Normal 2 2 2 2 2 2 21 7 4" xfId="19694" xr:uid="{00000000-0005-0000-0000-0000DD490000}"/>
    <cellStyle name="Normal 2 2 2 2 2 2 21 7 5" xfId="19695" xr:uid="{00000000-0005-0000-0000-0000DE490000}"/>
    <cellStyle name="Normal 2 2 2 2 2 2 21 7 6" xfId="19696" xr:uid="{00000000-0005-0000-0000-0000DF490000}"/>
    <cellStyle name="Normal 2 2 2 2 2 2 21 8" xfId="19697" xr:uid="{00000000-0005-0000-0000-0000E0490000}"/>
    <cellStyle name="Normal 2 2 2 2 2 2 21 8 2" xfId="19698" xr:uid="{00000000-0005-0000-0000-0000E1490000}"/>
    <cellStyle name="Normal 2 2 2 2 2 2 21 8 3" xfId="19699" xr:uid="{00000000-0005-0000-0000-0000E2490000}"/>
    <cellStyle name="Normal 2 2 2 2 2 2 21 8 4" xfId="19700" xr:uid="{00000000-0005-0000-0000-0000E3490000}"/>
    <cellStyle name="Normal 2 2 2 2 2 2 21 8 5" xfId="19701" xr:uid="{00000000-0005-0000-0000-0000E4490000}"/>
    <cellStyle name="Normal 2 2 2 2 2 2 21 8 6" xfId="19702" xr:uid="{00000000-0005-0000-0000-0000E5490000}"/>
    <cellStyle name="Normal 2 2 2 2 2 2 21 9" xfId="19703" xr:uid="{00000000-0005-0000-0000-0000E6490000}"/>
    <cellStyle name="Normal 2 2 2 2 2 2 22" xfId="19704" xr:uid="{00000000-0005-0000-0000-0000E7490000}"/>
    <cellStyle name="Normal 2 2 2 2 2 2 22 10" xfId="19705" xr:uid="{00000000-0005-0000-0000-0000E8490000}"/>
    <cellStyle name="Normal 2 2 2 2 2 2 22 11" xfId="19706" xr:uid="{00000000-0005-0000-0000-0000E9490000}"/>
    <cellStyle name="Normal 2 2 2 2 2 2 22 12" xfId="19707" xr:uid="{00000000-0005-0000-0000-0000EA490000}"/>
    <cellStyle name="Normal 2 2 2 2 2 2 22 13" xfId="19708" xr:uid="{00000000-0005-0000-0000-0000EB490000}"/>
    <cellStyle name="Normal 2 2 2 2 2 2 22 2" xfId="19709" xr:uid="{00000000-0005-0000-0000-0000EC490000}"/>
    <cellStyle name="Normal 2 2 2 2 2 2 22 2 2" xfId="19710" xr:uid="{00000000-0005-0000-0000-0000ED490000}"/>
    <cellStyle name="Normal 2 2 2 2 2 2 22 2 3" xfId="19711" xr:uid="{00000000-0005-0000-0000-0000EE490000}"/>
    <cellStyle name="Normal 2 2 2 2 2 2 22 2 4" xfId="19712" xr:uid="{00000000-0005-0000-0000-0000EF490000}"/>
    <cellStyle name="Normal 2 2 2 2 2 2 22 2 5" xfId="19713" xr:uid="{00000000-0005-0000-0000-0000F0490000}"/>
    <cellStyle name="Normal 2 2 2 2 2 2 22 2 6" xfId="19714" xr:uid="{00000000-0005-0000-0000-0000F1490000}"/>
    <cellStyle name="Normal 2 2 2 2 2 2 22 3" xfId="19715" xr:uid="{00000000-0005-0000-0000-0000F2490000}"/>
    <cellStyle name="Normal 2 2 2 2 2 2 22 3 2" xfId="19716" xr:uid="{00000000-0005-0000-0000-0000F3490000}"/>
    <cellStyle name="Normal 2 2 2 2 2 2 22 3 3" xfId="19717" xr:uid="{00000000-0005-0000-0000-0000F4490000}"/>
    <cellStyle name="Normal 2 2 2 2 2 2 22 3 4" xfId="19718" xr:uid="{00000000-0005-0000-0000-0000F5490000}"/>
    <cellStyle name="Normal 2 2 2 2 2 2 22 3 5" xfId="19719" xr:uid="{00000000-0005-0000-0000-0000F6490000}"/>
    <cellStyle name="Normal 2 2 2 2 2 2 22 3 6" xfId="19720" xr:uid="{00000000-0005-0000-0000-0000F7490000}"/>
    <cellStyle name="Normal 2 2 2 2 2 2 22 4" xfId="19721" xr:uid="{00000000-0005-0000-0000-0000F8490000}"/>
    <cellStyle name="Normal 2 2 2 2 2 2 22 4 2" xfId="19722" xr:uid="{00000000-0005-0000-0000-0000F9490000}"/>
    <cellStyle name="Normal 2 2 2 2 2 2 22 4 3" xfId="19723" xr:uid="{00000000-0005-0000-0000-0000FA490000}"/>
    <cellStyle name="Normal 2 2 2 2 2 2 22 4 4" xfId="19724" xr:uid="{00000000-0005-0000-0000-0000FB490000}"/>
    <cellStyle name="Normal 2 2 2 2 2 2 22 4 5" xfId="19725" xr:uid="{00000000-0005-0000-0000-0000FC490000}"/>
    <cellStyle name="Normal 2 2 2 2 2 2 22 4 6" xfId="19726" xr:uid="{00000000-0005-0000-0000-0000FD490000}"/>
    <cellStyle name="Normal 2 2 2 2 2 2 22 5" xfId="19727" xr:uid="{00000000-0005-0000-0000-0000FE490000}"/>
    <cellStyle name="Normal 2 2 2 2 2 2 22 5 2" xfId="19728" xr:uid="{00000000-0005-0000-0000-0000FF490000}"/>
    <cellStyle name="Normal 2 2 2 2 2 2 22 5 3" xfId="19729" xr:uid="{00000000-0005-0000-0000-0000004A0000}"/>
    <cellStyle name="Normal 2 2 2 2 2 2 22 5 4" xfId="19730" xr:uid="{00000000-0005-0000-0000-0000014A0000}"/>
    <cellStyle name="Normal 2 2 2 2 2 2 22 5 5" xfId="19731" xr:uid="{00000000-0005-0000-0000-0000024A0000}"/>
    <cellStyle name="Normal 2 2 2 2 2 2 22 5 6" xfId="19732" xr:uid="{00000000-0005-0000-0000-0000034A0000}"/>
    <cellStyle name="Normal 2 2 2 2 2 2 22 6" xfId="19733" xr:uid="{00000000-0005-0000-0000-0000044A0000}"/>
    <cellStyle name="Normal 2 2 2 2 2 2 22 6 2" xfId="19734" xr:uid="{00000000-0005-0000-0000-0000054A0000}"/>
    <cellStyle name="Normal 2 2 2 2 2 2 22 6 3" xfId="19735" xr:uid="{00000000-0005-0000-0000-0000064A0000}"/>
    <cellStyle name="Normal 2 2 2 2 2 2 22 6 4" xfId="19736" xr:uid="{00000000-0005-0000-0000-0000074A0000}"/>
    <cellStyle name="Normal 2 2 2 2 2 2 22 6 5" xfId="19737" xr:uid="{00000000-0005-0000-0000-0000084A0000}"/>
    <cellStyle name="Normal 2 2 2 2 2 2 22 6 6" xfId="19738" xr:uid="{00000000-0005-0000-0000-0000094A0000}"/>
    <cellStyle name="Normal 2 2 2 2 2 2 22 7" xfId="19739" xr:uid="{00000000-0005-0000-0000-00000A4A0000}"/>
    <cellStyle name="Normal 2 2 2 2 2 2 22 7 2" xfId="19740" xr:uid="{00000000-0005-0000-0000-00000B4A0000}"/>
    <cellStyle name="Normal 2 2 2 2 2 2 22 7 3" xfId="19741" xr:uid="{00000000-0005-0000-0000-00000C4A0000}"/>
    <cellStyle name="Normal 2 2 2 2 2 2 22 7 4" xfId="19742" xr:uid="{00000000-0005-0000-0000-00000D4A0000}"/>
    <cellStyle name="Normal 2 2 2 2 2 2 22 7 5" xfId="19743" xr:uid="{00000000-0005-0000-0000-00000E4A0000}"/>
    <cellStyle name="Normal 2 2 2 2 2 2 22 7 6" xfId="19744" xr:uid="{00000000-0005-0000-0000-00000F4A0000}"/>
    <cellStyle name="Normal 2 2 2 2 2 2 22 8" xfId="19745" xr:uid="{00000000-0005-0000-0000-0000104A0000}"/>
    <cellStyle name="Normal 2 2 2 2 2 2 22 8 2" xfId="19746" xr:uid="{00000000-0005-0000-0000-0000114A0000}"/>
    <cellStyle name="Normal 2 2 2 2 2 2 22 8 3" xfId="19747" xr:uid="{00000000-0005-0000-0000-0000124A0000}"/>
    <cellStyle name="Normal 2 2 2 2 2 2 22 8 4" xfId="19748" xr:uid="{00000000-0005-0000-0000-0000134A0000}"/>
    <cellStyle name="Normal 2 2 2 2 2 2 22 8 5" xfId="19749" xr:uid="{00000000-0005-0000-0000-0000144A0000}"/>
    <cellStyle name="Normal 2 2 2 2 2 2 22 8 6" xfId="19750" xr:uid="{00000000-0005-0000-0000-0000154A0000}"/>
    <cellStyle name="Normal 2 2 2 2 2 2 22 9" xfId="19751" xr:uid="{00000000-0005-0000-0000-0000164A0000}"/>
    <cellStyle name="Normal 2 2 2 2 2 2 23" xfId="19752" xr:uid="{00000000-0005-0000-0000-0000174A0000}"/>
    <cellStyle name="Normal 2 2 2 2 2 2 23 10" xfId="19753" xr:uid="{00000000-0005-0000-0000-0000184A0000}"/>
    <cellStyle name="Normal 2 2 2 2 2 2 23 11" xfId="19754" xr:uid="{00000000-0005-0000-0000-0000194A0000}"/>
    <cellStyle name="Normal 2 2 2 2 2 2 23 12" xfId="19755" xr:uid="{00000000-0005-0000-0000-00001A4A0000}"/>
    <cellStyle name="Normal 2 2 2 2 2 2 23 13" xfId="19756" xr:uid="{00000000-0005-0000-0000-00001B4A0000}"/>
    <cellStyle name="Normal 2 2 2 2 2 2 23 2" xfId="19757" xr:uid="{00000000-0005-0000-0000-00001C4A0000}"/>
    <cellStyle name="Normal 2 2 2 2 2 2 23 2 2" xfId="19758" xr:uid="{00000000-0005-0000-0000-00001D4A0000}"/>
    <cellStyle name="Normal 2 2 2 2 2 2 23 2 3" xfId="19759" xr:uid="{00000000-0005-0000-0000-00001E4A0000}"/>
    <cellStyle name="Normal 2 2 2 2 2 2 23 2 4" xfId="19760" xr:uid="{00000000-0005-0000-0000-00001F4A0000}"/>
    <cellStyle name="Normal 2 2 2 2 2 2 23 2 5" xfId="19761" xr:uid="{00000000-0005-0000-0000-0000204A0000}"/>
    <cellStyle name="Normal 2 2 2 2 2 2 23 2 6" xfId="19762" xr:uid="{00000000-0005-0000-0000-0000214A0000}"/>
    <cellStyle name="Normal 2 2 2 2 2 2 23 3" xfId="19763" xr:uid="{00000000-0005-0000-0000-0000224A0000}"/>
    <cellStyle name="Normal 2 2 2 2 2 2 23 3 2" xfId="19764" xr:uid="{00000000-0005-0000-0000-0000234A0000}"/>
    <cellStyle name="Normal 2 2 2 2 2 2 23 3 3" xfId="19765" xr:uid="{00000000-0005-0000-0000-0000244A0000}"/>
    <cellStyle name="Normal 2 2 2 2 2 2 23 3 4" xfId="19766" xr:uid="{00000000-0005-0000-0000-0000254A0000}"/>
    <cellStyle name="Normal 2 2 2 2 2 2 23 3 5" xfId="19767" xr:uid="{00000000-0005-0000-0000-0000264A0000}"/>
    <cellStyle name="Normal 2 2 2 2 2 2 23 3 6" xfId="19768" xr:uid="{00000000-0005-0000-0000-0000274A0000}"/>
    <cellStyle name="Normal 2 2 2 2 2 2 23 4" xfId="19769" xr:uid="{00000000-0005-0000-0000-0000284A0000}"/>
    <cellStyle name="Normal 2 2 2 2 2 2 23 4 2" xfId="19770" xr:uid="{00000000-0005-0000-0000-0000294A0000}"/>
    <cellStyle name="Normal 2 2 2 2 2 2 23 4 3" xfId="19771" xr:uid="{00000000-0005-0000-0000-00002A4A0000}"/>
    <cellStyle name="Normal 2 2 2 2 2 2 23 4 4" xfId="19772" xr:uid="{00000000-0005-0000-0000-00002B4A0000}"/>
    <cellStyle name="Normal 2 2 2 2 2 2 23 4 5" xfId="19773" xr:uid="{00000000-0005-0000-0000-00002C4A0000}"/>
    <cellStyle name="Normal 2 2 2 2 2 2 23 4 6" xfId="19774" xr:uid="{00000000-0005-0000-0000-00002D4A0000}"/>
    <cellStyle name="Normal 2 2 2 2 2 2 23 5" xfId="19775" xr:uid="{00000000-0005-0000-0000-00002E4A0000}"/>
    <cellStyle name="Normal 2 2 2 2 2 2 23 5 2" xfId="19776" xr:uid="{00000000-0005-0000-0000-00002F4A0000}"/>
    <cellStyle name="Normal 2 2 2 2 2 2 23 5 3" xfId="19777" xr:uid="{00000000-0005-0000-0000-0000304A0000}"/>
    <cellStyle name="Normal 2 2 2 2 2 2 23 5 4" xfId="19778" xr:uid="{00000000-0005-0000-0000-0000314A0000}"/>
    <cellStyle name="Normal 2 2 2 2 2 2 23 5 5" xfId="19779" xr:uid="{00000000-0005-0000-0000-0000324A0000}"/>
    <cellStyle name="Normal 2 2 2 2 2 2 23 5 6" xfId="19780" xr:uid="{00000000-0005-0000-0000-0000334A0000}"/>
    <cellStyle name="Normal 2 2 2 2 2 2 23 6" xfId="19781" xr:uid="{00000000-0005-0000-0000-0000344A0000}"/>
    <cellStyle name="Normal 2 2 2 2 2 2 23 6 2" xfId="19782" xr:uid="{00000000-0005-0000-0000-0000354A0000}"/>
    <cellStyle name="Normal 2 2 2 2 2 2 23 6 3" xfId="19783" xr:uid="{00000000-0005-0000-0000-0000364A0000}"/>
    <cellStyle name="Normal 2 2 2 2 2 2 23 6 4" xfId="19784" xr:uid="{00000000-0005-0000-0000-0000374A0000}"/>
    <cellStyle name="Normal 2 2 2 2 2 2 23 6 5" xfId="19785" xr:uid="{00000000-0005-0000-0000-0000384A0000}"/>
    <cellStyle name="Normal 2 2 2 2 2 2 23 6 6" xfId="19786" xr:uid="{00000000-0005-0000-0000-0000394A0000}"/>
    <cellStyle name="Normal 2 2 2 2 2 2 23 7" xfId="19787" xr:uid="{00000000-0005-0000-0000-00003A4A0000}"/>
    <cellStyle name="Normal 2 2 2 2 2 2 23 7 2" xfId="19788" xr:uid="{00000000-0005-0000-0000-00003B4A0000}"/>
    <cellStyle name="Normal 2 2 2 2 2 2 23 7 3" xfId="19789" xr:uid="{00000000-0005-0000-0000-00003C4A0000}"/>
    <cellStyle name="Normal 2 2 2 2 2 2 23 7 4" xfId="19790" xr:uid="{00000000-0005-0000-0000-00003D4A0000}"/>
    <cellStyle name="Normal 2 2 2 2 2 2 23 7 5" xfId="19791" xr:uid="{00000000-0005-0000-0000-00003E4A0000}"/>
    <cellStyle name="Normal 2 2 2 2 2 2 23 7 6" xfId="19792" xr:uid="{00000000-0005-0000-0000-00003F4A0000}"/>
    <cellStyle name="Normal 2 2 2 2 2 2 23 8" xfId="19793" xr:uid="{00000000-0005-0000-0000-0000404A0000}"/>
    <cellStyle name="Normal 2 2 2 2 2 2 23 8 2" xfId="19794" xr:uid="{00000000-0005-0000-0000-0000414A0000}"/>
    <cellStyle name="Normal 2 2 2 2 2 2 23 8 3" xfId="19795" xr:uid="{00000000-0005-0000-0000-0000424A0000}"/>
    <cellStyle name="Normal 2 2 2 2 2 2 23 8 4" xfId="19796" xr:uid="{00000000-0005-0000-0000-0000434A0000}"/>
    <cellStyle name="Normal 2 2 2 2 2 2 23 8 5" xfId="19797" xr:uid="{00000000-0005-0000-0000-0000444A0000}"/>
    <cellStyle name="Normal 2 2 2 2 2 2 23 8 6" xfId="19798" xr:uid="{00000000-0005-0000-0000-0000454A0000}"/>
    <cellStyle name="Normal 2 2 2 2 2 2 23 9" xfId="19799" xr:uid="{00000000-0005-0000-0000-0000464A0000}"/>
    <cellStyle name="Normal 2 2 2 2 2 2 24" xfId="19800" xr:uid="{00000000-0005-0000-0000-0000474A0000}"/>
    <cellStyle name="Normal 2 2 2 2 2 2 24 10" xfId="19801" xr:uid="{00000000-0005-0000-0000-0000484A0000}"/>
    <cellStyle name="Normal 2 2 2 2 2 2 24 11" xfId="19802" xr:uid="{00000000-0005-0000-0000-0000494A0000}"/>
    <cellStyle name="Normal 2 2 2 2 2 2 24 12" xfId="19803" xr:uid="{00000000-0005-0000-0000-00004A4A0000}"/>
    <cellStyle name="Normal 2 2 2 2 2 2 24 13" xfId="19804" xr:uid="{00000000-0005-0000-0000-00004B4A0000}"/>
    <cellStyle name="Normal 2 2 2 2 2 2 24 2" xfId="19805" xr:uid="{00000000-0005-0000-0000-00004C4A0000}"/>
    <cellStyle name="Normal 2 2 2 2 2 2 24 2 2" xfId="19806" xr:uid="{00000000-0005-0000-0000-00004D4A0000}"/>
    <cellStyle name="Normal 2 2 2 2 2 2 24 2 3" xfId="19807" xr:uid="{00000000-0005-0000-0000-00004E4A0000}"/>
    <cellStyle name="Normal 2 2 2 2 2 2 24 2 4" xfId="19808" xr:uid="{00000000-0005-0000-0000-00004F4A0000}"/>
    <cellStyle name="Normal 2 2 2 2 2 2 24 2 5" xfId="19809" xr:uid="{00000000-0005-0000-0000-0000504A0000}"/>
    <cellStyle name="Normal 2 2 2 2 2 2 24 2 6" xfId="19810" xr:uid="{00000000-0005-0000-0000-0000514A0000}"/>
    <cellStyle name="Normal 2 2 2 2 2 2 24 3" xfId="19811" xr:uid="{00000000-0005-0000-0000-0000524A0000}"/>
    <cellStyle name="Normal 2 2 2 2 2 2 24 3 2" xfId="19812" xr:uid="{00000000-0005-0000-0000-0000534A0000}"/>
    <cellStyle name="Normal 2 2 2 2 2 2 24 3 3" xfId="19813" xr:uid="{00000000-0005-0000-0000-0000544A0000}"/>
    <cellStyle name="Normal 2 2 2 2 2 2 24 3 4" xfId="19814" xr:uid="{00000000-0005-0000-0000-0000554A0000}"/>
    <cellStyle name="Normal 2 2 2 2 2 2 24 3 5" xfId="19815" xr:uid="{00000000-0005-0000-0000-0000564A0000}"/>
    <cellStyle name="Normal 2 2 2 2 2 2 24 3 6" xfId="19816" xr:uid="{00000000-0005-0000-0000-0000574A0000}"/>
    <cellStyle name="Normal 2 2 2 2 2 2 24 4" xfId="19817" xr:uid="{00000000-0005-0000-0000-0000584A0000}"/>
    <cellStyle name="Normal 2 2 2 2 2 2 24 4 2" xfId="19818" xr:uid="{00000000-0005-0000-0000-0000594A0000}"/>
    <cellStyle name="Normal 2 2 2 2 2 2 24 4 3" xfId="19819" xr:uid="{00000000-0005-0000-0000-00005A4A0000}"/>
    <cellStyle name="Normal 2 2 2 2 2 2 24 4 4" xfId="19820" xr:uid="{00000000-0005-0000-0000-00005B4A0000}"/>
    <cellStyle name="Normal 2 2 2 2 2 2 24 4 5" xfId="19821" xr:uid="{00000000-0005-0000-0000-00005C4A0000}"/>
    <cellStyle name="Normal 2 2 2 2 2 2 24 4 6" xfId="19822" xr:uid="{00000000-0005-0000-0000-00005D4A0000}"/>
    <cellStyle name="Normal 2 2 2 2 2 2 24 5" xfId="19823" xr:uid="{00000000-0005-0000-0000-00005E4A0000}"/>
    <cellStyle name="Normal 2 2 2 2 2 2 24 5 2" xfId="19824" xr:uid="{00000000-0005-0000-0000-00005F4A0000}"/>
    <cellStyle name="Normal 2 2 2 2 2 2 24 5 3" xfId="19825" xr:uid="{00000000-0005-0000-0000-0000604A0000}"/>
    <cellStyle name="Normal 2 2 2 2 2 2 24 5 4" xfId="19826" xr:uid="{00000000-0005-0000-0000-0000614A0000}"/>
    <cellStyle name="Normal 2 2 2 2 2 2 24 5 5" xfId="19827" xr:uid="{00000000-0005-0000-0000-0000624A0000}"/>
    <cellStyle name="Normal 2 2 2 2 2 2 24 5 6" xfId="19828" xr:uid="{00000000-0005-0000-0000-0000634A0000}"/>
    <cellStyle name="Normal 2 2 2 2 2 2 24 6" xfId="19829" xr:uid="{00000000-0005-0000-0000-0000644A0000}"/>
    <cellStyle name="Normal 2 2 2 2 2 2 24 6 2" xfId="19830" xr:uid="{00000000-0005-0000-0000-0000654A0000}"/>
    <cellStyle name="Normal 2 2 2 2 2 2 24 6 3" xfId="19831" xr:uid="{00000000-0005-0000-0000-0000664A0000}"/>
    <cellStyle name="Normal 2 2 2 2 2 2 24 6 4" xfId="19832" xr:uid="{00000000-0005-0000-0000-0000674A0000}"/>
    <cellStyle name="Normal 2 2 2 2 2 2 24 6 5" xfId="19833" xr:uid="{00000000-0005-0000-0000-0000684A0000}"/>
    <cellStyle name="Normal 2 2 2 2 2 2 24 6 6" xfId="19834" xr:uid="{00000000-0005-0000-0000-0000694A0000}"/>
    <cellStyle name="Normal 2 2 2 2 2 2 24 7" xfId="19835" xr:uid="{00000000-0005-0000-0000-00006A4A0000}"/>
    <cellStyle name="Normal 2 2 2 2 2 2 24 7 2" xfId="19836" xr:uid="{00000000-0005-0000-0000-00006B4A0000}"/>
    <cellStyle name="Normal 2 2 2 2 2 2 24 7 3" xfId="19837" xr:uid="{00000000-0005-0000-0000-00006C4A0000}"/>
    <cellStyle name="Normal 2 2 2 2 2 2 24 7 4" xfId="19838" xr:uid="{00000000-0005-0000-0000-00006D4A0000}"/>
    <cellStyle name="Normal 2 2 2 2 2 2 24 7 5" xfId="19839" xr:uid="{00000000-0005-0000-0000-00006E4A0000}"/>
    <cellStyle name="Normal 2 2 2 2 2 2 24 7 6" xfId="19840" xr:uid="{00000000-0005-0000-0000-00006F4A0000}"/>
    <cellStyle name="Normal 2 2 2 2 2 2 24 8" xfId="19841" xr:uid="{00000000-0005-0000-0000-0000704A0000}"/>
    <cellStyle name="Normal 2 2 2 2 2 2 24 8 2" xfId="19842" xr:uid="{00000000-0005-0000-0000-0000714A0000}"/>
    <cellStyle name="Normal 2 2 2 2 2 2 24 8 3" xfId="19843" xr:uid="{00000000-0005-0000-0000-0000724A0000}"/>
    <cellStyle name="Normal 2 2 2 2 2 2 24 8 4" xfId="19844" xr:uid="{00000000-0005-0000-0000-0000734A0000}"/>
    <cellStyle name="Normal 2 2 2 2 2 2 24 8 5" xfId="19845" xr:uid="{00000000-0005-0000-0000-0000744A0000}"/>
    <cellStyle name="Normal 2 2 2 2 2 2 24 8 6" xfId="19846" xr:uid="{00000000-0005-0000-0000-0000754A0000}"/>
    <cellStyle name="Normal 2 2 2 2 2 2 24 9" xfId="19847" xr:uid="{00000000-0005-0000-0000-0000764A0000}"/>
    <cellStyle name="Normal 2 2 2 2 2 2 25" xfId="19848" xr:uid="{00000000-0005-0000-0000-0000774A0000}"/>
    <cellStyle name="Normal 2 2 2 2 2 2 25 10" xfId="19849" xr:uid="{00000000-0005-0000-0000-0000784A0000}"/>
    <cellStyle name="Normal 2 2 2 2 2 2 25 11" xfId="19850" xr:uid="{00000000-0005-0000-0000-0000794A0000}"/>
    <cellStyle name="Normal 2 2 2 2 2 2 25 12" xfId="19851" xr:uid="{00000000-0005-0000-0000-00007A4A0000}"/>
    <cellStyle name="Normal 2 2 2 2 2 2 25 13" xfId="19852" xr:uid="{00000000-0005-0000-0000-00007B4A0000}"/>
    <cellStyle name="Normal 2 2 2 2 2 2 25 2" xfId="19853" xr:uid="{00000000-0005-0000-0000-00007C4A0000}"/>
    <cellStyle name="Normal 2 2 2 2 2 2 25 2 2" xfId="19854" xr:uid="{00000000-0005-0000-0000-00007D4A0000}"/>
    <cellStyle name="Normal 2 2 2 2 2 2 25 2 3" xfId="19855" xr:uid="{00000000-0005-0000-0000-00007E4A0000}"/>
    <cellStyle name="Normal 2 2 2 2 2 2 25 2 4" xfId="19856" xr:uid="{00000000-0005-0000-0000-00007F4A0000}"/>
    <cellStyle name="Normal 2 2 2 2 2 2 25 2 5" xfId="19857" xr:uid="{00000000-0005-0000-0000-0000804A0000}"/>
    <cellStyle name="Normal 2 2 2 2 2 2 25 2 6" xfId="19858" xr:uid="{00000000-0005-0000-0000-0000814A0000}"/>
    <cellStyle name="Normal 2 2 2 2 2 2 25 3" xfId="19859" xr:uid="{00000000-0005-0000-0000-0000824A0000}"/>
    <cellStyle name="Normal 2 2 2 2 2 2 25 3 2" xfId="19860" xr:uid="{00000000-0005-0000-0000-0000834A0000}"/>
    <cellStyle name="Normal 2 2 2 2 2 2 25 3 3" xfId="19861" xr:uid="{00000000-0005-0000-0000-0000844A0000}"/>
    <cellStyle name="Normal 2 2 2 2 2 2 25 3 4" xfId="19862" xr:uid="{00000000-0005-0000-0000-0000854A0000}"/>
    <cellStyle name="Normal 2 2 2 2 2 2 25 3 5" xfId="19863" xr:uid="{00000000-0005-0000-0000-0000864A0000}"/>
    <cellStyle name="Normal 2 2 2 2 2 2 25 3 6" xfId="19864" xr:uid="{00000000-0005-0000-0000-0000874A0000}"/>
    <cellStyle name="Normal 2 2 2 2 2 2 25 4" xfId="19865" xr:uid="{00000000-0005-0000-0000-0000884A0000}"/>
    <cellStyle name="Normal 2 2 2 2 2 2 25 4 2" xfId="19866" xr:uid="{00000000-0005-0000-0000-0000894A0000}"/>
    <cellStyle name="Normal 2 2 2 2 2 2 25 4 3" xfId="19867" xr:uid="{00000000-0005-0000-0000-00008A4A0000}"/>
    <cellStyle name="Normal 2 2 2 2 2 2 25 4 4" xfId="19868" xr:uid="{00000000-0005-0000-0000-00008B4A0000}"/>
    <cellStyle name="Normal 2 2 2 2 2 2 25 4 5" xfId="19869" xr:uid="{00000000-0005-0000-0000-00008C4A0000}"/>
    <cellStyle name="Normal 2 2 2 2 2 2 25 4 6" xfId="19870" xr:uid="{00000000-0005-0000-0000-00008D4A0000}"/>
    <cellStyle name="Normal 2 2 2 2 2 2 25 5" xfId="19871" xr:uid="{00000000-0005-0000-0000-00008E4A0000}"/>
    <cellStyle name="Normal 2 2 2 2 2 2 25 5 2" xfId="19872" xr:uid="{00000000-0005-0000-0000-00008F4A0000}"/>
    <cellStyle name="Normal 2 2 2 2 2 2 25 5 3" xfId="19873" xr:uid="{00000000-0005-0000-0000-0000904A0000}"/>
    <cellStyle name="Normal 2 2 2 2 2 2 25 5 4" xfId="19874" xr:uid="{00000000-0005-0000-0000-0000914A0000}"/>
    <cellStyle name="Normal 2 2 2 2 2 2 25 5 5" xfId="19875" xr:uid="{00000000-0005-0000-0000-0000924A0000}"/>
    <cellStyle name="Normal 2 2 2 2 2 2 25 5 6" xfId="19876" xr:uid="{00000000-0005-0000-0000-0000934A0000}"/>
    <cellStyle name="Normal 2 2 2 2 2 2 25 6" xfId="19877" xr:uid="{00000000-0005-0000-0000-0000944A0000}"/>
    <cellStyle name="Normal 2 2 2 2 2 2 25 6 2" xfId="19878" xr:uid="{00000000-0005-0000-0000-0000954A0000}"/>
    <cellStyle name="Normal 2 2 2 2 2 2 25 6 3" xfId="19879" xr:uid="{00000000-0005-0000-0000-0000964A0000}"/>
    <cellStyle name="Normal 2 2 2 2 2 2 25 6 4" xfId="19880" xr:uid="{00000000-0005-0000-0000-0000974A0000}"/>
    <cellStyle name="Normal 2 2 2 2 2 2 25 6 5" xfId="19881" xr:uid="{00000000-0005-0000-0000-0000984A0000}"/>
    <cellStyle name="Normal 2 2 2 2 2 2 25 6 6" xfId="19882" xr:uid="{00000000-0005-0000-0000-0000994A0000}"/>
    <cellStyle name="Normal 2 2 2 2 2 2 25 7" xfId="19883" xr:uid="{00000000-0005-0000-0000-00009A4A0000}"/>
    <cellStyle name="Normal 2 2 2 2 2 2 25 7 2" xfId="19884" xr:uid="{00000000-0005-0000-0000-00009B4A0000}"/>
    <cellStyle name="Normal 2 2 2 2 2 2 25 7 3" xfId="19885" xr:uid="{00000000-0005-0000-0000-00009C4A0000}"/>
    <cellStyle name="Normal 2 2 2 2 2 2 25 7 4" xfId="19886" xr:uid="{00000000-0005-0000-0000-00009D4A0000}"/>
    <cellStyle name="Normal 2 2 2 2 2 2 25 7 5" xfId="19887" xr:uid="{00000000-0005-0000-0000-00009E4A0000}"/>
    <cellStyle name="Normal 2 2 2 2 2 2 25 7 6" xfId="19888" xr:uid="{00000000-0005-0000-0000-00009F4A0000}"/>
    <cellStyle name="Normal 2 2 2 2 2 2 25 8" xfId="19889" xr:uid="{00000000-0005-0000-0000-0000A04A0000}"/>
    <cellStyle name="Normal 2 2 2 2 2 2 25 8 2" xfId="19890" xr:uid="{00000000-0005-0000-0000-0000A14A0000}"/>
    <cellStyle name="Normal 2 2 2 2 2 2 25 8 3" xfId="19891" xr:uid="{00000000-0005-0000-0000-0000A24A0000}"/>
    <cellStyle name="Normal 2 2 2 2 2 2 25 8 4" xfId="19892" xr:uid="{00000000-0005-0000-0000-0000A34A0000}"/>
    <cellStyle name="Normal 2 2 2 2 2 2 25 8 5" xfId="19893" xr:uid="{00000000-0005-0000-0000-0000A44A0000}"/>
    <cellStyle name="Normal 2 2 2 2 2 2 25 8 6" xfId="19894" xr:uid="{00000000-0005-0000-0000-0000A54A0000}"/>
    <cellStyle name="Normal 2 2 2 2 2 2 25 9" xfId="19895" xr:uid="{00000000-0005-0000-0000-0000A64A0000}"/>
    <cellStyle name="Normal 2 2 2 2 2 2 26" xfId="19896" xr:uid="{00000000-0005-0000-0000-0000A74A0000}"/>
    <cellStyle name="Normal 2 2 2 2 2 2 26 10" xfId="19897" xr:uid="{00000000-0005-0000-0000-0000A84A0000}"/>
    <cellStyle name="Normal 2 2 2 2 2 2 26 11" xfId="19898" xr:uid="{00000000-0005-0000-0000-0000A94A0000}"/>
    <cellStyle name="Normal 2 2 2 2 2 2 26 12" xfId="19899" xr:uid="{00000000-0005-0000-0000-0000AA4A0000}"/>
    <cellStyle name="Normal 2 2 2 2 2 2 26 13" xfId="19900" xr:uid="{00000000-0005-0000-0000-0000AB4A0000}"/>
    <cellStyle name="Normal 2 2 2 2 2 2 26 2" xfId="19901" xr:uid="{00000000-0005-0000-0000-0000AC4A0000}"/>
    <cellStyle name="Normal 2 2 2 2 2 2 26 2 2" xfId="19902" xr:uid="{00000000-0005-0000-0000-0000AD4A0000}"/>
    <cellStyle name="Normal 2 2 2 2 2 2 26 2 3" xfId="19903" xr:uid="{00000000-0005-0000-0000-0000AE4A0000}"/>
    <cellStyle name="Normal 2 2 2 2 2 2 26 2 4" xfId="19904" xr:uid="{00000000-0005-0000-0000-0000AF4A0000}"/>
    <cellStyle name="Normal 2 2 2 2 2 2 26 2 5" xfId="19905" xr:uid="{00000000-0005-0000-0000-0000B04A0000}"/>
    <cellStyle name="Normal 2 2 2 2 2 2 26 2 6" xfId="19906" xr:uid="{00000000-0005-0000-0000-0000B14A0000}"/>
    <cellStyle name="Normal 2 2 2 2 2 2 26 3" xfId="19907" xr:uid="{00000000-0005-0000-0000-0000B24A0000}"/>
    <cellStyle name="Normal 2 2 2 2 2 2 26 3 2" xfId="19908" xr:uid="{00000000-0005-0000-0000-0000B34A0000}"/>
    <cellStyle name="Normal 2 2 2 2 2 2 26 3 3" xfId="19909" xr:uid="{00000000-0005-0000-0000-0000B44A0000}"/>
    <cellStyle name="Normal 2 2 2 2 2 2 26 3 4" xfId="19910" xr:uid="{00000000-0005-0000-0000-0000B54A0000}"/>
    <cellStyle name="Normal 2 2 2 2 2 2 26 3 5" xfId="19911" xr:uid="{00000000-0005-0000-0000-0000B64A0000}"/>
    <cellStyle name="Normal 2 2 2 2 2 2 26 3 6" xfId="19912" xr:uid="{00000000-0005-0000-0000-0000B74A0000}"/>
    <cellStyle name="Normal 2 2 2 2 2 2 26 4" xfId="19913" xr:uid="{00000000-0005-0000-0000-0000B84A0000}"/>
    <cellStyle name="Normal 2 2 2 2 2 2 26 4 2" xfId="19914" xr:uid="{00000000-0005-0000-0000-0000B94A0000}"/>
    <cellStyle name="Normal 2 2 2 2 2 2 26 4 3" xfId="19915" xr:uid="{00000000-0005-0000-0000-0000BA4A0000}"/>
    <cellStyle name="Normal 2 2 2 2 2 2 26 4 4" xfId="19916" xr:uid="{00000000-0005-0000-0000-0000BB4A0000}"/>
    <cellStyle name="Normal 2 2 2 2 2 2 26 4 5" xfId="19917" xr:uid="{00000000-0005-0000-0000-0000BC4A0000}"/>
    <cellStyle name="Normal 2 2 2 2 2 2 26 4 6" xfId="19918" xr:uid="{00000000-0005-0000-0000-0000BD4A0000}"/>
    <cellStyle name="Normal 2 2 2 2 2 2 26 5" xfId="19919" xr:uid="{00000000-0005-0000-0000-0000BE4A0000}"/>
    <cellStyle name="Normal 2 2 2 2 2 2 26 5 2" xfId="19920" xr:uid="{00000000-0005-0000-0000-0000BF4A0000}"/>
    <cellStyle name="Normal 2 2 2 2 2 2 26 5 3" xfId="19921" xr:uid="{00000000-0005-0000-0000-0000C04A0000}"/>
    <cellStyle name="Normal 2 2 2 2 2 2 26 5 4" xfId="19922" xr:uid="{00000000-0005-0000-0000-0000C14A0000}"/>
    <cellStyle name="Normal 2 2 2 2 2 2 26 5 5" xfId="19923" xr:uid="{00000000-0005-0000-0000-0000C24A0000}"/>
    <cellStyle name="Normal 2 2 2 2 2 2 26 5 6" xfId="19924" xr:uid="{00000000-0005-0000-0000-0000C34A0000}"/>
    <cellStyle name="Normal 2 2 2 2 2 2 26 6" xfId="19925" xr:uid="{00000000-0005-0000-0000-0000C44A0000}"/>
    <cellStyle name="Normal 2 2 2 2 2 2 26 6 2" xfId="19926" xr:uid="{00000000-0005-0000-0000-0000C54A0000}"/>
    <cellStyle name="Normal 2 2 2 2 2 2 26 6 3" xfId="19927" xr:uid="{00000000-0005-0000-0000-0000C64A0000}"/>
    <cellStyle name="Normal 2 2 2 2 2 2 26 6 4" xfId="19928" xr:uid="{00000000-0005-0000-0000-0000C74A0000}"/>
    <cellStyle name="Normal 2 2 2 2 2 2 26 6 5" xfId="19929" xr:uid="{00000000-0005-0000-0000-0000C84A0000}"/>
    <cellStyle name="Normal 2 2 2 2 2 2 26 6 6" xfId="19930" xr:uid="{00000000-0005-0000-0000-0000C94A0000}"/>
    <cellStyle name="Normal 2 2 2 2 2 2 26 7" xfId="19931" xr:uid="{00000000-0005-0000-0000-0000CA4A0000}"/>
    <cellStyle name="Normal 2 2 2 2 2 2 26 7 2" xfId="19932" xr:uid="{00000000-0005-0000-0000-0000CB4A0000}"/>
    <cellStyle name="Normal 2 2 2 2 2 2 26 7 3" xfId="19933" xr:uid="{00000000-0005-0000-0000-0000CC4A0000}"/>
    <cellStyle name="Normal 2 2 2 2 2 2 26 7 4" xfId="19934" xr:uid="{00000000-0005-0000-0000-0000CD4A0000}"/>
    <cellStyle name="Normal 2 2 2 2 2 2 26 7 5" xfId="19935" xr:uid="{00000000-0005-0000-0000-0000CE4A0000}"/>
    <cellStyle name="Normal 2 2 2 2 2 2 26 7 6" xfId="19936" xr:uid="{00000000-0005-0000-0000-0000CF4A0000}"/>
    <cellStyle name="Normal 2 2 2 2 2 2 26 8" xfId="19937" xr:uid="{00000000-0005-0000-0000-0000D04A0000}"/>
    <cellStyle name="Normal 2 2 2 2 2 2 26 8 2" xfId="19938" xr:uid="{00000000-0005-0000-0000-0000D14A0000}"/>
    <cellStyle name="Normal 2 2 2 2 2 2 26 8 3" xfId="19939" xr:uid="{00000000-0005-0000-0000-0000D24A0000}"/>
    <cellStyle name="Normal 2 2 2 2 2 2 26 8 4" xfId="19940" xr:uid="{00000000-0005-0000-0000-0000D34A0000}"/>
    <cellStyle name="Normal 2 2 2 2 2 2 26 8 5" xfId="19941" xr:uid="{00000000-0005-0000-0000-0000D44A0000}"/>
    <cellStyle name="Normal 2 2 2 2 2 2 26 8 6" xfId="19942" xr:uid="{00000000-0005-0000-0000-0000D54A0000}"/>
    <cellStyle name="Normal 2 2 2 2 2 2 26 9" xfId="19943" xr:uid="{00000000-0005-0000-0000-0000D64A0000}"/>
    <cellStyle name="Normal 2 2 2 2 2 2 27" xfId="19944" xr:uid="{00000000-0005-0000-0000-0000D74A0000}"/>
    <cellStyle name="Normal 2 2 2 2 2 2 27 10" xfId="19945" xr:uid="{00000000-0005-0000-0000-0000D84A0000}"/>
    <cellStyle name="Normal 2 2 2 2 2 2 27 11" xfId="19946" xr:uid="{00000000-0005-0000-0000-0000D94A0000}"/>
    <cellStyle name="Normal 2 2 2 2 2 2 27 12" xfId="19947" xr:uid="{00000000-0005-0000-0000-0000DA4A0000}"/>
    <cellStyle name="Normal 2 2 2 2 2 2 27 13" xfId="19948" xr:uid="{00000000-0005-0000-0000-0000DB4A0000}"/>
    <cellStyle name="Normal 2 2 2 2 2 2 27 2" xfId="19949" xr:uid="{00000000-0005-0000-0000-0000DC4A0000}"/>
    <cellStyle name="Normal 2 2 2 2 2 2 27 2 2" xfId="19950" xr:uid="{00000000-0005-0000-0000-0000DD4A0000}"/>
    <cellStyle name="Normal 2 2 2 2 2 2 27 2 3" xfId="19951" xr:uid="{00000000-0005-0000-0000-0000DE4A0000}"/>
    <cellStyle name="Normal 2 2 2 2 2 2 27 2 4" xfId="19952" xr:uid="{00000000-0005-0000-0000-0000DF4A0000}"/>
    <cellStyle name="Normal 2 2 2 2 2 2 27 2 5" xfId="19953" xr:uid="{00000000-0005-0000-0000-0000E04A0000}"/>
    <cellStyle name="Normal 2 2 2 2 2 2 27 2 6" xfId="19954" xr:uid="{00000000-0005-0000-0000-0000E14A0000}"/>
    <cellStyle name="Normal 2 2 2 2 2 2 27 3" xfId="19955" xr:uid="{00000000-0005-0000-0000-0000E24A0000}"/>
    <cellStyle name="Normal 2 2 2 2 2 2 27 3 2" xfId="19956" xr:uid="{00000000-0005-0000-0000-0000E34A0000}"/>
    <cellStyle name="Normal 2 2 2 2 2 2 27 3 3" xfId="19957" xr:uid="{00000000-0005-0000-0000-0000E44A0000}"/>
    <cellStyle name="Normal 2 2 2 2 2 2 27 3 4" xfId="19958" xr:uid="{00000000-0005-0000-0000-0000E54A0000}"/>
    <cellStyle name="Normal 2 2 2 2 2 2 27 3 5" xfId="19959" xr:uid="{00000000-0005-0000-0000-0000E64A0000}"/>
    <cellStyle name="Normal 2 2 2 2 2 2 27 3 6" xfId="19960" xr:uid="{00000000-0005-0000-0000-0000E74A0000}"/>
    <cellStyle name="Normal 2 2 2 2 2 2 27 4" xfId="19961" xr:uid="{00000000-0005-0000-0000-0000E84A0000}"/>
    <cellStyle name="Normal 2 2 2 2 2 2 27 4 2" xfId="19962" xr:uid="{00000000-0005-0000-0000-0000E94A0000}"/>
    <cellStyle name="Normal 2 2 2 2 2 2 27 4 3" xfId="19963" xr:uid="{00000000-0005-0000-0000-0000EA4A0000}"/>
    <cellStyle name="Normal 2 2 2 2 2 2 27 4 4" xfId="19964" xr:uid="{00000000-0005-0000-0000-0000EB4A0000}"/>
    <cellStyle name="Normal 2 2 2 2 2 2 27 4 5" xfId="19965" xr:uid="{00000000-0005-0000-0000-0000EC4A0000}"/>
    <cellStyle name="Normal 2 2 2 2 2 2 27 4 6" xfId="19966" xr:uid="{00000000-0005-0000-0000-0000ED4A0000}"/>
    <cellStyle name="Normal 2 2 2 2 2 2 27 5" xfId="19967" xr:uid="{00000000-0005-0000-0000-0000EE4A0000}"/>
    <cellStyle name="Normal 2 2 2 2 2 2 27 5 2" xfId="19968" xr:uid="{00000000-0005-0000-0000-0000EF4A0000}"/>
    <cellStyle name="Normal 2 2 2 2 2 2 27 5 3" xfId="19969" xr:uid="{00000000-0005-0000-0000-0000F04A0000}"/>
    <cellStyle name="Normal 2 2 2 2 2 2 27 5 4" xfId="19970" xr:uid="{00000000-0005-0000-0000-0000F14A0000}"/>
    <cellStyle name="Normal 2 2 2 2 2 2 27 5 5" xfId="19971" xr:uid="{00000000-0005-0000-0000-0000F24A0000}"/>
    <cellStyle name="Normal 2 2 2 2 2 2 27 5 6" xfId="19972" xr:uid="{00000000-0005-0000-0000-0000F34A0000}"/>
    <cellStyle name="Normal 2 2 2 2 2 2 27 6" xfId="19973" xr:uid="{00000000-0005-0000-0000-0000F44A0000}"/>
    <cellStyle name="Normal 2 2 2 2 2 2 27 6 2" xfId="19974" xr:uid="{00000000-0005-0000-0000-0000F54A0000}"/>
    <cellStyle name="Normal 2 2 2 2 2 2 27 6 3" xfId="19975" xr:uid="{00000000-0005-0000-0000-0000F64A0000}"/>
    <cellStyle name="Normal 2 2 2 2 2 2 27 6 4" xfId="19976" xr:uid="{00000000-0005-0000-0000-0000F74A0000}"/>
    <cellStyle name="Normal 2 2 2 2 2 2 27 6 5" xfId="19977" xr:uid="{00000000-0005-0000-0000-0000F84A0000}"/>
    <cellStyle name="Normal 2 2 2 2 2 2 27 6 6" xfId="19978" xr:uid="{00000000-0005-0000-0000-0000F94A0000}"/>
    <cellStyle name="Normal 2 2 2 2 2 2 27 7" xfId="19979" xr:uid="{00000000-0005-0000-0000-0000FA4A0000}"/>
    <cellStyle name="Normal 2 2 2 2 2 2 27 7 2" xfId="19980" xr:uid="{00000000-0005-0000-0000-0000FB4A0000}"/>
    <cellStyle name="Normal 2 2 2 2 2 2 27 7 3" xfId="19981" xr:uid="{00000000-0005-0000-0000-0000FC4A0000}"/>
    <cellStyle name="Normal 2 2 2 2 2 2 27 7 4" xfId="19982" xr:uid="{00000000-0005-0000-0000-0000FD4A0000}"/>
    <cellStyle name="Normal 2 2 2 2 2 2 27 7 5" xfId="19983" xr:uid="{00000000-0005-0000-0000-0000FE4A0000}"/>
    <cellStyle name="Normal 2 2 2 2 2 2 27 7 6" xfId="19984" xr:uid="{00000000-0005-0000-0000-0000FF4A0000}"/>
    <cellStyle name="Normal 2 2 2 2 2 2 27 8" xfId="19985" xr:uid="{00000000-0005-0000-0000-0000004B0000}"/>
    <cellStyle name="Normal 2 2 2 2 2 2 27 8 2" xfId="19986" xr:uid="{00000000-0005-0000-0000-0000014B0000}"/>
    <cellStyle name="Normal 2 2 2 2 2 2 27 8 3" xfId="19987" xr:uid="{00000000-0005-0000-0000-0000024B0000}"/>
    <cellStyle name="Normal 2 2 2 2 2 2 27 8 4" xfId="19988" xr:uid="{00000000-0005-0000-0000-0000034B0000}"/>
    <cellStyle name="Normal 2 2 2 2 2 2 27 8 5" xfId="19989" xr:uid="{00000000-0005-0000-0000-0000044B0000}"/>
    <cellStyle name="Normal 2 2 2 2 2 2 27 8 6" xfId="19990" xr:uid="{00000000-0005-0000-0000-0000054B0000}"/>
    <cellStyle name="Normal 2 2 2 2 2 2 27 9" xfId="19991" xr:uid="{00000000-0005-0000-0000-0000064B0000}"/>
    <cellStyle name="Normal 2 2 2 2 2 2 28" xfId="19992" xr:uid="{00000000-0005-0000-0000-0000074B0000}"/>
    <cellStyle name="Normal 2 2 2 2 2 2 28 10" xfId="19993" xr:uid="{00000000-0005-0000-0000-0000084B0000}"/>
    <cellStyle name="Normal 2 2 2 2 2 2 28 11" xfId="19994" xr:uid="{00000000-0005-0000-0000-0000094B0000}"/>
    <cellStyle name="Normal 2 2 2 2 2 2 28 2" xfId="19995" xr:uid="{00000000-0005-0000-0000-00000A4B0000}"/>
    <cellStyle name="Normal 2 2 2 2 2 2 28 3" xfId="19996" xr:uid="{00000000-0005-0000-0000-00000B4B0000}"/>
    <cellStyle name="Normal 2 2 2 2 2 2 28 4" xfId="19997" xr:uid="{00000000-0005-0000-0000-00000C4B0000}"/>
    <cellStyle name="Normal 2 2 2 2 2 2 28 5" xfId="19998" xr:uid="{00000000-0005-0000-0000-00000D4B0000}"/>
    <cellStyle name="Normal 2 2 2 2 2 2 28 6" xfId="19999" xr:uid="{00000000-0005-0000-0000-00000E4B0000}"/>
    <cellStyle name="Normal 2 2 2 2 2 2 28 7" xfId="20000" xr:uid="{00000000-0005-0000-0000-00000F4B0000}"/>
    <cellStyle name="Normal 2 2 2 2 2 2 28 8" xfId="20001" xr:uid="{00000000-0005-0000-0000-0000104B0000}"/>
    <cellStyle name="Normal 2 2 2 2 2 2 28 9" xfId="20002" xr:uid="{00000000-0005-0000-0000-0000114B0000}"/>
    <cellStyle name="Normal 2 2 2 2 2 2 29" xfId="20003" xr:uid="{00000000-0005-0000-0000-0000124B0000}"/>
    <cellStyle name="Normal 2 2 2 2 2 2 3" xfId="20004" xr:uid="{00000000-0005-0000-0000-0000134B0000}"/>
    <cellStyle name="Normal 2 2 2 2 2 2 3 10" xfId="20005" xr:uid="{00000000-0005-0000-0000-0000144B0000}"/>
    <cellStyle name="Normal 2 2 2 2 2 2 3 11" xfId="20006" xr:uid="{00000000-0005-0000-0000-0000154B0000}"/>
    <cellStyle name="Normal 2 2 2 2 2 2 3 12" xfId="20007" xr:uid="{00000000-0005-0000-0000-0000164B0000}"/>
    <cellStyle name="Normal 2 2 2 2 2 2 3 13" xfId="20008" xr:uid="{00000000-0005-0000-0000-0000174B0000}"/>
    <cellStyle name="Normal 2 2 2 2 2 2 3 14" xfId="20009" xr:uid="{00000000-0005-0000-0000-0000184B0000}"/>
    <cellStyle name="Normal 2 2 2 2 2 2 3 2" xfId="20010" xr:uid="{00000000-0005-0000-0000-0000194B0000}"/>
    <cellStyle name="Normal 2 2 2 2 2 2 3 2 2" xfId="20011" xr:uid="{00000000-0005-0000-0000-00001A4B0000}"/>
    <cellStyle name="Normal 2 2 2 2 2 2 3 2 3" xfId="20012" xr:uid="{00000000-0005-0000-0000-00001B4B0000}"/>
    <cellStyle name="Normal 2 2 2 2 2 2 3 2 4" xfId="20013" xr:uid="{00000000-0005-0000-0000-00001C4B0000}"/>
    <cellStyle name="Normal 2 2 2 2 2 2 3 2 5" xfId="20014" xr:uid="{00000000-0005-0000-0000-00001D4B0000}"/>
    <cellStyle name="Normal 2 2 2 2 2 2 3 2 6" xfId="20015" xr:uid="{00000000-0005-0000-0000-00001E4B0000}"/>
    <cellStyle name="Normal 2 2 2 2 2 2 3 3" xfId="20016" xr:uid="{00000000-0005-0000-0000-00001F4B0000}"/>
    <cellStyle name="Normal 2 2 2 2 2 2 3 3 2" xfId="20017" xr:uid="{00000000-0005-0000-0000-0000204B0000}"/>
    <cellStyle name="Normal 2 2 2 2 2 2 3 3 3" xfId="20018" xr:uid="{00000000-0005-0000-0000-0000214B0000}"/>
    <cellStyle name="Normal 2 2 2 2 2 2 3 3 4" xfId="20019" xr:uid="{00000000-0005-0000-0000-0000224B0000}"/>
    <cellStyle name="Normal 2 2 2 2 2 2 3 3 5" xfId="20020" xr:uid="{00000000-0005-0000-0000-0000234B0000}"/>
    <cellStyle name="Normal 2 2 2 2 2 2 3 3 6" xfId="20021" xr:uid="{00000000-0005-0000-0000-0000244B0000}"/>
    <cellStyle name="Normal 2 2 2 2 2 2 3 4" xfId="20022" xr:uid="{00000000-0005-0000-0000-0000254B0000}"/>
    <cellStyle name="Normal 2 2 2 2 2 2 3 4 2" xfId="20023" xr:uid="{00000000-0005-0000-0000-0000264B0000}"/>
    <cellStyle name="Normal 2 2 2 2 2 2 3 4 3" xfId="20024" xr:uid="{00000000-0005-0000-0000-0000274B0000}"/>
    <cellStyle name="Normal 2 2 2 2 2 2 3 4 4" xfId="20025" xr:uid="{00000000-0005-0000-0000-0000284B0000}"/>
    <cellStyle name="Normal 2 2 2 2 2 2 3 4 5" xfId="20026" xr:uid="{00000000-0005-0000-0000-0000294B0000}"/>
    <cellStyle name="Normal 2 2 2 2 2 2 3 4 6" xfId="20027" xr:uid="{00000000-0005-0000-0000-00002A4B0000}"/>
    <cellStyle name="Normal 2 2 2 2 2 2 3 5" xfId="20028" xr:uid="{00000000-0005-0000-0000-00002B4B0000}"/>
    <cellStyle name="Normal 2 2 2 2 2 2 3 5 2" xfId="20029" xr:uid="{00000000-0005-0000-0000-00002C4B0000}"/>
    <cellStyle name="Normal 2 2 2 2 2 2 3 5 3" xfId="20030" xr:uid="{00000000-0005-0000-0000-00002D4B0000}"/>
    <cellStyle name="Normal 2 2 2 2 2 2 3 5 4" xfId="20031" xr:uid="{00000000-0005-0000-0000-00002E4B0000}"/>
    <cellStyle name="Normal 2 2 2 2 2 2 3 5 5" xfId="20032" xr:uid="{00000000-0005-0000-0000-00002F4B0000}"/>
    <cellStyle name="Normal 2 2 2 2 2 2 3 5 6" xfId="20033" xr:uid="{00000000-0005-0000-0000-0000304B0000}"/>
    <cellStyle name="Normal 2 2 2 2 2 2 3 6" xfId="20034" xr:uid="{00000000-0005-0000-0000-0000314B0000}"/>
    <cellStyle name="Normal 2 2 2 2 2 2 3 6 2" xfId="20035" xr:uid="{00000000-0005-0000-0000-0000324B0000}"/>
    <cellStyle name="Normal 2 2 2 2 2 2 3 6 3" xfId="20036" xr:uid="{00000000-0005-0000-0000-0000334B0000}"/>
    <cellStyle name="Normal 2 2 2 2 2 2 3 6 4" xfId="20037" xr:uid="{00000000-0005-0000-0000-0000344B0000}"/>
    <cellStyle name="Normal 2 2 2 2 2 2 3 6 5" xfId="20038" xr:uid="{00000000-0005-0000-0000-0000354B0000}"/>
    <cellStyle name="Normal 2 2 2 2 2 2 3 6 6" xfId="20039" xr:uid="{00000000-0005-0000-0000-0000364B0000}"/>
    <cellStyle name="Normal 2 2 2 2 2 2 3 7" xfId="20040" xr:uid="{00000000-0005-0000-0000-0000374B0000}"/>
    <cellStyle name="Normal 2 2 2 2 2 2 3 7 2" xfId="20041" xr:uid="{00000000-0005-0000-0000-0000384B0000}"/>
    <cellStyle name="Normal 2 2 2 2 2 2 3 7 3" xfId="20042" xr:uid="{00000000-0005-0000-0000-0000394B0000}"/>
    <cellStyle name="Normal 2 2 2 2 2 2 3 7 4" xfId="20043" xr:uid="{00000000-0005-0000-0000-00003A4B0000}"/>
    <cellStyle name="Normal 2 2 2 2 2 2 3 7 5" xfId="20044" xr:uid="{00000000-0005-0000-0000-00003B4B0000}"/>
    <cellStyle name="Normal 2 2 2 2 2 2 3 7 6" xfId="20045" xr:uid="{00000000-0005-0000-0000-00003C4B0000}"/>
    <cellStyle name="Normal 2 2 2 2 2 2 3 8" xfId="20046" xr:uid="{00000000-0005-0000-0000-00003D4B0000}"/>
    <cellStyle name="Normal 2 2 2 2 2 2 3 8 2" xfId="20047" xr:uid="{00000000-0005-0000-0000-00003E4B0000}"/>
    <cellStyle name="Normal 2 2 2 2 2 2 3 8 3" xfId="20048" xr:uid="{00000000-0005-0000-0000-00003F4B0000}"/>
    <cellStyle name="Normal 2 2 2 2 2 2 3 8 4" xfId="20049" xr:uid="{00000000-0005-0000-0000-0000404B0000}"/>
    <cellStyle name="Normal 2 2 2 2 2 2 3 8 5" xfId="20050" xr:uid="{00000000-0005-0000-0000-0000414B0000}"/>
    <cellStyle name="Normal 2 2 2 2 2 2 3 8 6" xfId="20051" xr:uid="{00000000-0005-0000-0000-0000424B0000}"/>
    <cellStyle name="Normal 2 2 2 2 2 2 3 9" xfId="20052" xr:uid="{00000000-0005-0000-0000-0000434B0000}"/>
    <cellStyle name="Normal 2 2 2 2 2 2 30" xfId="20053" xr:uid="{00000000-0005-0000-0000-0000444B0000}"/>
    <cellStyle name="Normal 2 2 2 2 2 2 31" xfId="20054" xr:uid="{00000000-0005-0000-0000-0000454B0000}"/>
    <cellStyle name="Normal 2 2 2 2 2 2 32" xfId="20055" xr:uid="{00000000-0005-0000-0000-0000464B0000}"/>
    <cellStyle name="Normal 2 2 2 2 2 2 33" xfId="20056" xr:uid="{00000000-0005-0000-0000-0000474B0000}"/>
    <cellStyle name="Normal 2 2 2 2 2 2 34" xfId="20057" xr:uid="{00000000-0005-0000-0000-0000484B0000}"/>
    <cellStyle name="Normal 2 2 2 2 2 2 35" xfId="20058" xr:uid="{00000000-0005-0000-0000-0000494B0000}"/>
    <cellStyle name="Normal 2 2 2 2 2 2 36" xfId="20059" xr:uid="{00000000-0005-0000-0000-00004A4B0000}"/>
    <cellStyle name="Normal 2 2 2 2 2 2 37" xfId="20060" xr:uid="{00000000-0005-0000-0000-00004B4B0000}"/>
    <cellStyle name="Normal 2 2 2 2 2 2 38" xfId="20061" xr:uid="{00000000-0005-0000-0000-00004C4B0000}"/>
    <cellStyle name="Normal 2 2 2 2 2 2 39" xfId="20062" xr:uid="{00000000-0005-0000-0000-00004D4B0000}"/>
    <cellStyle name="Normal 2 2 2 2 2 2 4" xfId="20063" xr:uid="{00000000-0005-0000-0000-00004E4B0000}"/>
    <cellStyle name="Normal 2 2 2 2 2 2 4 10" xfId="20064" xr:uid="{00000000-0005-0000-0000-00004F4B0000}"/>
    <cellStyle name="Normal 2 2 2 2 2 2 4 11" xfId="20065" xr:uid="{00000000-0005-0000-0000-0000504B0000}"/>
    <cellStyle name="Normal 2 2 2 2 2 2 4 12" xfId="20066" xr:uid="{00000000-0005-0000-0000-0000514B0000}"/>
    <cellStyle name="Normal 2 2 2 2 2 2 4 13" xfId="20067" xr:uid="{00000000-0005-0000-0000-0000524B0000}"/>
    <cellStyle name="Normal 2 2 2 2 2 2 4 14" xfId="20068" xr:uid="{00000000-0005-0000-0000-0000534B0000}"/>
    <cellStyle name="Normal 2 2 2 2 2 2 4 2" xfId="20069" xr:uid="{00000000-0005-0000-0000-0000544B0000}"/>
    <cellStyle name="Normal 2 2 2 2 2 2 4 2 2" xfId="20070" xr:uid="{00000000-0005-0000-0000-0000554B0000}"/>
    <cellStyle name="Normal 2 2 2 2 2 2 4 2 3" xfId="20071" xr:uid="{00000000-0005-0000-0000-0000564B0000}"/>
    <cellStyle name="Normal 2 2 2 2 2 2 4 2 4" xfId="20072" xr:uid="{00000000-0005-0000-0000-0000574B0000}"/>
    <cellStyle name="Normal 2 2 2 2 2 2 4 2 5" xfId="20073" xr:uid="{00000000-0005-0000-0000-0000584B0000}"/>
    <cellStyle name="Normal 2 2 2 2 2 2 4 2 6" xfId="20074" xr:uid="{00000000-0005-0000-0000-0000594B0000}"/>
    <cellStyle name="Normal 2 2 2 2 2 2 4 3" xfId="20075" xr:uid="{00000000-0005-0000-0000-00005A4B0000}"/>
    <cellStyle name="Normal 2 2 2 2 2 2 4 3 2" xfId="20076" xr:uid="{00000000-0005-0000-0000-00005B4B0000}"/>
    <cellStyle name="Normal 2 2 2 2 2 2 4 3 3" xfId="20077" xr:uid="{00000000-0005-0000-0000-00005C4B0000}"/>
    <cellStyle name="Normal 2 2 2 2 2 2 4 3 4" xfId="20078" xr:uid="{00000000-0005-0000-0000-00005D4B0000}"/>
    <cellStyle name="Normal 2 2 2 2 2 2 4 3 5" xfId="20079" xr:uid="{00000000-0005-0000-0000-00005E4B0000}"/>
    <cellStyle name="Normal 2 2 2 2 2 2 4 3 6" xfId="20080" xr:uid="{00000000-0005-0000-0000-00005F4B0000}"/>
    <cellStyle name="Normal 2 2 2 2 2 2 4 4" xfId="20081" xr:uid="{00000000-0005-0000-0000-0000604B0000}"/>
    <cellStyle name="Normal 2 2 2 2 2 2 4 4 2" xfId="20082" xr:uid="{00000000-0005-0000-0000-0000614B0000}"/>
    <cellStyle name="Normal 2 2 2 2 2 2 4 4 3" xfId="20083" xr:uid="{00000000-0005-0000-0000-0000624B0000}"/>
    <cellStyle name="Normal 2 2 2 2 2 2 4 4 4" xfId="20084" xr:uid="{00000000-0005-0000-0000-0000634B0000}"/>
    <cellStyle name="Normal 2 2 2 2 2 2 4 4 5" xfId="20085" xr:uid="{00000000-0005-0000-0000-0000644B0000}"/>
    <cellStyle name="Normal 2 2 2 2 2 2 4 4 6" xfId="20086" xr:uid="{00000000-0005-0000-0000-0000654B0000}"/>
    <cellStyle name="Normal 2 2 2 2 2 2 4 5" xfId="20087" xr:uid="{00000000-0005-0000-0000-0000664B0000}"/>
    <cellStyle name="Normal 2 2 2 2 2 2 4 5 2" xfId="20088" xr:uid="{00000000-0005-0000-0000-0000674B0000}"/>
    <cellStyle name="Normal 2 2 2 2 2 2 4 5 3" xfId="20089" xr:uid="{00000000-0005-0000-0000-0000684B0000}"/>
    <cellStyle name="Normal 2 2 2 2 2 2 4 5 4" xfId="20090" xr:uid="{00000000-0005-0000-0000-0000694B0000}"/>
    <cellStyle name="Normal 2 2 2 2 2 2 4 5 5" xfId="20091" xr:uid="{00000000-0005-0000-0000-00006A4B0000}"/>
    <cellStyle name="Normal 2 2 2 2 2 2 4 5 6" xfId="20092" xr:uid="{00000000-0005-0000-0000-00006B4B0000}"/>
    <cellStyle name="Normal 2 2 2 2 2 2 4 6" xfId="20093" xr:uid="{00000000-0005-0000-0000-00006C4B0000}"/>
    <cellStyle name="Normal 2 2 2 2 2 2 4 6 2" xfId="20094" xr:uid="{00000000-0005-0000-0000-00006D4B0000}"/>
    <cellStyle name="Normal 2 2 2 2 2 2 4 6 3" xfId="20095" xr:uid="{00000000-0005-0000-0000-00006E4B0000}"/>
    <cellStyle name="Normal 2 2 2 2 2 2 4 6 4" xfId="20096" xr:uid="{00000000-0005-0000-0000-00006F4B0000}"/>
    <cellStyle name="Normal 2 2 2 2 2 2 4 6 5" xfId="20097" xr:uid="{00000000-0005-0000-0000-0000704B0000}"/>
    <cellStyle name="Normal 2 2 2 2 2 2 4 6 6" xfId="20098" xr:uid="{00000000-0005-0000-0000-0000714B0000}"/>
    <cellStyle name="Normal 2 2 2 2 2 2 4 7" xfId="20099" xr:uid="{00000000-0005-0000-0000-0000724B0000}"/>
    <cellStyle name="Normal 2 2 2 2 2 2 4 7 2" xfId="20100" xr:uid="{00000000-0005-0000-0000-0000734B0000}"/>
    <cellStyle name="Normal 2 2 2 2 2 2 4 7 3" xfId="20101" xr:uid="{00000000-0005-0000-0000-0000744B0000}"/>
    <cellStyle name="Normal 2 2 2 2 2 2 4 7 4" xfId="20102" xr:uid="{00000000-0005-0000-0000-0000754B0000}"/>
    <cellStyle name="Normal 2 2 2 2 2 2 4 7 5" xfId="20103" xr:uid="{00000000-0005-0000-0000-0000764B0000}"/>
    <cellStyle name="Normal 2 2 2 2 2 2 4 7 6" xfId="20104" xr:uid="{00000000-0005-0000-0000-0000774B0000}"/>
    <cellStyle name="Normal 2 2 2 2 2 2 4 8" xfId="20105" xr:uid="{00000000-0005-0000-0000-0000784B0000}"/>
    <cellStyle name="Normal 2 2 2 2 2 2 4 8 2" xfId="20106" xr:uid="{00000000-0005-0000-0000-0000794B0000}"/>
    <cellStyle name="Normal 2 2 2 2 2 2 4 8 3" xfId="20107" xr:uid="{00000000-0005-0000-0000-00007A4B0000}"/>
    <cellStyle name="Normal 2 2 2 2 2 2 4 8 4" xfId="20108" xr:uid="{00000000-0005-0000-0000-00007B4B0000}"/>
    <cellStyle name="Normal 2 2 2 2 2 2 4 8 5" xfId="20109" xr:uid="{00000000-0005-0000-0000-00007C4B0000}"/>
    <cellStyle name="Normal 2 2 2 2 2 2 4 8 6" xfId="20110" xr:uid="{00000000-0005-0000-0000-00007D4B0000}"/>
    <cellStyle name="Normal 2 2 2 2 2 2 4 9" xfId="20111" xr:uid="{00000000-0005-0000-0000-00007E4B0000}"/>
    <cellStyle name="Normal 2 2 2 2 2 2 40" xfId="20112" xr:uid="{00000000-0005-0000-0000-00007F4B0000}"/>
    <cellStyle name="Normal 2 2 2 2 2 2 41" xfId="20113" xr:uid="{00000000-0005-0000-0000-0000804B0000}"/>
    <cellStyle name="Normal 2 2 2 2 2 2 42" xfId="20114" xr:uid="{00000000-0005-0000-0000-0000814B0000}"/>
    <cellStyle name="Normal 2 2 2 2 2 2 43" xfId="20115" xr:uid="{00000000-0005-0000-0000-0000824B0000}"/>
    <cellStyle name="Normal 2 2 2 2 2 2 43 2" xfId="20116" xr:uid="{00000000-0005-0000-0000-0000834B0000}"/>
    <cellStyle name="Normal 2 2 2 2 2 2 43 3" xfId="20117" xr:uid="{00000000-0005-0000-0000-0000844B0000}"/>
    <cellStyle name="Normal 2 2 2 2 2 2 43 4" xfId="20118" xr:uid="{00000000-0005-0000-0000-0000854B0000}"/>
    <cellStyle name="Normal 2 2 2 2 2 2 43 5" xfId="20119" xr:uid="{00000000-0005-0000-0000-0000864B0000}"/>
    <cellStyle name="Normal 2 2 2 2 2 2 43 6" xfId="20120" xr:uid="{00000000-0005-0000-0000-0000874B0000}"/>
    <cellStyle name="Normal 2 2 2 2 2 2 44" xfId="20121" xr:uid="{00000000-0005-0000-0000-0000884B0000}"/>
    <cellStyle name="Normal 2 2 2 2 2 2 44 2" xfId="20122" xr:uid="{00000000-0005-0000-0000-0000894B0000}"/>
    <cellStyle name="Normal 2 2 2 2 2 2 44 3" xfId="20123" xr:uid="{00000000-0005-0000-0000-00008A4B0000}"/>
    <cellStyle name="Normal 2 2 2 2 2 2 44 4" xfId="20124" xr:uid="{00000000-0005-0000-0000-00008B4B0000}"/>
    <cellStyle name="Normal 2 2 2 2 2 2 44 5" xfId="20125" xr:uid="{00000000-0005-0000-0000-00008C4B0000}"/>
    <cellStyle name="Normal 2 2 2 2 2 2 44 6" xfId="20126" xr:uid="{00000000-0005-0000-0000-00008D4B0000}"/>
    <cellStyle name="Normal 2 2 2 2 2 2 45" xfId="20127" xr:uid="{00000000-0005-0000-0000-00008E4B0000}"/>
    <cellStyle name="Normal 2 2 2 2 2 2 45 2" xfId="20128" xr:uid="{00000000-0005-0000-0000-00008F4B0000}"/>
    <cellStyle name="Normal 2 2 2 2 2 2 45 3" xfId="20129" xr:uid="{00000000-0005-0000-0000-0000904B0000}"/>
    <cellStyle name="Normal 2 2 2 2 2 2 45 4" xfId="20130" xr:uid="{00000000-0005-0000-0000-0000914B0000}"/>
    <cellStyle name="Normal 2 2 2 2 2 2 45 5" xfId="20131" xr:uid="{00000000-0005-0000-0000-0000924B0000}"/>
    <cellStyle name="Normal 2 2 2 2 2 2 45 6" xfId="20132" xr:uid="{00000000-0005-0000-0000-0000934B0000}"/>
    <cellStyle name="Normal 2 2 2 2 2 2 46" xfId="20133" xr:uid="{00000000-0005-0000-0000-0000944B0000}"/>
    <cellStyle name="Normal 2 2 2 2 2 2 46 2" xfId="20134" xr:uid="{00000000-0005-0000-0000-0000954B0000}"/>
    <cellStyle name="Normal 2 2 2 2 2 2 46 3" xfId="20135" xr:uid="{00000000-0005-0000-0000-0000964B0000}"/>
    <cellStyle name="Normal 2 2 2 2 2 2 46 4" xfId="20136" xr:uid="{00000000-0005-0000-0000-0000974B0000}"/>
    <cellStyle name="Normal 2 2 2 2 2 2 46 5" xfId="20137" xr:uid="{00000000-0005-0000-0000-0000984B0000}"/>
    <cellStyle name="Normal 2 2 2 2 2 2 46 6" xfId="20138" xr:uid="{00000000-0005-0000-0000-0000994B0000}"/>
    <cellStyle name="Normal 2 2 2 2 2 2 47" xfId="20139" xr:uid="{00000000-0005-0000-0000-00009A4B0000}"/>
    <cellStyle name="Normal 2 2 2 2 2 2 47 2" xfId="20140" xr:uid="{00000000-0005-0000-0000-00009B4B0000}"/>
    <cellStyle name="Normal 2 2 2 2 2 2 47 2 2" xfId="20141" xr:uid="{00000000-0005-0000-0000-00009C4B0000}"/>
    <cellStyle name="Normal 2 2 2 2 2 2 47 2 2 2" xfId="20142" xr:uid="{00000000-0005-0000-0000-00009D4B0000}"/>
    <cellStyle name="Normal 2 2 2 2 2 2 47 2 2 3" xfId="20143" xr:uid="{00000000-0005-0000-0000-00009E4B0000}"/>
    <cellStyle name="Normal 2 2 2 2 2 2 47 2 2 4" xfId="20144" xr:uid="{00000000-0005-0000-0000-00009F4B0000}"/>
    <cellStyle name="Normal 2 2 2 2 2 2 47 2 2 5" xfId="20145" xr:uid="{00000000-0005-0000-0000-0000A04B0000}"/>
    <cellStyle name="Normal 2 2 2 2 2 2 47 2 2 6" xfId="20146" xr:uid="{00000000-0005-0000-0000-0000A14B0000}"/>
    <cellStyle name="Normal 2 2 2 2 2 2 47 2 2 7" xfId="20147" xr:uid="{00000000-0005-0000-0000-0000A24B0000}"/>
    <cellStyle name="Normal 2 2 2 2 2 2 47 3" xfId="20148" xr:uid="{00000000-0005-0000-0000-0000A34B0000}"/>
    <cellStyle name="Normal 2 2 2 2 2 2 47 4" xfId="20149" xr:uid="{00000000-0005-0000-0000-0000A44B0000}"/>
    <cellStyle name="Normal 2 2 2 2 2 2 47 5" xfId="20150" xr:uid="{00000000-0005-0000-0000-0000A54B0000}"/>
    <cellStyle name="Normal 2 2 2 2 2 2 47 6" xfId="20151" xr:uid="{00000000-0005-0000-0000-0000A64B0000}"/>
    <cellStyle name="Normal 2 2 2 2 2 2 47 7" xfId="20152" xr:uid="{00000000-0005-0000-0000-0000A74B0000}"/>
    <cellStyle name="Normal 2 2 2 2 2 2 47 8" xfId="20153" xr:uid="{00000000-0005-0000-0000-0000A84B0000}"/>
    <cellStyle name="Normal 2 2 2 2 2 2 48" xfId="20154" xr:uid="{00000000-0005-0000-0000-0000A94B0000}"/>
    <cellStyle name="Normal 2 2 2 2 2 2 49" xfId="20155" xr:uid="{00000000-0005-0000-0000-0000AA4B0000}"/>
    <cellStyle name="Normal 2 2 2 2 2 2 5" xfId="20156" xr:uid="{00000000-0005-0000-0000-0000AB4B0000}"/>
    <cellStyle name="Normal 2 2 2 2 2 2 5 10" xfId="20157" xr:uid="{00000000-0005-0000-0000-0000AC4B0000}"/>
    <cellStyle name="Normal 2 2 2 2 2 2 5 11" xfId="20158" xr:uid="{00000000-0005-0000-0000-0000AD4B0000}"/>
    <cellStyle name="Normal 2 2 2 2 2 2 5 12" xfId="20159" xr:uid="{00000000-0005-0000-0000-0000AE4B0000}"/>
    <cellStyle name="Normal 2 2 2 2 2 2 5 13" xfId="20160" xr:uid="{00000000-0005-0000-0000-0000AF4B0000}"/>
    <cellStyle name="Normal 2 2 2 2 2 2 5 2" xfId="20161" xr:uid="{00000000-0005-0000-0000-0000B04B0000}"/>
    <cellStyle name="Normal 2 2 2 2 2 2 5 2 2" xfId="20162" xr:uid="{00000000-0005-0000-0000-0000B14B0000}"/>
    <cellStyle name="Normal 2 2 2 2 2 2 5 2 3" xfId="20163" xr:uid="{00000000-0005-0000-0000-0000B24B0000}"/>
    <cellStyle name="Normal 2 2 2 2 2 2 5 2 4" xfId="20164" xr:uid="{00000000-0005-0000-0000-0000B34B0000}"/>
    <cellStyle name="Normal 2 2 2 2 2 2 5 2 5" xfId="20165" xr:uid="{00000000-0005-0000-0000-0000B44B0000}"/>
    <cellStyle name="Normal 2 2 2 2 2 2 5 2 6" xfId="20166" xr:uid="{00000000-0005-0000-0000-0000B54B0000}"/>
    <cellStyle name="Normal 2 2 2 2 2 2 5 3" xfId="20167" xr:uid="{00000000-0005-0000-0000-0000B64B0000}"/>
    <cellStyle name="Normal 2 2 2 2 2 2 5 3 2" xfId="20168" xr:uid="{00000000-0005-0000-0000-0000B74B0000}"/>
    <cellStyle name="Normal 2 2 2 2 2 2 5 3 3" xfId="20169" xr:uid="{00000000-0005-0000-0000-0000B84B0000}"/>
    <cellStyle name="Normal 2 2 2 2 2 2 5 3 4" xfId="20170" xr:uid="{00000000-0005-0000-0000-0000B94B0000}"/>
    <cellStyle name="Normal 2 2 2 2 2 2 5 3 5" xfId="20171" xr:uid="{00000000-0005-0000-0000-0000BA4B0000}"/>
    <cellStyle name="Normal 2 2 2 2 2 2 5 3 6" xfId="20172" xr:uid="{00000000-0005-0000-0000-0000BB4B0000}"/>
    <cellStyle name="Normal 2 2 2 2 2 2 5 4" xfId="20173" xr:uid="{00000000-0005-0000-0000-0000BC4B0000}"/>
    <cellStyle name="Normal 2 2 2 2 2 2 5 4 2" xfId="20174" xr:uid="{00000000-0005-0000-0000-0000BD4B0000}"/>
    <cellStyle name="Normal 2 2 2 2 2 2 5 4 3" xfId="20175" xr:uid="{00000000-0005-0000-0000-0000BE4B0000}"/>
    <cellStyle name="Normal 2 2 2 2 2 2 5 4 4" xfId="20176" xr:uid="{00000000-0005-0000-0000-0000BF4B0000}"/>
    <cellStyle name="Normal 2 2 2 2 2 2 5 4 5" xfId="20177" xr:uid="{00000000-0005-0000-0000-0000C04B0000}"/>
    <cellStyle name="Normal 2 2 2 2 2 2 5 4 6" xfId="20178" xr:uid="{00000000-0005-0000-0000-0000C14B0000}"/>
    <cellStyle name="Normal 2 2 2 2 2 2 5 5" xfId="20179" xr:uid="{00000000-0005-0000-0000-0000C24B0000}"/>
    <cellStyle name="Normal 2 2 2 2 2 2 5 5 2" xfId="20180" xr:uid="{00000000-0005-0000-0000-0000C34B0000}"/>
    <cellStyle name="Normal 2 2 2 2 2 2 5 5 3" xfId="20181" xr:uid="{00000000-0005-0000-0000-0000C44B0000}"/>
    <cellStyle name="Normal 2 2 2 2 2 2 5 5 4" xfId="20182" xr:uid="{00000000-0005-0000-0000-0000C54B0000}"/>
    <cellStyle name="Normal 2 2 2 2 2 2 5 5 5" xfId="20183" xr:uid="{00000000-0005-0000-0000-0000C64B0000}"/>
    <cellStyle name="Normal 2 2 2 2 2 2 5 5 6" xfId="20184" xr:uid="{00000000-0005-0000-0000-0000C74B0000}"/>
    <cellStyle name="Normal 2 2 2 2 2 2 5 6" xfId="20185" xr:uid="{00000000-0005-0000-0000-0000C84B0000}"/>
    <cellStyle name="Normal 2 2 2 2 2 2 5 6 2" xfId="20186" xr:uid="{00000000-0005-0000-0000-0000C94B0000}"/>
    <cellStyle name="Normal 2 2 2 2 2 2 5 6 3" xfId="20187" xr:uid="{00000000-0005-0000-0000-0000CA4B0000}"/>
    <cellStyle name="Normal 2 2 2 2 2 2 5 6 4" xfId="20188" xr:uid="{00000000-0005-0000-0000-0000CB4B0000}"/>
    <cellStyle name="Normal 2 2 2 2 2 2 5 6 5" xfId="20189" xr:uid="{00000000-0005-0000-0000-0000CC4B0000}"/>
    <cellStyle name="Normal 2 2 2 2 2 2 5 6 6" xfId="20190" xr:uid="{00000000-0005-0000-0000-0000CD4B0000}"/>
    <cellStyle name="Normal 2 2 2 2 2 2 5 7" xfId="20191" xr:uid="{00000000-0005-0000-0000-0000CE4B0000}"/>
    <cellStyle name="Normal 2 2 2 2 2 2 5 7 2" xfId="20192" xr:uid="{00000000-0005-0000-0000-0000CF4B0000}"/>
    <cellStyle name="Normal 2 2 2 2 2 2 5 7 3" xfId="20193" xr:uid="{00000000-0005-0000-0000-0000D04B0000}"/>
    <cellStyle name="Normal 2 2 2 2 2 2 5 7 4" xfId="20194" xr:uid="{00000000-0005-0000-0000-0000D14B0000}"/>
    <cellStyle name="Normal 2 2 2 2 2 2 5 7 5" xfId="20195" xr:uid="{00000000-0005-0000-0000-0000D24B0000}"/>
    <cellStyle name="Normal 2 2 2 2 2 2 5 7 6" xfId="20196" xr:uid="{00000000-0005-0000-0000-0000D34B0000}"/>
    <cellStyle name="Normal 2 2 2 2 2 2 5 8" xfId="20197" xr:uid="{00000000-0005-0000-0000-0000D44B0000}"/>
    <cellStyle name="Normal 2 2 2 2 2 2 5 8 2" xfId="20198" xr:uid="{00000000-0005-0000-0000-0000D54B0000}"/>
    <cellStyle name="Normal 2 2 2 2 2 2 5 8 3" xfId="20199" xr:uid="{00000000-0005-0000-0000-0000D64B0000}"/>
    <cellStyle name="Normal 2 2 2 2 2 2 5 8 4" xfId="20200" xr:uid="{00000000-0005-0000-0000-0000D74B0000}"/>
    <cellStyle name="Normal 2 2 2 2 2 2 5 8 5" xfId="20201" xr:uid="{00000000-0005-0000-0000-0000D84B0000}"/>
    <cellStyle name="Normal 2 2 2 2 2 2 5 8 6" xfId="20202" xr:uid="{00000000-0005-0000-0000-0000D94B0000}"/>
    <cellStyle name="Normal 2 2 2 2 2 2 5 9" xfId="20203" xr:uid="{00000000-0005-0000-0000-0000DA4B0000}"/>
    <cellStyle name="Normal 2 2 2 2 2 2 50" xfId="20204" xr:uid="{00000000-0005-0000-0000-0000DB4B0000}"/>
    <cellStyle name="Normal 2 2 2 2 2 2 51" xfId="20205" xr:uid="{00000000-0005-0000-0000-0000DC4B0000}"/>
    <cellStyle name="Normal 2 2 2 2 2 2 52" xfId="20206" xr:uid="{00000000-0005-0000-0000-0000DD4B0000}"/>
    <cellStyle name="Normal 2 2 2 2 2 2 53" xfId="20207" xr:uid="{00000000-0005-0000-0000-0000DE4B0000}"/>
    <cellStyle name="Normal 2 2 2 2 2 2 54" xfId="20208" xr:uid="{00000000-0005-0000-0000-0000DF4B0000}"/>
    <cellStyle name="Normal 2 2 2 2 2 2 55" xfId="20209" xr:uid="{00000000-0005-0000-0000-0000E04B0000}"/>
    <cellStyle name="Normal 2 2 2 2 2 2 56" xfId="20210" xr:uid="{00000000-0005-0000-0000-0000E14B0000}"/>
    <cellStyle name="Normal 2 2 2 2 2 2 57" xfId="20211" xr:uid="{00000000-0005-0000-0000-0000E24B0000}"/>
    <cellStyle name="Normal 2 2 2 2 2 2 58" xfId="20212" xr:uid="{00000000-0005-0000-0000-0000E34B0000}"/>
    <cellStyle name="Normal 2 2 2 2 2 2 59" xfId="20213" xr:uid="{00000000-0005-0000-0000-0000E44B0000}"/>
    <cellStyle name="Normal 2 2 2 2 2 2 6" xfId="20214" xr:uid="{00000000-0005-0000-0000-0000E54B0000}"/>
    <cellStyle name="Normal 2 2 2 2 2 2 6 10" xfId="20215" xr:uid="{00000000-0005-0000-0000-0000E64B0000}"/>
    <cellStyle name="Normal 2 2 2 2 2 2 6 11" xfId="20216" xr:uid="{00000000-0005-0000-0000-0000E74B0000}"/>
    <cellStyle name="Normal 2 2 2 2 2 2 6 12" xfId="20217" xr:uid="{00000000-0005-0000-0000-0000E84B0000}"/>
    <cellStyle name="Normal 2 2 2 2 2 2 6 13" xfId="20218" xr:uid="{00000000-0005-0000-0000-0000E94B0000}"/>
    <cellStyle name="Normal 2 2 2 2 2 2 6 2" xfId="20219" xr:uid="{00000000-0005-0000-0000-0000EA4B0000}"/>
    <cellStyle name="Normal 2 2 2 2 2 2 6 2 2" xfId="20220" xr:uid="{00000000-0005-0000-0000-0000EB4B0000}"/>
    <cellStyle name="Normal 2 2 2 2 2 2 6 2 3" xfId="20221" xr:uid="{00000000-0005-0000-0000-0000EC4B0000}"/>
    <cellStyle name="Normal 2 2 2 2 2 2 6 2 4" xfId="20222" xr:uid="{00000000-0005-0000-0000-0000ED4B0000}"/>
    <cellStyle name="Normal 2 2 2 2 2 2 6 2 5" xfId="20223" xr:uid="{00000000-0005-0000-0000-0000EE4B0000}"/>
    <cellStyle name="Normal 2 2 2 2 2 2 6 2 6" xfId="20224" xr:uid="{00000000-0005-0000-0000-0000EF4B0000}"/>
    <cellStyle name="Normal 2 2 2 2 2 2 6 3" xfId="20225" xr:uid="{00000000-0005-0000-0000-0000F04B0000}"/>
    <cellStyle name="Normal 2 2 2 2 2 2 6 3 2" xfId="20226" xr:uid="{00000000-0005-0000-0000-0000F14B0000}"/>
    <cellStyle name="Normal 2 2 2 2 2 2 6 3 3" xfId="20227" xr:uid="{00000000-0005-0000-0000-0000F24B0000}"/>
    <cellStyle name="Normal 2 2 2 2 2 2 6 3 4" xfId="20228" xr:uid="{00000000-0005-0000-0000-0000F34B0000}"/>
    <cellStyle name="Normal 2 2 2 2 2 2 6 3 5" xfId="20229" xr:uid="{00000000-0005-0000-0000-0000F44B0000}"/>
    <cellStyle name="Normal 2 2 2 2 2 2 6 3 6" xfId="20230" xr:uid="{00000000-0005-0000-0000-0000F54B0000}"/>
    <cellStyle name="Normal 2 2 2 2 2 2 6 4" xfId="20231" xr:uid="{00000000-0005-0000-0000-0000F64B0000}"/>
    <cellStyle name="Normal 2 2 2 2 2 2 6 4 2" xfId="20232" xr:uid="{00000000-0005-0000-0000-0000F74B0000}"/>
    <cellStyle name="Normal 2 2 2 2 2 2 6 4 3" xfId="20233" xr:uid="{00000000-0005-0000-0000-0000F84B0000}"/>
    <cellStyle name="Normal 2 2 2 2 2 2 6 4 4" xfId="20234" xr:uid="{00000000-0005-0000-0000-0000F94B0000}"/>
    <cellStyle name="Normal 2 2 2 2 2 2 6 4 5" xfId="20235" xr:uid="{00000000-0005-0000-0000-0000FA4B0000}"/>
    <cellStyle name="Normal 2 2 2 2 2 2 6 4 6" xfId="20236" xr:uid="{00000000-0005-0000-0000-0000FB4B0000}"/>
    <cellStyle name="Normal 2 2 2 2 2 2 6 5" xfId="20237" xr:uid="{00000000-0005-0000-0000-0000FC4B0000}"/>
    <cellStyle name="Normal 2 2 2 2 2 2 6 5 2" xfId="20238" xr:uid="{00000000-0005-0000-0000-0000FD4B0000}"/>
    <cellStyle name="Normal 2 2 2 2 2 2 6 5 3" xfId="20239" xr:uid="{00000000-0005-0000-0000-0000FE4B0000}"/>
    <cellStyle name="Normal 2 2 2 2 2 2 6 5 4" xfId="20240" xr:uid="{00000000-0005-0000-0000-0000FF4B0000}"/>
    <cellStyle name="Normal 2 2 2 2 2 2 6 5 5" xfId="20241" xr:uid="{00000000-0005-0000-0000-0000004C0000}"/>
    <cellStyle name="Normal 2 2 2 2 2 2 6 5 6" xfId="20242" xr:uid="{00000000-0005-0000-0000-0000014C0000}"/>
    <cellStyle name="Normal 2 2 2 2 2 2 6 6" xfId="20243" xr:uid="{00000000-0005-0000-0000-0000024C0000}"/>
    <cellStyle name="Normal 2 2 2 2 2 2 6 6 2" xfId="20244" xr:uid="{00000000-0005-0000-0000-0000034C0000}"/>
    <cellStyle name="Normal 2 2 2 2 2 2 6 6 3" xfId="20245" xr:uid="{00000000-0005-0000-0000-0000044C0000}"/>
    <cellStyle name="Normal 2 2 2 2 2 2 6 6 4" xfId="20246" xr:uid="{00000000-0005-0000-0000-0000054C0000}"/>
    <cellStyle name="Normal 2 2 2 2 2 2 6 6 5" xfId="20247" xr:uid="{00000000-0005-0000-0000-0000064C0000}"/>
    <cellStyle name="Normal 2 2 2 2 2 2 6 6 6" xfId="20248" xr:uid="{00000000-0005-0000-0000-0000074C0000}"/>
    <cellStyle name="Normal 2 2 2 2 2 2 6 7" xfId="20249" xr:uid="{00000000-0005-0000-0000-0000084C0000}"/>
    <cellStyle name="Normal 2 2 2 2 2 2 6 7 2" xfId="20250" xr:uid="{00000000-0005-0000-0000-0000094C0000}"/>
    <cellStyle name="Normal 2 2 2 2 2 2 6 7 3" xfId="20251" xr:uid="{00000000-0005-0000-0000-00000A4C0000}"/>
    <cellStyle name="Normal 2 2 2 2 2 2 6 7 4" xfId="20252" xr:uid="{00000000-0005-0000-0000-00000B4C0000}"/>
    <cellStyle name="Normal 2 2 2 2 2 2 6 7 5" xfId="20253" xr:uid="{00000000-0005-0000-0000-00000C4C0000}"/>
    <cellStyle name="Normal 2 2 2 2 2 2 6 7 6" xfId="20254" xr:uid="{00000000-0005-0000-0000-00000D4C0000}"/>
    <cellStyle name="Normal 2 2 2 2 2 2 6 8" xfId="20255" xr:uid="{00000000-0005-0000-0000-00000E4C0000}"/>
    <cellStyle name="Normal 2 2 2 2 2 2 6 8 2" xfId="20256" xr:uid="{00000000-0005-0000-0000-00000F4C0000}"/>
    <cellStyle name="Normal 2 2 2 2 2 2 6 8 3" xfId="20257" xr:uid="{00000000-0005-0000-0000-0000104C0000}"/>
    <cellStyle name="Normal 2 2 2 2 2 2 6 8 4" xfId="20258" xr:uid="{00000000-0005-0000-0000-0000114C0000}"/>
    <cellStyle name="Normal 2 2 2 2 2 2 6 8 5" xfId="20259" xr:uid="{00000000-0005-0000-0000-0000124C0000}"/>
    <cellStyle name="Normal 2 2 2 2 2 2 6 8 6" xfId="20260" xr:uid="{00000000-0005-0000-0000-0000134C0000}"/>
    <cellStyle name="Normal 2 2 2 2 2 2 6 9" xfId="20261" xr:uid="{00000000-0005-0000-0000-0000144C0000}"/>
    <cellStyle name="Normal 2 2 2 2 2 2 60" xfId="20262" xr:uid="{00000000-0005-0000-0000-0000154C0000}"/>
    <cellStyle name="Normal 2 2 2 2 2 2 61" xfId="20263" xr:uid="{00000000-0005-0000-0000-0000164C0000}"/>
    <cellStyle name="Normal 2 2 2 2 2 2 62" xfId="20264" xr:uid="{00000000-0005-0000-0000-0000174C0000}"/>
    <cellStyle name="Normal 2 2 2 2 2 2 63" xfId="20265" xr:uid="{00000000-0005-0000-0000-0000184C0000}"/>
    <cellStyle name="Normal 2 2 2 2 2 2 64" xfId="20266" xr:uid="{00000000-0005-0000-0000-0000194C0000}"/>
    <cellStyle name="Normal 2 2 2 2 2 2 65" xfId="20267" xr:uid="{00000000-0005-0000-0000-00001A4C0000}"/>
    <cellStyle name="Normal 2 2 2 2 2 2 66" xfId="20268" xr:uid="{00000000-0005-0000-0000-00001B4C0000}"/>
    <cellStyle name="Normal 2 2 2 2 2 2 67" xfId="20269" xr:uid="{00000000-0005-0000-0000-00001C4C0000}"/>
    <cellStyle name="Normal 2 2 2 2 2 2 67 2" xfId="20270" xr:uid="{00000000-0005-0000-0000-00001D4C0000}"/>
    <cellStyle name="Normal 2 2 2 2 2 2 67 3" xfId="20271" xr:uid="{00000000-0005-0000-0000-00001E4C0000}"/>
    <cellStyle name="Normal 2 2 2 2 2 2 67 4" xfId="20272" xr:uid="{00000000-0005-0000-0000-00001F4C0000}"/>
    <cellStyle name="Normal 2 2 2 2 2 2 67 5" xfId="20273" xr:uid="{00000000-0005-0000-0000-0000204C0000}"/>
    <cellStyle name="Normal 2 2 2 2 2 2 67 6" xfId="20274" xr:uid="{00000000-0005-0000-0000-0000214C0000}"/>
    <cellStyle name="Normal 2 2 2 2 2 2 67 7" xfId="20275" xr:uid="{00000000-0005-0000-0000-0000224C0000}"/>
    <cellStyle name="Normal 2 2 2 2 2 2 68" xfId="20276" xr:uid="{00000000-0005-0000-0000-0000234C0000}"/>
    <cellStyle name="Normal 2 2 2 2 2 2 68 10" xfId="20277" xr:uid="{00000000-0005-0000-0000-0000244C0000}"/>
    <cellStyle name="Normal 2 2 2 2 2 2 68 11" xfId="20278" xr:uid="{00000000-0005-0000-0000-0000254C0000}"/>
    <cellStyle name="Normal 2 2 2 2 2 2 68 2" xfId="20279" xr:uid="{00000000-0005-0000-0000-0000264C0000}"/>
    <cellStyle name="Normal 2 2 2 2 2 2 68 2 2" xfId="20280" xr:uid="{00000000-0005-0000-0000-0000274C0000}"/>
    <cellStyle name="Normal 2 2 2 2 2 2 68 2 2 2" xfId="20281" xr:uid="{00000000-0005-0000-0000-0000284C0000}"/>
    <cellStyle name="Normal 2 2 2 2 2 2 68 2 2 3" xfId="20282" xr:uid="{00000000-0005-0000-0000-0000294C0000}"/>
    <cellStyle name="Normal 2 2 2 2 2 2 68 2 3" xfId="20283" xr:uid="{00000000-0005-0000-0000-00002A4C0000}"/>
    <cellStyle name="Normal 2 2 2 2 2 2 68 2 4" xfId="20284" xr:uid="{00000000-0005-0000-0000-00002B4C0000}"/>
    <cellStyle name="Normal 2 2 2 2 2 2 68 2 5" xfId="20285" xr:uid="{00000000-0005-0000-0000-00002C4C0000}"/>
    <cellStyle name="Normal 2 2 2 2 2 2 68 2 6" xfId="20286" xr:uid="{00000000-0005-0000-0000-00002D4C0000}"/>
    <cellStyle name="Normal 2 2 2 2 2 2 68 2 7" xfId="20287" xr:uid="{00000000-0005-0000-0000-00002E4C0000}"/>
    <cellStyle name="Normal 2 2 2 2 2 2 68 2 8" xfId="20288" xr:uid="{00000000-0005-0000-0000-00002F4C0000}"/>
    <cellStyle name="Normal 2 2 2 2 2 2 68 2 9" xfId="20289" xr:uid="{00000000-0005-0000-0000-0000304C0000}"/>
    <cellStyle name="Normal 2 2 2 2 2 2 68 3" xfId="20290" xr:uid="{00000000-0005-0000-0000-0000314C0000}"/>
    <cellStyle name="Normal 2 2 2 2 2 2 68 4" xfId="20291" xr:uid="{00000000-0005-0000-0000-0000324C0000}"/>
    <cellStyle name="Normal 2 2 2 2 2 2 68 5" xfId="20292" xr:uid="{00000000-0005-0000-0000-0000334C0000}"/>
    <cellStyle name="Normal 2 2 2 2 2 2 68 5 2" xfId="20293" xr:uid="{00000000-0005-0000-0000-0000344C0000}"/>
    <cellStyle name="Normal 2 2 2 2 2 2 68 5 3" xfId="20294" xr:uid="{00000000-0005-0000-0000-0000354C0000}"/>
    <cellStyle name="Normal 2 2 2 2 2 2 68 6" xfId="20295" xr:uid="{00000000-0005-0000-0000-0000364C0000}"/>
    <cellStyle name="Normal 2 2 2 2 2 2 68 7" xfId="20296" xr:uid="{00000000-0005-0000-0000-0000374C0000}"/>
    <cellStyle name="Normal 2 2 2 2 2 2 68 8" xfId="20297" xr:uid="{00000000-0005-0000-0000-0000384C0000}"/>
    <cellStyle name="Normal 2 2 2 2 2 2 68 9" xfId="20298" xr:uid="{00000000-0005-0000-0000-0000394C0000}"/>
    <cellStyle name="Normal 2 2 2 2 2 2 69" xfId="20299" xr:uid="{00000000-0005-0000-0000-00003A4C0000}"/>
    <cellStyle name="Normal 2 2 2 2 2 2 7" xfId="20300" xr:uid="{00000000-0005-0000-0000-00003B4C0000}"/>
    <cellStyle name="Normal 2 2 2 2 2 2 7 10" xfId="20301" xr:uid="{00000000-0005-0000-0000-00003C4C0000}"/>
    <cellStyle name="Normal 2 2 2 2 2 2 7 11" xfId="20302" xr:uid="{00000000-0005-0000-0000-00003D4C0000}"/>
    <cellStyle name="Normal 2 2 2 2 2 2 7 12" xfId="20303" xr:uid="{00000000-0005-0000-0000-00003E4C0000}"/>
    <cellStyle name="Normal 2 2 2 2 2 2 7 13" xfId="20304" xr:uid="{00000000-0005-0000-0000-00003F4C0000}"/>
    <cellStyle name="Normal 2 2 2 2 2 2 7 2" xfId="20305" xr:uid="{00000000-0005-0000-0000-0000404C0000}"/>
    <cellStyle name="Normal 2 2 2 2 2 2 7 2 2" xfId="20306" xr:uid="{00000000-0005-0000-0000-0000414C0000}"/>
    <cellStyle name="Normal 2 2 2 2 2 2 7 2 3" xfId="20307" xr:uid="{00000000-0005-0000-0000-0000424C0000}"/>
    <cellStyle name="Normal 2 2 2 2 2 2 7 2 4" xfId="20308" xr:uid="{00000000-0005-0000-0000-0000434C0000}"/>
    <cellStyle name="Normal 2 2 2 2 2 2 7 2 5" xfId="20309" xr:uid="{00000000-0005-0000-0000-0000444C0000}"/>
    <cellStyle name="Normal 2 2 2 2 2 2 7 2 6" xfId="20310" xr:uid="{00000000-0005-0000-0000-0000454C0000}"/>
    <cellStyle name="Normal 2 2 2 2 2 2 7 3" xfId="20311" xr:uid="{00000000-0005-0000-0000-0000464C0000}"/>
    <cellStyle name="Normal 2 2 2 2 2 2 7 3 2" xfId="20312" xr:uid="{00000000-0005-0000-0000-0000474C0000}"/>
    <cellStyle name="Normal 2 2 2 2 2 2 7 3 3" xfId="20313" xr:uid="{00000000-0005-0000-0000-0000484C0000}"/>
    <cellStyle name="Normal 2 2 2 2 2 2 7 3 4" xfId="20314" xr:uid="{00000000-0005-0000-0000-0000494C0000}"/>
    <cellStyle name="Normal 2 2 2 2 2 2 7 3 5" xfId="20315" xr:uid="{00000000-0005-0000-0000-00004A4C0000}"/>
    <cellStyle name="Normal 2 2 2 2 2 2 7 3 6" xfId="20316" xr:uid="{00000000-0005-0000-0000-00004B4C0000}"/>
    <cellStyle name="Normal 2 2 2 2 2 2 7 4" xfId="20317" xr:uid="{00000000-0005-0000-0000-00004C4C0000}"/>
    <cellStyle name="Normal 2 2 2 2 2 2 7 4 2" xfId="20318" xr:uid="{00000000-0005-0000-0000-00004D4C0000}"/>
    <cellStyle name="Normal 2 2 2 2 2 2 7 4 3" xfId="20319" xr:uid="{00000000-0005-0000-0000-00004E4C0000}"/>
    <cellStyle name="Normal 2 2 2 2 2 2 7 4 4" xfId="20320" xr:uid="{00000000-0005-0000-0000-00004F4C0000}"/>
    <cellStyle name="Normal 2 2 2 2 2 2 7 4 5" xfId="20321" xr:uid="{00000000-0005-0000-0000-0000504C0000}"/>
    <cellStyle name="Normal 2 2 2 2 2 2 7 4 6" xfId="20322" xr:uid="{00000000-0005-0000-0000-0000514C0000}"/>
    <cellStyle name="Normal 2 2 2 2 2 2 7 5" xfId="20323" xr:uid="{00000000-0005-0000-0000-0000524C0000}"/>
    <cellStyle name="Normal 2 2 2 2 2 2 7 5 2" xfId="20324" xr:uid="{00000000-0005-0000-0000-0000534C0000}"/>
    <cellStyle name="Normal 2 2 2 2 2 2 7 5 3" xfId="20325" xr:uid="{00000000-0005-0000-0000-0000544C0000}"/>
    <cellStyle name="Normal 2 2 2 2 2 2 7 5 4" xfId="20326" xr:uid="{00000000-0005-0000-0000-0000554C0000}"/>
    <cellStyle name="Normal 2 2 2 2 2 2 7 5 5" xfId="20327" xr:uid="{00000000-0005-0000-0000-0000564C0000}"/>
    <cellStyle name="Normal 2 2 2 2 2 2 7 5 6" xfId="20328" xr:uid="{00000000-0005-0000-0000-0000574C0000}"/>
    <cellStyle name="Normal 2 2 2 2 2 2 7 6" xfId="20329" xr:uid="{00000000-0005-0000-0000-0000584C0000}"/>
    <cellStyle name="Normal 2 2 2 2 2 2 7 6 2" xfId="20330" xr:uid="{00000000-0005-0000-0000-0000594C0000}"/>
    <cellStyle name="Normal 2 2 2 2 2 2 7 6 3" xfId="20331" xr:uid="{00000000-0005-0000-0000-00005A4C0000}"/>
    <cellStyle name="Normal 2 2 2 2 2 2 7 6 4" xfId="20332" xr:uid="{00000000-0005-0000-0000-00005B4C0000}"/>
    <cellStyle name="Normal 2 2 2 2 2 2 7 6 5" xfId="20333" xr:uid="{00000000-0005-0000-0000-00005C4C0000}"/>
    <cellStyle name="Normal 2 2 2 2 2 2 7 6 6" xfId="20334" xr:uid="{00000000-0005-0000-0000-00005D4C0000}"/>
    <cellStyle name="Normal 2 2 2 2 2 2 7 7" xfId="20335" xr:uid="{00000000-0005-0000-0000-00005E4C0000}"/>
    <cellStyle name="Normal 2 2 2 2 2 2 7 7 2" xfId="20336" xr:uid="{00000000-0005-0000-0000-00005F4C0000}"/>
    <cellStyle name="Normal 2 2 2 2 2 2 7 7 3" xfId="20337" xr:uid="{00000000-0005-0000-0000-0000604C0000}"/>
    <cellStyle name="Normal 2 2 2 2 2 2 7 7 4" xfId="20338" xr:uid="{00000000-0005-0000-0000-0000614C0000}"/>
    <cellStyle name="Normal 2 2 2 2 2 2 7 7 5" xfId="20339" xr:uid="{00000000-0005-0000-0000-0000624C0000}"/>
    <cellStyle name="Normal 2 2 2 2 2 2 7 7 6" xfId="20340" xr:uid="{00000000-0005-0000-0000-0000634C0000}"/>
    <cellStyle name="Normal 2 2 2 2 2 2 7 8" xfId="20341" xr:uid="{00000000-0005-0000-0000-0000644C0000}"/>
    <cellStyle name="Normal 2 2 2 2 2 2 7 8 2" xfId="20342" xr:uid="{00000000-0005-0000-0000-0000654C0000}"/>
    <cellStyle name="Normal 2 2 2 2 2 2 7 8 3" xfId="20343" xr:uid="{00000000-0005-0000-0000-0000664C0000}"/>
    <cellStyle name="Normal 2 2 2 2 2 2 7 8 4" xfId="20344" xr:uid="{00000000-0005-0000-0000-0000674C0000}"/>
    <cellStyle name="Normal 2 2 2 2 2 2 7 8 5" xfId="20345" xr:uid="{00000000-0005-0000-0000-0000684C0000}"/>
    <cellStyle name="Normal 2 2 2 2 2 2 7 8 6" xfId="20346" xr:uid="{00000000-0005-0000-0000-0000694C0000}"/>
    <cellStyle name="Normal 2 2 2 2 2 2 7 9" xfId="20347" xr:uid="{00000000-0005-0000-0000-00006A4C0000}"/>
    <cellStyle name="Normal 2 2 2 2 2 2 70" xfId="20348" xr:uid="{00000000-0005-0000-0000-00006B4C0000}"/>
    <cellStyle name="Normal 2 2 2 2 2 2 71" xfId="20349" xr:uid="{00000000-0005-0000-0000-00006C4C0000}"/>
    <cellStyle name="Normal 2 2 2 2 2 2 71 2" xfId="20350" xr:uid="{00000000-0005-0000-0000-00006D4C0000}"/>
    <cellStyle name="Normal 2 2 2 2 2 2 71 2 2" xfId="20351" xr:uid="{00000000-0005-0000-0000-00006E4C0000}"/>
    <cellStyle name="Normal 2 2 2 2 2 2 71 2 3" xfId="20352" xr:uid="{00000000-0005-0000-0000-00006F4C0000}"/>
    <cellStyle name="Normal 2 2 2 2 2 2 71 3" xfId="20353" xr:uid="{00000000-0005-0000-0000-0000704C0000}"/>
    <cellStyle name="Normal 2 2 2 2 2 2 71 4" xfId="20354" xr:uid="{00000000-0005-0000-0000-0000714C0000}"/>
    <cellStyle name="Normal 2 2 2 2 2 2 71 5" xfId="20355" xr:uid="{00000000-0005-0000-0000-0000724C0000}"/>
    <cellStyle name="Normal 2 2 2 2 2 2 71 6" xfId="20356" xr:uid="{00000000-0005-0000-0000-0000734C0000}"/>
    <cellStyle name="Normal 2 2 2 2 2 2 71 7" xfId="20357" xr:uid="{00000000-0005-0000-0000-0000744C0000}"/>
    <cellStyle name="Normal 2 2 2 2 2 2 71 8" xfId="20358" xr:uid="{00000000-0005-0000-0000-0000754C0000}"/>
    <cellStyle name="Normal 2 2 2 2 2 2 71 9" xfId="20359" xr:uid="{00000000-0005-0000-0000-0000764C0000}"/>
    <cellStyle name="Normal 2 2 2 2 2 2 72" xfId="20360" xr:uid="{00000000-0005-0000-0000-0000774C0000}"/>
    <cellStyle name="Normal 2 2 2 2 2 2 73" xfId="20361" xr:uid="{00000000-0005-0000-0000-0000784C0000}"/>
    <cellStyle name="Normal 2 2 2 2 2 2 73 2" xfId="20362" xr:uid="{00000000-0005-0000-0000-0000794C0000}"/>
    <cellStyle name="Normal 2 2 2 2 2 2 73 3" xfId="20363" xr:uid="{00000000-0005-0000-0000-00007A4C0000}"/>
    <cellStyle name="Normal 2 2 2 2 2 2 74" xfId="20364" xr:uid="{00000000-0005-0000-0000-00007B4C0000}"/>
    <cellStyle name="Normal 2 2 2 2 2 2 75" xfId="20365" xr:uid="{00000000-0005-0000-0000-00007C4C0000}"/>
    <cellStyle name="Normal 2 2 2 2 2 2 76" xfId="20366" xr:uid="{00000000-0005-0000-0000-00007D4C0000}"/>
    <cellStyle name="Normal 2 2 2 2 2 2 77" xfId="20367" xr:uid="{00000000-0005-0000-0000-00007E4C0000}"/>
    <cellStyle name="Normal 2 2 2 2 2 2 78" xfId="20368" xr:uid="{00000000-0005-0000-0000-00007F4C0000}"/>
    <cellStyle name="Normal 2 2 2 2 2 2 79" xfId="20369" xr:uid="{00000000-0005-0000-0000-0000804C0000}"/>
    <cellStyle name="Normal 2 2 2 2 2 2 8" xfId="20370" xr:uid="{00000000-0005-0000-0000-0000814C0000}"/>
    <cellStyle name="Normal 2 2 2 2 2 2 8 10" xfId="20371" xr:uid="{00000000-0005-0000-0000-0000824C0000}"/>
    <cellStyle name="Normal 2 2 2 2 2 2 8 11" xfId="20372" xr:uid="{00000000-0005-0000-0000-0000834C0000}"/>
    <cellStyle name="Normal 2 2 2 2 2 2 8 12" xfId="20373" xr:uid="{00000000-0005-0000-0000-0000844C0000}"/>
    <cellStyle name="Normal 2 2 2 2 2 2 8 12 2" xfId="20374" xr:uid="{00000000-0005-0000-0000-0000854C0000}"/>
    <cellStyle name="Normal 2 2 2 2 2 2 8 12 3" xfId="20375" xr:uid="{00000000-0005-0000-0000-0000864C0000}"/>
    <cellStyle name="Normal 2 2 2 2 2 2 8 12 4" xfId="20376" xr:uid="{00000000-0005-0000-0000-0000874C0000}"/>
    <cellStyle name="Normal 2 2 2 2 2 2 8 12 5" xfId="20377" xr:uid="{00000000-0005-0000-0000-0000884C0000}"/>
    <cellStyle name="Normal 2 2 2 2 2 2 8 12 6" xfId="20378" xr:uid="{00000000-0005-0000-0000-0000894C0000}"/>
    <cellStyle name="Normal 2 2 2 2 2 2 8 13" xfId="20379" xr:uid="{00000000-0005-0000-0000-00008A4C0000}"/>
    <cellStyle name="Normal 2 2 2 2 2 2 8 13 2" xfId="20380" xr:uid="{00000000-0005-0000-0000-00008B4C0000}"/>
    <cellStyle name="Normal 2 2 2 2 2 2 8 13 3" xfId="20381" xr:uid="{00000000-0005-0000-0000-00008C4C0000}"/>
    <cellStyle name="Normal 2 2 2 2 2 2 8 13 4" xfId="20382" xr:uid="{00000000-0005-0000-0000-00008D4C0000}"/>
    <cellStyle name="Normal 2 2 2 2 2 2 8 13 5" xfId="20383" xr:uid="{00000000-0005-0000-0000-00008E4C0000}"/>
    <cellStyle name="Normal 2 2 2 2 2 2 8 13 6" xfId="20384" xr:uid="{00000000-0005-0000-0000-00008F4C0000}"/>
    <cellStyle name="Normal 2 2 2 2 2 2 8 14" xfId="20385" xr:uid="{00000000-0005-0000-0000-0000904C0000}"/>
    <cellStyle name="Normal 2 2 2 2 2 2 8 14 2" xfId="20386" xr:uid="{00000000-0005-0000-0000-0000914C0000}"/>
    <cellStyle name="Normal 2 2 2 2 2 2 8 14 3" xfId="20387" xr:uid="{00000000-0005-0000-0000-0000924C0000}"/>
    <cellStyle name="Normal 2 2 2 2 2 2 8 14 4" xfId="20388" xr:uid="{00000000-0005-0000-0000-0000934C0000}"/>
    <cellStyle name="Normal 2 2 2 2 2 2 8 14 5" xfId="20389" xr:uid="{00000000-0005-0000-0000-0000944C0000}"/>
    <cellStyle name="Normal 2 2 2 2 2 2 8 14 6" xfId="20390" xr:uid="{00000000-0005-0000-0000-0000954C0000}"/>
    <cellStyle name="Normal 2 2 2 2 2 2 8 15" xfId="20391" xr:uid="{00000000-0005-0000-0000-0000964C0000}"/>
    <cellStyle name="Normal 2 2 2 2 2 2 8 15 2" xfId="20392" xr:uid="{00000000-0005-0000-0000-0000974C0000}"/>
    <cellStyle name="Normal 2 2 2 2 2 2 8 15 3" xfId="20393" xr:uid="{00000000-0005-0000-0000-0000984C0000}"/>
    <cellStyle name="Normal 2 2 2 2 2 2 8 15 4" xfId="20394" xr:uid="{00000000-0005-0000-0000-0000994C0000}"/>
    <cellStyle name="Normal 2 2 2 2 2 2 8 15 5" xfId="20395" xr:uid="{00000000-0005-0000-0000-00009A4C0000}"/>
    <cellStyle name="Normal 2 2 2 2 2 2 8 15 6" xfId="20396" xr:uid="{00000000-0005-0000-0000-00009B4C0000}"/>
    <cellStyle name="Normal 2 2 2 2 2 2 8 16" xfId="20397" xr:uid="{00000000-0005-0000-0000-00009C4C0000}"/>
    <cellStyle name="Normal 2 2 2 2 2 2 8 16 2" xfId="20398" xr:uid="{00000000-0005-0000-0000-00009D4C0000}"/>
    <cellStyle name="Normal 2 2 2 2 2 2 8 16 3" xfId="20399" xr:uid="{00000000-0005-0000-0000-00009E4C0000}"/>
    <cellStyle name="Normal 2 2 2 2 2 2 8 16 4" xfId="20400" xr:uid="{00000000-0005-0000-0000-00009F4C0000}"/>
    <cellStyle name="Normal 2 2 2 2 2 2 8 16 5" xfId="20401" xr:uid="{00000000-0005-0000-0000-0000A04C0000}"/>
    <cellStyle name="Normal 2 2 2 2 2 2 8 16 6" xfId="20402" xr:uid="{00000000-0005-0000-0000-0000A14C0000}"/>
    <cellStyle name="Normal 2 2 2 2 2 2 8 17" xfId="20403" xr:uid="{00000000-0005-0000-0000-0000A24C0000}"/>
    <cellStyle name="Normal 2 2 2 2 2 2 8 17 2" xfId="20404" xr:uid="{00000000-0005-0000-0000-0000A34C0000}"/>
    <cellStyle name="Normal 2 2 2 2 2 2 8 17 3" xfId="20405" xr:uid="{00000000-0005-0000-0000-0000A44C0000}"/>
    <cellStyle name="Normal 2 2 2 2 2 2 8 17 4" xfId="20406" xr:uid="{00000000-0005-0000-0000-0000A54C0000}"/>
    <cellStyle name="Normal 2 2 2 2 2 2 8 17 5" xfId="20407" xr:uid="{00000000-0005-0000-0000-0000A64C0000}"/>
    <cellStyle name="Normal 2 2 2 2 2 2 8 17 6" xfId="20408" xr:uid="{00000000-0005-0000-0000-0000A74C0000}"/>
    <cellStyle name="Normal 2 2 2 2 2 2 8 18" xfId="20409" xr:uid="{00000000-0005-0000-0000-0000A84C0000}"/>
    <cellStyle name="Normal 2 2 2 2 2 2 8 18 2" xfId="20410" xr:uid="{00000000-0005-0000-0000-0000A94C0000}"/>
    <cellStyle name="Normal 2 2 2 2 2 2 8 18 3" xfId="20411" xr:uid="{00000000-0005-0000-0000-0000AA4C0000}"/>
    <cellStyle name="Normal 2 2 2 2 2 2 8 18 4" xfId="20412" xr:uid="{00000000-0005-0000-0000-0000AB4C0000}"/>
    <cellStyle name="Normal 2 2 2 2 2 2 8 18 5" xfId="20413" xr:uid="{00000000-0005-0000-0000-0000AC4C0000}"/>
    <cellStyle name="Normal 2 2 2 2 2 2 8 18 6" xfId="20414" xr:uid="{00000000-0005-0000-0000-0000AD4C0000}"/>
    <cellStyle name="Normal 2 2 2 2 2 2 8 19" xfId="20415" xr:uid="{00000000-0005-0000-0000-0000AE4C0000}"/>
    <cellStyle name="Normal 2 2 2 2 2 2 8 2" xfId="20416" xr:uid="{00000000-0005-0000-0000-0000AF4C0000}"/>
    <cellStyle name="Normal 2 2 2 2 2 2 8 20" xfId="20417" xr:uid="{00000000-0005-0000-0000-0000B04C0000}"/>
    <cellStyle name="Normal 2 2 2 2 2 2 8 21" xfId="20418" xr:uid="{00000000-0005-0000-0000-0000B14C0000}"/>
    <cellStyle name="Normal 2 2 2 2 2 2 8 22" xfId="20419" xr:uid="{00000000-0005-0000-0000-0000B24C0000}"/>
    <cellStyle name="Normal 2 2 2 2 2 2 8 23" xfId="20420" xr:uid="{00000000-0005-0000-0000-0000B34C0000}"/>
    <cellStyle name="Normal 2 2 2 2 2 2 8 3" xfId="20421" xr:uid="{00000000-0005-0000-0000-0000B44C0000}"/>
    <cellStyle name="Normal 2 2 2 2 2 2 8 4" xfId="20422" xr:uid="{00000000-0005-0000-0000-0000B54C0000}"/>
    <cellStyle name="Normal 2 2 2 2 2 2 8 5" xfId="20423" xr:uid="{00000000-0005-0000-0000-0000B64C0000}"/>
    <cellStyle name="Normal 2 2 2 2 2 2 8 6" xfId="20424" xr:uid="{00000000-0005-0000-0000-0000B74C0000}"/>
    <cellStyle name="Normal 2 2 2 2 2 2 8 7" xfId="20425" xr:uid="{00000000-0005-0000-0000-0000B84C0000}"/>
    <cellStyle name="Normal 2 2 2 2 2 2 8 8" xfId="20426" xr:uid="{00000000-0005-0000-0000-0000B94C0000}"/>
    <cellStyle name="Normal 2 2 2 2 2 2 8 9" xfId="20427" xr:uid="{00000000-0005-0000-0000-0000BA4C0000}"/>
    <cellStyle name="Normal 2 2 2 2 2 2 80" xfId="20428" xr:uid="{00000000-0005-0000-0000-0000BB4C0000}"/>
    <cellStyle name="Normal 2 2 2 2 2 2 9" xfId="20429" xr:uid="{00000000-0005-0000-0000-0000BC4C0000}"/>
    <cellStyle name="Normal 2 2 2 2 2 20" xfId="20430" xr:uid="{00000000-0005-0000-0000-0000BD4C0000}"/>
    <cellStyle name="Normal 2 2 2 2 2 20 10" xfId="20431" xr:uid="{00000000-0005-0000-0000-0000BE4C0000}"/>
    <cellStyle name="Normal 2 2 2 2 2 20 11" xfId="20432" xr:uid="{00000000-0005-0000-0000-0000BF4C0000}"/>
    <cellStyle name="Normal 2 2 2 2 2 20 12" xfId="20433" xr:uid="{00000000-0005-0000-0000-0000C04C0000}"/>
    <cellStyle name="Normal 2 2 2 2 2 20 13" xfId="20434" xr:uid="{00000000-0005-0000-0000-0000C14C0000}"/>
    <cellStyle name="Normal 2 2 2 2 2 20 2" xfId="20435" xr:uid="{00000000-0005-0000-0000-0000C24C0000}"/>
    <cellStyle name="Normal 2 2 2 2 2 20 2 2" xfId="20436" xr:uid="{00000000-0005-0000-0000-0000C34C0000}"/>
    <cellStyle name="Normal 2 2 2 2 2 20 2 3" xfId="20437" xr:uid="{00000000-0005-0000-0000-0000C44C0000}"/>
    <cellStyle name="Normal 2 2 2 2 2 20 2 4" xfId="20438" xr:uid="{00000000-0005-0000-0000-0000C54C0000}"/>
    <cellStyle name="Normal 2 2 2 2 2 20 2 5" xfId="20439" xr:uid="{00000000-0005-0000-0000-0000C64C0000}"/>
    <cellStyle name="Normal 2 2 2 2 2 20 2 6" xfId="20440" xr:uid="{00000000-0005-0000-0000-0000C74C0000}"/>
    <cellStyle name="Normal 2 2 2 2 2 20 3" xfId="20441" xr:uid="{00000000-0005-0000-0000-0000C84C0000}"/>
    <cellStyle name="Normal 2 2 2 2 2 20 3 2" xfId="20442" xr:uid="{00000000-0005-0000-0000-0000C94C0000}"/>
    <cellStyle name="Normal 2 2 2 2 2 20 3 3" xfId="20443" xr:uid="{00000000-0005-0000-0000-0000CA4C0000}"/>
    <cellStyle name="Normal 2 2 2 2 2 20 3 4" xfId="20444" xr:uid="{00000000-0005-0000-0000-0000CB4C0000}"/>
    <cellStyle name="Normal 2 2 2 2 2 20 3 5" xfId="20445" xr:uid="{00000000-0005-0000-0000-0000CC4C0000}"/>
    <cellStyle name="Normal 2 2 2 2 2 20 3 6" xfId="20446" xr:uid="{00000000-0005-0000-0000-0000CD4C0000}"/>
    <cellStyle name="Normal 2 2 2 2 2 20 4" xfId="20447" xr:uid="{00000000-0005-0000-0000-0000CE4C0000}"/>
    <cellStyle name="Normal 2 2 2 2 2 20 4 2" xfId="20448" xr:uid="{00000000-0005-0000-0000-0000CF4C0000}"/>
    <cellStyle name="Normal 2 2 2 2 2 20 4 3" xfId="20449" xr:uid="{00000000-0005-0000-0000-0000D04C0000}"/>
    <cellStyle name="Normal 2 2 2 2 2 20 4 4" xfId="20450" xr:uid="{00000000-0005-0000-0000-0000D14C0000}"/>
    <cellStyle name="Normal 2 2 2 2 2 20 4 5" xfId="20451" xr:uid="{00000000-0005-0000-0000-0000D24C0000}"/>
    <cellStyle name="Normal 2 2 2 2 2 20 4 6" xfId="20452" xr:uid="{00000000-0005-0000-0000-0000D34C0000}"/>
    <cellStyle name="Normal 2 2 2 2 2 20 5" xfId="20453" xr:uid="{00000000-0005-0000-0000-0000D44C0000}"/>
    <cellStyle name="Normal 2 2 2 2 2 20 5 2" xfId="20454" xr:uid="{00000000-0005-0000-0000-0000D54C0000}"/>
    <cellStyle name="Normal 2 2 2 2 2 20 5 3" xfId="20455" xr:uid="{00000000-0005-0000-0000-0000D64C0000}"/>
    <cellStyle name="Normal 2 2 2 2 2 20 5 4" xfId="20456" xr:uid="{00000000-0005-0000-0000-0000D74C0000}"/>
    <cellStyle name="Normal 2 2 2 2 2 20 5 5" xfId="20457" xr:uid="{00000000-0005-0000-0000-0000D84C0000}"/>
    <cellStyle name="Normal 2 2 2 2 2 20 5 6" xfId="20458" xr:uid="{00000000-0005-0000-0000-0000D94C0000}"/>
    <cellStyle name="Normal 2 2 2 2 2 20 6" xfId="20459" xr:uid="{00000000-0005-0000-0000-0000DA4C0000}"/>
    <cellStyle name="Normal 2 2 2 2 2 20 6 2" xfId="20460" xr:uid="{00000000-0005-0000-0000-0000DB4C0000}"/>
    <cellStyle name="Normal 2 2 2 2 2 20 6 3" xfId="20461" xr:uid="{00000000-0005-0000-0000-0000DC4C0000}"/>
    <cellStyle name="Normal 2 2 2 2 2 20 6 4" xfId="20462" xr:uid="{00000000-0005-0000-0000-0000DD4C0000}"/>
    <cellStyle name="Normal 2 2 2 2 2 20 6 5" xfId="20463" xr:uid="{00000000-0005-0000-0000-0000DE4C0000}"/>
    <cellStyle name="Normal 2 2 2 2 2 20 6 6" xfId="20464" xr:uid="{00000000-0005-0000-0000-0000DF4C0000}"/>
    <cellStyle name="Normal 2 2 2 2 2 20 7" xfId="20465" xr:uid="{00000000-0005-0000-0000-0000E04C0000}"/>
    <cellStyle name="Normal 2 2 2 2 2 20 7 2" xfId="20466" xr:uid="{00000000-0005-0000-0000-0000E14C0000}"/>
    <cellStyle name="Normal 2 2 2 2 2 20 7 3" xfId="20467" xr:uid="{00000000-0005-0000-0000-0000E24C0000}"/>
    <cellStyle name="Normal 2 2 2 2 2 20 7 4" xfId="20468" xr:uid="{00000000-0005-0000-0000-0000E34C0000}"/>
    <cellStyle name="Normal 2 2 2 2 2 20 7 5" xfId="20469" xr:uid="{00000000-0005-0000-0000-0000E44C0000}"/>
    <cellStyle name="Normal 2 2 2 2 2 20 7 6" xfId="20470" xr:uid="{00000000-0005-0000-0000-0000E54C0000}"/>
    <cellStyle name="Normal 2 2 2 2 2 20 8" xfId="20471" xr:uid="{00000000-0005-0000-0000-0000E64C0000}"/>
    <cellStyle name="Normal 2 2 2 2 2 20 8 2" xfId="20472" xr:uid="{00000000-0005-0000-0000-0000E74C0000}"/>
    <cellStyle name="Normal 2 2 2 2 2 20 8 3" xfId="20473" xr:uid="{00000000-0005-0000-0000-0000E84C0000}"/>
    <cellStyle name="Normal 2 2 2 2 2 20 8 4" xfId="20474" xr:uid="{00000000-0005-0000-0000-0000E94C0000}"/>
    <cellStyle name="Normal 2 2 2 2 2 20 8 5" xfId="20475" xr:uid="{00000000-0005-0000-0000-0000EA4C0000}"/>
    <cellStyle name="Normal 2 2 2 2 2 20 8 6" xfId="20476" xr:uid="{00000000-0005-0000-0000-0000EB4C0000}"/>
    <cellStyle name="Normal 2 2 2 2 2 20 9" xfId="20477" xr:uid="{00000000-0005-0000-0000-0000EC4C0000}"/>
    <cellStyle name="Normal 2 2 2 2 2 21" xfId="20478" xr:uid="{00000000-0005-0000-0000-0000ED4C0000}"/>
    <cellStyle name="Normal 2 2 2 2 2 21 10" xfId="20479" xr:uid="{00000000-0005-0000-0000-0000EE4C0000}"/>
    <cellStyle name="Normal 2 2 2 2 2 21 11" xfId="20480" xr:uid="{00000000-0005-0000-0000-0000EF4C0000}"/>
    <cellStyle name="Normal 2 2 2 2 2 21 12" xfId="20481" xr:uid="{00000000-0005-0000-0000-0000F04C0000}"/>
    <cellStyle name="Normal 2 2 2 2 2 21 13" xfId="20482" xr:uid="{00000000-0005-0000-0000-0000F14C0000}"/>
    <cellStyle name="Normal 2 2 2 2 2 21 2" xfId="20483" xr:uid="{00000000-0005-0000-0000-0000F24C0000}"/>
    <cellStyle name="Normal 2 2 2 2 2 21 2 2" xfId="20484" xr:uid="{00000000-0005-0000-0000-0000F34C0000}"/>
    <cellStyle name="Normal 2 2 2 2 2 21 2 3" xfId="20485" xr:uid="{00000000-0005-0000-0000-0000F44C0000}"/>
    <cellStyle name="Normal 2 2 2 2 2 21 2 4" xfId="20486" xr:uid="{00000000-0005-0000-0000-0000F54C0000}"/>
    <cellStyle name="Normal 2 2 2 2 2 21 2 5" xfId="20487" xr:uid="{00000000-0005-0000-0000-0000F64C0000}"/>
    <cellStyle name="Normal 2 2 2 2 2 21 2 6" xfId="20488" xr:uid="{00000000-0005-0000-0000-0000F74C0000}"/>
    <cellStyle name="Normal 2 2 2 2 2 21 3" xfId="20489" xr:uid="{00000000-0005-0000-0000-0000F84C0000}"/>
    <cellStyle name="Normal 2 2 2 2 2 21 3 2" xfId="20490" xr:uid="{00000000-0005-0000-0000-0000F94C0000}"/>
    <cellStyle name="Normal 2 2 2 2 2 21 3 3" xfId="20491" xr:uid="{00000000-0005-0000-0000-0000FA4C0000}"/>
    <cellStyle name="Normal 2 2 2 2 2 21 3 4" xfId="20492" xr:uid="{00000000-0005-0000-0000-0000FB4C0000}"/>
    <cellStyle name="Normal 2 2 2 2 2 21 3 5" xfId="20493" xr:uid="{00000000-0005-0000-0000-0000FC4C0000}"/>
    <cellStyle name="Normal 2 2 2 2 2 21 3 6" xfId="20494" xr:uid="{00000000-0005-0000-0000-0000FD4C0000}"/>
    <cellStyle name="Normal 2 2 2 2 2 21 4" xfId="20495" xr:uid="{00000000-0005-0000-0000-0000FE4C0000}"/>
    <cellStyle name="Normal 2 2 2 2 2 21 4 2" xfId="20496" xr:uid="{00000000-0005-0000-0000-0000FF4C0000}"/>
    <cellStyle name="Normal 2 2 2 2 2 21 4 3" xfId="20497" xr:uid="{00000000-0005-0000-0000-0000004D0000}"/>
    <cellStyle name="Normal 2 2 2 2 2 21 4 4" xfId="20498" xr:uid="{00000000-0005-0000-0000-0000014D0000}"/>
    <cellStyle name="Normal 2 2 2 2 2 21 4 5" xfId="20499" xr:uid="{00000000-0005-0000-0000-0000024D0000}"/>
    <cellStyle name="Normal 2 2 2 2 2 21 4 6" xfId="20500" xr:uid="{00000000-0005-0000-0000-0000034D0000}"/>
    <cellStyle name="Normal 2 2 2 2 2 21 5" xfId="20501" xr:uid="{00000000-0005-0000-0000-0000044D0000}"/>
    <cellStyle name="Normal 2 2 2 2 2 21 5 2" xfId="20502" xr:uid="{00000000-0005-0000-0000-0000054D0000}"/>
    <cellStyle name="Normal 2 2 2 2 2 21 5 3" xfId="20503" xr:uid="{00000000-0005-0000-0000-0000064D0000}"/>
    <cellStyle name="Normal 2 2 2 2 2 21 5 4" xfId="20504" xr:uid="{00000000-0005-0000-0000-0000074D0000}"/>
    <cellStyle name="Normal 2 2 2 2 2 21 5 5" xfId="20505" xr:uid="{00000000-0005-0000-0000-0000084D0000}"/>
    <cellStyle name="Normal 2 2 2 2 2 21 5 6" xfId="20506" xr:uid="{00000000-0005-0000-0000-0000094D0000}"/>
    <cellStyle name="Normal 2 2 2 2 2 21 6" xfId="20507" xr:uid="{00000000-0005-0000-0000-00000A4D0000}"/>
    <cellStyle name="Normal 2 2 2 2 2 21 6 2" xfId="20508" xr:uid="{00000000-0005-0000-0000-00000B4D0000}"/>
    <cellStyle name="Normal 2 2 2 2 2 21 6 3" xfId="20509" xr:uid="{00000000-0005-0000-0000-00000C4D0000}"/>
    <cellStyle name="Normal 2 2 2 2 2 21 6 4" xfId="20510" xr:uid="{00000000-0005-0000-0000-00000D4D0000}"/>
    <cellStyle name="Normal 2 2 2 2 2 21 6 5" xfId="20511" xr:uid="{00000000-0005-0000-0000-00000E4D0000}"/>
    <cellStyle name="Normal 2 2 2 2 2 21 6 6" xfId="20512" xr:uid="{00000000-0005-0000-0000-00000F4D0000}"/>
    <cellStyle name="Normal 2 2 2 2 2 21 7" xfId="20513" xr:uid="{00000000-0005-0000-0000-0000104D0000}"/>
    <cellStyle name="Normal 2 2 2 2 2 21 7 2" xfId="20514" xr:uid="{00000000-0005-0000-0000-0000114D0000}"/>
    <cellStyle name="Normal 2 2 2 2 2 21 7 3" xfId="20515" xr:uid="{00000000-0005-0000-0000-0000124D0000}"/>
    <cellStyle name="Normal 2 2 2 2 2 21 7 4" xfId="20516" xr:uid="{00000000-0005-0000-0000-0000134D0000}"/>
    <cellStyle name="Normal 2 2 2 2 2 21 7 5" xfId="20517" xr:uid="{00000000-0005-0000-0000-0000144D0000}"/>
    <cellStyle name="Normal 2 2 2 2 2 21 7 6" xfId="20518" xr:uid="{00000000-0005-0000-0000-0000154D0000}"/>
    <cellStyle name="Normal 2 2 2 2 2 21 8" xfId="20519" xr:uid="{00000000-0005-0000-0000-0000164D0000}"/>
    <cellStyle name="Normal 2 2 2 2 2 21 8 2" xfId="20520" xr:uid="{00000000-0005-0000-0000-0000174D0000}"/>
    <cellStyle name="Normal 2 2 2 2 2 21 8 3" xfId="20521" xr:uid="{00000000-0005-0000-0000-0000184D0000}"/>
    <cellStyle name="Normal 2 2 2 2 2 21 8 4" xfId="20522" xr:uid="{00000000-0005-0000-0000-0000194D0000}"/>
    <cellStyle name="Normal 2 2 2 2 2 21 8 5" xfId="20523" xr:uid="{00000000-0005-0000-0000-00001A4D0000}"/>
    <cellStyle name="Normal 2 2 2 2 2 21 8 6" xfId="20524" xr:uid="{00000000-0005-0000-0000-00001B4D0000}"/>
    <cellStyle name="Normal 2 2 2 2 2 21 9" xfId="20525" xr:uid="{00000000-0005-0000-0000-00001C4D0000}"/>
    <cellStyle name="Normal 2 2 2 2 2 22" xfId="20526" xr:uid="{00000000-0005-0000-0000-00001D4D0000}"/>
    <cellStyle name="Normal 2 2 2 2 2 22 2" xfId="20527" xr:uid="{00000000-0005-0000-0000-00001E4D0000}"/>
    <cellStyle name="Normal 2 2 2 2 2 22 3" xfId="20528" xr:uid="{00000000-0005-0000-0000-00001F4D0000}"/>
    <cellStyle name="Normal 2 2 2 2 2 22 4" xfId="20529" xr:uid="{00000000-0005-0000-0000-0000204D0000}"/>
    <cellStyle name="Normal 2 2 2 2 2 23" xfId="20530" xr:uid="{00000000-0005-0000-0000-0000214D0000}"/>
    <cellStyle name="Normal 2 2 2 2 2 24" xfId="20531" xr:uid="{00000000-0005-0000-0000-0000224D0000}"/>
    <cellStyle name="Normal 2 2 2 2 2 25" xfId="20532" xr:uid="{00000000-0005-0000-0000-0000234D0000}"/>
    <cellStyle name="Normal 2 2 2 2 2 26" xfId="20533" xr:uid="{00000000-0005-0000-0000-0000244D0000}"/>
    <cellStyle name="Normal 2 2 2 2 2 27" xfId="20534" xr:uid="{00000000-0005-0000-0000-0000254D0000}"/>
    <cellStyle name="Normal 2 2 2 2 2 28" xfId="20535" xr:uid="{00000000-0005-0000-0000-0000264D0000}"/>
    <cellStyle name="Normal 2 2 2 2 2 29" xfId="20536" xr:uid="{00000000-0005-0000-0000-0000274D0000}"/>
    <cellStyle name="Normal 2 2 2 2 2 3" xfId="20537" xr:uid="{00000000-0005-0000-0000-0000284D0000}"/>
    <cellStyle name="Normal 2 2 2 2 2 3 10" xfId="20538" xr:uid="{00000000-0005-0000-0000-0000294D0000}"/>
    <cellStyle name="Normal 2 2 2 2 2 3 11" xfId="20539" xr:uid="{00000000-0005-0000-0000-00002A4D0000}"/>
    <cellStyle name="Normal 2 2 2 2 2 3 12" xfId="20540" xr:uid="{00000000-0005-0000-0000-00002B4D0000}"/>
    <cellStyle name="Normal 2 2 2 2 2 3 13" xfId="20541" xr:uid="{00000000-0005-0000-0000-00002C4D0000}"/>
    <cellStyle name="Normal 2 2 2 2 2 3 14" xfId="20542" xr:uid="{00000000-0005-0000-0000-00002D4D0000}"/>
    <cellStyle name="Normal 2 2 2 2 2 3 2" xfId="20543" xr:uid="{00000000-0005-0000-0000-00002E4D0000}"/>
    <cellStyle name="Normal 2 2 2 2 2 3 2 2" xfId="20544" xr:uid="{00000000-0005-0000-0000-00002F4D0000}"/>
    <cellStyle name="Normal 2 2 2 2 2 3 2 3" xfId="20545" xr:uid="{00000000-0005-0000-0000-0000304D0000}"/>
    <cellStyle name="Normal 2 2 2 2 2 3 2 4" xfId="20546" xr:uid="{00000000-0005-0000-0000-0000314D0000}"/>
    <cellStyle name="Normal 2 2 2 2 2 3 2 5" xfId="20547" xr:uid="{00000000-0005-0000-0000-0000324D0000}"/>
    <cellStyle name="Normal 2 2 2 2 2 3 2 6" xfId="20548" xr:uid="{00000000-0005-0000-0000-0000334D0000}"/>
    <cellStyle name="Normal 2 2 2 2 2 3 3" xfId="20549" xr:uid="{00000000-0005-0000-0000-0000344D0000}"/>
    <cellStyle name="Normal 2 2 2 2 2 3 3 2" xfId="20550" xr:uid="{00000000-0005-0000-0000-0000354D0000}"/>
    <cellStyle name="Normal 2 2 2 2 2 3 3 3" xfId="20551" xr:uid="{00000000-0005-0000-0000-0000364D0000}"/>
    <cellStyle name="Normal 2 2 2 2 2 3 3 4" xfId="20552" xr:uid="{00000000-0005-0000-0000-0000374D0000}"/>
    <cellStyle name="Normal 2 2 2 2 2 3 3 5" xfId="20553" xr:uid="{00000000-0005-0000-0000-0000384D0000}"/>
    <cellStyle name="Normal 2 2 2 2 2 3 3 6" xfId="20554" xr:uid="{00000000-0005-0000-0000-0000394D0000}"/>
    <cellStyle name="Normal 2 2 2 2 2 3 4" xfId="20555" xr:uid="{00000000-0005-0000-0000-00003A4D0000}"/>
    <cellStyle name="Normal 2 2 2 2 2 3 4 2" xfId="20556" xr:uid="{00000000-0005-0000-0000-00003B4D0000}"/>
    <cellStyle name="Normal 2 2 2 2 2 3 4 3" xfId="20557" xr:uid="{00000000-0005-0000-0000-00003C4D0000}"/>
    <cellStyle name="Normal 2 2 2 2 2 3 4 4" xfId="20558" xr:uid="{00000000-0005-0000-0000-00003D4D0000}"/>
    <cellStyle name="Normal 2 2 2 2 2 3 4 5" xfId="20559" xr:uid="{00000000-0005-0000-0000-00003E4D0000}"/>
    <cellStyle name="Normal 2 2 2 2 2 3 4 6" xfId="20560" xr:uid="{00000000-0005-0000-0000-00003F4D0000}"/>
    <cellStyle name="Normal 2 2 2 2 2 3 5" xfId="20561" xr:uid="{00000000-0005-0000-0000-0000404D0000}"/>
    <cellStyle name="Normal 2 2 2 2 2 3 5 2" xfId="20562" xr:uid="{00000000-0005-0000-0000-0000414D0000}"/>
    <cellStyle name="Normal 2 2 2 2 2 3 5 3" xfId="20563" xr:uid="{00000000-0005-0000-0000-0000424D0000}"/>
    <cellStyle name="Normal 2 2 2 2 2 3 5 4" xfId="20564" xr:uid="{00000000-0005-0000-0000-0000434D0000}"/>
    <cellStyle name="Normal 2 2 2 2 2 3 5 5" xfId="20565" xr:uid="{00000000-0005-0000-0000-0000444D0000}"/>
    <cellStyle name="Normal 2 2 2 2 2 3 5 6" xfId="20566" xr:uid="{00000000-0005-0000-0000-0000454D0000}"/>
    <cellStyle name="Normal 2 2 2 2 2 3 6" xfId="20567" xr:uid="{00000000-0005-0000-0000-0000464D0000}"/>
    <cellStyle name="Normal 2 2 2 2 2 3 6 2" xfId="20568" xr:uid="{00000000-0005-0000-0000-0000474D0000}"/>
    <cellStyle name="Normal 2 2 2 2 2 3 6 3" xfId="20569" xr:uid="{00000000-0005-0000-0000-0000484D0000}"/>
    <cellStyle name="Normal 2 2 2 2 2 3 6 4" xfId="20570" xr:uid="{00000000-0005-0000-0000-0000494D0000}"/>
    <cellStyle name="Normal 2 2 2 2 2 3 6 5" xfId="20571" xr:uid="{00000000-0005-0000-0000-00004A4D0000}"/>
    <cellStyle name="Normal 2 2 2 2 2 3 6 6" xfId="20572" xr:uid="{00000000-0005-0000-0000-00004B4D0000}"/>
    <cellStyle name="Normal 2 2 2 2 2 3 7" xfId="20573" xr:uid="{00000000-0005-0000-0000-00004C4D0000}"/>
    <cellStyle name="Normal 2 2 2 2 2 3 7 2" xfId="20574" xr:uid="{00000000-0005-0000-0000-00004D4D0000}"/>
    <cellStyle name="Normal 2 2 2 2 2 3 7 3" xfId="20575" xr:uid="{00000000-0005-0000-0000-00004E4D0000}"/>
    <cellStyle name="Normal 2 2 2 2 2 3 7 4" xfId="20576" xr:uid="{00000000-0005-0000-0000-00004F4D0000}"/>
    <cellStyle name="Normal 2 2 2 2 2 3 7 5" xfId="20577" xr:uid="{00000000-0005-0000-0000-0000504D0000}"/>
    <cellStyle name="Normal 2 2 2 2 2 3 7 6" xfId="20578" xr:uid="{00000000-0005-0000-0000-0000514D0000}"/>
    <cellStyle name="Normal 2 2 2 2 2 3 8" xfId="20579" xr:uid="{00000000-0005-0000-0000-0000524D0000}"/>
    <cellStyle name="Normal 2 2 2 2 2 3 8 2" xfId="20580" xr:uid="{00000000-0005-0000-0000-0000534D0000}"/>
    <cellStyle name="Normal 2 2 2 2 2 3 8 3" xfId="20581" xr:uid="{00000000-0005-0000-0000-0000544D0000}"/>
    <cellStyle name="Normal 2 2 2 2 2 3 8 4" xfId="20582" xr:uid="{00000000-0005-0000-0000-0000554D0000}"/>
    <cellStyle name="Normal 2 2 2 2 2 3 8 5" xfId="20583" xr:uid="{00000000-0005-0000-0000-0000564D0000}"/>
    <cellStyle name="Normal 2 2 2 2 2 3 8 6" xfId="20584" xr:uid="{00000000-0005-0000-0000-0000574D0000}"/>
    <cellStyle name="Normal 2 2 2 2 2 3 9" xfId="20585" xr:uid="{00000000-0005-0000-0000-0000584D0000}"/>
    <cellStyle name="Normal 2 2 2 2 2 30" xfId="20586" xr:uid="{00000000-0005-0000-0000-0000594D0000}"/>
    <cellStyle name="Normal 2 2 2 2 2 31" xfId="20587" xr:uid="{00000000-0005-0000-0000-00005A4D0000}"/>
    <cellStyle name="Normal 2 2 2 2 2 31 2" xfId="20588" xr:uid="{00000000-0005-0000-0000-00005B4D0000}"/>
    <cellStyle name="Normal 2 2 2 2 2 31 2 2" xfId="20589" xr:uid="{00000000-0005-0000-0000-00005C4D0000}"/>
    <cellStyle name="Normal 2 2 2 2 2 31 2 3" xfId="20590" xr:uid="{00000000-0005-0000-0000-00005D4D0000}"/>
    <cellStyle name="Normal 2 2 2 2 2 31 2 4" xfId="20591" xr:uid="{00000000-0005-0000-0000-00005E4D0000}"/>
    <cellStyle name="Normal 2 2 2 2 2 31 2 5" xfId="20592" xr:uid="{00000000-0005-0000-0000-00005F4D0000}"/>
    <cellStyle name="Normal 2 2 2 2 2 31 2 6" xfId="20593" xr:uid="{00000000-0005-0000-0000-0000604D0000}"/>
    <cellStyle name="Normal 2 2 2 2 2 31 3" xfId="20594" xr:uid="{00000000-0005-0000-0000-0000614D0000}"/>
    <cellStyle name="Normal 2 2 2 2 2 31 3 2" xfId="20595" xr:uid="{00000000-0005-0000-0000-0000624D0000}"/>
    <cellStyle name="Normal 2 2 2 2 2 31 3 3" xfId="20596" xr:uid="{00000000-0005-0000-0000-0000634D0000}"/>
    <cellStyle name="Normal 2 2 2 2 2 31 3 4" xfId="20597" xr:uid="{00000000-0005-0000-0000-0000644D0000}"/>
    <cellStyle name="Normal 2 2 2 2 2 31 3 5" xfId="20598" xr:uid="{00000000-0005-0000-0000-0000654D0000}"/>
    <cellStyle name="Normal 2 2 2 2 2 31 3 6" xfId="20599" xr:uid="{00000000-0005-0000-0000-0000664D0000}"/>
    <cellStyle name="Normal 2 2 2 2 2 31 4" xfId="20600" xr:uid="{00000000-0005-0000-0000-0000674D0000}"/>
    <cellStyle name="Normal 2 2 2 2 2 31 4 2" xfId="20601" xr:uid="{00000000-0005-0000-0000-0000684D0000}"/>
    <cellStyle name="Normal 2 2 2 2 2 31 4 3" xfId="20602" xr:uid="{00000000-0005-0000-0000-0000694D0000}"/>
    <cellStyle name="Normal 2 2 2 2 2 31 4 4" xfId="20603" xr:uid="{00000000-0005-0000-0000-00006A4D0000}"/>
    <cellStyle name="Normal 2 2 2 2 2 31 4 5" xfId="20604" xr:uid="{00000000-0005-0000-0000-00006B4D0000}"/>
    <cellStyle name="Normal 2 2 2 2 2 31 4 6" xfId="20605" xr:uid="{00000000-0005-0000-0000-00006C4D0000}"/>
    <cellStyle name="Normal 2 2 2 2 2 31 5" xfId="20606" xr:uid="{00000000-0005-0000-0000-00006D4D0000}"/>
    <cellStyle name="Normal 2 2 2 2 2 31 5 2" xfId="20607" xr:uid="{00000000-0005-0000-0000-00006E4D0000}"/>
    <cellStyle name="Normal 2 2 2 2 2 31 5 3" xfId="20608" xr:uid="{00000000-0005-0000-0000-00006F4D0000}"/>
    <cellStyle name="Normal 2 2 2 2 2 31 5 4" xfId="20609" xr:uid="{00000000-0005-0000-0000-0000704D0000}"/>
    <cellStyle name="Normal 2 2 2 2 2 31 5 5" xfId="20610" xr:uid="{00000000-0005-0000-0000-0000714D0000}"/>
    <cellStyle name="Normal 2 2 2 2 2 31 5 6" xfId="20611" xr:uid="{00000000-0005-0000-0000-0000724D0000}"/>
    <cellStyle name="Normal 2 2 2 2 2 31 6" xfId="20612" xr:uid="{00000000-0005-0000-0000-0000734D0000}"/>
    <cellStyle name="Normal 2 2 2 2 2 31 6 2" xfId="20613" xr:uid="{00000000-0005-0000-0000-0000744D0000}"/>
    <cellStyle name="Normal 2 2 2 2 2 31 6 3" xfId="20614" xr:uid="{00000000-0005-0000-0000-0000754D0000}"/>
    <cellStyle name="Normal 2 2 2 2 2 31 6 4" xfId="20615" xr:uid="{00000000-0005-0000-0000-0000764D0000}"/>
    <cellStyle name="Normal 2 2 2 2 2 31 6 5" xfId="20616" xr:uid="{00000000-0005-0000-0000-0000774D0000}"/>
    <cellStyle name="Normal 2 2 2 2 2 31 6 6" xfId="20617" xr:uid="{00000000-0005-0000-0000-0000784D0000}"/>
    <cellStyle name="Normal 2 2 2 2 2 32" xfId="20618" xr:uid="{00000000-0005-0000-0000-0000794D0000}"/>
    <cellStyle name="Normal 2 2 2 2 2 32 2" xfId="20619" xr:uid="{00000000-0005-0000-0000-00007A4D0000}"/>
    <cellStyle name="Normal 2 2 2 2 2 32 3" xfId="20620" xr:uid="{00000000-0005-0000-0000-00007B4D0000}"/>
    <cellStyle name="Normal 2 2 2 2 2 32 4" xfId="20621" xr:uid="{00000000-0005-0000-0000-00007C4D0000}"/>
    <cellStyle name="Normal 2 2 2 2 2 32 5" xfId="20622" xr:uid="{00000000-0005-0000-0000-00007D4D0000}"/>
    <cellStyle name="Normal 2 2 2 2 2 32 6" xfId="20623" xr:uid="{00000000-0005-0000-0000-00007E4D0000}"/>
    <cellStyle name="Normal 2 2 2 2 2 33" xfId="20624" xr:uid="{00000000-0005-0000-0000-00007F4D0000}"/>
    <cellStyle name="Normal 2 2 2 2 2 33 2" xfId="20625" xr:uid="{00000000-0005-0000-0000-0000804D0000}"/>
    <cellStyle name="Normal 2 2 2 2 2 33 3" xfId="20626" xr:uid="{00000000-0005-0000-0000-0000814D0000}"/>
    <cellStyle name="Normal 2 2 2 2 2 33 4" xfId="20627" xr:uid="{00000000-0005-0000-0000-0000824D0000}"/>
    <cellStyle name="Normal 2 2 2 2 2 33 5" xfId="20628" xr:uid="{00000000-0005-0000-0000-0000834D0000}"/>
    <cellStyle name="Normal 2 2 2 2 2 33 6" xfId="20629" xr:uid="{00000000-0005-0000-0000-0000844D0000}"/>
    <cellStyle name="Normal 2 2 2 2 2 34" xfId="20630" xr:uid="{00000000-0005-0000-0000-0000854D0000}"/>
    <cellStyle name="Normal 2 2 2 2 2 34 2" xfId="20631" xr:uid="{00000000-0005-0000-0000-0000864D0000}"/>
    <cellStyle name="Normal 2 2 2 2 2 34 3" xfId="20632" xr:uid="{00000000-0005-0000-0000-0000874D0000}"/>
    <cellStyle name="Normal 2 2 2 2 2 34 4" xfId="20633" xr:uid="{00000000-0005-0000-0000-0000884D0000}"/>
    <cellStyle name="Normal 2 2 2 2 2 34 5" xfId="20634" xr:uid="{00000000-0005-0000-0000-0000894D0000}"/>
    <cellStyle name="Normal 2 2 2 2 2 34 6" xfId="20635" xr:uid="{00000000-0005-0000-0000-00008A4D0000}"/>
    <cellStyle name="Normal 2 2 2 2 2 35" xfId="20636" xr:uid="{00000000-0005-0000-0000-00008B4D0000}"/>
    <cellStyle name="Normal 2 2 2 2 2 35 2" xfId="20637" xr:uid="{00000000-0005-0000-0000-00008C4D0000}"/>
    <cellStyle name="Normal 2 2 2 2 2 35 3" xfId="20638" xr:uid="{00000000-0005-0000-0000-00008D4D0000}"/>
    <cellStyle name="Normal 2 2 2 2 2 35 4" xfId="20639" xr:uid="{00000000-0005-0000-0000-00008E4D0000}"/>
    <cellStyle name="Normal 2 2 2 2 2 35 5" xfId="20640" xr:uid="{00000000-0005-0000-0000-00008F4D0000}"/>
    <cellStyle name="Normal 2 2 2 2 2 35 6" xfId="20641" xr:uid="{00000000-0005-0000-0000-0000904D0000}"/>
    <cellStyle name="Normal 2 2 2 2 2 36" xfId="20642" xr:uid="{00000000-0005-0000-0000-0000914D0000}"/>
    <cellStyle name="Normal 2 2 2 2 2 36 2" xfId="20643" xr:uid="{00000000-0005-0000-0000-0000924D0000}"/>
    <cellStyle name="Normal 2 2 2 2 2 36 3" xfId="20644" xr:uid="{00000000-0005-0000-0000-0000934D0000}"/>
    <cellStyle name="Normal 2 2 2 2 2 36 4" xfId="20645" xr:uid="{00000000-0005-0000-0000-0000944D0000}"/>
    <cellStyle name="Normal 2 2 2 2 2 36 5" xfId="20646" xr:uid="{00000000-0005-0000-0000-0000954D0000}"/>
    <cellStyle name="Normal 2 2 2 2 2 36 6" xfId="20647" xr:uid="{00000000-0005-0000-0000-0000964D0000}"/>
    <cellStyle name="Normal 2 2 2 2 2 37" xfId="20648" xr:uid="{00000000-0005-0000-0000-0000974D0000}"/>
    <cellStyle name="Normal 2 2 2 2 2 37 2" xfId="20649" xr:uid="{00000000-0005-0000-0000-0000984D0000}"/>
    <cellStyle name="Normal 2 2 2 2 2 37 3" xfId="20650" xr:uid="{00000000-0005-0000-0000-0000994D0000}"/>
    <cellStyle name="Normal 2 2 2 2 2 37 4" xfId="20651" xr:uid="{00000000-0005-0000-0000-00009A4D0000}"/>
    <cellStyle name="Normal 2 2 2 2 2 37 5" xfId="20652" xr:uid="{00000000-0005-0000-0000-00009B4D0000}"/>
    <cellStyle name="Normal 2 2 2 2 2 37 6" xfId="20653" xr:uid="{00000000-0005-0000-0000-00009C4D0000}"/>
    <cellStyle name="Normal 2 2 2 2 2 38" xfId="20654" xr:uid="{00000000-0005-0000-0000-00009D4D0000}"/>
    <cellStyle name="Normal 2 2 2 2 2 38 2" xfId="20655" xr:uid="{00000000-0005-0000-0000-00009E4D0000}"/>
    <cellStyle name="Normal 2 2 2 2 2 38 3" xfId="20656" xr:uid="{00000000-0005-0000-0000-00009F4D0000}"/>
    <cellStyle name="Normal 2 2 2 2 2 38 4" xfId="20657" xr:uid="{00000000-0005-0000-0000-0000A04D0000}"/>
    <cellStyle name="Normal 2 2 2 2 2 38 5" xfId="20658" xr:uid="{00000000-0005-0000-0000-0000A14D0000}"/>
    <cellStyle name="Normal 2 2 2 2 2 38 6" xfId="20659" xr:uid="{00000000-0005-0000-0000-0000A24D0000}"/>
    <cellStyle name="Normal 2 2 2 2 2 39" xfId="20660" xr:uid="{00000000-0005-0000-0000-0000A34D0000}"/>
    <cellStyle name="Normal 2 2 2 2 2 39 2" xfId="20661" xr:uid="{00000000-0005-0000-0000-0000A44D0000}"/>
    <cellStyle name="Normal 2 2 2 2 2 39 3" xfId="20662" xr:uid="{00000000-0005-0000-0000-0000A54D0000}"/>
    <cellStyle name="Normal 2 2 2 2 2 39 4" xfId="20663" xr:uid="{00000000-0005-0000-0000-0000A64D0000}"/>
    <cellStyle name="Normal 2 2 2 2 2 39 5" xfId="20664" xr:uid="{00000000-0005-0000-0000-0000A74D0000}"/>
    <cellStyle name="Normal 2 2 2 2 2 39 6" xfId="20665" xr:uid="{00000000-0005-0000-0000-0000A84D0000}"/>
    <cellStyle name="Normal 2 2 2 2 2 4" xfId="20666" xr:uid="{00000000-0005-0000-0000-0000A94D0000}"/>
    <cellStyle name="Normal 2 2 2 2 2 4 10" xfId="20667" xr:uid="{00000000-0005-0000-0000-0000AA4D0000}"/>
    <cellStyle name="Normal 2 2 2 2 2 4 11" xfId="20668" xr:uid="{00000000-0005-0000-0000-0000AB4D0000}"/>
    <cellStyle name="Normal 2 2 2 2 2 4 12" xfId="20669" xr:uid="{00000000-0005-0000-0000-0000AC4D0000}"/>
    <cellStyle name="Normal 2 2 2 2 2 4 13" xfId="20670" xr:uid="{00000000-0005-0000-0000-0000AD4D0000}"/>
    <cellStyle name="Normal 2 2 2 2 2 4 14" xfId="20671" xr:uid="{00000000-0005-0000-0000-0000AE4D0000}"/>
    <cellStyle name="Normal 2 2 2 2 2 4 2" xfId="20672" xr:uid="{00000000-0005-0000-0000-0000AF4D0000}"/>
    <cellStyle name="Normal 2 2 2 2 2 4 2 2" xfId="20673" xr:uid="{00000000-0005-0000-0000-0000B04D0000}"/>
    <cellStyle name="Normal 2 2 2 2 2 4 2 3" xfId="20674" xr:uid="{00000000-0005-0000-0000-0000B14D0000}"/>
    <cellStyle name="Normal 2 2 2 2 2 4 2 4" xfId="20675" xr:uid="{00000000-0005-0000-0000-0000B24D0000}"/>
    <cellStyle name="Normal 2 2 2 2 2 4 2 5" xfId="20676" xr:uid="{00000000-0005-0000-0000-0000B34D0000}"/>
    <cellStyle name="Normal 2 2 2 2 2 4 2 6" xfId="20677" xr:uid="{00000000-0005-0000-0000-0000B44D0000}"/>
    <cellStyle name="Normal 2 2 2 2 2 4 3" xfId="20678" xr:uid="{00000000-0005-0000-0000-0000B54D0000}"/>
    <cellStyle name="Normal 2 2 2 2 2 4 3 2" xfId="20679" xr:uid="{00000000-0005-0000-0000-0000B64D0000}"/>
    <cellStyle name="Normal 2 2 2 2 2 4 3 3" xfId="20680" xr:uid="{00000000-0005-0000-0000-0000B74D0000}"/>
    <cellStyle name="Normal 2 2 2 2 2 4 3 4" xfId="20681" xr:uid="{00000000-0005-0000-0000-0000B84D0000}"/>
    <cellStyle name="Normal 2 2 2 2 2 4 3 5" xfId="20682" xr:uid="{00000000-0005-0000-0000-0000B94D0000}"/>
    <cellStyle name="Normal 2 2 2 2 2 4 3 6" xfId="20683" xr:uid="{00000000-0005-0000-0000-0000BA4D0000}"/>
    <cellStyle name="Normal 2 2 2 2 2 4 4" xfId="20684" xr:uid="{00000000-0005-0000-0000-0000BB4D0000}"/>
    <cellStyle name="Normal 2 2 2 2 2 4 4 2" xfId="20685" xr:uid="{00000000-0005-0000-0000-0000BC4D0000}"/>
    <cellStyle name="Normal 2 2 2 2 2 4 4 3" xfId="20686" xr:uid="{00000000-0005-0000-0000-0000BD4D0000}"/>
    <cellStyle name="Normal 2 2 2 2 2 4 4 4" xfId="20687" xr:uid="{00000000-0005-0000-0000-0000BE4D0000}"/>
    <cellStyle name="Normal 2 2 2 2 2 4 4 5" xfId="20688" xr:uid="{00000000-0005-0000-0000-0000BF4D0000}"/>
    <cellStyle name="Normal 2 2 2 2 2 4 4 6" xfId="20689" xr:uid="{00000000-0005-0000-0000-0000C04D0000}"/>
    <cellStyle name="Normal 2 2 2 2 2 4 5" xfId="20690" xr:uid="{00000000-0005-0000-0000-0000C14D0000}"/>
    <cellStyle name="Normal 2 2 2 2 2 4 5 2" xfId="20691" xr:uid="{00000000-0005-0000-0000-0000C24D0000}"/>
    <cellStyle name="Normal 2 2 2 2 2 4 5 3" xfId="20692" xr:uid="{00000000-0005-0000-0000-0000C34D0000}"/>
    <cellStyle name="Normal 2 2 2 2 2 4 5 4" xfId="20693" xr:uid="{00000000-0005-0000-0000-0000C44D0000}"/>
    <cellStyle name="Normal 2 2 2 2 2 4 5 5" xfId="20694" xr:uid="{00000000-0005-0000-0000-0000C54D0000}"/>
    <cellStyle name="Normal 2 2 2 2 2 4 5 6" xfId="20695" xr:uid="{00000000-0005-0000-0000-0000C64D0000}"/>
    <cellStyle name="Normal 2 2 2 2 2 4 6" xfId="20696" xr:uid="{00000000-0005-0000-0000-0000C74D0000}"/>
    <cellStyle name="Normal 2 2 2 2 2 4 6 2" xfId="20697" xr:uid="{00000000-0005-0000-0000-0000C84D0000}"/>
    <cellStyle name="Normal 2 2 2 2 2 4 6 3" xfId="20698" xr:uid="{00000000-0005-0000-0000-0000C94D0000}"/>
    <cellStyle name="Normal 2 2 2 2 2 4 6 4" xfId="20699" xr:uid="{00000000-0005-0000-0000-0000CA4D0000}"/>
    <cellStyle name="Normal 2 2 2 2 2 4 6 5" xfId="20700" xr:uid="{00000000-0005-0000-0000-0000CB4D0000}"/>
    <cellStyle name="Normal 2 2 2 2 2 4 6 6" xfId="20701" xr:uid="{00000000-0005-0000-0000-0000CC4D0000}"/>
    <cellStyle name="Normal 2 2 2 2 2 4 7" xfId="20702" xr:uid="{00000000-0005-0000-0000-0000CD4D0000}"/>
    <cellStyle name="Normal 2 2 2 2 2 4 7 2" xfId="20703" xr:uid="{00000000-0005-0000-0000-0000CE4D0000}"/>
    <cellStyle name="Normal 2 2 2 2 2 4 7 3" xfId="20704" xr:uid="{00000000-0005-0000-0000-0000CF4D0000}"/>
    <cellStyle name="Normal 2 2 2 2 2 4 7 4" xfId="20705" xr:uid="{00000000-0005-0000-0000-0000D04D0000}"/>
    <cellStyle name="Normal 2 2 2 2 2 4 7 5" xfId="20706" xr:uid="{00000000-0005-0000-0000-0000D14D0000}"/>
    <cellStyle name="Normal 2 2 2 2 2 4 7 6" xfId="20707" xr:uid="{00000000-0005-0000-0000-0000D24D0000}"/>
    <cellStyle name="Normal 2 2 2 2 2 4 8" xfId="20708" xr:uid="{00000000-0005-0000-0000-0000D34D0000}"/>
    <cellStyle name="Normal 2 2 2 2 2 4 8 2" xfId="20709" xr:uid="{00000000-0005-0000-0000-0000D44D0000}"/>
    <cellStyle name="Normal 2 2 2 2 2 4 8 3" xfId="20710" xr:uid="{00000000-0005-0000-0000-0000D54D0000}"/>
    <cellStyle name="Normal 2 2 2 2 2 4 8 4" xfId="20711" xr:uid="{00000000-0005-0000-0000-0000D64D0000}"/>
    <cellStyle name="Normal 2 2 2 2 2 4 8 5" xfId="20712" xr:uid="{00000000-0005-0000-0000-0000D74D0000}"/>
    <cellStyle name="Normal 2 2 2 2 2 4 8 6" xfId="20713" xr:uid="{00000000-0005-0000-0000-0000D84D0000}"/>
    <cellStyle name="Normal 2 2 2 2 2 4 9" xfId="20714" xr:uid="{00000000-0005-0000-0000-0000D94D0000}"/>
    <cellStyle name="Normal 2 2 2 2 2 40" xfId="20715" xr:uid="{00000000-0005-0000-0000-0000DA4D0000}"/>
    <cellStyle name="Normal 2 2 2 2 2 40 2" xfId="20716" xr:uid="{00000000-0005-0000-0000-0000DB4D0000}"/>
    <cellStyle name="Normal 2 2 2 2 2 40 3" xfId="20717" xr:uid="{00000000-0005-0000-0000-0000DC4D0000}"/>
    <cellStyle name="Normal 2 2 2 2 2 40 4" xfId="20718" xr:uid="{00000000-0005-0000-0000-0000DD4D0000}"/>
    <cellStyle name="Normal 2 2 2 2 2 40 5" xfId="20719" xr:uid="{00000000-0005-0000-0000-0000DE4D0000}"/>
    <cellStyle name="Normal 2 2 2 2 2 40 6" xfId="20720" xr:uid="{00000000-0005-0000-0000-0000DF4D0000}"/>
    <cellStyle name="Normal 2 2 2 2 2 41" xfId="20721" xr:uid="{00000000-0005-0000-0000-0000E04D0000}"/>
    <cellStyle name="Normal 2 2 2 2 2 41 2" xfId="20722" xr:uid="{00000000-0005-0000-0000-0000E14D0000}"/>
    <cellStyle name="Normal 2 2 2 2 2 41 3" xfId="20723" xr:uid="{00000000-0005-0000-0000-0000E24D0000}"/>
    <cellStyle name="Normal 2 2 2 2 2 41 4" xfId="20724" xr:uid="{00000000-0005-0000-0000-0000E34D0000}"/>
    <cellStyle name="Normal 2 2 2 2 2 41 5" xfId="20725" xr:uid="{00000000-0005-0000-0000-0000E44D0000}"/>
    <cellStyle name="Normal 2 2 2 2 2 41 6" xfId="20726" xr:uid="{00000000-0005-0000-0000-0000E54D0000}"/>
    <cellStyle name="Normal 2 2 2 2 2 42" xfId="20727" xr:uid="{00000000-0005-0000-0000-0000E64D0000}"/>
    <cellStyle name="Normal 2 2 2 2 2 42 2" xfId="20728" xr:uid="{00000000-0005-0000-0000-0000E74D0000}"/>
    <cellStyle name="Normal 2 2 2 2 2 42 3" xfId="20729" xr:uid="{00000000-0005-0000-0000-0000E84D0000}"/>
    <cellStyle name="Normal 2 2 2 2 2 42 4" xfId="20730" xr:uid="{00000000-0005-0000-0000-0000E94D0000}"/>
    <cellStyle name="Normal 2 2 2 2 2 42 5" xfId="20731" xr:uid="{00000000-0005-0000-0000-0000EA4D0000}"/>
    <cellStyle name="Normal 2 2 2 2 2 42 6" xfId="20732" xr:uid="{00000000-0005-0000-0000-0000EB4D0000}"/>
    <cellStyle name="Normal 2 2 2 2 2 43" xfId="20733" xr:uid="{00000000-0005-0000-0000-0000EC4D0000}"/>
    <cellStyle name="Normal 2 2 2 2 2 43 2" xfId="20734" xr:uid="{00000000-0005-0000-0000-0000ED4D0000}"/>
    <cellStyle name="Normal 2 2 2 2 2 43 3" xfId="20735" xr:uid="{00000000-0005-0000-0000-0000EE4D0000}"/>
    <cellStyle name="Normal 2 2 2 2 2 43 4" xfId="20736" xr:uid="{00000000-0005-0000-0000-0000EF4D0000}"/>
    <cellStyle name="Normal 2 2 2 2 2 43 5" xfId="20737" xr:uid="{00000000-0005-0000-0000-0000F04D0000}"/>
    <cellStyle name="Normal 2 2 2 2 2 43 6" xfId="20738" xr:uid="{00000000-0005-0000-0000-0000F14D0000}"/>
    <cellStyle name="Normal 2 2 2 2 2 44" xfId="20739" xr:uid="{00000000-0005-0000-0000-0000F24D0000}"/>
    <cellStyle name="Normal 2 2 2 2 2 44 2" xfId="20740" xr:uid="{00000000-0005-0000-0000-0000F34D0000}"/>
    <cellStyle name="Normal 2 2 2 2 2 44 3" xfId="20741" xr:uid="{00000000-0005-0000-0000-0000F44D0000}"/>
    <cellStyle name="Normal 2 2 2 2 2 44 4" xfId="20742" xr:uid="{00000000-0005-0000-0000-0000F54D0000}"/>
    <cellStyle name="Normal 2 2 2 2 2 44 5" xfId="20743" xr:uid="{00000000-0005-0000-0000-0000F64D0000}"/>
    <cellStyle name="Normal 2 2 2 2 2 44 6" xfId="20744" xr:uid="{00000000-0005-0000-0000-0000F74D0000}"/>
    <cellStyle name="Normal 2 2 2 2 2 45" xfId="20745" xr:uid="{00000000-0005-0000-0000-0000F84D0000}"/>
    <cellStyle name="Normal 2 2 2 2 2 45 2" xfId="20746" xr:uid="{00000000-0005-0000-0000-0000F94D0000}"/>
    <cellStyle name="Normal 2 2 2 2 2 45 3" xfId="20747" xr:uid="{00000000-0005-0000-0000-0000FA4D0000}"/>
    <cellStyle name="Normal 2 2 2 2 2 45 4" xfId="20748" xr:uid="{00000000-0005-0000-0000-0000FB4D0000}"/>
    <cellStyle name="Normal 2 2 2 2 2 45 5" xfId="20749" xr:uid="{00000000-0005-0000-0000-0000FC4D0000}"/>
    <cellStyle name="Normal 2 2 2 2 2 45 6" xfId="20750" xr:uid="{00000000-0005-0000-0000-0000FD4D0000}"/>
    <cellStyle name="Normal 2 2 2 2 2 46" xfId="20751" xr:uid="{00000000-0005-0000-0000-0000FE4D0000}"/>
    <cellStyle name="Normal 2 2 2 2 2 47" xfId="20752" xr:uid="{00000000-0005-0000-0000-0000FF4D0000}"/>
    <cellStyle name="Normal 2 2 2 2 2 48" xfId="20753" xr:uid="{00000000-0005-0000-0000-0000004E0000}"/>
    <cellStyle name="Normal 2 2 2 2 2 49" xfId="20754" xr:uid="{00000000-0005-0000-0000-0000014E0000}"/>
    <cellStyle name="Normal 2 2 2 2 2 5" xfId="20755" xr:uid="{00000000-0005-0000-0000-0000024E0000}"/>
    <cellStyle name="Normal 2 2 2 2 2 5 10" xfId="20756" xr:uid="{00000000-0005-0000-0000-0000034E0000}"/>
    <cellStyle name="Normal 2 2 2 2 2 5 11" xfId="20757" xr:uid="{00000000-0005-0000-0000-0000044E0000}"/>
    <cellStyle name="Normal 2 2 2 2 2 5 12" xfId="20758" xr:uid="{00000000-0005-0000-0000-0000054E0000}"/>
    <cellStyle name="Normal 2 2 2 2 2 5 13" xfId="20759" xr:uid="{00000000-0005-0000-0000-0000064E0000}"/>
    <cellStyle name="Normal 2 2 2 2 2 5 2" xfId="20760" xr:uid="{00000000-0005-0000-0000-0000074E0000}"/>
    <cellStyle name="Normal 2 2 2 2 2 5 2 2" xfId="20761" xr:uid="{00000000-0005-0000-0000-0000084E0000}"/>
    <cellStyle name="Normal 2 2 2 2 2 5 2 3" xfId="20762" xr:uid="{00000000-0005-0000-0000-0000094E0000}"/>
    <cellStyle name="Normal 2 2 2 2 2 5 2 4" xfId="20763" xr:uid="{00000000-0005-0000-0000-00000A4E0000}"/>
    <cellStyle name="Normal 2 2 2 2 2 5 2 5" xfId="20764" xr:uid="{00000000-0005-0000-0000-00000B4E0000}"/>
    <cellStyle name="Normal 2 2 2 2 2 5 2 6" xfId="20765" xr:uid="{00000000-0005-0000-0000-00000C4E0000}"/>
    <cellStyle name="Normal 2 2 2 2 2 5 3" xfId="20766" xr:uid="{00000000-0005-0000-0000-00000D4E0000}"/>
    <cellStyle name="Normal 2 2 2 2 2 5 3 2" xfId="20767" xr:uid="{00000000-0005-0000-0000-00000E4E0000}"/>
    <cellStyle name="Normal 2 2 2 2 2 5 3 3" xfId="20768" xr:uid="{00000000-0005-0000-0000-00000F4E0000}"/>
    <cellStyle name="Normal 2 2 2 2 2 5 3 4" xfId="20769" xr:uid="{00000000-0005-0000-0000-0000104E0000}"/>
    <cellStyle name="Normal 2 2 2 2 2 5 3 5" xfId="20770" xr:uid="{00000000-0005-0000-0000-0000114E0000}"/>
    <cellStyle name="Normal 2 2 2 2 2 5 3 6" xfId="20771" xr:uid="{00000000-0005-0000-0000-0000124E0000}"/>
    <cellStyle name="Normal 2 2 2 2 2 5 4" xfId="20772" xr:uid="{00000000-0005-0000-0000-0000134E0000}"/>
    <cellStyle name="Normal 2 2 2 2 2 5 4 2" xfId="20773" xr:uid="{00000000-0005-0000-0000-0000144E0000}"/>
    <cellStyle name="Normal 2 2 2 2 2 5 4 3" xfId="20774" xr:uid="{00000000-0005-0000-0000-0000154E0000}"/>
    <cellStyle name="Normal 2 2 2 2 2 5 4 4" xfId="20775" xr:uid="{00000000-0005-0000-0000-0000164E0000}"/>
    <cellStyle name="Normal 2 2 2 2 2 5 4 5" xfId="20776" xr:uid="{00000000-0005-0000-0000-0000174E0000}"/>
    <cellStyle name="Normal 2 2 2 2 2 5 4 6" xfId="20777" xr:uid="{00000000-0005-0000-0000-0000184E0000}"/>
    <cellStyle name="Normal 2 2 2 2 2 5 5" xfId="20778" xr:uid="{00000000-0005-0000-0000-0000194E0000}"/>
    <cellStyle name="Normal 2 2 2 2 2 5 5 2" xfId="20779" xr:uid="{00000000-0005-0000-0000-00001A4E0000}"/>
    <cellStyle name="Normal 2 2 2 2 2 5 5 3" xfId="20780" xr:uid="{00000000-0005-0000-0000-00001B4E0000}"/>
    <cellStyle name="Normal 2 2 2 2 2 5 5 4" xfId="20781" xr:uid="{00000000-0005-0000-0000-00001C4E0000}"/>
    <cellStyle name="Normal 2 2 2 2 2 5 5 5" xfId="20782" xr:uid="{00000000-0005-0000-0000-00001D4E0000}"/>
    <cellStyle name="Normal 2 2 2 2 2 5 5 6" xfId="20783" xr:uid="{00000000-0005-0000-0000-00001E4E0000}"/>
    <cellStyle name="Normal 2 2 2 2 2 5 6" xfId="20784" xr:uid="{00000000-0005-0000-0000-00001F4E0000}"/>
    <cellStyle name="Normal 2 2 2 2 2 5 6 2" xfId="20785" xr:uid="{00000000-0005-0000-0000-0000204E0000}"/>
    <cellStyle name="Normal 2 2 2 2 2 5 6 3" xfId="20786" xr:uid="{00000000-0005-0000-0000-0000214E0000}"/>
    <cellStyle name="Normal 2 2 2 2 2 5 6 4" xfId="20787" xr:uid="{00000000-0005-0000-0000-0000224E0000}"/>
    <cellStyle name="Normal 2 2 2 2 2 5 6 5" xfId="20788" xr:uid="{00000000-0005-0000-0000-0000234E0000}"/>
    <cellStyle name="Normal 2 2 2 2 2 5 6 6" xfId="20789" xr:uid="{00000000-0005-0000-0000-0000244E0000}"/>
    <cellStyle name="Normal 2 2 2 2 2 5 7" xfId="20790" xr:uid="{00000000-0005-0000-0000-0000254E0000}"/>
    <cellStyle name="Normal 2 2 2 2 2 5 7 2" xfId="20791" xr:uid="{00000000-0005-0000-0000-0000264E0000}"/>
    <cellStyle name="Normal 2 2 2 2 2 5 7 3" xfId="20792" xr:uid="{00000000-0005-0000-0000-0000274E0000}"/>
    <cellStyle name="Normal 2 2 2 2 2 5 7 4" xfId="20793" xr:uid="{00000000-0005-0000-0000-0000284E0000}"/>
    <cellStyle name="Normal 2 2 2 2 2 5 7 5" xfId="20794" xr:uid="{00000000-0005-0000-0000-0000294E0000}"/>
    <cellStyle name="Normal 2 2 2 2 2 5 7 6" xfId="20795" xr:uid="{00000000-0005-0000-0000-00002A4E0000}"/>
    <cellStyle name="Normal 2 2 2 2 2 5 8" xfId="20796" xr:uid="{00000000-0005-0000-0000-00002B4E0000}"/>
    <cellStyle name="Normal 2 2 2 2 2 5 8 2" xfId="20797" xr:uid="{00000000-0005-0000-0000-00002C4E0000}"/>
    <cellStyle name="Normal 2 2 2 2 2 5 8 3" xfId="20798" xr:uid="{00000000-0005-0000-0000-00002D4E0000}"/>
    <cellStyle name="Normal 2 2 2 2 2 5 8 4" xfId="20799" xr:uid="{00000000-0005-0000-0000-00002E4E0000}"/>
    <cellStyle name="Normal 2 2 2 2 2 5 8 5" xfId="20800" xr:uid="{00000000-0005-0000-0000-00002F4E0000}"/>
    <cellStyle name="Normal 2 2 2 2 2 5 8 6" xfId="20801" xr:uid="{00000000-0005-0000-0000-0000304E0000}"/>
    <cellStyle name="Normal 2 2 2 2 2 5 9" xfId="20802" xr:uid="{00000000-0005-0000-0000-0000314E0000}"/>
    <cellStyle name="Normal 2 2 2 2 2 50" xfId="20803" xr:uid="{00000000-0005-0000-0000-0000324E0000}"/>
    <cellStyle name="Normal 2 2 2 2 2 50 2" xfId="20804" xr:uid="{00000000-0005-0000-0000-0000334E0000}"/>
    <cellStyle name="Normal 2 2 2 2 2 50 2 2" xfId="20805" xr:uid="{00000000-0005-0000-0000-0000344E0000}"/>
    <cellStyle name="Normal 2 2 2 2 2 50 2 2 2" xfId="20806" xr:uid="{00000000-0005-0000-0000-0000354E0000}"/>
    <cellStyle name="Normal 2 2 2 2 2 50 2 2 2 2" xfId="20807" xr:uid="{00000000-0005-0000-0000-0000364E0000}"/>
    <cellStyle name="Normal 2 2 2 2 2 50 2 2 2 3" xfId="20808" xr:uid="{00000000-0005-0000-0000-0000374E0000}"/>
    <cellStyle name="Normal 2 2 2 2 2 50 2 2 2 4" xfId="20809" xr:uid="{00000000-0005-0000-0000-0000384E0000}"/>
    <cellStyle name="Normal 2 2 2 2 2 50 2 2 2 5" xfId="20810" xr:uid="{00000000-0005-0000-0000-0000394E0000}"/>
    <cellStyle name="Normal 2 2 2 2 2 50 2 2 2 6" xfId="20811" xr:uid="{00000000-0005-0000-0000-00003A4E0000}"/>
    <cellStyle name="Normal 2 2 2 2 2 50 2 3" xfId="20812" xr:uid="{00000000-0005-0000-0000-00003B4E0000}"/>
    <cellStyle name="Normal 2 2 2 2 2 50 2 4" xfId="20813" xr:uid="{00000000-0005-0000-0000-00003C4E0000}"/>
    <cellStyle name="Normal 2 2 2 2 2 50 2 5" xfId="20814" xr:uid="{00000000-0005-0000-0000-00003D4E0000}"/>
    <cellStyle name="Normal 2 2 2 2 2 50 2 6" xfId="20815" xr:uid="{00000000-0005-0000-0000-00003E4E0000}"/>
    <cellStyle name="Normal 2 2 2 2 2 50 2 7" xfId="20816" xr:uid="{00000000-0005-0000-0000-00003F4E0000}"/>
    <cellStyle name="Normal 2 2 2 2 2 50 3" xfId="20817" xr:uid="{00000000-0005-0000-0000-0000404E0000}"/>
    <cellStyle name="Normal 2 2 2 2 2 50 3 2" xfId="20818" xr:uid="{00000000-0005-0000-0000-0000414E0000}"/>
    <cellStyle name="Normal 2 2 2 2 2 50 3 3" xfId="20819" xr:uid="{00000000-0005-0000-0000-0000424E0000}"/>
    <cellStyle name="Normal 2 2 2 2 2 50 3 4" xfId="20820" xr:uid="{00000000-0005-0000-0000-0000434E0000}"/>
    <cellStyle name="Normal 2 2 2 2 2 50 3 5" xfId="20821" xr:uid="{00000000-0005-0000-0000-0000444E0000}"/>
    <cellStyle name="Normal 2 2 2 2 2 50 3 6" xfId="20822" xr:uid="{00000000-0005-0000-0000-0000454E0000}"/>
    <cellStyle name="Normal 2 2 2 2 2 51" xfId="20823" xr:uid="{00000000-0005-0000-0000-0000464E0000}"/>
    <cellStyle name="Normal 2 2 2 2 2 51 2" xfId="20824" xr:uid="{00000000-0005-0000-0000-0000474E0000}"/>
    <cellStyle name="Normal 2 2 2 2 2 51 3" xfId="20825" xr:uid="{00000000-0005-0000-0000-0000484E0000}"/>
    <cellStyle name="Normal 2 2 2 2 2 51 4" xfId="20826" xr:uid="{00000000-0005-0000-0000-0000494E0000}"/>
    <cellStyle name="Normal 2 2 2 2 2 51 5" xfId="20827" xr:uid="{00000000-0005-0000-0000-00004A4E0000}"/>
    <cellStyle name="Normal 2 2 2 2 2 51 6" xfId="20828" xr:uid="{00000000-0005-0000-0000-00004B4E0000}"/>
    <cellStyle name="Normal 2 2 2 2 2 52" xfId="20829" xr:uid="{00000000-0005-0000-0000-00004C4E0000}"/>
    <cellStyle name="Normal 2 2 2 2 2 52 2" xfId="20830" xr:uid="{00000000-0005-0000-0000-00004D4E0000}"/>
    <cellStyle name="Normal 2 2 2 2 2 52 3" xfId="20831" xr:uid="{00000000-0005-0000-0000-00004E4E0000}"/>
    <cellStyle name="Normal 2 2 2 2 2 52 4" xfId="20832" xr:uid="{00000000-0005-0000-0000-00004F4E0000}"/>
    <cellStyle name="Normal 2 2 2 2 2 52 5" xfId="20833" xr:uid="{00000000-0005-0000-0000-0000504E0000}"/>
    <cellStyle name="Normal 2 2 2 2 2 52 6" xfId="20834" xr:uid="{00000000-0005-0000-0000-0000514E0000}"/>
    <cellStyle name="Normal 2 2 2 2 2 53" xfId="20835" xr:uid="{00000000-0005-0000-0000-0000524E0000}"/>
    <cellStyle name="Normal 2 2 2 2 2 53 2" xfId="20836" xr:uid="{00000000-0005-0000-0000-0000534E0000}"/>
    <cellStyle name="Normal 2 2 2 2 2 53 3" xfId="20837" xr:uid="{00000000-0005-0000-0000-0000544E0000}"/>
    <cellStyle name="Normal 2 2 2 2 2 53 4" xfId="20838" xr:uid="{00000000-0005-0000-0000-0000554E0000}"/>
    <cellStyle name="Normal 2 2 2 2 2 53 5" xfId="20839" xr:uid="{00000000-0005-0000-0000-0000564E0000}"/>
    <cellStyle name="Normal 2 2 2 2 2 53 6" xfId="20840" xr:uid="{00000000-0005-0000-0000-0000574E0000}"/>
    <cellStyle name="Normal 2 2 2 2 2 54" xfId="20841" xr:uid="{00000000-0005-0000-0000-0000584E0000}"/>
    <cellStyle name="Normal 2 2 2 2 2 54 2" xfId="20842" xr:uid="{00000000-0005-0000-0000-0000594E0000}"/>
    <cellStyle name="Normal 2 2 2 2 2 54 3" xfId="20843" xr:uid="{00000000-0005-0000-0000-00005A4E0000}"/>
    <cellStyle name="Normal 2 2 2 2 2 54 4" xfId="20844" xr:uid="{00000000-0005-0000-0000-00005B4E0000}"/>
    <cellStyle name="Normal 2 2 2 2 2 54 5" xfId="20845" xr:uid="{00000000-0005-0000-0000-00005C4E0000}"/>
    <cellStyle name="Normal 2 2 2 2 2 54 6" xfId="20846" xr:uid="{00000000-0005-0000-0000-00005D4E0000}"/>
    <cellStyle name="Normal 2 2 2 2 2 55" xfId="20847" xr:uid="{00000000-0005-0000-0000-00005E4E0000}"/>
    <cellStyle name="Normal 2 2 2 2 2 55 2" xfId="20848" xr:uid="{00000000-0005-0000-0000-00005F4E0000}"/>
    <cellStyle name="Normal 2 2 2 2 2 55 3" xfId="20849" xr:uid="{00000000-0005-0000-0000-0000604E0000}"/>
    <cellStyle name="Normal 2 2 2 2 2 55 4" xfId="20850" xr:uid="{00000000-0005-0000-0000-0000614E0000}"/>
    <cellStyle name="Normal 2 2 2 2 2 55 5" xfId="20851" xr:uid="{00000000-0005-0000-0000-0000624E0000}"/>
    <cellStyle name="Normal 2 2 2 2 2 55 6" xfId="20852" xr:uid="{00000000-0005-0000-0000-0000634E0000}"/>
    <cellStyle name="Normal 2 2 2 2 2 56" xfId="20853" xr:uid="{00000000-0005-0000-0000-0000644E0000}"/>
    <cellStyle name="Normal 2 2 2 2 2 56 2" xfId="20854" xr:uid="{00000000-0005-0000-0000-0000654E0000}"/>
    <cellStyle name="Normal 2 2 2 2 2 56 3" xfId="20855" xr:uid="{00000000-0005-0000-0000-0000664E0000}"/>
    <cellStyle name="Normal 2 2 2 2 2 56 4" xfId="20856" xr:uid="{00000000-0005-0000-0000-0000674E0000}"/>
    <cellStyle name="Normal 2 2 2 2 2 56 5" xfId="20857" xr:uid="{00000000-0005-0000-0000-0000684E0000}"/>
    <cellStyle name="Normal 2 2 2 2 2 56 6" xfId="20858" xr:uid="{00000000-0005-0000-0000-0000694E0000}"/>
    <cellStyle name="Normal 2 2 2 2 2 57" xfId="20859" xr:uid="{00000000-0005-0000-0000-00006A4E0000}"/>
    <cellStyle name="Normal 2 2 2 2 2 57 2" xfId="20860" xr:uid="{00000000-0005-0000-0000-00006B4E0000}"/>
    <cellStyle name="Normal 2 2 2 2 2 57 3" xfId="20861" xr:uid="{00000000-0005-0000-0000-00006C4E0000}"/>
    <cellStyle name="Normal 2 2 2 2 2 57 4" xfId="20862" xr:uid="{00000000-0005-0000-0000-00006D4E0000}"/>
    <cellStyle name="Normal 2 2 2 2 2 57 5" xfId="20863" xr:uid="{00000000-0005-0000-0000-00006E4E0000}"/>
    <cellStyle name="Normal 2 2 2 2 2 57 6" xfId="20864" xr:uid="{00000000-0005-0000-0000-00006F4E0000}"/>
    <cellStyle name="Normal 2 2 2 2 2 58" xfId="20865" xr:uid="{00000000-0005-0000-0000-0000704E0000}"/>
    <cellStyle name="Normal 2 2 2 2 2 58 2" xfId="20866" xr:uid="{00000000-0005-0000-0000-0000714E0000}"/>
    <cellStyle name="Normal 2 2 2 2 2 58 3" xfId="20867" xr:uid="{00000000-0005-0000-0000-0000724E0000}"/>
    <cellStyle name="Normal 2 2 2 2 2 58 4" xfId="20868" xr:uid="{00000000-0005-0000-0000-0000734E0000}"/>
    <cellStyle name="Normal 2 2 2 2 2 58 5" xfId="20869" xr:uid="{00000000-0005-0000-0000-0000744E0000}"/>
    <cellStyle name="Normal 2 2 2 2 2 58 6" xfId="20870" xr:uid="{00000000-0005-0000-0000-0000754E0000}"/>
    <cellStyle name="Normal 2 2 2 2 2 59" xfId="20871" xr:uid="{00000000-0005-0000-0000-0000764E0000}"/>
    <cellStyle name="Normal 2 2 2 2 2 59 2" xfId="20872" xr:uid="{00000000-0005-0000-0000-0000774E0000}"/>
    <cellStyle name="Normal 2 2 2 2 2 59 3" xfId="20873" xr:uid="{00000000-0005-0000-0000-0000784E0000}"/>
    <cellStyle name="Normal 2 2 2 2 2 59 4" xfId="20874" xr:uid="{00000000-0005-0000-0000-0000794E0000}"/>
    <cellStyle name="Normal 2 2 2 2 2 59 5" xfId="20875" xr:uid="{00000000-0005-0000-0000-00007A4E0000}"/>
    <cellStyle name="Normal 2 2 2 2 2 59 6" xfId="20876" xr:uid="{00000000-0005-0000-0000-00007B4E0000}"/>
    <cellStyle name="Normal 2 2 2 2 2 6" xfId="20877" xr:uid="{00000000-0005-0000-0000-00007C4E0000}"/>
    <cellStyle name="Normal 2 2 2 2 2 60" xfId="20878" xr:uid="{00000000-0005-0000-0000-00007D4E0000}"/>
    <cellStyle name="Normal 2 2 2 2 2 60 2" xfId="20879" xr:uid="{00000000-0005-0000-0000-00007E4E0000}"/>
    <cellStyle name="Normal 2 2 2 2 2 60 3" xfId="20880" xr:uid="{00000000-0005-0000-0000-00007F4E0000}"/>
    <cellStyle name="Normal 2 2 2 2 2 60 4" xfId="20881" xr:uid="{00000000-0005-0000-0000-0000804E0000}"/>
    <cellStyle name="Normal 2 2 2 2 2 60 5" xfId="20882" xr:uid="{00000000-0005-0000-0000-0000814E0000}"/>
    <cellStyle name="Normal 2 2 2 2 2 60 6" xfId="20883" xr:uid="{00000000-0005-0000-0000-0000824E0000}"/>
    <cellStyle name="Normal 2 2 2 2 2 61" xfId="20884" xr:uid="{00000000-0005-0000-0000-0000834E0000}"/>
    <cellStyle name="Normal 2 2 2 2 2 61 2" xfId="20885" xr:uid="{00000000-0005-0000-0000-0000844E0000}"/>
    <cellStyle name="Normal 2 2 2 2 2 61 3" xfId="20886" xr:uid="{00000000-0005-0000-0000-0000854E0000}"/>
    <cellStyle name="Normal 2 2 2 2 2 61 4" xfId="20887" xr:uid="{00000000-0005-0000-0000-0000864E0000}"/>
    <cellStyle name="Normal 2 2 2 2 2 61 5" xfId="20888" xr:uid="{00000000-0005-0000-0000-0000874E0000}"/>
    <cellStyle name="Normal 2 2 2 2 2 61 6" xfId="20889" xr:uid="{00000000-0005-0000-0000-0000884E0000}"/>
    <cellStyle name="Normal 2 2 2 2 2 62" xfId="20890" xr:uid="{00000000-0005-0000-0000-0000894E0000}"/>
    <cellStyle name="Normal 2 2 2 2 2 62 2" xfId="20891" xr:uid="{00000000-0005-0000-0000-00008A4E0000}"/>
    <cellStyle name="Normal 2 2 2 2 2 62 3" xfId="20892" xr:uid="{00000000-0005-0000-0000-00008B4E0000}"/>
    <cellStyle name="Normal 2 2 2 2 2 62 4" xfId="20893" xr:uid="{00000000-0005-0000-0000-00008C4E0000}"/>
    <cellStyle name="Normal 2 2 2 2 2 62 5" xfId="20894" xr:uid="{00000000-0005-0000-0000-00008D4E0000}"/>
    <cellStyle name="Normal 2 2 2 2 2 62 6" xfId="20895" xr:uid="{00000000-0005-0000-0000-00008E4E0000}"/>
    <cellStyle name="Normal 2 2 2 2 2 63" xfId="20896" xr:uid="{00000000-0005-0000-0000-00008F4E0000}"/>
    <cellStyle name="Normal 2 2 2 2 2 63 2" xfId="20897" xr:uid="{00000000-0005-0000-0000-0000904E0000}"/>
    <cellStyle name="Normal 2 2 2 2 2 63 3" xfId="20898" xr:uid="{00000000-0005-0000-0000-0000914E0000}"/>
    <cellStyle name="Normal 2 2 2 2 2 63 4" xfId="20899" xr:uid="{00000000-0005-0000-0000-0000924E0000}"/>
    <cellStyle name="Normal 2 2 2 2 2 63 5" xfId="20900" xr:uid="{00000000-0005-0000-0000-0000934E0000}"/>
    <cellStyle name="Normal 2 2 2 2 2 63 6" xfId="20901" xr:uid="{00000000-0005-0000-0000-0000944E0000}"/>
    <cellStyle name="Normal 2 2 2 2 2 64" xfId="20902" xr:uid="{00000000-0005-0000-0000-0000954E0000}"/>
    <cellStyle name="Normal 2 2 2 2 2 64 2" xfId="20903" xr:uid="{00000000-0005-0000-0000-0000964E0000}"/>
    <cellStyle name="Normal 2 2 2 2 2 64 3" xfId="20904" xr:uid="{00000000-0005-0000-0000-0000974E0000}"/>
    <cellStyle name="Normal 2 2 2 2 2 64 4" xfId="20905" xr:uid="{00000000-0005-0000-0000-0000984E0000}"/>
    <cellStyle name="Normal 2 2 2 2 2 64 5" xfId="20906" xr:uid="{00000000-0005-0000-0000-0000994E0000}"/>
    <cellStyle name="Normal 2 2 2 2 2 64 6" xfId="20907" xr:uid="{00000000-0005-0000-0000-00009A4E0000}"/>
    <cellStyle name="Normal 2 2 2 2 2 65" xfId="20908" xr:uid="{00000000-0005-0000-0000-00009B4E0000}"/>
    <cellStyle name="Normal 2 2 2 2 2 65 2" xfId="20909" xr:uid="{00000000-0005-0000-0000-00009C4E0000}"/>
    <cellStyle name="Normal 2 2 2 2 2 65 3" xfId="20910" xr:uid="{00000000-0005-0000-0000-00009D4E0000}"/>
    <cellStyle name="Normal 2 2 2 2 2 65 4" xfId="20911" xr:uid="{00000000-0005-0000-0000-00009E4E0000}"/>
    <cellStyle name="Normal 2 2 2 2 2 65 5" xfId="20912" xr:uid="{00000000-0005-0000-0000-00009F4E0000}"/>
    <cellStyle name="Normal 2 2 2 2 2 65 6" xfId="20913" xr:uid="{00000000-0005-0000-0000-0000A04E0000}"/>
    <cellStyle name="Normal 2 2 2 2 2 66" xfId="20914" xr:uid="{00000000-0005-0000-0000-0000A14E0000}"/>
    <cellStyle name="Normal 2 2 2 2 2 66 2" xfId="20915" xr:uid="{00000000-0005-0000-0000-0000A24E0000}"/>
    <cellStyle name="Normal 2 2 2 2 2 66 3" xfId="20916" xr:uid="{00000000-0005-0000-0000-0000A34E0000}"/>
    <cellStyle name="Normal 2 2 2 2 2 66 4" xfId="20917" xr:uid="{00000000-0005-0000-0000-0000A44E0000}"/>
    <cellStyle name="Normal 2 2 2 2 2 66 5" xfId="20918" xr:uid="{00000000-0005-0000-0000-0000A54E0000}"/>
    <cellStyle name="Normal 2 2 2 2 2 66 6" xfId="20919" xr:uid="{00000000-0005-0000-0000-0000A64E0000}"/>
    <cellStyle name="Normal 2 2 2 2 2 67" xfId="20920" xr:uid="{00000000-0005-0000-0000-0000A74E0000}"/>
    <cellStyle name="Normal 2 2 2 2 2 67 2" xfId="20921" xr:uid="{00000000-0005-0000-0000-0000A84E0000}"/>
    <cellStyle name="Normal 2 2 2 2 2 67 3" xfId="20922" xr:uid="{00000000-0005-0000-0000-0000A94E0000}"/>
    <cellStyle name="Normal 2 2 2 2 2 67 4" xfId="20923" xr:uid="{00000000-0005-0000-0000-0000AA4E0000}"/>
    <cellStyle name="Normal 2 2 2 2 2 67 5" xfId="20924" xr:uid="{00000000-0005-0000-0000-0000AB4E0000}"/>
    <cellStyle name="Normal 2 2 2 2 2 67 6" xfId="20925" xr:uid="{00000000-0005-0000-0000-0000AC4E0000}"/>
    <cellStyle name="Normal 2 2 2 2 2 68" xfId="20926" xr:uid="{00000000-0005-0000-0000-0000AD4E0000}"/>
    <cellStyle name="Normal 2 2 2 2 2 68 2" xfId="20927" xr:uid="{00000000-0005-0000-0000-0000AE4E0000}"/>
    <cellStyle name="Normal 2 2 2 2 2 68 3" xfId="20928" xr:uid="{00000000-0005-0000-0000-0000AF4E0000}"/>
    <cellStyle name="Normal 2 2 2 2 2 68 4" xfId="20929" xr:uid="{00000000-0005-0000-0000-0000B04E0000}"/>
    <cellStyle name="Normal 2 2 2 2 2 68 5" xfId="20930" xr:uid="{00000000-0005-0000-0000-0000B14E0000}"/>
    <cellStyle name="Normal 2 2 2 2 2 68 6" xfId="20931" xr:uid="{00000000-0005-0000-0000-0000B24E0000}"/>
    <cellStyle name="Normal 2 2 2 2 2 69" xfId="20932" xr:uid="{00000000-0005-0000-0000-0000B34E0000}"/>
    <cellStyle name="Normal 2 2 2 2 2 69 2" xfId="20933" xr:uid="{00000000-0005-0000-0000-0000B44E0000}"/>
    <cellStyle name="Normal 2 2 2 2 2 69 3" xfId="20934" xr:uid="{00000000-0005-0000-0000-0000B54E0000}"/>
    <cellStyle name="Normal 2 2 2 2 2 69 4" xfId="20935" xr:uid="{00000000-0005-0000-0000-0000B64E0000}"/>
    <cellStyle name="Normal 2 2 2 2 2 69 5" xfId="20936" xr:uid="{00000000-0005-0000-0000-0000B74E0000}"/>
    <cellStyle name="Normal 2 2 2 2 2 69 6" xfId="20937" xr:uid="{00000000-0005-0000-0000-0000B84E0000}"/>
    <cellStyle name="Normal 2 2 2 2 2 7" xfId="20938" xr:uid="{00000000-0005-0000-0000-0000B94E0000}"/>
    <cellStyle name="Normal 2 2 2 2 2 70" xfId="20939" xr:uid="{00000000-0005-0000-0000-0000BA4E0000}"/>
    <cellStyle name="Normal 2 2 2 2 2 70 2" xfId="20940" xr:uid="{00000000-0005-0000-0000-0000BB4E0000}"/>
    <cellStyle name="Normal 2 2 2 2 2 70 2 2" xfId="20941" xr:uid="{00000000-0005-0000-0000-0000BC4E0000}"/>
    <cellStyle name="Normal 2 2 2 2 2 70 2 3" xfId="20942" xr:uid="{00000000-0005-0000-0000-0000BD4E0000}"/>
    <cellStyle name="Normal 2 2 2 2 2 70 2 4" xfId="20943" xr:uid="{00000000-0005-0000-0000-0000BE4E0000}"/>
    <cellStyle name="Normal 2 2 2 2 2 70 2 5" xfId="20944" xr:uid="{00000000-0005-0000-0000-0000BF4E0000}"/>
    <cellStyle name="Normal 2 2 2 2 2 70 2 6" xfId="20945" xr:uid="{00000000-0005-0000-0000-0000C04E0000}"/>
    <cellStyle name="Normal 2 2 2 2 2 71" xfId="20946" xr:uid="{00000000-0005-0000-0000-0000C14E0000}"/>
    <cellStyle name="Normal 2 2 2 2 2 71 10" xfId="20947" xr:uid="{00000000-0005-0000-0000-0000C24E0000}"/>
    <cellStyle name="Normal 2 2 2 2 2 71 11" xfId="20948" xr:uid="{00000000-0005-0000-0000-0000C34E0000}"/>
    <cellStyle name="Normal 2 2 2 2 2 71 2" xfId="20949" xr:uid="{00000000-0005-0000-0000-0000C44E0000}"/>
    <cellStyle name="Normal 2 2 2 2 2 71 2 2" xfId="20950" xr:uid="{00000000-0005-0000-0000-0000C54E0000}"/>
    <cellStyle name="Normal 2 2 2 2 2 71 2 2 2" xfId="20951" xr:uid="{00000000-0005-0000-0000-0000C64E0000}"/>
    <cellStyle name="Normal 2 2 2 2 2 71 2 2 3" xfId="20952" xr:uid="{00000000-0005-0000-0000-0000C74E0000}"/>
    <cellStyle name="Normal 2 2 2 2 2 71 2 3" xfId="20953" xr:uid="{00000000-0005-0000-0000-0000C84E0000}"/>
    <cellStyle name="Normal 2 2 2 2 2 71 2 4" xfId="20954" xr:uid="{00000000-0005-0000-0000-0000C94E0000}"/>
    <cellStyle name="Normal 2 2 2 2 2 71 2 5" xfId="20955" xr:uid="{00000000-0005-0000-0000-0000CA4E0000}"/>
    <cellStyle name="Normal 2 2 2 2 2 71 2 6" xfId="20956" xr:uid="{00000000-0005-0000-0000-0000CB4E0000}"/>
    <cellStyle name="Normal 2 2 2 2 2 71 2 7" xfId="20957" xr:uid="{00000000-0005-0000-0000-0000CC4E0000}"/>
    <cellStyle name="Normal 2 2 2 2 2 71 2 8" xfId="20958" xr:uid="{00000000-0005-0000-0000-0000CD4E0000}"/>
    <cellStyle name="Normal 2 2 2 2 2 71 2 9" xfId="20959" xr:uid="{00000000-0005-0000-0000-0000CE4E0000}"/>
    <cellStyle name="Normal 2 2 2 2 2 71 3" xfId="20960" xr:uid="{00000000-0005-0000-0000-0000CF4E0000}"/>
    <cellStyle name="Normal 2 2 2 2 2 71 4" xfId="20961" xr:uid="{00000000-0005-0000-0000-0000D04E0000}"/>
    <cellStyle name="Normal 2 2 2 2 2 71 5" xfId="20962" xr:uid="{00000000-0005-0000-0000-0000D14E0000}"/>
    <cellStyle name="Normal 2 2 2 2 2 71 5 2" xfId="20963" xr:uid="{00000000-0005-0000-0000-0000D24E0000}"/>
    <cellStyle name="Normal 2 2 2 2 2 71 5 3" xfId="20964" xr:uid="{00000000-0005-0000-0000-0000D34E0000}"/>
    <cellStyle name="Normal 2 2 2 2 2 71 6" xfId="20965" xr:uid="{00000000-0005-0000-0000-0000D44E0000}"/>
    <cellStyle name="Normal 2 2 2 2 2 71 7" xfId="20966" xr:uid="{00000000-0005-0000-0000-0000D54E0000}"/>
    <cellStyle name="Normal 2 2 2 2 2 71 8" xfId="20967" xr:uid="{00000000-0005-0000-0000-0000D64E0000}"/>
    <cellStyle name="Normal 2 2 2 2 2 71 9" xfId="20968" xr:uid="{00000000-0005-0000-0000-0000D74E0000}"/>
    <cellStyle name="Normal 2 2 2 2 2 72" xfId="20969" xr:uid="{00000000-0005-0000-0000-0000D84E0000}"/>
    <cellStyle name="Normal 2 2 2 2 2 73" xfId="20970" xr:uid="{00000000-0005-0000-0000-0000D94E0000}"/>
    <cellStyle name="Normal 2 2 2 2 2 74" xfId="20971" xr:uid="{00000000-0005-0000-0000-0000DA4E0000}"/>
    <cellStyle name="Normal 2 2 2 2 2 74 2" xfId="20972" xr:uid="{00000000-0005-0000-0000-0000DB4E0000}"/>
    <cellStyle name="Normal 2 2 2 2 2 74 2 2" xfId="20973" xr:uid="{00000000-0005-0000-0000-0000DC4E0000}"/>
    <cellStyle name="Normal 2 2 2 2 2 74 2 3" xfId="20974" xr:uid="{00000000-0005-0000-0000-0000DD4E0000}"/>
    <cellStyle name="Normal 2 2 2 2 2 74 3" xfId="20975" xr:uid="{00000000-0005-0000-0000-0000DE4E0000}"/>
    <cellStyle name="Normal 2 2 2 2 2 74 4" xfId="20976" xr:uid="{00000000-0005-0000-0000-0000DF4E0000}"/>
    <cellStyle name="Normal 2 2 2 2 2 74 5" xfId="20977" xr:uid="{00000000-0005-0000-0000-0000E04E0000}"/>
    <cellStyle name="Normal 2 2 2 2 2 74 6" xfId="20978" xr:uid="{00000000-0005-0000-0000-0000E14E0000}"/>
    <cellStyle name="Normal 2 2 2 2 2 74 7" xfId="20979" xr:uid="{00000000-0005-0000-0000-0000E24E0000}"/>
    <cellStyle name="Normal 2 2 2 2 2 74 8" xfId="20980" xr:uid="{00000000-0005-0000-0000-0000E34E0000}"/>
    <cellStyle name="Normal 2 2 2 2 2 74 9" xfId="20981" xr:uid="{00000000-0005-0000-0000-0000E44E0000}"/>
    <cellStyle name="Normal 2 2 2 2 2 75" xfId="20982" xr:uid="{00000000-0005-0000-0000-0000E54E0000}"/>
    <cellStyle name="Normal 2 2 2 2 2 76" xfId="20983" xr:uid="{00000000-0005-0000-0000-0000E64E0000}"/>
    <cellStyle name="Normal 2 2 2 2 2 76 2" xfId="20984" xr:uid="{00000000-0005-0000-0000-0000E74E0000}"/>
    <cellStyle name="Normal 2 2 2 2 2 76 3" xfId="20985" xr:uid="{00000000-0005-0000-0000-0000E84E0000}"/>
    <cellStyle name="Normal 2 2 2 2 2 77" xfId="20986" xr:uid="{00000000-0005-0000-0000-0000E94E0000}"/>
    <cellStyle name="Normal 2 2 2 2 2 78" xfId="20987" xr:uid="{00000000-0005-0000-0000-0000EA4E0000}"/>
    <cellStyle name="Normal 2 2 2 2 2 79" xfId="20988" xr:uid="{00000000-0005-0000-0000-0000EB4E0000}"/>
    <cellStyle name="Normal 2 2 2 2 2 8" xfId="20989" xr:uid="{00000000-0005-0000-0000-0000EC4E0000}"/>
    <cellStyle name="Normal 2 2 2 2 2 80" xfId="20990" xr:uid="{00000000-0005-0000-0000-0000ED4E0000}"/>
    <cellStyle name="Normal 2 2 2 2 2 81" xfId="20991" xr:uid="{00000000-0005-0000-0000-0000EE4E0000}"/>
    <cellStyle name="Normal 2 2 2 2 2 82" xfId="20992" xr:uid="{00000000-0005-0000-0000-0000EF4E0000}"/>
    <cellStyle name="Normal 2 2 2 2 2 83" xfId="20993" xr:uid="{00000000-0005-0000-0000-0000F04E0000}"/>
    <cellStyle name="Normal 2 2 2 2 2 9" xfId="20994" xr:uid="{00000000-0005-0000-0000-0000F14E0000}"/>
    <cellStyle name="Normal 2 2 2 2 20" xfId="20995" xr:uid="{00000000-0005-0000-0000-0000F24E0000}"/>
    <cellStyle name="Normal 2 2 2 2 21" xfId="20996" xr:uid="{00000000-0005-0000-0000-0000F34E0000}"/>
    <cellStyle name="Normal 2 2 2 2 22" xfId="20997" xr:uid="{00000000-0005-0000-0000-0000F44E0000}"/>
    <cellStyle name="Normal 2 2 2 2 22 2" xfId="20998" xr:uid="{00000000-0005-0000-0000-0000F54E0000}"/>
    <cellStyle name="Normal 2 2 2 2 22 3" xfId="20999" xr:uid="{00000000-0005-0000-0000-0000F64E0000}"/>
    <cellStyle name="Normal 2 2 2 2 22 4" xfId="21000" xr:uid="{00000000-0005-0000-0000-0000F74E0000}"/>
    <cellStyle name="Normal 2 2 2 2 23" xfId="21001" xr:uid="{00000000-0005-0000-0000-0000F84E0000}"/>
    <cellStyle name="Normal 2 2 2 2 24" xfId="21002" xr:uid="{00000000-0005-0000-0000-0000F94E0000}"/>
    <cellStyle name="Normal 2 2 2 2 25" xfId="21003" xr:uid="{00000000-0005-0000-0000-0000FA4E0000}"/>
    <cellStyle name="Normal 2 2 2 2 26" xfId="21004" xr:uid="{00000000-0005-0000-0000-0000FB4E0000}"/>
    <cellStyle name="Normal 2 2 2 2 27" xfId="21005" xr:uid="{00000000-0005-0000-0000-0000FC4E0000}"/>
    <cellStyle name="Normal 2 2 2 2 28" xfId="21006" xr:uid="{00000000-0005-0000-0000-0000FD4E0000}"/>
    <cellStyle name="Normal 2 2 2 2 28 10" xfId="21007" xr:uid="{00000000-0005-0000-0000-0000FE4E0000}"/>
    <cellStyle name="Normal 2 2 2 2 28 11" xfId="21008" xr:uid="{00000000-0005-0000-0000-0000FF4E0000}"/>
    <cellStyle name="Normal 2 2 2 2 28 12" xfId="21009" xr:uid="{00000000-0005-0000-0000-0000004F0000}"/>
    <cellStyle name="Normal 2 2 2 2 28 13" xfId="21010" xr:uid="{00000000-0005-0000-0000-0000014F0000}"/>
    <cellStyle name="Normal 2 2 2 2 28 2" xfId="21011" xr:uid="{00000000-0005-0000-0000-0000024F0000}"/>
    <cellStyle name="Normal 2 2 2 2 28 2 2" xfId="21012" xr:uid="{00000000-0005-0000-0000-0000034F0000}"/>
    <cellStyle name="Normal 2 2 2 2 28 2 3" xfId="21013" xr:uid="{00000000-0005-0000-0000-0000044F0000}"/>
    <cellStyle name="Normal 2 2 2 2 28 2 4" xfId="21014" xr:uid="{00000000-0005-0000-0000-0000054F0000}"/>
    <cellStyle name="Normal 2 2 2 2 28 2 5" xfId="21015" xr:uid="{00000000-0005-0000-0000-0000064F0000}"/>
    <cellStyle name="Normal 2 2 2 2 28 2 6" xfId="21016" xr:uid="{00000000-0005-0000-0000-0000074F0000}"/>
    <cellStyle name="Normal 2 2 2 2 28 3" xfId="21017" xr:uid="{00000000-0005-0000-0000-0000084F0000}"/>
    <cellStyle name="Normal 2 2 2 2 28 3 2" xfId="21018" xr:uid="{00000000-0005-0000-0000-0000094F0000}"/>
    <cellStyle name="Normal 2 2 2 2 28 3 3" xfId="21019" xr:uid="{00000000-0005-0000-0000-00000A4F0000}"/>
    <cellStyle name="Normal 2 2 2 2 28 3 4" xfId="21020" xr:uid="{00000000-0005-0000-0000-00000B4F0000}"/>
    <cellStyle name="Normal 2 2 2 2 28 3 5" xfId="21021" xr:uid="{00000000-0005-0000-0000-00000C4F0000}"/>
    <cellStyle name="Normal 2 2 2 2 28 3 6" xfId="21022" xr:uid="{00000000-0005-0000-0000-00000D4F0000}"/>
    <cellStyle name="Normal 2 2 2 2 28 4" xfId="21023" xr:uid="{00000000-0005-0000-0000-00000E4F0000}"/>
    <cellStyle name="Normal 2 2 2 2 28 4 2" xfId="21024" xr:uid="{00000000-0005-0000-0000-00000F4F0000}"/>
    <cellStyle name="Normal 2 2 2 2 28 4 3" xfId="21025" xr:uid="{00000000-0005-0000-0000-0000104F0000}"/>
    <cellStyle name="Normal 2 2 2 2 28 4 4" xfId="21026" xr:uid="{00000000-0005-0000-0000-0000114F0000}"/>
    <cellStyle name="Normal 2 2 2 2 28 4 5" xfId="21027" xr:uid="{00000000-0005-0000-0000-0000124F0000}"/>
    <cellStyle name="Normal 2 2 2 2 28 4 6" xfId="21028" xr:uid="{00000000-0005-0000-0000-0000134F0000}"/>
    <cellStyle name="Normal 2 2 2 2 28 5" xfId="21029" xr:uid="{00000000-0005-0000-0000-0000144F0000}"/>
    <cellStyle name="Normal 2 2 2 2 28 5 2" xfId="21030" xr:uid="{00000000-0005-0000-0000-0000154F0000}"/>
    <cellStyle name="Normal 2 2 2 2 28 5 3" xfId="21031" xr:uid="{00000000-0005-0000-0000-0000164F0000}"/>
    <cellStyle name="Normal 2 2 2 2 28 5 4" xfId="21032" xr:uid="{00000000-0005-0000-0000-0000174F0000}"/>
    <cellStyle name="Normal 2 2 2 2 28 5 5" xfId="21033" xr:uid="{00000000-0005-0000-0000-0000184F0000}"/>
    <cellStyle name="Normal 2 2 2 2 28 5 6" xfId="21034" xr:uid="{00000000-0005-0000-0000-0000194F0000}"/>
    <cellStyle name="Normal 2 2 2 2 28 6" xfId="21035" xr:uid="{00000000-0005-0000-0000-00001A4F0000}"/>
    <cellStyle name="Normal 2 2 2 2 28 6 2" xfId="21036" xr:uid="{00000000-0005-0000-0000-00001B4F0000}"/>
    <cellStyle name="Normal 2 2 2 2 28 6 3" xfId="21037" xr:uid="{00000000-0005-0000-0000-00001C4F0000}"/>
    <cellStyle name="Normal 2 2 2 2 28 6 4" xfId="21038" xr:uid="{00000000-0005-0000-0000-00001D4F0000}"/>
    <cellStyle name="Normal 2 2 2 2 28 6 5" xfId="21039" xr:uid="{00000000-0005-0000-0000-00001E4F0000}"/>
    <cellStyle name="Normal 2 2 2 2 28 6 6" xfId="21040" xr:uid="{00000000-0005-0000-0000-00001F4F0000}"/>
    <cellStyle name="Normal 2 2 2 2 28 7" xfId="21041" xr:uid="{00000000-0005-0000-0000-0000204F0000}"/>
    <cellStyle name="Normal 2 2 2 2 28 7 2" xfId="21042" xr:uid="{00000000-0005-0000-0000-0000214F0000}"/>
    <cellStyle name="Normal 2 2 2 2 28 7 3" xfId="21043" xr:uid="{00000000-0005-0000-0000-0000224F0000}"/>
    <cellStyle name="Normal 2 2 2 2 28 7 4" xfId="21044" xr:uid="{00000000-0005-0000-0000-0000234F0000}"/>
    <cellStyle name="Normal 2 2 2 2 28 7 5" xfId="21045" xr:uid="{00000000-0005-0000-0000-0000244F0000}"/>
    <cellStyle name="Normal 2 2 2 2 28 7 6" xfId="21046" xr:uid="{00000000-0005-0000-0000-0000254F0000}"/>
    <cellStyle name="Normal 2 2 2 2 28 8" xfId="21047" xr:uid="{00000000-0005-0000-0000-0000264F0000}"/>
    <cellStyle name="Normal 2 2 2 2 28 8 2" xfId="21048" xr:uid="{00000000-0005-0000-0000-0000274F0000}"/>
    <cellStyle name="Normal 2 2 2 2 28 8 3" xfId="21049" xr:uid="{00000000-0005-0000-0000-0000284F0000}"/>
    <cellStyle name="Normal 2 2 2 2 28 8 4" xfId="21050" xr:uid="{00000000-0005-0000-0000-0000294F0000}"/>
    <cellStyle name="Normal 2 2 2 2 28 8 5" xfId="21051" xr:uid="{00000000-0005-0000-0000-00002A4F0000}"/>
    <cellStyle name="Normal 2 2 2 2 28 8 6" xfId="21052" xr:uid="{00000000-0005-0000-0000-00002B4F0000}"/>
    <cellStyle name="Normal 2 2 2 2 28 9" xfId="21053" xr:uid="{00000000-0005-0000-0000-00002C4F0000}"/>
    <cellStyle name="Normal 2 2 2 2 29" xfId="21054" xr:uid="{00000000-0005-0000-0000-00002D4F0000}"/>
    <cellStyle name="Normal 2 2 2 2 29 10" xfId="21055" xr:uid="{00000000-0005-0000-0000-00002E4F0000}"/>
    <cellStyle name="Normal 2 2 2 2 29 11" xfId="21056" xr:uid="{00000000-0005-0000-0000-00002F4F0000}"/>
    <cellStyle name="Normal 2 2 2 2 29 12" xfId="21057" xr:uid="{00000000-0005-0000-0000-0000304F0000}"/>
    <cellStyle name="Normal 2 2 2 2 29 13" xfId="21058" xr:uid="{00000000-0005-0000-0000-0000314F0000}"/>
    <cellStyle name="Normal 2 2 2 2 29 2" xfId="21059" xr:uid="{00000000-0005-0000-0000-0000324F0000}"/>
    <cellStyle name="Normal 2 2 2 2 29 2 2" xfId="21060" xr:uid="{00000000-0005-0000-0000-0000334F0000}"/>
    <cellStyle name="Normal 2 2 2 2 29 2 3" xfId="21061" xr:uid="{00000000-0005-0000-0000-0000344F0000}"/>
    <cellStyle name="Normal 2 2 2 2 29 2 4" xfId="21062" xr:uid="{00000000-0005-0000-0000-0000354F0000}"/>
    <cellStyle name="Normal 2 2 2 2 29 2 5" xfId="21063" xr:uid="{00000000-0005-0000-0000-0000364F0000}"/>
    <cellStyle name="Normal 2 2 2 2 29 2 6" xfId="21064" xr:uid="{00000000-0005-0000-0000-0000374F0000}"/>
    <cellStyle name="Normal 2 2 2 2 29 3" xfId="21065" xr:uid="{00000000-0005-0000-0000-0000384F0000}"/>
    <cellStyle name="Normal 2 2 2 2 29 3 2" xfId="21066" xr:uid="{00000000-0005-0000-0000-0000394F0000}"/>
    <cellStyle name="Normal 2 2 2 2 29 3 3" xfId="21067" xr:uid="{00000000-0005-0000-0000-00003A4F0000}"/>
    <cellStyle name="Normal 2 2 2 2 29 3 4" xfId="21068" xr:uid="{00000000-0005-0000-0000-00003B4F0000}"/>
    <cellStyle name="Normal 2 2 2 2 29 3 5" xfId="21069" xr:uid="{00000000-0005-0000-0000-00003C4F0000}"/>
    <cellStyle name="Normal 2 2 2 2 29 3 6" xfId="21070" xr:uid="{00000000-0005-0000-0000-00003D4F0000}"/>
    <cellStyle name="Normal 2 2 2 2 29 4" xfId="21071" xr:uid="{00000000-0005-0000-0000-00003E4F0000}"/>
    <cellStyle name="Normal 2 2 2 2 29 4 2" xfId="21072" xr:uid="{00000000-0005-0000-0000-00003F4F0000}"/>
    <cellStyle name="Normal 2 2 2 2 29 4 3" xfId="21073" xr:uid="{00000000-0005-0000-0000-0000404F0000}"/>
    <cellStyle name="Normal 2 2 2 2 29 4 4" xfId="21074" xr:uid="{00000000-0005-0000-0000-0000414F0000}"/>
    <cellStyle name="Normal 2 2 2 2 29 4 5" xfId="21075" xr:uid="{00000000-0005-0000-0000-0000424F0000}"/>
    <cellStyle name="Normal 2 2 2 2 29 4 6" xfId="21076" xr:uid="{00000000-0005-0000-0000-0000434F0000}"/>
    <cellStyle name="Normal 2 2 2 2 29 5" xfId="21077" xr:uid="{00000000-0005-0000-0000-0000444F0000}"/>
    <cellStyle name="Normal 2 2 2 2 29 5 2" xfId="21078" xr:uid="{00000000-0005-0000-0000-0000454F0000}"/>
    <cellStyle name="Normal 2 2 2 2 29 5 3" xfId="21079" xr:uid="{00000000-0005-0000-0000-0000464F0000}"/>
    <cellStyle name="Normal 2 2 2 2 29 5 4" xfId="21080" xr:uid="{00000000-0005-0000-0000-0000474F0000}"/>
    <cellStyle name="Normal 2 2 2 2 29 5 5" xfId="21081" xr:uid="{00000000-0005-0000-0000-0000484F0000}"/>
    <cellStyle name="Normal 2 2 2 2 29 5 6" xfId="21082" xr:uid="{00000000-0005-0000-0000-0000494F0000}"/>
    <cellStyle name="Normal 2 2 2 2 29 6" xfId="21083" xr:uid="{00000000-0005-0000-0000-00004A4F0000}"/>
    <cellStyle name="Normal 2 2 2 2 29 6 2" xfId="21084" xr:uid="{00000000-0005-0000-0000-00004B4F0000}"/>
    <cellStyle name="Normal 2 2 2 2 29 6 3" xfId="21085" xr:uid="{00000000-0005-0000-0000-00004C4F0000}"/>
    <cellStyle name="Normal 2 2 2 2 29 6 4" xfId="21086" xr:uid="{00000000-0005-0000-0000-00004D4F0000}"/>
    <cellStyle name="Normal 2 2 2 2 29 6 5" xfId="21087" xr:uid="{00000000-0005-0000-0000-00004E4F0000}"/>
    <cellStyle name="Normal 2 2 2 2 29 6 6" xfId="21088" xr:uid="{00000000-0005-0000-0000-00004F4F0000}"/>
    <cellStyle name="Normal 2 2 2 2 29 7" xfId="21089" xr:uid="{00000000-0005-0000-0000-0000504F0000}"/>
    <cellStyle name="Normal 2 2 2 2 29 7 2" xfId="21090" xr:uid="{00000000-0005-0000-0000-0000514F0000}"/>
    <cellStyle name="Normal 2 2 2 2 29 7 3" xfId="21091" xr:uid="{00000000-0005-0000-0000-0000524F0000}"/>
    <cellStyle name="Normal 2 2 2 2 29 7 4" xfId="21092" xr:uid="{00000000-0005-0000-0000-0000534F0000}"/>
    <cellStyle name="Normal 2 2 2 2 29 7 5" xfId="21093" xr:uid="{00000000-0005-0000-0000-0000544F0000}"/>
    <cellStyle name="Normal 2 2 2 2 29 7 6" xfId="21094" xr:uid="{00000000-0005-0000-0000-0000554F0000}"/>
    <cellStyle name="Normal 2 2 2 2 29 8" xfId="21095" xr:uid="{00000000-0005-0000-0000-0000564F0000}"/>
    <cellStyle name="Normal 2 2 2 2 29 8 2" xfId="21096" xr:uid="{00000000-0005-0000-0000-0000574F0000}"/>
    <cellStyle name="Normal 2 2 2 2 29 8 3" xfId="21097" xr:uid="{00000000-0005-0000-0000-0000584F0000}"/>
    <cellStyle name="Normal 2 2 2 2 29 8 4" xfId="21098" xr:uid="{00000000-0005-0000-0000-0000594F0000}"/>
    <cellStyle name="Normal 2 2 2 2 29 8 5" xfId="21099" xr:uid="{00000000-0005-0000-0000-00005A4F0000}"/>
    <cellStyle name="Normal 2 2 2 2 29 8 6" xfId="21100" xr:uid="{00000000-0005-0000-0000-00005B4F0000}"/>
    <cellStyle name="Normal 2 2 2 2 29 9" xfId="21101" xr:uid="{00000000-0005-0000-0000-00005C4F0000}"/>
    <cellStyle name="Normal 2 2 2 2 3" xfId="21102" xr:uid="{00000000-0005-0000-0000-00005D4F0000}"/>
    <cellStyle name="Normal 2 2 2 2 3 10" xfId="21103" xr:uid="{00000000-0005-0000-0000-00005E4F0000}"/>
    <cellStyle name="Normal 2 2 2 2 3 11" xfId="21104" xr:uid="{00000000-0005-0000-0000-00005F4F0000}"/>
    <cellStyle name="Normal 2 2 2 2 3 12" xfId="21105" xr:uid="{00000000-0005-0000-0000-0000604F0000}"/>
    <cellStyle name="Normal 2 2 2 2 3 13" xfId="21106" xr:uid="{00000000-0005-0000-0000-0000614F0000}"/>
    <cellStyle name="Normal 2 2 2 2 3 14" xfId="21107" xr:uid="{00000000-0005-0000-0000-0000624F0000}"/>
    <cellStyle name="Normal 2 2 2 2 3 2" xfId="21108" xr:uid="{00000000-0005-0000-0000-0000634F0000}"/>
    <cellStyle name="Normal 2 2 2 2 3 2 2" xfId="21109" xr:uid="{00000000-0005-0000-0000-0000644F0000}"/>
    <cellStyle name="Normal 2 2 2 2 3 2 2 2" xfId="21110" xr:uid="{00000000-0005-0000-0000-0000654F0000}"/>
    <cellStyle name="Normal 2 2 2 2 3 2 2 2 2" xfId="21111" xr:uid="{00000000-0005-0000-0000-0000664F0000}"/>
    <cellStyle name="Normal 2 2 2 2 3 2 2 3" xfId="21112" xr:uid="{00000000-0005-0000-0000-0000674F0000}"/>
    <cellStyle name="Normal 2 2 2 2 3 2 3" xfId="21113" xr:uid="{00000000-0005-0000-0000-0000684F0000}"/>
    <cellStyle name="Normal 2 2 2 2 3 2 3 2" xfId="21114" xr:uid="{00000000-0005-0000-0000-0000694F0000}"/>
    <cellStyle name="Normal 2 2 2 2 3 2 4" xfId="21115" xr:uid="{00000000-0005-0000-0000-00006A4F0000}"/>
    <cellStyle name="Normal 2 2 2 2 3 2 5" xfId="21116" xr:uid="{00000000-0005-0000-0000-00006B4F0000}"/>
    <cellStyle name="Normal 2 2 2 2 3 2 6" xfId="21117" xr:uid="{00000000-0005-0000-0000-00006C4F0000}"/>
    <cellStyle name="Normal 2 2 2 2 3 3" xfId="21118" xr:uid="{00000000-0005-0000-0000-00006D4F0000}"/>
    <cellStyle name="Normal 2 2 2 2 3 3 2" xfId="21119" xr:uid="{00000000-0005-0000-0000-00006E4F0000}"/>
    <cellStyle name="Normal 2 2 2 2 3 3 3" xfId="21120" xr:uid="{00000000-0005-0000-0000-00006F4F0000}"/>
    <cellStyle name="Normal 2 2 2 2 3 3 4" xfId="21121" xr:uid="{00000000-0005-0000-0000-0000704F0000}"/>
    <cellStyle name="Normal 2 2 2 2 3 3 5" xfId="21122" xr:uid="{00000000-0005-0000-0000-0000714F0000}"/>
    <cellStyle name="Normal 2 2 2 2 3 3 6" xfId="21123" xr:uid="{00000000-0005-0000-0000-0000724F0000}"/>
    <cellStyle name="Normal 2 2 2 2 3 4" xfId="21124" xr:uid="{00000000-0005-0000-0000-0000734F0000}"/>
    <cellStyle name="Normal 2 2 2 2 3 4 2" xfId="21125" xr:uid="{00000000-0005-0000-0000-0000744F0000}"/>
    <cellStyle name="Normal 2 2 2 2 3 4 3" xfId="21126" xr:uid="{00000000-0005-0000-0000-0000754F0000}"/>
    <cellStyle name="Normal 2 2 2 2 3 4 4" xfId="21127" xr:uid="{00000000-0005-0000-0000-0000764F0000}"/>
    <cellStyle name="Normal 2 2 2 2 3 4 5" xfId="21128" xr:uid="{00000000-0005-0000-0000-0000774F0000}"/>
    <cellStyle name="Normal 2 2 2 2 3 4 6" xfId="21129" xr:uid="{00000000-0005-0000-0000-0000784F0000}"/>
    <cellStyle name="Normal 2 2 2 2 3 5" xfId="21130" xr:uid="{00000000-0005-0000-0000-0000794F0000}"/>
    <cellStyle name="Normal 2 2 2 2 3 5 2" xfId="21131" xr:uid="{00000000-0005-0000-0000-00007A4F0000}"/>
    <cellStyle name="Normal 2 2 2 2 3 5 3" xfId="21132" xr:uid="{00000000-0005-0000-0000-00007B4F0000}"/>
    <cellStyle name="Normal 2 2 2 2 3 5 4" xfId="21133" xr:uid="{00000000-0005-0000-0000-00007C4F0000}"/>
    <cellStyle name="Normal 2 2 2 2 3 5 5" xfId="21134" xr:uid="{00000000-0005-0000-0000-00007D4F0000}"/>
    <cellStyle name="Normal 2 2 2 2 3 5 6" xfId="21135" xr:uid="{00000000-0005-0000-0000-00007E4F0000}"/>
    <cellStyle name="Normal 2 2 2 2 3 6" xfId="21136" xr:uid="{00000000-0005-0000-0000-00007F4F0000}"/>
    <cellStyle name="Normal 2 2 2 2 3 6 2" xfId="21137" xr:uid="{00000000-0005-0000-0000-0000804F0000}"/>
    <cellStyle name="Normal 2 2 2 2 3 6 3" xfId="21138" xr:uid="{00000000-0005-0000-0000-0000814F0000}"/>
    <cellStyle name="Normal 2 2 2 2 3 6 4" xfId="21139" xr:uid="{00000000-0005-0000-0000-0000824F0000}"/>
    <cellStyle name="Normal 2 2 2 2 3 6 5" xfId="21140" xr:uid="{00000000-0005-0000-0000-0000834F0000}"/>
    <cellStyle name="Normal 2 2 2 2 3 6 6" xfId="21141" xr:uid="{00000000-0005-0000-0000-0000844F0000}"/>
    <cellStyle name="Normal 2 2 2 2 3 7" xfId="21142" xr:uid="{00000000-0005-0000-0000-0000854F0000}"/>
    <cellStyle name="Normal 2 2 2 2 3 7 2" xfId="21143" xr:uid="{00000000-0005-0000-0000-0000864F0000}"/>
    <cellStyle name="Normal 2 2 2 2 3 7 3" xfId="21144" xr:uid="{00000000-0005-0000-0000-0000874F0000}"/>
    <cellStyle name="Normal 2 2 2 2 3 7 4" xfId="21145" xr:uid="{00000000-0005-0000-0000-0000884F0000}"/>
    <cellStyle name="Normal 2 2 2 2 3 7 5" xfId="21146" xr:uid="{00000000-0005-0000-0000-0000894F0000}"/>
    <cellStyle name="Normal 2 2 2 2 3 7 6" xfId="21147" xr:uid="{00000000-0005-0000-0000-00008A4F0000}"/>
    <cellStyle name="Normal 2 2 2 2 3 8" xfId="21148" xr:uid="{00000000-0005-0000-0000-00008B4F0000}"/>
    <cellStyle name="Normal 2 2 2 2 3 8 2" xfId="21149" xr:uid="{00000000-0005-0000-0000-00008C4F0000}"/>
    <cellStyle name="Normal 2 2 2 2 3 8 3" xfId="21150" xr:uid="{00000000-0005-0000-0000-00008D4F0000}"/>
    <cellStyle name="Normal 2 2 2 2 3 8 4" xfId="21151" xr:uid="{00000000-0005-0000-0000-00008E4F0000}"/>
    <cellStyle name="Normal 2 2 2 2 3 8 5" xfId="21152" xr:uid="{00000000-0005-0000-0000-00008F4F0000}"/>
    <cellStyle name="Normal 2 2 2 2 3 8 6" xfId="21153" xr:uid="{00000000-0005-0000-0000-0000904F0000}"/>
    <cellStyle name="Normal 2 2 2 2 3 9" xfId="21154" xr:uid="{00000000-0005-0000-0000-0000914F0000}"/>
    <cellStyle name="Normal 2 2 2 2 30" xfId="21155" xr:uid="{00000000-0005-0000-0000-0000924F0000}"/>
    <cellStyle name="Normal 2 2 2 2 30 10" xfId="21156" xr:uid="{00000000-0005-0000-0000-0000934F0000}"/>
    <cellStyle name="Normal 2 2 2 2 30 11" xfId="21157" xr:uid="{00000000-0005-0000-0000-0000944F0000}"/>
    <cellStyle name="Normal 2 2 2 2 30 12" xfId="21158" xr:uid="{00000000-0005-0000-0000-0000954F0000}"/>
    <cellStyle name="Normal 2 2 2 2 30 13" xfId="21159" xr:uid="{00000000-0005-0000-0000-0000964F0000}"/>
    <cellStyle name="Normal 2 2 2 2 30 2" xfId="21160" xr:uid="{00000000-0005-0000-0000-0000974F0000}"/>
    <cellStyle name="Normal 2 2 2 2 30 2 2" xfId="21161" xr:uid="{00000000-0005-0000-0000-0000984F0000}"/>
    <cellStyle name="Normal 2 2 2 2 30 2 3" xfId="21162" xr:uid="{00000000-0005-0000-0000-0000994F0000}"/>
    <cellStyle name="Normal 2 2 2 2 30 2 4" xfId="21163" xr:uid="{00000000-0005-0000-0000-00009A4F0000}"/>
    <cellStyle name="Normal 2 2 2 2 30 2 5" xfId="21164" xr:uid="{00000000-0005-0000-0000-00009B4F0000}"/>
    <cellStyle name="Normal 2 2 2 2 30 2 6" xfId="21165" xr:uid="{00000000-0005-0000-0000-00009C4F0000}"/>
    <cellStyle name="Normal 2 2 2 2 30 3" xfId="21166" xr:uid="{00000000-0005-0000-0000-00009D4F0000}"/>
    <cellStyle name="Normal 2 2 2 2 30 3 2" xfId="21167" xr:uid="{00000000-0005-0000-0000-00009E4F0000}"/>
    <cellStyle name="Normal 2 2 2 2 30 3 3" xfId="21168" xr:uid="{00000000-0005-0000-0000-00009F4F0000}"/>
    <cellStyle name="Normal 2 2 2 2 30 3 4" xfId="21169" xr:uid="{00000000-0005-0000-0000-0000A04F0000}"/>
    <cellStyle name="Normal 2 2 2 2 30 3 5" xfId="21170" xr:uid="{00000000-0005-0000-0000-0000A14F0000}"/>
    <cellStyle name="Normal 2 2 2 2 30 3 6" xfId="21171" xr:uid="{00000000-0005-0000-0000-0000A24F0000}"/>
    <cellStyle name="Normal 2 2 2 2 30 4" xfId="21172" xr:uid="{00000000-0005-0000-0000-0000A34F0000}"/>
    <cellStyle name="Normal 2 2 2 2 30 4 2" xfId="21173" xr:uid="{00000000-0005-0000-0000-0000A44F0000}"/>
    <cellStyle name="Normal 2 2 2 2 30 4 3" xfId="21174" xr:uid="{00000000-0005-0000-0000-0000A54F0000}"/>
    <cellStyle name="Normal 2 2 2 2 30 4 4" xfId="21175" xr:uid="{00000000-0005-0000-0000-0000A64F0000}"/>
    <cellStyle name="Normal 2 2 2 2 30 4 5" xfId="21176" xr:uid="{00000000-0005-0000-0000-0000A74F0000}"/>
    <cellStyle name="Normal 2 2 2 2 30 4 6" xfId="21177" xr:uid="{00000000-0005-0000-0000-0000A84F0000}"/>
    <cellStyle name="Normal 2 2 2 2 30 5" xfId="21178" xr:uid="{00000000-0005-0000-0000-0000A94F0000}"/>
    <cellStyle name="Normal 2 2 2 2 30 5 2" xfId="21179" xr:uid="{00000000-0005-0000-0000-0000AA4F0000}"/>
    <cellStyle name="Normal 2 2 2 2 30 5 3" xfId="21180" xr:uid="{00000000-0005-0000-0000-0000AB4F0000}"/>
    <cellStyle name="Normal 2 2 2 2 30 5 4" xfId="21181" xr:uid="{00000000-0005-0000-0000-0000AC4F0000}"/>
    <cellStyle name="Normal 2 2 2 2 30 5 5" xfId="21182" xr:uid="{00000000-0005-0000-0000-0000AD4F0000}"/>
    <cellStyle name="Normal 2 2 2 2 30 5 6" xfId="21183" xr:uid="{00000000-0005-0000-0000-0000AE4F0000}"/>
    <cellStyle name="Normal 2 2 2 2 30 6" xfId="21184" xr:uid="{00000000-0005-0000-0000-0000AF4F0000}"/>
    <cellStyle name="Normal 2 2 2 2 30 6 2" xfId="21185" xr:uid="{00000000-0005-0000-0000-0000B04F0000}"/>
    <cellStyle name="Normal 2 2 2 2 30 6 3" xfId="21186" xr:uid="{00000000-0005-0000-0000-0000B14F0000}"/>
    <cellStyle name="Normal 2 2 2 2 30 6 4" xfId="21187" xr:uid="{00000000-0005-0000-0000-0000B24F0000}"/>
    <cellStyle name="Normal 2 2 2 2 30 6 5" xfId="21188" xr:uid="{00000000-0005-0000-0000-0000B34F0000}"/>
    <cellStyle name="Normal 2 2 2 2 30 6 6" xfId="21189" xr:uid="{00000000-0005-0000-0000-0000B44F0000}"/>
    <cellStyle name="Normal 2 2 2 2 30 7" xfId="21190" xr:uid="{00000000-0005-0000-0000-0000B54F0000}"/>
    <cellStyle name="Normal 2 2 2 2 30 7 2" xfId="21191" xr:uid="{00000000-0005-0000-0000-0000B64F0000}"/>
    <cellStyle name="Normal 2 2 2 2 30 7 3" xfId="21192" xr:uid="{00000000-0005-0000-0000-0000B74F0000}"/>
    <cellStyle name="Normal 2 2 2 2 30 7 4" xfId="21193" xr:uid="{00000000-0005-0000-0000-0000B84F0000}"/>
    <cellStyle name="Normal 2 2 2 2 30 7 5" xfId="21194" xr:uid="{00000000-0005-0000-0000-0000B94F0000}"/>
    <cellStyle name="Normal 2 2 2 2 30 7 6" xfId="21195" xr:uid="{00000000-0005-0000-0000-0000BA4F0000}"/>
    <cellStyle name="Normal 2 2 2 2 30 8" xfId="21196" xr:uid="{00000000-0005-0000-0000-0000BB4F0000}"/>
    <cellStyle name="Normal 2 2 2 2 30 8 2" xfId="21197" xr:uid="{00000000-0005-0000-0000-0000BC4F0000}"/>
    <cellStyle name="Normal 2 2 2 2 30 8 3" xfId="21198" xr:uid="{00000000-0005-0000-0000-0000BD4F0000}"/>
    <cellStyle name="Normal 2 2 2 2 30 8 4" xfId="21199" xr:uid="{00000000-0005-0000-0000-0000BE4F0000}"/>
    <cellStyle name="Normal 2 2 2 2 30 8 5" xfId="21200" xr:uid="{00000000-0005-0000-0000-0000BF4F0000}"/>
    <cellStyle name="Normal 2 2 2 2 30 8 6" xfId="21201" xr:uid="{00000000-0005-0000-0000-0000C04F0000}"/>
    <cellStyle name="Normal 2 2 2 2 30 9" xfId="21202" xr:uid="{00000000-0005-0000-0000-0000C14F0000}"/>
    <cellStyle name="Normal 2 2 2 2 31" xfId="21203" xr:uid="{00000000-0005-0000-0000-0000C24F0000}"/>
    <cellStyle name="Normal 2 2 2 2 31 10" xfId="21204" xr:uid="{00000000-0005-0000-0000-0000C34F0000}"/>
    <cellStyle name="Normal 2 2 2 2 31 11" xfId="21205" xr:uid="{00000000-0005-0000-0000-0000C44F0000}"/>
    <cellStyle name="Normal 2 2 2 2 31 12" xfId="21206" xr:uid="{00000000-0005-0000-0000-0000C54F0000}"/>
    <cellStyle name="Normal 2 2 2 2 31 13" xfId="21207" xr:uid="{00000000-0005-0000-0000-0000C64F0000}"/>
    <cellStyle name="Normal 2 2 2 2 31 2" xfId="21208" xr:uid="{00000000-0005-0000-0000-0000C74F0000}"/>
    <cellStyle name="Normal 2 2 2 2 31 2 2" xfId="21209" xr:uid="{00000000-0005-0000-0000-0000C84F0000}"/>
    <cellStyle name="Normal 2 2 2 2 31 2 3" xfId="21210" xr:uid="{00000000-0005-0000-0000-0000C94F0000}"/>
    <cellStyle name="Normal 2 2 2 2 31 2 4" xfId="21211" xr:uid="{00000000-0005-0000-0000-0000CA4F0000}"/>
    <cellStyle name="Normal 2 2 2 2 31 2 5" xfId="21212" xr:uid="{00000000-0005-0000-0000-0000CB4F0000}"/>
    <cellStyle name="Normal 2 2 2 2 31 2 6" xfId="21213" xr:uid="{00000000-0005-0000-0000-0000CC4F0000}"/>
    <cellStyle name="Normal 2 2 2 2 31 3" xfId="21214" xr:uid="{00000000-0005-0000-0000-0000CD4F0000}"/>
    <cellStyle name="Normal 2 2 2 2 31 3 2" xfId="21215" xr:uid="{00000000-0005-0000-0000-0000CE4F0000}"/>
    <cellStyle name="Normal 2 2 2 2 31 3 3" xfId="21216" xr:uid="{00000000-0005-0000-0000-0000CF4F0000}"/>
    <cellStyle name="Normal 2 2 2 2 31 3 4" xfId="21217" xr:uid="{00000000-0005-0000-0000-0000D04F0000}"/>
    <cellStyle name="Normal 2 2 2 2 31 3 5" xfId="21218" xr:uid="{00000000-0005-0000-0000-0000D14F0000}"/>
    <cellStyle name="Normal 2 2 2 2 31 3 6" xfId="21219" xr:uid="{00000000-0005-0000-0000-0000D24F0000}"/>
    <cellStyle name="Normal 2 2 2 2 31 4" xfId="21220" xr:uid="{00000000-0005-0000-0000-0000D34F0000}"/>
    <cellStyle name="Normal 2 2 2 2 31 4 2" xfId="21221" xr:uid="{00000000-0005-0000-0000-0000D44F0000}"/>
    <cellStyle name="Normal 2 2 2 2 31 4 3" xfId="21222" xr:uid="{00000000-0005-0000-0000-0000D54F0000}"/>
    <cellStyle name="Normal 2 2 2 2 31 4 4" xfId="21223" xr:uid="{00000000-0005-0000-0000-0000D64F0000}"/>
    <cellStyle name="Normal 2 2 2 2 31 4 5" xfId="21224" xr:uid="{00000000-0005-0000-0000-0000D74F0000}"/>
    <cellStyle name="Normal 2 2 2 2 31 4 6" xfId="21225" xr:uid="{00000000-0005-0000-0000-0000D84F0000}"/>
    <cellStyle name="Normal 2 2 2 2 31 5" xfId="21226" xr:uid="{00000000-0005-0000-0000-0000D94F0000}"/>
    <cellStyle name="Normal 2 2 2 2 31 5 2" xfId="21227" xr:uid="{00000000-0005-0000-0000-0000DA4F0000}"/>
    <cellStyle name="Normal 2 2 2 2 31 5 3" xfId="21228" xr:uid="{00000000-0005-0000-0000-0000DB4F0000}"/>
    <cellStyle name="Normal 2 2 2 2 31 5 4" xfId="21229" xr:uid="{00000000-0005-0000-0000-0000DC4F0000}"/>
    <cellStyle name="Normal 2 2 2 2 31 5 5" xfId="21230" xr:uid="{00000000-0005-0000-0000-0000DD4F0000}"/>
    <cellStyle name="Normal 2 2 2 2 31 5 6" xfId="21231" xr:uid="{00000000-0005-0000-0000-0000DE4F0000}"/>
    <cellStyle name="Normal 2 2 2 2 31 6" xfId="21232" xr:uid="{00000000-0005-0000-0000-0000DF4F0000}"/>
    <cellStyle name="Normal 2 2 2 2 31 6 2" xfId="21233" xr:uid="{00000000-0005-0000-0000-0000E04F0000}"/>
    <cellStyle name="Normal 2 2 2 2 31 6 3" xfId="21234" xr:uid="{00000000-0005-0000-0000-0000E14F0000}"/>
    <cellStyle name="Normal 2 2 2 2 31 6 4" xfId="21235" xr:uid="{00000000-0005-0000-0000-0000E24F0000}"/>
    <cellStyle name="Normal 2 2 2 2 31 6 5" xfId="21236" xr:uid="{00000000-0005-0000-0000-0000E34F0000}"/>
    <cellStyle name="Normal 2 2 2 2 31 6 6" xfId="21237" xr:uid="{00000000-0005-0000-0000-0000E44F0000}"/>
    <cellStyle name="Normal 2 2 2 2 31 7" xfId="21238" xr:uid="{00000000-0005-0000-0000-0000E54F0000}"/>
    <cellStyle name="Normal 2 2 2 2 31 7 2" xfId="21239" xr:uid="{00000000-0005-0000-0000-0000E64F0000}"/>
    <cellStyle name="Normal 2 2 2 2 31 7 3" xfId="21240" xr:uid="{00000000-0005-0000-0000-0000E74F0000}"/>
    <cellStyle name="Normal 2 2 2 2 31 7 4" xfId="21241" xr:uid="{00000000-0005-0000-0000-0000E84F0000}"/>
    <cellStyle name="Normal 2 2 2 2 31 7 5" xfId="21242" xr:uid="{00000000-0005-0000-0000-0000E94F0000}"/>
    <cellStyle name="Normal 2 2 2 2 31 7 6" xfId="21243" xr:uid="{00000000-0005-0000-0000-0000EA4F0000}"/>
    <cellStyle name="Normal 2 2 2 2 31 8" xfId="21244" xr:uid="{00000000-0005-0000-0000-0000EB4F0000}"/>
    <cellStyle name="Normal 2 2 2 2 31 8 2" xfId="21245" xr:uid="{00000000-0005-0000-0000-0000EC4F0000}"/>
    <cellStyle name="Normal 2 2 2 2 31 8 3" xfId="21246" xr:uid="{00000000-0005-0000-0000-0000ED4F0000}"/>
    <cellStyle name="Normal 2 2 2 2 31 8 4" xfId="21247" xr:uid="{00000000-0005-0000-0000-0000EE4F0000}"/>
    <cellStyle name="Normal 2 2 2 2 31 8 5" xfId="21248" xr:uid="{00000000-0005-0000-0000-0000EF4F0000}"/>
    <cellStyle name="Normal 2 2 2 2 31 8 6" xfId="21249" xr:uid="{00000000-0005-0000-0000-0000F04F0000}"/>
    <cellStyle name="Normal 2 2 2 2 31 9" xfId="21250" xr:uid="{00000000-0005-0000-0000-0000F14F0000}"/>
    <cellStyle name="Normal 2 2 2 2 32" xfId="21251" xr:uid="{00000000-0005-0000-0000-0000F24F0000}"/>
    <cellStyle name="Normal 2 2 2 2 32 10" xfId="21252" xr:uid="{00000000-0005-0000-0000-0000F34F0000}"/>
    <cellStyle name="Normal 2 2 2 2 32 11" xfId="21253" xr:uid="{00000000-0005-0000-0000-0000F44F0000}"/>
    <cellStyle name="Normal 2 2 2 2 32 12" xfId="21254" xr:uid="{00000000-0005-0000-0000-0000F54F0000}"/>
    <cellStyle name="Normal 2 2 2 2 32 13" xfId="21255" xr:uid="{00000000-0005-0000-0000-0000F64F0000}"/>
    <cellStyle name="Normal 2 2 2 2 32 2" xfId="21256" xr:uid="{00000000-0005-0000-0000-0000F74F0000}"/>
    <cellStyle name="Normal 2 2 2 2 32 2 2" xfId="21257" xr:uid="{00000000-0005-0000-0000-0000F84F0000}"/>
    <cellStyle name="Normal 2 2 2 2 32 2 3" xfId="21258" xr:uid="{00000000-0005-0000-0000-0000F94F0000}"/>
    <cellStyle name="Normal 2 2 2 2 32 2 4" xfId="21259" xr:uid="{00000000-0005-0000-0000-0000FA4F0000}"/>
    <cellStyle name="Normal 2 2 2 2 32 2 5" xfId="21260" xr:uid="{00000000-0005-0000-0000-0000FB4F0000}"/>
    <cellStyle name="Normal 2 2 2 2 32 2 6" xfId="21261" xr:uid="{00000000-0005-0000-0000-0000FC4F0000}"/>
    <cellStyle name="Normal 2 2 2 2 32 3" xfId="21262" xr:uid="{00000000-0005-0000-0000-0000FD4F0000}"/>
    <cellStyle name="Normal 2 2 2 2 32 3 2" xfId="21263" xr:uid="{00000000-0005-0000-0000-0000FE4F0000}"/>
    <cellStyle name="Normal 2 2 2 2 32 3 3" xfId="21264" xr:uid="{00000000-0005-0000-0000-0000FF4F0000}"/>
    <cellStyle name="Normal 2 2 2 2 32 3 4" xfId="21265" xr:uid="{00000000-0005-0000-0000-000000500000}"/>
    <cellStyle name="Normal 2 2 2 2 32 3 5" xfId="21266" xr:uid="{00000000-0005-0000-0000-000001500000}"/>
    <cellStyle name="Normal 2 2 2 2 32 3 6" xfId="21267" xr:uid="{00000000-0005-0000-0000-000002500000}"/>
    <cellStyle name="Normal 2 2 2 2 32 4" xfId="21268" xr:uid="{00000000-0005-0000-0000-000003500000}"/>
    <cellStyle name="Normal 2 2 2 2 32 4 2" xfId="21269" xr:uid="{00000000-0005-0000-0000-000004500000}"/>
    <cellStyle name="Normal 2 2 2 2 32 4 3" xfId="21270" xr:uid="{00000000-0005-0000-0000-000005500000}"/>
    <cellStyle name="Normal 2 2 2 2 32 4 4" xfId="21271" xr:uid="{00000000-0005-0000-0000-000006500000}"/>
    <cellStyle name="Normal 2 2 2 2 32 4 5" xfId="21272" xr:uid="{00000000-0005-0000-0000-000007500000}"/>
    <cellStyle name="Normal 2 2 2 2 32 4 6" xfId="21273" xr:uid="{00000000-0005-0000-0000-000008500000}"/>
    <cellStyle name="Normal 2 2 2 2 32 5" xfId="21274" xr:uid="{00000000-0005-0000-0000-000009500000}"/>
    <cellStyle name="Normal 2 2 2 2 32 5 2" xfId="21275" xr:uid="{00000000-0005-0000-0000-00000A500000}"/>
    <cellStyle name="Normal 2 2 2 2 32 5 3" xfId="21276" xr:uid="{00000000-0005-0000-0000-00000B500000}"/>
    <cellStyle name="Normal 2 2 2 2 32 5 4" xfId="21277" xr:uid="{00000000-0005-0000-0000-00000C500000}"/>
    <cellStyle name="Normal 2 2 2 2 32 5 5" xfId="21278" xr:uid="{00000000-0005-0000-0000-00000D500000}"/>
    <cellStyle name="Normal 2 2 2 2 32 5 6" xfId="21279" xr:uid="{00000000-0005-0000-0000-00000E500000}"/>
    <cellStyle name="Normal 2 2 2 2 32 6" xfId="21280" xr:uid="{00000000-0005-0000-0000-00000F500000}"/>
    <cellStyle name="Normal 2 2 2 2 32 6 2" xfId="21281" xr:uid="{00000000-0005-0000-0000-000010500000}"/>
    <cellStyle name="Normal 2 2 2 2 32 6 3" xfId="21282" xr:uid="{00000000-0005-0000-0000-000011500000}"/>
    <cellStyle name="Normal 2 2 2 2 32 6 4" xfId="21283" xr:uid="{00000000-0005-0000-0000-000012500000}"/>
    <cellStyle name="Normal 2 2 2 2 32 6 5" xfId="21284" xr:uid="{00000000-0005-0000-0000-000013500000}"/>
    <cellStyle name="Normal 2 2 2 2 32 6 6" xfId="21285" xr:uid="{00000000-0005-0000-0000-000014500000}"/>
    <cellStyle name="Normal 2 2 2 2 32 7" xfId="21286" xr:uid="{00000000-0005-0000-0000-000015500000}"/>
    <cellStyle name="Normal 2 2 2 2 32 7 2" xfId="21287" xr:uid="{00000000-0005-0000-0000-000016500000}"/>
    <cellStyle name="Normal 2 2 2 2 32 7 3" xfId="21288" xr:uid="{00000000-0005-0000-0000-000017500000}"/>
    <cellStyle name="Normal 2 2 2 2 32 7 4" xfId="21289" xr:uid="{00000000-0005-0000-0000-000018500000}"/>
    <cellStyle name="Normal 2 2 2 2 32 7 5" xfId="21290" xr:uid="{00000000-0005-0000-0000-000019500000}"/>
    <cellStyle name="Normal 2 2 2 2 32 7 6" xfId="21291" xr:uid="{00000000-0005-0000-0000-00001A500000}"/>
    <cellStyle name="Normal 2 2 2 2 32 8" xfId="21292" xr:uid="{00000000-0005-0000-0000-00001B500000}"/>
    <cellStyle name="Normal 2 2 2 2 32 8 2" xfId="21293" xr:uid="{00000000-0005-0000-0000-00001C500000}"/>
    <cellStyle name="Normal 2 2 2 2 32 8 3" xfId="21294" xr:uid="{00000000-0005-0000-0000-00001D500000}"/>
    <cellStyle name="Normal 2 2 2 2 32 8 4" xfId="21295" xr:uid="{00000000-0005-0000-0000-00001E500000}"/>
    <cellStyle name="Normal 2 2 2 2 32 8 5" xfId="21296" xr:uid="{00000000-0005-0000-0000-00001F500000}"/>
    <cellStyle name="Normal 2 2 2 2 32 8 6" xfId="21297" xr:uid="{00000000-0005-0000-0000-000020500000}"/>
    <cellStyle name="Normal 2 2 2 2 32 9" xfId="21298" xr:uid="{00000000-0005-0000-0000-000021500000}"/>
    <cellStyle name="Normal 2 2 2 2 33" xfId="21299" xr:uid="{00000000-0005-0000-0000-000022500000}"/>
    <cellStyle name="Normal 2 2 2 2 33 10" xfId="21300" xr:uid="{00000000-0005-0000-0000-000023500000}"/>
    <cellStyle name="Normal 2 2 2 2 33 11" xfId="21301" xr:uid="{00000000-0005-0000-0000-000024500000}"/>
    <cellStyle name="Normal 2 2 2 2 33 12" xfId="21302" xr:uid="{00000000-0005-0000-0000-000025500000}"/>
    <cellStyle name="Normal 2 2 2 2 33 13" xfId="21303" xr:uid="{00000000-0005-0000-0000-000026500000}"/>
    <cellStyle name="Normal 2 2 2 2 33 2" xfId="21304" xr:uid="{00000000-0005-0000-0000-000027500000}"/>
    <cellStyle name="Normal 2 2 2 2 33 2 2" xfId="21305" xr:uid="{00000000-0005-0000-0000-000028500000}"/>
    <cellStyle name="Normal 2 2 2 2 33 2 3" xfId="21306" xr:uid="{00000000-0005-0000-0000-000029500000}"/>
    <cellStyle name="Normal 2 2 2 2 33 2 4" xfId="21307" xr:uid="{00000000-0005-0000-0000-00002A500000}"/>
    <cellStyle name="Normal 2 2 2 2 33 2 5" xfId="21308" xr:uid="{00000000-0005-0000-0000-00002B500000}"/>
    <cellStyle name="Normal 2 2 2 2 33 2 6" xfId="21309" xr:uid="{00000000-0005-0000-0000-00002C500000}"/>
    <cellStyle name="Normal 2 2 2 2 33 3" xfId="21310" xr:uid="{00000000-0005-0000-0000-00002D500000}"/>
    <cellStyle name="Normal 2 2 2 2 33 3 2" xfId="21311" xr:uid="{00000000-0005-0000-0000-00002E500000}"/>
    <cellStyle name="Normal 2 2 2 2 33 3 3" xfId="21312" xr:uid="{00000000-0005-0000-0000-00002F500000}"/>
    <cellStyle name="Normal 2 2 2 2 33 3 4" xfId="21313" xr:uid="{00000000-0005-0000-0000-000030500000}"/>
    <cellStyle name="Normal 2 2 2 2 33 3 5" xfId="21314" xr:uid="{00000000-0005-0000-0000-000031500000}"/>
    <cellStyle name="Normal 2 2 2 2 33 3 6" xfId="21315" xr:uid="{00000000-0005-0000-0000-000032500000}"/>
    <cellStyle name="Normal 2 2 2 2 33 4" xfId="21316" xr:uid="{00000000-0005-0000-0000-000033500000}"/>
    <cellStyle name="Normal 2 2 2 2 33 4 2" xfId="21317" xr:uid="{00000000-0005-0000-0000-000034500000}"/>
    <cellStyle name="Normal 2 2 2 2 33 4 3" xfId="21318" xr:uid="{00000000-0005-0000-0000-000035500000}"/>
    <cellStyle name="Normal 2 2 2 2 33 4 4" xfId="21319" xr:uid="{00000000-0005-0000-0000-000036500000}"/>
    <cellStyle name="Normal 2 2 2 2 33 4 5" xfId="21320" xr:uid="{00000000-0005-0000-0000-000037500000}"/>
    <cellStyle name="Normal 2 2 2 2 33 4 6" xfId="21321" xr:uid="{00000000-0005-0000-0000-000038500000}"/>
    <cellStyle name="Normal 2 2 2 2 33 5" xfId="21322" xr:uid="{00000000-0005-0000-0000-000039500000}"/>
    <cellStyle name="Normal 2 2 2 2 33 5 2" xfId="21323" xr:uid="{00000000-0005-0000-0000-00003A500000}"/>
    <cellStyle name="Normal 2 2 2 2 33 5 3" xfId="21324" xr:uid="{00000000-0005-0000-0000-00003B500000}"/>
    <cellStyle name="Normal 2 2 2 2 33 5 4" xfId="21325" xr:uid="{00000000-0005-0000-0000-00003C500000}"/>
    <cellStyle name="Normal 2 2 2 2 33 5 5" xfId="21326" xr:uid="{00000000-0005-0000-0000-00003D500000}"/>
    <cellStyle name="Normal 2 2 2 2 33 5 6" xfId="21327" xr:uid="{00000000-0005-0000-0000-00003E500000}"/>
    <cellStyle name="Normal 2 2 2 2 33 6" xfId="21328" xr:uid="{00000000-0005-0000-0000-00003F500000}"/>
    <cellStyle name="Normal 2 2 2 2 33 6 2" xfId="21329" xr:uid="{00000000-0005-0000-0000-000040500000}"/>
    <cellStyle name="Normal 2 2 2 2 33 6 3" xfId="21330" xr:uid="{00000000-0005-0000-0000-000041500000}"/>
    <cellStyle name="Normal 2 2 2 2 33 6 4" xfId="21331" xr:uid="{00000000-0005-0000-0000-000042500000}"/>
    <cellStyle name="Normal 2 2 2 2 33 6 5" xfId="21332" xr:uid="{00000000-0005-0000-0000-000043500000}"/>
    <cellStyle name="Normal 2 2 2 2 33 6 6" xfId="21333" xr:uid="{00000000-0005-0000-0000-000044500000}"/>
    <cellStyle name="Normal 2 2 2 2 33 7" xfId="21334" xr:uid="{00000000-0005-0000-0000-000045500000}"/>
    <cellStyle name="Normal 2 2 2 2 33 7 2" xfId="21335" xr:uid="{00000000-0005-0000-0000-000046500000}"/>
    <cellStyle name="Normal 2 2 2 2 33 7 3" xfId="21336" xr:uid="{00000000-0005-0000-0000-000047500000}"/>
    <cellStyle name="Normal 2 2 2 2 33 7 4" xfId="21337" xr:uid="{00000000-0005-0000-0000-000048500000}"/>
    <cellStyle name="Normal 2 2 2 2 33 7 5" xfId="21338" xr:uid="{00000000-0005-0000-0000-000049500000}"/>
    <cellStyle name="Normal 2 2 2 2 33 7 6" xfId="21339" xr:uid="{00000000-0005-0000-0000-00004A500000}"/>
    <cellStyle name="Normal 2 2 2 2 33 8" xfId="21340" xr:uid="{00000000-0005-0000-0000-00004B500000}"/>
    <cellStyle name="Normal 2 2 2 2 33 8 2" xfId="21341" xr:uid="{00000000-0005-0000-0000-00004C500000}"/>
    <cellStyle name="Normal 2 2 2 2 33 8 3" xfId="21342" xr:uid="{00000000-0005-0000-0000-00004D500000}"/>
    <cellStyle name="Normal 2 2 2 2 33 8 4" xfId="21343" xr:uid="{00000000-0005-0000-0000-00004E500000}"/>
    <cellStyle name="Normal 2 2 2 2 33 8 5" xfId="21344" xr:uid="{00000000-0005-0000-0000-00004F500000}"/>
    <cellStyle name="Normal 2 2 2 2 33 8 6" xfId="21345" xr:uid="{00000000-0005-0000-0000-000050500000}"/>
    <cellStyle name="Normal 2 2 2 2 33 9" xfId="21346" xr:uid="{00000000-0005-0000-0000-000051500000}"/>
    <cellStyle name="Normal 2 2 2 2 34" xfId="21347" xr:uid="{00000000-0005-0000-0000-000052500000}"/>
    <cellStyle name="Normal 2 2 2 2 34 10" xfId="21348" xr:uid="{00000000-0005-0000-0000-000053500000}"/>
    <cellStyle name="Normal 2 2 2 2 34 11" xfId="21349" xr:uid="{00000000-0005-0000-0000-000054500000}"/>
    <cellStyle name="Normal 2 2 2 2 34 12" xfId="21350" xr:uid="{00000000-0005-0000-0000-000055500000}"/>
    <cellStyle name="Normal 2 2 2 2 34 13" xfId="21351" xr:uid="{00000000-0005-0000-0000-000056500000}"/>
    <cellStyle name="Normal 2 2 2 2 34 2" xfId="21352" xr:uid="{00000000-0005-0000-0000-000057500000}"/>
    <cellStyle name="Normal 2 2 2 2 34 2 2" xfId="21353" xr:uid="{00000000-0005-0000-0000-000058500000}"/>
    <cellStyle name="Normal 2 2 2 2 34 2 3" xfId="21354" xr:uid="{00000000-0005-0000-0000-000059500000}"/>
    <cellStyle name="Normal 2 2 2 2 34 2 4" xfId="21355" xr:uid="{00000000-0005-0000-0000-00005A500000}"/>
    <cellStyle name="Normal 2 2 2 2 34 2 5" xfId="21356" xr:uid="{00000000-0005-0000-0000-00005B500000}"/>
    <cellStyle name="Normal 2 2 2 2 34 2 6" xfId="21357" xr:uid="{00000000-0005-0000-0000-00005C500000}"/>
    <cellStyle name="Normal 2 2 2 2 34 3" xfId="21358" xr:uid="{00000000-0005-0000-0000-00005D500000}"/>
    <cellStyle name="Normal 2 2 2 2 34 3 2" xfId="21359" xr:uid="{00000000-0005-0000-0000-00005E500000}"/>
    <cellStyle name="Normal 2 2 2 2 34 3 3" xfId="21360" xr:uid="{00000000-0005-0000-0000-00005F500000}"/>
    <cellStyle name="Normal 2 2 2 2 34 3 4" xfId="21361" xr:uid="{00000000-0005-0000-0000-000060500000}"/>
    <cellStyle name="Normal 2 2 2 2 34 3 5" xfId="21362" xr:uid="{00000000-0005-0000-0000-000061500000}"/>
    <cellStyle name="Normal 2 2 2 2 34 3 6" xfId="21363" xr:uid="{00000000-0005-0000-0000-000062500000}"/>
    <cellStyle name="Normal 2 2 2 2 34 4" xfId="21364" xr:uid="{00000000-0005-0000-0000-000063500000}"/>
    <cellStyle name="Normal 2 2 2 2 34 4 2" xfId="21365" xr:uid="{00000000-0005-0000-0000-000064500000}"/>
    <cellStyle name="Normal 2 2 2 2 34 4 3" xfId="21366" xr:uid="{00000000-0005-0000-0000-000065500000}"/>
    <cellStyle name="Normal 2 2 2 2 34 4 4" xfId="21367" xr:uid="{00000000-0005-0000-0000-000066500000}"/>
    <cellStyle name="Normal 2 2 2 2 34 4 5" xfId="21368" xr:uid="{00000000-0005-0000-0000-000067500000}"/>
    <cellStyle name="Normal 2 2 2 2 34 4 6" xfId="21369" xr:uid="{00000000-0005-0000-0000-000068500000}"/>
    <cellStyle name="Normal 2 2 2 2 34 5" xfId="21370" xr:uid="{00000000-0005-0000-0000-000069500000}"/>
    <cellStyle name="Normal 2 2 2 2 34 5 2" xfId="21371" xr:uid="{00000000-0005-0000-0000-00006A500000}"/>
    <cellStyle name="Normal 2 2 2 2 34 5 3" xfId="21372" xr:uid="{00000000-0005-0000-0000-00006B500000}"/>
    <cellStyle name="Normal 2 2 2 2 34 5 4" xfId="21373" xr:uid="{00000000-0005-0000-0000-00006C500000}"/>
    <cellStyle name="Normal 2 2 2 2 34 5 5" xfId="21374" xr:uid="{00000000-0005-0000-0000-00006D500000}"/>
    <cellStyle name="Normal 2 2 2 2 34 5 6" xfId="21375" xr:uid="{00000000-0005-0000-0000-00006E500000}"/>
    <cellStyle name="Normal 2 2 2 2 34 6" xfId="21376" xr:uid="{00000000-0005-0000-0000-00006F500000}"/>
    <cellStyle name="Normal 2 2 2 2 34 6 2" xfId="21377" xr:uid="{00000000-0005-0000-0000-000070500000}"/>
    <cellStyle name="Normal 2 2 2 2 34 6 3" xfId="21378" xr:uid="{00000000-0005-0000-0000-000071500000}"/>
    <cellStyle name="Normal 2 2 2 2 34 6 4" xfId="21379" xr:uid="{00000000-0005-0000-0000-000072500000}"/>
    <cellStyle name="Normal 2 2 2 2 34 6 5" xfId="21380" xr:uid="{00000000-0005-0000-0000-000073500000}"/>
    <cellStyle name="Normal 2 2 2 2 34 6 6" xfId="21381" xr:uid="{00000000-0005-0000-0000-000074500000}"/>
    <cellStyle name="Normal 2 2 2 2 34 7" xfId="21382" xr:uid="{00000000-0005-0000-0000-000075500000}"/>
    <cellStyle name="Normal 2 2 2 2 34 7 2" xfId="21383" xr:uid="{00000000-0005-0000-0000-000076500000}"/>
    <cellStyle name="Normal 2 2 2 2 34 7 3" xfId="21384" xr:uid="{00000000-0005-0000-0000-000077500000}"/>
    <cellStyle name="Normal 2 2 2 2 34 7 4" xfId="21385" xr:uid="{00000000-0005-0000-0000-000078500000}"/>
    <cellStyle name="Normal 2 2 2 2 34 7 5" xfId="21386" xr:uid="{00000000-0005-0000-0000-000079500000}"/>
    <cellStyle name="Normal 2 2 2 2 34 7 6" xfId="21387" xr:uid="{00000000-0005-0000-0000-00007A500000}"/>
    <cellStyle name="Normal 2 2 2 2 34 8" xfId="21388" xr:uid="{00000000-0005-0000-0000-00007B500000}"/>
    <cellStyle name="Normal 2 2 2 2 34 8 2" xfId="21389" xr:uid="{00000000-0005-0000-0000-00007C500000}"/>
    <cellStyle name="Normal 2 2 2 2 34 8 3" xfId="21390" xr:uid="{00000000-0005-0000-0000-00007D500000}"/>
    <cellStyle name="Normal 2 2 2 2 34 8 4" xfId="21391" xr:uid="{00000000-0005-0000-0000-00007E500000}"/>
    <cellStyle name="Normal 2 2 2 2 34 8 5" xfId="21392" xr:uid="{00000000-0005-0000-0000-00007F500000}"/>
    <cellStyle name="Normal 2 2 2 2 34 8 6" xfId="21393" xr:uid="{00000000-0005-0000-0000-000080500000}"/>
    <cellStyle name="Normal 2 2 2 2 34 9" xfId="21394" xr:uid="{00000000-0005-0000-0000-000081500000}"/>
    <cellStyle name="Normal 2 2 2 2 35" xfId="21395" xr:uid="{00000000-0005-0000-0000-000082500000}"/>
    <cellStyle name="Normal 2 2 2 2 35 10" xfId="21396" xr:uid="{00000000-0005-0000-0000-000083500000}"/>
    <cellStyle name="Normal 2 2 2 2 35 11" xfId="21397" xr:uid="{00000000-0005-0000-0000-000084500000}"/>
    <cellStyle name="Normal 2 2 2 2 35 12" xfId="21398" xr:uid="{00000000-0005-0000-0000-000085500000}"/>
    <cellStyle name="Normal 2 2 2 2 35 13" xfId="21399" xr:uid="{00000000-0005-0000-0000-000086500000}"/>
    <cellStyle name="Normal 2 2 2 2 35 2" xfId="21400" xr:uid="{00000000-0005-0000-0000-000087500000}"/>
    <cellStyle name="Normal 2 2 2 2 35 2 2" xfId="21401" xr:uid="{00000000-0005-0000-0000-000088500000}"/>
    <cellStyle name="Normal 2 2 2 2 35 2 3" xfId="21402" xr:uid="{00000000-0005-0000-0000-000089500000}"/>
    <cellStyle name="Normal 2 2 2 2 35 2 4" xfId="21403" xr:uid="{00000000-0005-0000-0000-00008A500000}"/>
    <cellStyle name="Normal 2 2 2 2 35 2 5" xfId="21404" xr:uid="{00000000-0005-0000-0000-00008B500000}"/>
    <cellStyle name="Normal 2 2 2 2 35 2 6" xfId="21405" xr:uid="{00000000-0005-0000-0000-00008C500000}"/>
    <cellStyle name="Normal 2 2 2 2 35 3" xfId="21406" xr:uid="{00000000-0005-0000-0000-00008D500000}"/>
    <cellStyle name="Normal 2 2 2 2 35 3 2" xfId="21407" xr:uid="{00000000-0005-0000-0000-00008E500000}"/>
    <cellStyle name="Normal 2 2 2 2 35 3 3" xfId="21408" xr:uid="{00000000-0005-0000-0000-00008F500000}"/>
    <cellStyle name="Normal 2 2 2 2 35 3 4" xfId="21409" xr:uid="{00000000-0005-0000-0000-000090500000}"/>
    <cellStyle name="Normal 2 2 2 2 35 3 5" xfId="21410" xr:uid="{00000000-0005-0000-0000-000091500000}"/>
    <cellStyle name="Normal 2 2 2 2 35 3 6" xfId="21411" xr:uid="{00000000-0005-0000-0000-000092500000}"/>
    <cellStyle name="Normal 2 2 2 2 35 4" xfId="21412" xr:uid="{00000000-0005-0000-0000-000093500000}"/>
    <cellStyle name="Normal 2 2 2 2 35 4 2" xfId="21413" xr:uid="{00000000-0005-0000-0000-000094500000}"/>
    <cellStyle name="Normal 2 2 2 2 35 4 3" xfId="21414" xr:uid="{00000000-0005-0000-0000-000095500000}"/>
    <cellStyle name="Normal 2 2 2 2 35 4 4" xfId="21415" xr:uid="{00000000-0005-0000-0000-000096500000}"/>
    <cellStyle name="Normal 2 2 2 2 35 4 5" xfId="21416" xr:uid="{00000000-0005-0000-0000-000097500000}"/>
    <cellStyle name="Normal 2 2 2 2 35 4 6" xfId="21417" xr:uid="{00000000-0005-0000-0000-000098500000}"/>
    <cellStyle name="Normal 2 2 2 2 35 5" xfId="21418" xr:uid="{00000000-0005-0000-0000-000099500000}"/>
    <cellStyle name="Normal 2 2 2 2 35 5 2" xfId="21419" xr:uid="{00000000-0005-0000-0000-00009A500000}"/>
    <cellStyle name="Normal 2 2 2 2 35 5 3" xfId="21420" xr:uid="{00000000-0005-0000-0000-00009B500000}"/>
    <cellStyle name="Normal 2 2 2 2 35 5 4" xfId="21421" xr:uid="{00000000-0005-0000-0000-00009C500000}"/>
    <cellStyle name="Normal 2 2 2 2 35 5 5" xfId="21422" xr:uid="{00000000-0005-0000-0000-00009D500000}"/>
    <cellStyle name="Normal 2 2 2 2 35 5 6" xfId="21423" xr:uid="{00000000-0005-0000-0000-00009E500000}"/>
    <cellStyle name="Normal 2 2 2 2 35 6" xfId="21424" xr:uid="{00000000-0005-0000-0000-00009F500000}"/>
    <cellStyle name="Normal 2 2 2 2 35 6 2" xfId="21425" xr:uid="{00000000-0005-0000-0000-0000A0500000}"/>
    <cellStyle name="Normal 2 2 2 2 35 6 3" xfId="21426" xr:uid="{00000000-0005-0000-0000-0000A1500000}"/>
    <cellStyle name="Normal 2 2 2 2 35 6 4" xfId="21427" xr:uid="{00000000-0005-0000-0000-0000A2500000}"/>
    <cellStyle name="Normal 2 2 2 2 35 6 5" xfId="21428" xr:uid="{00000000-0005-0000-0000-0000A3500000}"/>
    <cellStyle name="Normal 2 2 2 2 35 6 6" xfId="21429" xr:uid="{00000000-0005-0000-0000-0000A4500000}"/>
    <cellStyle name="Normal 2 2 2 2 35 7" xfId="21430" xr:uid="{00000000-0005-0000-0000-0000A5500000}"/>
    <cellStyle name="Normal 2 2 2 2 35 7 2" xfId="21431" xr:uid="{00000000-0005-0000-0000-0000A6500000}"/>
    <cellStyle name="Normal 2 2 2 2 35 7 3" xfId="21432" xr:uid="{00000000-0005-0000-0000-0000A7500000}"/>
    <cellStyle name="Normal 2 2 2 2 35 7 4" xfId="21433" xr:uid="{00000000-0005-0000-0000-0000A8500000}"/>
    <cellStyle name="Normal 2 2 2 2 35 7 5" xfId="21434" xr:uid="{00000000-0005-0000-0000-0000A9500000}"/>
    <cellStyle name="Normal 2 2 2 2 35 7 6" xfId="21435" xr:uid="{00000000-0005-0000-0000-0000AA500000}"/>
    <cellStyle name="Normal 2 2 2 2 35 8" xfId="21436" xr:uid="{00000000-0005-0000-0000-0000AB500000}"/>
    <cellStyle name="Normal 2 2 2 2 35 8 2" xfId="21437" xr:uid="{00000000-0005-0000-0000-0000AC500000}"/>
    <cellStyle name="Normal 2 2 2 2 35 8 3" xfId="21438" xr:uid="{00000000-0005-0000-0000-0000AD500000}"/>
    <cellStyle name="Normal 2 2 2 2 35 8 4" xfId="21439" xr:uid="{00000000-0005-0000-0000-0000AE500000}"/>
    <cellStyle name="Normal 2 2 2 2 35 8 5" xfId="21440" xr:uid="{00000000-0005-0000-0000-0000AF500000}"/>
    <cellStyle name="Normal 2 2 2 2 35 8 6" xfId="21441" xr:uid="{00000000-0005-0000-0000-0000B0500000}"/>
    <cellStyle name="Normal 2 2 2 2 35 9" xfId="21442" xr:uid="{00000000-0005-0000-0000-0000B1500000}"/>
    <cellStyle name="Normal 2 2 2 2 36" xfId="21443" xr:uid="{00000000-0005-0000-0000-0000B2500000}"/>
    <cellStyle name="Normal 2 2 2 2 36 10" xfId="21444" xr:uid="{00000000-0005-0000-0000-0000B3500000}"/>
    <cellStyle name="Normal 2 2 2 2 36 11" xfId="21445" xr:uid="{00000000-0005-0000-0000-0000B4500000}"/>
    <cellStyle name="Normal 2 2 2 2 36 12" xfId="21446" xr:uid="{00000000-0005-0000-0000-0000B5500000}"/>
    <cellStyle name="Normal 2 2 2 2 36 13" xfId="21447" xr:uid="{00000000-0005-0000-0000-0000B6500000}"/>
    <cellStyle name="Normal 2 2 2 2 36 2" xfId="21448" xr:uid="{00000000-0005-0000-0000-0000B7500000}"/>
    <cellStyle name="Normal 2 2 2 2 36 2 2" xfId="21449" xr:uid="{00000000-0005-0000-0000-0000B8500000}"/>
    <cellStyle name="Normal 2 2 2 2 36 2 3" xfId="21450" xr:uid="{00000000-0005-0000-0000-0000B9500000}"/>
    <cellStyle name="Normal 2 2 2 2 36 2 4" xfId="21451" xr:uid="{00000000-0005-0000-0000-0000BA500000}"/>
    <cellStyle name="Normal 2 2 2 2 36 2 5" xfId="21452" xr:uid="{00000000-0005-0000-0000-0000BB500000}"/>
    <cellStyle name="Normal 2 2 2 2 36 2 6" xfId="21453" xr:uid="{00000000-0005-0000-0000-0000BC500000}"/>
    <cellStyle name="Normal 2 2 2 2 36 3" xfId="21454" xr:uid="{00000000-0005-0000-0000-0000BD500000}"/>
    <cellStyle name="Normal 2 2 2 2 36 3 2" xfId="21455" xr:uid="{00000000-0005-0000-0000-0000BE500000}"/>
    <cellStyle name="Normal 2 2 2 2 36 3 3" xfId="21456" xr:uid="{00000000-0005-0000-0000-0000BF500000}"/>
    <cellStyle name="Normal 2 2 2 2 36 3 4" xfId="21457" xr:uid="{00000000-0005-0000-0000-0000C0500000}"/>
    <cellStyle name="Normal 2 2 2 2 36 3 5" xfId="21458" xr:uid="{00000000-0005-0000-0000-0000C1500000}"/>
    <cellStyle name="Normal 2 2 2 2 36 3 6" xfId="21459" xr:uid="{00000000-0005-0000-0000-0000C2500000}"/>
    <cellStyle name="Normal 2 2 2 2 36 4" xfId="21460" xr:uid="{00000000-0005-0000-0000-0000C3500000}"/>
    <cellStyle name="Normal 2 2 2 2 36 4 2" xfId="21461" xr:uid="{00000000-0005-0000-0000-0000C4500000}"/>
    <cellStyle name="Normal 2 2 2 2 36 4 3" xfId="21462" xr:uid="{00000000-0005-0000-0000-0000C5500000}"/>
    <cellStyle name="Normal 2 2 2 2 36 4 4" xfId="21463" xr:uid="{00000000-0005-0000-0000-0000C6500000}"/>
    <cellStyle name="Normal 2 2 2 2 36 4 5" xfId="21464" xr:uid="{00000000-0005-0000-0000-0000C7500000}"/>
    <cellStyle name="Normal 2 2 2 2 36 4 6" xfId="21465" xr:uid="{00000000-0005-0000-0000-0000C8500000}"/>
    <cellStyle name="Normal 2 2 2 2 36 5" xfId="21466" xr:uid="{00000000-0005-0000-0000-0000C9500000}"/>
    <cellStyle name="Normal 2 2 2 2 36 5 2" xfId="21467" xr:uid="{00000000-0005-0000-0000-0000CA500000}"/>
    <cellStyle name="Normal 2 2 2 2 36 5 3" xfId="21468" xr:uid="{00000000-0005-0000-0000-0000CB500000}"/>
    <cellStyle name="Normal 2 2 2 2 36 5 4" xfId="21469" xr:uid="{00000000-0005-0000-0000-0000CC500000}"/>
    <cellStyle name="Normal 2 2 2 2 36 5 5" xfId="21470" xr:uid="{00000000-0005-0000-0000-0000CD500000}"/>
    <cellStyle name="Normal 2 2 2 2 36 5 6" xfId="21471" xr:uid="{00000000-0005-0000-0000-0000CE500000}"/>
    <cellStyle name="Normal 2 2 2 2 36 6" xfId="21472" xr:uid="{00000000-0005-0000-0000-0000CF500000}"/>
    <cellStyle name="Normal 2 2 2 2 36 6 2" xfId="21473" xr:uid="{00000000-0005-0000-0000-0000D0500000}"/>
    <cellStyle name="Normal 2 2 2 2 36 6 3" xfId="21474" xr:uid="{00000000-0005-0000-0000-0000D1500000}"/>
    <cellStyle name="Normal 2 2 2 2 36 6 4" xfId="21475" xr:uid="{00000000-0005-0000-0000-0000D2500000}"/>
    <cellStyle name="Normal 2 2 2 2 36 6 5" xfId="21476" xr:uid="{00000000-0005-0000-0000-0000D3500000}"/>
    <cellStyle name="Normal 2 2 2 2 36 6 6" xfId="21477" xr:uid="{00000000-0005-0000-0000-0000D4500000}"/>
    <cellStyle name="Normal 2 2 2 2 36 7" xfId="21478" xr:uid="{00000000-0005-0000-0000-0000D5500000}"/>
    <cellStyle name="Normal 2 2 2 2 36 7 2" xfId="21479" xr:uid="{00000000-0005-0000-0000-0000D6500000}"/>
    <cellStyle name="Normal 2 2 2 2 36 7 3" xfId="21480" xr:uid="{00000000-0005-0000-0000-0000D7500000}"/>
    <cellStyle name="Normal 2 2 2 2 36 7 4" xfId="21481" xr:uid="{00000000-0005-0000-0000-0000D8500000}"/>
    <cellStyle name="Normal 2 2 2 2 36 7 5" xfId="21482" xr:uid="{00000000-0005-0000-0000-0000D9500000}"/>
    <cellStyle name="Normal 2 2 2 2 36 7 6" xfId="21483" xr:uid="{00000000-0005-0000-0000-0000DA500000}"/>
    <cellStyle name="Normal 2 2 2 2 36 8" xfId="21484" xr:uid="{00000000-0005-0000-0000-0000DB500000}"/>
    <cellStyle name="Normal 2 2 2 2 36 8 2" xfId="21485" xr:uid="{00000000-0005-0000-0000-0000DC500000}"/>
    <cellStyle name="Normal 2 2 2 2 36 8 3" xfId="21486" xr:uid="{00000000-0005-0000-0000-0000DD500000}"/>
    <cellStyle name="Normal 2 2 2 2 36 8 4" xfId="21487" xr:uid="{00000000-0005-0000-0000-0000DE500000}"/>
    <cellStyle name="Normal 2 2 2 2 36 8 5" xfId="21488" xr:uid="{00000000-0005-0000-0000-0000DF500000}"/>
    <cellStyle name="Normal 2 2 2 2 36 8 6" xfId="21489" xr:uid="{00000000-0005-0000-0000-0000E0500000}"/>
    <cellStyle name="Normal 2 2 2 2 36 9" xfId="21490" xr:uid="{00000000-0005-0000-0000-0000E1500000}"/>
    <cellStyle name="Normal 2 2 2 2 37" xfId="21491" xr:uid="{00000000-0005-0000-0000-0000E2500000}"/>
    <cellStyle name="Normal 2 2 2 2 37 10" xfId="21492" xr:uid="{00000000-0005-0000-0000-0000E3500000}"/>
    <cellStyle name="Normal 2 2 2 2 37 11" xfId="21493" xr:uid="{00000000-0005-0000-0000-0000E4500000}"/>
    <cellStyle name="Normal 2 2 2 2 37 2" xfId="21494" xr:uid="{00000000-0005-0000-0000-0000E5500000}"/>
    <cellStyle name="Normal 2 2 2 2 37 3" xfId="21495" xr:uid="{00000000-0005-0000-0000-0000E6500000}"/>
    <cellStyle name="Normal 2 2 2 2 37 4" xfId="21496" xr:uid="{00000000-0005-0000-0000-0000E7500000}"/>
    <cellStyle name="Normal 2 2 2 2 37 5" xfId="21497" xr:uid="{00000000-0005-0000-0000-0000E8500000}"/>
    <cellStyle name="Normal 2 2 2 2 37 6" xfId="21498" xr:uid="{00000000-0005-0000-0000-0000E9500000}"/>
    <cellStyle name="Normal 2 2 2 2 37 7" xfId="21499" xr:uid="{00000000-0005-0000-0000-0000EA500000}"/>
    <cellStyle name="Normal 2 2 2 2 37 8" xfId="21500" xr:uid="{00000000-0005-0000-0000-0000EB500000}"/>
    <cellStyle name="Normal 2 2 2 2 37 9" xfId="21501" xr:uid="{00000000-0005-0000-0000-0000EC500000}"/>
    <cellStyle name="Normal 2 2 2 2 38" xfId="21502" xr:uid="{00000000-0005-0000-0000-0000ED500000}"/>
    <cellStyle name="Normal 2 2 2 2 39" xfId="21503" xr:uid="{00000000-0005-0000-0000-0000EE500000}"/>
    <cellStyle name="Normal 2 2 2 2 4" xfId="21504" xr:uid="{00000000-0005-0000-0000-0000EF500000}"/>
    <cellStyle name="Normal 2 2 2 2 4 10" xfId="21505" xr:uid="{00000000-0005-0000-0000-0000F0500000}"/>
    <cellStyle name="Normal 2 2 2 2 4 11" xfId="21506" xr:uid="{00000000-0005-0000-0000-0000F1500000}"/>
    <cellStyle name="Normal 2 2 2 2 4 12" xfId="21507" xr:uid="{00000000-0005-0000-0000-0000F2500000}"/>
    <cellStyle name="Normal 2 2 2 2 4 13" xfId="21508" xr:uid="{00000000-0005-0000-0000-0000F3500000}"/>
    <cellStyle name="Normal 2 2 2 2 4 14" xfId="21509" xr:uid="{00000000-0005-0000-0000-0000F4500000}"/>
    <cellStyle name="Normal 2 2 2 2 4 2" xfId="21510" xr:uid="{00000000-0005-0000-0000-0000F5500000}"/>
    <cellStyle name="Normal 2 2 2 2 4 2 2" xfId="21511" xr:uid="{00000000-0005-0000-0000-0000F6500000}"/>
    <cellStyle name="Normal 2 2 2 2 4 2 3" xfId="21512" xr:uid="{00000000-0005-0000-0000-0000F7500000}"/>
    <cellStyle name="Normal 2 2 2 2 4 2 4" xfId="21513" xr:uid="{00000000-0005-0000-0000-0000F8500000}"/>
    <cellStyle name="Normal 2 2 2 2 4 2 5" xfId="21514" xr:uid="{00000000-0005-0000-0000-0000F9500000}"/>
    <cellStyle name="Normal 2 2 2 2 4 2 6" xfId="21515" xr:uid="{00000000-0005-0000-0000-0000FA500000}"/>
    <cellStyle name="Normal 2 2 2 2 4 3" xfId="21516" xr:uid="{00000000-0005-0000-0000-0000FB500000}"/>
    <cellStyle name="Normal 2 2 2 2 4 3 2" xfId="21517" xr:uid="{00000000-0005-0000-0000-0000FC500000}"/>
    <cellStyle name="Normal 2 2 2 2 4 3 3" xfId="21518" xr:uid="{00000000-0005-0000-0000-0000FD500000}"/>
    <cellStyle name="Normal 2 2 2 2 4 3 4" xfId="21519" xr:uid="{00000000-0005-0000-0000-0000FE500000}"/>
    <cellStyle name="Normal 2 2 2 2 4 3 5" xfId="21520" xr:uid="{00000000-0005-0000-0000-0000FF500000}"/>
    <cellStyle name="Normal 2 2 2 2 4 3 6" xfId="21521" xr:uid="{00000000-0005-0000-0000-000000510000}"/>
    <cellStyle name="Normal 2 2 2 2 4 4" xfId="21522" xr:uid="{00000000-0005-0000-0000-000001510000}"/>
    <cellStyle name="Normal 2 2 2 2 4 4 2" xfId="21523" xr:uid="{00000000-0005-0000-0000-000002510000}"/>
    <cellStyle name="Normal 2 2 2 2 4 4 3" xfId="21524" xr:uid="{00000000-0005-0000-0000-000003510000}"/>
    <cellStyle name="Normal 2 2 2 2 4 4 4" xfId="21525" xr:uid="{00000000-0005-0000-0000-000004510000}"/>
    <cellStyle name="Normal 2 2 2 2 4 4 5" xfId="21526" xr:uid="{00000000-0005-0000-0000-000005510000}"/>
    <cellStyle name="Normal 2 2 2 2 4 4 6" xfId="21527" xr:uid="{00000000-0005-0000-0000-000006510000}"/>
    <cellStyle name="Normal 2 2 2 2 4 5" xfId="21528" xr:uid="{00000000-0005-0000-0000-000007510000}"/>
    <cellStyle name="Normal 2 2 2 2 4 5 2" xfId="21529" xr:uid="{00000000-0005-0000-0000-000008510000}"/>
    <cellStyle name="Normal 2 2 2 2 4 5 3" xfId="21530" xr:uid="{00000000-0005-0000-0000-000009510000}"/>
    <cellStyle name="Normal 2 2 2 2 4 5 4" xfId="21531" xr:uid="{00000000-0005-0000-0000-00000A510000}"/>
    <cellStyle name="Normal 2 2 2 2 4 5 5" xfId="21532" xr:uid="{00000000-0005-0000-0000-00000B510000}"/>
    <cellStyle name="Normal 2 2 2 2 4 5 6" xfId="21533" xr:uid="{00000000-0005-0000-0000-00000C510000}"/>
    <cellStyle name="Normal 2 2 2 2 4 6" xfId="21534" xr:uid="{00000000-0005-0000-0000-00000D510000}"/>
    <cellStyle name="Normal 2 2 2 2 4 6 2" xfId="21535" xr:uid="{00000000-0005-0000-0000-00000E510000}"/>
    <cellStyle name="Normal 2 2 2 2 4 6 3" xfId="21536" xr:uid="{00000000-0005-0000-0000-00000F510000}"/>
    <cellStyle name="Normal 2 2 2 2 4 6 4" xfId="21537" xr:uid="{00000000-0005-0000-0000-000010510000}"/>
    <cellStyle name="Normal 2 2 2 2 4 6 5" xfId="21538" xr:uid="{00000000-0005-0000-0000-000011510000}"/>
    <cellStyle name="Normal 2 2 2 2 4 6 6" xfId="21539" xr:uid="{00000000-0005-0000-0000-000012510000}"/>
    <cellStyle name="Normal 2 2 2 2 4 7" xfId="21540" xr:uid="{00000000-0005-0000-0000-000013510000}"/>
    <cellStyle name="Normal 2 2 2 2 4 7 2" xfId="21541" xr:uid="{00000000-0005-0000-0000-000014510000}"/>
    <cellStyle name="Normal 2 2 2 2 4 7 3" xfId="21542" xr:uid="{00000000-0005-0000-0000-000015510000}"/>
    <cellStyle name="Normal 2 2 2 2 4 7 4" xfId="21543" xr:uid="{00000000-0005-0000-0000-000016510000}"/>
    <cellStyle name="Normal 2 2 2 2 4 7 5" xfId="21544" xr:uid="{00000000-0005-0000-0000-000017510000}"/>
    <cellStyle name="Normal 2 2 2 2 4 7 6" xfId="21545" xr:uid="{00000000-0005-0000-0000-000018510000}"/>
    <cellStyle name="Normal 2 2 2 2 4 8" xfId="21546" xr:uid="{00000000-0005-0000-0000-000019510000}"/>
    <cellStyle name="Normal 2 2 2 2 4 8 2" xfId="21547" xr:uid="{00000000-0005-0000-0000-00001A510000}"/>
    <cellStyle name="Normal 2 2 2 2 4 8 3" xfId="21548" xr:uid="{00000000-0005-0000-0000-00001B510000}"/>
    <cellStyle name="Normal 2 2 2 2 4 8 4" xfId="21549" xr:uid="{00000000-0005-0000-0000-00001C510000}"/>
    <cellStyle name="Normal 2 2 2 2 4 8 5" xfId="21550" xr:uid="{00000000-0005-0000-0000-00001D510000}"/>
    <cellStyle name="Normal 2 2 2 2 4 8 6" xfId="21551" xr:uid="{00000000-0005-0000-0000-00001E510000}"/>
    <cellStyle name="Normal 2 2 2 2 4 9" xfId="21552" xr:uid="{00000000-0005-0000-0000-00001F510000}"/>
    <cellStyle name="Normal 2 2 2 2 40" xfId="21553" xr:uid="{00000000-0005-0000-0000-000020510000}"/>
    <cellStyle name="Normal 2 2 2 2 41" xfId="21554" xr:uid="{00000000-0005-0000-0000-000021510000}"/>
    <cellStyle name="Normal 2 2 2 2 42" xfId="21555" xr:uid="{00000000-0005-0000-0000-000022510000}"/>
    <cellStyle name="Normal 2 2 2 2 43" xfId="21556" xr:uid="{00000000-0005-0000-0000-000023510000}"/>
    <cellStyle name="Normal 2 2 2 2 44" xfId="21557" xr:uid="{00000000-0005-0000-0000-000024510000}"/>
    <cellStyle name="Normal 2 2 2 2 45" xfId="21558" xr:uid="{00000000-0005-0000-0000-000025510000}"/>
    <cellStyle name="Normal 2 2 2 2 46" xfId="21559" xr:uid="{00000000-0005-0000-0000-000026510000}"/>
    <cellStyle name="Normal 2 2 2 2 47" xfId="21560" xr:uid="{00000000-0005-0000-0000-000027510000}"/>
    <cellStyle name="Normal 2 2 2 2 48" xfId="21561" xr:uid="{00000000-0005-0000-0000-000028510000}"/>
    <cellStyle name="Normal 2 2 2 2 49" xfId="21562" xr:uid="{00000000-0005-0000-0000-000029510000}"/>
    <cellStyle name="Normal 2 2 2 2 5" xfId="21563" xr:uid="{00000000-0005-0000-0000-00002A510000}"/>
    <cellStyle name="Normal 2 2 2 2 5 10" xfId="21564" xr:uid="{00000000-0005-0000-0000-00002B510000}"/>
    <cellStyle name="Normal 2 2 2 2 5 11" xfId="21565" xr:uid="{00000000-0005-0000-0000-00002C510000}"/>
    <cellStyle name="Normal 2 2 2 2 5 12" xfId="21566" xr:uid="{00000000-0005-0000-0000-00002D510000}"/>
    <cellStyle name="Normal 2 2 2 2 5 13" xfId="21567" xr:uid="{00000000-0005-0000-0000-00002E510000}"/>
    <cellStyle name="Normal 2 2 2 2 5 2" xfId="21568" xr:uid="{00000000-0005-0000-0000-00002F510000}"/>
    <cellStyle name="Normal 2 2 2 2 5 2 2" xfId="21569" xr:uid="{00000000-0005-0000-0000-000030510000}"/>
    <cellStyle name="Normal 2 2 2 2 5 2 3" xfId="21570" xr:uid="{00000000-0005-0000-0000-000031510000}"/>
    <cellStyle name="Normal 2 2 2 2 5 2 4" xfId="21571" xr:uid="{00000000-0005-0000-0000-000032510000}"/>
    <cellStyle name="Normal 2 2 2 2 5 2 5" xfId="21572" xr:uid="{00000000-0005-0000-0000-000033510000}"/>
    <cellStyle name="Normal 2 2 2 2 5 2 6" xfId="21573" xr:uid="{00000000-0005-0000-0000-000034510000}"/>
    <cellStyle name="Normal 2 2 2 2 5 3" xfId="21574" xr:uid="{00000000-0005-0000-0000-000035510000}"/>
    <cellStyle name="Normal 2 2 2 2 5 3 2" xfId="21575" xr:uid="{00000000-0005-0000-0000-000036510000}"/>
    <cellStyle name="Normal 2 2 2 2 5 3 3" xfId="21576" xr:uid="{00000000-0005-0000-0000-000037510000}"/>
    <cellStyle name="Normal 2 2 2 2 5 3 4" xfId="21577" xr:uid="{00000000-0005-0000-0000-000038510000}"/>
    <cellStyle name="Normal 2 2 2 2 5 3 5" xfId="21578" xr:uid="{00000000-0005-0000-0000-000039510000}"/>
    <cellStyle name="Normal 2 2 2 2 5 3 6" xfId="21579" xr:uid="{00000000-0005-0000-0000-00003A510000}"/>
    <cellStyle name="Normal 2 2 2 2 5 4" xfId="21580" xr:uid="{00000000-0005-0000-0000-00003B510000}"/>
    <cellStyle name="Normal 2 2 2 2 5 4 2" xfId="21581" xr:uid="{00000000-0005-0000-0000-00003C510000}"/>
    <cellStyle name="Normal 2 2 2 2 5 4 3" xfId="21582" xr:uid="{00000000-0005-0000-0000-00003D510000}"/>
    <cellStyle name="Normal 2 2 2 2 5 4 4" xfId="21583" xr:uid="{00000000-0005-0000-0000-00003E510000}"/>
    <cellStyle name="Normal 2 2 2 2 5 4 5" xfId="21584" xr:uid="{00000000-0005-0000-0000-00003F510000}"/>
    <cellStyle name="Normal 2 2 2 2 5 4 6" xfId="21585" xr:uid="{00000000-0005-0000-0000-000040510000}"/>
    <cellStyle name="Normal 2 2 2 2 5 5" xfId="21586" xr:uid="{00000000-0005-0000-0000-000041510000}"/>
    <cellStyle name="Normal 2 2 2 2 5 5 2" xfId="21587" xr:uid="{00000000-0005-0000-0000-000042510000}"/>
    <cellStyle name="Normal 2 2 2 2 5 5 3" xfId="21588" xr:uid="{00000000-0005-0000-0000-000043510000}"/>
    <cellStyle name="Normal 2 2 2 2 5 5 4" xfId="21589" xr:uid="{00000000-0005-0000-0000-000044510000}"/>
    <cellStyle name="Normal 2 2 2 2 5 5 5" xfId="21590" xr:uid="{00000000-0005-0000-0000-000045510000}"/>
    <cellStyle name="Normal 2 2 2 2 5 5 6" xfId="21591" xr:uid="{00000000-0005-0000-0000-000046510000}"/>
    <cellStyle name="Normal 2 2 2 2 5 6" xfId="21592" xr:uid="{00000000-0005-0000-0000-000047510000}"/>
    <cellStyle name="Normal 2 2 2 2 5 6 2" xfId="21593" xr:uid="{00000000-0005-0000-0000-000048510000}"/>
    <cellStyle name="Normal 2 2 2 2 5 6 3" xfId="21594" xr:uid="{00000000-0005-0000-0000-000049510000}"/>
    <cellStyle name="Normal 2 2 2 2 5 6 4" xfId="21595" xr:uid="{00000000-0005-0000-0000-00004A510000}"/>
    <cellStyle name="Normal 2 2 2 2 5 6 5" xfId="21596" xr:uid="{00000000-0005-0000-0000-00004B510000}"/>
    <cellStyle name="Normal 2 2 2 2 5 6 6" xfId="21597" xr:uid="{00000000-0005-0000-0000-00004C510000}"/>
    <cellStyle name="Normal 2 2 2 2 5 7" xfId="21598" xr:uid="{00000000-0005-0000-0000-00004D510000}"/>
    <cellStyle name="Normal 2 2 2 2 5 7 2" xfId="21599" xr:uid="{00000000-0005-0000-0000-00004E510000}"/>
    <cellStyle name="Normal 2 2 2 2 5 7 3" xfId="21600" xr:uid="{00000000-0005-0000-0000-00004F510000}"/>
    <cellStyle name="Normal 2 2 2 2 5 7 4" xfId="21601" xr:uid="{00000000-0005-0000-0000-000050510000}"/>
    <cellStyle name="Normal 2 2 2 2 5 7 5" xfId="21602" xr:uid="{00000000-0005-0000-0000-000051510000}"/>
    <cellStyle name="Normal 2 2 2 2 5 7 6" xfId="21603" xr:uid="{00000000-0005-0000-0000-000052510000}"/>
    <cellStyle name="Normal 2 2 2 2 5 8" xfId="21604" xr:uid="{00000000-0005-0000-0000-000053510000}"/>
    <cellStyle name="Normal 2 2 2 2 5 8 2" xfId="21605" xr:uid="{00000000-0005-0000-0000-000054510000}"/>
    <cellStyle name="Normal 2 2 2 2 5 8 3" xfId="21606" xr:uid="{00000000-0005-0000-0000-000055510000}"/>
    <cellStyle name="Normal 2 2 2 2 5 8 4" xfId="21607" xr:uid="{00000000-0005-0000-0000-000056510000}"/>
    <cellStyle name="Normal 2 2 2 2 5 8 5" xfId="21608" xr:uid="{00000000-0005-0000-0000-000057510000}"/>
    <cellStyle name="Normal 2 2 2 2 5 8 6" xfId="21609" xr:uid="{00000000-0005-0000-0000-000058510000}"/>
    <cellStyle name="Normal 2 2 2 2 5 9" xfId="21610" xr:uid="{00000000-0005-0000-0000-000059510000}"/>
    <cellStyle name="Normal 2 2 2 2 50" xfId="21611" xr:uid="{00000000-0005-0000-0000-00005A510000}"/>
    <cellStyle name="Normal 2 2 2 2 51" xfId="21612" xr:uid="{00000000-0005-0000-0000-00005B510000}"/>
    <cellStyle name="Normal 2 2 2 2 52" xfId="21613" xr:uid="{00000000-0005-0000-0000-00005C510000}"/>
    <cellStyle name="Normal 2 2 2 2 52 2" xfId="21614" xr:uid="{00000000-0005-0000-0000-00005D510000}"/>
    <cellStyle name="Normal 2 2 2 2 52 3" xfId="21615" xr:uid="{00000000-0005-0000-0000-00005E510000}"/>
    <cellStyle name="Normal 2 2 2 2 52 4" xfId="21616" xr:uid="{00000000-0005-0000-0000-00005F510000}"/>
    <cellStyle name="Normal 2 2 2 2 52 5" xfId="21617" xr:uid="{00000000-0005-0000-0000-000060510000}"/>
    <cellStyle name="Normal 2 2 2 2 52 6" xfId="21618" xr:uid="{00000000-0005-0000-0000-000061510000}"/>
    <cellStyle name="Normal 2 2 2 2 53" xfId="21619" xr:uid="{00000000-0005-0000-0000-000062510000}"/>
    <cellStyle name="Normal 2 2 2 2 53 2" xfId="21620" xr:uid="{00000000-0005-0000-0000-000063510000}"/>
    <cellStyle name="Normal 2 2 2 2 53 3" xfId="21621" xr:uid="{00000000-0005-0000-0000-000064510000}"/>
    <cellStyle name="Normal 2 2 2 2 53 4" xfId="21622" xr:uid="{00000000-0005-0000-0000-000065510000}"/>
    <cellStyle name="Normal 2 2 2 2 53 5" xfId="21623" xr:uid="{00000000-0005-0000-0000-000066510000}"/>
    <cellStyle name="Normal 2 2 2 2 53 6" xfId="21624" xr:uid="{00000000-0005-0000-0000-000067510000}"/>
    <cellStyle name="Normal 2 2 2 2 54" xfId="21625" xr:uid="{00000000-0005-0000-0000-000068510000}"/>
    <cellStyle name="Normal 2 2 2 2 54 2" xfId="21626" xr:uid="{00000000-0005-0000-0000-000069510000}"/>
    <cellStyle name="Normal 2 2 2 2 54 3" xfId="21627" xr:uid="{00000000-0005-0000-0000-00006A510000}"/>
    <cellStyle name="Normal 2 2 2 2 54 4" xfId="21628" xr:uid="{00000000-0005-0000-0000-00006B510000}"/>
    <cellStyle name="Normal 2 2 2 2 54 5" xfId="21629" xr:uid="{00000000-0005-0000-0000-00006C510000}"/>
    <cellStyle name="Normal 2 2 2 2 54 6" xfId="21630" xr:uid="{00000000-0005-0000-0000-00006D510000}"/>
    <cellStyle name="Normal 2 2 2 2 55" xfId="21631" xr:uid="{00000000-0005-0000-0000-00006E510000}"/>
    <cellStyle name="Normal 2 2 2 2 55 2" xfId="21632" xr:uid="{00000000-0005-0000-0000-00006F510000}"/>
    <cellStyle name="Normal 2 2 2 2 55 3" xfId="21633" xr:uid="{00000000-0005-0000-0000-000070510000}"/>
    <cellStyle name="Normal 2 2 2 2 55 4" xfId="21634" xr:uid="{00000000-0005-0000-0000-000071510000}"/>
    <cellStyle name="Normal 2 2 2 2 55 5" xfId="21635" xr:uid="{00000000-0005-0000-0000-000072510000}"/>
    <cellStyle name="Normal 2 2 2 2 55 6" xfId="21636" xr:uid="{00000000-0005-0000-0000-000073510000}"/>
    <cellStyle name="Normal 2 2 2 2 56" xfId="21637" xr:uid="{00000000-0005-0000-0000-000074510000}"/>
    <cellStyle name="Normal 2 2 2 2 56 2" xfId="21638" xr:uid="{00000000-0005-0000-0000-000075510000}"/>
    <cellStyle name="Normal 2 2 2 2 56 2 2" xfId="21639" xr:uid="{00000000-0005-0000-0000-000076510000}"/>
    <cellStyle name="Normal 2 2 2 2 56 2 2 2" xfId="21640" xr:uid="{00000000-0005-0000-0000-000077510000}"/>
    <cellStyle name="Normal 2 2 2 2 56 2 2 3" xfId="21641" xr:uid="{00000000-0005-0000-0000-000078510000}"/>
    <cellStyle name="Normal 2 2 2 2 56 2 2 4" xfId="21642" xr:uid="{00000000-0005-0000-0000-000079510000}"/>
    <cellStyle name="Normal 2 2 2 2 56 2 2 5" xfId="21643" xr:uid="{00000000-0005-0000-0000-00007A510000}"/>
    <cellStyle name="Normal 2 2 2 2 56 2 2 6" xfId="21644" xr:uid="{00000000-0005-0000-0000-00007B510000}"/>
    <cellStyle name="Normal 2 2 2 2 56 2 2 7" xfId="21645" xr:uid="{00000000-0005-0000-0000-00007C510000}"/>
    <cellStyle name="Normal 2 2 2 2 56 3" xfId="21646" xr:uid="{00000000-0005-0000-0000-00007D510000}"/>
    <cellStyle name="Normal 2 2 2 2 56 4" xfId="21647" xr:uid="{00000000-0005-0000-0000-00007E510000}"/>
    <cellStyle name="Normal 2 2 2 2 56 5" xfId="21648" xr:uid="{00000000-0005-0000-0000-00007F510000}"/>
    <cellStyle name="Normal 2 2 2 2 56 6" xfId="21649" xr:uid="{00000000-0005-0000-0000-000080510000}"/>
    <cellStyle name="Normal 2 2 2 2 56 7" xfId="21650" xr:uid="{00000000-0005-0000-0000-000081510000}"/>
    <cellStyle name="Normal 2 2 2 2 56 8" xfId="21651" xr:uid="{00000000-0005-0000-0000-000082510000}"/>
    <cellStyle name="Normal 2 2 2 2 57" xfId="21652" xr:uid="{00000000-0005-0000-0000-000083510000}"/>
    <cellStyle name="Normal 2 2 2 2 58" xfId="21653" xr:uid="{00000000-0005-0000-0000-000084510000}"/>
    <cellStyle name="Normal 2 2 2 2 59" xfId="21654" xr:uid="{00000000-0005-0000-0000-000085510000}"/>
    <cellStyle name="Normal 2 2 2 2 6" xfId="21655" xr:uid="{00000000-0005-0000-0000-000086510000}"/>
    <cellStyle name="Normal 2 2 2 2 6 10" xfId="21656" xr:uid="{00000000-0005-0000-0000-000087510000}"/>
    <cellStyle name="Normal 2 2 2 2 6 11" xfId="21657" xr:uid="{00000000-0005-0000-0000-000088510000}"/>
    <cellStyle name="Normal 2 2 2 2 6 12" xfId="21658" xr:uid="{00000000-0005-0000-0000-000089510000}"/>
    <cellStyle name="Normal 2 2 2 2 6 13" xfId="21659" xr:uid="{00000000-0005-0000-0000-00008A510000}"/>
    <cellStyle name="Normal 2 2 2 2 6 2" xfId="21660" xr:uid="{00000000-0005-0000-0000-00008B510000}"/>
    <cellStyle name="Normal 2 2 2 2 6 2 2" xfId="21661" xr:uid="{00000000-0005-0000-0000-00008C510000}"/>
    <cellStyle name="Normal 2 2 2 2 6 2 3" xfId="21662" xr:uid="{00000000-0005-0000-0000-00008D510000}"/>
    <cellStyle name="Normal 2 2 2 2 6 2 4" xfId="21663" xr:uid="{00000000-0005-0000-0000-00008E510000}"/>
    <cellStyle name="Normal 2 2 2 2 6 2 5" xfId="21664" xr:uid="{00000000-0005-0000-0000-00008F510000}"/>
    <cellStyle name="Normal 2 2 2 2 6 2 6" xfId="21665" xr:uid="{00000000-0005-0000-0000-000090510000}"/>
    <cellStyle name="Normal 2 2 2 2 6 3" xfId="21666" xr:uid="{00000000-0005-0000-0000-000091510000}"/>
    <cellStyle name="Normal 2 2 2 2 6 3 2" xfId="21667" xr:uid="{00000000-0005-0000-0000-000092510000}"/>
    <cellStyle name="Normal 2 2 2 2 6 3 3" xfId="21668" xr:uid="{00000000-0005-0000-0000-000093510000}"/>
    <cellStyle name="Normal 2 2 2 2 6 3 4" xfId="21669" xr:uid="{00000000-0005-0000-0000-000094510000}"/>
    <cellStyle name="Normal 2 2 2 2 6 3 5" xfId="21670" xr:uid="{00000000-0005-0000-0000-000095510000}"/>
    <cellStyle name="Normal 2 2 2 2 6 3 6" xfId="21671" xr:uid="{00000000-0005-0000-0000-000096510000}"/>
    <cellStyle name="Normal 2 2 2 2 6 4" xfId="21672" xr:uid="{00000000-0005-0000-0000-000097510000}"/>
    <cellStyle name="Normal 2 2 2 2 6 4 2" xfId="21673" xr:uid="{00000000-0005-0000-0000-000098510000}"/>
    <cellStyle name="Normal 2 2 2 2 6 4 3" xfId="21674" xr:uid="{00000000-0005-0000-0000-000099510000}"/>
    <cellStyle name="Normal 2 2 2 2 6 4 4" xfId="21675" xr:uid="{00000000-0005-0000-0000-00009A510000}"/>
    <cellStyle name="Normal 2 2 2 2 6 4 5" xfId="21676" xr:uid="{00000000-0005-0000-0000-00009B510000}"/>
    <cellStyle name="Normal 2 2 2 2 6 4 6" xfId="21677" xr:uid="{00000000-0005-0000-0000-00009C510000}"/>
    <cellStyle name="Normal 2 2 2 2 6 5" xfId="21678" xr:uid="{00000000-0005-0000-0000-00009D510000}"/>
    <cellStyle name="Normal 2 2 2 2 6 5 2" xfId="21679" xr:uid="{00000000-0005-0000-0000-00009E510000}"/>
    <cellStyle name="Normal 2 2 2 2 6 5 3" xfId="21680" xr:uid="{00000000-0005-0000-0000-00009F510000}"/>
    <cellStyle name="Normal 2 2 2 2 6 5 4" xfId="21681" xr:uid="{00000000-0005-0000-0000-0000A0510000}"/>
    <cellStyle name="Normal 2 2 2 2 6 5 5" xfId="21682" xr:uid="{00000000-0005-0000-0000-0000A1510000}"/>
    <cellStyle name="Normal 2 2 2 2 6 5 6" xfId="21683" xr:uid="{00000000-0005-0000-0000-0000A2510000}"/>
    <cellStyle name="Normal 2 2 2 2 6 6" xfId="21684" xr:uid="{00000000-0005-0000-0000-0000A3510000}"/>
    <cellStyle name="Normal 2 2 2 2 6 6 2" xfId="21685" xr:uid="{00000000-0005-0000-0000-0000A4510000}"/>
    <cellStyle name="Normal 2 2 2 2 6 6 3" xfId="21686" xr:uid="{00000000-0005-0000-0000-0000A5510000}"/>
    <cellStyle name="Normal 2 2 2 2 6 6 4" xfId="21687" xr:uid="{00000000-0005-0000-0000-0000A6510000}"/>
    <cellStyle name="Normal 2 2 2 2 6 6 5" xfId="21688" xr:uid="{00000000-0005-0000-0000-0000A7510000}"/>
    <cellStyle name="Normal 2 2 2 2 6 6 6" xfId="21689" xr:uid="{00000000-0005-0000-0000-0000A8510000}"/>
    <cellStyle name="Normal 2 2 2 2 6 7" xfId="21690" xr:uid="{00000000-0005-0000-0000-0000A9510000}"/>
    <cellStyle name="Normal 2 2 2 2 6 7 2" xfId="21691" xr:uid="{00000000-0005-0000-0000-0000AA510000}"/>
    <cellStyle name="Normal 2 2 2 2 6 7 3" xfId="21692" xr:uid="{00000000-0005-0000-0000-0000AB510000}"/>
    <cellStyle name="Normal 2 2 2 2 6 7 4" xfId="21693" xr:uid="{00000000-0005-0000-0000-0000AC510000}"/>
    <cellStyle name="Normal 2 2 2 2 6 7 5" xfId="21694" xr:uid="{00000000-0005-0000-0000-0000AD510000}"/>
    <cellStyle name="Normal 2 2 2 2 6 7 6" xfId="21695" xr:uid="{00000000-0005-0000-0000-0000AE510000}"/>
    <cellStyle name="Normal 2 2 2 2 6 8" xfId="21696" xr:uid="{00000000-0005-0000-0000-0000AF510000}"/>
    <cellStyle name="Normal 2 2 2 2 6 8 2" xfId="21697" xr:uid="{00000000-0005-0000-0000-0000B0510000}"/>
    <cellStyle name="Normal 2 2 2 2 6 8 3" xfId="21698" xr:uid="{00000000-0005-0000-0000-0000B1510000}"/>
    <cellStyle name="Normal 2 2 2 2 6 8 4" xfId="21699" xr:uid="{00000000-0005-0000-0000-0000B2510000}"/>
    <cellStyle name="Normal 2 2 2 2 6 8 5" xfId="21700" xr:uid="{00000000-0005-0000-0000-0000B3510000}"/>
    <cellStyle name="Normal 2 2 2 2 6 8 6" xfId="21701" xr:uid="{00000000-0005-0000-0000-0000B4510000}"/>
    <cellStyle name="Normal 2 2 2 2 6 9" xfId="21702" xr:uid="{00000000-0005-0000-0000-0000B5510000}"/>
    <cellStyle name="Normal 2 2 2 2 60" xfId="21703" xr:uid="{00000000-0005-0000-0000-0000B6510000}"/>
    <cellStyle name="Normal 2 2 2 2 61" xfId="21704" xr:uid="{00000000-0005-0000-0000-0000B7510000}"/>
    <cellStyle name="Normal 2 2 2 2 62" xfId="21705" xr:uid="{00000000-0005-0000-0000-0000B8510000}"/>
    <cellStyle name="Normal 2 2 2 2 63" xfId="21706" xr:uid="{00000000-0005-0000-0000-0000B9510000}"/>
    <cellStyle name="Normal 2 2 2 2 64" xfId="21707" xr:uid="{00000000-0005-0000-0000-0000BA510000}"/>
    <cellStyle name="Normal 2 2 2 2 65" xfId="21708" xr:uid="{00000000-0005-0000-0000-0000BB510000}"/>
    <cellStyle name="Normal 2 2 2 2 66" xfId="21709" xr:uid="{00000000-0005-0000-0000-0000BC510000}"/>
    <cellStyle name="Normal 2 2 2 2 67" xfId="21710" xr:uid="{00000000-0005-0000-0000-0000BD510000}"/>
    <cellStyle name="Normal 2 2 2 2 68" xfId="21711" xr:uid="{00000000-0005-0000-0000-0000BE510000}"/>
    <cellStyle name="Normal 2 2 2 2 69" xfId="21712" xr:uid="{00000000-0005-0000-0000-0000BF510000}"/>
    <cellStyle name="Normal 2 2 2 2 7" xfId="21713" xr:uid="{00000000-0005-0000-0000-0000C0510000}"/>
    <cellStyle name="Normal 2 2 2 2 7 10" xfId="21714" xr:uid="{00000000-0005-0000-0000-0000C1510000}"/>
    <cellStyle name="Normal 2 2 2 2 7 11" xfId="21715" xr:uid="{00000000-0005-0000-0000-0000C2510000}"/>
    <cellStyle name="Normal 2 2 2 2 7 12" xfId="21716" xr:uid="{00000000-0005-0000-0000-0000C3510000}"/>
    <cellStyle name="Normal 2 2 2 2 7 13" xfId="21717" xr:uid="{00000000-0005-0000-0000-0000C4510000}"/>
    <cellStyle name="Normal 2 2 2 2 7 2" xfId="21718" xr:uid="{00000000-0005-0000-0000-0000C5510000}"/>
    <cellStyle name="Normal 2 2 2 2 7 2 2" xfId="21719" xr:uid="{00000000-0005-0000-0000-0000C6510000}"/>
    <cellStyle name="Normal 2 2 2 2 7 2 3" xfId="21720" xr:uid="{00000000-0005-0000-0000-0000C7510000}"/>
    <cellStyle name="Normal 2 2 2 2 7 2 4" xfId="21721" xr:uid="{00000000-0005-0000-0000-0000C8510000}"/>
    <cellStyle name="Normal 2 2 2 2 7 2 5" xfId="21722" xr:uid="{00000000-0005-0000-0000-0000C9510000}"/>
    <cellStyle name="Normal 2 2 2 2 7 2 6" xfId="21723" xr:uid="{00000000-0005-0000-0000-0000CA510000}"/>
    <cellStyle name="Normal 2 2 2 2 7 3" xfId="21724" xr:uid="{00000000-0005-0000-0000-0000CB510000}"/>
    <cellStyle name="Normal 2 2 2 2 7 3 2" xfId="21725" xr:uid="{00000000-0005-0000-0000-0000CC510000}"/>
    <cellStyle name="Normal 2 2 2 2 7 3 3" xfId="21726" xr:uid="{00000000-0005-0000-0000-0000CD510000}"/>
    <cellStyle name="Normal 2 2 2 2 7 3 4" xfId="21727" xr:uid="{00000000-0005-0000-0000-0000CE510000}"/>
    <cellStyle name="Normal 2 2 2 2 7 3 5" xfId="21728" xr:uid="{00000000-0005-0000-0000-0000CF510000}"/>
    <cellStyle name="Normal 2 2 2 2 7 3 6" xfId="21729" xr:uid="{00000000-0005-0000-0000-0000D0510000}"/>
    <cellStyle name="Normal 2 2 2 2 7 4" xfId="21730" xr:uid="{00000000-0005-0000-0000-0000D1510000}"/>
    <cellStyle name="Normal 2 2 2 2 7 4 2" xfId="21731" xr:uid="{00000000-0005-0000-0000-0000D2510000}"/>
    <cellStyle name="Normal 2 2 2 2 7 4 3" xfId="21732" xr:uid="{00000000-0005-0000-0000-0000D3510000}"/>
    <cellStyle name="Normal 2 2 2 2 7 4 4" xfId="21733" xr:uid="{00000000-0005-0000-0000-0000D4510000}"/>
    <cellStyle name="Normal 2 2 2 2 7 4 5" xfId="21734" xr:uid="{00000000-0005-0000-0000-0000D5510000}"/>
    <cellStyle name="Normal 2 2 2 2 7 4 6" xfId="21735" xr:uid="{00000000-0005-0000-0000-0000D6510000}"/>
    <cellStyle name="Normal 2 2 2 2 7 5" xfId="21736" xr:uid="{00000000-0005-0000-0000-0000D7510000}"/>
    <cellStyle name="Normal 2 2 2 2 7 5 2" xfId="21737" xr:uid="{00000000-0005-0000-0000-0000D8510000}"/>
    <cellStyle name="Normal 2 2 2 2 7 5 3" xfId="21738" xr:uid="{00000000-0005-0000-0000-0000D9510000}"/>
    <cellStyle name="Normal 2 2 2 2 7 5 4" xfId="21739" xr:uid="{00000000-0005-0000-0000-0000DA510000}"/>
    <cellStyle name="Normal 2 2 2 2 7 5 5" xfId="21740" xr:uid="{00000000-0005-0000-0000-0000DB510000}"/>
    <cellStyle name="Normal 2 2 2 2 7 5 6" xfId="21741" xr:uid="{00000000-0005-0000-0000-0000DC510000}"/>
    <cellStyle name="Normal 2 2 2 2 7 6" xfId="21742" xr:uid="{00000000-0005-0000-0000-0000DD510000}"/>
    <cellStyle name="Normal 2 2 2 2 7 6 2" xfId="21743" xr:uid="{00000000-0005-0000-0000-0000DE510000}"/>
    <cellStyle name="Normal 2 2 2 2 7 6 3" xfId="21744" xr:uid="{00000000-0005-0000-0000-0000DF510000}"/>
    <cellStyle name="Normal 2 2 2 2 7 6 4" xfId="21745" xr:uid="{00000000-0005-0000-0000-0000E0510000}"/>
    <cellStyle name="Normal 2 2 2 2 7 6 5" xfId="21746" xr:uid="{00000000-0005-0000-0000-0000E1510000}"/>
    <cellStyle name="Normal 2 2 2 2 7 6 6" xfId="21747" xr:uid="{00000000-0005-0000-0000-0000E2510000}"/>
    <cellStyle name="Normal 2 2 2 2 7 7" xfId="21748" xr:uid="{00000000-0005-0000-0000-0000E3510000}"/>
    <cellStyle name="Normal 2 2 2 2 7 7 2" xfId="21749" xr:uid="{00000000-0005-0000-0000-0000E4510000}"/>
    <cellStyle name="Normal 2 2 2 2 7 7 3" xfId="21750" xr:uid="{00000000-0005-0000-0000-0000E5510000}"/>
    <cellStyle name="Normal 2 2 2 2 7 7 4" xfId="21751" xr:uid="{00000000-0005-0000-0000-0000E6510000}"/>
    <cellStyle name="Normal 2 2 2 2 7 7 5" xfId="21752" xr:uid="{00000000-0005-0000-0000-0000E7510000}"/>
    <cellStyle name="Normal 2 2 2 2 7 7 6" xfId="21753" xr:uid="{00000000-0005-0000-0000-0000E8510000}"/>
    <cellStyle name="Normal 2 2 2 2 7 8" xfId="21754" xr:uid="{00000000-0005-0000-0000-0000E9510000}"/>
    <cellStyle name="Normal 2 2 2 2 7 8 2" xfId="21755" xr:uid="{00000000-0005-0000-0000-0000EA510000}"/>
    <cellStyle name="Normal 2 2 2 2 7 8 3" xfId="21756" xr:uid="{00000000-0005-0000-0000-0000EB510000}"/>
    <cellStyle name="Normal 2 2 2 2 7 8 4" xfId="21757" xr:uid="{00000000-0005-0000-0000-0000EC510000}"/>
    <cellStyle name="Normal 2 2 2 2 7 8 5" xfId="21758" xr:uid="{00000000-0005-0000-0000-0000ED510000}"/>
    <cellStyle name="Normal 2 2 2 2 7 8 6" xfId="21759" xr:uid="{00000000-0005-0000-0000-0000EE510000}"/>
    <cellStyle name="Normal 2 2 2 2 7 9" xfId="21760" xr:uid="{00000000-0005-0000-0000-0000EF510000}"/>
    <cellStyle name="Normal 2 2 2 2 70" xfId="21761" xr:uid="{00000000-0005-0000-0000-0000F0510000}"/>
    <cellStyle name="Normal 2 2 2 2 71" xfId="21762" xr:uid="{00000000-0005-0000-0000-0000F1510000}"/>
    <cellStyle name="Normal 2 2 2 2 72" xfId="21763" xr:uid="{00000000-0005-0000-0000-0000F2510000}"/>
    <cellStyle name="Normal 2 2 2 2 73" xfId="21764" xr:uid="{00000000-0005-0000-0000-0000F3510000}"/>
    <cellStyle name="Normal 2 2 2 2 74" xfId="21765" xr:uid="{00000000-0005-0000-0000-0000F4510000}"/>
    <cellStyle name="Normal 2 2 2 2 75" xfId="21766" xr:uid="{00000000-0005-0000-0000-0000F5510000}"/>
    <cellStyle name="Normal 2 2 2 2 76" xfId="21767" xr:uid="{00000000-0005-0000-0000-0000F6510000}"/>
    <cellStyle name="Normal 2 2 2 2 76 2" xfId="21768" xr:uid="{00000000-0005-0000-0000-0000F7510000}"/>
    <cellStyle name="Normal 2 2 2 2 76 3" xfId="21769" xr:uid="{00000000-0005-0000-0000-0000F8510000}"/>
    <cellStyle name="Normal 2 2 2 2 76 4" xfId="21770" xr:uid="{00000000-0005-0000-0000-0000F9510000}"/>
    <cellStyle name="Normal 2 2 2 2 76 5" xfId="21771" xr:uid="{00000000-0005-0000-0000-0000FA510000}"/>
    <cellStyle name="Normal 2 2 2 2 76 6" xfId="21772" xr:uid="{00000000-0005-0000-0000-0000FB510000}"/>
    <cellStyle name="Normal 2 2 2 2 76 7" xfId="21773" xr:uid="{00000000-0005-0000-0000-0000FC510000}"/>
    <cellStyle name="Normal 2 2 2 2 77" xfId="21774" xr:uid="{00000000-0005-0000-0000-0000FD510000}"/>
    <cellStyle name="Normal 2 2 2 2 77 10" xfId="21775" xr:uid="{00000000-0005-0000-0000-0000FE510000}"/>
    <cellStyle name="Normal 2 2 2 2 77 11" xfId="21776" xr:uid="{00000000-0005-0000-0000-0000FF510000}"/>
    <cellStyle name="Normal 2 2 2 2 77 2" xfId="21777" xr:uid="{00000000-0005-0000-0000-000000520000}"/>
    <cellStyle name="Normal 2 2 2 2 77 2 2" xfId="21778" xr:uid="{00000000-0005-0000-0000-000001520000}"/>
    <cellStyle name="Normal 2 2 2 2 77 2 2 2" xfId="21779" xr:uid="{00000000-0005-0000-0000-000002520000}"/>
    <cellStyle name="Normal 2 2 2 2 77 2 2 3" xfId="21780" xr:uid="{00000000-0005-0000-0000-000003520000}"/>
    <cellStyle name="Normal 2 2 2 2 77 2 3" xfId="21781" xr:uid="{00000000-0005-0000-0000-000004520000}"/>
    <cellStyle name="Normal 2 2 2 2 77 2 4" xfId="21782" xr:uid="{00000000-0005-0000-0000-000005520000}"/>
    <cellStyle name="Normal 2 2 2 2 77 2 5" xfId="21783" xr:uid="{00000000-0005-0000-0000-000006520000}"/>
    <cellStyle name="Normal 2 2 2 2 77 2 6" xfId="21784" xr:uid="{00000000-0005-0000-0000-000007520000}"/>
    <cellStyle name="Normal 2 2 2 2 77 2 7" xfId="21785" xr:uid="{00000000-0005-0000-0000-000008520000}"/>
    <cellStyle name="Normal 2 2 2 2 77 2 8" xfId="21786" xr:uid="{00000000-0005-0000-0000-000009520000}"/>
    <cellStyle name="Normal 2 2 2 2 77 2 9" xfId="21787" xr:uid="{00000000-0005-0000-0000-00000A520000}"/>
    <cellStyle name="Normal 2 2 2 2 77 3" xfId="21788" xr:uid="{00000000-0005-0000-0000-00000B520000}"/>
    <cellStyle name="Normal 2 2 2 2 77 4" xfId="21789" xr:uid="{00000000-0005-0000-0000-00000C520000}"/>
    <cellStyle name="Normal 2 2 2 2 77 5" xfId="21790" xr:uid="{00000000-0005-0000-0000-00000D520000}"/>
    <cellStyle name="Normal 2 2 2 2 77 5 2" xfId="21791" xr:uid="{00000000-0005-0000-0000-00000E520000}"/>
    <cellStyle name="Normal 2 2 2 2 77 5 3" xfId="21792" xr:uid="{00000000-0005-0000-0000-00000F520000}"/>
    <cellStyle name="Normal 2 2 2 2 77 6" xfId="21793" xr:uid="{00000000-0005-0000-0000-000010520000}"/>
    <cellStyle name="Normal 2 2 2 2 77 7" xfId="21794" xr:uid="{00000000-0005-0000-0000-000011520000}"/>
    <cellStyle name="Normal 2 2 2 2 77 8" xfId="21795" xr:uid="{00000000-0005-0000-0000-000012520000}"/>
    <cellStyle name="Normal 2 2 2 2 77 9" xfId="21796" xr:uid="{00000000-0005-0000-0000-000013520000}"/>
    <cellStyle name="Normal 2 2 2 2 78" xfId="21797" xr:uid="{00000000-0005-0000-0000-000014520000}"/>
    <cellStyle name="Normal 2 2 2 2 79" xfId="21798" xr:uid="{00000000-0005-0000-0000-000015520000}"/>
    <cellStyle name="Normal 2 2 2 2 8" xfId="21799" xr:uid="{00000000-0005-0000-0000-000016520000}"/>
    <cellStyle name="Normal 2 2 2 2 8 10" xfId="21800" xr:uid="{00000000-0005-0000-0000-000017520000}"/>
    <cellStyle name="Normal 2 2 2 2 8 11" xfId="21801" xr:uid="{00000000-0005-0000-0000-000018520000}"/>
    <cellStyle name="Normal 2 2 2 2 8 12" xfId="21802" xr:uid="{00000000-0005-0000-0000-000019520000}"/>
    <cellStyle name="Normal 2 2 2 2 8 13" xfId="21803" xr:uid="{00000000-0005-0000-0000-00001A520000}"/>
    <cellStyle name="Normal 2 2 2 2 8 2" xfId="21804" xr:uid="{00000000-0005-0000-0000-00001B520000}"/>
    <cellStyle name="Normal 2 2 2 2 8 2 2" xfId="21805" xr:uid="{00000000-0005-0000-0000-00001C520000}"/>
    <cellStyle name="Normal 2 2 2 2 8 2 3" xfId="21806" xr:uid="{00000000-0005-0000-0000-00001D520000}"/>
    <cellStyle name="Normal 2 2 2 2 8 2 4" xfId="21807" xr:uid="{00000000-0005-0000-0000-00001E520000}"/>
    <cellStyle name="Normal 2 2 2 2 8 2 5" xfId="21808" xr:uid="{00000000-0005-0000-0000-00001F520000}"/>
    <cellStyle name="Normal 2 2 2 2 8 2 6" xfId="21809" xr:uid="{00000000-0005-0000-0000-000020520000}"/>
    <cellStyle name="Normal 2 2 2 2 8 3" xfId="21810" xr:uid="{00000000-0005-0000-0000-000021520000}"/>
    <cellStyle name="Normal 2 2 2 2 8 3 2" xfId="21811" xr:uid="{00000000-0005-0000-0000-000022520000}"/>
    <cellStyle name="Normal 2 2 2 2 8 3 3" xfId="21812" xr:uid="{00000000-0005-0000-0000-000023520000}"/>
    <cellStyle name="Normal 2 2 2 2 8 3 4" xfId="21813" xr:uid="{00000000-0005-0000-0000-000024520000}"/>
    <cellStyle name="Normal 2 2 2 2 8 3 5" xfId="21814" xr:uid="{00000000-0005-0000-0000-000025520000}"/>
    <cellStyle name="Normal 2 2 2 2 8 3 6" xfId="21815" xr:uid="{00000000-0005-0000-0000-000026520000}"/>
    <cellStyle name="Normal 2 2 2 2 8 4" xfId="21816" xr:uid="{00000000-0005-0000-0000-000027520000}"/>
    <cellStyle name="Normal 2 2 2 2 8 4 2" xfId="21817" xr:uid="{00000000-0005-0000-0000-000028520000}"/>
    <cellStyle name="Normal 2 2 2 2 8 4 3" xfId="21818" xr:uid="{00000000-0005-0000-0000-000029520000}"/>
    <cellStyle name="Normal 2 2 2 2 8 4 4" xfId="21819" xr:uid="{00000000-0005-0000-0000-00002A520000}"/>
    <cellStyle name="Normal 2 2 2 2 8 4 5" xfId="21820" xr:uid="{00000000-0005-0000-0000-00002B520000}"/>
    <cellStyle name="Normal 2 2 2 2 8 4 6" xfId="21821" xr:uid="{00000000-0005-0000-0000-00002C520000}"/>
    <cellStyle name="Normal 2 2 2 2 8 5" xfId="21822" xr:uid="{00000000-0005-0000-0000-00002D520000}"/>
    <cellStyle name="Normal 2 2 2 2 8 5 2" xfId="21823" xr:uid="{00000000-0005-0000-0000-00002E520000}"/>
    <cellStyle name="Normal 2 2 2 2 8 5 3" xfId="21824" xr:uid="{00000000-0005-0000-0000-00002F520000}"/>
    <cellStyle name="Normal 2 2 2 2 8 5 4" xfId="21825" xr:uid="{00000000-0005-0000-0000-000030520000}"/>
    <cellStyle name="Normal 2 2 2 2 8 5 5" xfId="21826" xr:uid="{00000000-0005-0000-0000-000031520000}"/>
    <cellStyle name="Normal 2 2 2 2 8 5 6" xfId="21827" xr:uid="{00000000-0005-0000-0000-000032520000}"/>
    <cellStyle name="Normal 2 2 2 2 8 6" xfId="21828" xr:uid="{00000000-0005-0000-0000-000033520000}"/>
    <cellStyle name="Normal 2 2 2 2 8 6 2" xfId="21829" xr:uid="{00000000-0005-0000-0000-000034520000}"/>
    <cellStyle name="Normal 2 2 2 2 8 6 3" xfId="21830" xr:uid="{00000000-0005-0000-0000-000035520000}"/>
    <cellStyle name="Normal 2 2 2 2 8 6 4" xfId="21831" xr:uid="{00000000-0005-0000-0000-000036520000}"/>
    <cellStyle name="Normal 2 2 2 2 8 6 5" xfId="21832" xr:uid="{00000000-0005-0000-0000-000037520000}"/>
    <cellStyle name="Normal 2 2 2 2 8 6 6" xfId="21833" xr:uid="{00000000-0005-0000-0000-000038520000}"/>
    <cellStyle name="Normal 2 2 2 2 8 7" xfId="21834" xr:uid="{00000000-0005-0000-0000-000039520000}"/>
    <cellStyle name="Normal 2 2 2 2 8 7 2" xfId="21835" xr:uid="{00000000-0005-0000-0000-00003A520000}"/>
    <cellStyle name="Normal 2 2 2 2 8 7 3" xfId="21836" xr:uid="{00000000-0005-0000-0000-00003B520000}"/>
    <cellStyle name="Normal 2 2 2 2 8 7 4" xfId="21837" xr:uid="{00000000-0005-0000-0000-00003C520000}"/>
    <cellStyle name="Normal 2 2 2 2 8 7 5" xfId="21838" xr:uid="{00000000-0005-0000-0000-00003D520000}"/>
    <cellStyle name="Normal 2 2 2 2 8 7 6" xfId="21839" xr:uid="{00000000-0005-0000-0000-00003E520000}"/>
    <cellStyle name="Normal 2 2 2 2 8 8" xfId="21840" xr:uid="{00000000-0005-0000-0000-00003F520000}"/>
    <cellStyle name="Normal 2 2 2 2 8 8 2" xfId="21841" xr:uid="{00000000-0005-0000-0000-000040520000}"/>
    <cellStyle name="Normal 2 2 2 2 8 8 3" xfId="21842" xr:uid="{00000000-0005-0000-0000-000041520000}"/>
    <cellStyle name="Normal 2 2 2 2 8 8 4" xfId="21843" xr:uid="{00000000-0005-0000-0000-000042520000}"/>
    <cellStyle name="Normal 2 2 2 2 8 8 5" xfId="21844" xr:uid="{00000000-0005-0000-0000-000043520000}"/>
    <cellStyle name="Normal 2 2 2 2 8 8 6" xfId="21845" xr:uid="{00000000-0005-0000-0000-000044520000}"/>
    <cellStyle name="Normal 2 2 2 2 8 9" xfId="21846" xr:uid="{00000000-0005-0000-0000-000045520000}"/>
    <cellStyle name="Normal 2 2 2 2 80" xfId="21847" xr:uid="{00000000-0005-0000-0000-000046520000}"/>
    <cellStyle name="Normal 2 2 2 2 80 2" xfId="21848" xr:uid="{00000000-0005-0000-0000-000047520000}"/>
    <cellStyle name="Normal 2 2 2 2 80 2 2" xfId="21849" xr:uid="{00000000-0005-0000-0000-000048520000}"/>
    <cellStyle name="Normal 2 2 2 2 80 2 3" xfId="21850" xr:uid="{00000000-0005-0000-0000-000049520000}"/>
    <cellStyle name="Normal 2 2 2 2 80 3" xfId="21851" xr:uid="{00000000-0005-0000-0000-00004A520000}"/>
    <cellStyle name="Normal 2 2 2 2 80 4" xfId="21852" xr:uid="{00000000-0005-0000-0000-00004B520000}"/>
    <cellStyle name="Normal 2 2 2 2 80 5" xfId="21853" xr:uid="{00000000-0005-0000-0000-00004C520000}"/>
    <cellStyle name="Normal 2 2 2 2 80 6" xfId="21854" xr:uid="{00000000-0005-0000-0000-00004D520000}"/>
    <cellStyle name="Normal 2 2 2 2 80 7" xfId="21855" xr:uid="{00000000-0005-0000-0000-00004E520000}"/>
    <cellStyle name="Normal 2 2 2 2 80 8" xfId="21856" xr:uid="{00000000-0005-0000-0000-00004F520000}"/>
    <cellStyle name="Normal 2 2 2 2 80 9" xfId="21857" xr:uid="{00000000-0005-0000-0000-000050520000}"/>
    <cellStyle name="Normal 2 2 2 2 81" xfId="21858" xr:uid="{00000000-0005-0000-0000-000051520000}"/>
    <cellStyle name="Normal 2 2 2 2 82" xfId="21859" xr:uid="{00000000-0005-0000-0000-000052520000}"/>
    <cellStyle name="Normal 2 2 2 2 82 2" xfId="21860" xr:uid="{00000000-0005-0000-0000-000053520000}"/>
    <cellStyle name="Normal 2 2 2 2 82 3" xfId="21861" xr:uid="{00000000-0005-0000-0000-000054520000}"/>
    <cellStyle name="Normal 2 2 2 2 83" xfId="21862" xr:uid="{00000000-0005-0000-0000-000055520000}"/>
    <cellStyle name="Normal 2 2 2 2 84" xfId="21863" xr:uid="{00000000-0005-0000-0000-000056520000}"/>
    <cellStyle name="Normal 2 2 2 2 85" xfId="21864" xr:uid="{00000000-0005-0000-0000-000057520000}"/>
    <cellStyle name="Normal 2 2 2 2 86" xfId="21865" xr:uid="{00000000-0005-0000-0000-000058520000}"/>
    <cellStyle name="Normal 2 2 2 2 87" xfId="21866" xr:uid="{00000000-0005-0000-0000-000059520000}"/>
    <cellStyle name="Normal 2 2 2 2 88" xfId="21867" xr:uid="{00000000-0005-0000-0000-00005A520000}"/>
    <cellStyle name="Normal 2 2 2 2 89" xfId="21868" xr:uid="{00000000-0005-0000-0000-00005B520000}"/>
    <cellStyle name="Normal 2 2 2 2 9" xfId="21869" xr:uid="{00000000-0005-0000-0000-00005C520000}"/>
    <cellStyle name="Normal 2 2 2 2 9 10" xfId="21870" xr:uid="{00000000-0005-0000-0000-00005D520000}"/>
    <cellStyle name="Normal 2 2 2 2 9 10 2" xfId="21871" xr:uid="{00000000-0005-0000-0000-00005E520000}"/>
    <cellStyle name="Normal 2 2 2 2 9 10 3" xfId="21872" xr:uid="{00000000-0005-0000-0000-00005F520000}"/>
    <cellStyle name="Normal 2 2 2 2 9 10 4" xfId="21873" xr:uid="{00000000-0005-0000-0000-000060520000}"/>
    <cellStyle name="Normal 2 2 2 2 9 10 5" xfId="21874" xr:uid="{00000000-0005-0000-0000-000061520000}"/>
    <cellStyle name="Normal 2 2 2 2 9 10 6" xfId="21875" xr:uid="{00000000-0005-0000-0000-000062520000}"/>
    <cellStyle name="Normal 2 2 2 2 9 11" xfId="21876" xr:uid="{00000000-0005-0000-0000-000063520000}"/>
    <cellStyle name="Normal 2 2 2 2 9 11 2" xfId="21877" xr:uid="{00000000-0005-0000-0000-000064520000}"/>
    <cellStyle name="Normal 2 2 2 2 9 11 3" xfId="21878" xr:uid="{00000000-0005-0000-0000-000065520000}"/>
    <cellStyle name="Normal 2 2 2 2 9 11 4" xfId="21879" xr:uid="{00000000-0005-0000-0000-000066520000}"/>
    <cellStyle name="Normal 2 2 2 2 9 11 5" xfId="21880" xr:uid="{00000000-0005-0000-0000-000067520000}"/>
    <cellStyle name="Normal 2 2 2 2 9 11 6" xfId="21881" xr:uid="{00000000-0005-0000-0000-000068520000}"/>
    <cellStyle name="Normal 2 2 2 2 9 12" xfId="21882" xr:uid="{00000000-0005-0000-0000-000069520000}"/>
    <cellStyle name="Normal 2 2 2 2 9 12 2" xfId="21883" xr:uid="{00000000-0005-0000-0000-00006A520000}"/>
    <cellStyle name="Normal 2 2 2 2 9 12 3" xfId="21884" xr:uid="{00000000-0005-0000-0000-00006B520000}"/>
    <cellStyle name="Normal 2 2 2 2 9 12 4" xfId="21885" xr:uid="{00000000-0005-0000-0000-00006C520000}"/>
    <cellStyle name="Normal 2 2 2 2 9 12 5" xfId="21886" xr:uid="{00000000-0005-0000-0000-00006D520000}"/>
    <cellStyle name="Normal 2 2 2 2 9 12 6" xfId="21887" xr:uid="{00000000-0005-0000-0000-00006E520000}"/>
    <cellStyle name="Normal 2 2 2 2 9 13" xfId="21888" xr:uid="{00000000-0005-0000-0000-00006F520000}"/>
    <cellStyle name="Normal 2 2 2 2 9 13 2" xfId="21889" xr:uid="{00000000-0005-0000-0000-000070520000}"/>
    <cellStyle name="Normal 2 2 2 2 9 13 3" xfId="21890" xr:uid="{00000000-0005-0000-0000-000071520000}"/>
    <cellStyle name="Normal 2 2 2 2 9 13 4" xfId="21891" xr:uid="{00000000-0005-0000-0000-000072520000}"/>
    <cellStyle name="Normal 2 2 2 2 9 13 5" xfId="21892" xr:uid="{00000000-0005-0000-0000-000073520000}"/>
    <cellStyle name="Normal 2 2 2 2 9 13 6" xfId="21893" xr:uid="{00000000-0005-0000-0000-000074520000}"/>
    <cellStyle name="Normal 2 2 2 2 9 14" xfId="21894" xr:uid="{00000000-0005-0000-0000-000075520000}"/>
    <cellStyle name="Normal 2 2 2 2 9 14 2" xfId="21895" xr:uid="{00000000-0005-0000-0000-000076520000}"/>
    <cellStyle name="Normal 2 2 2 2 9 14 3" xfId="21896" xr:uid="{00000000-0005-0000-0000-000077520000}"/>
    <cellStyle name="Normal 2 2 2 2 9 14 4" xfId="21897" xr:uid="{00000000-0005-0000-0000-000078520000}"/>
    <cellStyle name="Normal 2 2 2 2 9 14 5" xfId="21898" xr:uid="{00000000-0005-0000-0000-000079520000}"/>
    <cellStyle name="Normal 2 2 2 2 9 14 6" xfId="21899" xr:uid="{00000000-0005-0000-0000-00007A520000}"/>
    <cellStyle name="Normal 2 2 2 2 9 15" xfId="21900" xr:uid="{00000000-0005-0000-0000-00007B520000}"/>
    <cellStyle name="Normal 2 2 2 2 9 16" xfId="21901" xr:uid="{00000000-0005-0000-0000-00007C520000}"/>
    <cellStyle name="Normal 2 2 2 2 9 17" xfId="21902" xr:uid="{00000000-0005-0000-0000-00007D520000}"/>
    <cellStyle name="Normal 2 2 2 2 9 18" xfId="21903" xr:uid="{00000000-0005-0000-0000-00007E520000}"/>
    <cellStyle name="Normal 2 2 2 2 9 19" xfId="21904" xr:uid="{00000000-0005-0000-0000-00007F520000}"/>
    <cellStyle name="Normal 2 2 2 2 9 2" xfId="21905" xr:uid="{00000000-0005-0000-0000-000080520000}"/>
    <cellStyle name="Normal 2 2 2 2 9 3" xfId="21906" xr:uid="{00000000-0005-0000-0000-000081520000}"/>
    <cellStyle name="Normal 2 2 2 2 9 4" xfId="21907" xr:uid="{00000000-0005-0000-0000-000082520000}"/>
    <cellStyle name="Normal 2 2 2 2 9 5" xfId="21908" xr:uid="{00000000-0005-0000-0000-000083520000}"/>
    <cellStyle name="Normal 2 2 2 2 9 6" xfId="21909" xr:uid="{00000000-0005-0000-0000-000084520000}"/>
    <cellStyle name="Normal 2 2 2 2 9 7" xfId="21910" xr:uid="{00000000-0005-0000-0000-000085520000}"/>
    <cellStyle name="Normal 2 2 2 2 9 8" xfId="21911" xr:uid="{00000000-0005-0000-0000-000086520000}"/>
    <cellStyle name="Normal 2 2 2 2 9 8 2" xfId="21912" xr:uid="{00000000-0005-0000-0000-000087520000}"/>
    <cellStyle name="Normal 2 2 2 2 9 8 3" xfId="21913" xr:uid="{00000000-0005-0000-0000-000088520000}"/>
    <cellStyle name="Normal 2 2 2 2 9 8 4" xfId="21914" xr:uid="{00000000-0005-0000-0000-000089520000}"/>
    <cellStyle name="Normal 2 2 2 2 9 8 5" xfId="21915" xr:uid="{00000000-0005-0000-0000-00008A520000}"/>
    <cellStyle name="Normal 2 2 2 2 9 8 6" xfId="21916" xr:uid="{00000000-0005-0000-0000-00008B520000}"/>
    <cellStyle name="Normal 2 2 2 2 9 9" xfId="21917" xr:uid="{00000000-0005-0000-0000-00008C520000}"/>
    <cellStyle name="Normal 2 2 2 2 9 9 2" xfId="21918" xr:uid="{00000000-0005-0000-0000-00008D520000}"/>
    <cellStyle name="Normal 2 2 2 2 9 9 3" xfId="21919" xr:uid="{00000000-0005-0000-0000-00008E520000}"/>
    <cellStyle name="Normal 2 2 2 2 9 9 4" xfId="21920" xr:uid="{00000000-0005-0000-0000-00008F520000}"/>
    <cellStyle name="Normal 2 2 2 2 9 9 5" xfId="21921" xr:uid="{00000000-0005-0000-0000-000090520000}"/>
    <cellStyle name="Normal 2 2 2 2 9 9 6" xfId="21922" xr:uid="{00000000-0005-0000-0000-000091520000}"/>
    <cellStyle name="Normal 2 2 2 20" xfId="21923" xr:uid="{00000000-0005-0000-0000-000092520000}"/>
    <cellStyle name="Normal 2 2 2 20 10" xfId="21924" xr:uid="{00000000-0005-0000-0000-000093520000}"/>
    <cellStyle name="Normal 2 2 2 20 11" xfId="21925" xr:uid="{00000000-0005-0000-0000-000094520000}"/>
    <cellStyle name="Normal 2 2 2 20 12" xfId="21926" xr:uid="{00000000-0005-0000-0000-000095520000}"/>
    <cellStyle name="Normal 2 2 2 20 13" xfId="21927" xr:uid="{00000000-0005-0000-0000-000096520000}"/>
    <cellStyle name="Normal 2 2 2 20 14" xfId="21928" xr:uid="{00000000-0005-0000-0000-000097520000}"/>
    <cellStyle name="Normal 2 2 2 20 2" xfId="21929" xr:uid="{00000000-0005-0000-0000-000098520000}"/>
    <cellStyle name="Normal 2 2 2 20 2 2" xfId="21930" xr:uid="{00000000-0005-0000-0000-000099520000}"/>
    <cellStyle name="Normal 2 2 2 20 2 2 2" xfId="21931" xr:uid="{00000000-0005-0000-0000-00009A520000}"/>
    <cellStyle name="Normal 2 2 2 20 2 3" xfId="21932" xr:uid="{00000000-0005-0000-0000-00009B520000}"/>
    <cellStyle name="Normal 2 2 2 20 2 4" xfId="21933" xr:uid="{00000000-0005-0000-0000-00009C520000}"/>
    <cellStyle name="Normal 2 2 2 20 2 5" xfId="21934" xr:uid="{00000000-0005-0000-0000-00009D520000}"/>
    <cellStyle name="Normal 2 2 2 20 2 6" xfId="21935" xr:uid="{00000000-0005-0000-0000-00009E520000}"/>
    <cellStyle name="Normal 2 2 2 20 3" xfId="21936" xr:uid="{00000000-0005-0000-0000-00009F520000}"/>
    <cellStyle name="Normal 2 2 2 20 3 2" xfId="21937" xr:uid="{00000000-0005-0000-0000-0000A0520000}"/>
    <cellStyle name="Normal 2 2 2 20 3 3" xfId="21938" xr:uid="{00000000-0005-0000-0000-0000A1520000}"/>
    <cellStyle name="Normal 2 2 2 20 3 4" xfId="21939" xr:uid="{00000000-0005-0000-0000-0000A2520000}"/>
    <cellStyle name="Normal 2 2 2 20 3 5" xfId="21940" xr:uid="{00000000-0005-0000-0000-0000A3520000}"/>
    <cellStyle name="Normal 2 2 2 20 3 6" xfId="21941" xr:uid="{00000000-0005-0000-0000-0000A4520000}"/>
    <cellStyle name="Normal 2 2 2 20 4" xfId="21942" xr:uid="{00000000-0005-0000-0000-0000A5520000}"/>
    <cellStyle name="Normal 2 2 2 20 4 2" xfId="21943" xr:uid="{00000000-0005-0000-0000-0000A6520000}"/>
    <cellStyle name="Normal 2 2 2 20 4 3" xfId="21944" xr:uid="{00000000-0005-0000-0000-0000A7520000}"/>
    <cellStyle name="Normal 2 2 2 20 4 4" xfId="21945" xr:uid="{00000000-0005-0000-0000-0000A8520000}"/>
    <cellStyle name="Normal 2 2 2 20 4 5" xfId="21946" xr:uid="{00000000-0005-0000-0000-0000A9520000}"/>
    <cellStyle name="Normal 2 2 2 20 4 6" xfId="21947" xr:uid="{00000000-0005-0000-0000-0000AA520000}"/>
    <cellStyle name="Normal 2 2 2 20 5" xfId="21948" xr:uid="{00000000-0005-0000-0000-0000AB520000}"/>
    <cellStyle name="Normal 2 2 2 20 5 2" xfId="21949" xr:uid="{00000000-0005-0000-0000-0000AC520000}"/>
    <cellStyle name="Normal 2 2 2 20 5 3" xfId="21950" xr:uid="{00000000-0005-0000-0000-0000AD520000}"/>
    <cellStyle name="Normal 2 2 2 20 5 4" xfId="21951" xr:uid="{00000000-0005-0000-0000-0000AE520000}"/>
    <cellStyle name="Normal 2 2 2 20 5 5" xfId="21952" xr:uid="{00000000-0005-0000-0000-0000AF520000}"/>
    <cellStyle name="Normal 2 2 2 20 5 6" xfId="21953" xr:uid="{00000000-0005-0000-0000-0000B0520000}"/>
    <cellStyle name="Normal 2 2 2 20 6" xfId="21954" xr:uid="{00000000-0005-0000-0000-0000B1520000}"/>
    <cellStyle name="Normal 2 2 2 20 6 2" xfId="21955" xr:uid="{00000000-0005-0000-0000-0000B2520000}"/>
    <cellStyle name="Normal 2 2 2 20 6 3" xfId="21956" xr:uid="{00000000-0005-0000-0000-0000B3520000}"/>
    <cellStyle name="Normal 2 2 2 20 6 4" xfId="21957" xr:uid="{00000000-0005-0000-0000-0000B4520000}"/>
    <cellStyle name="Normal 2 2 2 20 6 5" xfId="21958" xr:uid="{00000000-0005-0000-0000-0000B5520000}"/>
    <cellStyle name="Normal 2 2 2 20 6 6" xfId="21959" xr:uid="{00000000-0005-0000-0000-0000B6520000}"/>
    <cellStyle name="Normal 2 2 2 20 7" xfId="21960" xr:uid="{00000000-0005-0000-0000-0000B7520000}"/>
    <cellStyle name="Normal 2 2 2 20 7 2" xfId="21961" xr:uid="{00000000-0005-0000-0000-0000B8520000}"/>
    <cellStyle name="Normal 2 2 2 20 7 3" xfId="21962" xr:uid="{00000000-0005-0000-0000-0000B9520000}"/>
    <cellStyle name="Normal 2 2 2 20 7 4" xfId="21963" xr:uid="{00000000-0005-0000-0000-0000BA520000}"/>
    <cellStyle name="Normal 2 2 2 20 7 5" xfId="21964" xr:uid="{00000000-0005-0000-0000-0000BB520000}"/>
    <cellStyle name="Normal 2 2 2 20 7 6" xfId="21965" xr:uid="{00000000-0005-0000-0000-0000BC520000}"/>
    <cellStyle name="Normal 2 2 2 20 8" xfId="21966" xr:uid="{00000000-0005-0000-0000-0000BD520000}"/>
    <cellStyle name="Normal 2 2 2 20 8 2" xfId="21967" xr:uid="{00000000-0005-0000-0000-0000BE520000}"/>
    <cellStyle name="Normal 2 2 2 20 8 3" xfId="21968" xr:uid="{00000000-0005-0000-0000-0000BF520000}"/>
    <cellStyle name="Normal 2 2 2 20 8 4" xfId="21969" xr:uid="{00000000-0005-0000-0000-0000C0520000}"/>
    <cellStyle name="Normal 2 2 2 20 8 5" xfId="21970" xr:uid="{00000000-0005-0000-0000-0000C1520000}"/>
    <cellStyle name="Normal 2 2 2 20 8 6" xfId="21971" xr:uid="{00000000-0005-0000-0000-0000C2520000}"/>
    <cellStyle name="Normal 2 2 2 20 9" xfId="21972" xr:uid="{00000000-0005-0000-0000-0000C3520000}"/>
    <cellStyle name="Normal 2 2 2 21" xfId="21973" xr:uid="{00000000-0005-0000-0000-0000C4520000}"/>
    <cellStyle name="Normal 2 2 2 21 10" xfId="21974" xr:uid="{00000000-0005-0000-0000-0000C5520000}"/>
    <cellStyle name="Normal 2 2 2 21 11" xfId="21975" xr:uid="{00000000-0005-0000-0000-0000C6520000}"/>
    <cellStyle name="Normal 2 2 2 21 12" xfId="21976" xr:uid="{00000000-0005-0000-0000-0000C7520000}"/>
    <cellStyle name="Normal 2 2 2 21 13" xfId="21977" xr:uid="{00000000-0005-0000-0000-0000C8520000}"/>
    <cellStyle name="Normal 2 2 2 21 14" xfId="21978" xr:uid="{00000000-0005-0000-0000-0000C9520000}"/>
    <cellStyle name="Normal 2 2 2 21 2" xfId="21979" xr:uid="{00000000-0005-0000-0000-0000CA520000}"/>
    <cellStyle name="Normal 2 2 2 21 2 2" xfId="21980" xr:uid="{00000000-0005-0000-0000-0000CB520000}"/>
    <cellStyle name="Normal 2 2 2 21 2 3" xfId="21981" xr:uid="{00000000-0005-0000-0000-0000CC520000}"/>
    <cellStyle name="Normal 2 2 2 21 2 4" xfId="21982" xr:uid="{00000000-0005-0000-0000-0000CD520000}"/>
    <cellStyle name="Normal 2 2 2 21 2 5" xfId="21983" xr:uid="{00000000-0005-0000-0000-0000CE520000}"/>
    <cellStyle name="Normal 2 2 2 21 2 6" xfId="21984" xr:uid="{00000000-0005-0000-0000-0000CF520000}"/>
    <cellStyle name="Normal 2 2 2 21 3" xfId="21985" xr:uid="{00000000-0005-0000-0000-0000D0520000}"/>
    <cellStyle name="Normal 2 2 2 21 3 2" xfId="21986" xr:uid="{00000000-0005-0000-0000-0000D1520000}"/>
    <cellStyle name="Normal 2 2 2 21 3 3" xfId="21987" xr:uid="{00000000-0005-0000-0000-0000D2520000}"/>
    <cellStyle name="Normal 2 2 2 21 3 4" xfId="21988" xr:uid="{00000000-0005-0000-0000-0000D3520000}"/>
    <cellStyle name="Normal 2 2 2 21 3 5" xfId="21989" xr:uid="{00000000-0005-0000-0000-0000D4520000}"/>
    <cellStyle name="Normal 2 2 2 21 3 6" xfId="21990" xr:uid="{00000000-0005-0000-0000-0000D5520000}"/>
    <cellStyle name="Normal 2 2 2 21 4" xfId="21991" xr:uid="{00000000-0005-0000-0000-0000D6520000}"/>
    <cellStyle name="Normal 2 2 2 21 4 2" xfId="21992" xr:uid="{00000000-0005-0000-0000-0000D7520000}"/>
    <cellStyle name="Normal 2 2 2 21 4 3" xfId="21993" xr:uid="{00000000-0005-0000-0000-0000D8520000}"/>
    <cellStyle name="Normal 2 2 2 21 4 4" xfId="21994" xr:uid="{00000000-0005-0000-0000-0000D9520000}"/>
    <cellStyle name="Normal 2 2 2 21 4 5" xfId="21995" xr:uid="{00000000-0005-0000-0000-0000DA520000}"/>
    <cellStyle name="Normal 2 2 2 21 4 6" xfId="21996" xr:uid="{00000000-0005-0000-0000-0000DB520000}"/>
    <cellStyle name="Normal 2 2 2 21 5" xfId="21997" xr:uid="{00000000-0005-0000-0000-0000DC520000}"/>
    <cellStyle name="Normal 2 2 2 21 5 2" xfId="21998" xr:uid="{00000000-0005-0000-0000-0000DD520000}"/>
    <cellStyle name="Normal 2 2 2 21 5 3" xfId="21999" xr:uid="{00000000-0005-0000-0000-0000DE520000}"/>
    <cellStyle name="Normal 2 2 2 21 5 4" xfId="22000" xr:uid="{00000000-0005-0000-0000-0000DF520000}"/>
    <cellStyle name="Normal 2 2 2 21 5 5" xfId="22001" xr:uid="{00000000-0005-0000-0000-0000E0520000}"/>
    <cellStyle name="Normal 2 2 2 21 5 6" xfId="22002" xr:uid="{00000000-0005-0000-0000-0000E1520000}"/>
    <cellStyle name="Normal 2 2 2 21 6" xfId="22003" xr:uid="{00000000-0005-0000-0000-0000E2520000}"/>
    <cellStyle name="Normal 2 2 2 21 6 2" xfId="22004" xr:uid="{00000000-0005-0000-0000-0000E3520000}"/>
    <cellStyle name="Normal 2 2 2 21 6 3" xfId="22005" xr:uid="{00000000-0005-0000-0000-0000E4520000}"/>
    <cellStyle name="Normal 2 2 2 21 6 4" xfId="22006" xr:uid="{00000000-0005-0000-0000-0000E5520000}"/>
    <cellStyle name="Normal 2 2 2 21 6 5" xfId="22007" xr:uid="{00000000-0005-0000-0000-0000E6520000}"/>
    <cellStyle name="Normal 2 2 2 21 6 6" xfId="22008" xr:uid="{00000000-0005-0000-0000-0000E7520000}"/>
    <cellStyle name="Normal 2 2 2 21 7" xfId="22009" xr:uid="{00000000-0005-0000-0000-0000E8520000}"/>
    <cellStyle name="Normal 2 2 2 21 7 2" xfId="22010" xr:uid="{00000000-0005-0000-0000-0000E9520000}"/>
    <cellStyle name="Normal 2 2 2 21 7 3" xfId="22011" xr:uid="{00000000-0005-0000-0000-0000EA520000}"/>
    <cellStyle name="Normal 2 2 2 21 7 4" xfId="22012" xr:uid="{00000000-0005-0000-0000-0000EB520000}"/>
    <cellStyle name="Normal 2 2 2 21 7 5" xfId="22013" xr:uid="{00000000-0005-0000-0000-0000EC520000}"/>
    <cellStyle name="Normal 2 2 2 21 7 6" xfId="22014" xr:uid="{00000000-0005-0000-0000-0000ED520000}"/>
    <cellStyle name="Normal 2 2 2 21 8" xfId="22015" xr:uid="{00000000-0005-0000-0000-0000EE520000}"/>
    <cellStyle name="Normal 2 2 2 21 8 2" xfId="22016" xr:uid="{00000000-0005-0000-0000-0000EF520000}"/>
    <cellStyle name="Normal 2 2 2 21 8 3" xfId="22017" xr:uid="{00000000-0005-0000-0000-0000F0520000}"/>
    <cellStyle name="Normal 2 2 2 21 8 4" xfId="22018" xr:uid="{00000000-0005-0000-0000-0000F1520000}"/>
    <cellStyle name="Normal 2 2 2 21 8 5" xfId="22019" xr:uid="{00000000-0005-0000-0000-0000F2520000}"/>
    <cellStyle name="Normal 2 2 2 21 8 6" xfId="22020" xr:uid="{00000000-0005-0000-0000-0000F3520000}"/>
    <cellStyle name="Normal 2 2 2 21 9" xfId="22021" xr:uid="{00000000-0005-0000-0000-0000F4520000}"/>
    <cellStyle name="Normal 2 2 2 22" xfId="22022" xr:uid="{00000000-0005-0000-0000-0000F5520000}"/>
    <cellStyle name="Normal 2 2 2 22 10" xfId="22023" xr:uid="{00000000-0005-0000-0000-0000F6520000}"/>
    <cellStyle name="Normal 2 2 2 22 11" xfId="22024" xr:uid="{00000000-0005-0000-0000-0000F7520000}"/>
    <cellStyle name="Normal 2 2 2 22 12" xfId="22025" xr:uid="{00000000-0005-0000-0000-0000F8520000}"/>
    <cellStyle name="Normal 2 2 2 22 13" xfId="22026" xr:uid="{00000000-0005-0000-0000-0000F9520000}"/>
    <cellStyle name="Normal 2 2 2 22 14" xfId="22027" xr:uid="{00000000-0005-0000-0000-0000FA520000}"/>
    <cellStyle name="Normal 2 2 2 22 2" xfId="22028" xr:uid="{00000000-0005-0000-0000-0000FB520000}"/>
    <cellStyle name="Normal 2 2 2 22 2 2" xfId="22029" xr:uid="{00000000-0005-0000-0000-0000FC520000}"/>
    <cellStyle name="Normal 2 2 2 22 2 3" xfId="22030" xr:uid="{00000000-0005-0000-0000-0000FD520000}"/>
    <cellStyle name="Normal 2 2 2 22 2 4" xfId="22031" xr:uid="{00000000-0005-0000-0000-0000FE520000}"/>
    <cellStyle name="Normal 2 2 2 22 2 5" xfId="22032" xr:uid="{00000000-0005-0000-0000-0000FF520000}"/>
    <cellStyle name="Normal 2 2 2 22 2 6" xfId="22033" xr:uid="{00000000-0005-0000-0000-000000530000}"/>
    <cellStyle name="Normal 2 2 2 22 3" xfId="22034" xr:uid="{00000000-0005-0000-0000-000001530000}"/>
    <cellStyle name="Normal 2 2 2 22 3 2" xfId="22035" xr:uid="{00000000-0005-0000-0000-000002530000}"/>
    <cellStyle name="Normal 2 2 2 22 3 3" xfId="22036" xr:uid="{00000000-0005-0000-0000-000003530000}"/>
    <cellStyle name="Normal 2 2 2 22 3 4" xfId="22037" xr:uid="{00000000-0005-0000-0000-000004530000}"/>
    <cellStyle name="Normal 2 2 2 22 3 5" xfId="22038" xr:uid="{00000000-0005-0000-0000-000005530000}"/>
    <cellStyle name="Normal 2 2 2 22 3 6" xfId="22039" xr:uid="{00000000-0005-0000-0000-000006530000}"/>
    <cellStyle name="Normal 2 2 2 22 4" xfId="22040" xr:uid="{00000000-0005-0000-0000-000007530000}"/>
    <cellStyle name="Normal 2 2 2 22 4 2" xfId="22041" xr:uid="{00000000-0005-0000-0000-000008530000}"/>
    <cellStyle name="Normal 2 2 2 22 4 3" xfId="22042" xr:uid="{00000000-0005-0000-0000-000009530000}"/>
    <cellStyle name="Normal 2 2 2 22 4 4" xfId="22043" xr:uid="{00000000-0005-0000-0000-00000A530000}"/>
    <cellStyle name="Normal 2 2 2 22 4 5" xfId="22044" xr:uid="{00000000-0005-0000-0000-00000B530000}"/>
    <cellStyle name="Normal 2 2 2 22 4 6" xfId="22045" xr:uid="{00000000-0005-0000-0000-00000C530000}"/>
    <cellStyle name="Normal 2 2 2 22 5" xfId="22046" xr:uid="{00000000-0005-0000-0000-00000D530000}"/>
    <cellStyle name="Normal 2 2 2 22 5 2" xfId="22047" xr:uid="{00000000-0005-0000-0000-00000E530000}"/>
    <cellStyle name="Normal 2 2 2 22 5 3" xfId="22048" xr:uid="{00000000-0005-0000-0000-00000F530000}"/>
    <cellStyle name="Normal 2 2 2 22 5 4" xfId="22049" xr:uid="{00000000-0005-0000-0000-000010530000}"/>
    <cellStyle name="Normal 2 2 2 22 5 5" xfId="22050" xr:uid="{00000000-0005-0000-0000-000011530000}"/>
    <cellStyle name="Normal 2 2 2 22 5 6" xfId="22051" xr:uid="{00000000-0005-0000-0000-000012530000}"/>
    <cellStyle name="Normal 2 2 2 22 6" xfId="22052" xr:uid="{00000000-0005-0000-0000-000013530000}"/>
    <cellStyle name="Normal 2 2 2 22 6 2" xfId="22053" xr:uid="{00000000-0005-0000-0000-000014530000}"/>
    <cellStyle name="Normal 2 2 2 22 6 3" xfId="22054" xr:uid="{00000000-0005-0000-0000-000015530000}"/>
    <cellStyle name="Normal 2 2 2 22 6 4" xfId="22055" xr:uid="{00000000-0005-0000-0000-000016530000}"/>
    <cellStyle name="Normal 2 2 2 22 6 5" xfId="22056" xr:uid="{00000000-0005-0000-0000-000017530000}"/>
    <cellStyle name="Normal 2 2 2 22 6 6" xfId="22057" xr:uid="{00000000-0005-0000-0000-000018530000}"/>
    <cellStyle name="Normal 2 2 2 22 7" xfId="22058" xr:uid="{00000000-0005-0000-0000-000019530000}"/>
    <cellStyle name="Normal 2 2 2 22 7 2" xfId="22059" xr:uid="{00000000-0005-0000-0000-00001A530000}"/>
    <cellStyle name="Normal 2 2 2 22 7 3" xfId="22060" xr:uid="{00000000-0005-0000-0000-00001B530000}"/>
    <cellStyle name="Normal 2 2 2 22 7 4" xfId="22061" xr:uid="{00000000-0005-0000-0000-00001C530000}"/>
    <cellStyle name="Normal 2 2 2 22 7 5" xfId="22062" xr:uid="{00000000-0005-0000-0000-00001D530000}"/>
    <cellStyle name="Normal 2 2 2 22 7 6" xfId="22063" xr:uid="{00000000-0005-0000-0000-00001E530000}"/>
    <cellStyle name="Normal 2 2 2 22 8" xfId="22064" xr:uid="{00000000-0005-0000-0000-00001F530000}"/>
    <cellStyle name="Normal 2 2 2 22 8 2" xfId="22065" xr:uid="{00000000-0005-0000-0000-000020530000}"/>
    <cellStyle name="Normal 2 2 2 22 8 3" xfId="22066" xr:uid="{00000000-0005-0000-0000-000021530000}"/>
    <cellStyle name="Normal 2 2 2 22 8 4" xfId="22067" xr:uid="{00000000-0005-0000-0000-000022530000}"/>
    <cellStyle name="Normal 2 2 2 22 8 5" xfId="22068" xr:uid="{00000000-0005-0000-0000-000023530000}"/>
    <cellStyle name="Normal 2 2 2 22 8 6" xfId="22069" xr:uid="{00000000-0005-0000-0000-000024530000}"/>
    <cellStyle name="Normal 2 2 2 22 9" xfId="22070" xr:uid="{00000000-0005-0000-0000-000025530000}"/>
    <cellStyle name="Normal 2 2 2 23" xfId="22071" xr:uid="{00000000-0005-0000-0000-000026530000}"/>
    <cellStyle name="Normal 2 2 2 23 10" xfId="22072" xr:uid="{00000000-0005-0000-0000-000027530000}"/>
    <cellStyle name="Normal 2 2 2 23 11" xfId="22073" xr:uid="{00000000-0005-0000-0000-000028530000}"/>
    <cellStyle name="Normal 2 2 2 23 12" xfId="22074" xr:uid="{00000000-0005-0000-0000-000029530000}"/>
    <cellStyle name="Normal 2 2 2 23 13" xfId="22075" xr:uid="{00000000-0005-0000-0000-00002A530000}"/>
    <cellStyle name="Normal 2 2 2 23 14" xfId="22076" xr:uid="{00000000-0005-0000-0000-00002B530000}"/>
    <cellStyle name="Normal 2 2 2 23 2" xfId="22077" xr:uid="{00000000-0005-0000-0000-00002C530000}"/>
    <cellStyle name="Normal 2 2 2 23 2 2" xfId="22078" xr:uid="{00000000-0005-0000-0000-00002D530000}"/>
    <cellStyle name="Normal 2 2 2 23 2 3" xfId="22079" xr:uid="{00000000-0005-0000-0000-00002E530000}"/>
    <cellStyle name="Normal 2 2 2 23 2 4" xfId="22080" xr:uid="{00000000-0005-0000-0000-00002F530000}"/>
    <cellStyle name="Normal 2 2 2 23 2 5" xfId="22081" xr:uid="{00000000-0005-0000-0000-000030530000}"/>
    <cellStyle name="Normal 2 2 2 23 2 6" xfId="22082" xr:uid="{00000000-0005-0000-0000-000031530000}"/>
    <cellStyle name="Normal 2 2 2 23 3" xfId="22083" xr:uid="{00000000-0005-0000-0000-000032530000}"/>
    <cellStyle name="Normal 2 2 2 23 3 2" xfId="22084" xr:uid="{00000000-0005-0000-0000-000033530000}"/>
    <cellStyle name="Normal 2 2 2 23 3 3" xfId="22085" xr:uid="{00000000-0005-0000-0000-000034530000}"/>
    <cellStyle name="Normal 2 2 2 23 3 4" xfId="22086" xr:uid="{00000000-0005-0000-0000-000035530000}"/>
    <cellStyle name="Normal 2 2 2 23 3 5" xfId="22087" xr:uid="{00000000-0005-0000-0000-000036530000}"/>
    <cellStyle name="Normal 2 2 2 23 3 6" xfId="22088" xr:uid="{00000000-0005-0000-0000-000037530000}"/>
    <cellStyle name="Normal 2 2 2 23 4" xfId="22089" xr:uid="{00000000-0005-0000-0000-000038530000}"/>
    <cellStyle name="Normal 2 2 2 23 4 2" xfId="22090" xr:uid="{00000000-0005-0000-0000-000039530000}"/>
    <cellStyle name="Normal 2 2 2 23 4 3" xfId="22091" xr:uid="{00000000-0005-0000-0000-00003A530000}"/>
    <cellStyle name="Normal 2 2 2 23 4 4" xfId="22092" xr:uid="{00000000-0005-0000-0000-00003B530000}"/>
    <cellStyle name="Normal 2 2 2 23 4 5" xfId="22093" xr:uid="{00000000-0005-0000-0000-00003C530000}"/>
    <cellStyle name="Normal 2 2 2 23 4 6" xfId="22094" xr:uid="{00000000-0005-0000-0000-00003D530000}"/>
    <cellStyle name="Normal 2 2 2 23 5" xfId="22095" xr:uid="{00000000-0005-0000-0000-00003E530000}"/>
    <cellStyle name="Normal 2 2 2 23 5 2" xfId="22096" xr:uid="{00000000-0005-0000-0000-00003F530000}"/>
    <cellStyle name="Normal 2 2 2 23 5 3" xfId="22097" xr:uid="{00000000-0005-0000-0000-000040530000}"/>
    <cellStyle name="Normal 2 2 2 23 5 4" xfId="22098" xr:uid="{00000000-0005-0000-0000-000041530000}"/>
    <cellStyle name="Normal 2 2 2 23 5 5" xfId="22099" xr:uid="{00000000-0005-0000-0000-000042530000}"/>
    <cellStyle name="Normal 2 2 2 23 5 6" xfId="22100" xr:uid="{00000000-0005-0000-0000-000043530000}"/>
    <cellStyle name="Normal 2 2 2 23 6" xfId="22101" xr:uid="{00000000-0005-0000-0000-000044530000}"/>
    <cellStyle name="Normal 2 2 2 23 6 2" xfId="22102" xr:uid="{00000000-0005-0000-0000-000045530000}"/>
    <cellStyle name="Normal 2 2 2 23 6 3" xfId="22103" xr:uid="{00000000-0005-0000-0000-000046530000}"/>
    <cellStyle name="Normal 2 2 2 23 6 4" xfId="22104" xr:uid="{00000000-0005-0000-0000-000047530000}"/>
    <cellStyle name="Normal 2 2 2 23 6 5" xfId="22105" xr:uid="{00000000-0005-0000-0000-000048530000}"/>
    <cellStyle name="Normal 2 2 2 23 6 6" xfId="22106" xr:uid="{00000000-0005-0000-0000-000049530000}"/>
    <cellStyle name="Normal 2 2 2 23 7" xfId="22107" xr:uid="{00000000-0005-0000-0000-00004A530000}"/>
    <cellStyle name="Normal 2 2 2 23 7 2" xfId="22108" xr:uid="{00000000-0005-0000-0000-00004B530000}"/>
    <cellStyle name="Normal 2 2 2 23 7 3" xfId="22109" xr:uid="{00000000-0005-0000-0000-00004C530000}"/>
    <cellStyle name="Normal 2 2 2 23 7 4" xfId="22110" xr:uid="{00000000-0005-0000-0000-00004D530000}"/>
    <cellStyle name="Normal 2 2 2 23 7 5" xfId="22111" xr:uid="{00000000-0005-0000-0000-00004E530000}"/>
    <cellStyle name="Normal 2 2 2 23 7 6" xfId="22112" xr:uid="{00000000-0005-0000-0000-00004F530000}"/>
    <cellStyle name="Normal 2 2 2 23 8" xfId="22113" xr:uid="{00000000-0005-0000-0000-000050530000}"/>
    <cellStyle name="Normal 2 2 2 23 8 2" xfId="22114" xr:uid="{00000000-0005-0000-0000-000051530000}"/>
    <cellStyle name="Normal 2 2 2 23 8 3" xfId="22115" xr:uid="{00000000-0005-0000-0000-000052530000}"/>
    <cellStyle name="Normal 2 2 2 23 8 4" xfId="22116" xr:uid="{00000000-0005-0000-0000-000053530000}"/>
    <cellStyle name="Normal 2 2 2 23 8 5" xfId="22117" xr:uid="{00000000-0005-0000-0000-000054530000}"/>
    <cellStyle name="Normal 2 2 2 23 8 6" xfId="22118" xr:uid="{00000000-0005-0000-0000-000055530000}"/>
    <cellStyle name="Normal 2 2 2 23 9" xfId="22119" xr:uid="{00000000-0005-0000-0000-000056530000}"/>
    <cellStyle name="Normal 2 2 2 24" xfId="22120" xr:uid="{00000000-0005-0000-0000-000057530000}"/>
    <cellStyle name="Normal 2 2 2 24 10" xfId="22121" xr:uid="{00000000-0005-0000-0000-000058530000}"/>
    <cellStyle name="Normal 2 2 2 24 11" xfId="22122" xr:uid="{00000000-0005-0000-0000-000059530000}"/>
    <cellStyle name="Normal 2 2 2 24 12" xfId="22123" xr:uid="{00000000-0005-0000-0000-00005A530000}"/>
    <cellStyle name="Normal 2 2 2 24 13" xfId="22124" xr:uid="{00000000-0005-0000-0000-00005B530000}"/>
    <cellStyle name="Normal 2 2 2 24 14" xfId="22125" xr:uid="{00000000-0005-0000-0000-00005C530000}"/>
    <cellStyle name="Normal 2 2 2 24 2" xfId="22126" xr:uid="{00000000-0005-0000-0000-00005D530000}"/>
    <cellStyle name="Normal 2 2 2 24 2 2" xfId="22127" xr:uid="{00000000-0005-0000-0000-00005E530000}"/>
    <cellStyle name="Normal 2 2 2 24 2 3" xfId="22128" xr:uid="{00000000-0005-0000-0000-00005F530000}"/>
    <cellStyle name="Normal 2 2 2 24 2 4" xfId="22129" xr:uid="{00000000-0005-0000-0000-000060530000}"/>
    <cellStyle name="Normal 2 2 2 24 2 5" xfId="22130" xr:uid="{00000000-0005-0000-0000-000061530000}"/>
    <cellStyle name="Normal 2 2 2 24 2 6" xfId="22131" xr:uid="{00000000-0005-0000-0000-000062530000}"/>
    <cellStyle name="Normal 2 2 2 24 3" xfId="22132" xr:uid="{00000000-0005-0000-0000-000063530000}"/>
    <cellStyle name="Normal 2 2 2 24 3 2" xfId="22133" xr:uid="{00000000-0005-0000-0000-000064530000}"/>
    <cellStyle name="Normal 2 2 2 24 3 3" xfId="22134" xr:uid="{00000000-0005-0000-0000-000065530000}"/>
    <cellStyle name="Normal 2 2 2 24 3 4" xfId="22135" xr:uid="{00000000-0005-0000-0000-000066530000}"/>
    <cellStyle name="Normal 2 2 2 24 3 5" xfId="22136" xr:uid="{00000000-0005-0000-0000-000067530000}"/>
    <cellStyle name="Normal 2 2 2 24 3 6" xfId="22137" xr:uid="{00000000-0005-0000-0000-000068530000}"/>
    <cellStyle name="Normal 2 2 2 24 4" xfId="22138" xr:uid="{00000000-0005-0000-0000-000069530000}"/>
    <cellStyle name="Normal 2 2 2 24 4 2" xfId="22139" xr:uid="{00000000-0005-0000-0000-00006A530000}"/>
    <cellStyle name="Normal 2 2 2 24 4 3" xfId="22140" xr:uid="{00000000-0005-0000-0000-00006B530000}"/>
    <cellStyle name="Normal 2 2 2 24 4 4" xfId="22141" xr:uid="{00000000-0005-0000-0000-00006C530000}"/>
    <cellStyle name="Normal 2 2 2 24 4 5" xfId="22142" xr:uid="{00000000-0005-0000-0000-00006D530000}"/>
    <cellStyle name="Normal 2 2 2 24 4 6" xfId="22143" xr:uid="{00000000-0005-0000-0000-00006E530000}"/>
    <cellStyle name="Normal 2 2 2 24 5" xfId="22144" xr:uid="{00000000-0005-0000-0000-00006F530000}"/>
    <cellStyle name="Normal 2 2 2 24 5 2" xfId="22145" xr:uid="{00000000-0005-0000-0000-000070530000}"/>
    <cellStyle name="Normal 2 2 2 24 5 3" xfId="22146" xr:uid="{00000000-0005-0000-0000-000071530000}"/>
    <cellStyle name="Normal 2 2 2 24 5 4" xfId="22147" xr:uid="{00000000-0005-0000-0000-000072530000}"/>
    <cellStyle name="Normal 2 2 2 24 5 5" xfId="22148" xr:uid="{00000000-0005-0000-0000-000073530000}"/>
    <cellStyle name="Normal 2 2 2 24 5 6" xfId="22149" xr:uid="{00000000-0005-0000-0000-000074530000}"/>
    <cellStyle name="Normal 2 2 2 24 6" xfId="22150" xr:uid="{00000000-0005-0000-0000-000075530000}"/>
    <cellStyle name="Normal 2 2 2 24 6 2" xfId="22151" xr:uid="{00000000-0005-0000-0000-000076530000}"/>
    <cellStyle name="Normal 2 2 2 24 6 3" xfId="22152" xr:uid="{00000000-0005-0000-0000-000077530000}"/>
    <cellStyle name="Normal 2 2 2 24 6 4" xfId="22153" xr:uid="{00000000-0005-0000-0000-000078530000}"/>
    <cellStyle name="Normal 2 2 2 24 6 5" xfId="22154" xr:uid="{00000000-0005-0000-0000-000079530000}"/>
    <cellStyle name="Normal 2 2 2 24 6 6" xfId="22155" xr:uid="{00000000-0005-0000-0000-00007A530000}"/>
    <cellStyle name="Normal 2 2 2 24 7" xfId="22156" xr:uid="{00000000-0005-0000-0000-00007B530000}"/>
    <cellStyle name="Normal 2 2 2 24 7 2" xfId="22157" xr:uid="{00000000-0005-0000-0000-00007C530000}"/>
    <cellStyle name="Normal 2 2 2 24 7 3" xfId="22158" xr:uid="{00000000-0005-0000-0000-00007D530000}"/>
    <cellStyle name="Normal 2 2 2 24 7 4" xfId="22159" xr:uid="{00000000-0005-0000-0000-00007E530000}"/>
    <cellStyle name="Normal 2 2 2 24 7 5" xfId="22160" xr:uid="{00000000-0005-0000-0000-00007F530000}"/>
    <cellStyle name="Normal 2 2 2 24 7 6" xfId="22161" xr:uid="{00000000-0005-0000-0000-000080530000}"/>
    <cellStyle name="Normal 2 2 2 24 8" xfId="22162" xr:uid="{00000000-0005-0000-0000-000081530000}"/>
    <cellStyle name="Normal 2 2 2 24 8 2" xfId="22163" xr:uid="{00000000-0005-0000-0000-000082530000}"/>
    <cellStyle name="Normal 2 2 2 24 8 3" xfId="22164" xr:uid="{00000000-0005-0000-0000-000083530000}"/>
    <cellStyle name="Normal 2 2 2 24 8 4" xfId="22165" xr:uid="{00000000-0005-0000-0000-000084530000}"/>
    <cellStyle name="Normal 2 2 2 24 8 5" xfId="22166" xr:uid="{00000000-0005-0000-0000-000085530000}"/>
    <cellStyle name="Normal 2 2 2 24 8 6" xfId="22167" xr:uid="{00000000-0005-0000-0000-000086530000}"/>
    <cellStyle name="Normal 2 2 2 24 9" xfId="22168" xr:uid="{00000000-0005-0000-0000-000087530000}"/>
    <cellStyle name="Normal 2 2 2 25" xfId="22169" xr:uid="{00000000-0005-0000-0000-000088530000}"/>
    <cellStyle name="Normal 2 2 2 25 10" xfId="22170" xr:uid="{00000000-0005-0000-0000-000089530000}"/>
    <cellStyle name="Normal 2 2 2 25 11" xfId="22171" xr:uid="{00000000-0005-0000-0000-00008A530000}"/>
    <cellStyle name="Normal 2 2 2 25 12" xfId="22172" xr:uid="{00000000-0005-0000-0000-00008B530000}"/>
    <cellStyle name="Normal 2 2 2 25 13" xfId="22173" xr:uid="{00000000-0005-0000-0000-00008C530000}"/>
    <cellStyle name="Normal 2 2 2 25 14" xfId="22174" xr:uid="{00000000-0005-0000-0000-00008D530000}"/>
    <cellStyle name="Normal 2 2 2 25 2" xfId="22175" xr:uid="{00000000-0005-0000-0000-00008E530000}"/>
    <cellStyle name="Normal 2 2 2 25 2 2" xfId="22176" xr:uid="{00000000-0005-0000-0000-00008F530000}"/>
    <cellStyle name="Normal 2 2 2 25 2 3" xfId="22177" xr:uid="{00000000-0005-0000-0000-000090530000}"/>
    <cellStyle name="Normal 2 2 2 25 2 4" xfId="22178" xr:uid="{00000000-0005-0000-0000-000091530000}"/>
    <cellStyle name="Normal 2 2 2 25 2 5" xfId="22179" xr:uid="{00000000-0005-0000-0000-000092530000}"/>
    <cellStyle name="Normal 2 2 2 25 2 6" xfId="22180" xr:uid="{00000000-0005-0000-0000-000093530000}"/>
    <cellStyle name="Normal 2 2 2 25 3" xfId="22181" xr:uid="{00000000-0005-0000-0000-000094530000}"/>
    <cellStyle name="Normal 2 2 2 25 3 2" xfId="22182" xr:uid="{00000000-0005-0000-0000-000095530000}"/>
    <cellStyle name="Normal 2 2 2 25 3 3" xfId="22183" xr:uid="{00000000-0005-0000-0000-000096530000}"/>
    <cellStyle name="Normal 2 2 2 25 3 4" xfId="22184" xr:uid="{00000000-0005-0000-0000-000097530000}"/>
    <cellStyle name="Normal 2 2 2 25 3 5" xfId="22185" xr:uid="{00000000-0005-0000-0000-000098530000}"/>
    <cellStyle name="Normal 2 2 2 25 3 6" xfId="22186" xr:uid="{00000000-0005-0000-0000-000099530000}"/>
    <cellStyle name="Normal 2 2 2 25 4" xfId="22187" xr:uid="{00000000-0005-0000-0000-00009A530000}"/>
    <cellStyle name="Normal 2 2 2 25 4 2" xfId="22188" xr:uid="{00000000-0005-0000-0000-00009B530000}"/>
    <cellStyle name="Normal 2 2 2 25 4 3" xfId="22189" xr:uid="{00000000-0005-0000-0000-00009C530000}"/>
    <cellStyle name="Normal 2 2 2 25 4 4" xfId="22190" xr:uid="{00000000-0005-0000-0000-00009D530000}"/>
    <cellStyle name="Normal 2 2 2 25 4 5" xfId="22191" xr:uid="{00000000-0005-0000-0000-00009E530000}"/>
    <cellStyle name="Normal 2 2 2 25 4 6" xfId="22192" xr:uid="{00000000-0005-0000-0000-00009F530000}"/>
    <cellStyle name="Normal 2 2 2 25 5" xfId="22193" xr:uid="{00000000-0005-0000-0000-0000A0530000}"/>
    <cellStyle name="Normal 2 2 2 25 5 2" xfId="22194" xr:uid="{00000000-0005-0000-0000-0000A1530000}"/>
    <cellStyle name="Normal 2 2 2 25 5 3" xfId="22195" xr:uid="{00000000-0005-0000-0000-0000A2530000}"/>
    <cellStyle name="Normal 2 2 2 25 5 4" xfId="22196" xr:uid="{00000000-0005-0000-0000-0000A3530000}"/>
    <cellStyle name="Normal 2 2 2 25 5 5" xfId="22197" xr:uid="{00000000-0005-0000-0000-0000A4530000}"/>
    <cellStyle name="Normal 2 2 2 25 5 6" xfId="22198" xr:uid="{00000000-0005-0000-0000-0000A5530000}"/>
    <cellStyle name="Normal 2 2 2 25 6" xfId="22199" xr:uid="{00000000-0005-0000-0000-0000A6530000}"/>
    <cellStyle name="Normal 2 2 2 25 6 2" xfId="22200" xr:uid="{00000000-0005-0000-0000-0000A7530000}"/>
    <cellStyle name="Normal 2 2 2 25 6 3" xfId="22201" xr:uid="{00000000-0005-0000-0000-0000A8530000}"/>
    <cellStyle name="Normal 2 2 2 25 6 4" xfId="22202" xr:uid="{00000000-0005-0000-0000-0000A9530000}"/>
    <cellStyle name="Normal 2 2 2 25 6 5" xfId="22203" xr:uid="{00000000-0005-0000-0000-0000AA530000}"/>
    <cellStyle name="Normal 2 2 2 25 6 6" xfId="22204" xr:uid="{00000000-0005-0000-0000-0000AB530000}"/>
    <cellStyle name="Normal 2 2 2 25 7" xfId="22205" xr:uid="{00000000-0005-0000-0000-0000AC530000}"/>
    <cellStyle name="Normal 2 2 2 25 7 2" xfId="22206" xr:uid="{00000000-0005-0000-0000-0000AD530000}"/>
    <cellStyle name="Normal 2 2 2 25 7 3" xfId="22207" xr:uid="{00000000-0005-0000-0000-0000AE530000}"/>
    <cellStyle name="Normal 2 2 2 25 7 4" xfId="22208" xr:uid="{00000000-0005-0000-0000-0000AF530000}"/>
    <cellStyle name="Normal 2 2 2 25 7 5" xfId="22209" xr:uid="{00000000-0005-0000-0000-0000B0530000}"/>
    <cellStyle name="Normal 2 2 2 25 7 6" xfId="22210" xr:uid="{00000000-0005-0000-0000-0000B1530000}"/>
    <cellStyle name="Normal 2 2 2 25 8" xfId="22211" xr:uid="{00000000-0005-0000-0000-0000B2530000}"/>
    <cellStyle name="Normal 2 2 2 25 8 2" xfId="22212" xr:uid="{00000000-0005-0000-0000-0000B3530000}"/>
    <cellStyle name="Normal 2 2 2 25 8 3" xfId="22213" xr:uid="{00000000-0005-0000-0000-0000B4530000}"/>
    <cellStyle name="Normal 2 2 2 25 8 4" xfId="22214" xr:uid="{00000000-0005-0000-0000-0000B5530000}"/>
    <cellStyle name="Normal 2 2 2 25 8 5" xfId="22215" xr:uid="{00000000-0005-0000-0000-0000B6530000}"/>
    <cellStyle name="Normal 2 2 2 25 8 6" xfId="22216" xr:uid="{00000000-0005-0000-0000-0000B7530000}"/>
    <cellStyle name="Normal 2 2 2 25 9" xfId="22217" xr:uid="{00000000-0005-0000-0000-0000B8530000}"/>
    <cellStyle name="Normal 2 2 2 26" xfId="22218" xr:uid="{00000000-0005-0000-0000-0000B9530000}"/>
    <cellStyle name="Normal 2 2 2 26 10" xfId="22219" xr:uid="{00000000-0005-0000-0000-0000BA530000}"/>
    <cellStyle name="Normal 2 2 2 26 11" xfId="22220" xr:uid="{00000000-0005-0000-0000-0000BB530000}"/>
    <cellStyle name="Normal 2 2 2 26 12" xfId="22221" xr:uid="{00000000-0005-0000-0000-0000BC530000}"/>
    <cellStyle name="Normal 2 2 2 26 13" xfId="22222" xr:uid="{00000000-0005-0000-0000-0000BD530000}"/>
    <cellStyle name="Normal 2 2 2 26 14" xfId="22223" xr:uid="{00000000-0005-0000-0000-0000BE530000}"/>
    <cellStyle name="Normal 2 2 2 26 2" xfId="22224" xr:uid="{00000000-0005-0000-0000-0000BF530000}"/>
    <cellStyle name="Normal 2 2 2 26 2 2" xfId="22225" xr:uid="{00000000-0005-0000-0000-0000C0530000}"/>
    <cellStyle name="Normal 2 2 2 26 2 3" xfId="22226" xr:uid="{00000000-0005-0000-0000-0000C1530000}"/>
    <cellStyle name="Normal 2 2 2 26 2 4" xfId="22227" xr:uid="{00000000-0005-0000-0000-0000C2530000}"/>
    <cellStyle name="Normal 2 2 2 26 2 5" xfId="22228" xr:uid="{00000000-0005-0000-0000-0000C3530000}"/>
    <cellStyle name="Normal 2 2 2 26 2 6" xfId="22229" xr:uid="{00000000-0005-0000-0000-0000C4530000}"/>
    <cellStyle name="Normal 2 2 2 26 3" xfId="22230" xr:uid="{00000000-0005-0000-0000-0000C5530000}"/>
    <cellStyle name="Normal 2 2 2 26 3 2" xfId="22231" xr:uid="{00000000-0005-0000-0000-0000C6530000}"/>
    <cellStyle name="Normal 2 2 2 26 3 3" xfId="22232" xr:uid="{00000000-0005-0000-0000-0000C7530000}"/>
    <cellStyle name="Normal 2 2 2 26 3 4" xfId="22233" xr:uid="{00000000-0005-0000-0000-0000C8530000}"/>
    <cellStyle name="Normal 2 2 2 26 3 5" xfId="22234" xr:uid="{00000000-0005-0000-0000-0000C9530000}"/>
    <cellStyle name="Normal 2 2 2 26 3 6" xfId="22235" xr:uid="{00000000-0005-0000-0000-0000CA530000}"/>
    <cellStyle name="Normal 2 2 2 26 4" xfId="22236" xr:uid="{00000000-0005-0000-0000-0000CB530000}"/>
    <cellStyle name="Normal 2 2 2 26 4 2" xfId="22237" xr:uid="{00000000-0005-0000-0000-0000CC530000}"/>
    <cellStyle name="Normal 2 2 2 26 4 3" xfId="22238" xr:uid="{00000000-0005-0000-0000-0000CD530000}"/>
    <cellStyle name="Normal 2 2 2 26 4 4" xfId="22239" xr:uid="{00000000-0005-0000-0000-0000CE530000}"/>
    <cellStyle name="Normal 2 2 2 26 4 5" xfId="22240" xr:uid="{00000000-0005-0000-0000-0000CF530000}"/>
    <cellStyle name="Normal 2 2 2 26 4 6" xfId="22241" xr:uid="{00000000-0005-0000-0000-0000D0530000}"/>
    <cellStyle name="Normal 2 2 2 26 5" xfId="22242" xr:uid="{00000000-0005-0000-0000-0000D1530000}"/>
    <cellStyle name="Normal 2 2 2 26 5 2" xfId="22243" xr:uid="{00000000-0005-0000-0000-0000D2530000}"/>
    <cellStyle name="Normal 2 2 2 26 5 3" xfId="22244" xr:uid="{00000000-0005-0000-0000-0000D3530000}"/>
    <cellStyle name="Normal 2 2 2 26 5 4" xfId="22245" xr:uid="{00000000-0005-0000-0000-0000D4530000}"/>
    <cellStyle name="Normal 2 2 2 26 5 5" xfId="22246" xr:uid="{00000000-0005-0000-0000-0000D5530000}"/>
    <cellStyle name="Normal 2 2 2 26 5 6" xfId="22247" xr:uid="{00000000-0005-0000-0000-0000D6530000}"/>
    <cellStyle name="Normal 2 2 2 26 6" xfId="22248" xr:uid="{00000000-0005-0000-0000-0000D7530000}"/>
    <cellStyle name="Normal 2 2 2 26 6 2" xfId="22249" xr:uid="{00000000-0005-0000-0000-0000D8530000}"/>
    <cellStyle name="Normal 2 2 2 26 6 3" xfId="22250" xr:uid="{00000000-0005-0000-0000-0000D9530000}"/>
    <cellStyle name="Normal 2 2 2 26 6 4" xfId="22251" xr:uid="{00000000-0005-0000-0000-0000DA530000}"/>
    <cellStyle name="Normal 2 2 2 26 6 5" xfId="22252" xr:uid="{00000000-0005-0000-0000-0000DB530000}"/>
    <cellStyle name="Normal 2 2 2 26 6 6" xfId="22253" xr:uid="{00000000-0005-0000-0000-0000DC530000}"/>
    <cellStyle name="Normal 2 2 2 26 7" xfId="22254" xr:uid="{00000000-0005-0000-0000-0000DD530000}"/>
    <cellStyle name="Normal 2 2 2 26 7 2" xfId="22255" xr:uid="{00000000-0005-0000-0000-0000DE530000}"/>
    <cellStyle name="Normal 2 2 2 26 7 3" xfId="22256" xr:uid="{00000000-0005-0000-0000-0000DF530000}"/>
    <cellStyle name="Normal 2 2 2 26 7 4" xfId="22257" xr:uid="{00000000-0005-0000-0000-0000E0530000}"/>
    <cellStyle name="Normal 2 2 2 26 7 5" xfId="22258" xr:uid="{00000000-0005-0000-0000-0000E1530000}"/>
    <cellStyle name="Normal 2 2 2 26 7 6" xfId="22259" xr:uid="{00000000-0005-0000-0000-0000E2530000}"/>
    <cellStyle name="Normal 2 2 2 26 8" xfId="22260" xr:uid="{00000000-0005-0000-0000-0000E3530000}"/>
    <cellStyle name="Normal 2 2 2 26 8 2" xfId="22261" xr:uid="{00000000-0005-0000-0000-0000E4530000}"/>
    <cellStyle name="Normal 2 2 2 26 8 3" xfId="22262" xr:uid="{00000000-0005-0000-0000-0000E5530000}"/>
    <cellStyle name="Normal 2 2 2 26 8 4" xfId="22263" xr:uid="{00000000-0005-0000-0000-0000E6530000}"/>
    <cellStyle name="Normal 2 2 2 26 8 5" xfId="22264" xr:uid="{00000000-0005-0000-0000-0000E7530000}"/>
    <cellStyle name="Normal 2 2 2 26 8 6" xfId="22265" xr:uid="{00000000-0005-0000-0000-0000E8530000}"/>
    <cellStyle name="Normal 2 2 2 26 9" xfId="22266" xr:uid="{00000000-0005-0000-0000-0000E9530000}"/>
    <cellStyle name="Normal 2 2 2 27" xfId="22267" xr:uid="{00000000-0005-0000-0000-0000EA530000}"/>
    <cellStyle name="Normal 2 2 2 27 10" xfId="22268" xr:uid="{00000000-0005-0000-0000-0000EB530000}"/>
    <cellStyle name="Normal 2 2 2 27 11" xfId="22269" xr:uid="{00000000-0005-0000-0000-0000EC530000}"/>
    <cellStyle name="Normal 2 2 2 27 12" xfId="22270" xr:uid="{00000000-0005-0000-0000-0000ED530000}"/>
    <cellStyle name="Normal 2 2 2 27 13" xfId="22271" xr:uid="{00000000-0005-0000-0000-0000EE530000}"/>
    <cellStyle name="Normal 2 2 2 27 14" xfId="22272" xr:uid="{00000000-0005-0000-0000-0000EF530000}"/>
    <cellStyle name="Normal 2 2 2 27 2" xfId="22273" xr:uid="{00000000-0005-0000-0000-0000F0530000}"/>
    <cellStyle name="Normal 2 2 2 27 2 2" xfId="22274" xr:uid="{00000000-0005-0000-0000-0000F1530000}"/>
    <cellStyle name="Normal 2 2 2 27 2 3" xfId="22275" xr:uid="{00000000-0005-0000-0000-0000F2530000}"/>
    <cellStyle name="Normal 2 2 2 27 2 4" xfId="22276" xr:uid="{00000000-0005-0000-0000-0000F3530000}"/>
    <cellStyle name="Normal 2 2 2 27 2 5" xfId="22277" xr:uid="{00000000-0005-0000-0000-0000F4530000}"/>
    <cellStyle name="Normal 2 2 2 27 2 6" xfId="22278" xr:uid="{00000000-0005-0000-0000-0000F5530000}"/>
    <cellStyle name="Normal 2 2 2 27 3" xfId="22279" xr:uid="{00000000-0005-0000-0000-0000F6530000}"/>
    <cellStyle name="Normal 2 2 2 27 3 2" xfId="22280" xr:uid="{00000000-0005-0000-0000-0000F7530000}"/>
    <cellStyle name="Normal 2 2 2 27 3 3" xfId="22281" xr:uid="{00000000-0005-0000-0000-0000F8530000}"/>
    <cellStyle name="Normal 2 2 2 27 3 4" xfId="22282" xr:uid="{00000000-0005-0000-0000-0000F9530000}"/>
    <cellStyle name="Normal 2 2 2 27 3 5" xfId="22283" xr:uid="{00000000-0005-0000-0000-0000FA530000}"/>
    <cellStyle name="Normal 2 2 2 27 3 6" xfId="22284" xr:uid="{00000000-0005-0000-0000-0000FB530000}"/>
    <cellStyle name="Normal 2 2 2 27 4" xfId="22285" xr:uid="{00000000-0005-0000-0000-0000FC530000}"/>
    <cellStyle name="Normal 2 2 2 27 4 2" xfId="22286" xr:uid="{00000000-0005-0000-0000-0000FD530000}"/>
    <cellStyle name="Normal 2 2 2 27 4 3" xfId="22287" xr:uid="{00000000-0005-0000-0000-0000FE530000}"/>
    <cellStyle name="Normal 2 2 2 27 4 4" xfId="22288" xr:uid="{00000000-0005-0000-0000-0000FF530000}"/>
    <cellStyle name="Normal 2 2 2 27 4 5" xfId="22289" xr:uid="{00000000-0005-0000-0000-000000540000}"/>
    <cellStyle name="Normal 2 2 2 27 4 6" xfId="22290" xr:uid="{00000000-0005-0000-0000-000001540000}"/>
    <cellStyle name="Normal 2 2 2 27 5" xfId="22291" xr:uid="{00000000-0005-0000-0000-000002540000}"/>
    <cellStyle name="Normal 2 2 2 27 5 2" xfId="22292" xr:uid="{00000000-0005-0000-0000-000003540000}"/>
    <cellStyle name="Normal 2 2 2 27 5 3" xfId="22293" xr:uid="{00000000-0005-0000-0000-000004540000}"/>
    <cellStyle name="Normal 2 2 2 27 5 4" xfId="22294" xr:uid="{00000000-0005-0000-0000-000005540000}"/>
    <cellStyle name="Normal 2 2 2 27 5 5" xfId="22295" xr:uid="{00000000-0005-0000-0000-000006540000}"/>
    <cellStyle name="Normal 2 2 2 27 5 6" xfId="22296" xr:uid="{00000000-0005-0000-0000-000007540000}"/>
    <cellStyle name="Normal 2 2 2 27 6" xfId="22297" xr:uid="{00000000-0005-0000-0000-000008540000}"/>
    <cellStyle name="Normal 2 2 2 27 6 2" xfId="22298" xr:uid="{00000000-0005-0000-0000-000009540000}"/>
    <cellStyle name="Normal 2 2 2 27 6 3" xfId="22299" xr:uid="{00000000-0005-0000-0000-00000A540000}"/>
    <cellStyle name="Normal 2 2 2 27 6 4" xfId="22300" xr:uid="{00000000-0005-0000-0000-00000B540000}"/>
    <cellStyle name="Normal 2 2 2 27 6 5" xfId="22301" xr:uid="{00000000-0005-0000-0000-00000C540000}"/>
    <cellStyle name="Normal 2 2 2 27 6 6" xfId="22302" xr:uid="{00000000-0005-0000-0000-00000D540000}"/>
    <cellStyle name="Normal 2 2 2 27 7" xfId="22303" xr:uid="{00000000-0005-0000-0000-00000E540000}"/>
    <cellStyle name="Normal 2 2 2 27 7 2" xfId="22304" xr:uid="{00000000-0005-0000-0000-00000F540000}"/>
    <cellStyle name="Normal 2 2 2 27 7 3" xfId="22305" xr:uid="{00000000-0005-0000-0000-000010540000}"/>
    <cellStyle name="Normal 2 2 2 27 7 4" xfId="22306" xr:uid="{00000000-0005-0000-0000-000011540000}"/>
    <cellStyle name="Normal 2 2 2 27 7 5" xfId="22307" xr:uid="{00000000-0005-0000-0000-000012540000}"/>
    <cellStyle name="Normal 2 2 2 27 7 6" xfId="22308" xr:uid="{00000000-0005-0000-0000-000013540000}"/>
    <cellStyle name="Normal 2 2 2 27 8" xfId="22309" xr:uid="{00000000-0005-0000-0000-000014540000}"/>
    <cellStyle name="Normal 2 2 2 27 8 2" xfId="22310" xr:uid="{00000000-0005-0000-0000-000015540000}"/>
    <cellStyle name="Normal 2 2 2 27 8 3" xfId="22311" xr:uid="{00000000-0005-0000-0000-000016540000}"/>
    <cellStyle name="Normal 2 2 2 27 8 4" xfId="22312" xr:uid="{00000000-0005-0000-0000-000017540000}"/>
    <cellStyle name="Normal 2 2 2 27 8 5" xfId="22313" xr:uid="{00000000-0005-0000-0000-000018540000}"/>
    <cellStyle name="Normal 2 2 2 27 8 6" xfId="22314" xr:uid="{00000000-0005-0000-0000-000019540000}"/>
    <cellStyle name="Normal 2 2 2 27 9" xfId="22315" xr:uid="{00000000-0005-0000-0000-00001A540000}"/>
    <cellStyle name="Normal 2 2 2 28" xfId="22316" xr:uid="{00000000-0005-0000-0000-00001B540000}"/>
    <cellStyle name="Normal 2 2 2 28 10" xfId="22317" xr:uid="{00000000-0005-0000-0000-00001C540000}"/>
    <cellStyle name="Normal 2 2 2 28 11" xfId="22318" xr:uid="{00000000-0005-0000-0000-00001D540000}"/>
    <cellStyle name="Normal 2 2 2 28 12" xfId="22319" xr:uid="{00000000-0005-0000-0000-00001E540000}"/>
    <cellStyle name="Normal 2 2 2 28 13" xfId="22320" xr:uid="{00000000-0005-0000-0000-00001F540000}"/>
    <cellStyle name="Normal 2 2 2 28 14" xfId="22321" xr:uid="{00000000-0005-0000-0000-000020540000}"/>
    <cellStyle name="Normal 2 2 2 28 15" xfId="22322" xr:uid="{00000000-0005-0000-0000-000021540000}"/>
    <cellStyle name="Normal 2 2 2 28 16" xfId="22323" xr:uid="{00000000-0005-0000-0000-000022540000}"/>
    <cellStyle name="Normal 2 2 2 28 17" xfId="22324" xr:uid="{00000000-0005-0000-0000-000023540000}"/>
    <cellStyle name="Normal 2 2 2 28 18" xfId="22325" xr:uid="{00000000-0005-0000-0000-000024540000}"/>
    <cellStyle name="Normal 2 2 2 28 19" xfId="22326" xr:uid="{00000000-0005-0000-0000-000025540000}"/>
    <cellStyle name="Normal 2 2 2 28 2" xfId="22327" xr:uid="{00000000-0005-0000-0000-000026540000}"/>
    <cellStyle name="Normal 2 2 2 28 20" xfId="22328" xr:uid="{00000000-0005-0000-0000-000027540000}"/>
    <cellStyle name="Normal 2 2 2 28 21" xfId="22329" xr:uid="{00000000-0005-0000-0000-000028540000}"/>
    <cellStyle name="Normal 2 2 2 28 22" xfId="22330" xr:uid="{00000000-0005-0000-0000-000029540000}"/>
    <cellStyle name="Normal 2 2 2 28 23" xfId="22331" xr:uid="{00000000-0005-0000-0000-00002A540000}"/>
    <cellStyle name="Normal 2 2 2 28 24" xfId="22332" xr:uid="{00000000-0005-0000-0000-00002B540000}"/>
    <cellStyle name="Normal 2 2 2 28 25" xfId="22333" xr:uid="{00000000-0005-0000-0000-00002C540000}"/>
    <cellStyle name="Normal 2 2 2 28 26" xfId="22334" xr:uid="{00000000-0005-0000-0000-00002D540000}"/>
    <cellStyle name="Normal 2 2 2 28 27" xfId="22335" xr:uid="{00000000-0005-0000-0000-00002E540000}"/>
    <cellStyle name="Normal 2 2 2 28 28" xfId="22336" xr:uid="{00000000-0005-0000-0000-00002F540000}"/>
    <cellStyle name="Normal 2 2 2 28 29" xfId="22337" xr:uid="{00000000-0005-0000-0000-000030540000}"/>
    <cellStyle name="Normal 2 2 2 28 3" xfId="22338" xr:uid="{00000000-0005-0000-0000-000031540000}"/>
    <cellStyle name="Normal 2 2 2 28 30" xfId="22339" xr:uid="{00000000-0005-0000-0000-000032540000}"/>
    <cellStyle name="Normal 2 2 2 28 31" xfId="22340" xr:uid="{00000000-0005-0000-0000-000033540000}"/>
    <cellStyle name="Normal 2 2 2 28 32" xfId="22341" xr:uid="{00000000-0005-0000-0000-000034540000}"/>
    <cellStyle name="Normal 2 2 2 28 33" xfId="22342" xr:uid="{00000000-0005-0000-0000-000035540000}"/>
    <cellStyle name="Normal 2 2 2 28 34" xfId="22343" xr:uid="{00000000-0005-0000-0000-000036540000}"/>
    <cellStyle name="Normal 2 2 2 28 35" xfId="22344" xr:uid="{00000000-0005-0000-0000-000037540000}"/>
    <cellStyle name="Normal 2 2 2 28 36" xfId="22345" xr:uid="{00000000-0005-0000-0000-000038540000}"/>
    <cellStyle name="Normal 2 2 2 28 37" xfId="22346" xr:uid="{00000000-0005-0000-0000-000039540000}"/>
    <cellStyle name="Normal 2 2 2 28 38" xfId="22347" xr:uid="{00000000-0005-0000-0000-00003A540000}"/>
    <cellStyle name="Normal 2 2 2 28 4" xfId="22348" xr:uid="{00000000-0005-0000-0000-00003B540000}"/>
    <cellStyle name="Normal 2 2 2 28 5" xfId="22349" xr:uid="{00000000-0005-0000-0000-00003C540000}"/>
    <cellStyle name="Normal 2 2 2 28 6" xfId="22350" xr:uid="{00000000-0005-0000-0000-00003D540000}"/>
    <cellStyle name="Normal 2 2 2 28 7" xfId="22351" xr:uid="{00000000-0005-0000-0000-00003E540000}"/>
    <cellStyle name="Normal 2 2 2 28 8" xfId="22352" xr:uid="{00000000-0005-0000-0000-00003F540000}"/>
    <cellStyle name="Normal 2 2 2 28 9" xfId="22353" xr:uid="{00000000-0005-0000-0000-000040540000}"/>
    <cellStyle name="Normal 2 2 2 29" xfId="22354" xr:uid="{00000000-0005-0000-0000-000041540000}"/>
    <cellStyle name="Normal 2 2 2 29 10" xfId="22355" xr:uid="{00000000-0005-0000-0000-000042540000}"/>
    <cellStyle name="Normal 2 2 2 29 11" xfId="22356" xr:uid="{00000000-0005-0000-0000-000043540000}"/>
    <cellStyle name="Normal 2 2 2 29 12" xfId="22357" xr:uid="{00000000-0005-0000-0000-000044540000}"/>
    <cellStyle name="Normal 2 2 2 29 13" xfId="22358" xr:uid="{00000000-0005-0000-0000-000045540000}"/>
    <cellStyle name="Normal 2 2 2 29 14" xfId="22359" xr:uid="{00000000-0005-0000-0000-000046540000}"/>
    <cellStyle name="Normal 2 2 2 29 15" xfId="22360" xr:uid="{00000000-0005-0000-0000-000047540000}"/>
    <cellStyle name="Normal 2 2 2 29 16" xfId="22361" xr:uid="{00000000-0005-0000-0000-000048540000}"/>
    <cellStyle name="Normal 2 2 2 29 17" xfId="22362" xr:uid="{00000000-0005-0000-0000-000049540000}"/>
    <cellStyle name="Normal 2 2 2 29 18" xfId="22363" xr:uid="{00000000-0005-0000-0000-00004A540000}"/>
    <cellStyle name="Normal 2 2 2 29 19" xfId="22364" xr:uid="{00000000-0005-0000-0000-00004B540000}"/>
    <cellStyle name="Normal 2 2 2 29 2" xfId="22365" xr:uid="{00000000-0005-0000-0000-00004C540000}"/>
    <cellStyle name="Normal 2 2 2 29 20" xfId="22366" xr:uid="{00000000-0005-0000-0000-00004D540000}"/>
    <cellStyle name="Normal 2 2 2 29 21" xfId="22367" xr:uid="{00000000-0005-0000-0000-00004E540000}"/>
    <cellStyle name="Normal 2 2 2 29 22" xfId="22368" xr:uid="{00000000-0005-0000-0000-00004F540000}"/>
    <cellStyle name="Normal 2 2 2 29 23" xfId="22369" xr:uid="{00000000-0005-0000-0000-000050540000}"/>
    <cellStyle name="Normal 2 2 2 29 24" xfId="22370" xr:uid="{00000000-0005-0000-0000-000051540000}"/>
    <cellStyle name="Normal 2 2 2 29 25" xfId="22371" xr:uid="{00000000-0005-0000-0000-000052540000}"/>
    <cellStyle name="Normal 2 2 2 29 26" xfId="22372" xr:uid="{00000000-0005-0000-0000-000053540000}"/>
    <cellStyle name="Normal 2 2 2 29 27" xfId="22373" xr:uid="{00000000-0005-0000-0000-000054540000}"/>
    <cellStyle name="Normal 2 2 2 29 28" xfId="22374" xr:uid="{00000000-0005-0000-0000-000055540000}"/>
    <cellStyle name="Normal 2 2 2 29 29" xfId="22375" xr:uid="{00000000-0005-0000-0000-000056540000}"/>
    <cellStyle name="Normal 2 2 2 29 3" xfId="22376" xr:uid="{00000000-0005-0000-0000-000057540000}"/>
    <cellStyle name="Normal 2 2 2 29 30" xfId="22377" xr:uid="{00000000-0005-0000-0000-000058540000}"/>
    <cellStyle name="Normal 2 2 2 29 31" xfId="22378" xr:uid="{00000000-0005-0000-0000-000059540000}"/>
    <cellStyle name="Normal 2 2 2 29 32" xfId="22379" xr:uid="{00000000-0005-0000-0000-00005A540000}"/>
    <cellStyle name="Normal 2 2 2 29 33" xfId="22380" xr:uid="{00000000-0005-0000-0000-00005B540000}"/>
    <cellStyle name="Normal 2 2 2 29 34" xfId="22381" xr:uid="{00000000-0005-0000-0000-00005C540000}"/>
    <cellStyle name="Normal 2 2 2 29 35" xfId="22382" xr:uid="{00000000-0005-0000-0000-00005D540000}"/>
    <cellStyle name="Normal 2 2 2 29 36" xfId="22383" xr:uid="{00000000-0005-0000-0000-00005E540000}"/>
    <cellStyle name="Normal 2 2 2 29 37" xfId="22384" xr:uid="{00000000-0005-0000-0000-00005F540000}"/>
    <cellStyle name="Normal 2 2 2 29 38" xfId="22385" xr:uid="{00000000-0005-0000-0000-000060540000}"/>
    <cellStyle name="Normal 2 2 2 29 4" xfId="22386" xr:uid="{00000000-0005-0000-0000-000061540000}"/>
    <cellStyle name="Normal 2 2 2 29 5" xfId="22387" xr:uid="{00000000-0005-0000-0000-000062540000}"/>
    <cellStyle name="Normal 2 2 2 29 6" xfId="22388" xr:uid="{00000000-0005-0000-0000-000063540000}"/>
    <cellStyle name="Normal 2 2 2 29 7" xfId="22389" xr:uid="{00000000-0005-0000-0000-000064540000}"/>
    <cellStyle name="Normal 2 2 2 29 8" xfId="22390" xr:uid="{00000000-0005-0000-0000-000065540000}"/>
    <cellStyle name="Normal 2 2 2 29 9" xfId="22391" xr:uid="{00000000-0005-0000-0000-000066540000}"/>
    <cellStyle name="Normal 2 2 2 3" xfId="22392" xr:uid="{00000000-0005-0000-0000-000067540000}"/>
    <cellStyle name="Normal 2 2 2 3 2" xfId="22393" xr:uid="{00000000-0005-0000-0000-000068540000}"/>
    <cellStyle name="Normal 2 2 2 30" xfId="22394" xr:uid="{00000000-0005-0000-0000-000069540000}"/>
    <cellStyle name="Normal 2 2 2 30 10" xfId="22395" xr:uid="{00000000-0005-0000-0000-00006A540000}"/>
    <cellStyle name="Normal 2 2 2 30 11" xfId="22396" xr:uid="{00000000-0005-0000-0000-00006B540000}"/>
    <cellStyle name="Normal 2 2 2 30 12" xfId="22397" xr:uid="{00000000-0005-0000-0000-00006C540000}"/>
    <cellStyle name="Normal 2 2 2 30 13" xfId="22398" xr:uid="{00000000-0005-0000-0000-00006D540000}"/>
    <cellStyle name="Normal 2 2 2 30 14" xfId="22399" xr:uid="{00000000-0005-0000-0000-00006E540000}"/>
    <cellStyle name="Normal 2 2 2 30 15" xfId="22400" xr:uid="{00000000-0005-0000-0000-00006F540000}"/>
    <cellStyle name="Normal 2 2 2 30 16" xfId="22401" xr:uid="{00000000-0005-0000-0000-000070540000}"/>
    <cellStyle name="Normal 2 2 2 30 17" xfId="22402" xr:uid="{00000000-0005-0000-0000-000071540000}"/>
    <cellStyle name="Normal 2 2 2 30 18" xfId="22403" xr:uid="{00000000-0005-0000-0000-000072540000}"/>
    <cellStyle name="Normal 2 2 2 30 19" xfId="22404" xr:uid="{00000000-0005-0000-0000-000073540000}"/>
    <cellStyle name="Normal 2 2 2 30 2" xfId="22405" xr:uid="{00000000-0005-0000-0000-000074540000}"/>
    <cellStyle name="Normal 2 2 2 30 20" xfId="22406" xr:uid="{00000000-0005-0000-0000-000075540000}"/>
    <cellStyle name="Normal 2 2 2 30 21" xfId="22407" xr:uid="{00000000-0005-0000-0000-000076540000}"/>
    <cellStyle name="Normal 2 2 2 30 22" xfId="22408" xr:uid="{00000000-0005-0000-0000-000077540000}"/>
    <cellStyle name="Normal 2 2 2 30 23" xfId="22409" xr:uid="{00000000-0005-0000-0000-000078540000}"/>
    <cellStyle name="Normal 2 2 2 30 24" xfId="22410" xr:uid="{00000000-0005-0000-0000-000079540000}"/>
    <cellStyle name="Normal 2 2 2 30 25" xfId="22411" xr:uid="{00000000-0005-0000-0000-00007A540000}"/>
    <cellStyle name="Normal 2 2 2 30 26" xfId="22412" xr:uid="{00000000-0005-0000-0000-00007B540000}"/>
    <cellStyle name="Normal 2 2 2 30 27" xfId="22413" xr:uid="{00000000-0005-0000-0000-00007C540000}"/>
    <cellStyle name="Normal 2 2 2 30 28" xfId="22414" xr:uid="{00000000-0005-0000-0000-00007D540000}"/>
    <cellStyle name="Normal 2 2 2 30 29" xfId="22415" xr:uid="{00000000-0005-0000-0000-00007E540000}"/>
    <cellStyle name="Normal 2 2 2 30 3" xfId="22416" xr:uid="{00000000-0005-0000-0000-00007F540000}"/>
    <cellStyle name="Normal 2 2 2 30 30" xfId="22417" xr:uid="{00000000-0005-0000-0000-000080540000}"/>
    <cellStyle name="Normal 2 2 2 30 31" xfId="22418" xr:uid="{00000000-0005-0000-0000-000081540000}"/>
    <cellStyle name="Normal 2 2 2 30 32" xfId="22419" xr:uid="{00000000-0005-0000-0000-000082540000}"/>
    <cellStyle name="Normal 2 2 2 30 33" xfId="22420" xr:uid="{00000000-0005-0000-0000-000083540000}"/>
    <cellStyle name="Normal 2 2 2 30 34" xfId="22421" xr:uid="{00000000-0005-0000-0000-000084540000}"/>
    <cellStyle name="Normal 2 2 2 30 35" xfId="22422" xr:uid="{00000000-0005-0000-0000-000085540000}"/>
    <cellStyle name="Normal 2 2 2 30 36" xfId="22423" xr:uid="{00000000-0005-0000-0000-000086540000}"/>
    <cellStyle name="Normal 2 2 2 30 37" xfId="22424" xr:uid="{00000000-0005-0000-0000-000087540000}"/>
    <cellStyle name="Normal 2 2 2 30 38" xfId="22425" xr:uid="{00000000-0005-0000-0000-000088540000}"/>
    <cellStyle name="Normal 2 2 2 30 4" xfId="22426" xr:uid="{00000000-0005-0000-0000-000089540000}"/>
    <cellStyle name="Normal 2 2 2 30 5" xfId="22427" xr:uid="{00000000-0005-0000-0000-00008A540000}"/>
    <cellStyle name="Normal 2 2 2 30 6" xfId="22428" xr:uid="{00000000-0005-0000-0000-00008B540000}"/>
    <cellStyle name="Normal 2 2 2 30 7" xfId="22429" xr:uid="{00000000-0005-0000-0000-00008C540000}"/>
    <cellStyle name="Normal 2 2 2 30 8" xfId="22430" xr:uid="{00000000-0005-0000-0000-00008D540000}"/>
    <cellStyle name="Normal 2 2 2 30 9" xfId="22431" xr:uid="{00000000-0005-0000-0000-00008E540000}"/>
    <cellStyle name="Normal 2 2 2 31" xfId="22432" xr:uid="{00000000-0005-0000-0000-00008F540000}"/>
    <cellStyle name="Normal 2 2 2 31 10" xfId="22433" xr:uid="{00000000-0005-0000-0000-000090540000}"/>
    <cellStyle name="Normal 2 2 2 31 11" xfId="22434" xr:uid="{00000000-0005-0000-0000-000091540000}"/>
    <cellStyle name="Normal 2 2 2 31 12" xfId="22435" xr:uid="{00000000-0005-0000-0000-000092540000}"/>
    <cellStyle name="Normal 2 2 2 31 13" xfId="22436" xr:uid="{00000000-0005-0000-0000-000093540000}"/>
    <cellStyle name="Normal 2 2 2 31 14" xfId="22437" xr:uid="{00000000-0005-0000-0000-000094540000}"/>
    <cellStyle name="Normal 2 2 2 31 15" xfId="22438" xr:uid="{00000000-0005-0000-0000-000095540000}"/>
    <cellStyle name="Normal 2 2 2 31 16" xfId="22439" xr:uid="{00000000-0005-0000-0000-000096540000}"/>
    <cellStyle name="Normal 2 2 2 31 17" xfId="22440" xr:uid="{00000000-0005-0000-0000-000097540000}"/>
    <cellStyle name="Normal 2 2 2 31 18" xfId="22441" xr:uid="{00000000-0005-0000-0000-000098540000}"/>
    <cellStyle name="Normal 2 2 2 31 19" xfId="22442" xr:uid="{00000000-0005-0000-0000-000099540000}"/>
    <cellStyle name="Normal 2 2 2 31 2" xfId="22443" xr:uid="{00000000-0005-0000-0000-00009A540000}"/>
    <cellStyle name="Normal 2 2 2 31 20" xfId="22444" xr:uid="{00000000-0005-0000-0000-00009B540000}"/>
    <cellStyle name="Normal 2 2 2 31 21" xfId="22445" xr:uid="{00000000-0005-0000-0000-00009C540000}"/>
    <cellStyle name="Normal 2 2 2 31 22" xfId="22446" xr:uid="{00000000-0005-0000-0000-00009D540000}"/>
    <cellStyle name="Normal 2 2 2 31 23" xfId="22447" xr:uid="{00000000-0005-0000-0000-00009E540000}"/>
    <cellStyle name="Normal 2 2 2 31 24" xfId="22448" xr:uid="{00000000-0005-0000-0000-00009F540000}"/>
    <cellStyle name="Normal 2 2 2 31 25" xfId="22449" xr:uid="{00000000-0005-0000-0000-0000A0540000}"/>
    <cellStyle name="Normal 2 2 2 31 26" xfId="22450" xr:uid="{00000000-0005-0000-0000-0000A1540000}"/>
    <cellStyle name="Normal 2 2 2 31 27" xfId="22451" xr:uid="{00000000-0005-0000-0000-0000A2540000}"/>
    <cellStyle name="Normal 2 2 2 31 28" xfId="22452" xr:uid="{00000000-0005-0000-0000-0000A3540000}"/>
    <cellStyle name="Normal 2 2 2 31 29" xfId="22453" xr:uid="{00000000-0005-0000-0000-0000A4540000}"/>
    <cellStyle name="Normal 2 2 2 31 3" xfId="22454" xr:uid="{00000000-0005-0000-0000-0000A5540000}"/>
    <cellStyle name="Normal 2 2 2 31 30" xfId="22455" xr:uid="{00000000-0005-0000-0000-0000A6540000}"/>
    <cellStyle name="Normal 2 2 2 31 31" xfId="22456" xr:uid="{00000000-0005-0000-0000-0000A7540000}"/>
    <cellStyle name="Normal 2 2 2 31 32" xfId="22457" xr:uid="{00000000-0005-0000-0000-0000A8540000}"/>
    <cellStyle name="Normal 2 2 2 31 33" xfId="22458" xr:uid="{00000000-0005-0000-0000-0000A9540000}"/>
    <cellStyle name="Normal 2 2 2 31 34" xfId="22459" xr:uid="{00000000-0005-0000-0000-0000AA540000}"/>
    <cellStyle name="Normal 2 2 2 31 35" xfId="22460" xr:uid="{00000000-0005-0000-0000-0000AB540000}"/>
    <cellStyle name="Normal 2 2 2 31 36" xfId="22461" xr:uid="{00000000-0005-0000-0000-0000AC540000}"/>
    <cellStyle name="Normal 2 2 2 31 37" xfId="22462" xr:uid="{00000000-0005-0000-0000-0000AD540000}"/>
    <cellStyle name="Normal 2 2 2 31 38" xfId="22463" xr:uid="{00000000-0005-0000-0000-0000AE540000}"/>
    <cellStyle name="Normal 2 2 2 31 4" xfId="22464" xr:uid="{00000000-0005-0000-0000-0000AF540000}"/>
    <cellStyle name="Normal 2 2 2 31 5" xfId="22465" xr:uid="{00000000-0005-0000-0000-0000B0540000}"/>
    <cellStyle name="Normal 2 2 2 31 6" xfId="22466" xr:uid="{00000000-0005-0000-0000-0000B1540000}"/>
    <cellStyle name="Normal 2 2 2 31 7" xfId="22467" xr:uid="{00000000-0005-0000-0000-0000B2540000}"/>
    <cellStyle name="Normal 2 2 2 31 8" xfId="22468" xr:uid="{00000000-0005-0000-0000-0000B3540000}"/>
    <cellStyle name="Normal 2 2 2 31 9" xfId="22469" xr:uid="{00000000-0005-0000-0000-0000B4540000}"/>
    <cellStyle name="Normal 2 2 2 32" xfId="22470" xr:uid="{00000000-0005-0000-0000-0000B5540000}"/>
    <cellStyle name="Normal 2 2 2 32 10" xfId="22471" xr:uid="{00000000-0005-0000-0000-0000B6540000}"/>
    <cellStyle name="Normal 2 2 2 32 11" xfId="22472" xr:uid="{00000000-0005-0000-0000-0000B7540000}"/>
    <cellStyle name="Normal 2 2 2 32 12" xfId="22473" xr:uid="{00000000-0005-0000-0000-0000B8540000}"/>
    <cellStyle name="Normal 2 2 2 32 13" xfId="22474" xr:uid="{00000000-0005-0000-0000-0000B9540000}"/>
    <cellStyle name="Normal 2 2 2 32 14" xfId="22475" xr:uid="{00000000-0005-0000-0000-0000BA540000}"/>
    <cellStyle name="Normal 2 2 2 32 15" xfId="22476" xr:uid="{00000000-0005-0000-0000-0000BB540000}"/>
    <cellStyle name="Normal 2 2 2 32 16" xfId="22477" xr:uid="{00000000-0005-0000-0000-0000BC540000}"/>
    <cellStyle name="Normal 2 2 2 32 17" xfId="22478" xr:uid="{00000000-0005-0000-0000-0000BD540000}"/>
    <cellStyle name="Normal 2 2 2 32 18" xfId="22479" xr:uid="{00000000-0005-0000-0000-0000BE540000}"/>
    <cellStyle name="Normal 2 2 2 32 19" xfId="22480" xr:uid="{00000000-0005-0000-0000-0000BF540000}"/>
    <cellStyle name="Normal 2 2 2 32 2" xfId="22481" xr:uid="{00000000-0005-0000-0000-0000C0540000}"/>
    <cellStyle name="Normal 2 2 2 32 20" xfId="22482" xr:uid="{00000000-0005-0000-0000-0000C1540000}"/>
    <cellStyle name="Normal 2 2 2 32 21" xfId="22483" xr:uid="{00000000-0005-0000-0000-0000C2540000}"/>
    <cellStyle name="Normal 2 2 2 32 22" xfId="22484" xr:uid="{00000000-0005-0000-0000-0000C3540000}"/>
    <cellStyle name="Normal 2 2 2 32 23" xfId="22485" xr:uid="{00000000-0005-0000-0000-0000C4540000}"/>
    <cellStyle name="Normal 2 2 2 32 24" xfId="22486" xr:uid="{00000000-0005-0000-0000-0000C5540000}"/>
    <cellStyle name="Normal 2 2 2 32 25" xfId="22487" xr:uid="{00000000-0005-0000-0000-0000C6540000}"/>
    <cellStyle name="Normal 2 2 2 32 26" xfId="22488" xr:uid="{00000000-0005-0000-0000-0000C7540000}"/>
    <cellStyle name="Normal 2 2 2 32 27" xfId="22489" xr:uid="{00000000-0005-0000-0000-0000C8540000}"/>
    <cellStyle name="Normal 2 2 2 32 28" xfId="22490" xr:uid="{00000000-0005-0000-0000-0000C9540000}"/>
    <cellStyle name="Normal 2 2 2 32 29" xfId="22491" xr:uid="{00000000-0005-0000-0000-0000CA540000}"/>
    <cellStyle name="Normal 2 2 2 32 3" xfId="22492" xr:uid="{00000000-0005-0000-0000-0000CB540000}"/>
    <cellStyle name="Normal 2 2 2 32 30" xfId="22493" xr:uid="{00000000-0005-0000-0000-0000CC540000}"/>
    <cellStyle name="Normal 2 2 2 32 31" xfId="22494" xr:uid="{00000000-0005-0000-0000-0000CD540000}"/>
    <cellStyle name="Normal 2 2 2 32 32" xfId="22495" xr:uid="{00000000-0005-0000-0000-0000CE540000}"/>
    <cellStyle name="Normal 2 2 2 32 33" xfId="22496" xr:uid="{00000000-0005-0000-0000-0000CF540000}"/>
    <cellStyle name="Normal 2 2 2 32 34" xfId="22497" xr:uid="{00000000-0005-0000-0000-0000D0540000}"/>
    <cellStyle name="Normal 2 2 2 32 35" xfId="22498" xr:uid="{00000000-0005-0000-0000-0000D1540000}"/>
    <cellStyle name="Normal 2 2 2 32 36" xfId="22499" xr:uid="{00000000-0005-0000-0000-0000D2540000}"/>
    <cellStyle name="Normal 2 2 2 32 37" xfId="22500" xr:uid="{00000000-0005-0000-0000-0000D3540000}"/>
    <cellStyle name="Normal 2 2 2 32 38" xfId="22501" xr:uid="{00000000-0005-0000-0000-0000D4540000}"/>
    <cellStyle name="Normal 2 2 2 32 4" xfId="22502" xr:uid="{00000000-0005-0000-0000-0000D5540000}"/>
    <cellStyle name="Normal 2 2 2 32 5" xfId="22503" xr:uid="{00000000-0005-0000-0000-0000D6540000}"/>
    <cellStyle name="Normal 2 2 2 32 6" xfId="22504" xr:uid="{00000000-0005-0000-0000-0000D7540000}"/>
    <cellStyle name="Normal 2 2 2 32 7" xfId="22505" xr:uid="{00000000-0005-0000-0000-0000D8540000}"/>
    <cellStyle name="Normal 2 2 2 32 8" xfId="22506" xr:uid="{00000000-0005-0000-0000-0000D9540000}"/>
    <cellStyle name="Normal 2 2 2 32 9" xfId="22507" xr:uid="{00000000-0005-0000-0000-0000DA540000}"/>
    <cellStyle name="Normal 2 2 2 33" xfId="22508" xr:uid="{00000000-0005-0000-0000-0000DB540000}"/>
    <cellStyle name="Normal 2 2 2 33 10" xfId="22509" xr:uid="{00000000-0005-0000-0000-0000DC540000}"/>
    <cellStyle name="Normal 2 2 2 33 11" xfId="22510" xr:uid="{00000000-0005-0000-0000-0000DD540000}"/>
    <cellStyle name="Normal 2 2 2 33 12" xfId="22511" xr:uid="{00000000-0005-0000-0000-0000DE540000}"/>
    <cellStyle name="Normal 2 2 2 33 13" xfId="22512" xr:uid="{00000000-0005-0000-0000-0000DF540000}"/>
    <cellStyle name="Normal 2 2 2 33 14" xfId="22513" xr:uid="{00000000-0005-0000-0000-0000E0540000}"/>
    <cellStyle name="Normal 2 2 2 33 15" xfId="22514" xr:uid="{00000000-0005-0000-0000-0000E1540000}"/>
    <cellStyle name="Normal 2 2 2 33 16" xfId="22515" xr:uid="{00000000-0005-0000-0000-0000E2540000}"/>
    <cellStyle name="Normal 2 2 2 33 17" xfId="22516" xr:uid="{00000000-0005-0000-0000-0000E3540000}"/>
    <cellStyle name="Normal 2 2 2 33 18" xfId="22517" xr:uid="{00000000-0005-0000-0000-0000E4540000}"/>
    <cellStyle name="Normal 2 2 2 33 19" xfId="22518" xr:uid="{00000000-0005-0000-0000-0000E5540000}"/>
    <cellStyle name="Normal 2 2 2 33 2" xfId="22519" xr:uid="{00000000-0005-0000-0000-0000E6540000}"/>
    <cellStyle name="Normal 2 2 2 33 20" xfId="22520" xr:uid="{00000000-0005-0000-0000-0000E7540000}"/>
    <cellStyle name="Normal 2 2 2 33 21" xfId="22521" xr:uid="{00000000-0005-0000-0000-0000E8540000}"/>
    <cellStyle name="Normal 2 2 2 33 22" xfId="22522" xr:uid="{00000000-0005-0000-0000-0000E9540000}"/>
    <cellStyle name="Normal 2 2 2 33 23" xfId="22523" xr:uid="{00000000-0005-0000-0000-0000EA540000}"/>
    <cellStyle name="Normal 2 2 2 33 24" xfId="22524" xr:uid="{00000000-0005-0000-0000-0000EB540000}"/>
    <cellStyle name="Normal 2 2 2 33 25" xfId="22525" xr:uid="{00000000-0005-0000-0000-0000EC540000}"/>
    <cellStyle name="Normal 2 2 2 33 26" xfId="22526" xr:uid="{00000000-0005-0000-0000-0000ED540000}"/>
    <cellStyle name="Normal 2 2 2 33 27" xfId="22527" xr:uid="{00000000-0005-0000-0000-0000EE540000}"/>
    <cellStyle name="Normal 2 2 2 33 28" xfId="22528" xr:uid="{00000000-0005-0000-0000-0000EF540000}"/>
    <cellStyle name="Normal 2 2 2 33 29" xfId="22529" xr:uid="{00000000-0005-0000-0000-0000F0540000}"/>
    <cellStyle name="Normal 2 2 2 33 3" xfId="22530" xr:uid="{00000000-0005-0000-0000-0000F1540000}"/>
    <cellStyle name="Normal 2 2 2 33 30" xfId="22531" xr:uid="{00000000-0005-0000-0000-0000F2540000}"/>
    <cellStyle name="Normal 2 2 2 33 31" xfId="22532" xr:uid="{00000000-0005-0000-0000-0000F3540000}"/>
    <cellStyle name="Normal 2 2 2 33 32" xfId="22533" xr:uid="{00000000-0005-0000-0000-0000F4540000}"/>
    <cellStyle name="Normal 2 2 2 33 33" xfId="22534" xr:uid="{00000000-0005-0000-0000-0000F5540000}"/>
    <cellStyle name="Normal 2 2 2 33 34" xfId="22535" xr:uid="{00000000-0005-0000-0000-0000F6540000}"/>
    <cellStyle name="Normal 2 2 2 33 35" xfId="22536" xr:uid="{00000000-0005-0000-0000-0000F7540000}"/>
    <cellStyle name="Normal 2 2 2 33 36" xfId="22537" xr:uid="{00000000-0005-0000-0000-0000F8540000}"/>
    <cellStyle name="Normal 2 2 2 33 37" xfId="22538" xr:uid="{00000000-0005-0000-0000-0000F9540000}"/>
    <cellStyle name="Normal 2 2 2 33 38" xfId="22539" xr:uid="{00000000-0005-0000-0000-0000FA540000}"/>
    <cellStyle name="Normal 2 2 2 33 4" xfId="22540" xr:uid="{00000000-0005-0000-0000-0000FB540000}"/>
    <cellStyle name="Normal 2 2 2 33 5" xfId="22541" xr:uid="{00000000-0005-0000-0000-0000FC540000}"/>
    <cellStyle name="Normal 2 2 2 33 6" xfId="22542" xr:uid="{00000000-0005-0000-0000-0000FD540000}"/>
    <cellStyle name="Normal 2 2 2 33 7" xfId="22543" xr:uid="{00000000-0005-0000-0000-0000FE540000}"/>
    <cellStyle name="Normal 2 2 2 33 8" xfId="22544" xr:uid="{00000000-0005-0000-0000-0000FF540000}"/>
    <cellStyle name="Normal 2 2 2 33 9" xfId="22545" xr:uid="{00000000-0005-0000-0000-000000550000}"/>
    <cellStyle name="Normal 2 2 2 34" xfId="22546" xr:uid="{00000000-0005-0000-0000-000001550000}"/>
    <cellStyle name="Normal 2 2 2 34 10" xfId="22547" xr:uid="{00000000-0005-0000-0000-000002550000}"/>
    <cellStyle name="Normal 2 2 2 34 11" xfId="22548" xr:uid="{00000000-0005-0000-0000-000003550000}"/>
    <cellStyle name="Normal 2 2 2 34 12" xfId="22549" xr:uid="{00000000-0005-0000-0000-000004550000}"/>
    <cellStyle name="Normal 2 2 2 34 13" xfId="22550" xr:uid="{00000000-0005-0000-0000-000005550000}"/>
    <cellStyle name="Normal 2 2 2 34 14" xfId="22551" xr:uid="{00000000-0005-0000-0000-000006550000}"/>
    <cellStyle name="Normal 2 2 2 34 15" xfId="22552" xr:uid="{00000000-0005-0000-0000-000007550000}"/>
    <cellStyle name="Normal 2 2 2 34 16" xfId="22553" xr:uid="{00000000-0005-0000-0000-000008550000}"/>
    <cellStyle name="Normal 2 2 2 34 17" xfId="22554" xr:uid="{00000000-0005-0000-0000-000009550000}"/>
    <cellStyle name="Normal 2 2 2 34 18" xfId="22555" xr:uid="{00000000-0005-0000-0000-00000A550000}"/>
    <cellStyle name="Normal 2 2 2 34 19" xfId="22556" xr:uid="{00000000-0005-0000-0000-00000B550000}"/>
    <cellStyle name="Normal 2 2 2 34 2" xfId="22557" xr:uid="{00000000-0005-0000-0000-00000C550000}"/>
    <cellStyle name="Normal 2 2 2 34 20" xfId="22558" xr:uid="{00000000-0005-0000-0000-00000D550000}"/>
    <cellStyle name="Normal 2 2 2 34 21" xfId="22559" xr:uid="{00000000-0005-0000-0000-00000E550000}"/>
    <cellStyle name="Normal 2 2 2 34 22" xfId="22560" xr:uid="{00000000-0005-0000-0000-00000F550000}"/>
    <cellStyle name="Normal 2 2 2 34 23" xfId="22561" xr:uid="{00000000-0005-0000-0000-000010550000}"/>
    <cellStyle name="Normal 2 2 2 34 24" xfId="22562" xr:uid="{00000000-0005-0000-0000-000011550000}"/>
    <cellStyle name="Normal 2 2 2 34 25" xfId="22563" xr:uid="{00000000-0005-0000-0000-000012550000}"/>
    <cellStyle name="Normal 2 2 2 34 26" xfId="22564" xr:uid="{00000000-0005-0000-0000-000013550000}"/>
    <cellStyle name="Normal 2 2 2 34 27" xfId="22565" xr:uid="{00000000-0005-0000-0000-000014550000}"/>
    <cellStyle name="Normal 2 2 2 34 28" xfId="22566" xr:uid="{00000000-0005-0000-0000-000015550000}"/>
    <cellStyle name="Normal 2 2 2 34 29" xfId="22567" xr:uid="{00000000-0005-0000-0000-000016550000}"/>
    <cellStyle name="Normal 2 2 2 34 3" xfId="22568" xr:uid="{00000000-0005-0000-0000-000017550000}"/>
    <cellStyle name="Normal 2 2 2 34 30" xfId="22569" xr:uid="{00000000-0005-0000-0000-000018550000}"/>
    <cellStyle name="Normal 2 2 2 34 31" xfId="22570" xr:uid="{00000000-0005-0000-0000-000019550000}"/>
    <cellStyle name="Normal 2 2 2 34 32" xfId="22571" xr:uid="{00000000-0005-0000-0000-00001A550000}"/>
    <cellStyle name="Normal 2 2 2 34 33" xfId="22572" xr:uid="{00000000-0005-0000-0000-00001B550000}"/>
    <cellStyle name="Normal 2 2 2 34 34" xfId="22573" xr:uid="{00000000-0005-0000-0000-00001C550000}"/>
    <cellStyle name="Normal 2 2 2 34 35" xfId="22574" xr:uid="{00000000-0005-0000-0000-00001D550000}"/>
    <cellStyle name="Normal 2 2 2 34 36" xfId="22575" xr:uid="{00000000-0005-0000-0000-00001E550000}"/>
    <cellStyle name="Normal 2 2 2 34 37" xfId="22576" xr:uid="{00000000-0005-0000-0000-00001F550000}"/>
    <cellStyle name="Normal 2 2 2 34 38" xfId="22577" xr:uid="{00000000-0005-0000-0000-000020550000}"/>
    <cellStyle name="Normal 2 2 2 34 4" xfId="22578" xr:uid="{00000000-0005-0000-0000-000021550000}"/>
    <cellStyle name="Normal 2 2 2 34 5" xfId="22579" xr:uid="{00000000-0005-0000-0000-000022550000}"/>
    <cellStyle name="Normal 2 2 2 34 6" xfId="22580" xr:uid="{00000000-0005-0000-0000-000023550000}"/>
    <cellStyle name="Normal 2 2 2 34 7" xfId="22581" xr:uid="{00000000-0005-0000-0000-000024550000}"/>
    <cellStyle name="Normal 2 2 2 34 8" xfId="22582" xr:uid="{00000000-0005-0000-0000-000025550000}"/>
    <cellStyle name="Normal 2 2 2 34 9" xfId="22583" xr:uid="{00000000-0005-0000-0000-000026550000}"/>
    <cellStyle name="Normal 2 2 2 35" xfId="22584" xr:uid="{00000000-0005-0000-0000-000027550000}"/>
    <cellStyle name="Normal 2 2 2 35 10" xfId="22585" xr:uid="{00000000-0005-0000-0000-000028550000}"/>
    <cellStyle name="Normal 2 2 2 35 11" xfId="22586" xr:uid="{00000000-0005-0000-0000-000029550000}"/>
    <cellStyle name="Normal 2 2 2 35 12" xfId="22587" xr:uid="{00000000-0005-0000-0000-00002A550000}"/>
    <cellStyle name="Normal 2 2 2 35 13" xfId="22588" xr:uid="{00000000-0005-0000-0000-00002B550000}"/>
    <cellStyle name="Normal 2 2 2 35 14" xfId="22589" xr:uid="{00000000-0005-0000-0000-00002C550000}"/>
    <cellStyle name="Normal 2 2 2 35 15" xfId="22590" xr:uid="{00000000-0005-0000-0000-00002D550000}"/>
    <cellStyle name="Normal 2 2 2 35 16" xfId="22591" xr:uid="{00000000-0005-0000-0000-00002E550000}"/>
    <cellStyle name="Normal 2 2 2 35 17" xfId="22592" xr:uid="{00000000-0005-0000-0000-00002F550000}"/>
    <cellStyle name="Normal 2 2 2 35 18" xfId="22593" xr:uid="{00000000-0005-0000-0000-000030550000}"/>
    <cellStyle name="Normal 2 2 2 35 19" xfId="22594" xr:uid="{00000000-0005-0000-0000-000031550000}"/>
    <cellStyle name="Normal 2 2 2 35 2" xfId="22595" xr:uid="{00000000-0005-0000-0000-000032550000}"/>
    <cellStyle name="Normal 2 2 2 35 20" xfId="22596" xr:uid="{00000000-0005-0000-0000-000033550000}"/>
    <cellStyle name="Normal 2 2 2 35 21" xfId="22597" xr:uid="{00000000-0005-0000-0000-000034550000}"/>
    <cellStyle name="Normal 2 2 2 35 22" xfId="22598" xr:uid="{00000000-0005-0000-0000-000035550000}"/>
    <cellStyle name="Normal 2 2 2 35 23" xfId="22599" xr:uid="{00000000-0005-0000-0000-000036550000}"/>
    <cellStyle name="Normal 2 2 2 35 24" xfId="22600" xr:uid="{00000000-0005-0000-0000-000037550000}"/>
    <cellStyle name="Normal 2 2 2 35 25" xfId="22601" xr:uid="{00000000-0005-0000-0000-000038550000}"/>
    <cellStyle name="Normal 2 2 2 35 26" xfId="22602" xr:uid="{00000000-0005-0000-0000-000039550000}"/>
    <cellStyle name="Normal 2 2 2 35 27" xfId="22603" xr:uid="{00000000-0005-0000-0000-00003A550000}"/>
    <cellStyle name="Normal 2 2 2 35 28" xfId="22604" xr:uid="{00000000-0005-0000-0000-00003B550000}"/>
    <cellStyle name="Normal 2 2 2 35 29" xfId="22605" xr:uid="{00000000-0005-0000-0000-00003C550000}"/>
    <cellStyle name="Normal 2 2 2 35 3" xfId="22606" xr:uid="{00000000-0005-0000-0000-00003D550000}"/>
    <cellStyle name="Normal 2 2 2 35 30" xfId="22607" xr:uid="{00000000-0005-0000-0000-00003E550000}"/>
    <cellStyle name="Normal 2 2 2 35 31" xfId="22608" xr:uid="{00000000-0005-0000-0000-00003F550000}"/>
    <cellStyle name="Normal 2 2 2 35 32" xfId="22609" xr:uid="{00000000-0005-0000-0000-000040550000}"/>
    <cellStyle name="Normal 2 2 2 35 33" xfId="22610" xr:uid="{00000000-0005-0000-0000-000041550000}"/>
    <cellStyle name="Normal 2 2 2 35 34" xfId="22611" xr:uid="{00000000-0005-0000-0000-000042550000}"/>
    <cellStyle name="Normal 2 2 2 35 35" xfId="22612" xr:uid="{00000000-0005-0000-0000-000043550000}"/>
    <cellStyle name="Normal 2 2 2 35 36" xfId="22613" xr:uid="{00000000-0005-0000-0000-000044550000}"/>
    <cellStyle name="Normal 2 2 2 35 37" xfId="22614" xr:uid="{00000000-0005-0000-0000-000045550000}"/>
    <cellStyle name="Normal 2 2 2 35 38" xfId="22615" xr:uid="{00000000-0005-0000-0000-000046550000}"/>
    <cellStyle name="Normal 2 2 2 35 4" xfId="22616" xr:uid="{00000000-0005-0000-0000-000047550000}"/>
    <cellStyle name="Normal 2 2 2 35 5" xfId="22617" xr:uid="{00000000-0005-0000-0000-000048550000}"/>
    <cellStyle name="Normal 2 2 2 35 6" xfId="22618" xr:uid="{00000000-0005-0000-0000-000049550000}"/>
    <cellStyle name="Normal 2 2 2 35 7" xfId="22619" xr:uid="{00000000-0005-0000-0000-00004A550000}"/>
    <cellStyle name="Normal 2 2 2 35 8" xfId="22620" xr:uid="{00000000-0005-0000-0000-00004B550000}"/>
    <cellStyle name="Normal 2 2 2 35 9" xfId="22621" xr:uid="{00000000-0005-0000-0000-00004C550000}"/>
    <cellStyle name="Normal 2 2 2 36" xfId="22622" xr:uid="{00000000-0005-0000-0000-00004D550000}"/>
    <cellStyle name="Normal 2 2 2 36 10" xfId="22623" xr:uid="{00000000-0005-0000-0000-00004E550000}"/>
    <cellStyle name="Normal 2 2 2 36 11" xfId="22624" xr:uid="{00000000-0005-0000-0000-00004F550000}"/>
    <cellStyle name="Normal 2 2 2 36 12" xfId="22625" xr:uid="{00000000-0005-0000-0000-000050550000}"/>
    <cellStyle name="Normal 2 2 2 36 13" xfId="22626" xr:uid="{00000000-0005-0000-0000-000051550000}"/>
    <cellStyle name="Normal 2 2 2 36 14" xfId="22627" xr:uid="{00000000-0005-0000-0000-000052550000}"/>
    <cellStyle name="Normal 2 2 2 36 15" xfId="22628" xr:uid="{00000000-0005-0000-0000-000053550000}"/>
    <cellStyle name="Normal 2 2 2 36 16" xfId="22629" xr:uid="{00000000-0005-0000-0000-000054550000}"/>
    <cellStyle name="Normal 2 2 2 36 17" xfId="22630" xr:uid="{00000000-0005-0000-0000-000055550000}"/>
    <cellStyle name="Normal 2 2 2 36 18" xfId="22631" xr:uid="{00000000-0005-0000-0000-000056550000}"/>
    <cellStyle name="Normal 2 2 2 36 19" xfId="22632" xr:uid="{00000000-0005-0000-0000-000057550000}"/>
    <cellStyle name="Normal 2 2 2 36 2" xfId="22633" xr:uid="{00000000-0005-0000-0000-000058550000}"/>
    <cellStyle name="Normal 2 2 2 36 20" xfId="22634" xr:uid="{00000000-0005-0000-0000-000059550000}"/>
    <cellStyle name="Normal 2 2 2 36 21" xfId="22635" xr:uid="{00000000-0005-0000-0000-00005A550000}"/>
    <cellStyle name="Normal 2 2 2 36 22" xfId="22636" xr:uid="{00000000-0005-0000-0000-00005B550000}"/>
    <cellStyle name="Normal 2 2 2 36 23" xfId="22637" xr:uid="{00000000-0005-0000-0000-00005C550000}"/>
    <cellStyle name="Normal 2 2 2 36 24" xfId="22638" xr:uid="{00000000-0005-0000-0000-00005D550000}"/>
    <cellStyle name="Normal 2 2 2 36 25" xfId="22639" xr:uid="{00000000-0005-0000-0000-00005E550000}"/>
    <cellStyle name="Normal 2 2 2 36 26" xfId="22640" xr:uid="{00000000-0005-0000-0000-00005F550000}"/>
    <cellStyle name="Normal 2 2 2 36 27" xfId="22641" xr:uid="{00000000-0005-0000-0000-000060550000}"/>
    <cellStyle name="Normal 2 2 2 36 28" xfId="22642" xr:uid="{00000000-0005-0000-0000-000061550000}"/>
    <cellStyle name="Normal 2 2 2 36 29" xfId="22643" xr:uid="{00000000-0005-0000-0000-000062550000}"/>
    <cellStyle name="Normal 2 2 2 36 3" xfId="22644" xr:uid="{00000000-0005-0000-0000-000063550000}"/>
    <cellStyle name="Normal 2 2 2 36 30" xfId="22645" xr:uid="{00000000-0005-0000-0000-000064550000}"/>
    <cellStyle name="Normal 2 2 2 36 31" xfId="22646" xr:uid="{00000000-0005-0000-0000-000065550000}"/>
    <cellStyle name="Normal 2 2 2 36 32" xfId="22647" xr:uid="{00000000-0005-0000-0000-000066550000}"/>
    <cellStyle name="Normal 2 2 2 36 33" xfId="22648" xr:uid="{00000000-0005-0000-0000-000067550000}"/>
    <cellStyle name="Normal 2 2 2 36 34" xfId="22649" xr:uid="{00000000-0005-0000-0000-000068550000}"/>
    <cellStyle name="Normal 2 2 2 36 35" xfId="22650" xr:uid="{00000000-0005-0000-0000-000069550000}"/>
    <cellStyle name="Normal 2 2 2 36 36" xfId="22651" xr:uid="{00000000-0005-0000-0000-00006A550000}"/>
    <cellStyle name="Normal 2 2 2 36 37" xfId="22652" xr:uid="{00000000-0005-0000-0000-00006B550000}"/>
    <cellStyle name="Normal 2 2 2 36 38" xfId="22653" xr:uid="{00000000-0005-0000-0000-00006C550000}"/>
    <cellStyle name="Normal 2 2 2 36 4" xfId="22654" xr:uid="{00000000-0005-0000-0000-00006D550000}"/>
    <cellStyle name="Normal 2 2 2 36 5" xfId="22655" xr:uid="{00000000-0005-0000-0000-00006E550000}"/>
    <cellStyle name="Normal 2 2 2 36 6" xfId="22656" xr:uid="{00000000-0005-0000-0000-00006F550000}"/>
    <cellStyle name="Normal 2 2 2 36 7" xfId="22657" xr:uid="{00000000-0005-0000-0000-000070550000}"/>
    <cellStyle name="Normal 2 2 2 36 8" xfId="22658" xr:uid="{00000000-0005-0000-0000-000071550000}"/>
    <cellStyle name="Normal 2 2 2 36 9" xfId="22659" xr:uid="{00000000-0005-0000-0000-000072550000}"/>
    <cellStyle name="Normal 2 2 2 37" xfId="22660" xr:uid="{00000000-0005-0000-0000-000073550000}"/>
    <cellStyle name="Normal 2 2 2 37 10" xfId="22661" xr:uid="{00000000-0005-0000-0000-000074550000}"/>
    <cellStyle name="Normal 2 2 2 37 11" xfId="22662" xr:uid="{00000000-0005-0000-0000-000075550000}"/>
    <cellStyle name="Normal 2 2 2 37 12" xfId="22663" xr:uid="{00000000-0005-0000-0000-000076550000}"/>
    <cellStyle name="Normal 2 2 2 37 13" xfId="22664" xr:uid="{00000000-0005-0000-0000-000077550000}"/>
    <cellStyle name="Normal 2 2 2 37 14" xfId="22665" xr:uid="{00000000-0005-0000-0000-000078550000}"/>
    <cellStyle name="Normal 2 2 2 37 15" xfId="22666" xr:uid="{00000000-0005-0000-0000-000079550000}"/>
    <cellStyle name="Normal 2 2 2 37 16" xfId="22667" xr:uid="{00000000-0005-0000-0000-00007A550000}"/>
    <cellStyle name="Normal 2 2 2 37 17" xfId="22668" xr:uid="{00000000-0005-0000-0000-00007B550000}"/>
    <cellStyle name="Normal 2 2 2 37 18" xfId="22669" xr:uid="{00000000-0005-0000-0000-00007C550000}"/>
    <cellStyle name="Normal 2 2 2 37 19" xfId="22670" xr:uid="{00000000-0005-0000-0000-00007D550000}"/>
    <cellStyle name="Normal 2 2 2 37 2" xfId="22671" xr:uid="{00000000-0005-0000-0000-00007E550000}"/>
    <cellStyle name="Normal 2 2 2 37 2 2" xfId="22672" xr:uid="{00000000-0005-0000-0000-00007F550000}"/>
    <cellStyle name="Normal 2 2 2 37 2 3" xfId="22673" xr:uid="{00000000-0005-0000-0000-000080550000}"/>
    <cellStyle name="Normal 2 2 2 37 2 4" xfId="22674" xr:uid="{00000000-0005-0000-0000-000081550000}"/>
    <cellStyle name="Normal 2 2 2 37 2 5" xfId="22675" xr:uid="{00000000-0005-0000-0000-000082550000}"/>
    <cellStyle name="Normal 2 2 2 37 2 6" xfId="22676" xr:uid="{00000000-0005-0000-0000-000083550000}"/>
    <cellStyle name="Normal 2 2 2 37 20" xfId="22677" xr:uid="{00000000-0005-0000-0000-000084550000}"/>
    <cellStyle name="Normal 2 2 2 37 21" xfId="22678" xr:uid="{00000000-0005-0000-0000-000085550000}"/>
    <cellStyle name="Normal 2 2 2 37 22" xfId="22679" xr:uid="{00000000-0005-0000-0000-000086550000}"/>
    <cellStyle name="Normal 2 2 2 37 23" xfId="22680" xr:uid="{00000000-0005-0000-0000-000087550000}"/>
    <cellStyle name="Normal 2 2 2 37 24" xfId="22681" xr:uid="{00000000-0005-0000-0000-000088550000}"/>
    <cellStyle name="Normal 2 2 2 37 25" xfId="22682" xr:uid="{00000000-0005-0000-0000-000089550000}"/>
    <cellStyle name="Normal 2 2 2 37 26" xfId="22683" xr:uid="{00000000-0005-0000-0000-00008A550000}"/>
    <cellStyle name="Normal 2 2 2 37 27" xfId="22684" xr:uid="{00000000-0005-0000-0000-00008B550000}"/>
    <cellStyle name="Normal 2 2 2 37 28" xfId="22685" xr:uid="{00000000-0005-0000-0000-00008C550000}"/>
    <cellStyle name="Normal 2 2 2 37 29" xfId="22686" xr:uid="{00000000-0005-0000-0000-00008D550000}"/>
    <cellStyle name="Normal 2 2 2 37 3" xfId="22687" xr:uid="{00000000-0005-0000-0000-00008E550000}"/>
    <cellStyle name="Normal 2 2 2 37 3 2" xfId="22688" xr:uid="{00000000-0005-0000-0000-00008F550000}"/>
    <cellStyle name="Normal 2 2 2 37 3 3" xfId="22689" xr:uid="{00000000-0005-0000-0000-000090550000}"/>
    <cellStyle name="Normal 2 2 2 37 3 4" xfId="22690" xr:uid="{00000000-0005-0000-0000-000091550000}"/>
    <cellStyle name="Normal 2 2 2 37 3 5" xfId="22691" xr:uid="{00000000-0005-0000-0000-000092550000}"/>
    <cellStyle name="Normal 2 2 2 37 3 6" xfId="22692" xr:uid="{00000000-0005-0000-0000-000093550000}"/>
    <cellStyle name="Normal 2 2 2 37 30" xfId="22693" xr:uid="{00000000-0005-0000-0000-000094550000}"/>
    <cellStyle name="Normal 2 2 2 37 31" xfId="22694" xr:uid="{00000000-0005-0000-0000-000095550000}"/>
    <cellStyle name="Normal 2 2 2 37 32" xfId="22695" xr:uid="{00000000-0005-0000-0000-000096550000}"/>
    <cellStyle name="Normal 2 2 2 37 33" xfId="22696" xr:uid="{00000000-0005-0000-0000-000097550000}"/>
    <cellStyle name="Normal 2 2 2 37 34" xfId="22697" xr:uid="{00000000-0005-0000-0000-000098550000}"/>
    <cellStyle name="Normal 2 2 2 37 35" xfId="22698" xr:uid="{00000000-0005-0000-0000-000099550000}"/>
    <cellStyle name="Normal 2 2 2 37 4" xfId="22699" xr:uid="{00000000-0005-0000-0000-00009A550000}"/>
    <cellStyle name="Normal 2 2 2 37 4 2" xfId="22700" xr:uid="{00000000-0005-0000-0000-00009B550000}"/>
    <cellStyle name="Normal 2 2 2 37 4 3" xfId="22701" xr:uid="{00000000-0005-0000-0000-00009C550000}"/>
    <cellStyle name="Normal 2 2 2 37 4 4" xfId="22702" xr:uid="{00000000-0005-0000-0000-00009D550000}"/>
    <cellStyle name="Normal 2 2 2 37 4 5" xfId="22703" xr:uid="{00000000-0005-0000-0000-00009E550000}"/>
    <cellStyle name="Normal 2 2 2 37 4 6" xfId="22704" xr:uid="{00000000-0005-0000-0000-00009F550000}"/>
    <cellStyle name="Normal 2 2 2 37 5" xfId="22705" xr:uid="{00000000-0005-0000-0000-0000A0550000}"/>
    <cellStyle name="Normal 2 2 2 37 5 2" xfId="22706" xr:uid="{00000000-0005-0000-0000-0000A1550000}"/>
    <cellStyle name="Normal 2 2 2 37 5 3" xfId="22707" xr:uid="{00000000-0005-0000-0000-0000A2550000}"/>
    <cellStyle name="Normal 2 2 2 37 5 4" xfId="22708" xr:uid="{00000000-0005-0000-0000-0000A3550000}"/>
    <cellStyle name="Normal 2 2 2 37 5 5" xfId="22709" xr:uid="{00000000-0005-0000-0000-0000A4550000}"/>
    <cellStyle name="Normal 2 2 2 37 5 6" xfId="22710" xr:uid="{00000000-0005-0000-0000-0000A5550000}"/>
    <cellStyle name="Normal 2 2 2 37 6" xfId="22711" xr:uid="{00000000-0005-0000-0000-0000A6550000}"/>
    <cellStyle name="Normal 2 2 2 37 6 2" xfId="22712" xr:uid="{00000000-0005-0000-0000-0000A7550000}"/>
    <cellStyle name="Normal 2 2 2 37 6 3" xfId="22713" xr:uid="{00000000-0005-0000-0000-0000A8550000}"/>
    <cellStyle name="Normal 2 2 2 37 6 4" xfId="22714" xr:uid="{00000000-0005-0000-0000-0000A9550000}"/>
    <cellStyle name="Normal 2 2 2 37 6 5" xfId="22715" xr:uid="{00000000-0005-0000-0000-0000AA550000}"/>
    <cellStyle name="Normal 2 2 2 37 6 6" xfId="22716" xr:uid="{00000000-0005-0000-0000-0000AB550000}"/>
    <cellStyle name="Normal 2 2 2 37 7" xfId="22717" xr:uid="{00000000-0005-0000-0000-0000AC550000}"/>
    <cellStyle name="Normal 2 2 2 37 8" xfId="22718" xr:uid="{00000000-0005-0000-0000-0000AD550000}"/>
    <cellStyle name="Normal 2 2 2 37 9" xfId="22719" xr:uid="{00000000-0005-0000-0000-0000AE550000}"/>
    <cellStyle name="Normal 2 2 2 38" xfId="22720" xr:uid="{00000000-0005-0000-0000-0000AF550000}"/>
    <cellStyle name="Normal 2 2 2 38 2" xfId="22721" xr:uid="{00000000-0005-0000-0000-0000B0550000}"/>
    <cellStyle name="Normal 2 2 2 38 3" xfId="22722" xr:uid="{00000000-0005-0000-0000-0000B1550000}"/>
    <cellStyle name="Normal 2 2 2 38 4" xfId="22723" xr:uid="{00000000-0005-0000-0000-0000B2550000}"/>
    <cellStyle name="Normal 2 2 2 38 5" xfId="22724" xr:uid="{00000000-0005-0000-0000-0000B3550000}"/>
    <cellStyle name="Normal 2 2 2 38 6" xfId="22725" xr:uid="{00000000-0005-0000-0000-0000B4550000}"/>
    <cellStyle name="Normal 2 2 2 38 7" xfId="22726" xr:uid="{00000000-0005-0000-0000-0000B5550000}"/>
    <cellStyle name="Normal 2 2 2 39" xfId="22727" xr:uid="{00000000-0005-0000-0000-0000B6550000}"/>
    <cellStyle name="Normal 2 2 2 39 2" xfId="22728" xr:uid="{00000000-0005-0000-0000-0000B7550000}"/>
    <cellStyle name="Normal 2 2 2 39 3" xfId="22729" xr:uid="{00000000-0005-0000-0000-0000B8550000}"/>
    <cellStyle name="Normal 2 2 2 39 4" xfId="22730" xr:uid="{00000000-0005-0000-0000-0000B9550000}"/>
    <cellStyle name="Normal 2 2 2 39 5" xfId="22731" xr:uid="{00000000-0005-0000-0000-0000BA550000}"/>
    <cellStyle name="Normal 2 2 2 39 6" xfId="22732" xr:uid="{00000000-0005-0000-0000-0000BB550000}"/>
    <cellStyle name="Normal 2 2 2 39 7" xfId="22733" xr:uid="{00000000-0005-0000-0000-0000BC550000}"/>
    <cellStyle name="Normal 2 2 2 4" xfId="22734" xr:uid="{00000000-0005-0000-0000-0000BD550000}"/>
    <cellStyle name="Normal 2 2 2 4 2" xfId="22735" xr:uid="{00000000-0005-0000-0000-0000BE550000}"/>
    <cellStyle name="Normal 2 2 2 4 2 2" xfId="22736" xr:uid="{00000000-0005-0000-0000-0000BF550000}"/>
    <cellStyle name="Normal 2 2 2 4 2 2 2" xfId="22737" xr:uid="{00000000-0005-0000-0000-0000C0550000}"/>
    <cellStyle name="Normal 2 2 2 4 2 2 2 2" xfId="22738" xr:uid="{00000000-0005-0000-0000-0000C1550000}"/>
    <cellStyle name="Normal 2 2 2 4 2 2 3" xfId="22739" xr:uid="{00000000-0005-0000-0000-0000C2550000}"/>
    <cellStyle name="Normal 2 2 2 4 2 3" xfId="22740" xr:uid="{00000000-0005-0000-0000-0000C3550000}"/>
    <cellStyle name="Normal 2 2 2 4 2 3 2" xfId="22741" xr:uid="{00000000-0005-0000-0000-0000C4550000}"/>
    <cellStyle name="Normal 2 2 2 4 2 4" xfId="22742" xr:uid="{00000000-0005-0000-0000-0000C5550000}"/>
    <cellStyle name="Normal 2 2 2 4 2 5" xfId="22743" xr:uid="{00000000-0005-0000-0000-0000C6550000}"/>
    <cellStyle name="Normal 2 2 2 4 3" xfId="22744" xr:uid="{00000000-0005-0000-0000-0000C7550000}"/>
    <cellStyle name="Normal 2 2 2 4 3 2" xfId="22745" xr:uid="{00000000-0005-0000-0000-0000C8550000}"/>
    <cellStyle name="Normal 2 2 2 4 4" xfId="22746" xr:uid="{00000000-0005-0000-0000-0000C9550000}"/>
    <cellStyle name="Normal 2 2 2 4 4 2" xfId="22747" xr:uid="{00000000-0005-0000-0000-0000CA550000}"/>
    <cellStyle name="Normal 2 2 2 4 5" xfId="22748" xr:uid="{00000000-0005-0000-0000-0000CB550000}"/>
    <cellStyle name="Normal 2 2 2 4 6" xfId="22749" xr:uid="{00000000-0005-0000-0000-0000CC550000}"/>
    <cellStyle name="Normal 2 2 2 40" xfId="22750" xr:uid="{00000000-0005-0000-0000-0000CD550000}"/>
    <cellStyle name="Normal 2 2 2 40 2" xfId="22751" xr:uid="{00000000-0005-0000-0000-0000CE550000}"/>
    <cellStyle name="Normal 2 2 2 40 3" xfId="22752" xr:uid="{00000000-0005-0000-0000-0000CF550000}"/>
    <cellStyle name="Normal 2 2 2 40 4" xfId="22753" xr:uid="{00000000-0005-0000-0000-0000D0550000}"/>
    <cellStyle name="Normal 2 2 2 40 5" xfId="22754" xr:uid="{00000000-0005-0000-0000-0000D1550000}"/>
    <cellStyle name="Normal 2 2 2 40 6" xfId="22755" xr:uid="{00000000-0005-0000-0000-0000D2550000}"/>
    <cellStyle name="Normal 2 2 2 40 7" xfId="22756" xr:uid="{00000000-0005-0000-0000-0000D3550000}"/>
    <cellStyle name="Normal 2 2 2 41" xfId="22757" xr:uid="{00000000-0005-0000-0000-0000D4550000}"/>
    <cellStyle name="Normal 2 2 2 41 2" xfId="22758" xr:uid="{00000000-0005-0000-0000-0000D5550000}"/>
    <cellStyle name="Normal 2 2 2 41 3" xfId="22759" xr:uid="{00000000-0005-0000-0000-0000D6550000}"/>
    <cellStyle name="Normal 2 2 2 41 4" xfId="22760" xr:uid="{00000000-0005-0000-0000-0000D7550000}"/>
    <cellStyle name="Normal 2 2 2 41 5" xfId="22761" xr:uid="{00000000-0005-0000-0000-0000D8550000}"/>
    <cellStyle name="Normal 2 2 2 41 6" xfId="22762" xr:uid="{00000000-0005-0000-0000-0000D9550000}"/>
    <cellStyle name="Normal 2 2 2 41 7" xfId="22763" xr:uid="{00000000-0005-0000-0000-0000DA550000}"/>
    <cellStyle name="Normal 2 2 2 42" xfId="22764" xr:uid="{00000000-0005-0000-0000-0000DB550000}"/>
    <cellStyle name="Normal 2 2 2 42 2" xfId="22765" xr:uid="{00000000-0005-0000-0000-0000DC550000}"/>
    <cellStyle name="Normal 2 2 2 42 3" xfId="22766" xr:uid="{00000000-0005-0000-0000-0000DD550000}"/>
    <cellStyle name="Normal 2 2 2 42 4" xfId="22767" xr:uid="{00000000-0005-0000-0000-0000DE550000}"/>
    <cellStyle name="Normal 2 2 2 42 5" xfId="22768" xr:uid="{00000000-0005-0000-0000-0000DF550000}"/>
    <cellStyle name="Normal 2 2 2 42 6" xfId="22769" xr:uid="{00000000-0005-0000-0000-0000E0550000}"/>
    <cellStyle name="Normal 2 2 2 42 7" xfId="22770" xr:uid="{00000000-0005-0000-0000-0000E1550000}"/>
    <cellStyle name="Normal 2 2 2 43" xfId="22771" xr:uid="{00000000-0005-0000-0000-0000E2550000}"/>
    <cellStyle name="Normal 2 2 2 43 2" xfId="22772" xr:uid="{00000000-0005-0000-0000-0000E3550000}"/>
    <cellStyle name="Normal 2 2 2 43 3" xfId="22773" xr:uid="{00000000-0005-0000-0000-0000E4550000}"/>
    <cellStyle name="Normal 2 2 2 43 4" xfId="22774" xr:uid="{00000000-0005-0000-0000-0000E5550000}"/>
    <cellStyle name="Normal 2 2 2 43 5" xfId="22775" xr:uid="{00000000-0005-0000-0000-0000E6550000}"/>
    <cellStyle name="Normal 2 2 2 43 6" xfId="22776" xr:uid="{00000000-0005-0000-0000-0000E7550000}"/>
    <cellStyle name="Normal 2 2 2 43 7" xfId="22777" xr:uid="{00000000-0005-0000-0000-0000E8550000}"/>
    <cellStyle name="Normal 2 2 2 44" xfId="22778" xr:uid="{00000000-0005-0000-0000-0000E9550000}"/>
    <cellStyle name="Normal 2 2 2 44 2" xfId="22779" xr:uid="{00000000-0005-0000-0000-0000EA550000}"/>
    <cellStyle name="Normal 2 2 2 44 3" xfId="22780" xr:uid="{00000000-0005-0000-0000-0000EB550000}"/>
    <cellStyle name="Normal 2 2 2 44 4" xfId="22781" xr:uid="{00000000-0005-0000-0000-0000EC550000}"/>
    <cellStyle name="Normal 2 2 2 44 5" xfId="22782" xr:uid="{00000000-0005-0000-0000-0000ED550000}"/>
    <cellStyle name="Normal 2 2 2 44 6" xfId="22783" xr:uid="{00000000-0005-0000-0000-0000EE550000}"/>
    <cellStyle name="Normal 2 2 2 44 7" xfId="22784" xr:uid="{00000000-0005-0000-0000-0000EF550000}"/>
    <cellStyle name="Normal 2 2 2 45" xfId="22785" xr:uid="{00000000-0005-0000-0000-0000F0550000}"/>
    <cellStyle name="Normal 2 2 2 45 2" xfId="22786" xr:uid="{00000000-0005-0000-0000-0000F1550000}"/>
    <cellStyle name="Normal 2 2 2 45 3" xfId="22787" xr:uid="{00000000-0005-0000-0000-0000F2550000}"/>
    <cellStyle name="Normal 2 2 2 45 4" xfId="22788" xr:uid="{00000000-0005-0000-0000-0000F3550000}"/>
    <cellStyle name="Normal 2 2 2 45 5" xfId="22789" xr:uid="{00000000-0005-0000-0000-0000F4550000}"/>
    <cellStyle name="Normal 2 2 2 45 6" xfId="22790" xr:uid="{00000000-0005-0000-0000-0000F5550000}"/>
    <cellStyle name="Normal 2 2 2 45 7" xfId="22791" xr:uid="{00000000-0005-0000-0000-0000F6550000}"/>
    <cellStyle name="Normal 2 2 2 46" xfId="22792" xr:uid="{00000000-0005-0000-0000-0000F7550000}"/>
    <cellStyle name="Normal 2 2 2 46 2" xfId="22793" xr:uid="{00000000-0005-0000-0000-0000F8550000}"/>
    <cellStyle name="Normal 2 2 2 46 3" xfId="22794" xr:uid="{00000000-0005-0000-0000-0000F9550000}"/>
    <cellStyle name="Normal 2 2 2 46 4" xfId="22795" xr:uid="{00000000-0005-0000-0000-0000FA550000}"/>
    <cellStyle name="Normal 2 2 2 46 5" xfId="22796" xr:uid="{00000000-0005-0000-0000-0000FB550000}"/>
    <cellStyle name="Normal 2 2 2 46 6" xfId="22797" xr:uid="{00000000-0005-0000-0000-0000FC550000}"/>
    <cellStyle name="Normal 2 2 2 46 7" xfId="22798" xr:uid="{00000000-0005-0000-0000-0000FD550000}"/>
    <cellStyle name="Normal 2 2 2 47" xfId="22799" xr:uid="{00000000-0005-0000-0000-0000FE550000}"/>
    <cellStyle name="Normal 2 2 2 47 2" xfId="22800" xr:uid="{00000000-0005-0000-0000-0000FF550000}"/>
    <cellStyle name="Normal 2 2 2 47 3" xfId="22801" xr:uid="{00000000-0005-0000-0000-000000560000}"/>
    <cellStyle name="Normal 2 2 2 47 4" xfId="22802" xr:uid="{00000000-0005-0000-0000-000001560000}"/>
    <cellStyle name="Normal 2 2 2 47 5" xfId="22803" xr:uid="{00000000-0005-0000-0000-000002560000}"/>
    <cellStyle name="Normal 2 2 2 47 6" xfId="22804" xr:uid="{00000000-0005-0000-0000-000003560000}"/>
    <cellStyle name="Normal 2 2 2 47 7" xfId="22805" xr:uid="{00000000-0005-0000-0000-000004560000}"/>
    <cellStyle name="Normal 2 2 2 48" xfId="22806" xr:uid="{00000000-0005-0000-0000-000005560000}"/>
    <cellStyle name="Normal 2 2 2 48 2" xfId="22807" xr:uid="{00000000-0005-0000-0000-000006560000}"/>
    <cellStyle name="Normal 2 2 2 48 3" xfId="22808" xr:uid="{00000000-0005-0000-0000-000007560000}"/>
    <cellStyle name="Normal 2 2 2 48 4" xfId="22809" xr:uid="{00000000-0005-0000-0000-000008560000}"/>
    <cellStyle name="Normal 2 2 2 48 5" xfId="22810" xr:uid="{00000000-0005-0000-0000-000009560000}"/>
    <cellStyle name="Normal 2 2 2 48 6" xfId="22811" xr:uid="{00000000-0005-0000-0000-00000A560000}"/>
    <cellStyle name="Normal 2 2 2 48 7" xfId="22812" xr:uid="{00000000-0005-0000-0000-00000B560000}"/>
    <cellStyle name="Normal 2 2 2 49" xfId="22813" xr:uid="{00000000-0005-0000-0000-00000C560000}"/>
    <cellStyle name="Normal 2 2 2 49 2" xfId="22814" xr:uid="{00000000-0005-0000-0000-00000D560000}"/>
    <cellStyle name="Normal 2 2 2 49 3" xfId="22815" xr:uid="{00000000-0005-0000-0000-00000E560000}"/>
    <cellStyle name="Normal 2 2 2 49 4" xfId="22816" xr:uid="{00000000-0005-0000-0000-00000F560000}"/>
    <cellStyle name="Normal 2 2 2 49 5" xfId="22817" xr:uid="{00000000-0005-0000-0000-000010560000}"/>
    <cellStyle name="Normal 2 2 2 49 6" xfId="22818" xr:uid="{00000000-0005-0000-0000-000011560000}"/>
    <cellStyle name="Normal 2 2 2 49 7" xfId="22819" xr:uid="{00000000-0005-0000-0000-000012560000}"/>
    <cellStyle name="Normal 2 2 2 5" xfId="22820" xr:uid="{00000000-0005-0000-0000-000013560000}"/>
    <cellStyle name="Normal 2 2 2 5 2" xfId="22821" xr:uid="{00000000-0005-0000-0000-000014560000}"/>
    <cellStyle name="Normal 2 2 2 50" xfId="22822" xr:uid="{00000000-0005-0000-0000-000015560000}"/>
    <cellStyle name="Normal 2 2 2 50 2" xfId="22823" xr:uid="{00000000-0005-0000-0000-000016560000}"/>
    <cellStyle name="Normal 2 2 2 50 3" xfId="22824" xr:uid="{00000000-0005-0000-0000-000017560000}"/>
    <cellStyle name="Normal 2 2 2 50 4" xfId="22825" xr:uid="{00000000-0005-0000-0000-000018560000}"/>
    <cellStyle name="Normal 2 2 2 50 5" xfId="22826" xr:uid="{00000000-0005-0000-0000-000019560000}"/>
    <cellStyle name="Normal 2 2 2 50 6" xfId="22827" xr:uid="{00000000-0005-0000-0000-00001A560000}"/>
    <cellStyle name="Normal 2 2 2 50 7" xfId="22828" xr:uid="{00000000-0005-0000-0000-00001B560000}"/>
    <cellStyle name="Normal 2 2 2 51" xfId="22829" xr:uid="{00000000-0005-0000-0000-00001C560000}"/>
    <cellStyle name="Normal 2 2 2 51 2" xfId="22830" xr:uid="{00000000-0005-0000-0000-00001D560000}"/>
    <cellStyle name="Normal 2 2 2 51 3" xfId="22831" xr:uid="{00000000-0005-0000-0000-00001E560000}"/>
    <cellStyle name="Normal 2 2 2 51 4" xfId="22832" xr:uid="{00000000-0005-0000-0000-00001F560000}"/>
    <cellStyle name="Normal 2 2 2 51 5" xfId="22833" xr:uid="{00000000-0005-0000-0000-000020560000}"/>
    <cellStyle name="Normal 2 2 2 51 6" xfId="22834" xr:uid="{00000000-0005-0000-0000-000021560000}"/>
    <cellStyle name="Normal 2 2 2 51 7" xfId="22835" xr:uid="{00000000-0005-0000-0000-000022560000}"/>
    <cellStyle name="Normal 2 2 2 52" xfId="22836" xr:uid="{00000000-0005-0000-0000-000023560000}"/>
    <cellStyle name="Normal 2 2 2 52 2" xfId="22837" xr:uid="{00000000-0005-0000-0000-000024560000}"/>
    <cellStyle name="Normal 2 2 2 53" xfId="22838" xr:uid="{00000000-0005-0000-0000-000025560000}"/>
    <cellStyle name="Normal 2 2 2 53 2" xfId="22839" xr:uid="{00000000-0005-0000-0000-000026560000}"/>
    <cellStyle name="Normal 2 2 2 54" xfId="22840" xr:uid="{00000000-0005-0000-0000-000027560000}"/>
    <cellStyle name="Normal 2 2 2 54 2" xfId="22841" xr:uid="{00000000-0005-0000-0000-000028560000}"/>
    <cellStyle name="Normal 2 2 2 55" xfId="22842" xr:uid="{00000000-0005-0000-0000-000029560000}"/>
    <cellStyle name="Normal 2 2 2 55 2" xfId="22843" xr:uid="{00000000-0005-0000-0000-00002A560000}"/>
    <cellStyle name="Normal 2 2 2 56" xfId="22844" xr:uid="{00000000-0005-0000-0000-00002B560000}"/>
    <cellStyle name="Normal 2 2 2 56 2" xfId="22845" xr:uid="{00000000-0005-0000-0000-00002C560000}"/>
    <cellStyle name="Normal 2 2 2 56 2 2" xfId="22846" xr:uid="{00000000-0005-0000-0000-00002D560000}"/>
    <cellStyle name="Normal 2 2 2 56 2 2 2" xfId="22847" xr:uid="{00000000-0005-0000-0000-00002E560000}"/>
    <cellStyle name="Normal 2 2 2 56 2 2 2 2" xfId="22848" xr:uid="{00000000-0005-0000-0000-00002F560000}"/>
    <cellStyle name="Normal 2 2 2 56 2 2 2 3" xfId="22849" xr:uid="{00000000-0005-0000-0000-000030560000}"/>
    <cellStyle name="Normal 2 2 2 56 2 2 2 4" xfId="22850" xr:uid="{00000000-0005-0000-0000-000031560000}"/>
    <cellStyle name="Normal 2 2 2 56 2 2 2 5" xfId="22851" xr:uid="{00000000-0005-0000-0000-000032560000}"/>
    <cellStyle name="Normal 2 2 2 56 2 2 2 6" xfId="22852" xr:uid="{00000000-0005-0000-0000-000033560000}"/>
    <cellStyle name="Normal 2 2 2 56 2 3" xfId="22853" xr:uid="{00000000-0005-0000-0000-000034560000}"/>
    <cellStyle name="Normal 2 2 2 56 2 4" xfId="22854" xr:uid="{00000000-0005-0000-0000-000035560000}"/>
    <cellStyle name="Normal 2 2 2 56 2 5" xfId="22855" xr:uid="{00000000-0005-0000-0000-000036560000}"/>
    <cellStyle name="Normal 2 2 2 56 2 6" xfId="22856" xr:uid="{00000000-0005-0000-0000-000037560000}"/>
    <cellStyle name="Normal 2 2 2 56 2 7" xfId="22857" xr:uid="{00000000-0005-0000-0000-000038560000}"/>
    <cellStyle name="Normal 2 2 2 56 3" xfId="22858" xr:uid="{00000000-0005-0000-0000-000039560000}"/>
    <cellStyle name="Normal 2 2 2 56 3 2" xfId="22859" xr:uid="{00000000-0005-0000-0000-00003A560000}"/>
    <cellStyle name="Normal 2 2 2 56 3 3" xfId="22860" xr:uid="{00000000-0005-0000-0000-00003B560000}"/>
    <cellStyle name="Normal 2 2 2 56 3 4" xfId="22861" xr:uid="{00000000-0005-0000-0000-00003C560000}"/>
    <cellStyle name="Normal 2 2 2 56 3 5" xfId="22862" xr:uid="{00000000-0005-0000-0000-00003D560000}"/>
    <cellStyle name="Normal 2 2 2 56 3 6" xfId="22863" xr:uid="{00000000-0005-0000-0000-00003E560000}"/>
    <cellStyle name="Normal 2 2 2 56 4" xfId="22864" xr:uid="{00000000-0005-0000-0000-00003F560000}"/>
    <cellStyle name="Normal 2 2 2 57" xfId="22865" xr:uid="{00000000-0005-0000-0000-000040560000}"/>
    <cellStyle name="Normal 2 2 2 57 2" xfId="22866" xr:uid="{00000000-0005-0000-0000-000041560000}"/>
    <cellStyle name="Normal 2 2 2 57 3" xfId="22867" xr:uid="{00000000-0005-0000-0000-000042560000}"/>
    <cellStyle name="Normal 2 2 2 57 4" xfId="22868" xr:uid="{00000000-0005-0000-0000-000043560000}"/>
    <cellStyle name="Normal 2 2 2 57 5" xfId="22869" xr:uid="{00000000-0005-0000-0000-000044560000}"/>
    <cellStyle name="Normal 2 2 2 57 6" xfId="22870" xr:uid="{00000000-0005-0000-0000-000045560000}"/>
    <cellStyle name="Normal 2 2 2 57 7" xfId="22871" xr:uid="{00000000-0005-0000-0000-000046560000}"/>
    <cellStyle name="Normal 2 2 2 58" xfId="22872" xr:uid="{00000000-0005-0000-0000-000047560000}"/>
    <cellStyle name="Normal 2 2 2 58 2" xfId="22873" xr:uid="{00000000-0005-0000-0000-000048560000}"/>
    <cellStyle name="Normal 2 2 2 58 3" xfId="22874" xr:uid="{00000000-0005-0000-0000-000049560000}"/>
    <cellStyle name="Normal 2 2 2 58 4" xfId="22875" xr:uid="{00000000-0005-0000-0000-00004A560000}"/>
    <cellStyle name="Normal 2 2 2 58 5" xfId="22876" xr:uid="{00000000-0005-0000-0000-00004B560000}"/>
    <cellStyle name="Normal 2 2 2 58 6" xfId="22877" xr:uid="{00000000-0005-0000-0000-00004C560000}"/>
    <cellStyle name="Normal 2 2 2 58 7" xfId="22878" xr:uid="{00000000-0005-0000-0000-00004D560000}"/>
    <cellStyle name="Normal 2 2 2 59" xfId="22879" xr:uid="{00000000-0005-0000-0000-00004E560000}"/>
    <cellStyle name="Normal 2 2 2 59 2" xfId="22880" xr:uid="{00000000-0005-0000-0000-00004F560000}"/>
    <cellStyle name="Normal 2 2 2 59 3" xfId="22881" xr:uid="{00000000-0005-0000-0000-000050560000}"/>
    <cellStyle name="Normal 2 2 2 59 4" xfId="22882" xr:uid="{00000000-0005-0000-0000-000051560000}"/>
    <cellStyle name="Normal 2 2 2 59 5" xfId="22883" xr:uid="{00000000-0005-0000-0000-000052560000}"/>
    <cellStyle name="Normal 2 2 2 59 6" xfId="22884" xr:uid="{00000000-0005-0000-0000-000053560000}"/>
    <cellStyle name="Normal 2 2 2 6" xfId="22885" xr:uid="{00000000-0005-0000-0000-000054560000}"/>
    <cellStyle name="Normal 2 2 2 6 2" xfId="22886" xr:uid="{00000000-0005-0000-0000-000055560000}"/>
    <cellStyle name="Normal 2 2 2 60" xfId="22887" xr:uid="{00000000-0005-0000-0000-000056560000}"/>
    <cellStyle name="Normal 2 2 2 60 2" xfId="22888" xr:uid="{00000000-0005-0000-0000-000057560000}"/>
    <cellStyle name="Normal 2 2 2 60 3" xfId="22889" xr:uid="{00000000-0005-0000-0000-000058560000}"/>
    <cellStyle name="Normal 2 2 2 60 4" xfId="22890" xr:uid="{00000000-0005-0000-0000-000059560000}"/>
    <cellStyle name="Normal 2 2 2 60 5" xfId="22891" xr:uid="{00000000-0005-0000-0000-00005A560000}"/>
    <cellStyle name="Normal 2 2 2 60 6" xfId="22892" xr:uid="{00000000-0005-0000-0000-00005B560000}"/>
    <cellStyle name="Normal 2 2 2 61" xfId="22893" xr:uid="{00000000-0005-0000-0000-00005C560000}"/>
    <cellStyle name="Normal 2 2 2 61 2" xfId="22894" xr:uid="{00000000-0005-0000-0000-00005D560000}"/>
    <cellStyle name="Normal 2 2 2 61 3" xfId="22895" xr:uid="{00000000-0005-0000-0000-00005E560000}"/>
    <cellStyle name="Normal 2 2 2 61 4" xfId="22896" xr:uid="{00000000-0005-0000-0000-00005F560000}"/>
    <cellStyle name="Normal 2 2 2 61 5" xfId="22897" xr:uid="{00000000-0005-0000-0000-000060560000}"/>
    <cellStyle name="Normal 2 2 2 61 6" xfId="22898" xr:uid="{00000000-0005-0000-0000-000061560000}"/>
    <cellStyle name="Normal 2 2 2 62" xfId="22899" xr:uid="{00000000-0005-0000-0000-000062560000}"/>
    <cellStyle name="Normal 2 2 2 62 2" xfId="22900" xr:uid="{00000000-0005-0000-0000-000063560000}"/>
    <cellStyle name="Normal 2 2 2 62 3" xfId="22901" xr:uid="{00000000-0005-0000-0000-000064560000}"/>
    <cellStyle name="Normal 2 2 2 62 4" xfId="22902" xr:uid="{00000000-0005-0000-0000-000065560000}"/>
    <cellStyle name="Normal 2 2 2 62 5" xfId="22903" xr:uid="{00000000-0005-0000-0000-000066560000}"/>
    <cellStyle name="Normal 2 2 2 62 6" xfId="22904" xr:uid="{00000000-0005-0000-0000-000067560000}"/>
    <cellStyle name="Normal 2 2 2 63" xfId="22905" xr:uid="{00000000-0005-0000-0000-000068560000}"/>
    <cellStyle name="Normal 2 2 2 63 2" xfId="22906" xr:uid="{00000000-0005-0000-0000-000069560000}"/>
    <cellStyle name="Normal 2 2 2 63 3" xfId="22907" xr:uid="{00000000-0005-0000-0000-00006A560000}"/>
    <cellStyle name="Normal 2 2 2 63 4" xfId="22908" xr:uid="{00000000-0005-0000-0000-00006B560000}"/>
    <cellStyle name="Normal 2 2 2 63 5" xfId="22909" xr:uid="{00000000-0005-0000-0000-00006C560000}"/>
    <cellStyle name="Normal 2 2 2 63 6" xfId="22910" xr:uid="{00000000-0005-0000-0000-00006D560000}"/>
    <cellStyle name="Normal 2 2 2 64" xfId="22911" xr:uid="{00000000-0005-0000-0000-00006E560000}"/>
    <cellStyle name="Normal 2 2 2 64 2" xfId="22912" xr:uid="{00000000-0005-0000-0000-00006F560000}"/>
    <cellStyle name="Normal 2 2 2 64 3" xfId="22913" xr:uid="{00000000-0005-0000-0000-000070560000}"/>
    <cellStyle name="Normal 2 2 2 64 4" xfId="22914" xr:uid="{00000000-0005-0000-0000-000071560000}"/>
    <cellStyle name="Normal 2 2 2 64 5" xfId="22915" xr:uid="{00000000-0005-0000-0000-000072560000}"/>
    <cellStyle name="Normal 2 2 2 64 6" xfId="22916" xr:uid="{00000000-0005-0000-0000-000073560000}"/>
    <cellStyle name="Normal 2 2 2 65" xfId="22917" xr:uid="{00000000-0005-0000-0000-000074560000}"/>
    <cellStyle name="Normal 2 2 2 65 2" xfId="22918" xr:uid="{00000000-0005-0000-0000-000075560000}"/>
    <cellStyle name="Normal 2 2 2 65 3" xfId="22919" xr:uid="{00000000-0005-0000-0000-000076560000}"/>
    <cellStyle name="Normal 2 2 2 65 4" xfId="22920" xr:uid="{00000000-0005-0000-0000-000077560000}"/>
    <cellStyle name="Normal 2 2 2 65 5" xfId="22921" xr:uid="{00000000-0005-0000-0000-000078560000}"/>
    <cellStyle name="Normal 2 2 2 65 6" xfId="22922" xr:uid="{00000000-0005-0000-0000-000079560000}"/>
    <cellStyle name="Normal 2 2 2 66" xfId="22923" xr:uid="{00000000-0005-0000-0000-00007A560000}"/>
    <cellStyle name="Normal 2 2 2 66 2" xfId="22924" xr:uid="{00000000-0005-0000-0000-00007B560000}"/>
    <cellStyle name="Normal 2 2 2 66 3" xfId="22925" xr:uid="{00000000-0005-0000-0000-00007C560000}"/>
    <cellStyle name="Normal 2 2 2 66 4" xfId="22926" xr:uid="{00000000-0005-0000-0000-00007D560000}"/>
    <cellStyle name="Normal 2 2 2 66 5" xfId="22927" xr:uid="{00000000-0005-0000-0000-00007E560000}"/>
    <cellStyle name="Normal 2 2 2 66 6" xfId="22928" xr:uid="{00000000-0005-0000-0000-00007F560000}"/>
    <cellStyle name="Normal 2 2 2 67" xfId="22929" xr:uid="{00000000-0005-0000-0000-000080560000}"/>
    <cellStyle name="Normal 2 2 2 67 2" xfId="22930" xr:uid="{00000000-0005-0000-0000-000081560000}"/>
    <cellStyle name="Normal 2 2 2 67 3" xfId="22931" xr:uid="{00000000-0005-0000-0000-000082560000}"/>
    <cellStyle name="Normal 2 2 2 67 4" xfId="22932" xr:uid="{00000000-0005-0000-0000-000083560000}"/>
    <cellStyle name="Normal 2 2 2 67 5" xfId="22933" xr:uid="{00000000-0005-0000-0000-000084560000}"/>
    <cellStyle name="Normal 2 2 2 67 6" xfId="22934" xr:uid="{00000000-0005-0000-0000-000085560000}"/>
    <cellStyle name="Normal 2 2 2 68" xfId="22935" xr:uid="{00000000-0005-0000-0000-000086560000}"/>
    <cellStyle name="Normal 2 2 2 68 2" xfId="22936" xr:uid="{00000000-0005-0000-0000-000087560000}"/>
    <cellStyle name="Normal 2 2 2 68 3" xfId="22937" xr:uid="{00000000-0005-0000-0000-000088560000}"/>
    <cellStyle name="Normal 2 2 2 68 4" xfId="22938" xr:uid="{00000000-0005-0000-0000-000089560000}"/>
    <cellStyle name="Normal 2 2 2 68 5" xfId="22939" xr:uid="{00000000-0005-0000-0000-00008A560000}"/>
    <cellStyle name="Normal 2 2 2 68 6" xfId="22940" xr:uid="{00000000-0005-0000-0000-00008B560000}"/>
    <cellStyle name="Normal 2 2 2 69" xfId="22941" xr:uid="{00000000-0005-0000-0000-00008C560000}"/>
    <cellStyle name="Normal 2 2 2 69 2" xfId="22942" xr:uid="{00000000-0005-0000-0000-00008D560000}"/>
    <cellStyle name="Normal 2 2 2 69 3" xfId="22943" xr:uid="{00000000-0005-0000-0000-00008E560000}"/>
    <cellStyle name="Normal 2 2 2 69 4" xfId="22944" xr:uid="{00000000-0005-0000-0000-00008F560000}"/>
    <cellStyle name="Normal 2 2 2 69 5" xfId="22945" xr:uid="{00000000-0005-0000-0000-000090560000}"/>
    <cellStyle name="Normal 2 2 2 69 6" xfId="22946" xr:uid="{00000000-0005-0000-0000-000091560000}"/>
    <cellStyle name="Normal 2 2 2 7" xfId="22947" xr:uid="{00000000-0005-0000-0000-000092560000}"/>
    <cellStyle name="Normal 2 2 2 7 2" xfId="22948" xr:uid="{00000000-0005-0000-0000-000093560000}"/>
    <cellStyle name="Normal 2 2 2 70" xfId="22949" xr:uid="{00000000-0005-0000-0000-000094560000}"/>
    <cellStyle name="Normal 2 2 2 70 2" xfId="22950" xr:uid="{00000000-0005-0000-0000-000095560000}"/>
    <cellStyle name="Normal 2 2 2 70 3" xfId="22951" xr:uid="{00000000-0005-0000-0000-000096560000}"/>
    <cellStyle name="Normal 2 2 2 70 4" xfId="22952" xr:uid="{00000000-0005-0000-0000-000097560000}"/>
    <cellStyle name="Normal 2 2 2 70 5" xfId="22953" xr:uid="{00000000-0005-0000-0000-000098560000}"/>
    <cellStyle name="Normal 2 2 2 70 6" xfId="22954" xr:uid="{00000000-0005-0000-0000-000099560000}"/>
    <cellStyle name="Normal 2 2 2 71" xfId="22955" xr:uid="{00000000-0005-0000-0000-00009A560000}"/>
    <cellStyle name="Normal 2 2 2 71 2" xfId="22956" xr:uid="{00000000-0005-0000-0000-00009B560000}"/>
    <cellStyle name="Normal 2 2 2 71 3" xfId="22957" xr:uid="{00000000-0005-0000-0000-00009C560000}"/>
    <cellStyle name="Normal 2 2 2 71 4" xfId="22958" xr:uid="{00000000-0005-0000-0000-00009D560000}"/>
    <cellStyle name="Normal 2 2 2 71 5" xfId="22959" xr:uid="{00000000-0005-0000-0000-00009E560000}"/>
    <cellStyle name="Normal 2 2 2 71 6" xfId="22960" xr:uid="{00000000-0005-0000-0000-00009F560000}"/>
    <cellStyle name="Normal 2 2 2 72" xfId="22961" xr:uid="{00000000-0005-0000-0000-0000A0560000}"/>
    <cellStyle name="Normal 2 2 2 72 2" xfId="22962" xr:uid="{00000000-0005-0000-0000-0000A1560000}"/>
    <cellStyle name="Normal 2 2 2 72 3" xfId="22963" xr:uid="{00000000-0005-0000-0000-0000A2560000}"/>
    <cellStyle name="Normal 2 2 2 72 4" xfId="22964" xr:uid="{00000000-0005-0000-0000-0000A3560000}"/>
    <cellStyle name="Normal 2 2 2 72 5" xfId="22965" xr:uid="{00000000-0005-0000-0000-0000A4560000}"/>
    <cellStyle name="Normal 2 2 2 72 6" xfId="22966" xr:uid="{00000000-0005-0000-0000-0000A5560000}"/>
    <cellStyle name="Normal 2 2 2 73" xfId="22967" xr:uid="{00000000-0005-0000-0000-0000A6560000}"/>
    <cellStyle name="Normal 2 2 2 73 2" xfId="22968" xr:uid="{00000000-0005-0000-0000-0000A7560000}"/>
    <cellStyle name="Normal 2 2 2 73 3" xfId="22969" xr:uid="{00000000-0005-0000-0000-0000A8560000}"/>
    <cellStyle name="Normal 2 2 2 73 4" xfId="22970" xr:uid="{00000000-0005-0000-0000-0000A9560000}"/>
    <cellStyle name="Normal 2 2 2 73 5" xfId="22971" xr:uid="{00000000-0005-0000-0000-0000AA560000}"/>
    <cellStyle name="Normal 2 2 2 73 6" xfId="22972" xr:uid="{00000000-0005-0000-0000-0000AB560000}"/>
    <cellStyle name="Normal 2 2 2 74" xfId="22973" xr:uid="{00000000-0005-0000-0000-0000AC560000}"/>
    <cellStyle name="Normal 2 2 2 74 2" xfId="22974" xr:uid="{00000000-0005-0000-0000-0000AD560000}"/>
    <cellStyle name="Normal 2 2 2 74 3" xfId="22975" xr:uid="{00000000-0005-0000-0000-0000AE560000}"/>
    <cellStyle name="Normal 2 2 2 74 4" xfId="22976" xr:uid="{00000000-0005-0000-0000-0000AF560000}"/>
    <cellStyle name="Normal 2 2 2 74 5" xfId="22977" xr:uid="{00000000-0005-0000-0000-0000B0560000}"/>
    <cellStyle name="Normal 2 2 2 74 6" xfId="22978" xr:uid="{00000000-0005-0000-0000-0000B1560000}"/>
    <cellStyle name="Normal 2 2 2 75" xfId="22979" xr:uid="{00000000-0005-0000-0000-0000B2560000}"/>
    <cellStyle name="Normal 2 2 2 75 2" xfId="22980" xr:uid="{00000000-0005-0000-0000-0000B3560000}"/>
    <cellStyle name="Normal 2 2 2 75 3" xfId="22981" xr:uid="{00000000-0005-0000-0000-0000B4560000}"/>
    <cellStyle name="Normal 2 2 2 75 4" xfId="22982" xr:uid="{00000000-0005-0000-0000-0000B5560000}"/>
    <cellStyle name="Normal 2 2 2 75 5" xfId="22983" xr:uid="{00000000-0005-0000-0000-0000B6560000}"/>
    <cellStyle name="Normal 2 2 2 75 6" xfId="22984" xr:uid="{00000000-0005-0000-0000-0000B7560000}"/>
    <cellStyle name="Normal 2 2 2 76" xfId="22985" xr:uid="{00000000-0005-0000-0000-0000B8560000}"/>
    <cellStyle name="Normal 2 2 2 76 2" xfId="22986" xr:uid="{00000000-0005-0000-0000-0000B9560000}"/>
    <cellStyle name="Normal 2 2 2 76 2 2" xfId="22987" xr:uid="{00000000-0005-0000-0000-0000BA560000}"/>
    <cellStyle name="Normal 2 2 2 76 2 3" xfId="22988" xr:uid="{00000000-0005-0000-0000-0000BB560000}"/>
    <cellStyle name="Normal 2 2 2 76 2 4" xfId="22989" xr:uid="{00000000-0005-0000-0000-0000BC560000}"/>
    <cellStyle name="Normal 2 2 2 76 2 5" xfId="22990" xr:uid="{00000000-0005-0000-0000-0000BD560000}"/>
    <cellStyle name="Normal 2 2 2 76 2 6" xfId="22991" xr:uid="{00000000-0005-0000-0000-0000BE560000}"/>
    <cellStyle name="Normal 2 2 2 77" xfId="22992" xr:uid="{00000000-0005-0000-0000-0000BF560000}"/>
    <cellStyle name="Normal 2 2 2 77 10" xfId="22993" xr:uid="{00000000-0005-0000-0000-0000C0560000}"/>
    <cellStyle name="Normal 2 2 2 77 11" xfId="22994" xr:uid="{00000000-0005-0000-0000-0000C1560000}"/>
    <cellStyle name="Normal 2 2 2 77 2" xfId="22995" xr:uid="{00000000-0005-0000-0000-0000C2560000}"/>
    <cellStyle name="Normal 2 2 2 77 2 2" xfId="22996" xr:uid="{00000000-0005-0000-0000-0000C3560000}"/>
    <cellStyle name="Normal 2 2 2 77 2 2 2" xfId="22997" xr:uid="{00000000-0005-0000-0000-0000C4560000}"/>
    <cellStyle name="Normal 2 2 2 77 2 2 3" xfId="22998" xr:uid="{00000000-0005-0000-0000-0000C5560000}"/>
    <cellStyle name="Normal 2 2 2 77 2 3" xfId="22999" xr:uid="{00000000-0005-0000-0000-0000C6560000}"/>
    <cellStyle name="Normal 2 2 2 77 2 4" xfId="23000" xr:uid="{00000000-0005-0000-0000-0000C7560000}"/>
    <cellStyle name="Normal 2 2 2 77 2 5" xfId="23001" xr:uid="{00000000-0005-0000-0000-0000C8560000}"/>
    <cellStyle name="Normal 2 2 2 77 2 6" xfId="23002" xr:uid="{00000000-0005-0000-0000-0000C9560000}"/>
    <cellStyle name="Normal 2 2 2 77 2 7" xfId="23003" xr:uid="{00000000-0005-0000-0000-0000CA560000}"/>
    <cellStyle name="Normal 2 2 2 77 2 8" xfId="23004" xr:uid="{00000000-0005-0000-0000-0000CB560000}"/>
    <cellStyle name="Normal 2 2 2 77 2 9" xfId="23005" xr:uid="{00000000-0005-0000-0000-0000CC560000}"/>
    <cellStyle name="Normal 2 2 2 77 3" xfId="23006" xr:uid="{00000000-0005-0000-0000-0000CD560000}"/>
    <cellStyle name="Normal 2 2 2 77 4" xfId="23007" xr:uid="{00000000-0005-0000-0000-0000CE560000}"/>
    <cellStyle name="Normal 2 2 2 77 5" xfId="23008" xr:uid="{00000000-0005-0000-0000-0000CF560000}"/>
    <cellStyle name="Normal 2 2 2 77 5 2" xfId="23009" xr:uid="{00000000-0005-0000-0000-0000D0560000}"/>
    <cellStyle name="Normal 2 2 2 77 5 3" xfId="23010" xr:uid="{00000000-0005-0000-0000-0000D1560000}"/>
    <cellStyle name="Normal 2 2 2 77 6" xfId="23011" xr:uid="{00000000-0005-0000-0000-0000D2560000}"/>
    <cellStyle name="Normal 2 2 2 77 7" xfId="23012" xr:uid="{00000000-0005-0000-0000-0000D3560000}"/>
    <cellStyle name="Normal 2 2 2 77 8" xfId="23013" xr:uid="{00000000-0005-0000-0000-0000D4560000}"/>
    <cellStyle name="Normal 2 2 2 77 9" xfId="23014" xr:uid="{00000000-0005-0000-0000-0000D5560000}"/>
    <cellStyle name="Normal 2 2 2 78" xfId="23015" xr:uid="{00000000-0005-0000-0000-0000D6560000}"/>
    <cellStyle name="Normal 2 2 2 79" xfId="23016" xr:uid="{00000000-0005-0000-0000-0000D7560000}"/>
    <cellStyle name="Normal 2 2 2 8" xfId="23017" xr:uid="{00000000-0005-0000-0000-0000D8560000}"/>
    <cellStyle name="Normal 2 2 2 8 2" xfId="23018" xr:uid="{00000000-0005-0000-0000-0000D9560000}"/>
    <cellStyle name="Normal 2 2 2 80" xfId="23019" xr:uid="{00000000-0005-0000-0000-0000DA560000}"/>
    <cellStyle name="Normal 2 2 2 80 2" xfId="23020" xr:uid="{00000000-0005-0000-0000-0000DB560000}"/>
    <cellStyle name="Normal 2 2 2 80 2 2" xfId="23021" xr:uid="{00000000-0005-0000-0000-0000DC560000}"/>
    <cellStyle name="Normal 2 2 2 80 2 3" xfId="23022" xr:uid="{00000000-0005-0000-0000-0000DD560000}"/>
    <cellStyle name="Normal 2 2 2 80 3" xfId="23023" xr:uid="{00000000-0005-0000-0000-0000DE560000}"/>
    <cellStyle name="Normal 2 2 2 80 4" xfId="23024" xr:uid="{00000000-0005-0000-0000-0000DF560000}"/>
    <cellStyle name="Normal 2 2 2 80 5" xfId="23025" xr:uid="{00000000-0005-0000-0000-0000E0560000}"/>
    <cellStyle name="Normal 2 2 2 80 6" xfId="23026" xr:uid="{00000000-0005-0000-0000-0000E1560000}"/>
    <cellStyle name="Normal 2 2 2 80 7" xfId="23027" xr:uid="{00000000-0005-0000-0000-0000E2560000}"/>
    <cellStyle name="Normal 2 2 2 80 8" xfId="23028" xr:uid="{00000000-0005-0000-0000-0000E3560000}"/>
    <cellStyle name="Normal 2 2 2 80 9" xfId="23029" xr:uid="{00000000-0005-0000-0000-0000E4560000}"/>
    <cellStyle name="Normal 2 2 2 81" xfId="23030" xr:uid="{00000000-0005-0000-0000-0000E5560000}"/>
    <cellStyle name="Normal 2 2 2 82" xfId="23031" xr:uid="{00000000-0005-0000-0000-0000E6560000}"/>
    <cellStyle name="Normal 2 2 2 82 2" xfId="23032" xr:uid="{00000000-0005-0000-0000-0000E7560000}"/>
    <cellStyle name="Normal 2 2 2 82 3" xfId="23033" xr:uid="{00000000-0005-0000-0000-0000E8560000}"/>
    <cellStyle name="Normal 2 2 2 83" xfId="23034" xr:uid="{00000000-0005-0000-0000-0000E9560000}"/>
    <cellStyle name="Normal 2 2 2 84" xfId="23035" xr:uid="{00000000-0005-0000-0000-0000EA560000}"/>
    <cellStyle name="Normal 2 2 2 85" xfId="23036" xr:uid="{00000000-0005-0000-0000-0000EB560000}"/>
    <cellStyle name="Normal 2 2 2 86" xfId="23037" xr:uid="{00000000-0005-0000-0000-0000EC560000}"/>
    <cellStyle name="Normal 2 2 2 87" xfId="23038" xr:uid="{00000000-0005-0000-0000-0000ED560000}"/>
    <cellStyle name="Normal 2 2 2 88" xfId="23039" xr:uid="{00000000-0005-0000-0000-0000EE560000}"/>
    <cellStyle name="Normal 2 2 2 89" xfId="23040" xr:uid="{00000000-0005-0000-0000-0000EF560000}"/>
    <cellStyle name="Normal 2 2 2 9" xfId="23041" xr:uid="{00000000-0005-0000-0000-0000F0560000}"/>
    <cellStyle name="Normal 2 2 2 9 10" xfId="23042" xr:uid="{00000000-0005-0000-0000-0000F1560000}"/>
    <cellStyle name="Normal 2 2 2 9 11" xfId="23043" xr:uid="{00000000-0005-0000-0000-0000F2560000}"/>
    <cellStyle name="Normal 2 2 2 9 12" xfId="23044" xr:uid="{00000000-0005-0000-0000-0000F3560000}"/>
    <cellStyle name="Normal 2 2 2 9 13" xfId="23045" xr:uid="{00000000-0005-0000-0000-0000F4560000}"/>
    <cellStyle name="Normal 2 2 2 9 14" xfId="23046" xr:uid="{00000000-0005-0000-0000-0000F5560000}"/>
    <cellStyle name="Normal 2 2 2 9 15" xfId="23047" xr:uid="{00000000-0005-0000-0000-0000F6560000}"/>
    <cellStyle name="Normal 2 2 2 9 16" xfId="23048" xr:uid="{00000000-0005-0000-0000-0000F7560000}"/>
    <cellStyle name="Normal 2 2 2 9 17" xfId="23049" xr:uid="{00000000-0005-0000-0000-0000F8560000}"/>
    <cellStyle name="Normal 2 2 2 9 18" xfId="23050" xr:uid="{00000000-0005-0000-0000-0000F9560000}"/>
    <cellStyle name="Normal 2 2 2 9 19" xfId="23051" xr:uid="{00000000-0005-0000-0000-0000FA560000}"/>
    <cellStyle name="Normal 2 2 2 9 2" xfId="23052" xr:uid="{00000000-0005-0000-0000-0000FB560000}"/>
    <cellStyle name="Normal 2 2 2 9 2 10" xfId="23053" xr:uid="{00000000-0005-0000-0000-0000FC560000}"/>
    <cellStyle name="Normal 2 2 2 9 2 11" xfId="23054" xr:uid="{00000000-0005-0000-0000-0000FD560000}"/>
    <cellStyle name="Normal 2 2 2 9 2 12" xfId="23055" xr:uid="{00000000-0005-0000-0000-0000FE560000}"/>
    <cellStyle name="Normal 2 2 2 9 2 13" xfId="23056" xr:uid="{00000000-0005-0000-0000-0000FF560000}"/>
    <cellStyle name="Normal 2 2 2 9 2 2" xfId="23057" xr:uid="{00000000-0005-0000-0000-000000570000}"/>
    <cellStyle name="Normal 2 2 2 9 2 2 2" xfId="23058" xr:uid="{00000000-0005-0000-0000-000001570000}"/>
    <cellStyle name="Normal 2 2 2 9 2 2 3" xfId="23059" xr:uid="{00000000-0005-0000-0000-000002570000}"/>
    <cellStyle name="Normal 2 2 2 9 2 2 4" xfId="23060" xr:uid="{00000000-0005-0000-0000-000003570000}"/>
    <cellStyle name="Normal 2 2 2 9 2 2 5" xfId="23061" xr:uid="{00000000-0005-0000-0000-000004570000}"/>
    <cellStyle name="Normal 2 2 2 9 2 2 6" xfId="23062" xr:uid="{00000000-0005-0000-0000-000005570000}"/>
    <cellStyle name="Normal 2 2 2 9 2 3" xfId="23063" xr:uid="{00000000-0005-0000-0000-000006570000}"/>
    <cellStyle name="Normal 2 2 2 9 2 3 2" xfId="23064" xr:uid="{00000000-0005-0000-0000-000007570000}"/>
    <cellStyle name="Normal 2 2 2 9 2 3 3" xfId="23065" xr:uid="{00000000-0005-0000-0000-000008570000}"/>
    <cellStyle name="Normal 2 2 2 9 2 3 4" xfId="23066" xr:uid="{00000000-0005-0000-0000-000009570000}"/>
    <cellStyle name="Normal 2 2 2 9 2 3 5" xfId="23067" xr:uid="{00000000-0005-0000-0000-00000A570000}"/>
    <cellStyle name="Normal 2 2 2 9 2 3 6" xfId="23068" xr:uid="{00000000-0005-0000-0000-00000B570000}"/>
    <cellStyle name="Normal 2 2 2 9 2 4" xfId="23069" xr:uid="{00000000-0005-0000-0000-00000C570000}"/>
    <cellStyle name="Normal 2 2 2 9 2 4 2" xfId="23070" xr:uid="{00000000-0005-0000-0000-00000D570000}"/>
    <cellStyle name="Normal 2 2 2 9 2 4 3" xfId="23071" xr:uid="{00000000-0005-0000-0000-00000E570000}"/>
    <cellStyle name="Normal 2 2 2 9 2 4 4" xfId="23072" xr:uid="{00000000-0005-0000-0000-00000F570000}"/>
    <cellStyle name="Normal 2 2 2 9 2 4 5" xfId="23073" xr:uid="{00000000-0005-0000-0000-000010570000}"/>
    <cellStyle name="Normal 2 2 2 9 2 4 6" xfId="23074" xr:uid="{00000000-0005-0000-0000-000011570000}"/>
    <cellStyle name="Normal 2 2 2 9 2 5" xfId="23075" xr:uid="{00000000-0005-0000-0000-000012570000}"/>
    <cellStyle name="Normal 2 2 2 9 2 5 2" xfId="23076" xr:uid="{00000000-0005-0000-0000-000013570000}"/>
    <cellStyle name="Normal 2 2 2 9 2 5 3" xfId="23077" xr:uid="{00000000-0005-0000-0000-000014570000}"/>
    <cellStyle name="Normal 2 2 2 9 2 5 4" xfId="23078" xr:uid="{00000000-0005-0000-0000-000015570000}"/>
    <cellStyle name="Normal 2 2 2 9 2 5 5" xfId="23079" xr:uid="{00000000-0005-0000-0000-000016570000}"/>
    <cellStyle name="Normal 2 2 2 9 2 5 6" xfId="23080" xr:uid="{00000000-0005-0000-0000-000017570000}"/>
    <cellStyle name="Normal 2 2 2 9 2 6" xfId="23081" xr:uid="{00000000-0005-0000-0000-000018570000}"/>
    <cellStyle name="Normal 2 2 2 9 2 6 2" xfId="23082" xr:uid="{00000000-0005-0000-0000-000019570000}"/>
    <cellStyle name="Normal 2 2 2 9 2 6 3" xfId="23083" xr:uid="{00000000-0005-0000-0000-00001A570000}"/>
    <cellStyle name="Normal 2 2 2 9 2 6 4" xfId="23084" xr:uid="{00000000-0005-0000-0000-00001B570000}"/>
    <cellStyle name="Normal 2 2 2 9 2 6 5" xfId="23085" xr:uid="{00000000-0005-0000-0000-00001C570000}"/>
    <cellStyle name="Normal 2 2 2 9 2 6 6" xfId="23086" xr:uid="{00000000-0005-0000-0000-00001D570000}"/>
    <cellStyle name="Normal 2 2 2 9 2 7" xfId="23087" xr:uid="{00000000-0005-0000-0000-00001E570000}"/>
    <cellStyle name="Normal 2 2 2 9 2 7 2" xfId="23088" xr:uid="{00000000-0005-0000-0000-00001F570000}"/>
    <cellStyle name="Normal 2 2 2 9 2 7 3" xfId="23089" xr:uid="{00000000-0005-0000-0000-000020570000}"/>
    <cellStyle name="Normal 2 2 2 9 2 7 4" xfId="23090" xr:uid="{00000000-0005-0000-0000-000021570000}"/>
    <cellStyle name="Normal 2 2 2 9 2 7 5" xfId="23091" xr:uid="{00000000-0005-0000-0000-000022570000}"/>
    <cellStyle name="Normal 2 2 2 9 2 7 6" xfId="23092" xr:uid="{00000000-0005-0000-0000-000023570000}"/>
    <cellStyle name="Normal 2 2 2 9 2 8" xfId="23093" xr:uid="{00000000-0005-0000-0000-000024570000}"/>
    <cellStyle name="Normal 2 2 2 9 2 8 2" xfId="23094" xr:uid="{00000000-0005-0000-0000-000025570000}"/>
    <cellStyle name="Normal 2 2 2 9 2 8 3" xfId="23095" xr:uid="{00000000-0005-0000-0000-000026570000}"/>
    <cellStyle name="Normal 2 2 2 9 2 8 4" xfId="23096" xr:uid="{00000000-0005-0000-0000-000027570000}"/>
    <cellStyle name="Normal 2 2 2 9 2 8 5" xfId="23097" xr:uid="{00000000-0005-0000-0000-000028570000}"/>
    <cellStyle name="Normal 2 2 2 9 2 8 6" xfId="23098" xr:uid="{00000000-0005-0000-0000-000029570000}"/>
    <cellStyle name="Normal 2 2 2 9 2 9" xfId="23099" xr:uid="{00000000-0005-0000-0000-00002A570000}"/>
    <cellStyle name="Normal 2 2 2 9 20" xfId="23100" xr:uid="{00000000-0005-0000-0000-00002B570000}"/>
    <cellStyle name="Normal 2 2 2 9 21" xfId="23101" xr:uid="{00000000-0005-0000-0000-00002C570000}"/>
    <cellStyle name="Normal 2 2 2 9 22" xfId="23102" xr:uid="{00000000-0005-0000-0000-00002D570000}"/>
    <cellStyle name="Normal 2 2 2 9 23" xfId="23103" xr:uid="{00000000-0005-0000-0000-00002E570000}"/>
    <cellStyle name="Normal 2 2 2 9 24" xfId="23104" xr:uid="{00000000-0005-0000-0000-00002F570000}"/>
    <cellStyle name="Normal 2 2 2 9 25" xfId="23105" xr:uid="{00000000-0005-0000-0000-000030570000}"/>
    <cellStyle name="Normal 2 2 2 9 26" xfId="23106" xr:uid="{00000000-0005-0000-0000-000031570000}"/>
    <cellStyle name="Normal 2 2 2 9 27" xfId="23107" xr:uid="{00000000-0005-0000-0000-000032570000}"/>
    <cellStyle name="Normal 2 2 2 9 28" xfId="23108" xr:uid="{00000000-0005-0000-0000-000033570000}"/>
    <cellStyle name="Normal 2 2 2 9 29" xfId="23109" xr:uid="{00000000-0005-0000-0000-000034570000}"/>
    <cellStyle name="Normal 2 2 2 9 3" xfId="23110" xr:uid="{00000000-0005-0000-0000-000035570000}"/>
    <cellStyle name="Normal 2 2 2 9 3 10" xfId="23111" xr:uid="{00000000-0005-0000-0000-000036570000}"/>
    <cellStyle name="Normal 2 2 2 9 3 11" xfId="23112" xr:uid="{00000000-0005-0000-0000-000037570000}"/>
    <cellStyle name="Normal 2 2 2 9 3 12" xfId="23113" xr:uid="{00000000-0005-0000-0000-000038570000}"/>
    <cellStyle name="Normal 2 2 2 9 3 13" xfId="23114" xr:uid="{00000000-0005-0000-0000-000039570000}"/>
    <cellStyle name="Normal 2 2 2 9 3 2" xfId="23115" xr:uid="{00000000-0005-0000-0000-00003A570000}"/>
    <cellStyle name="Normal 2 2 2 9 3 2 2" xfId="23116" xr:uid="{00000000-0005-0000-0000-00003B570000}"/>
    <cellStyle name="Normal 2 2 2 9 3 2 3" xfId="23117" xr:uid="{00000000-0005-0000-0000-00003C570000}"/>
    <cellStyle name="Normal 2 2 2 9 3 2 4" xfId="23118" xr:uid="{00000000-0005-0000-0000-00003D570000}"/>
    <cellStyle name="Normal 2 2 2 9 3 2 5" xfId="23119" xr:uid="{00000000-0005-0000-0000-00003E570000}"/>
    <cellStyle name="Normal 2 2 2 9 3 2 6" xfId="23120" xr:uid="{00000000-0005-0000-0000-00003F570000}"/>
    <cellStyle name="Normal 2 2 2 9 3 3" xfId="23121" xr:uid="{00000000-0005-0000-0000-000040570000}"/>
    <cellStyle name="Normal 2 2 2 9 3 3 2" xfId="23122" xr:uid="{00000000-0005-0000-0000-000041570000}"/>
    <cellStyle name="Normal 2 2 2 9 3 3 3" xfId="23123" xr:uid="{00000000-0005-0000-0000-000042570000}"/>
    <cellStyle name="Normal 2 2 2 9 3 3 4" xfId="23124" xr:uid="{00000000-0005-0000-0000-000043570000}"/>
    <cellStyle name="Normal 2 2 2 9 3 3 5" xfId="23125" xr:uid="{00000000-0005-0000-0000-000044570000}"/>
    <cellStyle name="Normal 2 2 2 9 3 3 6" xfId="23126" xr:uid="{00000000-0005-0000-0000-000045570000}"/>
    <cellStyle name="Normal 2 2 2 9 3 4" xfId="23127" xr:uid="{00000000-0005-0000-0000-000046570000}"/>
    <cellStyle name="Normal 2 2 2 9 3 4 2" xfId="23128" xr:uid="{00000000-0005-0000-0000-000047570000}"/>
    <cellStyle name="Normal 2 2 2 9 3 4 3" xfId="23129" xr:uid="{00000000-0005-0000-0000-000048570000}"/>
    <cellStyle name="Normal 2 2 2 9 3 4 4" xfId="23130" xr:uid="{00000000-0005-0000-0000-000049570000}"/>
    <cellStyle name="Normal 2 2 2 9 3 4 5" xfId="23131" xr:uid="{00000000-0005-0000-0000-00004A570000}"/>
    <cellStyle name="Normal 2 2 2 9 3 4 6" xfId="23132" xr:uid="{00000000-0005-0000-0000-00004B570000}"/>
    <cellStyle name="Normal 2 2 2 9 3 5" xfId="23133" xr:uid="{00000000-0005-0000-0000-00004C570000}"/>
    <cellStyle name="Normal 2 2 2 9 3 5 2" xfId="23134" xr:uid="{00000000-0005-0000-0000-00004D570000}"/>
    <cellStyle name="Normal 2 2 2 9 3 5 3" xfId="23135" xr:uid="{00000000-0005-0000-0000-00004E570000}"/>
    <cellStyle name="Normal 2 2 2 9 3 5 4" xfId="23136" xr:uid="{00000000-0005-0000-0000-00004F570000}"/>
    <cellStyle name="Normal 2 2 2 9 3 5 5" xfId="23137" xr:uid="{00000000-0005-0000-0000-000050570000}"/>
    <cellStyle name="Normal 2 2 2 9 3 5 6" xfId="23138" xr:uid="{00000000-0005-0000-0000-000051570000}"/>
    <cellStyle name="Normal 2 2 2 9 3 6" xfId="23139" xr:uid="{00000000-0005-0000-0000-000052570000}"/>
    <cellStyle name="Normal 2 2 2 9 3 6 2" xfId="23140" xr:uid="{00000000-0005-0000-0000-000053570000}"/>
    <cellStyle name="Normal 2 2 2 9 3 6 3" xfId="23141" xr:uid="{00000000-0005-0000-0000-000054570000}"/>
    <cellStyle name="Normal 2 2 2 9 3 6 4" xfId="23142" xr:uid="{00000000-0005-0000-0000-000055570000}"/>
    <cellStyle name="Normal 2 2 2 9 3 6 5" xfId="23143" xr:uid="{00000000-0005-0000-0000-000056570000}"/>
    <cellStyle name="Normal 2 2 2 9 3 6 6" xfId="23144" xr:uid="{00000000-0005-0000-0000-000057570000}"/>
    <cellStyle name="Normal 2 2 2 9 3 7" xfId="23145" xr:uid="{00000000-0005-0000-0000-000058570000}"/>
    <cellStyle name="Normal 2 2 2 9 3 7 2" xfId="23146" xr:uid="{00000000-0005-0000-0000-000059570000}"/>
    <cellStyle name="Normal 2 2 2 9 3 7 3" xfId="23147" xr:uid="{00000000-0005-0000-0000-00005A570000}"/>
    <cellStyle name="Normal 2 2 2 9 3 7 4" xfId="23148" xr:uid="{00000000-0005-0000-0000-00005B570000}"/>
    <cellStyle name="Normal 2 2 2 9 3 7 5" xfId="23149" xr:uid="{00000000-0005-0000-0000-00005C570000}"/>
    <cellStyle name="Normal 2 2 2 9 3 7 6" xfId="23150" xr:uid="{00000000-0005-0000-0000-00005D570000}"/>
    <cellStyle name="Normal 2 2 2 9 3 8" xfId="23151" xr:uid="{00000000-0005-0000-0000-00005E570000}"/>
    <cellStyle name="Normal 2 2 2 9 3 8 2" xfId="23152" xr:uid="{00000000-0005-0000-0000-00005F570000}"/>
    <cellStyle name="Normal 2 2 2 9 3 8 3" xfId="23153" xr:uid="{00000000-0005-0000-0000-000060570000}"/>
    <cellStyle name="Normal 2 2 2 9 3 8 4" xfId="23154" xr:uid="{00000000-0005-0000-0000-000061570000}"/>
    <cellStyle name="Normal 2 2 2 9 3 8 5" xfId="23155" xr:uid="{00000000-0005-0000-0000-000062570000}"/>
    <cellStyle name="Normal 2 2 2 9 3 8 6" xfId="23156" xr:uid="{00000000-0005-0000-0000-000063570000}"/>
    <cellStyle name="Normal 2 2 2 9 3 9" xfId="23157" xr:uid="{00000000-0005-0000-0000-000064570000}"/>
    <cellStyle name="Normal 2 2 2 9 30" xfId="23158" xr:uid="{00000000-0005-0000-0000-000065570000}"/>
    <cellStyle name="Normal 2 2 2 9 31" xfId="23159" xr:uid="{00000000-0005-0000-0000-000066570000}"/>
    <cellStyle name="Normal 2 2 2 9 32" xfId="23160" xr:uid="{00000000-0005-0000-0000-000067570000}"/>
    <cellStyle name="Normal 2 2 2 9 33" xfId="23161" xr:uid="{00000000-0005-0000-0000-000068570000}"/>
    <cellStyle name="Normal 2 2 2 9 34" xfId="23162" xr:uid="{00000000-0005-0000-0000-000069570000}"/>
    <cellStyle name="Normal 2 2 2 9 35" xfId="23163" xr:uid="{00000000-0005-0000-0000-00006A570000}"/>
    <cellStyle name="Normal 2 2 2 9 36" xfId="23164" xr:uid="{00000000-0005-0000-0000-00006B570000}"/>
    <cellStyle name="Normal 2 2 2 9 37" xfId="23165" xr:uid="{00000000-0005-0000-0000-00006C570000}"/>
    <cellStyle name="Normal 2 2 2 9 38" xfId="23166" xr:uid="{00000000-0005-0000-0000-00006D570000}"/>
    <cellStyle name="Normal 2 2 2 9 39" xfId="23167" xr:uid="{00000000-0005-0000-0000-00006E570000}"/>
    <cellStyle name="Normal 2 2 2 9 4" xfId="23168" xr:uid="{00000000-0005-0000-0000-00006F570000}"/>
    <cellStyle name="Normal 2 2 2 9 4 10" xfId="23169" xr:uid="{00000000-0005-0000-0000-000070570000}"/>
    <cellStyle name="Normal 2 2 2 9 4 11" xfId="23170" xr:uid="{00000000-0005-0000-0000-000071570000}"/>
    <cellStyle name="Normal 2 2 2 9 4 12" xfId="23171" xr:uid="{00000000-0005-0000-0000-000072570000}"/>
    <cellStyle name="Normal 2 2 2 9 4 13" xfId="23172" xr:uid="{00000000-0005-0000-0000-000073570000}"/>
    <cellStyle name="Normal 2 2 2 9 4 2" xfId="23173" xr:uid="{00000000-0005-0000-0000-000074570000}"/>
    <cellStyle name="Normal 2 2 2 9 4 2 2" xfId="23174" xr:uid="{00000000-0005-0000-0000-000075570000}"/>
    <cellStyle name="Normal 2 2 2 9 4 2 3" xfId="23175" xr:uid="{00000000-0005-0000-0000-000076570000}"/>
    <cellStyle name="Normal 2 2 2 9 4 2 4" xfId="23176" xr:uid="{00000000-0005-0000-0000-000077570000}"/>
    <cellStyle name="Normal 2 2 2 9 4 2 5" xfId="23177" xr:uid="{00000000-0005-0000-0000-000078570000}"/>
    <cellStyle name="Normal 2 2 2 9 4 2 6" xfId="23178" xr:uid="{00000000-0005-0000-0000-000079570000}"/>
    <cellStyle name="Normal 2 2 2 9 4 3" xfId="23179" xr:uid="{00000000-0005-0000-0000-00007A570000}"/>
    <cellStyle name="Normal 2 2 2 9 4 3 2" xfId="23180" xr:uid="{00000000-0005-0000-0000-00007B570000}"/>
    <cellStyle name="Normal 2 2 2 9 4 3 3" xfId="23181" xr:uid="{00000000-0005-0000-0000-00007C570000}"/>
    <cellStyle name="Normal 2 2 2 9 4 3 4" xfId="23182" xr:uid="{00000000-0005-0000-0000-00007D570000}"/>
    <cellStyle name="Normal 2 2 2 9 4 3 5" xfId="23183" xr:uid="{00000000-0005-0000-0000-00007E570000}"/>
    <cellStyle name="Normal 2 2 2 9 4 3 6" xfId="23184" xr:uid="{00000000-0005-0000-0000-00007F570000}"/>
    <cellStyle name="Normal 2 2 2 9 4 4" xfId="23185" xr:uid="{00000000-0005-0000-0000-000080570000}"/>
    <cellStyle name="Normal 2 2 2 9 4 4 2" xfId="23186" xr:uid="{00000000-0005-0000-0000-000081570000}"/>
    <cellStyle name="Normal 2 2 2 9 4 4 3" xfId="23187" xr:uid="{00000000-0005-0000-0000-000082570000}"/>
    <cellStyle name="Normal 2 2 2 9 4 4 4" xfId="23188" xr:uid="{00000000-0005-0000-0000-000083570000}"/>
    <cellStyle name="Normal 2 2 2 9 4 4 5" xfId="23189" xr:uid="{00000000-0005-0000-0000-000084570000}"/>
    <cellStyle name="Normal 2 2 2 9 4 4 6" xfId="23190" xr:uid="{00000000-0005-0000-0000-000085570000}"/>
    <cellStyle name="Normal 2 2 2 9 4 5" xfId="23191" xr:uid="{00000000-0005-0000-0000-000086570000}"/>
    <cellStyle name="Normal 2 2 2 9 4 5 2" xfId="23192" xr:uid="{00000000-0005-0000-0000-000087570000}"/>
    <cellStyle name="Normal 2 2 2 9 4 5 3" xfId="23193" xr:uid="{00000000-0005-0000-0000-000088570000}"/>
    <cellStyle name="Normal 2 2 2 9 4 5 4" xfId="23194" xr:uid="{00000000-0005-0000-0000-000089570000}"/>
    <cellStyle name="Normal 2 2 2 9 4 5 5" xfId="23195" xr:uid="{00000000-0005-0000-0000-00008A570000}"/>
    <cellStyle name="Normal 2 2 2 9 4 5 6" xfId="23196" xr:uid="{00000000-0005-0000-0000-00008B570000}"/>
    <cellStyle name="Normal 2 2 2 9 4 6" xfId="23197" xr:uid="{00000000-0005-0000-0000-00008C570000}"/>
    <cellStyle name="Normal 2 2 2 9 4 6 2" xfId="23198" xr:uid="{00000000-0005-0000-0000-00008D570000}"/>
    <cellStyle name="Normal 2 2 2 9 4 6 3" xfId="23199" xr:uid="{00000000-0005-0000-0000-00008E570000}"/>
    <cellStyle name="Normal 2 2 2 9 4 6 4" xfId="23200" xr:uid="{00000000-0005-0000-0000-00008F570000}"/>
    <cellStyle name="Normal 2 2 2 9 4 6 5" xfId="23201" xr:uid="{00000000-0005-0000-0000-000090570000}"/>
    <cellStyle name="Normal 2 2 2 9 4 6 6" xfId="23202" xr:uid="{00000000-0005-0000-0000-000091570000}"/>
    <cellStyle name="Normal 2 2 2 9 4 7" xfId="23203" xr:uid="{00000000-0005-0000-0000-000092570000}"/>
    <cellStyle name="Normal 2 2 2 9 4 7 2" xfId="23204" xr:uid="{00000000-0005-0000-0000-000093570000}"/>
    <cellStyle name="Normal 2 2 2 9 4 7 3" xfId="23205" xr:uid="{00000000-0005-0000-0000-000094570000}"/>
    <cellStyle name="Normal 2 2 2 9 4 7 4" xfId="23206" xr:uid="{00000000-0005-0000-0000-000095570000}"/>
    <cellStyle name="Normal 2 2 2 9 4 7 5" xfId="23207" xr:uid="{00000000-0005-0000-0000-000096570000}"/>
    <cellStyle name="Normal 2 2 2 9 4 7 6" xfId="23208" xr:uid="{00000000-0005-0000-0000-000097570000}"/>
    <cellStyle name="Normal 2 2 2 9 4 8" xfId="23209" xr:uid="{00000000-0005-0000-0000-000098570000}"/>
    <cellStyle name="Normal 2 2 2 9 4 8 2" xfId="23210" xr:uid="{00000000-0005-0000-0000-000099570000}"/>
    <cellStyle name="Normal 2 2 2 9 4 8 3" xfId="23211" xr:uid="{00000000-0005-0000-0000-00009A570000}"/>
    <cellStyle name="Normal 2 2 2 9 4 8 4" xfId="23212" xr:uid="{00000000-0005-0000-0000-00009B570000}"/>
    <cellStyle name="Normal 2 2 2 9 4 8 5" xfId="23213" xr:uid="{00000000-0005-0000-0000-00009C570000}"/>
    <cellStyle name="Normal 2 2 2 9 4 8 6" xfId="23214" xr:uid="{00000000-0005-0000-0000-00009D570000}"/>
    <cellStyle name="Normal 2 2 2 9 4 9" xfId="23215" xr:uid="{00000000-0005-0000-0000-00009E570000}"/>
    <cellStyle name="Normal 2 2 2 9 40" xfId="23216" xr:uid="{00000000-0005-0000-0000-00009F570000}"/>
    <cellStyle name="Normal 2 2 2 9 41" xfId="23217" xr:uid="{00000000-0005-0000-0000-0000A0570000}"/>
    <cellStyle name="Normal 2 2 2 9 42" xfId="23218" xr:uid="{00000000-0005-0000-0000-0000A1570000}"/>
    <cellStyle name="Normal 2 2 2 9 43" xfId="23219" xr:uid="{00000000-0005-0000-0000-0000A2570000}"/>
    <cellStyle name="Normal 2 2 2 9 44" xfId="23220" xr:uid="{00000000-0005-0000-0000-0000A3570000}"/>
    <cellStyle name="Normal 2 2 2 9 45" xfId="23221" xr:uid="{00000000-0005-0000-0000-0000A4570000}"/>
    <cellStyle name="Normal 2 2 2 9 46" xfId="23222" xr:uid="{00000000-0005-0000-0000-0000A5570000}"/>
    <cellStyle name="Normal 2 2 2 9 47" xfId="23223" xr:uid="{00000000-0005-0000-0000-0000A6570000}"/>
    <cellStyle name="Normal 2 2 2 9 48" xfId="23224" xr:uid="{00000000-0005-0000-0000-0000A7570000}"/>
    <cellStyle name="Normal 2 2 2 9 49" xfId="23225" xr:uid="{00000000-0005-0000-0000-0000A8570000}"/>
    <cellStyle name="Normal 2 2 2 9 5" xfId="23226" xr:uid="{00000000-0005-0000-0000-0000A9570000}"/>
    <cellStyle name="Normal 2 2 2 9 5 10" xfId="23227" xr:uid="{00000000-0005-0000-0000-0000AA570000}"/>
    <cellStyle name="Normal 2 2 2 9 5 11" xfId="23228" xr:uid="{00000000-0005-0000-0000-0000AB570000}"/>
    <cellStyle name="Normal 2 2 2 9 5 12" xfId="23229" xr:uid="{00000000-0005-0000-0000-0000AC570000}"/>
    <cellStyle name="Normal 2 2 2 9 5 13" xfId="23230" xr:uid="{00000000-0005-0000-0000-0000AD570000}"/>
    <cellStyle name="Normal 2 2 2 9 5 2" xfId="23231" xr:uid="{00000000-0005-0000-0000-0000AE570000}"/>
    <cellStyle name="Normal 2 2 2 9 5 2 2" xfId="23232" xr:uid="{00000000-0005-0000-0000-0000AF570000}"/>
    <cellStyle name="Normal 2 2 2 9 5 2 3" xfId="23233" xr:uid="{00000000-0005-0000-0000-0000B0570000}"/>
    <cellStyle name="Normal 2 2 2 9 5 2 4" xfId="23234" xr:uid="{00000000-0005-0000-0000-0000B1570000}"/>
    <cellStyle name="Normal 2 2 2 9 5 2 5" xfId="23235" xr:uid="{00000000-0005-0000-0000-0000B2570000}"/>
    <cellStyle name="Normal 2 2 2 9 5 2 6" xfId="23236" xr:uid="{00000000-0005-0000-0000-0000B3570000}"/>
    <cellStyle name="Normal 2 2 2 9 5 3" xfId="23237" xr:uid="{00000000-0005-0000-0000-0000B4570000}"/>
    <cellStyle name="Normal 2 2 2 9 5 3 2" xfId="23238" xr:uid="{00000000-0005-0000-0000-0000B5570000}"/>
    <cellStyle name="Normal 2 2 2 9 5 3 3" xfId="23239" xr:uid="{00000000-0005-0000-0000-0000B6570000}"/>
    <cellStyle name="Normal 2 2 2 9 5 3 4" xfId="23240" xr:uid="{00000000-0005-0000-0000-0000B7570000}"/>
    <cellStyle name="Normal 2 2 2 9 5 3 5" xfId="23241" xr:uid="{00000000-0005-0000-0000-0000B8570000}"/>
    <cellStyle name="Normal 2 2 2 9 5 3 6" xfId="23242" xr:uid="{00000000-0005-0000-0000-0000B9570000}"/>
    <cellStyle name="Normal 2 2 2 9 5 4" xfId="23243" xr:uid="{00000000-0005-0000-0000-0000BA570000}"/>
    <cellStyle name="Normal 2 2 2 9 5 4 2" xfId="23244" xr:uid="{00000000-0005-0000-0000-0000BB570000}"/>
    <cellStyle name="Normal 2 2 2 9 5 4 3" xfId="23245" xr:uid="{00000000-0005-0000-0000-0000BC570000}"/>
    <cellStyle name="Normal 2 2 2 9 5 4 4" xfId="23246" xr:uid="{00000000-0005-0000-0000-0000BD570000}"/>
    <cellStyle name="Normal 2 2 2 9 5 4 5" xfId="23247" xr:uid="{00000000-0005-0000-0000-0000BE570000}"/>
    <cellStyle name="Normal 2 2 2 9 5 4 6" xfId="23248" xr:uid="{00000000-0005-0000-0000-0000BF570000}"/>
    <cellStyle name="Normal 2 2 2 9 5 5" xfId="23249" xr:uid="{00000000-0005-0000-0000-0000C0570000}"/>
    <cellStyle name="Normal 2 2 2 9 5 5 2" xfId="23250" xr:uid="{00000000-0005-0000-0000-0000C1570000}"/>
    <cellStyle name="Normal 2 2 2 9 5 5 3" xfId="23251" xr:uid="{00000000-0005-0000-0000-0000C2570000}"/>
    <cellStyle name="Normal 2 2 2 9 5 5 4" xfId="23252" xr:uid="{00000000-0005-0000-0000-0000C3570000}"/>
    <cellStyle name="Normal 2 2 2 9 5 5 5" xfId="23253" xr:uid="{00000000-0005-0000-0000-0000C4570000}"/>
    <cellStyle name="Normal 2 2 2 9 5 5 6" xfId="23254" xr:uid="{00000000-0005-0000-0000-0000C5570000}"/>
    <cellStyle name="Normal 2 2 2 9 5 6" xfId="23255" xr:uid="{00000000-0005-0000-0000-0000C6570000}"/>
    <cellStyle name="Normal 2 2 2 9 5 6 2" xfId="23256" xr:uid="{00000000-0005-0000-0000-0000C7570000}"/>
    <cellStyle name="Normal 2 2 2 9 5 6 3" xfId="23257" xr:uid="{00000000-0005-0000-0000-0000C8570000}"/>
    <cellStyle name="Normal 2 2 2 9 5 6 4" xfId="23258" xr:uid="{00000000-0005-0000-0000-0000C9570000}"/>
    <cellStyle name="Normal 2 2 2 9 5 6 5" xfId="23259" xr:uid="{00000000-0005-0000-0000-0000CA570000}"/>
    <cellStyle name="Normal 2 2 2 9 5 6 6" xfId="23260" xr:uid="{00000000-0005-0000-0000-0000CB570000}"/>
    <cellStyle name="Normal 2 2 2 9 5 7" xfId="23261" xr:uid="{00000000-0005-0000-0000-0000CC570000}"/>
    <cellStyle name="Normal 2 2 2 9 5 7 2" xfId="23262" xr:uid="{00000000-0005-0000-0000-0000CD570000}"/>
    <cellStyle name="Normal 2 2 2 9 5 7 3" xfId="23263" xr:uid="{00000000-0005-0000-0000-0000CE570000}"/>
    <cellStyle name="Normal 2 2 2 9 5 7 4" xfId="23264" xr:uid="{00000000-0005-0000-0000-0000CF570000}"/>
    <cellStyle name="Normal 2 2 2 9 5 7 5" xfId="23265" xr:uid="{00000000-0005-0000-0000-0000D0570000}"/>
    <cellStyle name="Normal 2 2 2 9 5 7 6" xfId="23266" xr:uid="{00000000-0005-0000-0000-0000D1570000}"/>
    <cellStyle name="Normal 2 2 2 9 5 8" xfId="23267" xr:uid="{00000000-0005-0000-0000-0000D2570000}"/>
    <cellStyle name="Normal 2 2 2 9 5 8 2" xfId="23268" xr:uid="{00000000-0005-0000-0000-0000D3570000}"/>
    <cellStyle name="Normal 2 2 2 9 5 8 3" xfId="23269" xr:uid="{00000000-0005-0000-0000-0000D4570000}"/>
    <cellStyle name="Normal 2 2 2 9 5 8 4" xfId="23270" xr:uid="{00000000-0005-0000-0000-0000D5570000}"/>
    <cellStyle name="Normal 2 2 2 9 5 8 5" xfId="23271" xr:uid="{00000000-0005-0000-0000-0000D6570000}"/>
    <cellStyle name="Normal 2 2 2 9 5 8 6" xfId="23272" xr:uid="{00000000-0005-0000-0000-0000D7570000}"/>
    <cellStyle name="Normal 2 2 2 9 5 9" xfId="23273" xr:uid="{00000000-0005-0000-0000-0000D8570000}"/>
    <cellStyle name="Normal 2 2 2 9 50" xfId="23274" xr:uid="{00000000-0005-0000-0000-0000D9570000}"/>
    <cellStyle name="Normal 2 2 2 9 51" xfId="23275" xr:uid="{00000000-0005-0000-0000-0000DA570000}"/>
    <cellStyle name="Normal 2 2 2 9 52" xfId="23276" xr:uid="{00000000-0005-0000-0000-0000DB570000}"/>
    <cellStyle name="Normal 2 2 2 9 6" xfId="23277" xr:uid="{00000000-0005-0000-0000-0000DC570000}"/>
    <cellStyle name="Normal 2 2 2 9 6 10" xfId="23278" xr:uid="{00000000-0005-0000-0000-0000DD570000}"/>
    <cellStyle name="Normal 2 2 2 9 6 11" xfId="23279" xr:uid="{00000000-0005-0000-0000-0000DE570000}"/>
    <cellStyle name="Normal 2 2 2 9 6 12" xfId="23280" xr:uid="{00000000-0005-0000-0000-0000DF570000}"/>
    <cellStyle name="Normal 2 2 2 9 6 13" xfId="23281" xr:uid="{00000000-0005-0000-0000-0000E0570000}"/>
    <cellStyle name="Normal 2 2 2 9 6 2" xfId="23282" xr:uid="{00000000-0005-0000-0000-0000E1570000}"/>
    <cellStyle name="Normal 2 2 2 9 6 2 2" xfId="23283" xr:uid="{00000000-0005-0000-0000-0000E2570000}"/>
    <cellStyle name="Normal 2 2 2 9 6 2 3" xfId="23284" xr:uid="{00000000-0005-0000-0000-0000E3570000}"/>
    <cellStyle name="Normal 2 2 2 9 6 2 4" xfId="23285" xr:uid="{00000000-0005-0000-0000-0000E4570000}"/>
    <cellStyle name="Normal 2 2 2 9 6 2 5" xfId="23286" xr:uid="{00000000-0005-0000-0000-0000E5570000}"/>
    <cellStyle name="Normal 2 2 2 9 6 2 6" xfId="23287" xr:uid="{00000000-0005-0000-0000-0000E6570000}"/>
    <cellStyle name="Normal 2 2 2 9 6 3" xfId="23288" xr:uid="{00000000-0005-0000-0000-0000E7570000}"/>
    <cellStyle name="Normal 2 2 2 9 6 3 2" xfId="23289" xr:uid="{00000000-0005-0000-0000-0000E8570000}"/>
    <cellStyle name="Normal 2 2 2 9 6 3 3" xfId="23290" xr:uid="{00000000-0005-0000-0000-0000E9570000}"/>
    <cellStyle name="Normal 2 2 2 9 6 3 4" xfId="23291" xr:uid="{00000000-0005-0000-0000-0000EA570000}"/>
    <cellStyle name="Normal 2 2 2 9 6 3 5" xfId="23292" xr:uid="{00000000-0005-0000-0000-0000EB570000}"/>
    <cellStyle name="Normal 2 2 2 9 6 3 6" xfId="23293" xr:uid="{00000000-0005-0000-0000-0000EC570000}"/>
    <cellStyle name="Normal 2 2 2 9 6 4" xfId="23294" xr:uid="{00000000-0005-0000-0000-0000ED570000}"/>
    <cellStyle name="Normal 2 2 2 9 6 4 2" xfId="23295" xr:uid="{00000000-0005-0000-0000-0000EE570000}"/>
    <cellStyle name="Normal 2 2 2 9 6 4 3" xfId="23296" xr:uid="{00000000-0005-0000-0000-0000EF570000}"/>
    <cellStyle name="Normal 2 2 2 9 6 4 4" xfId="23297" xr:uid="{00000000-0005-0000-0000-0000F0570000}"/>
    <cellStyle name="Normal 2 2 2 9 6 4 5" xfId="23298" xr:uid="{00000000-0005-0000-0000-0000F1570000}"/>
    <cellStyle name="Normal 2 2 2 9 6 4 6" xfId="23299" xr:uid="{00000000-0005-0000-0000-0000F2570000}"/>
    <cellStyle name="Normal 2 2 2 9 6 5" xfId="23300" xr:uid="{00000000-0005-0000-0000-0000F3570000}"/>
    <cellStyle name="Normal 2 2 2 9 6 5 2" xfId="23301" xr:uid="{00000000-0005-0000-0000-0000F4570000}"/>
    <cellStyle name="Normal 2 2 2 9 6 5 3" xfId="23302" xr:uid="{00000000-0005-0000-0000-0000F5570000}"/>
    <cellStyle name="Normal 2 2 2 9 6 5 4" xfId="23303" xr:uid="{00000000-0005-0000-0000-0000F6570000}"/>
    <cellStyle name="Normal 2 2 2 9 6 5 5" xfId="23304" xr:uid="{00000000-0005-0000-0000-0000F7570000}"/>
    <cellStyle name="Normal 2 2 2 9 6 5 6" xfId="23305" xr:uid="{00000000-0005-0000-0000-0000F8570000}"/>
    <cellStyle name="Normal 2 2 2 9 6 6" xfId="23306" xr:uid="{00000000-0005-0000-0000-0000F9570000}"/>
    <cellStyle name="Normal 2 2 2 9 6 6 2" xfId="23307" xr:uid="{00000000-0005-0000-0000-0000FA570000}"/>
    <cellStyle name="Normal 2 2 2 9 6 6 3" xfId="23308" xr:uid="{00000000-0005-0000-0000-0000FB570000}"/>
    <cellStyle name="Normal 2 2 2 9 6 6 4" xfId="23309" xr:uid="{00000000-0005-0000-0000-0000FC570000}"/>
    <cellStyle name="Normal 2 2 2 9 6 6 5" xfId="23310" xr:uid="{00000000-0005-0000-0000-0000FD570000}"/>
    <cellStyle name="Normal 2 2 2 9 6 6 6" xfId="23311" xr:uid="{00000000-0005-0000-0000-0000FE570000}"/>
    <cellStyle name="Normal 2 2 2 9 6 7" xfId="23312" xr:uid="{00000000-0005-0000-0000-0000FF570000}"/>
    <cellStyle name="Normal 2 2 2 9 6 7 2" xfId="23313" xr:uid="{00000000-0005-0000-0000-000000580000}"/>
    <cellStyle name="Normal 2 2 2 9 6 7 3" xfId="23314" xr:uid="{00000000-0005-0000-0000-000001580000}"/>
    <cellStyle name="Normal 2 2 2 9 6 7 4" xfId="23315" xr:uid="{00000000-0005-0000-0000-000002580000}"/>
    <cellStyle name="Normal 2 2 2 9 6 7 5" xfId="23316" xr:uid="{00000000-0005-0000-0000-000003580000}"/>
    <cellStyle name="Normal 2 2 2 9 6 7 6" xfId="23317" xr:uid="{00000000-0005-0000-0000-000004580000}"/>
    <cellStyle name="Normal 2 2 2 9 6 8" xfId="23318" xr:uid="{00000000-0005-0000-0000-000005580000}"/>
    <cellStyle name="Normal 2 2 2 9 6 8 2" xfId="23319" xr:uid="{00000000-0005-0000-0000-000006580000}"/>
    <cellStyle name="Normal 2 2 2 9 6 8 3" xfId="23320" xr:uid="{00000000-0005-0000-0000-000007580000}"/>
    <cellStyle name="Normal 2 2 2 9 6 8 4" xfId="23321" xr:uid="{00000000-0005-0000-0000-000008580000}"/>
    <cellStyle name="Normal 2 2 2 9 6 8 5" xfId="23322" xr:uid="{00000000-0005-0000-0000-000009580000}"/>
    <cellStyle name="Normal 2 2 2 9 6 8 6" xfId="23323" xr:uid="{00000000-0005-0000-0000-00000A580000}"/>
    <cellStyle name="Normal 2 2 2 9 6 9" xfId="23324" xr:uid="{00000000-0005-0000-0000-00000B580000}"/>
    <cellStyle name="Normal 2 2 2 9 7" xfId="23325" xr:uid="{00000000-0005-0000-0000-00000C580000}"/>
    <cellStyle name="Normal 2 2 2 9 7 10" xfId="23326" xr:uid="{00000000-0005-0000-0000-00000D580000}"/>
    <cellStyle name="Normal 2 2 2 9 7 11" xfId="23327" xr:uid="{00000000-0005-0000-0000-00000E580000}"/>
    <cellStyle name="Normal 2 2 2 9 7 12" xfId="23328" xr:uid="{00000000-0005-0000-0000-00000F580000}"/>
    <cellStyle name="Normal 2 2 2 9 7 13" xfId="23329" xr:uid="{00000000-0005-0000-0000-000010580000}"/>
    <cellStyle name="Normal 2 2 2 9 7 2" xfId="23330" xr:uid="{00000000-0005-0000-0000-000011580000}"/>
    <cellStyle name="Normal 2 2 2 9 7 2 2" xfId="23331" xr:uid="{00000000-0005-0000-0000-000012580000}"/>
    <cellStyle name="Normal 2 2 2 9 7 2 3" xfId="23332" xr:uid="{00000000-0005-0000-0000-000013580000}"/>
    <cellStyle name="Normal 2 2 2 9 7 2 4" xfId="23333" xr:uid="{00000000-0005-0000-0000-000014580000}"/>
    <cellStyle name="Normal 2 2 2 9 7 2 5" xfId="23334" xr:uid="{00000000-0005-0000-0000-000015580000}"/>
    <cellStyle name="Normal 2 2 2 9 7 2 6" xfId="23335" xr:uid="{00000000-0005-0000-0000-000016580000}"/>
    <cellStyle name="Normal 2 2 2 9 7 3" xfId="23336" xr:uid="{00000000-0005-0000-0000-000017580000}"/>
    <cellStyle name="Normal 2 2 2 9 7 3 2" xfId="23337" xr:uid="{00000000-0005-0000-0000-000018580000}"/>
    <cellStyle name="Normal 2 2 2 9 7 3 3" xfId="23338" xr:uid="{00000000-0005-0000-0000-000019580000}"/>
    <cellStyle name="Normal 2 2 2 9 7 3 4" xfId="23339" xr:uid="{00000000-0005-0000-0000-00001A580000}"/>
    <cellStyle name="Normal 2 2 2 9 7 3 5" xfId="23340" xr:uid="{00000000-0005-0000-0000-00001B580000}"/>
    <cellStyle name="Normal 2 2 2 9 7 3 6" xfId="23341" xr:uid="{00000000-0005-0000-0000-00001C580000}"/>
    <cellStyle name="Normal 2 2 2 9 7 4" xfId="23342" xr:uid="{00000000-0005-0000-0000-00001D580000}"/>
    <cellStyle name="Normal 2 2 2 9 7 4 2" xfId="23343" xr:uid="{00000000-0005-0000-0000-00001E580000}"/>
    <cellStyle name="Normal 2 2 2 9 7 4 3" xfId="23344" xr:uid="{00000000-0005-0000-0000-00001F580000}"/>
    <cellStyle name="Normal 2 2 2 9 7 4 4" xfId="23345" xr:uid="{00000000-0005-0000-0000-000020580000}"/>
    <cellStyle name="Normal 2 2 2 9 7 4 5" xfId="23346" xr:uid="{00000000-0005-0000-0000-000021580000}"/>
    <cellStyle name="Normal 2 2 2 9 7 4 6" xfId="23347" xr:uid="{00000000-0005-0000-0000-000022580000}"/>
    <cellStyle name="Normal 2 2 2 9 7 5" xfId="23348" xr:uid="{00000000-0005-0000-0000-000023580000}"/>
    <cellStyle name="Normal 2 2 2 9 7 5 2" xfId="23349" xr:uid="{00000000-0005-0000-0000-000024580000}"/>
    <cellStyle name="Normal 2 2 2 9 7 5 3" xfId="23350" xr:uid="{00000000-0005-0000-0000-000025580000}"/>
    <cellStyle name="Normal 2 2 2 9 7 5 4" xfId="23351" xr:uid="{00000000-0005-0000-0000-000026580000}"/>
    <cellStyle name="Normal 2 2 2 9 7 5 5" xfId="23352" xr:uid="{00000000-0005-0000-0000-000027580000}"/>
    <cellStyle name="Normal 2 2 2 9 7 5 6" xfId="23353" xr:uid="{00000000-0005-0000-0000-000028580000}"/>
    <cellStyle name="Normal 2 2 2 9 7 6" xfId="23354" xr:uid="{00000000-0005-0000-0000-000029580000}"/>
    <cellStyle name="Normal 2 2 2 9 7 6 2" xfId="23355" xr:uid="{00000000-0005-0000-0000-00002A580000}"/>
    <cellStyle name="Normal 2 2 2 9 7 6 3" xfId="23356" xr:uid="{00000000-0005-0000-0000-00002B580000}"/>
    <cellStyle name="Normal 2 2 2 9 7 6 4" xfId="23357" xr:uid="{00000000-0005-0000-0000-00002C580000}"/>
    <cellStyle name="Normal 2 2 2 9 7 6 5" xfId="23358" xr:uid="{00000000-0005-0000-0000-00002D580000}"/>
    <cellStyle name="Normal 2 2 2 9 7 6 6" xfId="23359" xr:uid="{00000000-0005-0000-0000-00002E580000}"/>
    <cellStyle name="Normal 2 2 2 9 7 7" xfId="23360" xr:uid="{00000000-0005-0000-0000-00002F580000}"/>
    <cellStyle name="Normal 2 2 2 9 7 7 2" xfId="23361" xr:uid="{00000000-0005-0000-0000-000030580000}"/>
    <cellStyle name="Normal 2 2 2 9 7 7 3" xfId="23362" xr:uid="{00000000-0005-0000-0000-000031580000}"/>
    <cellStyle name="Normal 2 2 2 9 7 7 4" xfId="23363" xr:uid="{00000000-0005-0000-0000-000032580000}"/>
    <cellStyle name="Normal 2 2 2 9 7 7 5" xfId="23364" xr:uid="{00000000-0005-0000-0000-000033580000}"/>
    <cellStyle name="Normal 2 2 2 9 7 7 6" xfId="23365" xr:uid="{00000000-0005-0000-0000-000034580000}"/>
    <cellStyle name="Normal 2 2 2 9 7 8" xfId="23366" xr:uid="{00000000-0005-0000-0000-000035580000}"/>
    <cellStyle name="Normal 2 2 2 9 7 8 2" xfId="23367" xr:uid="{00000000-0005-0000-0000-000036580000}"/>
    <cellStyle name="Normal 2 2 2 9 7 8 3" xfId="23368" xr:uid="{00000000-0005-0000-0000-000037580000}"/>
    <cellStyle name="Normal 2 2 2 9 7 8 4" xfId="23369" xr:uid="{00000000-0005-0000-0000-000038580000}"/>
    <cellStyle name="Normal 2 2 2 9 7 8 5" xfId="23370" xr:uid="{00000000-0005-0000-0000-000039580000}"/>
    <cellStyle name="Normal 2 2 2 9 7 8 6" xfId="23371" xr:uid="{00000000-0005-0000-0000-00003A580000}"/>
    <cellStyle name="Normal 2 2 2 9 7 9" xfId="23372" xr:uid="{00000000-0005-0000-0000-00003B580000}"/>
    <cellStyle name="Normal 2 2 2 9 8" xfId="23373" xr:uid="{00000000-0005-0000-0000-00003C580000}"/>
    <cellStyle name="Normal 2 2 2 9 9" xfId="23374" xr:uid="{00000000-0005-0000-0000-00003D580000}"/>
    <cellStyle name="Normal 2 2 20" xfId="23375" xr:uid="{00000000-0005-0000-0000-00003E580000}"/>
    <cellStyle name="Normal 2 2 20 10" xfId="23376" xr:uid="{00000000-0005-0000-0000-00003F580000}"/>
    <cellStyle name="Normal 2 2 20 11" xfId="23377" xr:uid="{00000000-0005-0000-0000-000040580000}"/>
    <cellStyle name="Normal 2 2 20 12" xfId="23378" xr:uid="{00000000-0005-0000-0000-000041580000}"/>
    <cellStyle name="Normal 2 2 20 13" xfId="23379" xr:uid="{00000000-0005-0000-0000-000042580000}"/>
    <cellStyle name="Normal 2 2 20 14" xfId="23380" xr:uid="{00000000-0005-0000-0000-000043580000}"/>
    <cellStyle name="Normal 2 2 20 15" xfId="23381" xr:uid="{00000000-0005-0000-0000-000044580000}"/>
    <cellStyle name="Normal 2 2 20 16" xfId="23382" xr:uid="{00000000-0005-0000-0000-000045580000}"/>
    <cellStyle name="Normal 2 2 20 17" xfId="23383" xr:uid="{00000000-0005-0000-0000-000046580000}"/>
    <cellStyle name="Normal 2 2 20 18" xfId="23384" xr:uid="{00000000-0005-0000-0000-000047580000}"/>
    <cellStyle name="Normal 2 2 20 19" xfId="23385" xr:uid="{00000000-0005-0000-0000-000048580000}"/>
    <cellStyle name="Normal 2 2 20 2" xfId="23386" xr:uid="{00000000-0005-0000-0000-000049580000}"/>
    <cellStyle name="Normal 2 2 20 20" xfId="23387" xr:uid="{00000000-0005-0000-0000-00004A580000}"/>
    <cellStyle name="Normal 2 2 20 21" xfId="23388" xr:uid="{00000000-0005-0000-0000-00004B580000}"/>
    <cellStyle name="Normal 2 2 20 22" xfId="23389" xr:uid="{00000000-0005-0000-0000-00004C580000}"/>
    <cellStyle name="Normal 2 2 20 23" xfId="23390" xr:uid="{00000000-0005-0000-0000-00004D580000}"/>
    <cellStyle name="Normal 2 2 20 24" xfId="23391" xr:uid="{00000000-0005-0000-0000-00004E580000}"/>
    <cellStyle name="Normal 2 2 20 25" xfId="23392" xr:uid="{00000000-0005-0000-0000-00004F580000}"/>
    <cellStyle name="Normal 2 2 20 26" xfId="23393" xr:uid="{00000000-0005-0000-0000-000050580000}"/>
    <cellStyle name="Normal 2 2 20 27" xfId="23394" xr:uid="{00000000-0005-0000-0000-000051580000}"/>
    <cellStyle name="Normal 2 2 20 28" xfId="23395" xr:uid="{00000000-0005-0000-0000-000052580000}"/>
    <cellStyle name="Normal 2 2 20 29" xfId="23396" xr:uid="{00000000-0005-0000-0000-000053580000}"/>
    <cellStyle name="Normal 2 2 20 3" xfId="23397" xr:uid="{00000000-0005-0000-0000-000054580000}"/>
    <cellStyle name="Normal 2 2 20 30" xfId="23398" xr:uid="{00000000-0005-0000-0000-000055580000}"/>
    <cellStyle name="Normal 2 2 20 31" xfId="23399" xr:uid="{00000000-0005-0000-0000-000056580000}"/>
    <cellStyle name="Normal 2 2 20 32" xfId="23400" xr:uid="{00000000-0005-0000-0000-000057580000}"/>
    <cellStyle name="Normal 2 2 20 33" xfId="23401" xr:uid="{00000000-0005-0000-0000-000058580000}"/>
    <cellStyle name="Normal 2 2 20 34" xfId="23402" xr:uid="{00000000-0005-0000-0000-000059580000}"/>
    <cellStyle name="Normal 2 2 20 35" xfId="23403" xr:uid="{00000000-0005-0000-0000-00005A580000}"/>
    <cellStyle name="Normal 2 2 20 36" xfId="23404" xr:uid="{00000000-0005-0000-0000-00005B580000}"/>
    <cellStyle name="Normal 2 2 20 37" xfId="23405" xr:uid="{00000000-0005-0000-0000-00005C580000}"/>
    <cellStyle name="Normal 2 2 20 38" xfId="23406" xr:uid="{00000000-0005-0000-0000-00005D580000}"/>
    <cellStyle name="Normal 2 2 20 39" xfId="23407" xr:uid="{00000000-0005-0000-0000-00005E580000}"/>
    <cellStyle name="Normal 2 2 20 4" xfId="23408" xr:uid="{00000000-0005-0000-0000-00005F580000}"/>
    <cellStyle name="Normal 2 2 20 40" xfId="23409" xr:uid="{00000000-0005-0000-0000-000060580000}"/>
    <cellStyle name="Normal 2 2 20 41" xfId="23410" xr:uid="{00000000-0005-0000-0000-000061580000}"/>
    <cellStyle name="Normal 2 2 20 42" xfId="23411" xr:uid="{00000000-0005-0000-0000-000062580000}"/>
    <cellStyle name="Normal 2 2 20 43" xfId="23412" xr:uid="{00000000-0005-0000-0000-000063580000}"/>
    <cellStyle name="Normal 2 2 20 44" xfId="23413" xr:uid="{00000000-0005-0000-0000-000064580000}"/>
    <cellStyle name="Normal 2 2 20 45" xfId="23414" xr:uid="{00000000-0005-0000-0000-000065580000}"/>
    <cellStyle name="Normal 2 2 20 46" xfId="23415" xr:uid="{00000000-0005-0000-0000-000066580000}"/>
    <cellStyle name="Normal 2 2 20 5" xfId="23416" xr:uid="{00000000-0005-0000-0000-000067580000}"/>
    <cellStyle name="Normal 2 2 20 6" xfId="23417" xr:uid="{00000000-0005-0000-0000-000068580000}"/>
    <cellStyle name="Normal 2 2 20 7" xfId="23418" xr:uid="{00000000-0005-0000-0000-000069580000}"/>
    <cellStyle name="Normal 2 2 20 8" xfId="23419" xr:uid="{00000000-0005-0000-0000-00006A580000}"/>
    <cellStyle name="Normal 2 2 20 9" xfId="23420" xr:uid="{00000000-0005-0000-0000-00006B580000}"/>
    <cellStyle name="Normal 2 2 21" xfId="23421" xr:uid="{00000000-0005-0000-0000-00006C580000}"/>
    <cellStyle name="Normal 2 2 21 10" xfId="23422" xr:uid="{00000000-0005-0000-0000-00006D580000}"/>
    <cellStyle name="Normal 2 2 21 11" xfId="23423" xr:uid="{00000000-0005-0000-0000-00006E580000}"/>
    <cellStyle name="Normal 2 2 21 12" xfId="23424" xr:uid="{00000000-0005-0000-0000-00006F580000}"/>
    <cellStyle name="Normal 2 2 21 13" xfId="23425" xr:uid="{00000000-0005-0000-0000-000070580000}"/>
    <cellStyle name="Normal 2 2 21 14" xfId="23426" xr:uid="{00000000-0005-0000-0000-000071580000}"/>
    <cellStyle name="Normal 2 2 21 2" xfId="23427" xr:uid="{00000000-0005-0000-0000-000072580000}"/>
    <cellStyle name="Normal 2 2 21 2 2" xfId="23428" xr:uid="{00000000-0005-0000-0000-000073580000}"/>
    <cellStyle name="Normal 2 2 21 2 2 2" xfId="23429" xr:uid="{00000000-0005-0000-0000-000074580000}"/>
    <cellStyle name="Normal 2 2 21 2 3" xfId="23430" xr:uid="{00000000-0005-0000-0000-000075580000}"/>
    <cellStyle name="Normal 2 2 21 2 4" xfId="23431" xr:uid="{00000000-0005-0000-0000-000076580000}"/>
    <cellStyle name="Normal 2 2 21 2 5" xfId="23432" xr:uid="{00000000-0005-0000-0000-000077580000}"/>
    <cellStyle name="Normal 2 2 21 2 6" xfId="23433" xr:uid="{00000000-0005-0000-0000-000078580000}"/>
    <cellStyle name="Normal 2 2 21 3" xfId="23434" xr:uid="{00000000-0005-0000-0000-000079580000}"/>
    <cellStyle name="Normal 2 2 21 3 2" xfId="23435" xr:uid="{00000000-0005-0000-0000-00007A580000}"/>
    <cellStyle name="Normal 2 2 21 3 3" xfId="23436" xr:uid="{00000000-0005-0000-0000-00007B580000}"/>
    <cellStyle name="Normal 2 2 21 3 4" xfId="23437" xr:uid="{00000000-0005-0000-0000-00007C580000}"/>
    <cellStyle name="Normal 2 2 21 3 5" xfId="23438" xr:uid="{00000000-0005-0000-0000-00007D580000}"/>
    <cellStyle name="Normal 2 2 21 3 6" xfId="23439" xr:uid="{00000000-0005-0000-0000-00007E580000}"/>
    <cellStyle name="Normal 2 2 21 4" xfId="23440" xr:uid="{00000000-0005-0000-0000-00007F580000}"/>
    <cellStyle name="Normal 2 2 21 4 2" xfId="23441" xr:uid="{00000000-0005-0000-0000-000080580000}"/>
    <cellStyle name="Normal 2 2 21 4 3" xfId="23442" xr:uid="{00000000-0005-0000-0000-000081580000}"/>
    <cellStyle name="Normal 2 2 21 4 4" xfId="23443" xr:uid="{00000000-0005-0000-0000-000082580000}"/>
    <cellStyle name="Normal 2 2 21 4 5" xfId="23444" xr:uid="{00000000-0005-0000-0000-000083580000}"/>
    <cellStyle name="Normal 2 2 21 4 6" xfId="23445" xr:uid="{00000000-0005-0000-0000-000084580000}"/>
    <cellStyle name="Normal 2 2 21 5" xfId="23446" xr:uid="{00000000-0005-0000-0000-000085580000}"/>
    <cellStyle name="Normal 2 2 21 5 2" xfId="23447" xr:uid="{00000000-0005-0000-0000-000086580000}"/>
    <cellStyle name="Normal 2 2 21 5 3" xfId="23448" xr:uid="{00000000-0005-0000-0000-000087580000}"/>
    <cellStyle name="Normal 2 2 21 5 4" xfId="23449" xr:uid="{00000000-0005-0000-0000-000088580000}"/>
    <cellStyle name="Normal 2 2 21 5 5" xfId="23450" xr:uid="{00000000-0005-0000-0000-000089580000}"/>
    <cellStyle name="Normal 2 2 21 5 6" xfId="23451" xr:uid="{00000000-0005-0000-0000-00008A580000}"/>
    <cellStyle name="Normal 2 2 21 6" xfId="23452" xr:uid="{00000000-0005-0000-0000-00008B580000}"/>
    <cellStyle name="Normal 2 2 21 6 2" xfId="23453" xr:uid="{00000000-0005-0000-0000-00008C580000}"/>
    <cellStyle name="Normal 2 2 21 6 3" xfId="23454" xr:uid="{00000000-0005-0000-0000-00008D580000}"/>
    <cellStyle name="Normal 2 2 21 6 4" xfId="23455" xr:uid="{00000000-0005-0000-0000-00008E580000}"/>
    <cellStyle name="Normal 2 2 21 6 5" xfId="23456" xr:uid="{00000000-0005-0000-0000-00008F580000}"/>
    <cellStyle name="Normal 2 2 21 6 6" xfId="23457" xr:uid="{00000000-0005-0000-0000-000090580000}"/>
    <cellStyle name="Normal 2 2 21 7" xfId="23458" xr:uid="{00000000-0005-0000-0000-000091580000}"/>
    <cellStyle name="Normal 2 2 21 7 2" xfId="23459" xr:uid="{00000000-0005-0000-0000-000092580000}"/>
    <cellStyle name="Normal 2 2 21 7 3" xfId="23460" xr:uid="{00000000-0005-0000-0000-000093580000}"/>
    <cellStyle name="Normal 2 2 21 7 4" xfId="23461" xr:uid="{00000000-0005-0000-0000-000094580000}"/>
    <cellStyle name="Normal 2 2 21 7 5" xfId="23462" xr:uid="{00000000-0005-0000-0000-000095580000}"/>
    <cellStyle name="Normal 2 2 21 7 6" xfId="23463" xr:uid="{00000000-0005-0000-0000-000096580000}"/>
    <cellStyle name="Normal 2 2 21 8" xfId="23464" xr:uid="{00000000-0005-0000-0000-000097580000}"/>
    <cellStyle name="Normal 2 2 21 8 2" xfId="23465" xr:uid="{00000000-0005-0000-0000-000098580000}"/>
    <cellStyle name="Normal 2 2 21 8 3" xfId="23466" xr:uid="{00000000-0005-0000-0000-000099580000}"/>
    <cellStyle name="Normal 2 2 21 8 4" xfId="23467" xr:uid="{00000000-0005-0000-0000-00009A580000}"/>
    <cellStyle name="Normal 2 2 21 8 5" xfId="23468" xr:uid="{00000000-0005-0000-0000-00009B580000}"/>
    <cellStyle name="Normal 2 2 21 8 6" xfId="23469" xr:uid="{00000000-0005-0000-0000-00009C580000}"/>
    <cellStyle name="Normal 2 2 21 9" xfId="23470" xr:uid="{00000000-0005-0000-0000-00009D580000}"/>
    <cellStyle name="Normal 2 2 22" xfId="23471" xr:uid="{00000000-0005-0000-0000-00009E580000}"/>
    <cellStyle name="Normal 2 2 22 10" xfId="23472" xr:uid="{00000000-0005-0000-0000-00009F580000}"/>
    <cellStyle name="Normal 2 2 22 11" xfId="23473" xr:uid="{00000000-0005-0000-0000-0000A0580000}"/>
    <cellStyle name="Normal 2 2 22 12" xfId="23474" xr:uid="{00000000-0005-0000-0000-0000A1580000}"/>
    <cellStyle name="Normal 2 2 22 13" xfId="23475" xr:uid="{00000000-0005-0000-0000-0000A2580000}"/>
    <cellStyle name="Normal 2 2 22 14" xfId="23476" xr:uid="{00000000-0005-0000-0000-0000A3580000}"/>
    <cellStyle name="Normal 2 2 22 2" xfId="23477" xr:uid="{00000000-0005-0000-0000-0000A4580000}"/>
    <cellStyle name="Normal 2 2 22 2 2" xfId="23478" xr:uid="{00000000-0005-0000-0000-0000A5580000}"/>
    <cellStyle name="Normal 2 2 22 2 3" xfId="23479" xr:uid="{00000000-0005-0000-0000-0000A6580000}"/>
    <cellStyle name="Normal 2 2 22 2 4" xfId="23480" xr:uid="{00000000-0005-0000-0000-0000A7580000}"/>
    <cellStyle name="Normal 2 2 22 2 5" xfId="23481" xr:uid="{00000000-0005-0000-0000-0000A8580000}"/>
    <cellStyle name="Normal 2 2 22 2 6" xfId="23482" xr:uid="{00000000-0005-0000-0000-0000A9580000}"/>
    <cellStyle name="Normal 2 2 22 3" xfId="23483" xr:uid="{00000000-0005-0000-0000-0000AA580000}"/>
    <cellStyle name="Normal 2 2 22 3 2" xfId="23484" xr:uid="{00000000-0005-0000-0000-0000AB580000}"/>
    <cellStyle name="Normal 2 2 22 3 3" xfId="23485" xr:uid="{00000000-0005-0000-0000-0000AC580000}"/>
    <cellStyle name="Normal 2 2 22 3 4" xfId="23486" xr:uid="{00000000-0005-0000-0000-0000AD580000}"/>
    <cellStyle name="Normal 2 2 22 3 5" xfId="23487" xr:uid="{00000000-0005-0000-0000-0000AE580000}"/>
    <cellStyle name="Normal 2 2 22 3 6" xfId="23488" xr:uid="{00000000-0005-0000-0000-0000AF580000}"/>
    <cellStyle name="Normal 2 2 22 4" xfId="23489" xr:uid="{00000000-0005-0000-0000-0000B0580000}"/>
    <cellStyle name="Normal 2 2 22 4 2" xfId="23490" xr:uid="{00000000-0005-0000-0000-0000B1580000}"/>
    <cellStyle name="Normal 2 2 22 4 3" xfId="23491" xr:uid="{00000000-0005-0000-0000-0000B2580000}"/>
    <cellStyle name="Normal 2 2 22 4 4" xfId="23492" xr:uid="{00000000-0005-0000-0000-0000B3580000}"/>
    <cellStyle name="Normal 2 2 22 4 5" xfId="23493" xr:uid="{00000000-0005-0000-0000-0000B4580000}"/>
    <cellStyle name="Normal 2 2 22 4 6" xfId="23494" xr:uid="{00000000-0005-0000-0000-0000B5580000}"/>
    <cellStyle name="Normal 2 2 22 5" xfId="23495" xr:uid="{00000000-0005-0000-0000-0000B6580000}"/>
    <cellStyle name="Normal 2 2 22 5 2" xfId="23496" xr:uid="{00000000-0005-0000-0000-0000B7580000}"/>
    <cellStyle name="Normal 2 2 22 5 3" xfId="23497" xr:uid="{00000000-0005-0000-0000-0000B8580000}"/>
    <cellStyle name="Normal 2 2 22 5 4" xfId="23498" xr:uid="{00000000-0005-0000-0000-0000B9580000}"/>
    <cellStyle name="Normal 2 2 22 5 5" xfId="23499" xr:uid="{00000000-0005-0000-0000-0000BA580000}"/>
    <cellStyle name="Normal 2 2 22 5 6" xfId="23500" xr:uid="{00000000-0005-0000-0000-0000BB580000}"/>
    <cellStyle name="Normal 2 2 22 6" xfId="23501" xr:uid="{00000000-0005-0000-0000-0000BC580000}"/>
    <cellStyle name="Normal 2 2 22 6 2" xfId="23502" xr:uid="{00000000-0005-0000-0000-0000BD580000}"/>
    <cellStyle name="Normal 2 2 22 6 3" xfId="23503" xr:uid="{00000000-0005-0000-0000-0000BE580000}"/>
    <cellStyle name="Normal 2 2 22 6 4" xfId="23504" xr:uid="{00000000-0005-0000-0000-0000BF580000}"/>
    <cellStyle name="Normal 2 2 22 6 5" xfId="23505" xr:uid="{00000000-0005-0000-0000-0000C0580000}"/>
    <cellStyle name="Normal 2 2 22 6 6" xfId="23506" xr:uid="{00000000-0005-0000-0000-0000C1580000}"/>
    <cellStyle name="Normal 2 2 22 7" xfId="23507" xr:uid="{00000000-0005-0000-0000-0000C2580000}"/>
    <cellStyle name="Normal 2 2 22 7 2" xfId="23508" xr:uid="{00000000-0005-0000-0000-0000C3580000}"/>
    <cellStyle name="Normal 2 2 22 7 3" xfId="23509" xr:uid="{00000000-0005-0000-0000-0000C4580000}"/>
    <cellStyle name="Normal 2 2 22 7 4" xfId="23510" xr:uid="{00000000-0005-0000-0000-0000C5580000}"/>
    <cellStyle name="Normal 2 2 22 7 5" xfId="23511" xr:uid="{00000000-0005-0000-0000-0000C6580000}"/>
    <cellStyle name="Normal 2 2 22 7 6" xfId="23512" xr:uid="{00000000-0005-0000-0000-0000C7580000}"/>
    <cellStyle name="Normal 2 2 22 8" xfId="23513" xr:uid="{00000000-0005-0000-0000-0000C8580000}"/>
    <cellStyle name="Normal 2 2 22 8 2" xfId="23514" xr:uid="{00000000-0005-0000-0000-0000C9580000}"/>
    <cellStyle name="Normal 2 2 22 8 3" xfId="23515" xr:uid="{00000000-0005-0000-0000-0000CA580000}"/>
    <cellStyle name="Normal 2 2 22 8 4" xfId="23516" xr:uid="{00000000-0005-0000-0000-0000CB580000}"/>
    <cellStyle name="Normal 2 2 22 8 5" xfId="23517" xr:uid="{00000000-0005-0000-0000-0000CC580000}"/>
    <cellStyle name="Normal 2 2 22 8 6" xfId="23518" xr:uid="{00000000-0005-0000-0000-0000CD580000}"/>
    <cellStyle name="Normal 2 2 22 9" xfId="23519" xr:uid="{00000000-0005-0000-0000-0000CE580000}"/>
    <cellStyle name="Normal 2 2 23" xfId="23520" xr:uid="{00000000-0005-0000-0000-0000CF580000}"/>
    <cellStyle name="Normal 2 2 23 10" xfId="23521" xr:uid="{00000000-0005-0000-0000-0000D0580000}"/>
    <cellStyle name="Normal 2 2 23 11" xfId="23522" xr:uid="{00000000-0005-0000-0000-0000D1580000}"/>
    <cellStyle name="Normal 2 2 23 12" xfId="23523" xr:uid="{00000000-0005-0000-0000-0000D2580000}"/>
    <cellStyle name="Normal 2 2 23 13" xfId="23524" xr:uid="{00000000-0005-0000-0000-0000D3580000}"/>
    <cellStyle name="Normal 2 2 23 14" xfId="23525" xr:uid="{00000000-0005-0000-0000-0000D4580000}"/>
    <cellStyle name="Normal 2 2 23 2" xfId="23526" xr:uid="{00000000-0005-0000-0000-0000D5580000}"/>
    <cellStyle name="Normal 2 2 23 2 2" xfId="23527" xr:uid="{00000000-0005-0000-0000-0000D6580000}"/>
    <cellStyle name="Normal 2 2 23 2 3" xfId="23528" xr:uid="{00000000-0005-0000-0000-0000D7580000}"/>
    <cellStyle name="Normal 2 2 23 2 4" xfId="23529" xr:uid="{00000000-0005-0000-0000-0000D8580000}"/>
    <cellStyle name="Normal 2 2 23 2 5" xfId="23530" xr:uid="{00000000-0005-0000-0000-0000D9580000}"/>
    <cellStyle name="Normal 2 2 23 2 6" xfId="23531" xr:uid="{00000000-0005-0000-0000-0000DA580000}"/>
    <cellStyle name="Normal 2 2 23 3" xfId="23532" xr:uid="{00000000-0005-0000-0000-0000DB580000}"/>
    <cellStyle name="Normal 2 2 23 3 2" xfId="23533" xr:uid="{00000000-0005-0000-0000-0000DC580000}"/>
    <cellStyle name="Normal 2 2 23 3 3" xfId="23534" xr:uid="{00000000-0005-0000-0000-0000DD580000}"/>
    <cellStyle name="Normal 2 2 23 3 4" xfId="23535" xr:uid="{00000000-0005-0000-0000-0000DE580000}"/>
    <cellStyle name="Normal 2 2 23 3 5" xfId="23536" xr:uid="{00000000-0005-0000-0000-0000DF580000}"/>
    <cellStyle name="Normal 2 2 23 3 6" xfId="23537" xr:uid="{00000000-0005-0000-0000-0000E0580000}"/>
    <cellStyle name="Normal 2 2 23 4" xfId="23538" xr:uid="{00000000-0005-0000-0000-0000E1580000}"/>
    <cellStyle name="Normal 2 2 23 4 2" xfId="23539" xr:uid="{00000000-0005-0000-0000-0000E2580000}"/>
    <cellStyle name="Normal 2 2 23 4 3" xfId="23540" xr:uid="{00000000-0005-0000-0000-0000E3580000}"/>
    <cellStyle name="Normal 2 2 23 4 4" xfId="23541" xr:uid="{00000000-0005-0000-0000-0000E4580000}"/>
    <cellStyle name="Normal 2 2 23 4 5" xfId="23542" xr:uid="{00000000-0005-0000-0000-0000E5580000}"/>
    <cellStyle name="Normal 2 2 23 4 6" xfId="23543" xr:uid="{00000000-0005-0000-0000-0000E6580000}"/>
    <cellStyle name="Normal 2 2 23 5" xfId="23544" xr:uid="{00000000-0005-0000-0000-0000E7580000}"/>
    <cellStyle name="Normal 2 2 23 5 2" xfId="23545" xr:uid="{00000000-0005-0000-0000-0000E8580000}"/>
    <cellStyle name="Normal 2 2 23 5 3" xfId="23546" xr:uid="{00000000-0005-0000-0000-0000E9580000}"/>
    <cellStyle name="Normal 2 2 23 5 4" xfId="23547" xr:uid="{00000000-0005-0000-0000-0000EA580000}"/>
    <cellStyle name="Normal 2 2 23 5 5" xfId="23548" xr:uid="{00000000-0005-0000-0000-0000EB580000}"/>
    <cellStyle name="Normal 2 2 23 5 6" xfId="23549" xr:uid="{00000000-0005-0000-0000-0000EC580000}"/>
    <cellStyle name="Normal 2 2 23 6" xfId="23550" xr:uid="{00000000-0005-0000-0000-0000ED580000}"/>
    <cellStyle name="Normal 2 2 23 6 2" xfId="23551" xr:uid="{00000000-0005-0000-0000-0000EE580000}"/>
    <cellStyle name="Normal 2 2 23 6 3" xfId="23552" xr:uid="{00000000-0005-0000-0000-0000EF580000}"/>
    <cellStyle name="Normal 2 2 23 6 4" xfId="23553" xr:uid="{00000000-0005-0000-0000-0000F0580000}"/>
    <cellStyle name="Normal 2 2 23 6 5" xfId="23554" xr:uid="{00000000-0005-0000-0000-0000F1580000}"/>
    <cellStyle name="Normal 2 2 23 6 6" xfId="23555" xr:uid="{00000000-0005-0000-0000-0000F2580000}"/>
    <cellStyle name="Normal 2 2 23 7" xfId="23556" xr:uid="{00000000-0005-0000-0000-0000F3580000}"/>
    <cellStyle name="Normal 2 2 23 7 2" xfId="23557" xr:uid="{00000000-0005-0000-0000-0000F4580000}"/>
    <cellStyle name="Normal 2 2 23 7 3" xfId="23558" xr:uid="{00000000-0005-0000-0000-0000F5580000}"/>
    <cellStyle name="Normal 2 2 23 7 4" xfId="23559" xr:uid="{00000000-0005-0000-0000-0000F6580000}"/>
    <cellStyle name="Normal 2 2 23 7 5" xfId="23560" xr:uid="{00000000-0005-0000-0000-0000F7580000}"/>
    <cellStyle name="Normal 2 2 23 7 6" xfId="23561" xr:uid="{00000000-0005-0000-0000-0000F8580000}"/>
    <cellStyle name="Normal 2 2 23 8" xfId="23562" xr:uid="{00000000-0005-0000-0000-0000F9580000}"/>
    <cellStyle name="Normal 2 2 23 8 2" xfId="23563" xr:uid="{00000000-0005-0000-0000-0000FA580000}"/>
    <cellStyle name="Normal 2 2 23 8 3" xfId="23564" xr:uid="{00000000-0005-0000-0000-0000FB580000}"/>
    <cellStyle name="Normal 2 2 23 8 4" xfId="23565" xr:uid="{00000000-0005-0000-0000-0000FC580000}"/>
    <cellStyle name="Normal 2 2 23 8 5" xfId="23566" xr:uid="{00000000-0005-0000-0000-0000FD580000}"/>
    <cellStyle name="Normal 2 2 23 8 6" xfId="23567" xr:uid="{00000000-0005-0000-0000-0000FE580000}"/>
    <cellStyle name="Normal 2 2 23 9" xfId="23568" xr:uid="{00000000-0005-0000-0000-0000FF580000}"/>
    <cellStyle name="Normal 2 2 24" xfId="23569" xr:uid="{00000000-0005-0000-0000-000000590000}"/>
    <cellStyle name="Normal 2 2 24 10" xfId="23570" xr:uid="{00000000-0005-0000-0000-000001590000}"/>
    <cellStyle name="Normal 2 2 24 11" xfId="23571" xr:uid="{00000000-0005-0000-0000-000002590000}"/>
    <cellStyle name="Normal 2 2 24 12" xfId="23572" xr:uid="{00000000-0005-0000-0000-000003590000}"/>
    <cellStyle name="Normal 2 2 24 13" xfId="23573" xr:uid="{00000000-0005-0000-0000-000004590000}"/>
    <cellStyle name="Normal 2 2 24 14" xfId="23574" xr:uid="{00000000-0005-0000-0000-000005590000}"/>
    <cellStyle name="Normal 2 2 24 2" xfId="23575" xr:uid="{00000000-0005-0000-0000-000006590000}"/>
    <cellStyle name="Normal 2 2 24 2 2" xfId="23576" xr:uid="{00000000-0005-0000-0000-000007590000}"/>
    <cellStyle name="Normal 2 2 24 2 3" xfId="23577" xr:uid="{00000000-0005-0000-0000-000008590000}"/>
    <cellStyle name="Normal 2 2 24 2 4" xfId="23578" xr:uid="{00000000-0005-0000-0000-000009590000}"/>
    <cellStyle name="Normal 2 2 24 2 5" xfId="23579" xr:uid="{00000000-0005-0000-0000-00000A590000}"/>
    <cellStyle name="Normal 2 2 24 2 6" xfId="23580" xr:uid="{00000000-0005-0000-0000-00000B590000}"/>
    <cellStyle name="Normal 2 2 24 3" xfId="23581" xr:uid="{00000000-0005-0000-0000-00000C590000}"/>
    <cellStyle name="Normal 2 2 24 3 2" xfId="23582" xr:uid="{00000000-0005-0000-0000-00000D590000}"/>
    <cellStyle name="Normal 2 2 24 3 3" xfId="23583" xr:uid="{00000000-0005-0000-0000-00000E590000}"/>
    <cellStyle name="Normal 2 2 24 3 4" xfId="23584" xr:uid="{00000000-0005-0000-0000-00000F590000}"/>
    <cellStyle name="Normal 2 2 24 3 5" xfId="23585" xr:uid="{00000000-0005-0000-0000-000010590000}"/>
    <cellStyle name="Normal 2 2 24 3 6" xfId="23586" xr:uid="{00000000-0005-0000-0000-000011590000}"/>
    <cellStyle name="Normal 2 2 24 4" xfId="23587" xr:uid="{00000000-0005-0000-0000-000012590000}"/>
    <cellStyle name="Normal 2 2 24 4 2" xfId="23588" xr:uid="{00000000-0005-0000-0000-000013590000}"/>
    <cellStyle name="Normal 2 2 24 4 3" xfId="23589" xr:uid="{00000000-0005-0000-0000-000014590000}"/>
    <cellStyle name="Normal 2 2 24 4 4" xfId="23590" xr:uid="{00000000-0005-0000-0000-000015590000}"/>
    <cellStyle name="Normal 2 2 24 4 5" xfId="23591" xr:uid="{00000000-0005-0000-0000-000016590000}"/>
    <cellStyle name="Normal 2 2 24 4 6" xfId="23592" xr:uid="{00000000-0005-0000-0000-000017590000}"/>
    <cellStyle name="Normal 2 2 24 5" xfId="23593" xr:uid="{00000000-0005-0000-0000-000018590000}"/>
    <cellStyle name="Normal 2 2 24 5 2" xfId="23594" xr:uid="{00000000-0005-0000-0000-000019590000}"/>
    <cellStyle name="Normal 2 2 24 5 3" xfId="23595" xr:uid="{00000000-0005-0000-0000-00001A590000}"/>
    <cellStyle name="Normal 2 2 24 5 4" xfId="23596" xr:uid="{00000000-0005-0000-0000-00001B590000}"/>
    <cellStyle name="Normal 2 2 24 5 5" xfId="23597" xr:uid="{00000000-0005-0000-0000-00001C590000}"/>
    <cellStyle name="Normal 2 2 24 5 6" xfId="23598" xr:uid="{00000000-0005-0000-0000-00001D590000}"/>
    <cellStyle name="Normal 2 2 24 6" xfId="23599" xr:uid="{00000000-0005-0000-0000-00001E590000}"/>
    <cellStyle name="Normal 2 2 24 6 2" xfId="23600" xr:uid="{00000000-0005-0000-0000-00001F590000}"/>
    <cellStyle name="Normal 2 2 24 6 3" xfId="23601" xr:uid="{00000000-0005-0000-0000-000020590000}"/>
    <cellStyle name="Normal 2 2 24 6 4" xfId="23602" xr:uid="{00000000-0005-0000-0000-000021590000}"/>
    <cellStyle name="Normal 2 2 24 6 5" xfId="23603" xr:uid="{00000000-0005-0000-0000-000022590000}"/>
    <cellStyle name="Normal 2 2 24 6 6" xfId="23604" xr:uid="{00000000-0005-0000-0000-000023590000}"/>
    <cellStyle name="Normal 2 2 24 7" xfId="23605" xr:uid="{00000000-0005-0000-0000-000024590000}"/>
    <cellStyle name="Normal 2 2 24 7 2" xfId="23606" xr:uid="{00000000-0005-0000-0000-000025590000}"/>
    <cellStyle name="Normal 2 2 24 7 3" xfId="23607" xr:uid="{00000000-0005-0000-0000-000026590000}"/>
    <cellStyle name="Normal 2 2 24 7 4" xfId="23608" xr:uid="{00000000-0005-0000-0000-000027590000}"/>
    <cellStyle name="Normal 2 2 24 7 5" xfId="23609" xr:uid="{00000000-0005-0000-0000-000028590000}"/>
    <cellStyle name="Normal 2 2 24 7 6" xfId="23610" xr:uid="{00000000-0005-0000-0000-000029590000}"/>
    <cellStyle name="Normal 2 2 24 8" xfId="23611" xr:uid="{00000000-0005-0000-0000-00002A590000}"/>
    <cellStyle name="Normal 2 2 24 8 2" xfId="23612" xr:uid="{00000000-0005-0000-0000-00002B590000}"/>
    <cellStyle name="Normal 2 2 24 8 3" xfId="23613" xr:uid="{00000000-0005-0000-0000-00002C590000}"/>
    <cellStyle name="Normal 2 2 24 8 4" xfId="23614" xr:uid="{00000000-0005-0000-0000-00002D590000}"/>
    <cellStyle name="Normal 2 2 24 8 5" xfId="23615" xr:uid="{00000000-0005-0000-0000-00002E590000}"/>
    <cellStyle name="Normal 2 2 24 8 6" xfId="23616" xr:uid="{00000000-0005-0000-0000-00002F590000}"/>
    <cellStyle name="Normal 2 2 24 9" xfId="23617" xr:uid="{00000000-0005-0000-0000-000030590000}"/>
    <cellStyle name="Normal 2 2 25" xfId="23618" xr:uid="{00000000-0005-0000-0000-000031590000}"/>
    <cellStyle name="Normal 2 2 25 10" xfId="23619" xr:uid="{00000000-0005-0000-0000-000032590000}"/>
    <cellStyle name="Normal 2 2 25 11" xfId="23620" xr:uid="{00000000-0005-0000-0000-000033590000}"/>
    <cellStyle name="Normal 2 2 25 12" xfId="23621" xr:uid="{00000000-0005-0000-0000-000034590000}"/>
    <cellStyle name="Normal 2 2 25 13" xfId="23622" xr:uid="{00000000-0005-0000-0000-000035590000}"/>
    <cellStyle name="Normal 2 2 25 14" xfId="23623" xr:uid="{00000000-0005-0000-0000-000036590000}"/>
    <cellStyle name="Normal 2 2 25 2" xfId="23624" xr:uid="{00000000-0005-0000-0000-000037590000}"/>
    <cellStyle name="Normal 2 2 25 2 2" xfId="23625" xr:uid="{00000000-0005-0000-0000-000038590000}"/>
    <cellStyle name="Normal 2 2 25 2 3" xfId="23626" xr:uid="{00000000-0005-0000-0000-000039590000}"/>
    <cellStyle name="Normal 2 2 25 2 4" xfId="23627" xr:uid="{00000000-0005-0000-0000-00003A590000}"/>
    <cellStyle name="Normal 2 2 25 2 5" xfId="23628" xr:uid="{00000000-0005-0000-0000-00003B590000}"/>
    <cellStyle name="Normal 2 2 25 2 6" xfId="23629" xr:uid="{00000000-0005-0000-0000-00003C590000}"/>
    <cellStyle name="Normal 2 2 25 3" xfId="23630" xr:uid="{00000000-0005-0000-0000-00003D590000}"/>
    <cellStyle name="Normal 2 2 25 3 2" xfId="23631" xr:uid="{00000000-0005-0000-0000-00003E590000}"/>
    <cellStyle name="Normal 2 2 25 3 3" xfId="23632" xr:uid="{00000000-0005-0000-0000-00003F590000}"/>
    <cellStyle name="Normal 2 2 25 3 4" xfId="23633" xr:uid="{00000000-0005-0000-0000-000040590000}"/>
    <cellStyle name="Normal 2 2 25 3 5" xfId="23634" xr:uid="{00000000-0005-0000-0000-000041590000}"/>
    <cellStyle name="Normal 2 2 25 3 6" xfId="23635" xr:uid="{00000000-0005-0000-0000-000042590000}"/>
    <cellStyle name="Normal 2 2 25 4" xfId="23636" xr:uid="{00000000-0005-0000-0000-000043590000}"/>
    <cellStyle name="Normal 2 2 25 4 2" xfId="23637" xr:uid="{00000000-0005-0000-0000-000044590000}"/>
    <cellStyle name="Normal 2 2 25 4 3" xfId="23638" xr:uid="{00000000-0005-0000-0000-000045590000}"/>
    <cellStyle name="Normal 2 2 25 4 4" xfId="23639" xr:uid="{00000000-0005-0000-0000-000046590000}"/>
    <cellStyle name="Normal 2 2 25 4 5" xfId="23640" xr:uid="{00000000-0005-0000-0000-000047590000}"/>
    <cellStyle name="Normal 2 2 25 4 6" xfId="23641" xr:uid="{00000000-0005-0000-0000-000048590000}"/>
    <cellStyle name="Normal 2 2 25 5" xfId="23642" xr:uid="{00000000-0005-0000-0000-000049590000}"/>
    <cellStyle name="Normal 2 2 25 5 2" xfId="23643" xr:uid="{00000000-0005-0000-0000-00004A590000}"/>
    <cellStyle name="Normal 2 2 25 5 3" xfId="23644" xr:uid="{00000000-0005-0000-0000-00004B590000}"/>
    <cellStyle name="Normal 2 2 25 5 4" xfId="23645" xr:uid="{00000000-0005-0000-0000-00004C590000}"/>
    <cellStyle name="Normal 2 2 25 5 5" xfId="23646" xr:uid="{00000000-0005-0000-0000-00004D590000}"/>
    <cellStyle name="Normal 2 2 25 5 6" xfId="23647" xr:uid="{00000000-0005-0000-0000-00004E590000}"/>
    <cellStyle name="Normal 2 2 25 6" xfId="23648" xr:uid="{00000000-0005-0000-0000-00004F590000}"/>
    <cellStyle name="Normal 2 2 25 6 2" xfId="23649" xr:uid="{00000000-0005-0000-0000-000050590000}"/>
    <cellStyle name="Normal 2 2 25 6 3" xfId="23650" xr:uid="{00000000-0005-0000-0000-000051590000}"/>
    <cellStyle name="Normal 2 2 25 6 4" xfId="23651" xr:uid="{00000000-0005-0000-0000-000052590000}"/>
    <cellStyle name="Normal 2 2 25 6 5" xfId="23652" xr:uid="{00000000-0005-0000-0000-000053590000}"/>
    <cellStyle name="Normal 2 2 25 6 6" xfId="23653" xr:uid="{00000000-0005-0000-0000-000054590000}"/>
    <cellStyle name="Normal 2 2 25 7" xfId="23654" xr:uid="{00000000-0005-0000-0000-000055590000}"/>
    <cellStyle name="Normal 2 2 25 7 2" xfId="23655" xr:uid="{00000000-0005-0000-0000-000056590000}"/>
    <cellStyle name="Normal 2 2 25 7 3" xfId="23656" xr:uid="{00000000-0005-0000-0000-000057590000}"/>
    <cellStyle name="Normal 2 2 25 7 4" xfId="23657" xr:uid="{00000000-0005-0000-0000-000058590000}"/>
    <cellStyle name="Normal 2 2 25 7 5" xfId="23658" xr:uid="{00000000-0005-0000-0000-000059590000}"/>
    <cellStyle name="Normal 2 2 25 7 6" xfId="23659" xr:uid="{00000000-0005-0000-0000-00005A590000}"/>
    <cellStyle name="Normal 2 2 25 8" xfId="23660" xr:uid="{00000000-0005-0000-0000-00005B590000}"/>
    <cellStyle name="Normal 2 2 25 8 2" xfId="23661" xr:uid="{00000000-0005-0000-0000-00005C590000}"/>
    <cellStyle name="Normal 2 2 25 8 3" xfId="23662" xr:uid="{00000000-0005-0000-0000-00005D590000}"/>
    <cellStyle name="Normal 2 2 25 8 4" xfId="23663" xr:uid="{00000000-0005-0000-0000-00005E590000}"/>
    <cellStyle name="Normal 2 2 25 8 5" xfId="23664" xr:uid="{00000000-0005-0000-0000-00005F590000}"/>
    <cellStyle name="Normal 2 2 25 8 6" xfId="23665" xr:uid="{00000000-0005-0000-0000-000060590000}"/>
    <cellStyle name="Normal 2 2 25 9" xfId="23666" xr:uid="{00000000-0005-0000-0000-000061590000}"/>
    <cellStyle name="Normal 2 2 26" xfId="23667" xr:uid="{00000000-0005-0000-0000-000062590000}"/>
    <cellStyle name="Normal 2 2 26 10" xfId="23668" xr:uid="{00000000-0005-0000-0000-000063590000}"/>
    <cellStyle name="Normal 2 2 26 10 10" xfId="23669" xr:uid="{00000000-0005-0000-0000-000064590000}"/>
    <cellStyle name="Normal 2 2 26 10 11" xfId="23670" xr:uid="{00000000-0005-0000-0000-000065590000}"/>
    <cellStyle name="Normal 2 2 26 10 12" xfId="23671" xr:uid="{00000000-0005-0000-0000-000066590000}"/>
    <cellStyle name="Normal 2 2 26 10 13" xfId="23672" xr:uid="{00000000-0005-0000-0000-000067590000}"/>
    <cellStyle name="Normal 2 2 26 10 14" xfId="23673" xr:uid="{00000000-0005-0000-0000-000068590000}"/>
    <cellStyle name="Normal 2 2 26 10 15" xfId="23674" xr:uid="{00000000-0005-0000-0000-000069590000}"/>
    <cellStyle name="Normal 2 2 26 10 16" xfId="23675" xr:uid="{00000000-0005-0000-0000-00006A590000}"/>
    <cellStyle name="Normal 2 2 26 10 17" xfId="23676" xr:uid="{00000000-0005-0000-0000-00006B590000}"/>
    <cellStyle name="Normal 2 2 26 10 18" xfId="23677" xr:uid="{00000000-0005-0000-0000-00006C590000}"/>
    <cellStyle name="Normal 2 2 26 10 19" xfId="23678" xr:uid="{00000000-0005-0000-0000-00006D590000}"/>
    <cellStyle name="Normal 2 2 26 10 2" xfId="23679" xr:uid="{00000000-0005-0000-0000-00006E590000}"/>
    <cellStyle name="Normal 2 2 26 10 20" xfId="23680" xr:uid="{00000000-0005-0000-0000-00006F590000}"/>
    <cellStyle name="Normal 2 2 26 10 21" xfId="23681" xr:uid="{00000000-0005-0000-0000-000070590000}"/>
    <cellStyle name="Normal 2 2 26 10 22" xfId="23682" xr:uid="{00000000-0005-0000-0000-000071590000}"/>
    <cellStyle name="Normal 2 2 26 10 23" xfId="23683" xr:uid="{00000000-0005-0000-0000-000072590000}"/>
    <cellStyle name="Normal 2 2 26 10 24" xfId="23684" xr:uid="{00000000-0005-0000-0000-000073590000}"/>
    <cellStyle name="Normal 2 2 26 10 25" xfId="23685" xr:uid="{00000000-0005-0000-0000-000074590000}"/>
    <cellStyle name="Normal 2 2 26 10 26" xfId="23686" xr:uid="{00000000-0005-0000-0000-000075590000}"/>
    <cellStyle name="Normal 2 2 26 10 27" xfId="23687" xr:uid="{00000000-0005-0000-0000-000076590000}"/>
    <cellStyle name="Normal 2 2 26 10 28" xfId="23688" xr:uid="{00000000-0005-0000-0000-000077590000}"/>
    <cellStyle name="Normal 2 2 26 10 29" xfId="23689" xr:uid="{00000000-0005-0000-0000-000078590000}"/>
    <cellStyle name="Normal 2 2 26 10 3" xfId="23690" xr:uid="{00000000-0005-0000-0000-000079590000}"/>
    <cellStyle name="Normal 2 2 26 10 30" xfId="23691" xr:uid="{00000000-0005-0000-0000-00007A590000}"/>
    <cellStyle name="Normal 2 2 26 10 31" xfId="23692" xr:uid="{00000000-0005-0000-0000-00007B590000}"/>
    <cellStyle name="Normal 2 2 26 10 32" xfId="23693" xr:uid="{00000000-0005-0000-0000-00007C590000}"/>
    <cellStyle name="Normal 2 2 26 10 33" xfId="23694" xr:uid="{00000000-0005-0000-0000-00007D590000}"/>
    <cellStyle name="Normal 2 2 26 10 34" xfId="23695" xr:uid="{00000000-0005-0000-0000-00007E590000}"/>
    <cellStyle name="Normal 2 2 26 10 35" xfId="23696" xr:uid="{00000000-0005-0000-0000-00007F590000}"/>
    <cellStyle name="Normal 2 2 26 10 36" xfId="23697" xr:uid="{00000000-0005-0000-0000-000080590000}"/>
    <cellStyle name="Normal 2 2 26 10 37" xfId="23698" xr:uid="{00000000-0005-0000-0000-000081590000}"/>
    <cellStyle name="Normal 2 2 26 10 4" xfId="23699" xr:uid="{00000000-0005-0000-0000-000082590000}"/>
    <cellStyle name="Normal 2 2 26 10 5" xfId="23700" xr:uid="{00000000-0005-0000-0000-000083590000}"/>
    <cellStyle name="Normal 2 2 26 10 6" xfId="23701" xr:uid="{00000000-0005-0000-0000-000084590000}"/>
    <cellStyle name="Normal 2 2 26 10 7" xfId="23702" xr:uid="{00000000-0005-0000-0000-000085590000}"/>
    <cellStyle name="Normal 2 2 26 10 8" xfId="23703" xr:uid="{00000000-0005-0000-0000-000086590000}"/>
    <cellStyle name="Normal 2 2 26 10 9" xfId="23704" xr:uid="{00000000-0005-0000-0000-000087590000}"/>
    <cellStyle name="Normal 2 2 26 11" xfId="23705" xr:uid="{00000000-0005-0000-0000-000088590000}"/>
    <cellStyle name="Normal 2 2 26 11 10" xfId="23706" xr:uid="{00000000-0005-0000-0000-000089590000}"/>
    <cellStyle name="Normal 2 2 26 11 11" xfId="23707" xr:uid="{00000000-0005-0000-0000-00008A590000}"/>
    <cellStyle name="Normal 2 2 26 11 12" xfId="23708" xr:uid="{00000000-0005-0000-0000-00008B590000}"/>
    <cellStyle name="Normal 2 2 26 11 13" xfId="23709" xr:uid="{00000000-0005-0000-0000-00008C590000}"/>
    <cellStyle name="Normal 2 2 26 11 14" xfId="23710" xr:uid="{00000000-0005-0000-0000-00008D590000}"/>
    <cellStyle name="Normal 2 2 26 11 15" xfId="23711" xr:uid="{00000000-0005-0000-0000-00008E590000}"/>
    <cellStyle name="Normal 2 2 26 11 16" xfId="23712" xr:uid="{00000000-0005-0000-0000-00008F590000}"/>
    <cellStyle name="Normal 2 2 26 11 17" xfId="23713" xr:uid="{00000000-0005-0000-0000-000090590000}"/>
    <cellStyle name="Normal 2 2 26 11 18" xfId="23714" xr:uid="{00000000-0005-0000-0000-000091590000}"/>
    <cellStyle name="Normal 2 2 26 11 19" xfId="23715" xr:uid="{00000000-0005-0000-0000-000092590000}"/>
    <cellStyle name="Normal 2 2 26 11 2" xfId="23716" xr:uid="{00000000-0005-0000-0000-000093590000}"/>
    <cellStyle name="Normal 2 2 26 11 20" xfId="23717" xr:uid="{00000000-0005-0000-0000-000094590000}"/>
    <cellStyle name="Normal 2 2 26 11 21" xfId="23718" xr:uid="{00000000-0005-0000-0000-000095590000}"/>
    <cellStyle name="Normal 2 2 26 11 22" xfId="23719" xr:uid="{00000000-0005-0000-0000-000096590000}"/>
    <cellStyle name="Normal 2 2 26 11 23" xfId="23720" xr:uid="{00000000-0005-0000-0000-000097590000}"/>
    <cellStyle name="Normal 2 2 26 11 24" xfId="23721" xr:uid="{00000000-0005-0000-0000-000098590000}"/>
    <cellStyle name="Normal 2 2 26 11 25" xfId="23722" xr:uid="{00000000-0005-0000-0000-000099590000}"/>
    <cellStyle name="Normal 2 2 26 11 26" xfId="23723" xr:uid="{00000000-0005-0000-0000-00009A590000}"/>
    <cellStyle name="Normal 2 2 26 11 27" xfId="23724" xr:uid="{00000000-0005-0000-0000-00009B590000}"/>
    <cellStyle name="Normal 2 2 26 11 28" xfId="23725" xr:uid="{00000000-0005-0000-0000-00009C590000}"/>
    <cellStyle name="Normal 2 2 26 11 29" xfId="23726" xr:uid="{00000000-0005-0000-0000-00009D590000}"/>
    <cellStyle name="Normal 2 2 26 11 3" xfId="23727" xr:uid="{00000000-0005-0000-0000-00009E590000}"/>
    <cellStyle name="Normal 2 2 26 11 30" xfId="23728" xr:uid="{00000000-0005-0000-0000-00009F590000}"/>
    <cellStyle name="Normal 2 2 26 11 31" xfId="23729" xr:uid="{00000000-0005-0000-0000-0000A0590000}"/>
    <cellStyle name="Normal 2 2 26 11 32" xfId="23730" xr:uid="{00000000-0005-0000-0000-0000A1590000}"/>
    <cellStyle name="Normal 2 2 26 11 33" xfId="23731" xr:uid="{00000000-0005-0000-0000-0000A2590000}"/>
    <cellStyle name="Normal 2 2 26 11 34" xfId="23732" xr:uid="{00000000-0005-0000-0000-0000A3590000}"/>
    <cellStyle name="Normal 2 2 26 11 35" xfId="23733" xr:uid="{00000000-0005-0000-0000-0000A4590000}"/>
    <cellStyle name="Normal 2 2 26 11 36" xfId="23734" xr:uid="{00000000-0005-0000-0000-0000A5590000}"/>
    <cellStyle name="Normal 2 2 26 11 37" xfId="23735" xr:uid="{00000000-0005-0000-0000-0000A6590000}"/>
    <cellStyle name="Normal 2 2 26 11 4" xfId="23736" xr:uid="{00000000-0005-0000-0000-0000A7590000}"/>
    <cellStyle name="Normal 2 2 26 11 5" xfId="23737" xr:uid="{00000000-0005-0000-0000-0000A8590000}"/>
    <cellStyle name="Normal 2 2 26 11 6" xfId="23738" xr:uid="{00000000-0005-0000-0000-0000A9590000}"/>
    <cellStyle name="Normal 2 2 26 11 7" xfId="23739" xr:uid="{00000000-0005-0000-0000-0000AA590000}"/>
    <cellStyle name="Normal 2 2 26 11 8" xfId="23740" xr:uid="{00000000-0005-0000-0000-0000AB590000}"/>
    <cellStyle name="Normal 2 2 26 11 9" xfId="23741" xr:uid="{00000000-0005-0000-0000-0000AC590000}"/>
    <cellStyle name="Normal 2 2 26 12" xfId="23742" xr:uid="{00000000-0005-0000-0000-0000AD590000}"/>
    <cellStyle name="Normal 2 2 26 12 2" xfId="23743" xr:uid="{00000000-0005-0000-0000-0000AE590000}"/>
    <cellStyle name="Normal 2 2 26 12 3" xfId="23744" xr:uid="{00000000-0005-0000-0000-0000AF590000}"/>
    <cellStyle name="Normal 2 2 26 12 4" xfId="23745" xr:uid="{00000000-0005-0000-0000-0000B0590000}"/>
    <cellStyle name="Normal 2 2 26 12 5" xfId="23746" xr:uid="{00000000-0005-0000-0000-0000B1590000}"/>
    <cellStyle name="Normal 2 2 26 12 6" xfId="23747" xr:uid="{00000000-0005-0000-0000-0000B2590000}"/>
    <cellStyle name="Normal 2 2 26 13" xfId="23748" xr:uid="{00000000-0005-0000-0000-0000B3590000}"/>
    <cellStyle name="Normal 2 2 26 13 2" xfId="23749" xr:uid="{00000000-0005-0000-0000-0000B4590000}"/>
    <cellStyle name="Normal 2 2 26 13 3" xfId="23750" xr:uid="{00000000-0005-0000-0000-0000B5590000}"/>
    <cellStyle name="Normal 2 2 26 13 4" xfId="23751" xr:uid="{00000000-0005-0000-0000-0000B6590000}"/>
    <cellStyle name="Normal 2 2 26 13 5" xfId="23752" xr:uid="{00000000-0005-0000-0000-0000B7590000}"/>
    <cellStyle name="Normal 2 2 26 13 6" xfId="23753" xr:uid="{00000000-0005-0000-0000-0000B8590000}"/>
    <cellStyle name="Normal 2 2 26 14" xfId="23754" xr:uid="{00000000-0005-0000-0000-0000B9590000}"/>
    <cellStyle name="Normal 2 2 26 14 2" xfId="23755" xr:uid="{00000000-0005-0000-0000-0000BA590000}"/>
    <cellStyle name="Normal 2 2 26 14 3" xfId="23756" xr:uid="{00000000-0005-0000-0000-0000BB590000}"/>
    <cellStyle name="Normal 2 2 26 14 4" xfId="23757" xr:uid="{00000000-0005-0000-0000-0000BC590000}"/>
    <cellStyle name="Normal 2 2 26 14 5" xfId="23758" xr:uid="{00000000-0005-0000-0000-0000BD590000}"/>
    <cellStyle name="Normal 2 2 26 14 6" xfId="23759" xr:uid="{00000000-0005-0000-0000-0000BE590000}"/>
    <cellStyle name="Normal 2 2 26 15" xfId="23760" xr:uid="{00000000-0005-0000-0000-0000BF590000}"/>
    <cellStyle name="Normal 2 2 26 15 2" xfId="23761" xr:uid="{00000000-0005-0000-0000-0000C0590000}"/>
    <cellStyle name="Normal 2 2 26 15 3" xfId="23762" xr:uid="{00000000-0005-0000-0000-0000C1590000}"/>
    <cellStyle name="Normal 2 2 26 15 4" xfId="23763" xr:uid="{00000000-0005-0000-0000-0000C2590000}"/>
    <cellStyle name="Normal 2 2 26 15 5" xfId="23764" xr:uid="{00000000-0005-0000-0000-0000C3590000}"/>
    <cellStyle name="Normal 2 2 26 15 6" xfId="23765" xr:uid="{00000000-0005-0000-0000-0000C4590000}"/>
    <cellStyle name="Normal 2 2 26 16" xfId="23766" xr:uid="{00000000-0005-0000-0000-0000C5590000}"/>
    <cellStyle name="Normal 2 2 26 16 2" xfId="23767" xr:uid="{00000000-0005-0000-0000-0000C6590000}"/>
    <cellStyle name="Normal 2 2 26 16 3" xfId="23768" xr:uid="{00000000-0005-0000-0000-0000C7590000}"/>
    <cellStyle name="Normal 2 2 26 16 4" xfId="23769" xr:uid="{00000000-0005-0000-0000-0000C8590000}"/>
    <cellStyle name="Normal 2 2 26 16 5" xfId="23770" xr:uid="{00000000-0005-0000-0000-0000C9590000}"/>
    <cellStyle name="Normal 2 2 26 16 6" xfId="23771" xr:uid="{00000000-0005-0000-0000-0000CA590000}"/>
    <cellStyle name="Normal 2 2 26 17" xfId="23772" xr:uid="{00000000-0005-0000-0000-0000CB590000}"/>
    <cellStyle name="Normal 2 2 26 17 2" xfId="23773" xr:uid="{00000000-0005-0000-0000-0000CC590000}"/>
    <cellStyle name="Normal 2 2 26 17 3" xfId="23774" xr:uid="{00000000-0005-0000-0000-0000CD590000}"/>
    <cellStyle name="Normal 2 2 26 17 4" xfId="23775" xr:uid="{00000000-0005-0000-0000-0000CE590000}"/>
    <cellStyle name="Normal 2 2 26 17 5" xfId="23776" xr:uid="{00000000-0005-0000-0000-0000CF590000}"/>
    <cellStyle name="Normal 2 2 26 17 6" xfId="23777" xr:uid="{00000000-0005-0000-0000-0000D0590000}"/>
    <cellStyle name="Normal 2 2 26 18" xfId="23778" xr:uid="{00000000-0005-0000-0000-0000D1590000}"/>
    <cellStyle name="Normal 2 2 26 18 2" xfId="23779" xr:uid="{00000000-0005-0000-0000-0000D2590000}"/>
    <cellStyle name="Normal 2 2 26 18 3" xfId="23780" xr:uid="{00000000-0005-0000-0000-0000D3590000}"/>
    <cellStyle name="Normal 2 2 26 18 4" xfId="23781" xr:uid="{00000000-0005-0000-0000-0000D4590000}"/>
    <cellStyle name="Normal 2 2 26 18 5" xfId="23782" xr:uid="{00000000-0005-0000-0000-0000D5590000}"/>
    <cellStyle name="Normal 2 2 26 18 6" xfId="23783" xr:uid="{00000000-0005-0000-0000-0000D6590000}"/>
    <cellStyle name="Normal 2 2 26 19" xfId="23784" xr:uid="{00000000-0005-0000-0000-0000D7590000}"/>
    <cellStyle name="Normal 2 2 26 2" xfId="23785" xr:uid="{00000000-0005-0000-0000-0000D8590000}"/>
    <cellStyle name="Normal 2 2 26 2 10" xfId="23786" xr:uid="{00000000-0005-0000-0000-0000D9590000}"/>
    <cellStyle name="Normal 2 2 26 2 11" xfId="23787" xr:uid="{00000000-0005-0000-0000-0000DA590000}"/>
    <cellStyle name="Normal 2 2 26 2 12" xfId="23788" xr:uid="{00000000-0005-0000-0000-0000DB590000}"/>
    <cellStyle name="Normal 2 2 26 2 13" xfId="23789" xr:uid="{00000000-0005-0000-0000-0000DC590000}"/>
    <cellStyle name="Normal 2 2 26 2 14" xfId="23790" xr:uid="{00000000-0005-0000-0000-0000DD590000}"/>
    <cellStyle name="Normal 2 2 26 2 15" xfId="23791" xr:uid="{00000000-0005-0000-0000-0000DE590000}"/>
    <cellStyle name="Normal 2 2 26 2 16" xfId="23792" xr:uid="{00000000-0005-0000-0000-0000DF590000}"/>
    <cellStyle name="Normal 2 2 26 2 17" xfId="23793" xr:uid="{00000000-0005-0000-0000-0000E0590000}"/>
    <cellStyle name="Normal 2 2 26 2 18" xfId="23794" xr:uid="{00000000-0005-0000-0000-0000E1590000}"/>
    <cellStyle name="Normal 2 2 26 2 19" xfId="23795" xr:uid="{00000000-0005-0000-0000-0000E2590000}"/>
    <cellStyle name="Normal 2 2 26 2 2" xfId="23796" xr:uid="{00000000-0005-0000-0000-0000E3590000}"/>
    <cellStyle name="Normal 2 2 26 2 20" xfId="23797" xr:uid="{00000000-0005-0000-0000-0000E4590000}"/>
    <cellStyle name="Normal 2 2 26 2 21" xfId="23798" xr:uid="{00000000-0005-0000-0000-0000E5590000}"/>
    <cellStyle name="Normal 2 2 26 2 22" xfId="23799" xr:uid="{00000000-0005-0000-0000-0000E6590000}"/>
    <cellStyle name="Normal 2 2 26 2 23" xfId="23800" xr:uid="{00000000-0005-0000-0000-0000E7590000}"/>
    <cellStyle name="Normal 2 2 26 2 24" xfId="23801" xr:uid="{00000000-0005-0000-0000-0000E8590000}"/>
    <cellStyle name="Normal 2 2 26 2 25" xfId="23802" xr:uid="{00000000-0005-0000-0000-0000E9590000}"/>
    <cellStyle name="Normal 2 2 26 2 26" xfId="23803" xr:uid="{00000000-0005-0000-0000-0000EA590000}"/>
    <cellStyle name="Normal 2 2 26 2 27" xfId="23804" xr:uid="{00000000-0005-0000-0000-0000EB590000}"/>
    <cellStyle name="Normal 2 2 26 2 28" xfId="23805" xr:uid="{00000000-0005-0000-0000-0000EC590000}"/>
    <cellStyle name="Normal 2 2 26 2 29" xfId="23806" xr:uid="{00000000-0005-0000-0000-0000ED590000}"/>
    <cellStyle name="Normal 2 2 26 2 3" xfId="23807" xr:uid="{00000000-0005-0000-0000-0000EE590000}"/>
    <cellStyle name="Normal 2 2 26 2 30" xfId="23808" xr:uid="{00000000-0005-0000-0000-0000EF590000}"/>
    <cellStyle name="Normal 2 2 26 2 31" xfId="23809" xr:uid="{00000000-0005-0000-0000-0000F0590000}"/>
    <cellStyle name="Normal 2 2 26 2 32" xfId="23810" xr:uid="{00000000-0005-0000-0000-0000F1590000}"/>
    <cellStyle name="Normal 2 2 26 2 33" xfId="23811" xr:uid="{00000000-0005-0000-0000-0000F2590000}"/>
    <cellStyle name="Normal 2 2 26 2 34" xfId="23812" xr:uid="{00000000-0005-0000-0000-0000F3590000}"/>
    <cellStyle name="Normal 2 2 26 2 35" xfId="23813" xr:uid="{00000000-0005-0000-0000-0000F4590000}"/>
    <cellStyle name="Normal 2 2 26 2 36" xfId="23814" xr:uid="{00000000-0005-0000-0000-0000F5590000}"/>
    <cellStyle name="Normal 2 2 26 2 37" xfId="23815" xr:uid="{00000000-0005-0000-0000-0000F6590000}"/>
    <cellStyle name="Normal 2 2 26 2 4" xfId="23816" xr:uid="{00000000-0005-0000-0000-0000F7590000}"/>
    <cellStyle name="Normal 2 2 26 2 5" xfId="23817" xr:uid="{00000000-0005-0000-0000-0000F8590000}"/>
    <cellStyle name="Normal 2 2 26 2 6" xfId="23818" xr:uid="{00000000-0005-0000-0000-0000F9590000}"/>
    <cellStyle name="Normal 2 2 26 2 7" xfId="23819" xr:uid="{00000000-0005-0000-0000-0000FA590000}"/>
    <cellStyle name="Normal 2 2 26 2 8" xfId="23820" xr:uid="{00000000-0005-0000-0000-0000FB590000}"/>
    <cellStyle name="Normal 2 2 26 2 9" xfId="23821" xr:uid="{00000000-0005-0000-0000-0000FC590000}"/>
    <cellStyle name="Normal 2 2 26 20" xfId="23822" xr:uid="{00000000-0005-0000-0000-0000FD590000}"/>
    <cellStyle name="Normal 2 2 26 21" xfId="23823" xr:uid="{00000000-0005-0000-0000-0000FE590000}"/>
    <cellStyle name="Normal 2 2 26 22" xfId="23824" xr:uid="{00000000-0005-0000-0000-0000FF590000}"/>
    <cellStyle name="Normal 2 2 26 23" xfId="23825" xr:uid="{00000000-0005-0000-0000-0000005A0000}"/>
    <cellStyle name="Normal 2 2 26 24" xfId="23826" xr:uid="{00000000-0005-0000-0000-0000015A0000}"/>
    <cellStyle name="Normal 2 2 26 3" xfId="23827" xr:uid="{00000000-0005-0000-0000-0000025A0000}"/>
    <cellStyle name="Normal 2 2 26 3 10" xfId="23828" xr:uid="{00000000-0005-0000-0000-0000035A0000}"/>
    <cellStyle name="Normal 2 2 26 3 11" xfId="23829" xr:uid="{00000000-0005-0000-0000-0000045A0000}"/>
    <cellStyle name="Normal 2 2 26 3 12" xfId="23830" xr:uid="{00000000-0005-0000-0000-0000055A0000}"/>
    <cellStyle name="Normal 2 2 26 3 13" xfId="23831" xr:uid="{00000000-0005-0000-0000-0000065A0000}"/>
    <cellStyle name="Normal 2 2 26 3 14" xfId="23832" xr:uid="{00000000-0005-0000-0000-0000075A0000}"/>
    <cellStyle name="Normal 2 2 26 3 15" xfId="23833" xr:uid="{00000000-0005-0000-0000-0000085A0000}"/>
    <cellStyle name="Normal 2 2 26 3 16" xfId="23834" xr:uid="{00000000-0005-0000-0000-0000095A0000}"/>
    <cellStyle name="Normal 2 2 26 3 17" xfId="23835" xr:uid="{00000000-0005-0000-0000-00000A5A0000}"/>
    <cellStyle name="Normal 2 2 26 3 18" xfId="23836" xr:uid="{00000000-0005-0000-0000-00000B5A0000}"/>
    <cellStyle name="Normal 2 2 26 3 19" xfId="23837" xr:uid="{00000000-0005-0000-0000-00000C5A0000}"/>
    <cellStyle name="Normal 2 2 26 3 2" xfId="23838" xr:uid="{00000000-0005-0000-0000-00000D5A0000}"/>
    <cellStyle name="Normal 2 2 26 3 20" xfId="23839" xr:uid="{00000000-0005-0000-0000-00000E5A0000}"/>
    <cellStyle name="Normal 2 2 26 3 21" xfId="23840" xr:uid="{00000000-0005-0000-0000-00000F5A0000}"/>
    <cellStyle name="Normal 2 2 26 3 22" xfId="23841" xr:uid="{00000000-0005-0000-0000-0000105A0000}"/>
    <cellStyle name="Normal 2 2 26 3 23" xfId="23842" xr:uid="{00000000-0005-0000-0000-0000115A0000}"/>
    <cellStyle name="Normal 2 2 26 3 24" xfId="23843" xr:uid="{00000000-0005-0000-0000-0000125A0000}"/>
    <cellStyle name="Normal 2 2 26 3 25" xfId="23844" xr:uid="{00000000-0005-0000-0000-0000135A0000}"/>
    <cellStyle name="Normal 2 2 26 3 26" xfId="23845" xr:uid="{00000000-0005-0000-0000-0000145A0000}"/>
    <cellStyle name="Normal 2 2 26 3 27" xfId="23846" xr:uid="{00000000-0005-0000-0000-0000155A0000}"/>
    <cellStyle name="Normal 2 2 26 3 28" xfId="23847" xr:uid="{00000000-0005-0000-0000-0000165A0000}"/>
    <cellStyle name="Normal 2 2 26 3 29" xfId="23848" xr:uid="{00000000-0005-0000-0000-0000175A0000}"/>
    <cellStyle name="Normal 2 2 26 3 3" xfId="23849" xr:uid="{00000000-0005-0000-0000-0000185A0000}"/>
    <cellStyle name="Normal 2 2 26 3 30" xfId="23850" xr:uid="{00000000-0005-0000-0000-0000195A0000}"/>
    <cellStyle name="Normal 2 2 26 3 31" xfId="23851" xr:uid="{00000000-0005-0000-0000-00001A5A0000}"/>
    <cellStyle name="Normal 2 2 26 3 32" xfId="23852" xr:uid="{00000000-0005-0000-0000-00001B5A0000}"/>
    <cellStyle name="Normal 2 2 26 3 33" xfId="23853" xr:uid="{00000000-0005-0000-0000-00001C5A0000}"/>
    <cellStyle name="Normal 2 2 26 3 34" xfId="23854" xr:uid="{00000000-0005-0000-0000-00001D5A0000}"/>
    <cellStyle name="Normal 2 2 26 3 35" xfId="23855" xr:uid="{00000000-0005-0000-0000-00001E5A0000}"/>
    <cellStyle name="Normal 2 2 26 3 36" xfId="23856" xr:uid="{00000000-0005-0000-0000-00001F5A0000}"/>
    <cellStyle name="Normal 2 2 26 3 37" xfId="23857" xr:uid="{00000000-0005-0000-0000-0000205A0000}"/>
    <cellStyle name="Normal 2 2 26 3 4" xfId="23858" xr:uid="{00000000-0005-0000-0000-0000215A0000}"/>
    <cellStyle name="Normal 2 2 26 3 5" xfId="23859" xr:uid="{00000000-0005-0000-0000-0000225A0000}"/>
    <cellStyle name="Normal 2 2 26 3 6" xfId="23860" xr:uid="{00000000-0005-0000-0000-0000235A0000}"/>
    <cellStyle name="Normal 2 2 26 3 7" xfId="23861" xr:uid="{00000000-0005-0000-0000-0000245A0000}"/>
    <cellStyle name="Normal 2 2 26 3 8" xfId="23862" xr:uid="{00000000-0005-0000-0000-0000255A0000}"/>
    <cellStyle name="Normal 2 2 26 3 9" xfId="23863" xr:uid="{00000000-0005-0000-0000-0000265A0000}"/>
    <cellStyle name="Normal 2 2 26 4" xfId="23864" xr:uid="{00000000-0005-0000-0000-0000275A0000}"/>
    <cellStyle name="Normal 2 2 26 4 10" xfId="23865" xr:uid="{00000000-0005-0000-0000-0000285A0000}"/>
    <cellStyle name="Normal 2 2 26 4 11" xfId="23866" xr:uid="{00000000-0005-0000-0000-0000295A0000}"/>
    <cellStyle name="Normal 2 2 26 4 12" xfId="23867" xr:uid="{00000000-0005-0000-0000-00002A5A0000}"/>
    <cellStyle name="Normal 2 2 26 4 13" xfId="23868" xr:uid="{00000000-0005-0000-0000-00002B5A0000}"/>
    <cellStyle name="Normal 2 2 26 4 14" xfId="23869" xr:uid="{00000000-0005-0000-0000-00002C5A0000}"/>
    <cellStyle name="Normal 2 2 26 4 15" xfId="23870" xr:uid="{00000000-0005-0000-0000-00002D5A0000}"/>
    <cellStyle name="Normal 2 2 26 4 16" xfId="23871" xr:uid="{00000000-0005-0000-0000-00002E5A0000}"/>
    <cellStyle name="Normal 2 2 26 4 17" xfId="23872" xr:uid="{00000000-0005-0000-0000-00002F5A0000}"/>
    <cellStyle name="Normal 2 2 26 4 18" xfId="23873" xr:uid="{00000000-0005-0000-0000-0000305A0000}"/>
    <cellStyle name="Normal 2 2 26 4 19" xfId="23874" xr:uid="{00000000-0005-0000-0000-0000315A0000}"/>
    <cellStyle name="Normal 2 2 26 4 2" xfId="23875" xr:uid="{00000000-0005-0000-0000-0000325A0000}"/>
    <cellStyle name="Normal 2 2 26 4 20" xfId="23876" xr:uid="{00000000-0005-0000-0000-0000335A0000}"/>
    <cellStyle name="Normal 2 2 26 4 21" xfId="23877" xr:uid="{00000000-0005-0000-0000-0000345A0000}"/>
    <cellStyle name="Normal 2 2 26 4 22" xfId="23878" xr:uid="{00000000-0005-0000-0000-0000355A0000}"/>
    <cellStyle name="Normal 2 2 26 4 23" xfId="23879" xr:uid="{00000000-0005-0000-0000-0000365A0000}"/>
    <cellStyle name="Normal 2 2 26 4 24" xfId="23880" xr:uid="{00000000-0005-0000-0000-0000375A0000}"/>
    <cellStyle name="Normal 2 2 26 4 25" xfId="23881" xr:uid="{00000000-0005-0000-0000-0000385A0000}"/>
    <cellStyle name="Normal 2 2 26 4 26" xfId="23882" xr:uid="{00000000-0005-0000-0000-0000395A0000}"/>
    <cellStyle name="Normal 2 2 26 4 27" xfId="23883" xr:uid="{00000000-0005-0000-0000-00003A5A0000}"/>
    <cellStyle name="Normal 2 2 26 4 28" xfId="23884" xr:uid="{00000000-0005-0000-0000-00003B5A0000}"/>
    <cellStyle name="Normal 2 2 26 4 29" xfId="23885" xr:uid="{00000000-0005-0000-0000-00003C5A0000}"/>
    <cellStyle name="Normal 2 2 26 4 3" xfId="23886" xr:uid="{00000000-0005-0000-0000-00003D5A0000}"/>
    <cellStyle name="Normal 2 2 26 4 30" xfId="23887" xr:uid="{00000000-0005-0000-0000-00003E5A0000}"/>
    <cellStyle name="Normal 2 2 26 4 31" xfId="23888" xr:uid="{00000000-0005-0000-0000-00003F5A0000}"/>
    <cellStyle name="Normal 2 2 26 4 32" xfId="23889" xr:uid="{00000000-0005-0000-0000-0000405A0000}"/>
    <cellStyle name="Normal 2 2 26 4 33" xfId="23890" xr:uid="{00000000-0005-0000-0000-0000415A0000}"/>
    <cellStyle name="Normal 2 2 26 4 34" xfId="23891" xr:uid="{00000000-0005-0000-0000-0000425A0000}"/>
    <cellStyle name="Normal 2 2 26 4 35" xfId="23892" xr:uid="{00000000-0005-0000-0000-0000435A0000}"/>
    <cellStyle name="Normal 2 2 26 4 36" xfId="23893" xr:uid="{00000000-0005-0000-0000-0000445A0000}"/>
    <cellStyle name="Normal 2 2 26 4 37" xfId="23894" xr:uid="{00000000-0005-0000-0000-0000455A0000}"/>
    <cellStyle name="Normal 2 2 26 4 4" xfId="23895" xr:uid="{00000000-0005-0000-0000-0000465A0000}"/>
    <cellStyle name="Normal 2 2 26 4 5" xfId="23896" xr:uid="{00000000-0005-0000-0000-0000475A0000}"/>
    <cellStyle name="Normal 2 2 26 4 6" xfId="23897" xr:uid="{00000000-0005-0000-0000-0000485A0000}"/>
    <cellStyle name="Normal 2 2 26 4 7" xfId="23898" xr:uid="{00000000-0005-0000-0000-0000495A0000}"/>
    <cellStyle name="Normal 2 2 26 4 8" xfId="23899" xr:uid="{00000000-0005-0000-0000-00004A5A0000}"/>
    <cellStyle name="Normal 2 2 26 4 9" xfId="23900" xr:uid="{00000000-0005-0000-0000-00004B5A0000}"/>
    <cellStyle name="Normal 2 2 26 5" xfId="23901" xr:uid="{00000000-0005-0000-0000-00004C5A0000}"/>
    <cellStyle name="Normal 2 2 26 5 10" xfId="23902" xr:uid="{00000000-0005-0000-0000-00004D5A0000}"/>
    <cellStyle name="Normal 2 2 26 5 11" xfId="23903" xr:uid="{00000000-0005-0000-0000-00004E5A0000}"/>
    <cellStyle name="Normal 2 2 26 5 12" xfId="23904" xr:uid="{00000000-0005-0000-0000-00004F5A0000}"/>
    <cellStyle name="Normal 2 2 26 5 13" xfId="23905" xr:uid="{00000000-0005-0000-0000-0000505A0000}"/>
    <cellStyle name="Normal 2 2 26 5 14" xfId="23906" xr:uid="{00000000-0005-0000-0000-0000515A0000}"/>
    <cellStyle name="Normal 2 2 26 5 15" xfId="23907" xr:uid="{00000000-0005-0000-0000-0000525A0000}"/>
    <cellStyle name="Normal 2 2 26 5 16" xfId="23908" xr:uid="{00000000-0005-0000-0000-0000535A0000}"/>
    <cellStyle name="Normal 2 2 26 5 17" xfId="23909" xr:uid="{00000000-0005-0000-0000-0000545A0000}"/>
    <cellStyle name="Normal 2 2 26 5 18" xfId="23910" xr:uid="{00000000-0005-0000-0000-0000555A0000}"/>
    <cellStyle name="Normal 2 2 26 5 19" xfId="23911" xr:uid="{00000000-0005-0000-0000-0000565A0000}"/>
    <cellStyle name="Normal 2 2 26 5 2" xfId="23912" xr:uid="{00000000-0005-0000-0000-0000575A0000}"/>
    <cellStyle name="Normal 2 2 26 5 20" xfId="23913" xr:uid="{00000000-0005-0000-0000-0000585A0000}"/>
    <cellStyle name="Normal 2 2 26 5 21" xfId="23914" xr:uid="{00000000-0005-0000-0000-0000595A0000}"/>
    <cellStyle name="Normal 2 2 26 5 22" xfId="23915" xr:uid="{00000000-0005-0000-0000-00005A5A0000}"/>
    <cellStyle name="Normal 2 2 26 5 23" xfId="23916" xr:uid="{00000000-0005-0000-0000-00005B5A0000}"/>
    <cellStyle name="Normal 2 2 26 5 24" xfId="23917" xr:uid="{00000000-0005-0000-0000-00005C5A0000}"/>
    <cellStyle name="Normal 2 2 26 5 25" xfId="23918" xr:uid="{00000000-0005-0000-0000-00005D5A0000}"/>
    <cellStyle name="Normal 2 2 26 5 26" xfId="23919" xr:uid="{00000000-0005-0000-0000-00005E5A0000}"/>
    <cellStyle name="Normal 2 2 26 5 27" xfId="23920" xr:uid="{00000000-0005-0000-0000-00005F5A0000}"/>
    <cellStyle name="Normal 2 2 26 5 28" xfId="23921" xr:uid="{00000000-0005-0000-0000-0000605A0000}"/>
    <cellStyle name="Normal 2 2 26 5 29" xfId="23922" xr:uid="{00000000-0005-0000-0000-0000615A0000}"/>
    <cellStyle name="Normal 2 2 26 5 3" xfId="23923" xr:uid="{00000000-0005-0000-0000-0000625A0000}"/>
    <cellStyle name="Normal 2 2 26 5 30" xfId="23924" xr:uid="{00000000-0005-0000-0000-0000635A0000}"/>
    <cellStyle name="Normal 2 2 26 5 31" xfId="23925" xr:uid="{00000000-0005-0000-0000-0000645A0000}"/>
    <cellStyle name="Normal 2 2 26 5 32" xfId="23926" xr:uid="{00000000-0005-0000-0000-0000655A0000}"/>
    <cellStyle name="Normal 2 2 26 5 33" xfId="23927" xr:uid="{00000000-0005-0000-0000-0000665A0000}"/>
    <cellStyle name="Normal 2 2 26 5 34" xfId="23928" xr:uid="{00000000-0005-0000-0000-0000675A0000}"/>
    <cellStyle name="Normal 2 2 26 5 35" xfId="23929" xr:uid="{00000000-0005-0000-0000-0000685A0000}"/>
    <cellStyle name="Normal 2 2 26 5 36" xfId="23930" xr:uid="{00000000-0005-0000-0000-0000695A0000}"/>
    <cellStyle name="Normal 2 2 26 5 37" xfId="23931" xr:uid="{00000000-0005-0000-0000-00006A5A0000}"/>
    <cellStyle name="Normal 2 2 26 5 4" xfId="23932" xr:uid="{00000000-0005-0000-0000-00006B5A0000}"/>
    <cellStyle name="Normal 2 2 26 5 5" xfId="23933" xr:uid="{00000000-0005-0000-0000-00006C5A0000}"/>
    <cellStyle name="Normal 2 2 26 5 6" xfId="23934" xr:uid="{00000000-0005-0000-0000-00006D5A0000}"/>
    <cellStyle name="Normal 2 2 26 5 7" xfId="23935" xr:uid="{00000000-0005-0000-0000-00006E5A0000}"/>
    <cellStyle name="Normal 2 2 26 5 8" xfId="23936" xr:uid="{00000000-0005-0000-0000-00006F5A0000}"/>
    <cellStyle name="Normal 2 2 26 5 9" xfId="23937" xr:uid="{00000000-0005-0000-0000-0000705A0000}"/>
    <cellStyle name="Normal 2 2 26 6" xfId="23938" xr:uid="{00000000-0005-0000-0000-0000715A0000}"/>
    <cellStyle name="Normal 2 2 26 6 10" xfId="23939" xr:uid="{00000000-0005-0000-0000-0000725A0000}"/>
    <cellStyle name="Normal 2 2 26 6 11" xfId="23940" xr:uid="{00000000-0005-0000-0000-0000735A0000}"/>
    <cellStyle name="Normal 2 2 26 6 12" xfId="23941" xr:uid="{00000000-0005-0000-0000-0000745A0000}"/>
    <cellStyle name="Normal 2 2 26 6 13" xfId="23942" xr:uid="{00000000-0005-0000-0000-0000755A0000}"/>
    <cellStyle name="Normal 2 2 26 6 14" xfId="23943" xr:uid="{00000000-0005-0000-0000-0000765A0000}"/>
    <cellStyle name="Normal 2 2 26 6 15" xfId="23944" xr:uid="{00000000-0005-0000-0000-0000775A0000}"/>
    <cellStyle name="Normal 2 2 26 6 16" xfId="23945" xr:uid="{00000000-0005-0000-0000-0000785A0000}"/>
    <cellStyle name="Normal 2 2 26 6 17" xfId="23946" xr:uid="{00000000-0005-0000-0000-0000795A0000}"/>
    <cellStyle name="Normal 2 2 26 6 18" xfId="23947" xr:uid="{00000000-0005-0000-0000-00007A5A0000}"/>
    <cellStyle name="Normal 2 2 26 6 19" xfId="23948" xr:uid="{00000000-0005-0000-0000-00007B5A0000}"/>
    <cellStyle name="Normal 2 2 26 6 2" xfId="23949" xr:uid="{00000000-0005-0000-0000-00007C5A0000}"/>
    <cellStyle name="Normal 2 2 26 6 20" xfId="23950" xr:uid="{00000000-0005-0000-0000-00007D5A0000}"/>
    <cellStyle name="Normal 2 2 26 6 21" xfId="23951" xr:uid="{00000000-0005-0000-0000-00007E5A0000}"/>
    <cellStyle name="Normal 2 2 26 6 22" xfId="23952" xr:uid="{00000000-0005-0000-0000-00007F5A0000}"/>
    <cellStyle name="Normal 2 2 26 6 23" xfId="23953" xr:uid="{00000000-0005-0000-0000-0000805A0000}"/>
    <cellStyle name="Normal 2 2 26 6 24" xfId="23954" xr:uid="{00000000-0005-0000-0000-0000815A0000}"/>
    <cellStyle name="Normal 2 2 26 6 25" xfId="23955" xr:uid="{00000000-0005-0000-0000-0000825A0000}"/>
    <cellStyle name="Normal 2 2 26 6 26" xfId="23956" xr:uid="{00000000-0005-0000-0000-0000835A0000}"/>
    <cellStyle name="Normal 2 2 26 6 27" xfId="23957" xr:uid="{00000000-0005-0000-0000-0000845A0000}"/>
    <cellStyle name="Normal 2 2 26 6 28" xfId="23958" xr:uid="{00000000-0005-0000-0000-0000855A0000}"/>
    <cellStyle name="Normal 2 2 26 6 29" xfId="23959" xr:uid="{00000000-0005-0000-0000-0000865A0000}"/>
    <cellStyle name="Normal 2 2 26 6 3" xfId="23960" xr:uid="{00000000-0005-0000-0000-0000875A0000}"/>
    <cellStyle name="Normal 2 2 26 6 30" xfId="23961" xr:uid="{00000000-0005-0000-0000-0000885A0000}"/>
    <cellStyle name="Normal 2 2 26 6 31" xfId="23962" xr:uid="{00000000-0005-0000-0000-0000895A0000}"/>
    <cellStyle name="Normal 2 2 26 6 32" xfId="23963" xr:uid="{00000000-0005-0000-0000-00008A5A0000}"/>
    <cellStyle name="Normal 2 2 26 6 33" xfId="23964" xr:uid="{00000000-0005-0000-0000-00008B5A0000}"/>
    <cellStyle name="Normal 2 2 26 6 34" xfId="23965" xr:uid="{00000000-0005-0000-0000-00008C5A0000}"/>
    <cellStyle name="Normal 2 2 26 6 35" xfId="23966" xr:uid="{00000000-0005-0000-0000-00008D5A0000}"/>
    <cellStyle name="Normal 2 2 26 6 36" xfId="23967" xr:uid="{00000000-0005-0000-0000-00008E5A0000}"/>
    <cellStyle name="Normal 2 2 26 6 37" xfId="23968" xr:uid="{00000000-0005-0000-0000-00008F5A0000}"/>
    <cellStyle name="Normal 2 2 26 6 4" xfId="23969" xr:uid="{00000000-0005-0000-0000-0000905A0000}"/>
    <cellStyle name="Normal 2 2 26 6 5" xfId="23970" xr:uid="{00000000-0005-0000-0000-0000915A0000}"/>
    <cellStyle name="Normal 2 2 26 6 6" xfId="23971" xr:uid="{00000000-0005-0000-0000-0000925A0000}"/>
    <cellStyle name="Normal 2 2 26 6 7" xfId="23972" xr:uid="{00000000-0005-0000-0000-0000935A0000}"/>
    <cellStyle name="Normal 2 2 26 6 8" xfId="23973" xr:uid="{00000000-0005-0000-0000-0000945A0000}"/>
    <cellStyle name="Normal 2 2 26 6 9" xfId="23974" xr:uid="{00000000-0005-0000-0000-0000955A0000}"/>
    <cellStyle name="Normal 2 2 26 7" xfId="23975" xr:uid="{00000000-0005-0000-0000-0000965A0000}"/>
    <cellStyle name="Normal 2 2 26 7 10" xfId="23976" xr:uid="{00000000-0005-0000-0000-0000975A0000}"/>
    <cellStyle name="Normal 2 2 26 7 11" xfId="23977" xr:uid="{00000000-0005-0000-0000-0000985A0000}"/>
    <cellStyle name="Normal 2 2 26 7 12" xfId="23978" xr:uid="{00000000-0005-0000-0000-0000995A0000}"/>
    <cellStyle name="Normal 2 2 26 7 13" xfId="23979" xr:uid="{00000000-0005-0000-0000-00009A5A0000}"/>
    <cellStyle name="Normal 2 2 26 7 14" xfId="23980" xr:uid="{00000000-0005-0000-0000-00009B5A0000}"/>
    <cellStyle name="Normal 2 2 26 7 15" xfId="23981" xr:uid="{00000000-0005-0000-0000-00009C5A0000}"/>
    <cellStyle name="Normal 2 2 26 7 16" xfId="23982" xr:uid="{00000000-0005-0000-0000-00009D5A0000}"/>
    <cellStyle name="Normal 2 2 26 7 17" xfId="23983" xr:uid="{00000000-0005-0000-0000-00009E5A0000}"/>
    <cellStyle name="Normal 2 2 26 7 18" xfId="23984" xr:uid="{00000000-0005-0000-0000-00009F5A0000}"/>
    <cellStyle name="Normal 2 2 26 7 19" xfId="23985" xr:uid="{00000000-0005-0000-0000-0000A05A0000}"/>
    <cellStyle name="Normal 2 2 26 7 2" xfId="23986" xr:uid="{00000000-0005-0000-0000-0000A15A0000}"/>
    <cellStyle name="Normal 2 2 26 7 20" xfId="23987" xr:uid="{00000000-0005-0000-0000-0000A25A0000}"/>
    <cellStyle name="Normal 2 2 26 7 21" xfId="23988" xr:uid="{00000000-0005-0000-0000-0000A35A0000}"/>
    <cellStyle name="Normal 2 2 26 7 22" xfId="23989" xr:uid="{00000000-0005-0000-0000-0000A45A0000}"/>
    <cellStyle name="Normal 2 2 26 7 23" xfId="23990" xr:uid="{00000000-0005-0000-0000-0000A55A0000}"/>
    <cellStyle name="Normal 2 2 26 7 24" xfId="23991" xr:uid="{00000000-0005-0000-0000-0000A65A0000}"/>
    <cellStyle name="Normal 2 2 26 7 25" xfId="23992" xr:uid="{00000000-0005-0000-0000-0000A75A0000}"/>
    <cellStyle name="Normal 2 2 26 7 26" xfId="23993" xr:uid="{00000000-0005-0000-0000-0000A85A0000}"/>
    <cellStyle name="Normal 2 2 26 7 27" xfId="23994" xr:uid="{00000000-0005-0000-0000-0000A95A0000}"/>
    <cellStyle name="Normal 2 2 26 7 28" xfId="23995" xr:uid="{00000000-0005-0000-0000-0000AA5A0000}"/>
    <cellStyle name="Normal 2 2 26 7 29" xfId="23996" xr:uid="{00000000-0005-0000-0000-0000AB5A0000}"/>
    <cellStyle name="Normal 2 2 26 7 3" xfId="23997" xr:uid="{00000000-0005-0000-0000-0000AC5A0000}"/>
    <cellStyle name="Normal 2 2 26 7 30" xfId="23998" xr:uid="{00000000-0005-0000-0000-0000AD5A0000}"/>
    <cellStyle name="Normal 2 2 26 7 31" xfId="23999" xr:uid="{00000000-0005-0000-0000-0000AE5A0000}"/>
    <cellStyle name="Normal 2 2 26 7 32" xfId="24000" xr:uid="{00000000-0005-0000-0000-0000AF5A0000}"/>
    <cellStyle name="Normal 2 2 26 7 33" xfId="24001" xr:uid="{00000000-0005-0000-0000-0000B05A0000}"/>
    <cellStyle name="Normal 2 2 26 7 34" xfId="24002" xr:uid="{00000000-0005-0000-0000-0000B15A0000}"/>
    <cellStyle name="Normal 2 2 26 7 35" xfId="24003" xr:uid="{00000000-0005-0000-0000-0000B25A0000}"/>
    <cellStyle name="Normal 2 2 26 7 36" xfId="24004" xr:uid="{00000000-0005-0000-0000-0000B35A0000}"/>
    <cellStyle name="Normal 2 2 26 7 37" xfId="24005" xr:uid="{00000000-0005-0000-0000-0000B45A0000}"/>
    <cellStyle name="Normal 2 2 26 7 4" xfId="24006" xr:uid="{00000000-0005-0000-0000-0000B55A0000}"/>
    <cellStyle name="Normal 2 2 26 7 5" xfId="24007" xr:uid="{00000000-0005-0000-0000-0000B65A0000}"/>
    <cellStyle name="Normal 2 2 26 7 6" xfId="24008" xr:uid="{00000000-0005-0000-0000-0000B75A0000}"/>
    <cellStyle name="Normal 2 2 26 7 7" xfId="24009" xr:uid="{00000000-0005-0000-0000-0000B85A0000}"/>
    <cellStyle name="Normal 2 2 26 7 8" xfId="24010" xr:uid="{00000000-0005-0000-0000-0000B95A0000}"/>
    <cellStyle name="Normal 2 2 26 7 9" xfId="24011" xr:uid="{00000000-0005-0000-0000-0000BA5A0000}"/>
    <cellStyle name="Normal 2 2 26 8" xfId="24012" xr:uid="{00000000-0005-0000-0000-0000BB5A0000}"/>
    <cellStyle name="Normal 2 2 26 8 10" xfId="24013" xr:uid="{00000000-0005-0000-0000-0000BC5A0000}"/>
    <cellStyle name="Normal 2 2 26 8 11" xfId="24014" xr:uid="{00000000-0005-0000-0000-0000BD5A0000}"/>
    <cellStyle name="Normal 2 2 26 8 12" xfId="24015" xr:uid="{00000000-0005-0000-0000-0000BE5A0000}"/>
    <cellStyle name="Normal 2 2 26 8 13" xfId="24016" xr:uid="{00000000-0005-0000-0000-0000BF5A0000}"/>
    <cellStyle name="Normal 2 2 26 8 14" xfId="24017" xr:uid="{00000000-0005-0000-0000-0000C05A0000}"/>
    <cellStyle name="Normal 2 2 26 8 15" xfId="24018" xr:uid="{00000000-0005-0000-0000-0000C15A0000}"/>
    <cellStyle name="Normal 2 2 26 8 16" xfId="24019" xr:uid="{00000000-0005-0000-0000-0000C25A0000}"/>
    <cellStyle name="Normal 2 2 26 8 17" xfId="24020" xr:uid="{00000000-0005-0000-0000-0000C35A0000}"/>
    <cellStyle name="Normal 2 2 26 8 18" xfId="24021" xr:uid="{00000000-0005-0000-0000-0000C45A0000}"/>
    <cellStyle name="Normal 2 2 26 8 19" xfId="24022" xr:uid="{00000000-0005-0000-0000-0000C55A0000}"/>
    <cellStyle name="Normal 2 2 26 8 2" xfId="24023" xr:uid="{00000000-0005-0000-0000-0000C65A0000}"/>
    <cellStyle name="Normal 2 2 26 8 20" xfId="24024" xr:uid="{00000000-0005-0000-0000-0000C75A0000}"/>
    <cellStyle name="Normal 2 2 26 8 21" xfId="24025" xr:uid="{00000000-0005-0000-0000-0000C85A0000}"/>
    <cellStyle name="Normal 2 2 26 8 22" xfId="24026" xr:uid="{00000000-0005-0000-0000-0000C95A0000}"/>
    <cellStyle name="Normal 2 2 26 8 23" xfId="24027" xr:uid="{00000000-0005-0000-0000-0000CA5A0000}"/>
    <cellStyle name="Normal 2 2 26 8 24" xfId="24028" xr:uid="{00000000-0005-0000-0000-0000CB5A0000}"/>
    <cellStyle name="Normal 2 2 26 8 25" xfId="24029" xr:uid="{00000000-0005-0000-0000-0000CC5A0000}"/>
    <cellStyle name="Normal 2 2 26 8 26" xfId="24030" xr:uid="{00000000-0005-0000-0000-0000CD5A0000}"/>
    <cellStyle name="Normal 2 2 26 8 27" xfId="24031" xr:uid="{00000000-0005-0000-0000-0000CE5A0000}"/>
    <cellStyle name="Normal 2 2 26 8 28" xfId="24032" xr:uid="{00000000-0005-0000-0000-0000CF5A0000}"/>
    <cellStyle name="Normal 2 2 26 8 29" xfId="24033" xr:uid="{00000000-0005-0000-0000-0000D05A0000}"/>
    <cellStyle name="Normal 2 2 26 8 3" xfId="24034" xr:uid="{00000000-0005-0000-0000-0000D15A0000}"/>
    <cellStyle name="Normal 2 2 26 8 30" xfId="24035" xr:uid="{00000000-0005-0000-0000-0000D25A0000}"/>
    <cellStyle name="Normal 2 2 26 8 31" xfId="24036" xr:uid="{00000000-0005-0000-0000-0000D35A0000}"/>
    <cellStyle name="Normal 2 2 26 8 32" xfId="24037" xr:uid="{00000000-0005-0000-0000-0000D45A0000}"/>
    <cellStyle name="Normal 2 2 26 8 33" xfId="24038" xr:uid="{00000000-0005-0000-0000-0000D55A0000}"/>
    <cellStyle name="Normal 2 2 26 8 34" xfId="24039" xr:uid="{00000000-0005-0000-0000-0000D65A0000}"/>
    <cellStyle name="Normal 2 2 26 8 35" xfId="24040" xr:uid="{00000000-0005-0000-0000-0000D75A0000}"/>
    <cellStyle name="Normal 2 2 26 8 36" xfId="24041" xr:uid="{00000000-0005-0000-0000-0000D85A0000}"/>
    <cellStyle name="Normal 2 2 26 8 37" xfId="24042" xr:uid="{00000000-0005-0000-0000-0000D95A0000}"/>
    <cellStyle name="Normal 2 2 26 8 4" xfId="24043" xr:uid="{00000000-0005-0000-0000-0000DA5A0000}"/>
    <cellStyle name="Normal 2 2 26 8 5" xfId="24044" xr:uid="{00000000-0005-0000-0000-0000DB5A0000}"/>
    <cellStyle name="Normal 2 2 26 8 6" xfId="24045" xr:uid="{00000000-0005-0000-0000-0000DC5A0000}"/>
    <cellStyle name="Normal 2 2 26 8 7" xfId="24046" xr:uid="{00000000-0005-0000-0000-0000DD5A0000}"/>
    <cellStyle name="Normal 2 2 26 8 8" xfId="24047" xr:uid="{00000000-0005-0000-0000-0000DE5A0000}"/>
    <cellStyle name="Normal 2 2 26 8 9" xfId="24048" xr:uid="{00000000-0005-0000-0000-0000DF5A0000}"/>
    <cellStyle name="Normal 2 2 26 9" xfId="24049" xr:uid="{00000000-0005-0000-0000-0000E05A0000}"/>
    <cellStyle name="Normal 2 2 26 9 10" xfId="24050" xr:uid="{00000000-0005-0000-0000-0000E15A0000}"/>
    <cellStyle name="Normal 2 2 26 9 11" xfId="24051" xr:uid="{00000000-0005-0000-0000-0000E25A0000}"/>
    <cellStyle name="Normal 2 2 26 9 12" xfId="24052" xr:uid="{00000000-0005-0000-0000-0000E35A0000}"/>
    <cellStyle name="Normal 2 2 26 9 13" xfId="24053" xr:uid="{00000000-0005-0000-0000-0000E45A0000}"/>
    <cellStyle name="Normal 2 2 26 9 14" xfId="24054" xr:uid="{00000000-0005-0000-0000-0000E55A0000}"/>
    <cellStyle name="Normal 2 2 26 9 15" xfId="24055" xr:uid="{00000000-0005-0000-0000-0000E65A0000}"/>
    <cellStyle name="Normal 2 2 26 9 16" xfId="24056" xr:uid="{00000000-0005-0000-0000-0000E75A0000}"/>
    <cellStyle name="Normal 2 2 26 9 17" xfId="24057" xr:uid="{00000000-0005-0000-0000-0000E85A0000}"/>
    <cellStyle name="Normal 2 2 26 9 18" xfId="24058" xr:uid="{00000000-0005-0000-0000-0000E95A0000}"/>
    <cellStyle name="Normal 2 2 26 9 19" xfId="24059" xr:uid="{00000000-0005-0000-0000-0000EA5A0000}"/>
    <cellStyle name="Normal 2 2 26 9 2" xfId="24060" xr:uid="{00000000-0005-0000-0000-0000EB5A0000}"/>
    <cellStyle name="Normal 2 2 26 9 20" xfId="24061" xr:uid="{00000000-0005-0000-0000-0000EC5A0000}"/>
    <cellStyle name="Normal 2 2 26 9 21" xfId="24062" xr:uid="{00000000-0005-0000-0000-0000ED5A0000}"/>
    <cellStyle name="Normal 2 2 26 9 22" xfId="24063" xr:uid="{00000000-0005-0000-0000-0000EE5A0000}"/>
    <cellStyle name="Normal 2 2 26 9 23" xfId="24064" xr:uid="{00000000-0005-0000-0000-0000EF5A0000}"/>
    <cellStyle name="Normal 2 2 26 9 24" xfId="24065" xr:uid="{00000000-0005-0000-0000-0000F05A0000}"/>
    <cellStyle name="Normal 2 2 26 9 25" xfId="24066" xr:uid="{00000000-0005-0000-0000-0000F15A0000}"/>
    <cellStyle name="Normal 2 2 26 9 26" xfId="24067" xr:uid="{00000000-0005-0000-0000-0000F25A0000}"/>
    <cellStyle name="Normal 2 2 26 9 27" xfId="24068" xr:uid="{00000000-0005-0000-0000-0000F35A0000}"/>
    <cellStyle name="Normal 2 2 26 9 28" xfId="24069" xr:uid="{00000000-0005-0000-0000-0000F45A0000}"/>
    <cellStyle name="Normal 2 2 26 9 29" xfId="24070" xr:uid="{00000000-0005-0000-0000-0000F55A0000}"/>
    <cellStyle name="Normal 2 2 26 9 3" xfId="24071" xr:uid="{00000000-0005-0000-0000-0000F65A0000}"/>
    <cellStyle name="Normal 2 2 26 9 30" xfId="24072" xr:uid="{00000000-0005-0000-0000-0000F75A0000}"/>
    <cellStyle name="Normal 2 2 26 9 31" xfId="24073" xr:uid="{00000000-0005-0000-0000-0000F85A0000}"/>
    <cellStyle name="Normal 2 2 26 9 32" xfId="24074" xr:uid="{00000000-0005-0000-0000-0000F95A0000}"/>
    <cellStyle name="Normal 2 2 26 9 33" xfId="24075" xr:uid="{00000000-0005-0000-0000-0000FA5A0000}"/>
    <cellStyle name="Normal 2 2 26 9 34" xfId="24076" xr:uid="{00000000-0005-0000-0000-0000FB5A0000}"/>
    <cellStyle name="Normal 2 2 26 9 35" xfId="24077" xr:uid="{00000000-0005-0000-0000-0000FC5A0000}"/>
    <cellStyle name="Normal 2 2 26 9 36" xfId="24078" xr:uid="{00000000-0005-0000-0000-0000FD5A0000}"/>
    <cellStyle name="Normal 2 2 26 9 37" xfId="24079" xr:uid="{00000000-0005-0000-0000-0000FE5A0000}"/>
    <cellStyle name="Normal 2 2 26 9 4" xfId="24080" xr:uid="{00000000-0005-0000-0000-0000FF5A0000}"/>
    <cellStyle name="Normal 2 2 26 9 5" xfId="24081" xr:uid="{00000000-0005-0000-0000-0000005B0000}"/>
    <cellStyle name="Normal 2 2 26 9 6" xfId="24082" xr:uid="{00000000-0005-0000-0000-0000015B0000}"/>
    <cellStyle name="Normal 2 2 26 9 7" xfId="24083" xr:uid="{00000000-0005-0000-0000-0000025B0000}"/>
    <cellStyle name="Normal 2 2 26 9 8" xfId="24084" xr:uid="{00000000-0005-0000-0000-0000035B0000}"/>
    <cellStyle name="Normal 2 2 26 9 9" xfId="24085" xr:uid="{00000000-0005-0000-0000-0000045B0000}"/>
    <cellStyle name="Normal 2 2 27" xfId="24086" xr:uid="{00000000-0005-0000-0000-0000055B0000}"/>
    <cellStyle name="Normal 2 2 27 10" xfId="24087" xr:uid="{00000000-0005-0000-0000-0000065B0000}"/>
    <cellStyle name="Normal 2 2 27 11" xfId="24088" xr:uid="{00000000-0005-0000-0000-0000075B0000}"/>
    <cellStyle name="Normal 2 2 27 12" xfId="24089" xr:uid="{00000000-0005-0000-0000-0000085B0000}"/>
    <cellStyle name="Normal 2 2 27 13" xfId="24090" xr:uid="{00000000-0005-0000-0000-0000095B0000}"/>
    <cellStyle name="Normal 2 2 27 14" xfId="24091" xr:uid="{00000000-0005-0000-0000-00000A5B0000}"/>
    <cellStyle name="Normal 2 2 27 15" xfId="24092" xr:uid="{00000000-0005-0000-0000-00000B5B0000}"/>
    <cellStyle name="Normal 2 2 27 16" xfId="24093" xr:uid="{00000000-0005-0000-0000-00000C5B0000}"/>
    <cellStyle name="Normal 2 2 27 17" xfId="24094" xr:uid="{00000000-0005-0000-0000-00000D5B0000}"/>
    <cellStyle name="Normal 2 2 27 18" xfId="24095" xr:uid="{00000000-0005-0000-0000-00000E5B0000}"/>
    <cellStyle name="Normal 2 2 27 19" xfId="24096" xr:uid="{00000000-0005-0000-0000-00000F5B0000}"/>
    <cellStyle name="Normal 2 2 27 2" xfId="24097" xr:uid="{00000000-0005-0000-0000-0000105B0000}"/>
    <cellStyle name="Normal 2 2 27 20" xfId="24098" xr:uid="{00000000-0005-0000-0000-0000115B0000}"/>
    <cellStyle name="Normal 2 2 27 21" xfId="24099" xr:uid="{00000000-0005-0000-0000-0000125B0000}"/>
    <cellStyle name="Normal 2 2 27 22" xfId="24100" xr:uid="{00000000-0005-0000-0000-0000135B0000}"/>
    <cellStyle name="Normal 2 2 27 23" xfId="24101" xr:uid="{00000000-0005-0000-0000-0000145B0000}"/>
    <cellStyle name="Normal 2 2 27 24" xfId="24102" xr:uid="{00000000-0005-0000-0000-0000155B0000}"/>
    <cellStyle name="Normal 2 2 27 25" xfId="24103" xr:uid="{00000000-0005-0000-0000-0000165B0000}"/>
    <cellStyle name="Normal 2 2 27 26" xfId="24104" xr:uid="{00000000-0005-0000-0000-0000175B0000}"/>
    <cellStyle name="Normal 2 2 27 27" xfId="24105" xr:uid="{00000000-0005-0000-0000-0000185B0000}"/>
    <cellStyle name="Normal 2 2 27 28" xfId="24106" xr:uid="{00000000-0005-0000-0000-0000195B0000}"/>
    <cellStyle name="Normal 2 2 27 29" xfId="24107" xr:uid="{00000000-0005-0000-0000-00001A5B0000}"/>
    <cellStyle name="Normal 2 2 27 3" xfId="24108" xr:uid="{00000000-0005-0000-0000-00001B5B0000}"/>
    <cellStyle name="Normal 2 2 27 30" xfId="24109" xr:uid="{00000000-0005-0000-0000-00001C5B0000}"/>
    <cellStyle name="Normal 2 2 27 31" xfId="24110" xr:uid="{00000000-0005-0000-0000-00001D5B0000}"/>
    <cellStyle name="Normal 2 2 27 32" xfId="24111" xr:uid="{00000000-0005-0000-0000-00001E5B0000}"/>
    <cellStyle name="Normal 2 2 27 33" xfId="24112" xr:uid="{00000000-0005-0000-0000-00001F5B0000}"/>
    <cellStyle name="Normal 2 2 27 34" xfId="24113" xr:uid="{00000000-0005-0000-0000-0000205B0000}"/>
    <cellStyle name="Normal 2 2 27 35" xfId="24114" xr:uid="{00000000-0005-0000-0000-0000215B0000}"/>
    <cellStyle name="Normal 2 2 27 36" xfId="24115" xr:uid="{00000000-0005-0000-0000-0000225B0000}"/>
    <cellStyle name="Normal 2 2 27 37" xfId="24116" xr:uid="{00000000-0005-0000-0000-0000235B0000}"/>
    <cellStyle name="Normal 2 2 27 38" xfId="24117" xr:uid="{00000000-0005-0000-0000-0000245B0000}"/>
    <cellStyle name="Normal 2 2 27 4" xfId="24118" xr:uid="{00000000-0005-0000-0000-0000255B0000}"/>
    <cellStyle name="Normal 2 2 27 5" xfId="24119" xr:uid="{00000000-0005-0000-0000-0000265B0000}"/>
    <cellStyle name="Normal 2 2 27 6" xfId="24120" xr:uid="{00000000-0005-0000-0000-0000275B0000}"/>
    <cellStyle name="Normal 2 2 27 7" xfId="24121" xr:uid="{00000000-0005-0000-0000-0000285B0000}"/>
    <cellStyle name="Normal 2 2 27 8" xfId="24122" xr:uid="{00000000-0005-0000-0000-0000295B0000}"/>
    <cellStyle name="Normal 2 2 27 9" xfId="24123" xr:uid="{00000000-0005-0000-0000-00002A5B0000}"/>
    <cellStyle name="Normal 2 2 28" xfId="24124" xr:uid="{00000000-0005-0000-0000-00002B5B0000}"/>
    <cellStyle name="Normal 2 2 28 10" xfId="24125" xr:uid="{00000000-0005-0000-0000-00002C5B0000}"/>
    <cellStyle name="Normal 2 2 28 11" xfId="24126" xr:uid="{00000000-0005-0000-0000-00002D5B0000}"/>
    <cellStyle name="Normal 2 2 28 12" xfId="24127" xr:uid="{00000000-0005-0000-0000-00002E5B0000}"/>
    <cellStyle name="Normal 2 2 28 13" xfId="24128" xr:uid="{00000000-0005-0000-0000-00002F5B0000}"/>
    <cellStyle name="Normal 2 2 28 14" xfId="24129" xr:uid="{00000000-0005-0000-0000-0000305B0000}"/>
    <cellStyle name="Normal 2 2 28 15" xfId="24130" xr:uid="{00000000-0005-0000-0000-0000315B0000}"/>
    <cellStyle name="Normal 2 2 28 16" xfId="24131" xr:uid="{00000000-0005-0000-0000-0000325B0000}"/>
    <cellStyle name="Normal 2 2 28 17" xfId="24132" xr:uid="{00000000-0005-0000-0000-0000335B0000}"/>
    <cellStyle name="Normal 2 2 28 18" xfId="24133" xr:uid="{00000000-0005-0000-0000-0000345B0000}"/>
    <cellStyle name="Normal 2 2 28 19" xfId="24134" xr:uid="{00000000-0005-0000-0000-0000355B0000}"/>
    <cellStyle name="Normal 2 2 28 2" xfId="24135" xr:uid="{00000000-0005-0000-0000-0000365B0000}"/>
    <cellStyle name="Normal 2 2 28 20" xfId="24136" xr:uid="{00000000-0005-0000-0000-0000375B0000}"/>
    <cellStyle name="Normal 2 2 28 21" xfId="24137" xr:uid="{00000000-0005-0000-0000-0000385B0000}"/>
    <cellStyle name="Normal 2 2 28 22" xfId="24138" xr:uid="{00000000-0005-0000-0000-0000395B0000}"/>
    <cellStyle name="Normal 2 2 28 23" xfId="24139" xr:uid="{00000000-0005-0000-0000-00003A5B0000}"/>
    <cellStyle name="Normal 2 2 28 24" xfId="24140" xr:uid="{00000000-0005-0000-0000-00003B5B0000}"/>
    <cellStyle name="Normal 2 2 28 25" xfId="24141" xr:uid="{00000000-0005-0000-0000-00003C5B0000}"/>
    <cellStyle name="Normal 2 2 28 26" xfId="24142" xr:uid="{00000000-0005-0000-0000-00003D5B0000}"/>
    <cellStyle name="Normal 2 2 28 27" xfId="24143" xr:uid="{00000000-0005-0000-0000-00003E5B0000}"/>
    <cellStyle name="Normal 2 2 28 28" xfId="24144" xr:uid="{00000000-0005-0000-0000-00003F5B0000}"/>
    <cellStyle name="Normal 2 2 28 29" xfId="24145" xr:uid="{00000000-0005-0000-0000-0000405B0000}"/>
    <cellStyle name="Normal 2 2 28 3" xfId="24146" xr:uid="{00000000-0005-0000-0000-0000415B0000}"/>
    <cellStyle name="Normal 2 2 28 30" xfId="24147" xr:uid="{00000000-0005-0000-0000-0000425B0000}"/>
    <cellStyle name="Normal 2 2 28 31" xfId="24148" xr:uid="{00000000-0005-0000-0000-0000435B0000}"/>
    <cellStyle name="Normal 2 2 28 32" xfId="24149" xr:uid="{00000000-0005-0000-0000-0000445B0000}"/>
    <cellStyle name="Normal 2 2 28 33" xfId="24150" xr:uid="{00000000-0005-0000-0000-0000455B0000}"/>
    <cellStyle name="Normal 2 2 28 34" xfId="24151" xr:uid="{00000000-0005-0000-0000-0000465B0000}"/>
    <cellStyle name="Normal 2 2 28 35" xfId="24152" xr:uid="{00000000-0005-0000-0000-0000475B0000}"/>
    <cellStyle name="Normal 2 2 28 36" xfId="24153" xr:uid="{00000000-0005-0000-0000-0000485B0000}"/>
    <cellStyle name="Normal 2 2 28 37" xfId="24154" xr:uid="{00000000-0005-0000-0000-0000495B0000}"/>
    <cellStyle name="Normal 2 2 28 38" xfId="24155" xr:uid="{00000000-0005-0000-0000-00004A5B0000}"/>
    <cellStyle name="Normal 2 2 28 4" xfId="24156" xr:uid="{00000000-0005-0000-0000-00004B5B0000}"/>
    <cellStyle name="Normal 2 2 28 5" xfId="24157" xr:uid="{00000000-0005-0000-0000-00004C5B0000}"/>
    <cellStyle name="Normal 2 2 28 6" xfId="24158" xr:uid="{00000000-0005-0000-0000-00004D5B0000}"/>
    <cellStyle name="Normal 2 2 28 7" xfId="24159" xr:uid="{00000000-0005-0000-0000-00004E5B0000}"/>
    <cellStyle name="Normal 2 2 28 8" xfId="24160" xr:uid="{00000000-0005-0000-0000-00004F5B0000}"/>
    <cellStyle name="Normal 2 2 28 9" xfId="24161" xr:uid="{00000000-0005-0000-0000-0000505B0000}"/>
    <cellStyle name="Normal 2 2 29" xfId="24162" xr:uid="{00000000-0005-0000-0000-0000515B0000}"/>
    <cellStyle name="Normal 2 2 29 2" xfId="24163" xr:uid="{00000000-0005-0000-0000-0000525B0000}"/>
    <cellStyle name="Normal 2 2 3" xfId="1054" xr:uid="{00000000-0005-0000-0000-0000535B0000}"/>
    <cellStyle name="Normal 2 2 3 10" xfId="24164" xr:uid="{00000000-0005-0000-0000-0000545B0000}"/>
    <cellStyle name="Normal 2 2 3 11" xfId="24165" xr:uid="{00000000-0005-0000-0000-0000555B0000}"/>
    <cellStyle name="Normal 2 2 3 12" xfId="24166" xr:uid="{00000000-0005-0000-0000-0000565B0000}"/>
    <cellStyle name="Normal 2 2 3 13" xfId="24167" xr:uid="{00000000-0005-0000-0000-0000575B0000}"/>
    <cellStyle name="Normal 2 2 3 14" xfId="24168" xr:uid="{00000000-0005-0000-0000-0000585B0000}"/>
    <cellStyle name="Normal 2 2 3 2" xfId="24169" xr:uid="{00000000-0005-0000-0000-0000595B0000}"/>
    <cellStyle name="Normal 2 2 3 2 2" xfId="24170" xr:uid="{00000000-0005-0000-0000-00005A5B0000}"/>
    <cellStyle name="Normal 2 2 3 2 3" xfId="24171" xr:uid="{00000000-0005-0000-0000-00005B5B0000}"/>
    <cellStyle name="Normal 2 2 3 2 4" xfId="24172" xr:uid="{00000000-0005-0000-0000-00005C5B0000}"/>
    <cellStyle name="Normal 2 2 3 2 5" xfId="24173" xr:uid="{00000000-0005-0000-0000-00005D5B0000}"/>
    <cellStyle name="Normal 2 2 3 2 6" xfId="24174" xr:uid="{00000000-0005-0000-0000-00005E5B0000}"/>
    <cellStyle name="Normal 2 2 3 3" xfId="24175" xr:uid="{00000000-0005-0000-0000-00005F5B0000}"/>
    <cellStyle name="Normal 2 2 3 3 2" xfId="24176" xr:uid="{00000000-0005-0000-0000-0000605B0000}"/>
    <cellStyle name="Normal 2 2 3 3 3" xfId="24177" xr:uid="{00000000-0005-0000-0000-0000615B0000}"/>
    <cellStyle name="Normal 2 2 3 3 4" xfId="24178" xr:uid="{00000000-0005-0000-0000-0000625B0000}"/>
    <cellStyle name="Normal 2 2 3 3 5" xfId="24179" xr:uid="{00000000-0005-0000-0000-0000635B0000}"/>
    <cellStyle name="Normal 2 2 3 3 6" xfId="24180" xr:uid="{00000000-0005-0000-0000-0000645B0000}"/>
    <cellStyle name="Normal 2 2 3 4" xfId="24181" xr:uid="{00000000-0005-0000-0000-0000655B0000}"/>
    <cellStyle name="Normal 2 2 3 4 2" xfId="24182" xr:uid="{00000000-0005-0000-0000-0000665B0000}"/>
    <cellStyle name="Normal 2 2 3 4 3" xfId="24183" xr:uid="{00000000-0005-0000-0000-0000675B0000}"/>
    <cellStyle name="Normal 2 2 3 4 4" xfId="24184" xr:uid="{00000000-0005-0000-0000-0000685B0000}"/>
    <cellStyle name="Normal 2 2 3 4 5" xfId="24185" xr:uid="{00000000-0005-0000-0000-0000695B0000}"/>
    <cellStyle name="Normal 2 2 3 4 6" xfId="24186" xr:uid="{00000000-0005-0000-0000-00006A5B0000}"/>
    <cellStyle name="Normal 2 2 3 5" xfId="24187" xr:uid="{00000000-0005-0000-0000-00006B5B0000}"/>
    <cellStyle name="Normal 2 2 3 5 2" xfId="24188" xr:uid="{00000000-0005-0000-0000-00006C5B0000}"/>
    <cellStyle name="Normal 2 2 3 5 3" xfId="24189" xr:uid="{00000000-0005-0000-0000-00006D5B0000}"/>
    <cellStyle name="Normal 2 2 3 5 4" xfId="24190" xr:uid="{00000000-0005-0000-0000-00006E5B0000}"/>
    <cellStyle name="Normal 2 2 3 5 5" xfId="24191" xr:uid="{00000000-0005-0000-0000-00006F5B0000}"/>
    <cellStyle name="Normal 2 2 3 5 6" xfId="24192" xr:uid="{00000000-0005-0000-0000-0000705B0000}"/>
    <cellStyle name="Normal 2 2 3 6" xfId="24193" xr:uid="{00000000-0005-0000-0000-0000715B0000}"/>
    <cellStyle name="Normal 2 2 3 6 2" xfId="24194" xr:uid="{00000000-0005-0000-0000-0000725B0000}"/>
    <cellStyle name="Normal 2 2 3 6 3" xfId="24195" xr:uid="{00000000-0005-0000-0000-0000735B0000}"/>
    <cellStyle name="Normal 2 2 3 6 4" xfId="24196" xr:uid="{00000000-0005-0000-0000-0000745B0000}"/>
    <cellStyle name="Normal 2 2 3 6 5" xfId="24197" xr:uid="{00000000-0005-0000-0000-0000755B0000}"/>
    <cellStyle name="Normal 2 2 3 6 6" xfId="24198" xr:uid="{00000000-0005-0000-0000-0000765B0000}"/>
    <cellStyle name="Normal 2 2 3 7" xfId="24199" xr:uid="{00000000-0005-0000-0000-0000775B0000}"/>
    <cellStyle name="Normal 2 2 3 7 2" xfId="24200" xr:uid="{00000000-0005-0000-0000-0000785B0000}"/>
    <cellStyle name="Normal 2 2 3 7 3" xfId="24201" xr:uid="{00000000-0005-0000-0000-0000795B0000}"/>
    <cellStyle name="Normal 2 2 3 7 4" xfId="24202" xr:uid="{00000000-0005-0000-0000-00007A5B0000}"/>
    <cellStyle name="Normal 2 2 3 7 5" xfId="24203" xr:uid="{00000000-0005-0000-0000-00007B5B0000}"/>
    <cellStyle name="Normal 2 2 3 7 6" xfId="24204" xr:uid="{00000000-0005-0000-0000-00007C5B0000}"/>
    <cellStyle name="Normal 2 2 3 8" xfId="24205" xr:uid="{00000000-0005-0000-0000-00007D5B0000}"/>
    <cellStyle name="Normal 2 2 3 8 2" xfId="24206" xr:uid="{00000000-0005-0000-0000-00007E5B0000}"/>
    <cellStyle name="Normal 2 2 3 8 3" xfId="24207" xr:uid="{00000000-0005-0000-0000-00007F5B0000}"/>
    <cellStyle name="Normal 2 2 3 8 4" xfId="24208" xr:uid="{00000000-0005-0000-0000-0000805B0000}"/>
    <cellStyle name="Normal 2 2 3 8 5" xfId="24209" xr:uid="{00000000-0005-0000-0000-0000815B0000}"/>
    <cellStyle name="Normal 2 2 3 8 6" xfId="24210" xr:uid="{00000000-0005-0000-0000-0000825B0000}"/>
    <cellStyle name="Normal 2 2 3 9" xfId="24211" xr:uid="{00000000-0005-0000-0000-0000835B0000}"/>
    <cellStyle name="Normal 2 2 30" xfId="24212" xr:uid="{00000000-0005-0000-0000-0000845B0000}"/>
    <cellStyle name="Normal 2 2 30 2" xfId="24213" xr:uid="{00000000-0005-0000-0000-0000855B0000}"/>
    <cellStyle name="Normal 2 2 31" xfId="24214" xr:uid="{00000000-0005-0000-0000-0000865B0000}"/>
    <cellStyle name="Normal 2 2 31 2" xfId="24215" xr:uid="{00000000-0005-0000-0000-0000875B0000}"/>
    <cellStyle name="Normal 2 2 32" xfId="24216" xr:uid="{00000000-0005-0000-0000-0000885B0000}"/>
    <cellStyle name="Normal 2 2 32 2" xfId="24217" xr:uid="{00000000-0005-0000-0000-0000895B0000}"/>
    <cellStyle name="Normal 2 2 33" xfId="24218" xr:uid="{00000000-0005-0000-0000-00008A5B0000}"/>
    <cellStyle name="Normal 2 2 33 2" xfId="24219" xr:uid="{00000000-0005-0000-0000-00008B5B0000}"/>
    <cellStyle name="Normal 2 2 34" xfId="24220" xr:uid="{00000000-0005-0000-0000-00008C5B0000}"/>
    <cellStyle name="Normal 2 2 34 2" xfId="24221" xr:uid="{00000000-0005-0000-0000-00008D5B0000}"/>
    <cellStyle name="Normal 2 2 35" xfId="24222" xr:uid="{00000000-0005-0000-0000-00008E5B0000}"/>
    <cellStyle name="Normal 2 2 35 2" xfId="24223" xr:uid="{00000000-0005-0000-0000-00008F5B0000}"/>
    <cellStyle name="Normal 2 2 36" xfId="24224" xr:uid="{00000000-0005-0000-0000-0000905B0000}"/>
    <cellStyle name="Normal 2 2 36 2" xfId="24225" xr:uid="{00000000-0005-0000-0000-0000915B0000}"/>
    <cellStyle name="Normal 2 2 37" xfId="24226" xr:uid="{00000000-0005-0000-0000-0000925B0000}"/>
    <cellStyle name="Normal 2 2 37 10" xfId="24227" xr:uid="{00000000-0005-0000-0000-0000935B0000}"/>
    <cellStyle name="Normal 2 2 37 11" xfId="24228" xr:uid="{00000000-0005-0000-0000-0000945B0000}"/>
    <cellStyle name="Normal 2 2 37 12" xfId="24229" xr:uid="{00000000-0005-0000-0000-0000955B0000}"/>
    <cellStyle name="Normal 2 2 37 13" xfId="24230" xr:uid="{00000000-0005-0000-0000-0000965B0000}"/>
    <cellStyle name="Normal 2 2 37 14" xfId="24231" xr:uid="{00000000-0005-0000-0000-0000975B0000}"/>
    <cellStyle name="Normal 2 2 37 2" xfId="24232" xr:uid="{00000000-0005-0000-0000-0000985B0000}"/>
    <cellStyle name="Normal 2 2 37 2 2" xfId="24233" xr:uid="{00000000-0005-0000-0000-0000995B0000}"/>
    <cellStyle name="Normal 2 2 37 2 3" xfId="24234" xr:uid="{00000000-0005-0000-0000-00009A5B0000}"/>
    <cellStyle name="Normal 2 2 37 2 4" xfId="24235" xr:uid="{00000000-0005-0000-0000-00009B5B0000}"/>
    <cellStyle name="Normal 2 2 37 2 5" xfId="24236" xr:uid="{00000000-0005-0000-0000-00009C5B0000}"/>
    <cellStyle name="Normal 2 2 37 2 6" xfId="24237" xr:uid="{00000000-0005-0000-0000-00009D5B0000}"/>
    <cellStyle name="Normal 2 2 37 3" xfId="24238" xr:uid="{00000000-0005-0000-0000-00009E5B0000}"/>
    <cellStyle name="Normal 2 2 37 3 2" xfId="24239" xr:uid="{00000000-0005-0000-0000-00009F5B0000}"/>
    <cellStyle name="Normal 2 2 37 3 3" xfId="24240" xr:uid="{00000000-0005-0000-0000-0000A05B0000}"/>
    <cellStyle name="Normal 2 2 37 3 4" xfId="24241" xr:uid="{00000000-0005-0000-0000-0000A15B0000}"/>
    <cellStyle name="Normal 2 2 37 3 5" xfId="24242" xr:uid="{00000000-0005-0000-0000-0000A25B0000}"/>
    <cellStyle name="Normal 2 2 37 3 6" xfId="24243" xr:uid="{00000000-0005-0000-0000-0000A35B0000}"/>
    <cellStyle name="Normal 2 2 37 4" xfId="24244" xr:uid="{00000000-0005-0000-0000-0000A45B0000}"/>
    <cellStyle name="Normal 2 2 37 4 2" xfId="24245" xr:uid="{00000000-0005-0000-0000-0000A55B0000}"/>
    <cellStyle name="Normal 2 2 37 4 3" xfId="24246" xr:uid="{00000000-0005-0000-0000-0000A65B0000}"/>
    <cellStyle name="Normal 2 2 37 4 4" xfId="24247" xr:uid="{00000000-0005-0000-0000-0000A75B0000}"/>
    <cellStyle name="Normal 2 2 37 4 5" xfId="24248" xr:uid="{00000000-0005-0000-0000-0000A85B0000}"/>
    <cellStyle name="Normal 2 2 37 4 6" xfId="24249" xr:uid="{00000000-0005-0000-0000-0000A95B0000}"/>
    <cellStyle name="Normal 2 2 37 5" xfId="24250" xr:uid="{00000000-0005-0000-0000-0000AA5B0000}"/>
    <cellStyle name="Normal 2 2 37 5 2" xfId="24251" xr:uid="{00000000-0005-0000-0000-0000AB5B0000}"/>
    <cellStyle name="Normal 2 2 37 5 3" xfId="24252" xr:uid="{00000000-0005-0000-0000-0000AC5B0000}"/>
    <cellStyle name="Normal 2 2 37 5 4" xfId="24253" xr:uid="{00000000-0005-0000-0000-0000AD5B0000}"/>
    <cellStyle name="Normal 2 2 37 5 5" xfId="24254" xr:uid="{00000000-0005-0000-0000-0000AE5B0000}"/>
    <cellStyle name="Normal 2 2 37 5 6" xfId="24255" xr:uid="{00000000-0005-0000-0000-0000AF5B0000}"/>
    <cellStyle name="Normal 2 2 37 6" xfId="24256" xr:uid="{00000000-0005-0000-0000-0000B05B0000}"/>
    <cellStyle name="Normal 2 2 37 6 2" xfId="24257" xr:uid="{00000000-0005-0000-0000-0000B15B0000}"/>
    <cellStyle name="Normal 2 2 37 6 3" xfId="24258" xr:uid="{00000000-0005-0000-0000-0000B25B0000}"/>
    <cellStyle name="Normal 2 2 37 6 4" xfId="24259" xr:uid="{00000000-0005-0000-0000-0000B35B0000}"/>
    <cellStyle name="Normal 2 2 37 6 5" xfId="24260" xr:uid="{00000000-0005-0000-0000-0000B45B0000}"/>
    <cellStyle name="Normal 2 2 37 6 6" xfId="24261" xr:uid="{00000000-0005-0000-0000-0000B55B0000}"/>
    <cellStyle name="Normal 2 2 37 7" xfId="24262" xr:uid="{00000000-0005-0000-0000-0000B65B0000}"/>
    <cellStyle name="Normal 2 2 37 7 2" xfId="24263" xr:uid="{00000000-0005-0000-0000-0000B75B0000}"/>
    <cellStyle name="Normal 2 2 37 7 3" xfId="24264" xr:uid="{00000000-0005-0000-0000-0000B85B0000}"/>
    <cellStyle name="Normal 2 2 37 7 4" xfId="24265" xr:uid="{00000000-0005-0000-0000-0000B95B0000}"/>
    <cellStyle name="Normal 2 2 37 7 5" xfId="24266" xr:uid="{00000000-0005-0000-0000-0000BA5B0000}"/>
    <cellStyle name="Normal 2 2 37 7 6" xfId="24267" xr:uid="{00000000-0005-0000-0000-0000BB5B0000}"/>
    <cellStyle name="Normal 2 2 37 8" xfId="24268" xr:uid="{00000000-0005-0000-0000-0000BC5B0000}"/>
    <cellStyle name="Normal 2 2 37 8 2" xfId="24269" xr:uid="{00000000-0005-0000-0000-0000BD5B0000}"/>
    <cellStyle name="Normal 2 2 37 8 3" xfId="24270" xr:uid="{00000000-0005-0000-0000-0000BE5B0000}"/>
    <cellStyle name="Normal 2 2 37 8 4" xfId="24271" xr:uid="{00000000-0005-0000-0000-0000BF5B0000}"/>
    <cellStyle name="Normal 2 2 37 8 5" xfId="24272" xr:uid="{00000000-0005-0000-0000-0000C05B0000}"/>
    <cellStyle name="Normal 2 2 37 8 6" xfId="24273" xr:uid="{00000000-0005-0000-0000-0000C15B0000}"/>
    <cellStyle name="Normal 2 2 37 9" xfId="24274" xr:uid="{00000000-0005-0000-0000-0000C25B0000}"/>
    <cellStyle name="Normal 2 2 38" xfId="24275" xr:uid="{00000000-0005-0000-0000-0000C35B0000}"/>
    <cellStyle name="Normal 2 2 38 10" xfId="24276" xr:uid="{00000000-0005-0000-0000-0000C45B0000}"/>
    <cellStyle name="Normal 2 2 38 11" xfId="24277" xr:uid="{00000000-0005-0000-0000-0000C55B0000}"/>
    <cellStyle name="Normal 2 2 38 12" xfId="24278" xr:uid="{00000000-0005-0000-0000-0000C65B0000}"/>
    <cellStyle name="Normal 2 2 38 13" xfId="24279" xr:uid="{00000000-0005-0000-0000-0000C75B0000}"/>
    <cellStyle name="Normal 2 2 38 14" xfId="24280" xr:uid="{00000000-0005-0000-0000-0000C85B0000}"/>
    <cellStyle name="Normal 2 2 38 2" xfId="24281" xr:uid="{00000000-0005-0000-0000-0000C95B0000}"/>
    <cellStyle name="Normal 2 2 38 2 2" xfId="24282" xr:uid="{00000000-0005-0000-0000-0000CA5B0000}"/>
    <cellStyle name="Normal 2 2 38 2 3" xfId="24283" xr:uid="{00000000-0005-0000-0000-0000CB5B0000}"/>
    <cellStyle name="Normal 2 2 38 2 4" xfId="24284" xr:uid="{00000000-0005-0000-0000-0000CC5B0000}"/>
    <cellStyle name="Normal 2 2 38 2 5" xfId="24285" xr:uid="{00000000-0005-0000-0000-0000CD5B0000}"/>
    <cellStyle name="Normal 2 2 38 2 6" xfId="24286" xr:uid="{00000000-0005-0000-0000-0000CE5B0000}"/>
    <cellStyle name="Normal 2 2 38 3" xfId="24287" xr:uid="{00000000-0005-0000-0000-0000CF5B0000}"/>
    <cellStyle name="Normal 2 2 38 3 2" xfId="24288" xr:uid="{00000000-0005-0000-0000-0000D05B0000}"/>
    <cellStyle name="Normal 2 2 38 3 3" xfId="24289" xr:uid="{00000000-0005-0000-0000-0000D15B0000}"/>
    <cellStyle name="Normal 2 2 38 3 4" xfId="24290" xr:uid="{00000000-0005-0000-0000-0000D25B0000}"/>
    <cellStyle name="Normal 2 2 38 3 5" xfId="24291" xr:uid="{00000000-0005-0000-0000-0000D35B0000}"/>
    <cellStyle name="Normal 2 2 38 3 6" xfId="24292" xr:uid="{00000000-0005-0000-0000-0000D45B0000}"/>
    <cellStyle name="Normal 2 2 38 4" xfId="24293" xr:uid="{00000000-0005-0000-0000-0000D55B0000}"/>
    <cellStyle name="Normal 2 2 38 4 2" xfId="24294" xr:uid="{00000000-0005-0000-0000-0000D65B0000}"/>
    <cellStyle name="Normal 2 2 38 4 3" xfId="24295" xr:uid="{00000000-0005-0000-0000-0000D75B0000}"/>
    <cellStyle name="Normal 2 2 38 4 4" xfId="24296" xr:uid="{00000000-0005-0000-0000-0000D85B0000}"/>
    <cellStyle name="Normal 2 2 38 4 5" xfId="24297" xr:uid="{00000000-0005-0000-0000-0000D95B0000}"/>
    <cellStyle name="Normal 2 2 38 4 6" xfId="24298" xr:uid="{00000000-0005-0000-0000-0000DA5B0000}"/>
    <cellStyle name="Normal 2 2 38 5" xfId="24299" xr:uid="{00000000-0005-0000-0000-0000DB5B0000}"/>
    <cellStyle name="Normal 2 2 38 5 2" xfId="24300" xr:uid="{00000000-0005-0000-0000-0000DC5B0000}"/>
    <cellStyle name="Normal 2 2 38 5 3" xfId="24301" xr:uid="{00000000-0005-0000-0000-0000DD5B0000}"/>
    <cellStyle name="Normal 2 2 38 5 4" xfId="24302" xr:uid="{00000000-0005-0000-0000-0000DE5B0000}"/>
    <cellStyle name="Normal 2 2 38 5 5" xfId="24303" xr:uid="{00000000-0005-0000-0000-0000DF5B0000}"/>
    <cellStyle name="Normal 2 2 38 5 6" xfId="24304" xr:uid="{00000000-0005-0000-0000-0000E05B0000}"/>
    <cellStyle name="Normal 2 2 38 6" xfId="24305" xr:uid="{00000000-0005-0000-0000-0000E15B0000}"/>
    <cellStyle name="Normal 2 2 38 6 2" xfId="24306" xr:uid="{00000000-0005-0000-0000-0000E25B0000}"/>
    <cellStyle name="Normal 2 2 38 6 3" xfId="24307" xr:uid="{00000000-0005-0000-0000-0000E35B0000}"/>
    <cellStyle name="Normal 2 2 38 6 4" xfId="24308" xr:uid="{00000000-0005-0000-0000-0000E45B0000}"/>
    <cellStyle name="Normal 2 2 38 6 5" xfId="24309" xr:uid="{00000000-0005-0000-0000-0000E55B0000}"/>
    <cellStyle name="Normal 2 2 38 6 6" xfId="24310" xr:uid="{00000000-0005-0000-0000-0000E65B0000}"/>
    <cellStyle name="Normal 2 2 38 7" xfId="24311" xr:uid="{00000000-0005-0000-0000-0000E75B0000}"/>
    <cellStyle name="Normal 2 2 38 7 2" xfId="24312" xr:uid="{00000000-0005-0000-0000-0000E85B0000}"/>
    <cellStyle name="Normal 2 2 38 7 3" xfId="24313" xr:uid="{00000000-0005-0000-0000-0000E95B0000}"/>
    <cellStyle name="Normal 2 2 38 7 4" xfId="24314" xr:uid="{00000000-0005-0000-0000-0000EA5B0000}"/>
    <cellStyle name="Normal 2 2 38 7 5" xfId="24315" xr:uid="{00000000-0005-0000-0000-0000EB5B0000}"/>
    <cellStyle name="Normal 2 2 38 7 6" xfId="24316" xr:uid="{00000000-0005-0000-0000-0000EC5B0000}"/>
    <cellStyle name="Normal 2 2 38 8" xfId="24317" xr:uid="{00000000-0005-0000-0000-0000ED5B0000}"/>
    <cellStyle name="Normal 2 2 38 8 2" xfId="24318" xr:uid="{00000000-0005-0000-0000-0000EE5B0000}"/>
    <cellStyle name="Normal 2 2 38 8 3" xfId="24319" xr:uid="{00000000-0005-0000-0000-0000EF5B0000}"/>
    <cellStyle name="Normal 2 2 38 8 4" xfId="24320" xr:uid="{00000000-0005-0000-0000-0000F05B0000}"/>
    <cellStyle name="Normal 2 2 38 8 5" xfId="24321" xr:uid="{00000000-0005-0000-0000-0000F15B0000}"/>
    <cellStyle name="Normal 2 2 38 8 6" xfId="24322" xr:uid="{00000000-0005-0000-0000-0000F25B0000}"/>
    <cellStyle name="Normal 2 2 38 9" xfId="24323" xr:uid="{00000000-0005-0000-0000-0000F35B0000}"/>
    <cellStyle name="Normal 2 2 39" xfId="24324" xr:uid="{00000000-0005-0000-0000-0000F45B0000}"/>
    <cellStyle name="Normal 2 2 39 10" xfId="24325" xr:uid="{00000000-0005-0000-0000-0000F55B0000}"/>
    <cellStyle name="Normal 2 2 39 11" xfId="24326" xr:uid="{00000000-0005-0000-0000-0000F65B0000}"/>
    <cellStyle name="Normal 2 2 39 12" xfId="24327" xr:uid="{00000000-0005-0000-0000-0000F75B0000}"/>
    <cellStyle name="Normal 2 2 39 13" xfId="24328" xr:uid="{00000000-0005-0000-0000-0000F85B0000}"/>
    <cellStyle name="Normal 2 2 39 14" xfId="24329" xr:uid="{00000000-0005-0000-0000-0000F95B0000}"/>
    <cellStyle name="Normal 2 2 39 2" xfId="24330" xr:uid="{00000000-0005-0000-0000-0000FA5B0000}"/>
    <cellStyle name="Normal 2 2 39 2 2" xfId="24331" xr:uid="{00000000-0005-0000-0000-0000FB5B0000}"/>
    <cellStyle name="Normal 2 2 39 2 3" xfId="24332" xr:uid="{00000000-0005-0000-0000-0000FC5B0000}"/>
    <cellStyle name="Normal 2 2 39 2 4" xfId="24333" xr:uid="{00000000-0005-0000-0000-0000FD5B0000}"/>
    <cellStyle name="Normal 2 2 39 2 5" xfId="24334" xr:uid="{00000000-0005-0000-0000-0000FE5B0000}"/>
    <cellStyle name="Normal 2 2 39 2 6" xfId="24335" xr:uid="{00000000-0005-0000-0000-0000FF5B0000}"/>
    <cellStyle name="Normal 2 2 39 3" xfId="24336" xr:uid="{00000000-0005-0000-0000-0000005C0000}"/>
    <cellStyle name="Normal 2 2 39 3 2" xfId="24337" xr:uid="{00000000-0005-0000-0000-0000015C0000}"/>
    <cellStyle name="Normal 2 2 39 3 3" xfId="24338" xr:uid="{00000000-0005-0000-0000-0000025C0000}"/>
    <cellStyle name="Normal 2 2 39 3 4" xfId="24339" xr:uid="{00000000-0005-0000-0000-0000035C0000}"/>
    <cellStyle name="Normal 2 2 39 3 5" xfId="24340" xr:uid="{00000000-0005-0000-0000-0000045C0000}"/>
    <cellStyle name="Normal 2 2 39 3 6" xfId="24341" xr:uid="{00000000-0005-0000-0000-0000055C0000}"/>
    <cellStyle name="Normal 2 2 39 4" xfId="24342" xr:uid="{00000000-0005-0000-0000-0000065C0000}"/>
    <cellStyle name="Normal 2 2 39 4 2" xfId="24343" xr:uid="{00000000-0005-0000-0000-0000075C0000}"/>
    <cellStyle name="Normal 2 2 39 4 3" xfId="24344" xr:uid="{00000000-0005-0000-0000-0000085C0000}"/>
    <cellStyle name="Normal 2 2 39 4 4" xfId="24345" xr:uid="{00000000-0005-0000-0000-0000095C0000}"/>
    <cellStyle name="Normal 2 2 39 4 5" xfId="24346" xr:uid="{00000000-0005-0000-0000-00000A5C0000}"/>
    <cellStyle name="Normal 2 2 39 4 6" xfId="24347" xr:uid="{00000000-0005-0000-0000-00000B5C0000}"/>
    <cellStyle name="Normal 2 2 39 5" xfId="24348" xr:uid="{00000000-0005-0000-0000-00000C5C0000}"/>
    <cellStyle name="Normal 2 2 39 5 2" xfId="24349" xr:uid="{00000000-0005-0000-0000-00000D5C0000}"/>
    <cellStyle name="Normal 2 2 39 5 3" xfId="24350" xr:uid="{00000000-0005-0000-0000-00000E5C0000}"/>
    <cellStyle name="Normal 2 2 39 5 4" xfId="24351" xr:uid="{00000000-0005-0000-0000-00000F5C0000}"/>
    <cellStyle name="Normal 2 2 39 5 5" xfId="24352" xr:uid="{00000000-0005-0000-0000-0000105C0000}"/>
    <cellStyle name="Normal 2 2 39 5 6" xfId="24353" xr:uid="{00000000-0005-0000-0000-0000115C0000}"/>
    <cellStyle name="Normal 2 2 39 6" xfId="24354" xr:uid="{00000000-0005-0000-0000-0000125C0000}"/>
    <cellStyle name="Normal 2 2 39 6 2" xfId="24355" xr:uid="{00000000-0005-0000-0000-0000135C0000}"/>
    <cellStyle name="Normal 2 2 39 6 3" xfId="24356" xr:uid="{00000000-0005-0000-0000-0000145C0000}"/>
    <cellStyle name="Normal 2 2 39 6 4" xfId="24357" xr:uid="{00000000-0005-0000-0000-0000155C0000}"/>
    <cellStyle name="Normal 2 2 39 6 5" xfId="24358" xr:uid="{00000000-0005-0000-0000-0000165C0000}"/>
    <cellStyle name="Normal 2 2 39 6 6" xfId="24359" xr:uid="{00000000-0005-0000-0000-0000175C0000}"/>
    <cellStyle name="Normal 2 2 39 7" xfId="24360" xr:uid="{00000000-0005-0000-0000-0000185C0000}"/>
    <cellStyle name="Normal 2 2 39 7 2" xfId="24361" xr:uid="{00000000-0005-0000-0000-0000195C0000}"/>
    <cellStyle name="Normal 2 2 39 7 3" xfId="24362" xr:uid="{00000000-0005-0000-0000-00001A5C0000}"/>
    <cellStyle name="Normal 2 2 39 7 4" xfId="24363" xr:uid="{00000000-0005-0000-0000-00001B5C0000}"/>
    <cellStyle name="Normal 2 2 39 7 5" xfId="24364" xr:uid="{00000000-0005-0000-0000-00001C5C0000}"/>
    <cellStyle name="Normal 2 2 39 7 6" xfId="24365" xr:uid="{00000000-0005-0000-0000-00001D5C0000}"/>
    <cellStyle name="Normal 2 2 39 8" xfId="24366" xr:uid="{00000000-0005-0000-0000-00001E5C0000}"/>
    <cellStyle name="Normal 2 2 39 8 2" xfId="24367" xr:uid="{00000000-0005-0000-0000-00001F5C0000}"/>
    <cellStyle name="Normal 2 2 39 8 3" xfId="24368" xr:uid="{00000000-0005-0000-0000-0000205C0000}"/>
    <cellStyle name="Normal 2 2 39 8 4" xfId="24369" xr:uid="{00000000-0005-0000-0000-0000215C0000}"/>
    <cellStyle name="Normal 2 2 39 8 5" xfId="24370" xr:uid="{00000000-0005-0000-0000-0000225C0000}"/>
    <cellStyle name="Normal 2 2 39 8 6" xfId="24371" xr:uid="{00000000-0005-0000-0000-0000235C0000}"/>
    <cellStyle name="Normal 2 2 39 9" xfId="24372" xr:uid="{00000000-0005-0000-0000-0000245C0000}"/>
    <cellStyle name="Normal 2 2 4" xfId="1055" xr:uid="{00000000-0005-0000-0000-0000255C0000}"/>
    <cellStyle name="Normal 2 2 4 10" xfId="24373" xr:uid="{00000000-0005-0000-0000-0000265C0000}"/>
    <cellStyle name="Normal 2 2 4 11" xfId="24374" xr:uid="{00000000-0005-0000-0000-0000275C0000}"/>
    <cellStyle name="Normal 2 2 4 12" xfId="24375" xr:uid="{00000000-0005-0000-0000-0000285C0000}"/>
    <cellStyle name="Normal 2 2 4 13" xfId="24376" xr:uid="{00000000-0005-0000-0000-0000295C0000}"/>
    <cellStyle name="Normal 2 2 4 14" xfId="24377" xr:uid="{00000000-0005-0000-0000-00002A5C0000}"/>
    <cellStyle name="Normal 2 2 4 2" xfId="24378" xr:uid="{00000000-0005-0000-0000-00002B5C0000}"/>
    <cellStyle name="Normal 2 2 4 2 2" xfId="24379" xr:uid="{00000000-0005-0000-0000-00002C5C0000}"/>
    <cellStyle name="Normal 2 2 4 2 3" xfId="24380" xr:uid="{00000000-0005-0000-0000-00002D5C0000}"/>
    <cellStyle name="Normal 2 2 4 2 4" xfId="24381" xr:uid="{00000000-0005-0000-0000-00002E5C0000}"/>
    <cellStyle name="Normal 2 2 4 2 5" xfId="24382" xr:uid="{00000000-0005-0000-0000-00002F5C0000}"/>
    <cellStyle name="Normal 2 2 4 2 6" xfId="24383" xr:uid="{00000000-0005-0000-0000-0000305C0000}"/>
    <cellStyle name="Normal 2 2 4 3" xfId="24384" xr:uid="{00000000-0005-0000-0000-0000315C0000}"/>
    <cellStyle name="Normal 2 2 4 3 2" xfId="24385" xr:uid="{00000000-0005-0000-0000-0000325C0000}"/>
    <cellStyle name="Normal 2 2 4 3 3" xfId="24386" xr:uid="{00000000-0005-0000-0000-0000335C0000}"/>
    <cellStyle name="Normal 2 2 4 3 4" xfId="24387" xr:uid="{00000000-0005-0000-0000-0000345C0000}"/>
    <cellStyle name="Normal 2 2 4 3 5" xfId="24388" xr:uid="{00000000-0005-0000-0000-0000355C0000}"/>
    <cellStyle name="Normal 2 2 4 3 6" xfId="24389" xr:uid="{00000000-0005-0000-0000-0000365C0000}"/>
    <cellStyle name="Normal 2 2 4 4" xfId="24390" xr:uid="{00000000-0005-0000-0000-0000375C0000}"/>
    <cellStyle name="Normal 2 2 4 4 2" xfId="24391" xr:uid="{00000000-0005-0000-0000-0000385C0000}"/>
    <cellStyle name="Normal 2 2 4 4 3" xfId="24392" xr:uid="{00000000-0005-0000-0000-0000395C0000}"/>
    <cellStyle name="Normal 2 2 4 4 4" xfId="24393" xr:uid="{00000000-0005-0000-0000-00003A5C0000}"/>
    <cellStyle name="Normal 2 2 4 4 5" xfId="24394" xr:uid="{00000000-0005-0000-0000-00003B5C0000}"/>
    <cellStyle name="Normal 2 2 4 4 6" xfId="24395" xr:uid="{00000000-0005-0000-0000-00003C5C0000}"/>
    <cellStyle name="Normal 2 2 4 5" xfId="24396" xr:uid="{00000000-0005-0000-0000-00003D5C0000}"/>
    <cellStyle name="Normal 2 2 4 5 2" xfId="24397" xr:uid="{00000000-0005-0000-0000-00003E5C0000}"/>
    <cellStyle name="Normal 2 2 4 5 3" xfId="24398" xr:uid="{00000000-0005-0000-0000-00003F5C0000}"/>
    <cellStyle name="Normal 2 2 4 5 4" xfId="24399" xr:uid="{00000000-0005-0000-0000-0000405C0000}"/>
    <cellStyle name="Normal 2 2 4 5 5" xfId="24400" xr:uid="{00000000-0005-0000-0000-0000415C0000}"/>
    <cellStyle name="Normal 2 2 4 5 6" xfId="24401" xr:uid="{00000000-0005-0000-0000-0000425C0000}"/>
    <cellStyle name="Normal 2 2 4 6" xfId="24402" xr:uid="{00000000-0005-0000-0000-0000435C0000}"/>
    <cellStyle name="Normal 2 2 4 6 2" xfId="24403" xr:uid="{00000000-0005-0000-0000-0000445C0000}"/>
    <cellStyle name="Normal 2 2 4 6 3" xfId="24404" xr:uid="{00000000-0005-0000-0000-0000455C0000}"/>
    <cellStyle name="Normal 2 2 4 6 4" xfId="24405" xr:uid="{00000000-0005-0000-0000-0000465C0000}"/>
    <cellStyle name="Normal 2 2 4 6 5" xfId="24406" xr:uid="{00000000-0005-0000-0000-0000475C0000}"/>
    <cellStyle name="Normal 2 2 4 6 6" xfId="24407" xr:uid="{00000000-0005-0000-0000-0000485C0000}"/>
    <cellStyle name="Normal 2 2 4 7" xfId="24408" xr:uid="{00000000-0005-0000-0000-0000495C0000}"/>
    <cellStyle name="Normal 2 2 4 7 2" xfId="24409" xr:uid="{00000000-0005-0000-0000-00004A5C0000}"/>
    <cellStyle name="Normal 2 2 4 7 3" xfId="24410" xr:uid="{00000000-0005-0000-0000-00004B5C0000}"/>
    <cellStyle name="Normal 2 2 4 7 4" xfId="24411" xr:uid="{00000000-0005-0000-0000-00004C5C0000}"/>
    <cellStyle name="Normal 2 2 4 7 5" xfId="24412" xr:uid="{00000000-0005-0000-0000-00004D5C0000}"/>
    <cellStyle name="Normal 2 2 4 7 6" xfId="24413" xr:uid="{00000000-0005-0000-0000-00004E5C0000}"/>
    <cellStyle name="Normal 2 2 4 8" xfId="24414" xr:uid="{00000000-0005-0000-0000-00004F5C0000}"/>
    <cellStyle name="Normal 2 2 4 8 2" xfId="24415" xr:uid="{00000000-0005-0000-0000-0000505C0000}"/>
    <cellStyle name="Normal 2 2 4 8 3" xfId="24416" xr:uid="{00000000-0005-0000-0000-0000515C0000}"/>
    <cellStyle name="Normal 2 2 4 8 4" xfId="24417" xr:uid="{00000000-0005-0000-0000-0000525C0000}"/>
    <cellStyle name="Normal 2 2 4 8 5" xfId="24418" xr:uid="{00000000-0005-0000-0000-0000535C0000}"/>
    <cellStyle name="Normal 2 2 4 8 6" xfId="24419" xr:uid="{00000000-0005-0000-0000-0000545C0000}"/>
    <cellStyle name="Normal 2 2 4 9" xfId="24420" xr:uid="{00000000-0005-0000-0000-0000555C0000}"/>
    <cellStyle name="Normal 2 2 40" xfId="24421" xr:uid="{00000000-0005-0000-0000-0000565C0000}"/>
    <cellStyle name="Normal 2 2 40 10" xfId="24422" xr:uid="{00000000-0005-0000-0000-0000575C0000}"/>
    <cellStyle name="Normal 2 2 40 11" xfId="24423" xr:uid="{00000000-0005-0000-0000-0000585C0000}"/>
    <cellStyle name="Normal 2 2 40 12" xfId="24424" xr:uid="{00000000-0005-0000-0000-0000595C0000}"/>
    <cellStyle name="Normal 2 2 40 13" xfId="24425" xr:uid="{00000000-0005-0000-0000-00005A5C0000}"/>
    <cellStyle name="Normal 2 2 40 14" xfId="24426" xr:uid="{00000000-0005-0000-0000-00005B5C0000}"/>
    <cellStyle name="Normal 2 2 40 2" xfId="24427" xr:uid="{00000000-0005-0000-0000-00005C5C0000}"/>
    <cellStyle name="Normal 2 2 40 2 2" xfId="24428" xr:uid="{00000000-0005-0000-0000-00005D5C0000}"/>
    <cellStyle name="Normal 2 2 40 2 3" xfId="24429" xr:uid="{00000000-0005-0000-0000-00005E5C0000}"/>
    <cellStyle name="Normal 2 2 40 2 4" xfId="24430" xr:uid="{00000000-0005-0000-0000-00005F5C0000}"/>
    <cellStyle name="Normal 2 2 40 2 5" xfId="24431" xr:uid="{00000000-0005-0000-0000-0000605C0000}"/>
    <cellStyle name="Normal 2 2 40 2 6" xfId="24432" xr:uid="{00000000-0005-0000-0000-0000615C0000}"/>
    <cellStyle name="Normal 2 2 40 3" xfId="24433" xr:uid="{00000000-0005-0000-0000-0000625C0000}"/>
    <cellStyle name="Normal 2 2 40 3 2" xfId="24434" xr:uid="{00000000-0005-0000-0000-0000635C0000}"/>
    <cellStyle name="Normal 2 2 40 3 3" xfId="24435" xr:uid="{00000000-0005-0000-0000-0000645C0000}"/>
    <cellStyle name="Normal 2 2 40 3 4" xfId="24436" xr:uid="{00000000-0005-0000-0000-0000655C0000}"/>
    <cellStyle name="Normal 2 2 40 3 5" xfId="24437" xr:uid="{00000000-0005-0000-0000-0000665C0000}"/>
    <cellStyle name="Normal 2 2 40 3 6" xfId="24438" xr:uid="{00000000-0005-0000-0000-0000675C0000}"/>
    <cellStyle name="Normal 2 2 40 4" xfId="24439" xr:uid="{00000000-0005-0000-0000-0000685C0000}"/>
    <cellStyle name="Normal 2 2 40 4 2" xfId="24440" xr:uid="{00000000-0005-0000-0000-0000695C0000}"/>
    <cellStyle name="Normal 2 2 40 4 3" xfId="24441" xr:uid="{00000000-0005-0000-0000-00006A5C0000}"/>
    <cellStyle name="Normal 2 2 40 4 4" xfId="24442" xr:uid="{00000000-0005-0000-0000-00006B5C0000}"/>
    <cellStyle name="Normal 2 2 40 4 5" xfId="24443" xr:uid="{00000000-0005-0000-0000-00006C5C0000}"/>
    <cellStyle name="Normal 2 2 40 4 6" xfId="24444" xr:uid="{00000000-0005-0000-0000-00006D5C0000}"/>
    <cellStyle name="Normal 2 2 40 5" xfId="24445" xr:uid="{00000000-0005-0000-0000-00006E5C0000}"/>
    <cellStyle name="Normal 2 2 40 5 2" xfId="24446" xr:uid="{00000000-0005-0000-0000-00006F5C0000}"/>
    <cellStyle name="Normal 2 2 40 5 3" xfId="24447" xr:uid="{00000000-0005-0000-0000-0000705C0000}"/>
    <cellStyle name="Normal 2 2 40 5 4" xfId="24448" xr:uid="{00000000-0005-0000-0000-0000715C0000}"/>
    <cellStyle name="Normal 2 2 40 5 5" xfId="24449" xr:uid="{00000000-0005-0000-0000-0000725C0000}"/>
    <cellStyle name="Normal 2 2 40 5 6" xfId="24450" xr:uid="{00000000-0005-0000-0000-0000735C0000}"/>
    <cellStyle name="Normal 2 2 40 6" xfId="24451" xr:uid="{00000000-0005-0000-0000-0000745C0000}"/>
    <cellStyle name="Normal 2 2 40 6 2" xfId="24452" xr:uid="{00000000-0005-0000-0000-0000755C0000}"/>
    <cellStyle name="Normal 2 2 40 6 3" xfId="24453" xr:uid="{00000000-0005-0000-0000-0000765C0000}"/>
    <cellStyle name="Normal 2 2 40 6 4" xfId="24454" xr:uid="{00000000-0005-0000-0000-0000775C0000}"/>
    <cellStyle name="Normal 2 2 40 6 5" xfId="24455" xr:uid="{00000000-0005-0000-0000-0000785C0000}"/>
    <cellStyle name="Normal 2 2 40 6 6" xfId="24456" xr:uid="{00000000-0005-0000-0000-0000795C0000}"/>
    <cellStyle name="Normal 2 2 40 7" xfId="24457" xr:uid="{00000000-0005-0000-0000-00007A5C0000}"/>
    <cellStyle name="Normal 2 2 40 7 2" xfId="24458" xr:uid="{00000000-0005-0000-0000-00007B5C0000}"/>
    <cellStyle name="Normal 2 2 40 7 3" xfId="24459" xr:uid="{00000000-0005-0000-0000-00007C5C0000}"/>
    <cellStyle name="Normal 2 2 40 7 4" xfId="24460" xr:uid="{00000000-0005-0000-0000-00007D5C0000}"/>
    <cellStyle name="Normal 2 2 40 7 5" xfId="24461" xr:uid="{00000000-0005-0000-0000-00007E5C0000}"/>
    <cellStyle name="Normal 2 2 40 7 6" xfId="24462" xr:uid="{00000000-0005-0000-0000-00007F5C0000}"/>
    <cellStyle name="Normal 2 2 40 8" xfId="24463" xr:uid="{00000000-0005-0000-0000-0000805C0000}"/>
    <cellStyle name="Normal 2 2 40 8 2" xfId="24464" xr:uid="{00000000-0005-0000-0000-0000815C0000}"/>
    <cellStyle name="Normal 2 2 40 8 3" xfId="24465" xr:uid="{00000000-0005-0000-0000-0000825C0000}"/>
    <cellStyle name="Normal 2 2 40 8 4" xfId="24466" xr:uid="{00000000-0005-0000-0000-0000835C0000}"/>
    <cellStyle name="Normal 2 2 40 8 5" xfId="24467" xr:uid="{00000000-0005-0000-0000-0000845C0000}"/>
    <cellStyle name="Normal 2 2 40 8 6" xfId="24468" xr:uid="{00000000-0005-0000-0000-0000855C0000}"/>
    <cellStyle name="Normal 2 2 40 9" xfId="24469" xr:uid="{00000000-0005-0000-0000-0000865C0000}"/>
    <cellStyle name="Normal 2 2 41" xfId="24470" xr:uid="{00000000-0005-0000-0000-0000875C0000}"/>
    <cellStyle name="Normal 2 2 41 10" xfId="24471" xr:uid="{00000000-0005-0000-0000-0000885C0000}"/>
    <cellStyle name="Normal 2 2 41 11" xfId="24472" xr:uid="{00000000-0005-0000-0000-0000895C0000}"/>
    <cellStyle name="Normal 2 2 41 12" xfId="24473" xr:uid="{00000000-0005-0000-0000-00008A5C0000}"/>
    <cellStyle name="Normal 2 2 41 13" xfId="24474" xr:uid="{00000000-0005-0000-0000-00008B5C0000}"/>
    <cellStyle name="Normal 2 2 41 14" xfId="24475" xr:uid="{00000000-0005-0000-0000-00008C5C0000}"/>
    <cellStyle name="Normal 2 2 41 2" xfId="24476" xr:uid="{00000000-0005-0000-0000-00008D5C0000}"/>
    <cellStyle name="Normal 2 2 41 2 2" xfId="24477" xr:uid="{00000000-0005-0000-0000-00008E5C0000}"/>
    <cellStyle name="Normal 2 2 41 2 3" xfId="24478" xr:uid="{00000000-0005-0000-0000-00008F5C0000}"/>
    <cellStyle name="Normal 2 2 41 2 4" xfId="24479" xr:uid="{00000000-0005-0000-0000-0000905C0000}"/>
    <cellStyle name="Normal 2 2 41 2 5" xfId="24480" xr:uid="{00000000-0005-0000-0000-0000915C0000}"/>
    <cellStyle name="Normal 2 2 41 2 6" xfId="24481" xr:uid="{00000000-0005-0000-0000-0000925C0000}"/>
    <cellStyle name="Normal 2 2 41 3" xfId="24482" xr:uid="{00000000-0005-0000-0000-0000935C0000}"/>
    <cellStyle name="Normal 2 2 41 3 2" xfId="24483" xr:uid="{00000000-0005-0000-0000-0000945C0000}"/>
    <cellStyle name="Normal 2 2 41 3 3" xfId="24484" xr:uid="{00000000-0005-0000-0000-0000955C0000}"/>
    <cellStyle name="Normal 2 2 41 3 4" xfId="24485" xr:uid="{00000000-0005-0000-0000-0000965C0000}"/>
    <cellStyle name="Normal 2 2 41 3 5" xfId="24486" xr:uid="{00000000-0005-0000-0000-0000975C0000}"/>
    <cellStyle name="Normal 2 2 41 3 6" xfId="24487" xr:uid="{00000000-0005-0000-0000-0000985C0000}"/>
    <cellStyle name="Normal 2 2 41 4" xfId="24488" xr:uid="{00000000-0005-0000-0000-0000995C0000}"/>
    <cellStyle name="Normal 2 2 41 4 2" xfId="24489" xr:uid="{00000000-0005-0000-0000-00009A5C0000}"/>
    <cellStyle name="Normal 2 2 41 4 3" xfId="24490" xr:uid="{00000000-0005-0000-0000-00009B5C0000}"/>
    <cellStyle name="Normal 2 2 41 4 4" xfId="24491" xr:uid="{00000000-0005-0000-0000-00009C5C0000}"/>
    <cellStyle name="Normal 2 2 41 4 5" xfId="24492" xr:uid="{00000000-0005-0000-0000-00009D5C0000}"/>
    <cellStyle name="Normal 2 2 41 4 6" xfId="24493" xr:uid="{00000000-0005-0000-0000-00009E5C0000}"/>
    <cellStyle name="Normal 2 2 41 5" xfId="24494" xr:uid="{00000000-0005-0000-0000-00009F5C0000}"/>
    <cellStyle name="Normal 2 2 41 5 2" xfId="24495" xr:uid="{00000000-0005-0000-0000-0000A05C0000}"/>
    <cellStyle name="Normal 2 2 41 5 3" xfId="24496" xr:uid="{00000000-0005-0000-0000-0000A15C0000}"/>
    <cellStyle name="Normal 2 2 41 5 4" xfId="24497" xr:uid="{00000000-0005-0000-0000-0000A25C0000}"/>
    <cellStyle name="Normal 2 2 41 5 5" xfId="24498" xr:uid="{00000000-0005-0000-0000-0000A35C0000}"/>
    <cellStyle name="Normal 2 2 41 5 6" xfId="24499" xr:uid="{00000000-0005-0000-0000-0000A45C0000}"/>
    <cellStyle name="Normal 2 2 41 6" xfId="24500" xr:uid="{00000000-0005-0000-0000-0000A55C0000}"/>
    <cellStyle name="Normal 2 2 41 6 2" xfId="24501" xr:uid="{00000000-0005-0000-0000-0000A65C0000}"/>
    <cellStyle name="Normal 2 2 41 6 3" xfId="24502" xr:uid="{00000000-0005-0000-0000-0000A75C0000}"/>
    <cellStyle name="Normal 2 2 41 6 4" xfId="24503" xr:uid="{00000000-0005-0000-0000-0000A85C0000}"/>
    <cellStyle name="Normal 2 2 41 6 5" xfId="24504" xr:uid="{00000000-0005-0000-0000-0000A95C0000}"/>
    <cellStyle name="Normal 2 2 41 6 6" xfId="24505" xr:uid="{00000000-0005-0000-0000-0000AA5C0000}"/>
    <cellStyle name="Normal 2 2 41 7" xfId="24506" xr:uid="{00000000-0005-0000-0000-0000AB5C0000}"/>
    <cellStyle name="Normal 2 2 41 7 2" xfId="24507" xr:uid="{00000000-0005-0000-0000-0000AC5C0000}"/>
    <cellStyle name="Normal 2 2 41 7 3" xfId="24508" xr:uid="{00000000-0005-0000-0000-0000AD5C0000}"/>
    <cellStyle name="Normal 2 2 41 7 4" xfId="24509" xr:uid="{00000000-0005-0000-0000-0000AE5C0000}"/>
    <cellStyle name="Normal 2 2 41 7 5" xfId="24510" xr:uid="{00000000-0005-0000-0000-0000AF5C0000}"/>
    <cellStyle name="Normal 2 2 41 7 6" xfId="24511" xr:uid="{00000000-0005-0000-0000-0000B05C0000}"/>
    <cellStyle name="Normal 2 2 41 8" xfId="24512" xr:uid="{00000000-0005-0000-0000-0000B15C0000}"/>
    <cellStyle name="Normal 2 2 41 8 2" xfId="24513" xr:uid="{00000000-0005-0000-0000-0000B25C0000}"/>
    <cellStyle name="Normal 2 2 41 8 3" xfId="24514" xr:uid="{00000000-0005-0000-0000-0000B35C0000}"/>
    <cellStyle name="Normal 2 2 41 8 4" xfId="24515" xr:uid="{00000000-0005-0000-0000-0000B45C0000}"/>
    <cellStyle name="Normal 2 2 41 8 5" xfId="24516" xr:uid="{00000000-0005-0000-0000-0000B55C0000}"/>
    <cellStyle name="Normal 2 2 41 8 6" xfId="24517" xr:uid="{00000000-0005-0000-0000-0000B65C0000}"/>
    <cellStyle name="Normal 2 2 41 9" xfId="24518" xr:uid="{00000000-0005-0000-0000-0000B75C0000}"/>
    <cellStyle name="Normal 2 2 42" xfId="24519" xr:uid="{00000000-0005-0000-0000-0000B85C0000}"/>
    <cellStyle name="Normal 2 2 42 10" xfId="24520" xr:uid="{00000000-0005-0000-0000-0000B95C0000}"/>
    <cellStyle name="Normal 2 2 42 11" xfId="24521" xr:uid="{00000000-0005-0000-0000-0000BA5C0000}"/>
    <cellStyle name="Normal 2 2 42 12" xfId="24522" xr:uid="{00000000-0005-0000-0000-0000BB5C0000}"/>
    <cellStyle name="Normal 2 2 42 13" xfId="24523" xr:uid="{00000000-0005-0000-0000-0000BC5C0000}"/>
    <cellStyle name="Normal 2 2 42 14" xfId="24524" xr:uid="{00000000-0005-0000-0000-0000BD5C0000}"/>
    <cellStyle name="Normal 2 2 42 2" xfId="24525" xr:uid="{00000000-0005-0000-0000-0000BE5C0000}"/>
    <cellStyle name="Normal 2 2 42 2 2" xfId="24526" xr:uid="{00000000-0005-0000-0000-0000BF5C0000}"/>
    <cellStyle name="Normal 2 2 42 2 3" xfId="24527" xr:uid="{00000000-0005-0000-0000-0000C05C0000}"/>
    <cellStyle name="Normal 2 2 42 2 4" xfId="24528" xr:uid="{00000000-0005-0000-0000-0000C15C0000}"/>
    <cellStyle name="Normal 2 2 42 2 5" xfId="24529" xr:uid="{00000000-0005-0000-0000-0000C25C0000}"/>
    <cellStyle name="Normal 2 2 42 2 6" xfId="24530" xr:uid="{00000000-0005-0000-0000-0000C35C0000}"/>
    <cellStyle name="Normal 2 2 42 3" xfId="24531" xr:uid="{00000000-0005-0000-0000-0000C45C0000}"/>
    <cellStyle name="Normal 2 2 42 3 2" xfId="24532" xr:uid="{00000000-0005-0000-0000-0000C55C0000}"/>
    <cellStyle name="Normal 2 2 42 3 3" xfId="24533" xr:uid="{00000000-0005-0000-0000-0000C65C0000}"/>
    <cellStyle name="Normal 2 2 42 3 4" xfId="24534" xr:uid="{00000000-0005-0000-0000-0000C75C0000}"/>
    <cellStyle name="Normal 2 2 42 3 5" xfId="24535" xr:uid="{00000000-0005-0000-0000-0000C85C0000}"/>
    <cellStyle name="Normal 2 2 42 3 6" xfId="24536" xr:uid="{00000000-0005-0000-0000-0000C95C0000}"/>
    <cellStyle name="Normal 2 2 42 4" xfId="24537" xr:uid="{00000000-0005-0000-0000-0000CA5C0000}"/>
    <cellStyle name="Normal 2 2 42 4 2" xfId="24538" xr:uid="{00000000-0005-0000-0000-0000CB5C0000}"/>
    <cellStyle name="Normal 2 2 42 4 3" xfId="24539" xr:uid="{00000000-0005-0000-0000-0000CC5C0000}"/>
    <cellStyle name="Normal 2 2 42 4 4" xfId="24540" xr:uid="{00000000-0005-0000-0000-0000CD5C0000}"/>
    <cellStyle name="Normal 2 2 42 4 5" xfId="24541" xr:uid="{00000000-0005-0000-0000-0000CE5C0000}"/>
    <cellStyle name="Normal 2 2 42 4 6" xfId="24542" xr:uid="{00000000-0005-0000-0000-0000CF5C0000}"/>
    <cellStyle name="Normal 2 2 42 5" xfId="24543" xr:uid="{00000000-0005-0000-0000-0000D05C0000}"/>
    <cellStyle name="Normal 2 2 42 5 2" xfId="24544" xr:uid="{00000000-0005-0000-0000-0000D15C0000}"/>
    <cellStyle name="Normal 2 2 42 5 3" xfId="24545" xr:uid="{00000000-0005-0000-0000-0000D25C0000}"/>
    <cellStyle name="Normal 2 2 42 5 4" xfId="24546" xr:uid="{00000000-0005-0000-0000-0000D35C0000}"/>
    <cellStyle name="Normal 2 2 42 5 5" xfId="24547" xr:uid="{00000000-0005-0000-0000-0000D45C0000}"/>
    <cellStyle name="Normal 2 2 42 5 6" xfId="24548" xr:uid="{00000000-0005-0000-0000-0000D55C0000}"/>
    <cellStyle name="Normal 2 2 42 6" xfId="24549" xr:uid="{00000000-0005-0000-0000-0000D65C0000}"/>
    <cellStyle name="Normal 2 2 42 6 2" xfId="24550" xr:uid="{00000000-0005-0000-0000-0000D75C0000}"/>
    <cellStyle name="Normal 2 2 42 6 3" xfId="24551" xr:uid="{00000000-0005-0000-0000-0000D85C0000}"/>
    <cellStyle name="Normal 2 2 42 6 4" xfId="24552" xr:uid="{00000000-0005-0000-0000-0000D95C0000}"/>
    <cellStyle name="Normal 2 2 42 6 5" xfId="24553" xr:uid="{00000000-0005-0000-0000-0000DA5C0000}"/>
    <cellStyle name="Normal 2 2 42 6 6" xfId="24554" xr:uid="{00000000-0005-0000-0000-0000DB5C0000}"/>
    <cellStyle name="Normal 2 2 42 7" xfId="24555" xr:uid="{00000000-0005-0000-0000-0000DC5C0000}"/>
    <cellStyle name="Normal 2 2 42 7 2" xfId="24556" xr:uid="{00000000-0005-0000-0000-0000DD5C0000}"/>
    <cellStyle name="Normal 2 2 42 7 3" xfId="24557" xr:uid="{00000000-0005-0000-0000-0000DE5C0000}"/>
    <cellStyle name="Normal 2 2 42 7 4" xfId="24558" xr:uid="{00000000-0005-0000-0000-0000DF5C0000}"/>
    <cellStyle name="Normal 2 2 42 7 5" xfId="24559" xr:uid="{00000000-0005-0000-0000-0000E05C0000}"/>
    <cellStyle name="Normal 2 2 42 7 6" xfId="24560" xr:uid="{00000000-0005-0000-0000-0000E15C0000}"/>
    <cellStyle name="Normal 2 2 42 8" xfId="24561" xr:uid="{00000000-0005-0000-0000-0000E25C0000}"/>
    <cellStyle name="Normal 2 2 42 8 2" xfId="24562" xr:uid="{00000000-0005-0000-0000-0000E35C0000}"/>
    <cellStyle name="Normal 2 2 42 8 3" xfId="24563" xr:uid="{00000000-0005-0000-0000-0000E45C0000}"/>
    <cellStyle name="Normal 2 2 42 8 4" xfId="24564" xr:uid="{00000000-0005-0000-0000-0000E55C0000}"/>
    <cellStyle name="Normal 2 2 42 8 5" xfId="24565" xr:uid="{00000000-0005-0000-0000-0000E65C0000}"/>
    <cellStyle name="Normal 2 2 42 8 6" xfId="24566" xr:uid="{00000000-0005-0000-0000-0000E75C0000}"/>
    <cellStyle name="Normal 2 2 42 9" xfId="24567" xr:uid="{00000000-0005-0000-0000-0000E85C0000}"/>
    <cellStyle name="Normal 2 2 43" xfId="24568" xr:uid="{00000000-0005-0000-0000-0000E95C0000}"/>
    <cellStyle name="Normal 2 2 43 10" xfId="24569" xr:uid="{00000000-0005-0000-0000-0000EA5C0000}"/>
    <cellStyle name="Normal 2 2 43 11" xfId="24570" xr:uid="{00000000-0005-0000-0000-0000EB5C0000}"/>
    <cellStyle name="Normal 2 2 43 12" xfId="24571" xr:uid="{00000000-0005-0000-0000-0000EC5C0000}"/>
    <cellStyle name="Normal 2 2 43 13" xfId="24572" xr:uid="{00000000-0005-0000-0000-0000ED5C0000}"/>
    <cellStyle name="Normal 2 2 43 14" xfId="24573" xr:uid="{00000000-0005-0000-0000-0000EE5C0000}"/>
    <cellStyle name="Normal 2 2 43 2" xfId="24574" xr:uid="{00000000-0005-0000-0000-0000EF5C0000}"/>
    <cellStyle name="Normal 2 2 43 2 2" xfId="24575" xr:uid="{00000000-0005-0000-0000-0000F05C0000}"/>
    <cellStyle name="Normal 2 2 43 2 3" xfId="24576" xr:uid="{00000000-0005-0000-0000-0000F15C0000}"/>
    <cellStyle name="Normal 2 2 43 2 4" xfId="24577" xr:uid="{00000000-0005-0000-0000-0000F25C0000}"/>
    <cellStyle name="Normal 2 2 43 2 5" xfId="24578" xr:uid="{00000000-0005-0000-0000-0000F35C0000}"/>
    <cellStyle name="Normal 2 2 43 2 6" xfId="24579" xr:uid="{00000000-0005-0000-0000-0000F45C0000}"/>
    <cellStyle name="Normal 2 2 43 3" xfId="24580" xr:uid="{00000000-0005-0000-0000-0000F55C0000}"/>
    <cellStyle name="Normal 2 2 43 3 2" xfId="24581" xr:uid="{00000000-0005-0000-0000-0000F65C0000}"/>
    <cellStyle name="Normal 2 2 43 3 3" xfId="24582" xr:uid="{00000000-0005-0000-0000-0000F75C0000}"/>
    <cellStyle name="Normal 2 2 43 3 4" xfId="24583" xr:uid="{00000000-0005-0000-0000-0000F85C0000}"/>
    <cellStyle name="Normal 2 2 43 3 5" xfId="24584" xr:uid="{00000000-0005-0000-0000-0000F95C0000}"/>
    <cellStyle name="Normal 2 2 43 3 6" xfId="24585" xr:uid="{00000000-0005-0000-0000-0000FA5C0000}"/>
    <cellStyle name="Normal 2 2 43 4" xfId="24586" xr:uid="{00000000-0005-0000-0000-0000FB5C0000}"/>
    <cellStyle name="Normal 2 2 43 4 2" xfId="24587" xr:uid="{00000000-0005-0000-0000-0000FC5C0000}"/>
    <cellStyle name="Normal 2 2 43 4 3" xfId="24588" xr:uid="{00000000-0005-0000-0000-0000FD5C0000}"/>
    <cellStyle name="Normal 2 2 43 4 4" xfId="24589" xr:uid="{00000000-0005-0000-0000-0000FE5C0000}"/>
    <cellStyle name="Normal 2 2 43 4 5" xfId="24590" xr:uid="{00000000-0005-0000-0000-0000FF5C0000}"/>
    <cellStyle name="Normal 2 2 43 4 6" xfId="24591" xr:uid="{00000000-0005-0000-0000-0000005D0000}"/>
    <cellStyle name="Normal 2 2 43 5" xfId="24592" xr:uid="{00000000-0005-0000-0000-0000015D0000}"/>
    <cellStyle name="Normal 2 2 43 5 2" xfId="24593" xr:uid="{00000000-0005-0000-0000-0000025D0000}"/>
    <cellStyle name="Normal 2 2 43 5 3" xfId="24594" xr:uid="{00000000-0005-0000-0000-0000035D0000}"/>
    <cellStyle name="Normal 2 2 43 5 4" xfId="24595" xr:uid="{00000000-0005-0000-0000-0000045D0000}"/>
    <cellStyle name="Normal 2 2 43 5 5" xfId="24596" xr:uid="{00000000-0005-0000-0000-0000055D0000}"/>
    <cellStyle name="Normal 2 2 43 5 6" xfId="24597" xr:uid="{00000000-0005-0000-0000-0000065D0000}"/>
    <cellStyle name="Normal 2 2 43 6" xfId="24598" xr:uid="{00000000-0005-0000-0000-0000075D0000}"/>
    <cellStyle name="Normal 2 2 43 6 2" xfId="24599" xr:uid="{00000000-0005-0000-0000-0000085D0000}"/>
    <cellStyle name="Normal 2 2 43 6 3" xfId="24600" xr:uid="{00000000-0005-0000-0000-0000095D0000}"/>
    <cellStyle name="Normal 2 2 43 6 4" xfId="24601" xr:uid="{00000000-0005-0000-0000-00000A5D0000}"/>
    <cellStyle name="Normal 2 2 43 6 5" xfId="24602" xr:uid="{00000000-0005-0000-0000-00000B5D0000}"/>
    <cellStyle name="Normal 2 2 43 6 6" xfId="24603" xr:uid="{00000000-0005-0000-0000-00000C5D0000}"/>
    <cellStyle name="Normal 2 2 43 7" xfId="24604" xr:uid="{00000000-0005-0000-0000-00000D5D0000}"/>
    <cellStyle name="Normal 2 2 43 7 2" xfId="24605" xr:uid="{00000000-0005-0000-0000-00000E5D0000}"/>
    <cellStyle name="Normal 2 2 43 7 3" xfId="24606" xr:uid="{00000000-0005-0000-0000-00000F5D0000}"/>
    <cellStyle name="Normal 2 2 43 7 4" xfId="24607" xr:uid="{00000000-0005-0000-0000-0000105D0000}"/>
    <cellStyle name="Normal 2 2 43 7 5" xfId="24608" xr:uid="{00000000-0005-0000-0000-0000115D0000}"/>
    <cellStyle name="Normal 2 2 43 7 6" xfId="24609" xr:uid="{00000000-0005-0000-0000-0000125D0000}"/>
    <cellStyle name="Normal 2 2 43 8" xfId="24610" xr:uid="{00000000-0005-0000-0000-0000135D0000}"/>
    <cellStyle name="Normal 2 2 43 8 2" xfId="24611" xr:uid="{00000000-0005-0000-0000-0000145D0000}"/>
    <cellStyle name="Normal 2 2 43 8 3" xfId="24612" xr:uid="{00000000-0005-0000-0000-0000155D0000}"/>
    <cellStyle name="Normal 2 2 43 8 4" xfId="24613" xr:uid="{00000000-0005-0000-0000-0000165D0000}"/>
    <cellStyle name="Normal 2 2 43 8 5" xfId="24614" xr:uid="{00000000-0005-0000-0000-0000175D0000}"/>
    <cellStyle name="Normal 2 2 43 8 6" xfId="24615" xr:uid="{00000000-0005-0000-0000-0000185D0000}"/>
    <cellStyle name="Normal 2 2 43 9" xfId="24616" xr:uid="{00000000-0005-0000-0000-0000195D0000}"/>
    <cellStyle name="Normal 2 2 44" xfId="24617" xr:uid="{00000000-0005-0000-0000-00001A5D0000}"/>
    <cellStyle name="Normal 2 2 44 10" xfId="24618" xr:uid="{00000000-0005-0000-0000-00001B5D0000}"/>
    <cellStyle name="Normal 2 2 44 11" xfId="24619" xr:uid="{00000000-0005-0000-0000-00001C5D0000}"/>
    <cellStyle name="Normal 2 2 44 12" xfId="24620" xr:uid="{00000000-0005-0000-0000-00001D5D0000}"/>
    <cellStyle name="Normal 2 2 44 13" xfId="24621" xr:uid="{00000000-0005-0000-0000-00001E5D0000}"/>
    <cellStyle name="Normal 2 2 44 14" xfId="24622" xr:uid="{00000000-0005-0000-0000-00001F5D0000}"/>
    <cellStyle name="Normal 2 2 44 2" xfId="24623" xr:uid="{00000000-0005-0000-0000-0000205D0000}"/>
    <cellStyle name="Normal 2 2 44 2 2" xfId="24624" xr:uid="{00000000-0005-0000-0000-0000215D0000}"/>
    <cellStyle name="Normal 2 2 44 2 3" xfId="24625" xr:uid="{00000000-0005-0000-0000-0000225D0000}"/>
    <cellStyle name="Normal 2 2 44 2 4" xfId="24626" xr:uid="{00000000-0005-0000-0000-0000235D0000}"/>
    <cellStyle name="Normal 2 2 44 2 5" xfId="24627" xr:uid="{00000000-0005-0000-0000-0000245D0000}"/>
    <cellStyle name="Normal 2 2 44 2 6" xfId="24628" xr:uid="{00000000-0005-0000-0000-0000255D0000}"/>
    <cellStyle name="Normal 2 2 44 3" xfId="24629" xr:uid="{00000000-0005-0000-0000-0000265D0000}"/>
    <cellStyle name="Normal 2 2 44 3 2" xfId="24630" xr:uid="{00000000-0005-0000-0000-0000275D0000}"/>
    <cellStyle name="Normal 2 2 44 3 3" xfId="24631" xr:uid="{00000000-0005-0000-0000-0000285D0000}"/>
    <cellStyle name="Normal 2 2 44 3 4" xfId="24632" xr:uid="{00000000-0005-0000-0000-0000295D0000}"/>
    <cellStyle name="Normal 2 2 44 3 5" xfId="24633" xr:uid="{00000000-0005-0000-0000-00002A5D0000}"/>
    <cellStyle name="Normal 2 2 44 3 6" xfId="24634" xr:uid="{00000000-0005-0000-0000-00002B5D0000}"/>
    <cellStyle name="Normal 2 2 44 4" xfId="24635" xr:uid="{00000000-0005-0000-0000-00002C5D0000}"/>
    <cellStyle name="Normal 2 2 44 4 2" xfId="24636" xr:uid="{00000000-0005-0000-0000-00002D5D0000}"/>
    <cellStyle name="Normal 2 2 44 4 3" xfId="24637" xr:uid="{00000000-0005-0000-0000-00002E5D0000}"/>
    <cellStyle name="Normal 2 2 44 4 4" xfId="24638" xr:uid="{00000000-0005-0000-0000-00002F5D0000}"/>
    <cellStyle name="Normal 2 2 44 4 5" xfId="24639" xr:uid="{00000000-0005-0000-0000-0000305D0000}"/>
    <cellStyle name="Normal 2 2 44 4 6" xfId="24640" xr:uid="{00000000-0005-0000-0000-0000315D0000}"/>
    <cellStyle name="Normal 2 2 44 5" xfId="24641" xr:uid="{00000000-0005-0000-0000-0000325D0000}"/>
    <cellStyle name="Normal 2 2 44 5 2" xfId="24642" xr:uid="{00000000-0005-0000-0000-0000335D0000}"/>
    <cellStyle name="Normal 2 2 44 5 3" xfId="24643" xr:uid="{00000000-0005-0000-0000-0000345D0000}"/>
    <cellStyle name="Normal 2 2 44 5 4" xfId="24644" xr:uid="{00000000-0005-0000-0000-0000355D0000}"/>
    <cellStyle name="Normal 2 2 44 5 5" xfId="24645" xr:uid="{00000000-0005-0000-0000-0000365D0000}"/>
    <cellStyle name="Normal 2 2 44 5 6" xfId="24646" xr:uid="{00000000-0005-0000-0000-0000375D0000}"/>
    <cellStyle name="Normal 2 2 44 6" xfId="24647" xr:uid="{00000000-0005-0000-0000-0000385D0000}"/>
    <cellStyle name="Normal 2 2 44 6 2" xfId="24648" xr:uid="{00000000-0005-0000-0000-0000395D0000}"/>
    <cellStyle name="Normal 2 2 44 6 3" xfId="24649" xr:uid="{00000000-0005-0000-0000-00003A5D0000}"/>
    <cellStyle name="Normal 2 2 44 6 4" xfId="24650" xr:uid="{00000000-0005-0000-0000-00003B5D0000}"/>
    <cellStyle name="Normal 2 2 44 6 5" xfId="24651" xr:uid="{00000000-0005-0000-0000-00003C5D0000}"/>
    <cellStyle name="Normal 2 2 44 6 6" xfId="24652" xr:uid="{00000000-0005-0000-0000-00003D5D0000}"/>
    <cellStyle name="Normal 2 2 44 7" xfId="24653" xr:uid="{00000000-0005-0000-0000-00003E5D0000}"/>
    <cellStyle name="Normal 2 2 44 7 2" xfId="24654" xr:uid="{00000000-0005-0000-0000-00003F5D0000}"/>
    <cellStyle name="Normal 2 2 44 7 3" xfId="24655" xr:uid="{00000000-0005-0000-0000-0000405D0000}"/>
    <cellStyle name="Normal 2 2 44 7 4" xfId="24656" xr:uid="{00000000-0005-0000-0000-0000415D0000}"/>
    <cellStyle name="Normal 2 2 44 7 5" xfId="24657" xr:uid="{00000000-0005-0000-0000-0000425D0000}"/>
    <cellStyle name="Normal 2 2 44 7 6" xfId="24658" xr:uid="{00000000-0005-0000-0000-0000435D0000}"/>
    <cellStyle name="Normal 2 2 44 8" xfId="24659" xr:uid="{00000000-0005-0000-0000-0000445D0000}"/>
    <cellStyle name="Normal 2 2 44 8 2" xfId="24660" xr:uid="{00000000-0005-0000-0000-0000455D0000}"/>
    <cellStyle name="Normal 2 2 44 8 3" xfId="24661" xr:uid="{00000000-0005-0000-0000-0000465D0000}"/>
    <cellStyle name="Normal 2 2 44 8 4" xfId="24662" xr:uid="{00000000-0005-0000-0000-0000475D0000}"/>
    <cellStyle name="Normal 2 2 44 8 5" xfId="24663" xr:uid="{00000000-0005-0000-0000-0000485D0000}"/>
    <cellStyle name="Normal 2 2 44 8 6" xfId="24664" xr:uid="{00000000-0005-0000-0000-0000495D0000}"/>
    <cellStyle name="Normal 2 2 44 9" xfId="24665" xr:uid="{00000000-0005-0000-0000-00004A5D0000}"/>
    <cellStyle name="Normal 2 2 45" xfId="24666" xr:uid="{00000000-0005-0000-0000-00004B5D0000}"/>
    <cellStyle name="Normal 2 2 45 10" xfId="24667" xr:uid="{00000000-0005-0000-0000-00004C5D0000}"/>
    <cellStyle name="Normal 2 2 45 11" xfId="24668" xr:uid="{00000000-0005-0000-0000-00004D5D0000}"/>
    <cellStyle name="Normal 2 2 45 12" xfId="24669" xr:uid="{00000000-0005-0000-0000-00004E5D0000}"/>
    <cellStyle name="Normal 2 2 45 13" xfId="24670" xr:uid="{00000000-0005-0000-0000-00004F5D0000}"/>
    <cellStyle name="Normal 2 2 45 14" xfId="24671" xr:uid="{00000000-0005-0000-0000-0000505D0000}"/>
    <cellStyle name="Normal 2 2 45 2" xfId="24672" xr:uid="{00000000-0005-0000-0000-0000515D0000}"/>
    <cellStyle name="Normal 2 2 45 2 2" xfId="24673" xr:uid="{00000000-0005-0000-0000-0000525D0000}"/>
    <cellStyle name="Normal 2 2 45 2 3" xfId="24674" xr:uid="{00000000-0005-0000-0000-0000535D0000}"/>
    <cellStyle name="Normal 2 2 45 2 4" xfId="24675" xr:uid="{00000000-0005-0000-0000-0000545D0000}"/>
    <cellStyle name="Normal 2 2 45 2 5" xfId="24676" xr:uid="{00000000-0005-0000-0000-0000555D0000}"/>
    <cellStyle name="Normal 2 2 45 2 6" xfId="24677" xr:uid="{00000000-0005-0000-0000-0000565D0000}"/>
    <cellStyle name="Normal 2 2 45 3" xfId="24678" xr:uid="{00000000-0005-0000-0000-0000575D0000}"/>
    <cellStyle name="Normal 2 2 45 3 2" xfId="24679" xr:uid="{00000000-0005-0000-0000-0000585D0000}"/>
    <cellStyle name="Normal 2 2 45 3 3" xfId="24680" xr:uid="{00000000-0005-0000-0000-0000595D0000}"/>
    <cellStyle name="Normal 2 2 45 3 4" xfId="24681" xr:uid="{00000000-0005-0000-0000-00005A5D0000}"/>
    <cellStyle name="Normal 2 2 45 3 5" xfId="24682" xr:uid="{00000000-0005-0000-0000-00005B5D0000}"/>
    <cellStyle name="Normal 2 2 45 3 6" xfId="24683" xr:uid="{00000000-0005-0000-0000-00005C5D0000}"/>
    <cellStyle name="Normal 2 2 45 4" xfId="24684" xr:uid="{00000000-0005-0000-0000-00005D5D0000}"/>
    <cellStyle name="Normal 2 2 45 4 2" xfId="24685" xr:uid="{00000000-0005-0000-0000-00005E5D0000}"/>
    <cellStyle name="Normal 2 2 45 4 3" xfId="24686" xr:uid="{00000000-0005-0000-0000-00005F5D0000}"/>
    <cellStyle name="Normal 2 2 45 4 4" xfId="24687" xr:uid="{00000000-0005-0000-0000-0000605D0000}"/>
    <cellStyle name="Normal 2 2 45 4 5" xfId="24688" xr:uid="{00000000-0005-0000-0000-0000615D0000}"/>
    <cellStyle name="Normal 2 2 45 4 6" xfId="24689" xr:uid="{00000000-0005-0000-0000-0000625D0000}"/>
    <cellStyle name="Normal 2 2 45 5" xfId="24690" xr:uid="{00000000-0005-0000-0000-0000635D0000}"/>
    <cellStyle name="Normal 2 2 45 5 2" xfId="24691" xr:uid="{00000000-0005-0000-0000-0000645D0000}"/>
    <cellStyle name="Normal 2 2 45 5 3" xfId="24692" xr:uid="{00000000-0005-0000-0000-0000655D0000}"/>
    <cellStyle name="Normal 2 2 45 5 4" xfId="24693" xr:uid="{00000000-0005-0000-0000-0000665D0000}"/>
    <cellStyle name="Normal 2 2 45 5 5" xfId="24694" xr:uid="{00000000-0005-0000-0000-0000675D0000}"/>
    <cellStyle name="Normal 2 2 45 5 6" xfId="24695" xr:uid="{00000000-0005-0000-0000-0000685D0000}"/>
    <cellStyle name="Normal 2 2 45 6" xfId="24696" xr:uid="{00000000-0005-0000-0000-0000695D0000}"/>
    <cellStyle name="Normal 2 2 45 6 2" xfId="24697" xr:uid="{00000000-0005-0000-0000-00006A5D0000}"/>
    <cellStyle name="Normal 2 2 45 6 3" xfId="24698" xr:uid="{00000000-0005-0000-0000-00006B5D0000}"/>
    <cellStyle name="Normal 2 2 45 6 4" xfId="24699" xr:uid="{00000000-0005-0000-0000-00006C5D0000}"/>
    <cellStyle name="Normal 2 2 45 6 5" xfId="24700" xr:uid="{00000000-0005-0000-0000-00006D5D0000}"/>
    <cellStyle name="Normal 2 2 45 6 6" xfId="24701" xr:uid="{00000000-0005-0000-0000-00006E5D0000}"/>
    <cellStyle name="Normal 2 2 45 7" xfId="24702" xr:uid="{00000000-0005-0000-0000-00006F5D0000}"/>
    <cellStyle name="Normal 2 2 45 7 2" xfId="24703" xr:uid="{00000000-0005-0000-0000-0000705D0000}"/>
    <cellStyle name="Normal 2 2 45 7 3" xfId="24704" xr:uid="{00000000-0005-0000-0000-0000715D0000}"/>
    <cellStyle name="Normal 2 2 45 7 4" xfId="24705" xr:uid="{00000000-0005-0000-0000-0000725D0000}"/>
    <cellStyle name="Normal 2 2 45 7 5" xfId="24706" xr:uid="{00000000-0005-0000-0000-0000735D0000}"/>
    <cellStyle name="Normal 2 2 45 7 6" xfId="24707" xr:uid="{00000000-0005-0000-0000-0000745D0000}"/>
    <cellStyle name="Normal 2 2 45 8" xfId="24708" xr:uid="{00000000-0005-0000-0000-0000755D0000}"/>
    <cellStyle name="Normal 2 2 45 8 2" xfId="24709" xr:uid="{00000000-0005-0000-0000-0000765D0000}"/>
    <cellStyle name="Normal 2 2 45 8 3" xfId="24710" xr:uid="{00000000-0005-0000-0000-0000775D0000}"/>
    <cellStyle name="Normal 2 2 45 8 4" xfId="24711" xr:uid="{00000000-0005-0000-0000-0000785D0000}"/>
    <cellStyle name="Normal 2 2 45 8 5" xfId="24712" xr:uid="{00000000-0005-0000-0000-0000795D0000}"/>
    <cellStyle name="Normal 2 2 45 8 6" xfId="24713" xr:uid="{00000000-0005-0000-0000-00007A5D0000}"/>
    <cellStyle name="Normal 2 2 45 9" xfId="24714" xr:uid="{00000000-0005-0000-0000-00007B5D0000}"/>
    <cellStyle name="Normal 2 2 46" xfId="24715" xr:uid="{00000000-0005-0000-0000-00007C5D0000}"/>
    <cellStyle name="Normal 2 2 46 10" xfId="24716" xr:uid="{00000000-0005-0000-0000-00007D5D0000}"/>
    <cellStyle name="Normal 2 2 46 11" xfId="24717" xr:uid="{00000000-0005-0000-0000-00007E5D0000}"/>
    <cellStyle name="Normal 2 2 46 12" xfId="24718" xr:uid="{00000000-0005-0000-0000-00007F5D0000}"/>
    <cellStyle name="Normal 2 2 46 2" xfId="24719" xr:uid="{00000000-0005-0000-0000-0000805D0000}"/>
    <cellStyle name="Normal 2 2 46 2 10" xfId="24720" xr:uid="{00000000-0005-0000-0000-0000815D0000}"/>
    <cellStyle name="Normal 2 2 46 2 11" xfId="24721" xr:uid="{00000000-0005-0000-0000-0000825D0000}"/>
    <cellStyle name="Normal 2 2 46 2 12" xfId="24722" xr:uid="{00000000-0005-0000-0000-0000835D0000}"/>
    <cellStyle name="Normal 2 2 46 2 13" xfId="24723" xr:uid="{00000000-0005-0000-0000-0000845D0000}"/>
    <cellStyle name="Normal 2 2 46 2 14" xfId="24724" xr:uid="{00000000-0005-0000-0000-0000855D0000}"/>
    <cellStyle name="Normal 2 2 46 2 15" xfId="24725" xr:uid="{00000000-0005-0000-0000-0000865D0000}"/>
    <cellStyle name="Normal 2 2 46 2 16" xfId="24726" xr:uid="{00000000-0005-0000-0000-0000875D0000}"/>
    <cellStyle name="Normal 2 2 46 2 17" xfId="24727" xr:uid="{00000000-0005-0000-0000-0000885D0000}"/>
    <cellStyle name="Normal 2 2 46 2 18" xfId="24728" xr:uid="{00000000-0005-0000-0000-0000895D0000}"/>
    <cellStyle name="Normal 2 2 46 2 19" xfId="24729" xr:uid="{00000000-0005-0000-0000-00008A5D0000}"/>
    <cellStyle name="Normal 2 2 46 2 2" xfId="24730" xr:uid="{00000000-0005-0000-0000-00008B5D0000}"/>
    <cellStyle name="Normal 2 2 46 2 20" xfId="24731" xr:uid="{00000000-0005-0000-0000-00008C5D0000}"/>
    <cellStyle name="Normal 2 2 46 2 21" xfId="24732" xr:uid="{00000000-0005-0000-0000-00008D5D0000}"/>
    <cellStyle name="Normal 2 2 46 2 22" xfId="24733" xr:uid="{00000000-0005-0000-0000-00008E5D0000}"/>
    <cellStyle name="Normal 2 2 46 2 23" xfId="24734" xr:uid="{00000000-0005-0000-0000-00008F5D0000}"/>
    <cellStyle name="Normal 2 2 46 2 24" xfId="24735" xr:uid="{00000000-0005-0000-0000-0000905D0000}"/>
    <cellStyle name="Normal 2 2 46 2 25" xfId="24736" xr:uid="{00000000-0005-0000-0000-0000915D0000}"/>
    <cellStyle name="Normal 2 2 46 2 26" xfId="24737" xr:uid="{00000000-0005-0000-0000-0000925D0000}"/>
    <cellStyle name="Normal 2 2 46 2 27" xfId="24738" xr:uid="{00000000-0005-0000-0000-0000935D0000}"/>
    <cellStyle name="Normal 2 2 46 2 28" xfId="24739" xr:uid="{00000000-0005-0000-0000-0000945D0000}"/>
    <cellStyle name="Normal 2 2 46 2 29" xfId="24740" xr:uid="{00000000-0005-0000-0000-0000955D0000}"/>
    <cellStyle name="Normal 2 2 46 2 3" xfId="24741" xr:uid="{00000000-0005-0000-0000-0000965D0000}"/>
    <cellStyle name="Normal 2 2 46 2 4" xfId="24742" xr:uid="{00000000-0005-0000-0000-0000975D0000}"/>
    <cellStyle name="Normal 2 2 46 2 5" xfId="24743" xr:uid="{00000000-0005-0000-0000-0000985D0000}"/>
    <cellStyle name="Normal 2 2 46 2 6" xfId="24744" xr:uid="{00000000-0005-0000-0000-0000995D0000}"/>
    <cellStyle name="Normal 2 2 46 2 7" xfId="24745" xr:uid="{00000000-0005-0000-0000-00009A5D0000}"/>
    <cellStyle name="Normal 2 2 46 2 8" xfId="24746" xr:uid="{00000000-0005-0000-0000-00009B5D0000}"/>
    <cellStyle name="Normal 2 2 46 2 9" xfId="24747" xr:uid="{00000000-0005-0000-0000-00009C5D0000}"/>
    <cellStyle name="Normal 2 2 46 3" xfId="24748" xr:uid="{00000000-0005-0000-0000-00009D5D0000}"/>
    <cellStyle name="Normal 2 2 46 4" xfId="24749" xr:uid="{00000000-0005-0000-0000-00009E5D0000}"/>
    <cellStyle name="Normal 2 2 46 5" xfId="24750" xr:uid="{00000000-0005-0000-0000-00009F5D0000}"/>
    <cellStyle name="Normal 2 2 46 6" xfId="24751" xr:uid="{00000000-0005-0000-0000-0000A05D0000}"/>
    <cellStyle name="Normal 2 2 46 7" xfId="24752" xr:uid="{00000000-0005-0000-0000-0000A15D0000}"/>
    <cellStyle name="Normal 2 2 46 8" xfId="24753" xr:uid="{00000000-0005-0000-0000-0000A25D0000}"/>
    <cellStyle name="Normal 2 2 46 9" xfId="24754" xr:uid="{00000000-0005-0000-0000-0000A35D0000}"/>
    <cellStyle name="Normal 2 2 47" xfId="24755" xr:uid="{00000000-0005-0000-0000-0000A45D0000}"/>
    <cellStyle name="Normal 2 2 47 10" xfId="24756" xr:uid="{00000000-0005-0000-0000-0000A55D0000}"/>
    <cellStyle name="Normal 2 2 47 11" xfId="24757" xr:uid="{00000000-0005-0000-0000-0000A65D0000}"/>
    <cellStyle name="Normal 2 2 47 12" xfId="24758" xr:uid="{00000000-0005-0000-0000-0000A75D0000}"/>
    <cellStyle name="Normal 2 2 47 13" xfId="24759" xr:uid="{00000000-0005-0000-0000-0000A85D0000}"/>
    <cellStyle name="Normal 2 2 47 14" xfId="24760" xr:uid="{00000000-0005-0000-0000-0000A95D0000}"/>
    <cellStyle name="Normal 2 2 47 15" xfId="24761" xr:uid="{00000000-0005-0000-0000-0000AA5D0000}"/>
    <cellStyle name="Normal 2 2 47 16" xfId="24762" xr:uid="{00000000-0005-0000-0000-0000AB5D0000}"/>
    <cellStyle name="Normal 2 2 47 17" xfId="24763" xr:uid="{00000000-0005-0000-0000-0000AC5D0000}"/>
    <cellStyle name="Normal 2 2 47 18" xfId="24764" xr:uid="{00000000-0005-0000-0000-0000AD5D0000}"/>
    <cellStyle name="Normal 2 2 47 19" xfId="24765" xr:uid="{00000000-0005-0000-0000-0000AE5D0000}"/>
    <cellStyle name="Normal 2 2 47 2" xfId="24766" xr:uid="{00000000-0005-0000-0000-0000AF5D0000}"/>
    <cellStyle name="Normal 2 2 47 20" xfId="24767" xr:uid="{00000000-0005-0000-0000-0000B05D0000}"/>
    <cellStyle name="Normal 2 2 47 21" xfId="24768" xr:uid="{00000000-0005-0000-0000-0000B15D0000}"/>
    <cellStyle name="Normal 2 2 47 22" xfId="24769" xr:uid="{00000000-0005-0000-0000-0000B25D0000}"/>
    <cellStyle name="Normal 2 2 47 23" xfId="24770" xr:uid="{00000000-0005-0000-0000-0000B35D0000}"/>
    <cellStyle name="Normal 2 2 47 24" xfId="24771" xr:uid="{00000000-0005-0000-0000-0000B45D0000}"/>
    <cellStyle name="Normal 2 2 47 25" xfId="24772" xr:uid="{00000000-0005-0000-0000-0000B55D0000}"/>
    <cellStyle name="Normal 2 2 47 26" xfId="24773" xr:uid="{00000000-0005-0000-0000-0000B65D0000}"/>
    <cellStyle name="Normal 2 2 47 27" xfId="24774" xr:uid="{00000000-0005-0000-0000-0000B75D0000}"/>
    <cellStyle name="Normal 2 2 47 28" xfId="24775" xr:uid="{00000000-0005-0000-0000-0000B85D0000}"/>
    <cellStyle name="Normal 2 2 47 29" xfId="24776" xr:uid="{00000000-0005-0000-0000-0000B95D0000}"/>
    <cellStyle name="Normal 2 2 47 3" xfId="24777" xr:uid="{00000000-0005-0000-0000-0000BA5D0000}"/>
    <cellStyle name="Normal 2 2 47 30" xfId="24778" xr:uid="{00000000-0005-0000-0000-0000BB5D0000}"/>
    <cellStyle name="Normal 2 2 47 31" xfId="24779" xr:uid="{00000000-0005-0000-0000-0000BC5D0000}"/>
    <cellStyle name="Normal 2 2 47 32" xfId="24780" xr:uid="{00000000-0005-0000-0000-0000BD5D0000}"/>
    <cellStyle name="Normal 2 2 47 33" xfId="24781" xr:uid="{00000000-0005-0000-0000-0000BE5D0000}"/>
    <cellStyle name="Normal 2 2 47 34" xfId="24782" xr:uid="{00000000-0005-0000-0000-0000BF5D0000}"/>
    <cellStyle name="Normal 2 2 47 4" xfId="24783" xr:uid="{00000000-0005-0000-0000-0000C05D0000}"/>
    <cellStyle name="Normal 2 2 47 5" xfId="24784" xr:uid="{00000000-0005-0000-0000-0000C15D0000}"/>
    <cellStyle name="Normal 2 2 47 6" xfId="24785" xr:uid="{00000000-0005-0000-0000-0000C25D0000}"/>
    <cellStyle name="Normal 2 2 47 7" xfId="24786" xr:uid="{00000000-0005-0000-0000-0000C35D0000}"/>
    <cellStyle name="Normal 2 2 47 8" xfId="24787" xr:uid="{00000000-0005-0000-0000-0000C45D0000}"/>
    <cellStyle name="Normal 2 2 47 9" xfId="24788" xr:uid="{00000000-0005-0000-0000-0000C55D0000}"/>
    <cellStyle name="Normal 2 2 48" xfId="24789" xr:uid="{00000000-0005-0000-0000-0000C65D0000}"/>
    <cellStyle name="Normal 2 2 48 10" xfId="24790" xr:uid="{00000000-0005-0000-0000-0000C75D0000}"/>
    <cellStyle name="Normal 2 2 48 11" xfId="24791" xr:uid="{00000000-0005-0000-0000-0000C85D0000}"/>
    <cellStyle name="Normal 2 2 48 12" xfId="24792" xr:uid="{00000000-0005-0000-0000-0000C95D0000}"/>
    <cellStyle name="Normal 2 2 48 13" xfId="24793" xr:uid="{00000000-0005-0000-0000-0000CA5D0000}"/>
    <cellStyle name="Normal 2 2 48 14" xfId="24794" xr:uid="{00000000-0005-0000-0000-0000CB5D0000}"/>
    <cellStyle name="Normal 2 2 48 15" xfId="24795" xr:uid="{00000000-0005-0000-0000-0000CC5D0000}"/>
    <cellStyle name="Normal 2 2 48 16" xfId="24796" xr:uid="{00000000-0005-0000-0000-0000CD5D0000}"/>
    <cellStyle name="Normal 2 2 48 17" xfId="24797" xr:uid="{00000000-0005-0000-0000-0000CE5D0000}"/>
    <cellStyle name="Normal 2 2 48 18" xfId="24798" xr:uid="{00000000-0005-0000-0000-0000CF5D0000}"/>
    <cellStyle name="Normal 2 2 48 19" xfId="24799" xr:uid="{00000000-0005-0000-0000-0000D05D0000}"/>
    <cellStyle name="Normal 2 2 48 2" xfId="24800" xr:uid="{00000000-0005-0000-0000-0000D15D0000}"/>
    <cellStyle name="Normal 2 2 48 20" xfId="24801" xr:uid="{00000000-0005-0000-0000-0000D25D0000}"/>
    <cellStyle name="Normal 2 2 48 21" xfId="24802" xr:uid="{00000000-0005-0000-0000-0000D35D0000}"/>
    <cellStyle name="Normal 2 2 48 22" xfId="24803" xr:uid="{00000000-0005-0000-0000-0000D45D0000}"/>
    <cellStyle name="Normal 2 2 48 23" xfId="24804" xr:uid="{00000000-0005-0000-0000-0000D55D0000}"/>
    <cellStyle name="Normal 2 2 48 24" xfId="24805" xr:uid="{00000000-0005-0000-0000-0000D65D0000}"/>
    <cellStyle name="Normal 2 2 48 25" xfId="24806" xr:uid="{00000000-0005-0000-0000-0000D75D0000}"/>
    <cellStyle name="Normal 2 2 48 26" xfId="24807" xr:uid="{00000000-0005-0000-0000-0000D85D0000}"/>
    <cellStyle name="Normal 2 2 48 27" xfId="24808" xr:uid="{00000000-0005-0000-0000-0000D95D0000}"/>
    <cellStyle name="Normal 2 2 48 28" xfId="24809" xr:uid="{00000000-0005-0000-0000-0000DA5D0000}"/>
    <cellStyle name="Normal 2 2 48 29" xfId="24810" xr:uid="{00000000-0005-0000-0000-0000DB5D0000}"/>
    <cellStyle name="Normal 2 2 48 3" xfId="24811" xr:uid="{00000000-0005-0000-0000-0000DC5D0000}"/>
    <cellStyle name="Normal 2 2 48 30" xfId="24812" xr:uid="{00000000-0005-0000-0000-0000DD5D0000}"/>
    <cellStyle name="Normal 2 2 48 31" xfId="24813" xr:uid="{00000000-0005-0000-0000-0000DE5D0000}"/>
    <cellStyle name="Normal 2 2 48 32" xfId="24814" xr:uid="{00000000-0005-0000-0000-0000DF5D0000}"/>
    <cellStyle name="Normal 2 2 48 33" xfId="24815" xr:uid="{00000000-0005-0000-0000-0000E05D0000}"/>
    <cellStyle name="Normal 2 2 48 34" xfId="24816" xr:uid="{00000000-0005-0000-0000-0000E15D0000}"/>
    <cellStyle name="Normal 2 2 48 4" xfId="24817" xr:uid="{00000000-0005-0000-0000-0000E25D0000}"/>
    <cellStyle name="Normal 2 2 48 5" xfId="24818" xr:uid="{00000000-0005-0000-0000-0000E35D0000}"/>
    <cellStyle name="Normal 2 2 48 6" xfId="24819" xr:uid="{00000000-0005-0000-0000-0000E45D0000}"/>
    <cellStyle name="Normal 2 2 48 7" xfId="24820" xr:uid="{00000000-0005-0000-0000-0000E55D0000}"/>
    <cellStyle name="Normal 2 2 48 8" xfId="24821" xr:uid="{00000000-0005-0000-0000-0000E65D0000}"/>
    <cellStyle name="Normal 2 2 48 9" xfId="24822" xr:uid="{00000000-0005-0000-0000-0000E75D0000}"/>
    <cellStyle name="Normal 2 2 49" xfId="24823" xr:uid="{00000000-0005-0000-0000-0000E85D0000}"/>
    <cellStyle name="Normal 2 2 49 10" xfId="24824" xr:uid="{00000000-0005-0000-0000-0000E95D0000}"/>
    <cellStyle name="Normal 2 2 49 11" xfId="24825" xr:uid="{00000000-0005-0000-0000-0000EA5D0000}"/>
    <cellStyle name="Normal 2 2 49 12" xfId="24826" xr:uid="{00000000-0005-0000-0000-0000EB5D0000}"/>
    <cellStyle name="Normal 2 2 49 13" xfId="24827" xr:uid="{00000000-0005-0000-0000-0000EC5D0000}"/>
    <cellStyle name="Normal 2 2 49 14" xfId="24828" xr:uid="{00000000-0005-0000-0000-0000ED5D0000}"/>
    <cellStyle name="Normal 2 2 49 15" xfId="24829" xr:uid="{00000000-0005-0000-0000-0000EE5D0000}"/>
    <cellStyle name="Normal 2 2 49 16" xfId="24830" xr:uid="{00000000-0005-0000-0000-0000EF5D0000}"/>
    <cellStyle name="Normal 2 2 49 17" xfId="24831" xr:uid="{00000000-0005-0000-0000-0000F05D0000}"/>
    <cellStyle name="Normal 2 2 49 18" xfId="24832" xr:uid="{00000000-0005-0000-0000-0000F15D0000}"/>
    <cellStyle name="Normal 2 2 49 19" xfId="24833" xr:uid="{00000000-0005-0000-0000-0000F25D0000}"/>
    <cellStyle name="Normal 2 2 49 2" xfId="24834" xr:uid="{00000000-0005-0000-0000-0000F35D0000}"/>
    <cellStyle name="Normal 2 2 49 20" xfId="24835" xr:uid="{00000000-0005-0000-0000-0000F45D0000}"/>
    <cellStyle name="Normal 2 2 49 21" xfId="24836" xr:uid="{00000000-0005-0000-0000-0000F55D0000}"/>
    <cellStyle name="Normal 2 2 49 22" xfId="24837" xr:uid="{00000000-0005-0000-0000-0000F65D0000}"/>
    <cellStyle name="Normal 2 2 49 23" xfId="24838" xr:uid="{00000000-0005-0000-0000-0000F75D0000}"/>
    <cellStyle name="Normal 2 2 49 24" xfId="24839" xr:uid="{00000000-0005-0000-0000-0000F85D0000}"/>
    <cellStyle name="Normal 2 2 49 25" xfId="24840" xr:uid="{00000000-0005-0000-0000-0000F95D0000}"/>
    <cellStyle name="Normal 2 2 49 26" xfId="24841" xr:uid="{00000000-0005-0000-0000-0000FA5D0000}"/>
    <cellStyle name="Normal 2 2 49 27" xfId="24842" xr:uid="{00000000-0005-0000-0000-0000FB5D0000}"/>
    <cellStyle name="Normal 2 2 49 28" xfId="24843" xr:uid="{00000000-0005-0000-0000-0000FC5D0000}"/>
    <cellStyle name="Normal 2 2 49 29" xfId="24844" xr:uid="{00000000-0005-0000-0000-0000FD5D0000}"/>
    <cellStyle name="Normal 2 2 49 3" xfId="24845" xr:uid="{00000000-0005-0000-0000-0000FE5D0000}"/>
    <cellStyle name="Normal 2 2 49 30" xfId="24846" xr:uid="{00000000-0005-0000-0000-0000FF5D0000}"/>
    <cellStyle name="Normal 2 2 49 31" xfId="24847" xr:uid="{00000000-0005-0000-0000-0000005E0000}"/>
    <cellStyle name="Normal 2 2 49 32" xfId="24848" xr:uid="{00000000-0005-0000-0000-0000015E0000}"/>
    <cellStyle name="Normal 2 2 49 33" xfId="24849" xr:uid="{00000000-0005-0000-0000-0000025E0000}"/>
    <cellStyle name="Normal 2 2 49 34" xfId="24850" xr:uid="{00000000-0005-0000-0000-0000035E0000}"/>
    <cellStyle name="Normal 2 2 49 4" xfId="24851" xr:uid="{00000000-0005-0000-0000-0000045E0000}"/>
    <cellStyle name="Normal 2 2 49 5" xfId="24852" xr:uid="{00000000-0005-0000-0000-0000055E0000}"/>
    <cellStyle name="Normal 2 2 49 6" xfId="24853" xr:uid="{00000000-0005-0000-0000-0000065E0000}"/>
    <cellStyle name="Normal 2 2 49 7" xfId="24854" xr:uid="{00000000-0005-0000-0000-0000075E0000}"/>
    <cellStyle name="Normal 2 2 49 8" xfId="24855" xr:uid="{00000000-0005-0000-0000-0000085E0000}"/>
    <cellStyle name="Normal 2 2 49 9" xfId="24856" xr:uid="{00000000-0005-0000-0000-0000095E0000}"/>
    <cellStyle name="Normal 2 2 5" xfId="1848" xr:uid="{00000000-0005-0000-0000-00000A5E0000}"/>
    <cellStyle name="Normal 2 2 5 10" xfId="24857" xr:uid="{00000000-0005-0000-0000-00000B5E0000}"/>
    <cellStyle name="Normal 2 2 5 11" xfId="24858" xr:uid="{00000000-0005-0000-0000-00000C5E0000}"/>
    <cellStyle name="Normal 2 2 5 12" xfId="24859" xr:uid="{00000000-0005-0000-0000-00000D5E0000}"/>
    <cellStyle name="Normal 2 2 5 13" xfId="24860" xr:uid="{00000000-0005-0000-0000-00000E5E0000}"/>
    <cellStyle name="Normal 2 2 5 14" xfId="24861" xr:uid="{00000000-0005-0000-0000-00000F5E0000}"/>
    <cellStyle name="Normal 2 2 5 15" xfId="43242" xr:uid="{00000000-0005-0000-0000-0000105E0000}"/>
    <cellStyle name="Normal 2 2 5 2" xfId="2045" xr:uid="{00000000-0005-0000-0000-0000115E0000}"/>
    <cellStyle name="Normal 2 2 5 2 2" xfId="2512" xr:uid="{00000000-0005-0000-0000-0000125E0000}"/>
    <cellStyle name="Normal 2 2 5 2 2 2" xfId="24862" xr:uid="{00000000-0005-0000-0000-0000135E0000}"/>
    <cellStyle name="Normal 2 2 5 2 2 2 2" xfId="24863" xr:uid="{00000000-0005-0000-0000-0000145E0000}"/>
    <cellStyle name="Normal 2 2 5 2 2 2 3" xfId="24864" xr:uid="{00000000-0005-0000-0000-0000155E0000}"/>
    <cellStyle name="Normal 2 2 5 2 2 2 4" xfId="24865" xr:uid="{00000000-0005-0000-0000-0000165E0000}"/>
    <cellStyle name="Normal 2 2 5 2 2 2 5" xfId="24866" xr:uid="{00000000-0005-0000-0000-0000175E0000}"/>
    <cellStyle name="Normal 2 2 5 2 2 3" xfId="24867" xr:uid="{00000000-0005-0000-0000-0000185E0000}"/>
    <cellStyle name="Normal 2 2 5 2 3" xfId="24868" xr:uid="{00000000-0005-0000-0000-0000195E0000}"/>
    <cellStyle name="Normal 2 2 5 2 3 2" xfId="24869" xr:uid="{00000000-0005-0000-0000-00001A5E0000}"/>
    <cellStyle name="Normal 2 2 5 2 3 2 2" xfId="24870" xr:uid="{00000000-0005-0000-0000-00001B5E0000}"/>
    <cellStyle name="Normal 2 2 5 2 3 2 3" xfId="24871" xr:uid="{00000000-0005-0000-0000-00001C5E0000}"/>
    <cellStyle name="Normal 2 2 5 2 3 2 4" xfId="24872" xr:uid="{00000000-0005-0000-0000-00001D5E0000}"/>
    <cellStyle name="Normal 2 2 5 2 4" xfId="24873" xr:uid="{00000000-0005-0000-0000-00001E5E0000}"/>
    <cellStyle name="Normal 2 2 5 2 5" xfId="24874" xr:uid="{00000000-0005-0000-0000-00001F5E0000}"/>
    <cellStyle name="Normal 2 2 5 2 6" xfId="24875" xr:uid="{00000000-0005-0000-0000-0000205E0000}"/>
    <cellStyle name="Normal 2 2 5 2 7" xfId="43328" xr:uid="{00000000-0005-0000-0000-0000215E0000}"/>
    <cellStyle name="Normal 2 2 5 3" xfId="2513" xr:uid="{00000000-0005-0000-0000-0000225E0000}"/>
    <cellStyle name="Normal 2 2 5 3 2" xfId="24876" xr:uid="{00000000-0005-0000-0000-0000235E0000}"/>
    <cellStyle name="Normal 2 2 5 3 3" xfId="24877" xr:uid="{00000000-0005-0000-0000-0000245E0000}"/>
    <cellStyle name="Normal 2 2 5 3 4" xfId="24878" xr:uid="{00000000-0005-0000-0000-0000255E0000}"/>
    <cellStyle name="Normal 2 2 5 3 5" xfId="24879" xr:uid="{00000000-0005-0000-0000-0000265E0000}"/>
    <cellStyle name="Normal 2 2 5 3 6" xfId="24880" xr:uid="{00000000-0005-0000-0000-0000275E0000}"/>
    <cellStyle name="Normal 2 2 5 3 7" xfId="43329" xr:uid="{00000000-0005-0000-0000-0000285E0000}"/>
    <cellStyle name="Normal 2 2 5 4" xfId="2425" xr:uid="{00000000-0005-0000-0000-0000295E0000}"/>
    <cellStyle name="Normal 2 2 5 4 2" xfId="24881" xr:uid="{00000000-0005-0000-0000-00002A5E0000}"/>
    <cellStyle name="Normal 2 2 5 4 3" xfId="24882" xr:uid="{00000000-0005-0000-0000-00002B5E0000}"/>
    <cellStyle name="Normal 2 2 5 4 4" xfId="24883" xr:uid="{00000000-0005-0000-0000-00002C5E0000}"/>
    <cellStyle name="Normal 2 2 5 4 5" xfId="24884" xr:uid="{00000000-0005-0000-0000-00002D5E0000}"/>
    <cellStyle name="Normal 2 2 5 4 6" xfId="24885" xr:uid="{00000000-0005-0000-0000-00002E5E0000}"/>
    <cellStyle name="Normal 2 2 5 5" xfId="2382" xr:uid="{00000000-0005-0000-0000-00002F5E0000}"/>
    <cellStyle name="Normal 2 2 5 5 2" xfId="24886" xr:uid="{00000000-0005-0000-0000-0000305E0000}"/>
    <cellStyle name="Normal 2 2 5 5 3" xfId="24887" xr:uid="{00000000-0005-0000-0000-0000315E0000}"/>
    <cellStyle name="Normal 2 2 5 5 4" xfId="24888" xr:uid="{00000000-0005-0000-0000-0000325E0000}"/>
    <cellStyle name="Normal 2 2 5 5 5" xfId="24889" xr:uid="{00000000-0005-0000-0000-0000335E0000}"/>
    <cellStyle name="Normal 2 2 5 5 6" xfId="24890" xr:uid="{00000000-0005-0000-0000-0000345E0000}"/>
    <cellStyle name="Normal 2 2 5 6" xfId="24891" xr:uid="{00000000-0005-0000-0000-0000355E0000}"/>
    <cellStyle name="Normal 2 2 5 6 2" xfId="24892" xr:uid="{00000000-0005-0000-0000-0000365E0000}"/>
    <cellStyle name="Normal 2 2 5 6 3" xfId="24893" xr:uid="{00000000-0005-0000-0000-0000375E0000}"/>
    <cellStyle name="Normal 2 2 5 6 4" xfId="24894" xr:uid="{00000000-0005-0000-0000-0000385E0000}"/>
    <cellStyle name="Normal 2 2 5 6 5" xfId="24895" xr:uid="{00000000-0005-0000-0000-0000395E0000}"/>
    <cellStyle name="Normal 2 2 5 6 6" xfId="24896" xr:uid="{00000000-0005-0000-0000-00003A5E0000}"/>
    <cellStyle name="Normal 2 2 5 7" xfId="24897" xr:uid="{00000000-0005-0000-0000-00003B5E0000}"/>
    <cellStyle name="Normal 2 2 5 7 2" xfId="24898" xr:uid="{00000000-0005-0000-0000-00003C5E0000}"/>
    <cellStyle name="Normal 2 2 5 7 3" xfId="24899" xr:uid="{00000000-0005-0000-0000-00003D5E0000}"/>
    <cellStyle name="Normal 2 2 5 7 4" xfId="24900" xr:uid="{00000000-0005-0000-0000-00003E5E0000}"/>
    <cellStyle name="Normal 2 2 5 7 5" xfId="24901" xr:uid="{00000000-0005-0000-0000-00003F5E0000}"/>
    <cellStyle name="Normal 2 2 5 7 6" xfId="24902" xr:uid="{00000000-0005-0000-0000-0000405E0000}"/>
    <cellStyle name="Normal 2 2 5 8" xfId="24903" xr:uid="{00000000-0005-0000-0000-0000415E0000}"/>
    <cellStyle name="Normal 2 2 5 8 2" xfId="24904" xr:uid="{00000000-0005-0000-0000-0000425E0000}"/>
    <cellStyle name="Normal 2 2 5 8 3" xfId="24905" xr:uid="{00000000-0005-0000-0000-0000435E0000}"/>
    <cellStyle name="Normal 2 2 5 8 4" xfId="24906" xr:uid="{00000000-0005-0000-0000-0000445E0000}"/>
    <cellStyle name="Normal 2 2 5 8 5" xfId="24907" xr:uid="{00000000-0005-0000-0000-0000455E0000}"/>
    <cellStyle name="Normal 2 2 5 8 6" xfId="24908" xr:uid="{00000000-0005-0000-0000-0000465E0000}"/>
    <cellStyle name="Normal 2 2 5 9" xfId="24909" xr:uid="{00000000-0005-0000-0000-0000475E0000}"/>
    <cellStyle name="Normal 2 2 50" xfId="24910" xr:uid="{00000000-0005-0000-0000-0000485E0000}"/>
    <cellStyle name="Normal 2 2 50 10" xfId="24911" xr:uid="{00000000-0005-0000-0000-0000495E0000}"/>
    <cellStyle name="Normal 2 2 50 11" xfId="24912" xr:uid="{00000000-0005-0000-0000-00004A5E0000}"/>
    <cellStyle name="Normal 2 2 50 12" xfId="24913" xr:uid="{00000000-0005-0000-0000-00004B5E0000}"/>
    <cellStyle name="Normal 2 2 50 13" xfId="24914" xr:uid="{00000000-0005-0000-0000-00004C5E0000}"/>
    <cellStyle name="Normal 2 2 50 14" xfId="24915" xr:uid="{00000000-0005-0000-0000-00004D5E0000}"/>
    <cellStyle name="Normal 2 2 50 15" xfId="24916" xr:uid="{00000000-0005-0000-0000-00004E5E0000}"/>
    <cellStyle name="Normal 2 2 50 16" xfId="24917" xr:uid="{00000000-0005-0000-0000-00004F5E0000}"/>
    <cellStyle name="Normal 2 2 50 17" xfId="24918" xr:uid="{00000000-0005-0000-0000-0000505E0000}"/>
    <cellStyle name="Normal 2 2 50 18" xfId="24919" xr:uid="{00000000-0005-0000-0000-0000515E0000}"/>
    <cellStyle name="Normal 2 2 50 19" xfId="24920" xr:uid="{00000000-0005-0000-0000-0000525E0000}"/>
    <cellStyle name="Normal 2 2 50 2" xfId="24921" xr:uid="{00000000-0005-0000-0000-0000535E0000}"/>
    <cellStyle name="Normal 2 2 50 20" xfId="24922" xr:uid="{00000000-0005-0000-0000-0000545E0000}"/>
    <cellStyle name="Normal 2 2 50 21" xfId="24923" xr:uid="{00000000-0005-0000-0000-0000555E0000}"/>
    <cellStyle name="Normal 2 2 50 22" xfId="24924" xr:uid="{00000000-0005-0000-0000-0000565E0000}"/>
    <cellStyle name="Normal 2 2 50 23" xfId="24925" xr:uid="{00000000-0005-0000-0000-0000575E0000}"/>
    <cellStyle name="Normal 2 2 50 24" xfId="24926" xr:uid="{00000000-0005-0000-0000-0000585E0000}"/>
    <cellStyle name="Normal 2 2 50 25" xfId="24927" xr:uid="{00000000-0005-0000-0000-0000595E0000}"/>
    <cellStyle name="Normal 2 2 50 26" xfId="24928" xr:uid="{00000000-0005-0000-0000-00005A5E0000}"/>
    <cellStyle name="Normal 2 2 50 27" xfId="24929" xr:uid="{00000000-0005-0000-0000-00005B5E0000}"/>
    <cellStyle name="Normal 2 2 50 28" xfId="24930" xr:uid="{00000000-0005-0000-0000-00005C5E0000}"/>
    <cellStyle name="Normal 2 2 50 29" xfId="24931" xr:uid="{00000000-0005-0000-0000-00005D5E0000}"/>
    <cellStyle name="Normal 2 2 50 3" xfId="24932" xr:uid="{00000000-0005-0000-0000-00005E5E0000}"/>
    <cellStyle name="Normal 2 2 50 30" xfId="24933" xr:uid="{00000000-0005-0000-0000-00005F5E0000}"/>
    <cellStyle name="Normal 2 2 50 31" xfId="24934" xr:uid="{00000000-0005-0000-0000-0000605E0000}"/>
    <cellStyle name="Normal 2 2 50 32" xfId="24935" xr:uid="{00000000-0005-0000-0000-0000615E0000}"/>
    <cellStyle name="Normal 2 2 50 33" xfId="24936" xr:uid="{00000000-0005-0000-0000-0000625E0000}"/>
    <cellStyle name="Normal 2 2 50 34" xfId="24937" xr:uid="{00000000-0005-0000-0000-0000635E0000}"/>
    <cellStyle name="Normal 2 2 50 4" xfId="24938" xr:uid="{00000000-0005-0000-0000-0000645E0000}"/>
    <cellStyle name="Normal 2 2 50 5" xfId="24939" xr:uid="{00000000-0005-0000-0000-0000655E0000}"/>
    <cellStyle name="Normal 2 2 50 6" xfId="24940" xr:uid="{00000000-0005-0000-0000-0000665E0000}"/>
    <cellStyle name="Normal 2 2 50 7" xfId="24941" xr:uid="{00000000-0005-0000-0000-0000675E0000}"/>
    <cellStyle name="Normal 2 2 50 8" xfId="24942" xr:uid="{00000000-0005-0000-0000-0000685E0000}"/>
    <cellStyle name="Normal 2 2 50 9" xfId="24943" xr:uid="{00000000-0005-0000-0000-0000695E0000}"/>
    <cellStyle name="Normal 2 2 51" xfId="24944" xr:uid="{00000000-0005-0000-0000-00006A5E0000}"/>
    <cellStyle name="Normal 2 2 51 10" xfId="24945" xr:uid="{00000000-0005-0000-0000-00006B5E0000}"/>
    <cellStyle name="Normal 2 2 51 11" xfId="24946" xr:uid="{00000000-0005-0000-0000-00006C5E0000}"/>
    <cellStyle name="Normal 2 2 51 12" xfId="24947" xr:uid="{00000000-0005-0000-0000-00006D5E0000}"/>
    <cellStyle name="Normal 2 2 51 13" xfId="24948" xr:uid="{00000000-0005-0000-0000-00006E5E0000}"/>
    <cellStyle name="Normal 2 2 51 14" xfId="24949" xr:uid="{00000000-0005-0000-0000-00006F5E0000}"/>
    <cellStyle name="Normal 2 2 51 15" xfId="24950" xr:uid="{00000000-0005-0000-0000-0000705E0000}"/>
    <cellStyle name="Normal 2 2 51 16" xfId="24951" xr:uid="{00000000-0005-0000-0000-0000715E0000}"/>
    <cellStyle name="Normal 2 2 51 17" xfId="24952" xr:uid="{00000000-0005-0000-0000-0000725E0000}"/>
    <cellStyle name="Normal 2 2 51 18" xfId="24953" xr:uid="{00000000-0005-0000-0000-0000735E0000}"/>
    <cellStyle name="Normal 2 2 51 19" xfId="24954" xr:uid="{00000000-0005-0000-0000-0000745E0000}"/>
    <cellStyle name="Normal 2 2 51 2" xfId="24955" xr:uid="{00000000-0005-0000-0000-0000755E0000}"/>
    <cellStyle name="Normal 2 2 51 20" xfId="24956" xr:uid="{00000000-0005-0000-0000-0000765E0000}"/>
    <cellStyle name="Normal 2 2 51 21" xfId="24957" xr:uid="{00000000-0005-0000-0000-0000775E0000}"/>
    <cellStyle name="Normal 2 2 51 22" xfId="24958" xr:uid="{00000000-0005-0000-0000-0000785E0000}"/>
    <cellStyle name="Normal 2 2 51 23" xfId="24959" xr:uid="{00000000-0005-0000-0000-0000795E0000}"/>
    <cellStyle name="Normal 2 2 51 24" xfId="24960" xr:uid="{00000000-0005-0000-0000-00007A5E0000}"/>
    <cellStyle name="Normal 2 2 51 25" xfId="24961" xr:uid="{00000000-0005-0000-0000-00007B5E0000}"/>
    <cellStyle name="Normal 2 2 51 26" xfId="24962" xr:uid="{00000000-0005-0000-0000-00007C5E0000}"/>
    <cellStyle name="Normal 2 2 51 27" xfId="24963" xr:uid="{00000000-0005-0000-0000-00007D5E0000}"/>
    <cellStyle name="Normal 2 2 51 28" xfId="24964" xr:uid="{00000000-0005-0000-0000-00007E5E0000}"/>
    <cellStyle name="Normal 2 2 51 29" xfId="24965" xr:uid="{00000000-0005-0000-0000-00007F5E0000}"/>
    <cellStyle name="Normal 2 2 51 3" xfId="24966" xr:uid="{00000000-0005-0000-0000-0000805E0000}"/>
    <cellStyle name="Normal 2 2 51 30" xfId="24967" xr:uid="{00000000-0005-0000-0000-0000815E0000}"/>
    <cellStyle name="Normal 2 2 51 31" xfId="24968" xr:uid="{00000000-0005-0000-0000-0000825E0000}"/>
    <cellStyle name="Normal 2 2 51 32" xfId="24969" xr:uid="{00000000-0005-0000-0000-0000835E0000}"/>
    <cellStyle name="Normal 2 2 51 33" xfId="24970" xr:uid="{00000000-0005-0000-0000-0000845E0000}"/>
    <cellStyle name="Normal 2 2 51 34" xfId="24971" xr:uid="{00000000-0005-0000-0000-0000855E0000}"/>
    <cellStyle name="Normal 2 2 51 4" xfId="24972" xr:uid="{00000000-0005-0000-0000-0000865E0000}"/>
    <cellStyle name="Normal 2 2 51 5" xfId="24973" xr:uid="{00000000-0005-0000-0000-0000875E0000}"/>
    <cellStyle name="Normal 2 2 51 6" xfId="24974" xr:uid="{00000000-0005-0000-0000-0000885E0000}"/>
    <cellStyle name="Normal 2 2 51 7" xfId="24975" xr:uid="{00000000-0005-0000-0000-0000895E0000}"/>
    <cellStyle name="Normal 2 2 51 8" xfId="24976" xr:uid="{00000000-0005-0000-0000-00008A5E0000}"/>
    <cellStyle name="Normal 2 2 51 9" xfId="24977" xr:uid="{00000000-0005-0000-0000-00008B5E0000}"/>
    <cellStyle name="Normal 2 2 52" xfId="24978" xr:uid="{00000000-0005-0000-0000-00008C5E0000}"/>
    <cellStyle name="Normal 2 2 52 10" xfId="24979" xr:uid="{00000000-0005-0000-0000-00008D5E0000}"/>
    <cellStyle name="Normal 2 2 52 11" xfId="24980" xr:uid="{00000000-0005-0000-0000-00008E5E0000}"/>
    <cellStyle name="Normal 2 2 52 12" xfId="24981" xr:uid="{00000000-0005-0000-0000-00008F5E0000}"/>
    <cellStyle name="Normal 2 2 52 13" xfId="24982" xr:uid="{00000000-0005-0000-0000-0000905E0000}"/>
    <cellStyle name="Normal 2 2 52 14" xfId="24983" xr:uid="{00000000-0005-0000-0000-0000915E0000}"/>
    <cellStyle name="Normal 2 2 52 15" xfId="24984" xr:uid="{00000000-0005-0000-0000-0000925E0000}"/>
    <cellStyle name="Normal 2 2 52 16" xfId="24985" xr:uid="{00000000-0005-0000-0000-0000935E0000}"/>
    <cellStyle name="Normal 2 2 52 17" xfId="24986" xr:uid="{00000000-0005-0000-0000-0000945E0000}"/>
    <cellStyle name="Normal 2 2 52 18" xfId="24987" xr:uid="{00000000-0005-0000-0000-0000955E0000}"/>
    <cellStyle name="Normal 2 2 52 19" xfId="24988" xr:uid="{00000000-0005-0000-0000-0000965E0000}"/>
    <cellStyle name="Normal 2 2 52 2" xfId="24989" xr:uid="{00000000-0005-0000-0000-0000975E0000}"/>
    <cellStyle name="Normal 2 2 52 20" xfId="24990" xr:uid="{00000000-0005-0000-0000-0000985E0000}"/>
    <cellStyle name="Normal 2 2 52 21" xfId="24991" xr:uid="{00000000-0005-0000-0000-0000995E0000}"/>
    <cellStyle name="Normal 2 2 52 22" xfId="24992" xr:uid="{00000000-0005-0000-0000-00009A5E0000}"/>
    <cellStyle name="Normal 2 2 52 23" xfId="24993" xr:uid="{00000000-0005-0000-0000-00009B5E0000}"/>
    <cellStyle name="Normal 2 2 52 24" xfId="24994" xr:uid="{00000000-0005-0000-0000-00009C5E0000}"/>
    <cellStyle name="Normal 2 2 52 25" xfId="24995" xr:uid="{00000000-0005-0000-0000-00009D5E0000}"/>
    <cellStyle name="Normal 2 2 52 26" xfId="24996" xr:uid="{00000000-0005-0000-0000-00009E5E0000}"/>
    <cellStyle name="Normal 2 2 52 27" xfId="24997" xr:uid="{00000000-0005-0000-0000-00009F5E0000}"/>
    <cellStyle name="Normal 2 2 52 28" xfId="24998" xr:uid="{00000000-0005-0000-0000-0000A05E0000}"/>
    <cellStyle name="Normal 2 2 52 29" xfId="24999" xr:uid="{00000000-0005-0000-0000-0000A15E0000}"/>
    <cellStyle name="Normal 2 2 52 3" xfId="25000" xr:uid="{00000000-0005-0000-0000-0000A25E0000}"/>
    <cellStyle name="Normal 2 2 52 30" xfId="25001" xr:uid="{00000000-0005-0000-0000-0000A35E0000}"/>
    <cellStyle name="Normal 2 2 52 31" xfId="25002" xr:uid="{00000000-0005-0000-0000-0000A45E0000}"/>
    <cellStyle name="Normal 2 2 52 32" xfId="25003" xr:uid="{00000000-0005-0000-0000-0000A55E0000}"/>
    <cellStyle name="Normal 2 2 52 33" xfId="25004" xr:uid="{00000000-0005-0000-0000-0000A65E0000}"/>
    <cellStyle name="Normal 2 2 52 34" xfId="25005" xr:uid="{00000000-0005-0000-0000-0000A75E0000}"/>
    <cellStyle name="Normal 2 2 52 4" xfId="25006" xr:uid="{00000000-0005-0000-0000-0000A85E0000}"/>
    <cellStyle name="Normal 2 2 52 5" xfId="25007" xr:uid="{00000000-0005-0000-0000-0000A95E0000}"/>
    <cellStyle name="Normal 2 2 52 6" xfId="25008" xr:uid="{00000000-0005-0000-0000-0000AA5E0000}"/>
    <cellStyle name="Normal 2 2 52 7" xfId="25009" xr:uid="{00000000-0005-0000-0000-0000AB5E0000}"/>
    <cellStyle name="Normal 2 2 52 8" xfId="25010" xr:uid="{00000000-0005-0000-0000-0000AC5E0000}"/>
    <cellStyle name="Normal 2 2 52 9" xfId="25011" xr:uid="{00000000-0005-0000-0000-0000AD5E0000}"/>
    <cellStyle name="Normal 2 2 53" xfId="25012" xr:uid="{00000000-0005-0000-0000-0000AE5E0000}"/>
    <cellStyle name="Normal 2 2 53 10" xfId="25013" xr:uid="{00000000-0005-0000-0000-0000AF5E0000}"/>
    <cellStyle name="Normal 2 2 53 11" xfId="25014" xr:uid="{00000000-0005-0000-0000-0000B05E0000}"/>
    <cellStyle name="Normal 2 2 53 12" xfId="25015" xr:uid="{00000000-0005-0000-0000-0000B15E0000}"/>
    <cellStyle name="Normal 2 2 53 13" xfId="25016" xr:uid="{00000000-0005-0000-0000-0000B25E0000}"/>
    <cellStyle name="Normal 2 2 53 14" xfId="25017" xr:uid="{00000000-0005-0000-0000-0000B35E0000}"/>
    <cellStyle name="Normal 2 2 53 15" xfId="25018" xr:uid="{00000000-0005-0000-0000-0000B45E0000}"/>
    <cellStyle name="Normal 2 2 53 16" xfId="25019" xr:uid="{00000000-0005-0000-0000-0000B55E0000}"/>
    <cellStyle name="Normal 2 2 53 17" xfId="25020" xr:uid="{00000000-0005-0000-0000-0000B65E0000}"/>
    <cellStyle name="Normal 2 2 53 18" xfId="25021" xr:uid="{00000000-0005-0000-0000-0000B75E0000}"/>
    <cellStyle name="Normal 2 2 53 19" xfId="25022" xr:uid="{00000000-0005-0000-0000-0000B85E0000}"/>
    <cellStyle name="Normal 2 2 53 2" xfId="25023" xr:uid="{00000000-0005-0000-0000-0000B95E0000}"/>
    <cellStyle name="Normal 2 2 53 20" xfId="25024" xr:uid="{00000000-0005-0000-0000-0000BA5E0000}"/>
    <cellStyle name="Normal 2 2 53 21" xfId="25025" xr:uid="{00000000-0005-0000-0000-0000BB5E0000}"/>
    <cellStyle name="Normal 2 2 53 22" xfId="25026" xr:uid="{00000000-0005-0000-0000-0000BC5E0000}"/>
    <cellStyle name="Normal 2 2 53 23" xfId="25027" xr:uid="{00000000-0005-0000-0000-0000BD5E0000}"/>
    <cellStyle name="Normal 2 2 53 24" xfId="25028" xr:uid="{00000000-0005-0000-0000-0000BE5E0000}"/>
    <cellStyle name="Normal 2 2 53 25" xfId="25029" xr:uid="{00000000-0005-0000-0000-0000BF5E0000}"/>
    <cellStyle name="Normal 2 2 53 26" xfId="25030" xr:uid="{00000000-0005-0000-0000-0000C05E0000}"/>
    <cellStyle name="Normal 2 2 53 27" xfId="25031" xr:uid="{00000000-0005-0000-0000-0000C15E0000}"/>
    <cellStyle name="Normal 2 2 53 28" xfId="25032" xr:uid="{00000000-0005-0000-0000-0000C25E0000}"/>
    <cellStyle name="Normal 2 2 53 29" xfId="25033" xr:uid="{00000000-0005-0000-0000-0000C35E0000}"/>
    <cellStyle name="Normal 2 2 53 3" xfId="25034" xr:uid="{00000000-0005-0000-0000-0000C45E0000}"/>
    <cellStyle name="Normal 2 2 53 30" xfId="25035" xr:uid="{00000000-0005-0000-0000-0000C55E0000}"/>
    <cellStyle name="Normal 2 2 53 31" xfId="25036" xr:uid="{00000000-0005-0000-0000-0000C65E0000}"/>
    <cellStyle name="Normal 2 2 53 32" xfId="25037" xr:uid="{00000000-0005-0000-0000-0000C75E0000}"/>
    <cellStyle name="Normal 2 2 53 33" xfId="25038" xr:uid="{00000000-0005-0000-0000-0000C85E0000}"/>
    <cellStyle name="Normal 2 2 53 34" xfId="25039" xr:uid="{00000000-0005-0000-0000-0000C95E0000}"/>
    <cellStyle name="Normal 2 2 53 4" xfId="25040" xr:uid="{00000000-0005-0000-0000-0000CA5E0000}"/>
    <cellStyle name="Normal 2 2 53 5" xfId="25041" xr:uid="{00000000-0005-0000-0000-0000CB5E0000}"/>
    <cellStyle name="Normal 2 2 53 6" xfId="25042" xr:uid="{00000000-0005-0000-0000-0000CC5E0000}"/>
    <cellStyle name="Normal 2 2 53 7" xfId="25043" xr:uid="{00000000-0005-0000-0000-0000CD5E0000}"/>
    <cellStyle name="Normal 2 2 53 8" xfId="25044" xr:uid="{00000000-0005-0000-0000-0000CE5E0000}"/>
    <cellStyle name="Normal 2 2 53 9" xfId="25045" xr:uid="{00000000-0005-0000-0000-0000CF5E0000}"/>
    <cellStyle name="Normal 2 2 54" xfId="25046" xr:uid="{00000000-0005-0000-0000-0000D05E0000}"/>
    <cellStyle name="Normal 2 2 54 10" xfId="25047" xr:uid="{00000000-0005-0000-0000-0000D15E0000}"/>
    <cellStyle name="Normal 2 2 54 11" xfId="25048" xr:uid="{00000000-0005-0000-0000-0000D25E0000}"/>
    <cellStyle name="Normal 2 2 54 12" xfId="25049" xr:uid="{00000000-0005-0000-0000-0000D35E0000}"/>
    <cellStyle name="Normal 2 2 54 13" xfId="25050" xr:uid="{00000000-0005-0000-0000-0000D45E0000}"/>
    <cellStyle name="Normal 2 2 54 14" xfId="25051" xr:uid="{00000000-0005-0000-0000-0000D55E0000}"/>
    <cellStyle name="Normal 2 2 54 15" xfId="25052" xr:uid="{00000000-0005-0000-0000-0000D65E0000}"/>
    <cellStyle name="Normal 2 2 54 16" xfId="25053" xr:uid="{00000000-0005-0000-0000-0000D75E0000}"/>
    <cellStyle name="Normal 2 2 54 17" xfId="25054" xr:uid="{00000000-0005-0000-0000-0000D85E0000}"/>
    <cellStyle name="Normal 2 2 54 18" xfId="25055" xr:uid="{00000000-0005-0000-0000-0000D95E0000}"/>
    <cellStyle name="Normal 2 2 54 19" xfId="25056" xr:uid="{00000000-0005-0000-0000-0000DA5E0000}"/>
    <cellStyle name="Normal 2 2 54 2" xfId="25057" xr:uid="{00000000-0005-0000-0000-0000DB5E0000}"/>
    <cellStyle name="Normal 2 2 54 20" xfId="25058" xr:uid="{00000000-0005-0000-0000-0000DC5E0000}"/>
    <cellStyle name="Normal 2 2 54 21" xfId="25059" xr:uid="{00000000-0005-0000-0000-0000DD5E0000}"/>
    <cellStyle name="Normal 2 2 54 22" xfId="25060" xr:uid="{00000000-0005-0000-0000-0000DE5E0000}"/>
    <cellStyle name="Normal 2 2 54 23" xfId="25061" xr:uid="{00000000-0005-0000-0000-0000DF5E0000}"/>
    <cellStyle name="Normal 2 2 54 24" xfId="25062" xr:uid="{00000000-0005-0000-0000-0000E05E0000}"/>
    <cellStyle name="Normal 2 2 54 25" xfId="25063" xr:uid="{00000000-0005-0000-0000-0000E15E0000}"/>
    <cellStyle name="Normal 2 2 54 26" xfId="25064" xr:uid="{00000000-0005-0000-0000-0000E25E0000}"/>
    <cellStyle name="Normal 2 2 54 27" xfId="25065" xr:uid="{00000000-0005-0000-0000-0000E35E0000}"/>
    <cellStyle name="Normal 2 2 54 28" xfId="25066" xr:uid="{00000000-0005-0000-0000-0000E45E0000}"/>
    <cellStyle name="Normal 2 2 54 29" xfId="25067" xr:uid="{00000000-0005-0000-0000-0000E55E0000}"/>
    <cellStyle name="Normal 2 2 54 3" xfId="25068" xr:uid="{00000000-0005-0000-0000-0000E65E0000}"/>
    <cellStyle name="Normal 2 2 54 30" xfId="25069" xr:uid="{00000000-0005-0000-0000-0000E75E0000}"/>
    <cellStyle name="Normal 2 2 54 31" xfId="25070" xr:uid="{00000000-0005-0000-0000-0000E85E0000}"/>
    <cellStyle name="Normal 2 2 54 32" xfId="25071" xr:uid="{00000000-0005-0000-0000-0000E95E0000}"/>
    <cellStyle name="Normal 2 2 54 33" xfId="25072" xr:uid="{00000000-0005-0000-0000-0000EA5E0000}"/>
    <cellStyle name="Normal 2 2 54 34" xfId="25073" xr:uid="{00000000-0005-0000-0000-0000EB5E0000}"/>
    <cellStyle name="Normal 2 2 54 4" xfId="25074" xr:uid="{00000000-0005-0000-0000-0000EC5E0000}"/>
    <cellStyle name="Normal 2 2 54 5" xfId="25075" xr:uid="{00000000-0005-0000-0000-0000ED5E0000}"/>
    <cellStyle name="Normal 2 2 54 6" xfId="25076" xr:uid="{00000000-0005-0000-0000-0000EE5E0000}"/>
    <cellStyle name="Normal 2 2 54 7" xfId="25077" xr:uid="{00000000-0005-0000-0000-0000EF5E0000}"/>
    <cellStyle name="Normal 2 2 54 8" xfId="25078" xr:uid="{00000000-0005-0000-0000-0000F05E0000}"/>
    <cellStyle name="Normal 2 2 54 9" xfId="25079" xr:uid="{00000000-0005-0000-0000-0000F15E0000}"/>
    <cellStyle name="Normal 2 2 55" xfId="25080" xr:uid="{00000000-0005-0000-0000-0000F25E0000}"/>
    <cellStyle name="Normal 2 2 55 10" xfId="25081" xr:uid="{00000000-0005-0000-0000-0000F35E0000}"/>
    <cellStyle name="Normal 2 2 55 11" xfId="25082" xr:uid="{00000000-0005-0000-0000-0000F45E0000}"/>
    <cellStyle name="Normal 2 2 55 12" xfId="25083" xr:uid="{00000000-0005-0000-0000-0000F55E0000}"/>
    <cellStyle name="Normal 2 2 55 13" xfId="25084" xr:uid="{00000000-0005-0000-0000-0000F65E0000}"/>
    <cellStyle name="Normal 2 2 55 14" xfId="25085" xr:uid="{00000000-0005-0000-0000-0000F75E0000}"/>
    <cellStyle name="Normal 2 2 55 15" xfId="25086" xr:uid="{00000000-0005-0000-0000-0000F85E0000}"/>
    <cellStyle name="Normal 2 2 55 16" xfId="25087" xr:uid="{00000000-0005-0000-0000-0000F95E0000}"/>
    <cellStyle name="Normal 2 2 55 17" xfId="25088" xr:uid="{00000000-0005-0000-0000-0000FA5E0000}"/>
    <cellStyle name="Normal 2 2 55 18" xfId="25089" xr:uid="{00000000-0005-0000-0000-0000FB5E0000}"/>
    <cellStyle name="Normal 2 2 55 19" xfId="25090" xr:uid="{00000000-0005-0000-0000-0000FC5E0000}"/>
    <cellStyle name="Normal 2 2 55 2" xfId="25091" xr:uid="{00000000-0005-0000-0000-0000FD5E0000}"/>
    <cellStyle name="Normal 2 2 55 20" xfId="25092" xr:uid="{00000000-0005-0000-0000-0000FE5E0000}"/>
    <cellStyle name="Normal 2 2 55 21" xfId="25093" xr:uid="{00000000-0005-0000-0000-0000FF5E0000}"/>
    <cellStyle name="Normal 2 2 55 22" xfId="25094" xr:uid="{00000000-0005-0000-0000-0000005F0000}"/>
    <cellStyle name="Normal 2 2 55 23" xfId="25095" xr:uid="{00000000-0005-0000-0000-0000015F0000}"/>
    <cellStyle name="Normal 2 2 55 24" xfId="25096" xr:uid="{00000000-0005-0000-0000-0000025F0000}"/>
    <cellStyle name="Normal 2 2 55 25" xfId="25097" xr:uid="{00000000-0005-0000-0000-0000035F0000}"/>
    <cellStyle name="Normal 2 2 55 26" xfId="25098" xr:uid="{00000000-0005-0000-0000-0000045F0000}"/>
    <cellStyle name="Normal 2 2 55 27" xfId="25099" xr:uid="{00000000-0005-0000-0000-0000055F0000}"/>
    <cellStyle name="Normal 2 2 55 28" xfId="25100" xr:uid="{00000000-0005-0000-0000-0000065F0000}"/>
    <cellStyle name="Normal 2 2 55 29" xfId="25101" xr:uid="{00000000-0005-0000-0000-0000075F0000}"/>
    <cellStyle name="Normal 2 2 55 3" xfId="25102" xr:uid="{00000000-0005-0000-0000-0000085F0000}"/>
    <cellStyle name="Normal 2 2 55 30" xfId="25103" xr:uid="{00000000-0005-0000-0000-0000095F0000}"/>
    <cellStyle name="Normal 2 2 55 31" xfId="25104" xr:uid="{00000000-0005-0000-0000-00000A5F0000}"/>
    <cellStyle name="Normal 2 2 55 32" xfId="25105" xr:uid="{00000000-0005-0000-0000-00000B5F0000}"/>
    <cellStyle name="Normal 2 2 55 33" xfId="25106" xr:uid="{00000000-0005-0000-0000-00000C5F0000}"/>
    <cellStyle name="Normal 2 2 55 34" xfId="25107" xr:uid="{00000000-0005-0000-0000-00000D5F0000}"/>
    <cellStyle name="Normal 2 2 55 4" xfId="25108" xr:uid="{00000000-0005-0000-0000-00000E5F0000}"/>
    <cellStyle name="Normal 2 2 55 5" xfId="25109" xr:uid="{00000000-0005-0000-0000-00000F5F0000}"/>
    <cellStyle name="Normal 2 2 55 6" xfId="25110" xr:uid="{00000000-0005-0000-0000-0000105F0000}"/>
    <cellStyle name="Normal 2 2 55 7" xfId="25111" xr:uid="{00000000-0005-0000-0000-0000115F0000}"/>
    <cellStyle name="Normal 2 2 55 8" xfId="25112" xr:uid="{00000000-0005-0000-0000-0000125F0000}"/>
    <cellStyle name="Normal 2 2 55 9" xfId="25113" xr:uid="{00000000-0005-0000-0000-0000135F0000}"/>
    <cellStyle name="Normal 2 2 56" xfId="25114" xr:uid="{00000000-0005-0000-0000-0000145F0000}"/>
    <cellStyle name="Normal 2 2 56 10" xfId="25115" xr:uid="{00000000-0005-0000-0000-0000155F0000}"/>
    <cellStyle name="Normal 2 2 56 11" xfId="25116" xr:uid="{00000000-0005-0000-0000-0000165F0000}"/>
    <cellStyle name="Normal 2 2 56 12" xfId="25117" xr:uid="{00000000-0005-0000-0000-0000175F0000}"/>
    <cellStyle name="Normal 2 2 56 13" xfId="25118" xr:uid="{00000000-0005-0000-0000-0000185F0000}"/>
    <cellStyle name="Normal 2 2 56 14" xfId="25119" xr:uid="{00000000-0005-0000-0000-0000195F0000}"/>
    <cellStyle name="Normal 2 2 56 15" xfId="25120" xr:uid="{00000000-0005-0000-0000-00001A5F0000}"/>
    <cellStyle name="Normal 2 2 56 16" xfId="25121" xr:uid="{00000000-0005-0000-0000-00001B5F0000}"/>
    <cellStyle name="Normal 2 2 56 17" xfId="25122" xr:uid="{00000000-0005-0000-0000-00001C5F0000}"/>
    <cellStyle name="Normal 2 2 56 18" xfId="25123" xr:uid="{00000000-0005-0000-0000-00001D5F0000}"/>
    <cellStyle name="Normal 2 2 56 19" xfId="25124" xr:uid="{00000000-0005-0000-0000-00001E5F0000}"/>
    <cellStyle name="Normal 2 2 56 2" xfId="25125" xr:uid="{00000000-0005-0000-0000-00001F5F0000}"/>
    <cellStyle name="Normal 2 2 56 20" xfId="25126" xr:uid="{00000000-0005-0000-0000-0000205F0000}"/>
    <cellStyle name="Normal 2 2 56 21" xfId="25127" xr:uid="{00000000-0005-0000-0000-0000215F0000}"/>
    <cellStyle name="Normal 2 2 56 22" xfId="25128" xr:uid="{00000000-0005-0000-0000-0000225F0000}"/>
    <cellStyle name="Normal 2 2 56 23" xfId="25129" xr:uid="{00000000-0005-0000-0000-0000235F0000}"/>
    <cellStyle name="Normal 2 2 56 24" xfId="25130" xr:uid="{00000000-0005-0000-0000-0000245F0000}"/>
    <cellStyle name="Normal 2 2 56 25" xfId="25131" xr:uid="{00000000-0005-0000-0000-0000255F0000}"/>
    <cellStyle name="Normal 2 2 56 26" xfId="25132" xr:uid="{00000000-0005-0000-0000-0000265F0000}"/>
    <cellStyle name="Normal 2 2 56 27" xfId="25133" xr:uid="{00000000-0005-0000-0000-0000275F0000}"/>
    <cellStyle name="Normal 2 2 56 28" xfId="25134" xr:uid="{00000000-0005-0000-0000-0000285F0000}"/>
    <cellStyle name="Normal 2 2 56 29" xfId="25135" xr:uid="{00000000-0005-0000-0000-0000295F0000}"/>
    <cellStyle name="Normal 2 2 56 3" xfId="25136" xr:uid="{00000000-0005-0000-0000-00002A5F0000}"/>
    <cellStyle name="Normal 2 2 56 30" xfId="25137" xr:uid="{00000000-0005-0000-0000-00002B5F0000}"/>
    <cellStyle name="Normal 2 2 56 31" xfId="25138" xr:uid="{00000000-0005-0000-0000-00002C5F0000}"/>
    <cellStyle name="Normal 2 2 56 32" xfId="25139" xr:uid="{00000000-0005-0000-0000-00002D5F0000}"/>
    <cellStyle name="Normal 2 2 56 33" xfId="25140" xr:uid="{00000000-0005-0000-0000-00002E5F0000}"/>
    <cellStyle name="Normal 2 2 56 34" xfId="25141" xr:uid="{00000000-0005-0000-0000-00002F5F0000}"/>
    <cellStyle name="Normal 2 2 56 4" xfId="25142" xr:uid="{00000000-0005-0000-0000-0000305F0000}"/>
    <cellStyle name="Normal 2 2 56 5" xfId="25143" xr:uid="{00000000-0005-0000-0000-0000315F0000}"/>
    <cellStyle name="Normal 2 2 56 6" xfId="25144" xr:uid="{00000000-0005-0000-0000-0000325F0000}"/>
    <cellStyle name="Normal 2 2 56 7" xfId="25145" xr:uid="{00000000-0005-0000-0000-0000335F0000}"/>
    <cellStyle name="Normal 2 2 56 8" xfId="25146" xr:uid="{00000000-0005-0000-0000-0000345F0000}"/>
    <cellStyle name="Normal 2 2 56 9" xfId="25147" xr:uid="{00000000-0005-0000-0000-0000355F0000}"/>
    <cellStyle name="Normal 2 2 57" xfId="25148" xr:uid="{00000000-0005-0000-0000-0000365F0000}"/>
    <cellStyle name="Normal 2 2 57 2" xfId="25149" xr:uid="{00000000-0005-0000-0000-0000375F0000}"/>
    <cellStyle name="Normal 2 2 58" xfId="25150" xr:uid="{00000000-0005-0000-0000-0000385F0000}"/>
    <cellStyle name="Normal 2 2 58 2" xfId="25151" xr:uid="{00000000-0005-0000-0000-0000395F0000}"/>
    <cellStyle name="Normal 2 2 59" xfId="25152" xr:uid="{00000000-0005-0000-0000-00003A5F0000}"/>
    <cellStyle name="Normal 2 2 59 2" xfId="25153" xr:uid="{00000000-0005-0000-0000-00003B5F0000}"/>
    <cellStyle name="Normal 2 2 6" xfId="1937" xr:uid="{00000000-0005-0000-0000-00003C5F0000}"/>
    <cellStyle name="Normal 2 2 6 10" xfId="25154" xr:uid="{00000000-0005-0000-0000-00003D5F0000}"/>
    <cellStyle name="Normal 2 2 6 11" xfId="25155" xr:uid="{00000000-0005-0000-0000-00003E5F0000}"/>
    <cellStyle name="Normal 2 2 6 12" xfId="25156" xr:uid="{00000000-0005-0000-0000-00003F5F0000}"/>
    <cellStyle name="Normal 2 2 6 13" xfId="25157" xr:uid="{00000000-0005-0000-0000-0000405F0000}"/>
    <cellStyle name="Normal 2 2 6 14" xfId="25158" xr:uid="{00000000-0005-0000-0000-0000415F0000}"/>
    <cellStyle name="Normal 2 2 6 2" xfId="2514" xr:uid="{00000000-0005-0000-0000-0000425F0000}"/>
    <cellStyle name="Normal 2 2 6 2 2" xfId="25159" xr:uid="{00000000-0005-0000-0000-0000435F0000}"/>
    <cellStyle name="Normal 2 2 6 2 2 2" xfId="25160" xr:uid="{00000000-0005-0000-0000-0000445F0000}"/>
    <cellStyle name="Normal 2 2 6 2 2 2 2" xfId="25161" xr:uid="{00000000-0005-0000-0000-0000455F0000}"/>
    <cellStyle name="Normal 2 2 6 2 2 3" xfId="25162" xr:uid="{00000000-0005-0000-0000-0000465F0000}"/>
    <cellStyle name="Normal 2 2 6 2 3" xfId="25163" xr:uid="{00000000-0005-0000-0000-0000475F0000}"/>
    <cellStyle name="Normal 2 2 6 2 3 2" xfId="25164" xr:uid="{00000000-0005-0000-0000-0000485F0000}"/>
    <cellStyle name="Normal 2 2 6 2 4" xfId="25165" xr:uid="{00000000-0005-0000-0000-0000495F0000}"/>
    <cellStyle name="Normal 2 2 6 2 5" xfId="25166" xr:uid="{00000000-0005-0000-0000-00004A5F0000}"/>
    <cellStyle name="Normal 2 2 6 2 6" xfId="25167" xr:uid="{00000000-0005-0000-0000-00004B5F0000}"/>
    <cellStyle name="Normal 2 2 6 3" xfId="25168" xr:uid="{00000000-0005-0000-0000-00004C5F0000}"/>
    <cellStyle name="Normal 2 2 6 3 2" xfId="25169" xr:uid="{00000000-0005-0000-0000-00004D5F0000}"/>
    <cellStyle name="Normal 2 2 6 3 3" xfId="25170" xr:uid="{00000000-0005-0000-0000-00004E5F0000}"/>
    <cellStyle name="Normal 2 2 6 3 4" xfId="25171" xr:uid="{00000000-0005-0000-0000-00004F5F0000}"/>
    <cellStyle name="Normal 2 2 6 3 5" xfId="25172" xr:uid="{00000000-0005-0000-0000-0000505F0000}"/>
    <cellStyle name="Normal 2 2 6 3 6" xfId="25173" xr:uid="{00000000-0005-0000-0000-0000515F0000}"/>
    <cellStyle name="Normal 2 2 6 4" xfId="25174" xr:uid="{00000000-0005-0000-0000-0000525F0000}"/>
    <cellStyle name="Normal 2 2 6 4 2" xfId="25175" xr:uid="{00000000-0005-0000-0000-0000535F0000}"/>
    <cellStyle name="Normal 2 2 6 4 3" xfId="25176" xr:uid="{00000000-0005-0000-0000-0000545F0000}"/>
    <cellStyle name="Normal 2 2 6 4 4" xfId="25177" xr:uid="{00000000-0005-0000-0000-0000555F0000}"/>
    <cellStyle name="Normal 2 2 6 4 5" xfId="25178" xr:uid="{00000000-0005-0000-0000-0000565F0000}"/>
    <cellStyle name="Normal 2 2 6 4 6" xfId="25179" xr:uid="{00000000-0005-0000-0000-0000575F0000}"/>
    <cellStyle name="Normal 2 2 6 5" xfId="25180" xr:uid="{00000000-0005-0000-0000-0000585F0000}"/>
    <cellStyle name="Normal 2 2 6 5 2" xfId="25181" xr:uid="{00000000-0005-0000-0000-0000595F0000}"/>
    <cellStyle name="Normal 2 2 6 5 3" xfId="25182" xr:uid="{00000000-0005-0000-0000-00005A5F0000}"/>
    <cellStyle name="Normal 2 2 6 5 4" xfId="25183" xr:uid="{00000000-0005-0000-0000-00005B5F0000}"/>
    <cellStyle name="Normal 2 2 6 5 5" xfId="25184" xr:uid="{00000000-0005-0000-0000-00005C5F0000}"/>
    <cellStyle name="Normal 2 2 6 5 6" xfId="25185" xr:uid="{00000000-0005-0000-0000-00005D5F0000}"/>
    <cellStyle name="Normal 2 2 6 6" xfId="25186" xr:uid="{00000000-0005-0000-0000-00005E5F0000}"/>
    <cellStyle name="Normal 2 2 6 6 2" xfId="25187" xr:uid="{00000000-0005-0000-0000-00005F5F0000}"/>
    <cellStyle name="Normal 2 2 6 6 3" xfId="25188" xr:uid="{00000000-0005-0000-0000-0000605F0000}"/>
    <cellStyle name="Normal 2 2 6 6 4" xfId="25189" xr:uid="{00000000-0005-0000-0000-0000615F0000}"/>
    <cellStyle name="Normal 2 2 6 6 5" xfId="25190" xr:uid="{00000000-0005-0000-0000-0000625F0000}"/>
    <cellStyle name="Normal 2 2 6 6 6" xfId="25191" xr:uid="{00000000-0005-0000-0000-0000635F0000}"/>
    <cellStyle name="Normal 2 2 6 7" xfId="25192" xr:uid="{00000000-0005-0000-0000-0000645F0000}"/>
    <cellStyle name="Normal 2 2 6 7 2" xfId="25193" xr:uid="{00000000-0005-0000-0000-0000655F0000}"/>
    <cellStyle name="Normal 2 2 6 7 3" xfId="25194" xr:uid="{00000000-0005-0000-0000-0000665F0000}"/>
    <cellStyle name="Normal 2 2 6 7 4" xfId="25195" xr:uid="{00000000-0005-0000-0000-0000675F0000}"/>
    <cellStyle name="Normal 2 2 6 7 5" xfId="25196" xr:uid="{00000000-0005-0000-0000-0000685F0000}"/>
    <cellStyle name="Normal 2 2 6 7 6" xfId="25197" xr:uid="{00000000-0005-0000-0000-0000695F0000}"/>
    <cellStyle name="Normal 2 2 6 8" xfId="25198" xr:uid="{00000000-0005-0000-0000-00006A5F0000}"/>
    <cellStyle name="Normal 2 2 6 8 2" xfId="25199" xr:uid="{00000000-0005-0000-0000-00006B5F0000}"/>
    <cellStyle name="Normal 2 2 6 8 3" xfId="25200" xr:uid="{00000000-0005-0000-0000-00006C5F0000}"/>
    <cellStyle name="Normal 2 2 6 8 4" xfId="25201" xr:uid="{00000000-0005-0000-0000-00006D5F0000}"/>
    <cellStyle name="Normal 2 2 6 8 5" xfId="25202" xr:uid="{00000000-0005-0000-0000-00006E5F0000}"/>
    <cellStyle name="Normal 2 2 6 8 6" xfId="25203" xr:uid="{00000000-0005-0000-0000-00006F5F0000}"/>
    <cellStyle name="Normal 2 2 6 9" xfId="25204" xr:uid="{00000000-0005-0000-0000-0000705F0000}"/>
    <cellStyle name="Normal 2 2 60" xfId="25205" xr:uid="{00000000-0005-0000-0000-0000715F0000}"/>
    <cellStyle name="Normal 2 2 60 2" xfId="25206" xr:uid="{00000000-0005-0000-0000-0000725F0000}"/>
    <cellStyle name="Normal 2 2 61" xfId="25207" xr:uid="{00000000-0005-0000-0000-0000735F0000}"/>
    <cellStyle name="Normal 2 2 61 2" xfId="25208" xr:uid="{00000000-0005-0000-0000-0000745F0000}"/>
    <cellStyle name="Normal 2 2 61 3" xfId="25209" xr:uid="{00000000-0005-0000-0000-0000755F0000}"/>
    <cellStyle name="Normal 2 2 61 4" xfId="25210" xr:uid="{00000000-0005-0000-0000-0000765F0000}"/>
    <cellStyle name="Normal 2 2 61 5" xfId="25211" xr:uid="{00000000-0005-0000-0000-0000775F0000}"/>
    <cellStyle name="Normal 2 2 61 6" xfId="25212" xr:uid="{00000000-0005-0000-0000-0000785F0000}"/>
    <cellStyle name="Normal 2 2 61 7" xfId="25213" xr:uid="{00000000-0005-0000-0000-0000795F0000}"/>
    <cellStyle name="Normal 2 2 62" xfId="25214" xr:uid="{00000000-0005-0000-0000-00007A5F0000}"/>
    <cellStyle name="Normal 2 2 62 2" xfId="25215" xr:uid="{00000000-0005-0000-0000-00007B5F0000}"/>
    <cellStyle name="Normal 2 2 62 3" xfId="25216" xr:uid="{00000000-0005-0000-0000-00007C5F0000}"/>
    <cellStyle name="Normal 2 2 62 4" xfId="25217" xr:uid="{00000000-0005-0000-0000-00007D5F0000}"/>
    <cellStyle name="Normal 2 2 62 5" xfId="25218" xr:uid="{00000000-0005-0000-0000-00007E5F0000}"/>
    <cellStyle name="Normal 2 2 62 6" xfId="25219" xr:uid="{00000000-0005-0000-0000-00007F5F0000}"/>
    <cellStyle name="Normal 2 2 62 7" xfId="25220" xr:uid="{00000000-0005-0000-0000-0000805F0000}"/>
    <cellStyle name="Normal 2 2 63" xfId="25221" xr:uid="{00000000-0005-0000-0000-0000815F0000}"/>
    <cellStyle name="Normal 2 2 63 2" xfId="25222" xr:uid="{00000000-0005-0000-0000-0000825F0000}"/>
    <cellStyle name="Normal 2 2 63 3" xfId="25223" xr:uid="{00000000-0005-0000-0000-0000835F0000}"/>
    <cellStyle name="Normal 2 2 63 4" xfId="25224" xr:uid="{00000000-0005-0000-0000-0000845F0000}"/>
    <cellStyle name="Normal 2 2 63 5" xfId="25225" xr:uid="{00000000-0005-0000-0000-0000855F0000}"/>
    <cellStyle name="Normal 2 2 63 6" xfId="25226" xr:uid="{00000000-0005-0000-0000-0000865F0000}"/>
    <cellStyle name="Normal 2 2 63 7" xfId="25227" xr:uid="{00000000-0005-0000-0000-0000875F0000}"/>
    <cellStyle name="Normal 2 2 64" xfId="25228" xr:uid="{00000000-0005-0000-0000-0000885F0000}"/>
    <cellStyle name="Normal 2 2 64 2" xfId="25229" xr:uid="{00000000-0005-0000-0000-0000895F0000}"/>
    <cellStyle name="Normal 2 2 64 3" xfId="25230" xr:uid="{00000000-0005-0000-0000-00008A5F0000}"/>
    <cellStyle name="Normal 2 2 64 4" xfId="25231" xr:uid="{00000000-0005-0000-0000-00008B5F0000}"/>
    <cellStyle name="Normal 2 2 64 5" xfId="25232" xr:uid="{00000000-0005-0000-0000-00008C5F0000}"/>
    <cellStyle name="Normal 2 2 64 6" xfId="25233" xr:uid="{00000000-0005-0000-0000-00008D5F0000}"/>
    <cellStyle name="Normal 2 2 65" xfId="25234" xr:uid="{00000000-0005-0000-0000-00008E5F0000}"/>
    <cellStyle name="Normal 2 2 65 2" xfId="25235" xr:uid="{00000000-0005-0000-0000-00008F5F0000}"/>
    <cellStyle name="Normal 2 2 65 2 2" xfId="25236" xr:uid="{00000000-0005-0000-0000-0000905F0000}"/>
    <cellStyle name="Normal 2 2 65 2 2 2" xfId="25237" xr:uid="{00000000-0005-0000-0000-0000915F0000}"/>
    <cellStyle name="Normal 2 2 65 2 2 3" xfId="25238" xr:uid="{00000000-0005-0000-0000-0000925F0000}"/>
    <cellStyle name="Normal 2 2 65 2 2 4" xfId="25239" xr:uid="{00000000-0005-0000-0000-0000935F0000}"/>
    <cellStyle name="Normal 2 2 65 2 2 5" xfId="25240" xr:uid="{00000000-0005-0000-0000-0000945F0000}"/>
    <cellStyle name="Normal 2 2 65 2 2 6" xfId="25241" xr:uid="{00000000-0005-0000-0000-0000955F0000}"/>
    <cellStyle name="Normal 2 2 65 2 2 7" xfId="25242" xr:uid="{00000000-0005-0000-0000-0000965F0000}"/>
    <cellStyle name="Normal 2 2 65 3" xfId="25243" xr:uid="{00000000-0005-0000-0000-0000975F0000}"/>
    <cellStyle name="Normal 2 2 65 4" xfId="25244" xr:uid="{00000000-0005-0000-0000-0000985F0000}"/>
    <cellStyle name="Normal 2 2 65 5" xfId="25245" xr:uid="{00000000-0005-0000-0000-0000995F0000}"/>
    <cellStyle name="Normal 2 2 65 6" xfId="25246" xr:uid="{00000000-0005-0000-0000-00009A5F0000}"/>
    <cellStyle name="Normal 2 2 65 7" xfId="25247" xr:uid="{00000000-0005-0000-0000-00009B5F0000}"/>
    <cellStyle name="Normal 2 2 65 8" xfId="25248" xr:uid="{00000000-0005-0000-0000-00009C5F0000}"/>
    <cellStyle name="Normal 2 2 66" xfId="25249" xr:uid="{00000000-0005-0000-0000-00009D5F0000}"/>
    <cellStyle name="Normal 2 2 66 2" xfId="25250" xr:uid="{00000000-0005-0000-0000-00009E5F0000}"/>
    <cellStyle name="Normal 2 2 67" xfId="25251" xr:uid="{00000000-0005-0000-0000-00009F5F0000}"/>
    <cellStyle name="Normal 2 2 67 2" xfId="25252" xr:uid="{00000000-0005-0000-0000-0000A05F0000}"/>
    <cellStyle name="Normal 2 2 68" xfId="25253" xr:uid="{00000000-0005-0000-0000-0000A15F0000}"/>
    <cellStyle name="Normal 2 2 69" xfId="25254" xr:uid="{00000000-0005-0000-0000-0000A25F0000}"/>
    <cellStyle name="Normal 2 2 7" xfId="2515" xr:uid="{00000000-0005-0000-0000-0000A35F0000}"/>
    <cellStyle name="Normal 2 2 7 10" xfId="25255" xr:uid="{00000000-0005-0000-0000-0000A45F0000}"/>
    <cellStyle name="Normal 2 2 7 11" xfId="25256" xr:uid="{00000000-0005-0000-0000-0000A55F0000}"/>
    <cellStyle name="Normal 2 2 7 12" xfId="25257" xr:uid="{00000000-0005-0000-0000-0000A65F0000}"/>
    <cellStyle name="Normal 2 2 7 13" xfId="25258" xr:uid="{00000000-0005-0000-0000-0000A75F0000}"/>
    <cellStyle name="Normal 2 2 7 14" xfId="25259" xr:uid="{00000000-0005-0000-0000-0000A85F0000}"/>
    <cellStyle name="Normal 2 2 7 15" xfId="43330" xr:uid="{00000000-0005-0000-0000-0000A95F0000}"/>
    <cellStyle name="Normal 2 2 7 2" xfId="25260" xr:uid="{00000000-0005-0000-0000-0000AA5F0000}"/>
    <cellStyle name="Normal 2 2 7 2 2" xfId="25261" xr:uid="{00000000-0005-0000-0000-0000AB5F0000}"/>
    <cellStyle name="Normal 2 2 7 2 2 2" xfId="25262" xr:uid="{00000000-0005-0000-0000-0000AC5F0000}"/>
    <cellStyle name="Normal 2 2 7 2 3" xfId="25263" xr:uid="{00000000-0005-0000-0000-0000AD5F0000}"/>
    <cellStyle name="Normal 2 2 7 2 4" xfId="25264" xr:uid="{00000000-0005-0000-0000-0000AE5F0000}"/>
    <cellStyle name="Normal 2 2 7 2 5" xfId="25265" xr:uid="{00000000-0005-0000-0000-0000AF5F0000}"/>
    <cellStyle name="Normal 2 2 7 2 6" xfId="25266" xr:uid="{00000000-0005-0000-0000-0000B05F0000}"/>
    <cellStyle name="Normal 2 2 7 2 7" xfId="25267" xr:uid="{00000000-0005-0000-0000-0000B15F0000}"/>
    <cellStyle name="Normal 2 2 7 3" xfId="25268" xr:uid="{00000000-0005-0000-0000-0000B25F0000}"/>
    <cellStyle name="Normal 2 2 7 3 2" xfId="25269" xr:uid="{00000000-0005-0000-0000-0000B35F0000}"/>
    <cellStyle name="Normal 2 2 7 3 3" xfId="25270" xr:uid="{00000000-0005-0000-0000-0000B45F0000}"/>
    <cellStyle name="Normal 2 2 7 3 4" xfId="25271" xr:uid="{00000000-0005-0000-0000-0000B55F0000}"/>
    <cellStyle name="Normal 2 2 7 3 5" xfId="25272" xr:uid="{00000000-0005-0000-0000-0000B65F0000}"/>
    <cellStyle name="Normal 2 2 7 3 6" xfId="25273" xr:uid="{00000000-0005-0000-0000-0000B75F0000}"/>
    <cellStyle name="Normal 2 2 7 4" xfId="25274" xr:uid="{00000000-0005-0000-0000-0000B85F0000}"/>
    <cellStyle name="Normal 2 2 7 4 2" xfId="25275" xr:uid="{00000000-0005-0000-0000-0000B95F0000}"/>
    <cellStyle name="Normal 2 2 7 4 3" xfId="25276" xr:uid="{00000000-0005-0000-0000-0000BA5F0000}"/>
    <cellStyle name="Normal 2 2 7 4 4" xfId="25277" xr:uid="{00000000-0005-0000-0000-0000BB5F0000}"/>
    <cellStyle name="Normal 2 2 7 4 5" xfId="25278" xr:uid="{00000000-0005-0000-0000-0000BC5F0000}"/>
    <cellStyle name="Normal 2 2 7 4 6" xfId="25279" xr:uid="{00000000-0005-0000-0000-0000BD5F0000}"/>
    <cellStyle name="Normal 2 2 7 5" xfId="25280" xr:uid="{00000000-0005-0000-0000-0000BE5F0000}"/>
    <cellStyle name="Normal 2 2 7 5 2" xfId="25281" xr:uid="{00000000-0005-0000-0000-0000BF5F0000}"/>
    <cellStyle name="Normal 2 2 7 5 3" xfId="25282" xr:uid="{00000000-0005-0000-0000-0000C05F0000}"/>
    <cellStyle name="Normal 2 2 7 5 4" xfId="25283" xr:uid="{00000000-0005-0000-0000-0000C15F0000}"/>
    <cellStyle name="Normal 2 2 7 5 5" xfId="25284" xr:uid="{00000000-0005-0000-0000-0000C25F0000}"/>
    <cellStyle name="Normal 2 2 7 5 6" xfId="25285" xr:uid="{00000000-0005-0000-0000-0000C35F0000}"/>
    <cellStyle name="Normal 2 2 7 6" xfId="25286" xr:uid="{00000000-0005-0000-0000-0000C45F0000}"/>
    <cellStyle name="Normal 2 2 7 6 2" xfId="25287" xr:uid="{00000000-0005-0000-0000-0000C55F0000}"/>
    <cellStyle name="Normal 2 2 7 6 3" xfId="25288" xr:uid="{00000000-0005-0000-0000-0000C65F0000}"/>
    <cellStyle name="Normal 2 2 7 6 4" xfId="25289" xr:uid="{00000000-0005-0000-0000-0000C75F0000}"/>
    <cellStyle name="Normal 2 2 7 6 5" xfId="25290" xr:uid="{00000000-0005-0000-0000-0000C85F0000}"/>
    <cellStyle name="Normal 2 2 7 6 6" xfId="25291" xr:uid="{00000000-0005-0000-0000-0000C95F0000}"/>
    <cellStyle name="Normal 2 2 7 7" xfId="25292" xr:uid="{00000000-0005-0000-0000-0000CA5F0000}"/>
    <cellStyle name="Normal 2 2 7 7 2" xfId="25293" xr:uid="{00000000-0005-0000-0000-0000CB5F0000}"/>
    <cellStyle name="Normal 2 2 7 7 3" xfId="25294" xr:uid="{00000000-0005-0000-0000-0000CC5F0000}"/>
    <cellStyle name="Normal 2 2 7 7 4" xfId="25295" xr:uid="{00000000-0005-0000-0000-0000CD5F0000}"/>
    <cellStyle name="Normal 2 2 7 7 5" xfId="25296" xr:uid="{00000000-0005-0000-0000-0000CE5F0000}"/>
    <cellStyle name="Normal 2 2 7 7 6" xfId="25297" xr:uid="{00000000-0005-0000-0000-0000CF5F0000}"/>
    <cellStyle name="Normal 2 2 7 8" xfId="25298" xr:uid="{00000000-0005-0000-0000-0000D05F0000}"/>
    <cellStyle name="Normal 2 2 7 8 2" xfId="25299" xr:uid="{00000000-0005-0000-0000-0000D15F0000}"/>
    <cellStyle name="Normal 2 2 7 8 3" xfId="25300" xr:uid="{00000000-0005-0000-0000-0000D25F0000}"/>
    <cellStyle name="Normal 2 2 7 8 4" xfId="25301" xr:uid="{00000000-0005-0000-0000-0000D35F0000}"/>
    <cellStyle name="Normal 2 2 7 8 5" xfId="25302" xr:uid="{00000000-0005-0000-0000-0000D45F0000}"/>
    <cellStyle name="Normal 2 2 7 8 6" xfId="25303" xr:uid="{00000000-0005-0000-0000-0000D55F0000}"/>
    <cellStyle name="Normal 2 2 7 9" xfId="25304" xr:uid="{00000000-0005-0000-0000-0000D65F0000}"/>
    <cellStyle name="Normal 2 2 70" xfId="25305" xr:uid="{00000000-0005-0000-0000-0000D75F0000}"/>
    <cellStyle name="Normal 2 2 71" xfId="25306" xr:uid="{00000000-0005-0000-0000-0000D85F0000}"/>
    <cellStyle name="Normal 2 2 72" xfId="25307" xr:uid="{00000000-0005-0000-0000-0000D95F0000}"/>
    <cellStyle name="Normal 2 2 73" xfId="25308" xr:uid="{00000000-0005-0000-0000-0000DA5F0000}"/>
    <cellStyle name="Normal 2 2 74" xfId="25309" xr:uid="{00000000-0005-0000-0000-0000DB5F0000}"/>
    <cellStyle name="Normal 2 2 75" xfId="25310" xr:uid="{00000000-0005-0000-0000-0000DC5F0000}"/>
    <cellStyle name="Normal 2 2 76" xfId="25311" xr:uid="{00000000-0005-0000-0000-0000DD5F0000}"/>
    <cellStyle name="Normal 2 2 77" xfId="25312" xr:uid="{00000000-0005-0000-0000-0000DE5F0000}"/>
    <cellStyle name="Normal 2 2 78" xfId="25313" xr:uid="{00000000-0005-0000-0000-0000DF5F0000}"/>
    <cellStyle name="Normal 2 2 79" xfId="25314" xr:uid="{00000000-0005-0000-0000-0000E05F0000}"/>
    <cellStyle name="Normal 2 2 8" xfId="2516" xr:uid="{00000000-0005-0000-0000-0000E15F0000}"/>
    <cellStyle name="Normal 2 2 8 10" xfId="25315" xr:uid="{00000000-0005-0000-0000-0000E25F0000}"/>
    <cellStyle name="Normal 2 2 8 11" xfId="25316" xr:uid="{00000000-0005-0000-0000-0000E35F0000}"/>
    <cellStyle name="Normal 2 2 8 12" xfId="25317" xr:uid="{00000000-0005-0000-0000-0000E45F0000}"/>
    <cellStyle name="Normal 2 2 8 13" xfId="25318" xr:uid="{00000000-0005-0000-0000-0000E55F0000}"/>
    <cellStyle name="Normal 2 2 8 14" xfId="25319" xr:uid="{00000000-0005-0000-0000-0000E65F0000}"/>
    <cellStyle name="Normal 2 2 8 15" xfId="43331" xr:uid="{00000000-0005-0000-0000-0000E75F0000}"/>
    <cellStyle name="Normal 2 2 8 2" xfId="25320" xr:uid="{00000000-0005-0000-0000-0000E85F0000}"/>
    <cellStyle name="Normal 2 2 8 2 2" xfId="25321" xr:uid="{00000000-0005-0000-0000-0000E95F0000}"/>
    <cellStyle name="Normal 2 2 8 2 3" xfId="25322" xr:uid="{00000000-0005-0000-0000-0000EA5F0000}"/>
    <cellStyle name="Normal 2 2 8 2 4" xfId="25323" xr:uid="{00000000-0005-0000-0000-0000EB5F0000}"/>
    <cellStyle name="Normal 2 2 8 2 5" xfId="25324" xr:uid="{00000000-0005-0000-0000-0000EC5F0000}"/>
    <cellStyle name="Normal 2 2 8 2 6" xfId="25325" xr:uid="{00000000-0005-0000-0000-0000ED5F0000}"/>
    <cellStyle name="Normal 2 2 8 3" xfId="25326" xr:uid="{00000000-0005-0000-0000-0000EE5F0000}"/>
    <cellStyle name="Normal 2 2 8 3 2" xfId="25327" xr:uid="{00000000-0005-0000-0000-0000EF5F0000}"/>
    <cellStyle name="Normal 2 2 8 3 3" xfId="25328" xr:uid="{00000000-0005-0000-0000-0000F05F0000}"/>
    <cellStyle name="Normal 2 2 8 3 4" xfId="25329" xr:uid="{00000000-0005-0000-0000-0000F15F0000}"/>
    <cellStyle name="Normal 2 2 8 3 5" xfId="25330" xr:uid="{00000000-0005-0000-0000-0000F25F0000}"/>
    <cellStyle name="Normal 2 2 8 3 6" xfId="25331" xr:uid="{00000000-0005-0000-0000-0000F35F0000}"/>
    <cellStyle name="Normal 2 2 8 4" xfId="25332" xr:uid="{00000000-0005-0000-0000-0000F45F0000}"/>
    <cellStyle name="Normal 2 2 8 4 2" xfId="25333" xr:uid="{00000000-0005-0000-0000-0000F55F0000}"/>
    <cellStyle name="Normal 2 2 8 4 3" xfId="25334" xr:uid="{00000000-0005-0000-0000-0000F65F0000}"/>
    <cellStyle name="Normal 2 2 8 4 4" xfId="25335" xr:uid="{00000000-0005-0000-0000-0000F75F0000}"/>
    <cellStyle name="Normal 2 2 8 4 5" xfId="25336" xr:uid="{00000000-0005-0000-0000-0000F85F0000}"/>
    <cellStyle name="Normal 2 2 8 4 6" xfId="25337" xr:uid="{00000000-0005-0000-0000-0000F95F0000}"/>
    <cellStyle name="Normal 2 2 8 5" xfId="25338" xr:uid="{00000000-0005-0000-0000-0000FA5F0000}"/>
    <cellStyle name="Normal 2 2 8 5 2" xfId="25339" xr:uid="{00000000-0005-0000-0000-0000FB5F0000}"/>
    <cellStyle name="Normal 2 2 8 5 3" xfId="25340" xr:uid="{00000000-0005-0000-0000-0000FC5F0000}"/>
    <cellStyle name="Normal 2 2 8 5 4" xfId="25341" xr:uid="{00000000-0005-0000-0000-0000FD5F0000}"/>
    <cellStyle name="Normal 2 2 8 5 5" xfId="25342" xr:uid="{00000000-0005-0000-0000-0000FE5F0000}"/>
    <cellStyle name="Normal 2 2 8 5 6" xfId="25343" xr:uid="{00000000-0005-0000-0000-0000FF5F0000}"/>
    <cellStyle name="Normal 2 2 8 6" xfId="25344" xr:uid="{00000000-0005-0000-0000-000000600000}"/>
    <cellStyle name="Normal 2 2 8 6 2" xfId="25345" xr:uid="{00000000-0005-0000-0000-000001600000}"/>
    <cellStyle name="Normal 2 2 8 6 3" xfId="25346" xr:uid="{00000000-0005-0000-0000-000002600000}"/>
    <cellStyle name="Normal 2 2 8 6 4" xfId="25347" xr:uid="{00000000-0005-0000-0000-000003600000}"/>
    <cellStyle name="Normal 2 2 8 6 5" xfId="25348" xr:uid="{00000000-0005-0000-0000-000004600000}"/>
    <cellStyle name="Normal 2 2 8 6 6" xfId="25349" xr:uid="{00000000-0005-0000-0000-000005600000}"/>
    <cellStyle name="Normal 2 2 8 7" xfId="25350" xr:uid="{00000000-0005-0000-0000-000006600000}"/>
    <cellStyle name="Normal 2 2 8 7 2" xfId="25351" xr:uid="{00000000-0005-0000-0000-000007600000}"/>
    <cellStyle name="Normal 2 2 8 7 3" xfId="25352" xr:uid="{00000000-0005-0000-0000-000008600000}"/>
    <cellStyle name="Normal 2 2 8 7 4" xfId="25353" xr:uid="{00000000-0005-0000-0000-000009600000}"/>
    <cellStyle name="Normal 2 2 8 7 5" xfId="25354" xr:uid="{00000000-0005-0000-0000-00000A600000}"/>
    <cellStyle name="Normal 2 2 8 7 6" xfId="25355" xr:uid="{00000000-0005-0000-0000-00000B600000}"/>
    <cellStyle name="Normal 2 2 8 8" xfId="25356" xr:uid="{00000000-0005-0000-0000-00000C600000}"/>
    <cellStyle name="Normal 2 2 8 8 2" xfId="25357" xr:uid="{00000000-0005-0000-0000-00000D600000}"/>
    <cellStyle name="Normal 2 2 8 8 3" xfId="25358" xr:uid="{00000000-0005-0000-0000-00000E600000}"/>
    <cellStyle name="Normal 2 2 8 8 4" xfId="25359" xr:uid="{00000000-0005-0000-0000-00000F600000}"/>
    <cellStyle name="Normal 2 2 8 8 5" xfId="25360" xr:uid="{00000000-0005-0000-0000-000010600000}"/>
    <cellStyle name="Normal 2 2 8 8 6" xfId="25361" xr:uid="{00000000-0005-0000-0000-000011600000}"/>
    <cellStyle name="Normal 2 2 8 9" xfId="25362" xr:uid="{00000000-0005-0000-0000-000012600000}"/>
    <cellStyle name="Normal 2 2 80" xfId="25363" xr:uid="{00000000-0005-0000-0000-000013600000}"/>
    <cellStyle name="Normal 2 2 81" xfId="25364" xr:uid="{00000000-0005-0000-0000-000014600000}"/>
    <cellStyle name="Normal 2 2 82" xfId="25365" xr:uid="{00000000-0005-0000-0000-000015600000}"/>
    <cellStyle name="Normal 2 2 83" xfId="25366" xr:uid="{00000000-0005-0000-0000-000016600000}"/>
    <cellStyle name="Normal 2 2 84" xfId="25367" xr:uid="{00000000-0005-0000-0000-000017600000}"/>
    <cellStyle name="Normal 2 2 85" xfId="25368" xr:uid="{00000000-0005-0000-0000-000018600000}"/>
    <cellStyle name="Normal 2 2 85 2" xfId="25369" xr:uid="{00000000-0005-0000-0000-000019600000}"/>
    <cellStyle name="Normal 2 2 85 3" xfId="25370" xr:uid="{00000000-0005-0000-0000-00001A600000}"/>
    <cellStyle name="Normal 2 2 85 4" xfId="25371" xr:uid="{00000000-0005-0000-0000-00001B600000}"/>
    <cellStyle name="Normal 2 2 85 5" xfId="25372" xr:uid="{00000000-0005-0000-0000-00001C600000}"/>
    <cellStyle name="Normal 2 2 85 6" xfId="25373" xr:uid="{00000000-0005-0000-0000-00001D600000}"/>
    <cellStyle name="Normal 2 2 85 7" xfId="25374" xr:uid="{00000000-0005-0000-0000-00001E600000}"/>
    <cellStyle name="Normal 2 2 86" xfId="25375" xr:uid="{00000000-0005-0000-0000-00001F600000}"/>
    <cellStyle name="Normal 2 2 86 10" xfId="25376" xr:uid="{00000000-0005-0000-0000-000020600000}"/>
    <cellStyle name="Normal 2 2 86 11" xfId="25377" xr:uid="{00000000-0005-0000-0000-000021600000}"/>
    <cellStyle name="Normal 2 2 86 2" xfId="25378" xr:uid="{00000000-0005-0000-0000-000022600000}"/>
    <cellStyle name="Normal 2 2 86 2 2" xfId="25379" xr:uid="{00000000-0005-0000-0000-000023600000}"/>
    <cellStyle name="Normal 2 2 86 2 2 2" xfId="25380" xr:uid="{00000000-0005-0000-0000-000024600000}"/>
    <cellStyle name="Normal 2 2 86 2 2 3" xfId="25381" xr:uid="{00000000-0005-0000-0000-000025600000}"/>
    <cellStyle name="Normal 2 2 86 2 3" xfId="25382" xr:uid="{00000000-0005-0000-0000-000026600000}"/>
    <cellStyle name="Normal 2 2 86 2 4" xfId="25383" xr:uid="{00000000-0005-0000-0000-000027600000}"/>
    <cellStyle name="Normal 2 2 86 2 5" xfId="25384" xr:uid="{00000000-0005-0000-0000-000028600000}"/>
    <cellStyle name="Normal 2 2 86 2 6" xfId="25385" xr:uid="{00000000-0005-0000-0000-000029600000}"/>
    <cellStyle name="Normal 2 2 86 2 7" xfId="25386" xr:uid="{00000000-0005-0000-0000-00002A600000}"/>
    <cellStyle name="Normal 2 2 86 2 8" xfId="25387" xr:uid="{00000000-0005-0000-0000-00002B600000}"/>
    <cellStyle name="Normal 2 2 86 2 9" xfId="25388" xr:uid="{00000000-0005-0000-0000-00002C600000}"/>
    <cellStyle name="Normal 2 2 86 3" xfId="25389" xr:uid="{00000000-0005-0000-0000-00002D600000}"/>
    <cellStyle name="Normal 2 2 86 4" xfId="25390" xr:uid="{00000000-0005-0000-0000-00002E600000}"/>
    <cellStyle name="Normal 2 2 86 5" xfId="25391" xr:uid="{00000000-0005-0000-0000-00002F600000}"/>
    <cellStyle name="Normal 2 2 86 5 2" xfId="25392" xr:uid="{00000000-0005-0000-0000-000030600000}"/>
    <cellStyle name="Normal 2 2 86 5 3" xfId="25393" xr:uid="{00000000-0005-0000-0000-000031600000}"/>
    <cellStyle name="Normal 2 2 86 6" xfId="25394" xr:uid="{00000000-0005-0000-0000-000032600000}"/>
    <cellStyle name="Normal 2 2 86 7" xfId="25395" xr:uid="{00000000-0005-0000-0000-000033600000}"/>
    <cellStyle name="Normal 2 2 86 8" xfId="25396" xr:uid="{00000000-0005-0000-0000-000034600000}"/>
    <cellStyle name="Normal 2 2 86 9" xfId="25397" xr:uid="{00000000-0005-0000-0000-000035600000}"/>
    <cellStyle name="Normal 2 2 87" xfId="25398" xr:uid="{00000000-0005-0000-0000-000036600000}"/>
    <cellStyle name="Normal 2 2 87 2" xfId="25399" xr:uid="{00000000-0005-0000-0000-000037600000}"/>
    <cellStyle name="Normal 2 2 87 3" xfId="25400" xr:uid="{00000000-0005-0000-0000-000038600000}"/>
    <cellStyle name="Normal 2 2 87 4" xfId="25401" xr:uid="{00000000-0005-0000-0000-000039600000}"/>
    <cellStyle name="Normal 2 2 87 5" xfId="25402" xr:uid="{00000000-0005-0000-0000-00003A600000}"/>
    <cellStyle name="Normal 2 2 87 6" xfId="25403" xr:uid="{00000000-0005-0000-0000-00003B600000}"/>
    <cellStyle name="Normal 2 2 87 7" xfId="25404" xr:uid="{00000000-0005-0000-0000-00003C600000}"/>
    <cellStyle name="Normal 2 2 87 8" xfId="25405" xr:uid="{00000000-0005-0000-0000-00003D600000}"/>
    <cellStyle name="Normal 2 2 88" xfId="25406" xr:uid="{00000000-0005-0000-0000-00003E600000}"/>
    <cellStyle name="Normal 2 2 88 2" xfId="25407" xr:uid="{00000000-0005-0000-0000-00003F600000}"/>
    <cellStyle name="Normal 2 2 88 3" xfId="25408" xr:uid="{00000000-0005-0000-0000-000040600000}"/>
    <cellStyle name="Normal 2 2 88 4" xfId="25409" xr:uid="{00000000-0005-0000-0000-000041600000}"/>
    <cellStyle name="Normal 2 2 88 5" xfId="25410" xr:uid="{00000000-0005-0000-0000-000042600000}"/>
    <cellStyle name="Normal 2 2 88 6" xfId="25411" xr:uid="{00000000-0005-0000-0000-000043600000}"/>
    <cellStyle name="Normal 2 2 88 7" xfId="25412" xr:uid="{00000000-0005-0000-0000-000044600000}"/>
    <cellStyle name="Normal 2 2 88 8" xfId="25413" xr:uid="{00000000-0005-0000-0000-000045600000}"/>
    <cellStyle name="Normal 2 2 89" xfId="25414" xr:uid="{00000000-0005-0000-0000-000046600000}"/>
    <cellStyle name="Normal 2 2 89 2" xfId="25415" xr:uid="{00000000-0005-0000-0000-000047600000}"/>
    <cellStyle name="Normal 2 2 89 2 2" xfId="25416" xr:uid="{00000000-0005-0000-0000-000048600000}"/>
    <cellStyle name="Normal 2 2 89 2 3" xfId="25417" xr:uid="{00000000-0005-0000-0000-000049600000}"/>
    <cellStyle name="Normal 2 2 89 3" xfId="25418" xr:uid="{00000000-0005-0000-0000-00004A600000}"/>
    <cellStyle name="Normal 2 2 89 4" xfId="25419" xr:uid="{00000000-0005-0000-0000-00004B600000}"/>
    <cellStyle name="Normal 2 2 89 5" xfId="25420" xr:uid="{00000000-0005-0000-0000-00004C600000}"/>
    <cellStyle name="Normal 2 2 89 6" xfId="25421" xr:uid="{00000000-0005-0000-0000-00004D600000}"/>
    <cellStyle name="Normal 2 2 89 7" xfId="25422" xr:uid="{00000000-0005-0000-0000-00004E600000}"/>
    <cellStyle name="Normal 2 2 89 8" xfId="25423" xr:uid="{00000000-0005-0000-0000-00004F600000}"/>
    <cellStyle name="Normal 2 2 89 9" xfId="25424" xr:uid="{00000000-0005-0000-0000-000050600000}"/>
    <cellStyle name="Normal 2 2 9" xfId="2424" xr:uid="{00000000-0005-0000-0000-000051600000}"/>
    <cellStyle name="Normal 2 2 9 10" xfId="25425" xr:uid="{00000000-0005-0000-0000-000052600000}"/>
    <cellStyle name="Normal 2 2 9 11" xfId="25426" xr:uid="{00000000-0005-0000-0000-000053600000}"/>
    <cellStyle name="Normal 2 2 9 12" xfId="25427" xr:uid="{00000000-0005-0000-0000-000054600000}"/>
    <cellStyle name="Normal 2 2 9 13" xfId="25428" xr:uid="{00000000-0005-0000-0000-000055600000}"/>
    <cellStyle name="Normal 2 2 9 14" xfId="25429" xr:uid="{00000000-0005-0000-0000-000056600000}"/>
    <cellStyle name="Normal 2 2 9 2" xfId="25430" xr:uid="{00000000-0005-0000-0000-000057600000}"/>
    <cellStyle name="Normal 2 2 9 2 2" xfId="25431" xr:uid="{00000000-0005-0000-0000-000058600000}"/>
    <cellStyle name="Normal 2 2 9 2 3" xfId="25432" xr:uid="{00000000-0005-0000-0000-000059600000}"/>
    <cellStyle name="Normal 2 2 9 2 4" xfId="25433" xr:uid="{00000000-0005-0000-0000-00005A600000}"/>
    <cellStyle name="Normal 2 2 9 2 5" xfId="25434" xr:uid="{00000000-0005-0000-0000-00005B600000}"/>
    <cellStyle name="Normal 2 2 9 2 6" xfId="25435" xr:uid="{00000000-0005-0000-0000-00005C600000}"/>
    <cellStyle name="Normal 2 2 9 3" xfId="25436" xr:uid="{00000000-0005-0000-0000-00005D600000}"/>
    <cellStyle name="Normal 2 2 9 3 2" xfId="25437" xr:uid="{00000000-0005-0000-0000-00005E600000}"/>
    <cellStyle name="Normal 2 2 9 3 3" xfId="25438" xr:uid="{00000000-0005-0000-0000-00005F600000}"/>
    <cellStyle name="Normal 2 2 9 3 4" xfId="25439" xr:uid="{00000000-0005-0000-0000-000060600000}"/>
    <cellStyle name="Normal 2 2 9 3 5" xfId="25440" xr:uid="{00000000-0005-0000-0000-000061600000}"/>
    <cellStyle name="Normal 2 2 9 3 6" xfId="25441" xr:uid="{00000000-0005-0000-0000-000062600000}"/>
    <cellStyle name="Normal 2 2 9 4" xfId="25442" xr:uid="{00000000-0005-0000-0000-000063600000}"/>
    <cellStyle name="Normal 2 2 9 4 2" xfId="25443" xr:uid="{00000000-0005-0000-0000-000064600000}"/>
    <cellStyle name="Normal 2 2 9 4 3" xfId="25444" xr:uid="{00000000-0005-0000-0000-000065600000}"/>
    <cellStyle name="Normal 2 2 9 4 4" xfId="25445" xr:uid="{00000000-0005-0000-0000-000066600000}"/>
    <cellStyle name="Normal 2 2 9 4 5" xfId="25446" xr:uid="{00000000-0005-0000-0000-000067600000}"/>
    <cellStyle name="Normal 2 2 9 4 6" xfId="25447" xr:uid="{00000000-0005-0000-0000-000068600000}"/>
    <cellStyle name="Normal 2 2 9 5" xfId="25448" xr:uid="{00000000-0005-0000-0000-000069600000}"/>
    <cellStyle name="Normal 2 2 9 5 2" xfId="25449" xr:uid="{00000000-0005-0000-0000-00006A600000}"/>
    <cellStyle name="Normal 2 2 9 5 3" xfId="25450" xr:uid="{00000000-0005-0000-0000-00006B600000}"/>
    <cellStyle name="Normal 2 2 9 5 4" xfId="25451" xr:uid="{00000000-0005-0000-0000-00006C600000}"/>
    <cellStyle name="Normal 2 2 9 5 5" xfId="25452" xr:uid="{00000000-0005-0000-0000-00006D600000}"/>
    <cellStyle name="Normal 2 2 9 5 6" xfId="25453" xr:uid="{00000000-0005-0000-0000-00006E600000}"/>
    <cellStyle name="Normal 2 2 9 6" xfId="25454" xr:uid="{00000000-0005-0000-0000-00006F600000}"/>
    <cellStyle name="Normal 2 2 9 6 2" xfId="25455" xr:uid="{00000000-0005-0000-0000-000070600000}"/>
    <cellStyle name="Normal 2 2 9 6 3" xfId="25456" xr:uid="{00000000-0005-0000-0000-000071600000}"/>
    <cellStyle name="Normal 2 2 9 6 4" xfId="25457" xr:uid="{00000000-0005-0000-0000-000072600000}"/>
    <cellStyle name="Normal 2 2 9 6 5" xfId="25458" xr:uid="{00000000-0005-0000-0000-000073600000}"/>
    <cellStyle name="Normal 2 2 9 6 6" xfId="25459" xr:uid="{00000000-0005-0000-0000-000074600000}"/>
    <cellStyle name="Normal 2 2 9 7" xfId="25460" xr:uid="{00000000-0005-0000-0000-000075600000}"/>
    <cellStyle name="Normal 2 2 9 7 2" xfId="25461" xr:uid="{00000000-0005-0000-0000-000076600000}"/>
    <cellStyle name="Normal 2 2 9 7 3" xfId="25462" xr:uid="{00000000-0005-0000-0000-000077600000}"/>
    <cellStyle name="Normal 2 2 9 7 4" xfId="25463" xr:uid="{00000000-0005-0000-0000-000078600000}"/>
    <cellStyle name="Normal 2 2 9 7 5" xfId="25464" xr:uid="{00000000-0005-0000-0000-000079600000}"/>
    <cellStyle name="Normal 2 2 9 7 6" xfId="25465" xr:uid="{00000000-0005-0000-0000-00007A600000}"/>
    <cellStyle name="Normal 2 2 9 8" xfId="25466" xr:uid="{00000000-0005-0000-0000-00007B600000}"/>
    <cellStyle name="Normal 2 2 9 8 2" xfId="25467" xr:uid="{00000000-0005-0000-0000-00007C600000}"/>
    <cellStyle name="Normal 2 2 9 8 3" xfId="25468" xr:uid="{00000000-0005-0000-0000-00007D600000}"/>
    <cellStyle name="Normal 2 2 9 8 4" xfId="25469" xr:uid="{00000000-0005-0000-0000-00007E600000}"/>
    <cellStyle name="Normal 2 2 9 8 5" xfId="25470" xr:uid="{00000000-0005-0000-0000-00007F600000}"/>
    <cellStyle name="Normal 2 2 9 8 6" xfId="25471" xr:uid="{00000000-0005-0000-0000-000080600000}"/>
    <cellStyle name="Normal 2 2 9 9" xfId="25472" xr:uid="{00000000-0005-0000-0000-000081600000}"/>
    <cellStyle name="Normal 2 2 90" xfId="25473" xr:uid="{00000000-0005-0000-0000-000082600000}"/>
    <cellStyle name="Normal 2 2 91" xfId="25474" xr:uid="{00000000-0005-0000-0000-000083600000}"/>
    <cellStyle name="Normal 2 2 91 2" xfId="25475" xr:uid="{00000000-0005-0000-0000-000084600000}"/>
    <cellStyle name="Normal 2 2 91 3" xfId="25476" xr:uid="{00000000-0005-0000-0000-000085600000}"/>
    <cellStyle name="Normal 2 2 92" xfId="25477" xr:uid="{00000000-0005-0000-0000-000086600000}"/>
    <cellStyle name="Normal 2 2 93" xfId="25478" xr:uid="{00000000-0005-0000-0000-000087600000}"/>
    <cellStyle name="Normal 2 2 94" xfId="25479" xr:uid="{00000000-0005-0000-0000-000088600000}"/>
    <cellStyle name="Normal 2 2 95" xfId="25480" xr:uid="{00000000-0005-0000-0000-000089600000}"/>
    <cellStyle name="Normal 2 2 96" xfId="25481" xr:uid="{00000000-0005-0000-0000-00008A600000}"/>
    <cellStyle name="Normal 2 2 97" xfId="25482" xr:uid="{00000000-0005-0000-0000-00008B600000}"/>
    <cellStyle name="Normal 2 2 98" xfId="25483" xr:uid="{00000000-0005-0000-0000-00008C600000}"/>
    <cellStyle name="Normal 2 2 99" xfId="43241" xr:uid="{00000000-0005-0000-0000-00008D600000}"/>
    <cellStyle name="Normal 2 2_Dados de Entrada" xfId="25484" xr:uid="{00000000-0005-0000-0000-00008E600000}"/>
    <cellStyle name="Normal 2 20" xfId="25485" xr:uid="{00000000-0005-0000-0000-00008F600000}"/>
    <cellStyle name="Normal 2 20 10" xfId="25486" xr:uid="{00000000-0005-0000-0000-000090600000}"/>
    <cellStyle name="Normal 2 20 11" xfId="25487" xr:uid="{00000000-0005-0000-0000-000091600000}"/>
    <cellStyle name="Normal 2 20 12" xfId="25488" xr:uid="{00000000-0005-0000-0000-000092600000}"/>
    <cellStyle name="Normal 2 20 13" xfId="25489" xr:uid="{00000000-0005-0000-0000-000093600000}"/>
    <cellStyle name="Normal 2 20 14" xfId="25490" xr:uid="{00000000-0005-0000-0000-000094600000}"/>
    <cellStyle name="Normal 2 20 15" xfId="25491" xr:uid="{00000000-0005-0000-0000-000095600000}"/>
    <cellStyle name="Normal 2 20 16" xfId="25492" xr:uid="{00000000-0005-0000-0000-000096600000}"/>
    <cellStyle name="Normal 2 20 17" xfId="25493" xr:uid="{00000000-0005-0000-0000-000097600000}"/>
    <cellStyle name="Normal 2 20 18" xfId="25494" xr:uid="{00000000-0005-0000-0000-000098600000}"/>
    <cellStyle name="Normal 2 20 19" xfId="25495" xr:uid="{00000000-0005-0000-0000-000099600000}"/>
    <cellStyle name="Normal 2 20 2" xfId="25496" xr:uid="{00000000-0005-0000-0000-00009A600000}"/>
    <cellStyle name="Normal 2 20 20" xfId="25497" xr:uid="{00000000-0005-0000-0000-00009B600000}"/>
    <cellStyle name="Normal 2 20 21" xfId="25498" xr:uid="{00000000-0005-0000-0000-00009C600000}"/>
    <cellStyle name="Normal 2 20 22" xfId="25499" xr:uid="{00000000-0005-0000-0000-00009D600000}"/>
    <cellStyle name="Normal 2 20 23" xfId="25500" xr:uid="{00000000-0005-0000-0000-00009E600000}"/>
    <cellStyle name="Normal 2 20 24" xfId="25501" xr:uid="{00000000-0005-0000-0000-00009F600000}"/>
    <cellStyle name="Normal 2 20 25" xfId="25502" xr:uid="{00000000-0005-0000-0000-0000A0600000}"/>
    <cellStyle name="Normal 2 20 26" xfId="25503" xr:uid="{00000000-0005-0000-0000-0000A1600000}"/>
    <cellStyle name="Normal 2 20 27" xfId="25504" xr:uid="{00000000-0005-0000-0000-0000A2600000}"/>
    <cellStyle name="Normal 2 20 28" xfId="25505" xr:uid="{00000000-0005-0000-0000-0000A3600000}"/>
    <cellStyle name="Normal 2 20 29" xfId="25506" xr:uid="{00000000-0005-0000-0000-0000A4600000}"/>
    <cellStyle name="Normal 2 20 3" xfId="25507" xr:uid="{00000000-0005-0000-0000-0000A5600000}"/>
    <cellStyle name="Normal 2 20 30" xfId="25508" xr:uid="{00000000-0005-0000-0000-0000A6600000}"/>
    <cellStyle name="Normal 2 20 31" xfId="25509" xr:uid="{00000000-0005-0000-0000-0000A7600000}"/>
    <cellStyle name="Normal 2 20 32" xfId="25510" xr:uid="{00000000-0005-0000-0000-0000A8600000}"/>
    <cellStyle name="Normal 2 20 33" xfId="25511" xr:uid="{00000000-0005-0000-0000-0000A9600000}"/>
    <cellStyle name="Normal 2 20 34" xfId="25512" xr:uid="{00000000-0005-0000-0000-0000AA600000}"/>
    <cellStyle name="Normal 2 20 35" xfId="25513" xr:uid="{00000000-0005-0000-0000-0000AB600000}"/>
    <cellStyle name="Normal 2 20 36" xfId="25514" xr:uid="{00000000-0005-0000-0000-0000AC600000}"/>
    <cellStyle name="Normal 2 20 37" xfId="25515" xr:uid="{00000000-0005-0000-0000-0000AD600000}"/>
    <cellStyle name="Normal 2 20 38" xfId="25516" xr:uid="{00000000-0005-0000-0000-0000AE600000}"/>
    <cellStyle name="Normal 2 20 39" xfId="25517" xr:uid="{00000000-0005-0000-0000-0000AF600000}"/>
    <cellStyle name="Normal 2 20 4" xfId="25518" xr:uid="{00000000-0005-0000-0000-0000B0600000}"/>
    <cellStyle name="Normal 2 20 40" xfId="25519" xr:uid="{00000000-0005-0000-0000-0000B1600000}"/>
    <cellStyle name="Normal 2 20 41" xfId="25520" xr:uid="{00000000-0005-0000-0000-0000B2600000}"/>
    <cellStyle name="Normal 2 20 42" xfId="25521" xr:uid="{00000000-0005-0000-0000-0000B3600000}"/>
    <cellStyle name="Normal 2 20 43" xfId="25522" xr:uid="{00000000-0005-0000-0000-0000B4600000}"/>
    <cellStyle name="Normal 2 20 44" xfId="25523" xr:uid="{00000000-0005-0000-0000-0000B5600000}"/>
    <cellStyle name="Normal 2 20 45" xfId="25524" xr:uid="{00000000-0005-0000-0000-0000B6600000}"/>
    <cellStyle name="Normal 2 20 46" xfId="25525" xr:uid="{00000000-0005-0000-0000-0000B7600000}"/>
    <cellStyle name="Normal 2 20 5" xfId="25526" xr:uid="{00000000-0005-0000-0000-0000B8600000}"/>
    <cellStyle name="Normal 2 20 6" xfId="25527" xr:uid="{00000000-0005-0000-0000-0000B9600000}"/>
    <cellStyle name="Normal 2 20 7" xfId="25528" xr:uid="{00000000-0005-0000-0000-0000BA600000}"/>
    <cellStyle name="Normal 2 20 8" xfId="25529" xr:uid="{00000000-0005-0000-0000-0000BB600000}"/>
    <cellStyle name="Normal 2 20 9" xfId="25530" xr:uid="{00000000-0005-0000-0000-0000BC600000}"/>
    <cellStyle name="Normal 2 21" xfId="25531" xr:uid="{00000000-0005-0000-0000-0000BD600000}"/>
    <cellStyle name="Normal 2 21 10" xfId="25532" xr:uid="{00000000-0005-0000-0000-0000BE600000}"/>
    <cellStyle name="Normal 2 21 11" xfId="25533" xr:uid="{00000000-0005-0000-0000-0000BF600000}"/>
    <cellStyle name="Normal 2 21 12" xfId="25534" xr:uid="{00000000-0005-0000-0000-0000C0600000}"/>
    <cellStyle name="Normal 2 21 13" xfId="25535" xr:uid="{00000000-0005-0000-0000-0000C1600000}"/>
    <cellStyle name="Normal 2 21 14" xfId="25536" xr:uid="{00000000-0005-0000-0000-0000C2600000}"/>
    <cellStyle name="Normal 2 21 15" xfId="25537" xr:uid="{00000000-0005-0000-0000-0000C3600000}"/>
    <cellStyle name="Normal 2 21 16" xfId="25538" xr:uid="{00000000-0005-0000-0000-0000C4600000}"/>
    <cellStyle name="Normal 2 21 17" xfId="25539" xr:uid="{00000000-0005-0000-0000-0000C5600000}"/>
    <cellStyle name="Normal 2 21 18" xfId="25540" xr:uid="{00000000-0005-0000-0000-0000C6600000}"/>
    <cellStyle name="Normal 2 21 19" xfId="25541" xr:uid="{00000000-0005-0000-0000-0000C7600000}"/>
    <cellStyle name="Normal 2 21 2" xfId="25542" xr:uid="{00000000-0005-0000-0000-0000C8600000}"/>
    <cellStyle name="Normal 2 21 2 10" xfId="25543" xr:uid="{00000000-0005-0000-0000-0000C9600000}"/>
    <cellStyle name="Normal 2 21 2 11" xfId="25544" xr:uid="{00000000-0005-0000-0000-0000CA600000}"/>
    <cellStyle name="Normal 2 21 2 12" xfId="25545" xr:uid="{00000000-0005-0000-0000-0000CB600000}"/>
    <cellStyle name="Normal 2 21 2 13" xfId="25546" xr:uid="{00000000-0005-0000-0000-0000CC600000}"/>
    <cellStyle name="Normal 2 21 2 2" xfId="25547" xr:uid="{00000000-0005-0000-0000-0000CD600000}"/>
    <cellStyle name="Normal 2 21 2 2 2" xfId="25548" xr:uid="{00000000-0005-0000-0000-0000CE600000}"/>
    <cellStyle name="Normal 2 21 2 2 3" xfId="25549" xr:uid="{00000000-0005-0000-0000-0000CF600000}"/>
    <cellStyle name="Normal 2 21 2 2 4" xfId="25550" xr:uid="{00000000-0005-0000-0000-0000D0600000}"/>
    <cellStyle name="Normal 2 21 2 2 5" xfId="25551" xr:uid="{00000000-0005-0000-0000-0000D1600000}"/>
    <cellStyle name="Normal 2 21 2 2 6" xfId="25552" xr:uid="{00000000-0005-0000-0000-0000D2600000}"/>
    <cellStyle name="Normal 2 21 2 3" xfId="25553" xr:uid="{00000000-0005-0000-0000-0000D3600000}"/>
    <cellStyle name="Normal 2 21 2 3 2" xfId="25554" xr:uid="{00000000-0005-0000-0000-0000D4600000}"/>
    <cellStyle name="Normal 2 21 2 3 3" xfId="25555" xr:uid="{00000000-0005-0000-0000-0000D5600000}"/>
    <cellStyle name="Normal 2 21 2 3 4" xfId="25556" xr:uid="{00000000-0005-0000-0000-0000D6600000}"/>
    <cellStyle name="Normal 2 21 2 3 5" xfId="25557" xr:uid="{00000000-0005-0000-0000-0000D7600000}"/>
    <cellStyle name="Normal 2 21 2 3 6" xfId="25558" xr:uid="{00000000-0005-0000-0000-0000D8600000}"/>
    <cellStyle name="Normal 2 21 2 4" xfId="25559" xr:uid="{00000000-0005-0000-0000-0000D9600000}"/>
    <cellStyle name="Normal 2 21 2 4 2" xfId="25560" xr:uid="{00000000-0005-0000-0000-0000DA600000}"/>
    <cellStyle name="Normal 2 21 2 4 3" xfId="25561" xr:uid="{00000000-0005-0000-0000-0000DB600000}"/>
    <cellStyle name="Normal 2 21 2 4 4" xfId="25562" xr:uid="{00000000-0005-0000-0000-0000DC600000}"/>
    <cellStyle name="Normal 2 21 2 4 5" xfId="25563" xr:uid="{00000000-0005-0000-0000-0000DD600000}"/>
    <cellStyle name="Normal 2 21 2 4 6" xfId="25564" xr:uid="{00000000-0005-0000-0000-0000DE600000}"/>
    <cellStyle name="Normal 2 21 2 5" xfId="25565" xr:uid="{00000000-0005-0000-0000-0000DF600000}"/>
    <cellStyle name="Normal 2 21 2 5 2" xfId="25566" xr:uid="{00000000-0005-0000-0000-0000E0600000}"/>
    <cellStyle name="Normal 2 21 2 5 3" xfId="25567" xr:uid="{00000000-0005-0000-0000-0000E1600000}"/>
    <cellStyle name="Normal 2 21 2 5 4" xfId="25568" xr:uid="{00000000-0005-0000-0000-0000E2600000}"/>
    <cellStyle name="Normal 2 21 2 5 5" xfId="25569" xr:uid="{00000000-0005-0000-0000-0000E3600000}"/>
    <cellStyle name="Normal 2 21 2 5 6" xfId="25570" xr:uid="{00000000-0005-0000-0000-0000E4600000}"/>
    <cellStyle name="Normal 2 21 2 6" xfId="25571" xr:uid="{00000000-0005-0000-0000-0000E5600000}"/>
    <cellStyle name="Normal 2 21 2 6 2" xfId="25572" xr:uid="{00000000-0005-0000-0000-0000E6600000}"/>
    <cellStyle name="Normal 2 21 2 6 3" xfId="25573" xr:uid="{00000000-0005-0000-0000-0000E7600000}"/>
    <cellStyle name="Normal 2 21 2 6 4" xfId="25574" xr:uid="{00000000-0005-0000-0000-0000E8600000}"/>
    <cellStyle name="Normal 2 21 2 6 5" xfId="25575" xr:uid="{00000000-0005-0000-0000-0000E9600000}"/>
    <cellStyle name="Normal 2 21 2 6 6" xfId="25576" xr:uid="{00000000-0005-0000-0000-0000EA600000}"/>
    <cellStyle name="Normal 2 21 2 7" xfId="25577" xr:uid="{00000000-0005-0000-0000-0000EB600000}"/>
    <cellStyle name="Normal 2 21 2 7 2" xfId="25578" xr:uid="{00000000-0005-0000-0000-0000EC600000}"/>
    <cellStyle name="Normal 2 21 2 7 3" xfId="25579" xr:uid="{00000000-0005-0000-0000-0000ED600000}"/>
    <cellStyle name="Normal 2 21 2 7 4" xfId="25580" xr:uid="{00000000-0005-0000-0000-0000EE600000}"/>
    <cellStyle name="Normal 2 21 2 7 5" xfId="25581" xr:uid="{00000000-0005-0000-0000-0000EF600000}"/>
    <cellStyle name="Normal 2 21 2 7 6" xfId="25582" xr:uid="{00000000-0005-0000-0000-0000F0600000}"/>
    <cellStyle name="Normal 2 21 2 8" xfId="25583" xr:uid="{00000000-0005-0000-0000-0000F1600000}"/>
    <cellStyle name="Normal 2 21 2 8 2" xfId="25584" xr:uid="{00000000-0005-0000-0000-0000F2600000}"/>
    <cellStyle name="Normal 2 21 2 8 3" xfId="25585" xr:uid="{00000000-0005-0000-0000-0000F3600000}"/>
    <cellStyle name="Normal 2 21 2 8 4" xfId="25586" xr:uid="{00000000-0005-0000-0000-0000F4600000}"/>
    <cellStyle name="Normal 2 21 2 8 5" xfId="25587" xr:uid="{00000000-0005-0000-0000-0000F5600000}"/>
    <cellStyle name="Normal 2 21 2 8 6" xfId="25588" xr:uid="{00000000-0005-0000-0000-0000F6600000}"/>
    <cellStyle name="Normal 2 21 2 9" xfId="25589" xr:uid="{00000000-0005-0000-0000-0000F7600000}"/>
    <cellStyle name="Normal 2 21 20" xfId="25590" xr:uid="{00000000-0005-0000-0000-0000F8600000}"/>
    <cellStyle name="Normal 2 21 21" xfId="25591" xr:uid="{00000000-0005-0000-0000-0000F9600000}"/>
    <cellStyle name="Normal 2 21 22" xfId="25592" xr:uid="{00000000-0005-0000-0000-0000FA600000}"/>
    <cellStyle name="Normal 2 21 23" xfId="25593" xr:uid="{00000000-0005-0000-0000-0000FB600000}"/>
    <cellStyle name="Normal 2 21 24" xfId="25594" xr:uid="{00000000-0005-0000-0000-0000FC600000}"/>
    <cellStyle name="Normal 2 21 25" xfId="25595" xr:uid="{00000000-0005-0000-0000-0000FD600000}"/>
    <cellStyle name="Normal 2 21 26" xfId="25596" xr:uid="{00000000-0005-0000-0000-0000FE600000}"/>
    <cellStyle name="Normal 2 21 27" xfId="25597" xr:uid="{00000000-0005-0000-0000-0000FF600000}"/>
    <cellStyle name="Normal 2 21 28" xfId="25598" xr:uid="{00000000-0005-0000-0000-000000610000}"/>
    <cellStyle name="Normal 2 21 29" xfId="25599" xr:uid="{00000000-0005-0000-0000-000001610000}"/>
    <cellStyle name="Normal 2 21 3" xfId="25600" xr:uid="{00000000-0005-0000-0000-000002610000}"/>
    <cellStyle name="Normal 2 21 3 10" xfId="25601" xr:uid="{00000000-0005-0000-0000-000003610000}"/>
    <cellStyle name="Normal 2 21 3 11" xfId="25602" xr:uid="{00000000-0005-0000-0000-000004610000}"/>
    <cellStyle name="Normal 2 21 3 12" xfId="25603" xr:uid="{00000000-0005-0000-0000-000005610000}"/>
    <cellStyle name="Normal 2 21 3 13" xfId="25604" xr:uid="{00000000-0005-0000-0000-000006610000}"/>
    <cellStyle name="Normal 2 21 3 2" xfId="25605" xr:uid="{00000000-0005-0000-0000-000007610000}"/>
    <cellStyle name="Normal 2 21 3 2 2" xfId="25606" xr:uid="{00000000-0005-0000-0000-000008610000}"/>
    <cellStyle name="Normal 2 21 3 2 3" xfId="25607" xr:uid="{00000000-0005-0000-0000-000009610000}"/>
    <cellStyle name="Normal 2 21 3 2 4" xfId="25608" xr:uid="{00000000-0005-0000-0000-00000A610000}"/>
    <cellStyle name="Normal 2 21 3 2 5" xfId="25609" xr:uid="{00000000-0005-0000-0000-00000B610000}"/>
    <cellStyle name="Normal 2 21 3 2 6" xfId="25610" xr:uid="{00000000-0005-0000-0000-00000C610000}"/>
    <cellStyle name="Normal 2 21 3 3" xfId="25611" xr:uid="{00000000-0005-0000-0000-00000D610000}"/>
    <cellStyle name="Normal 2 21 3 3 2" xfId="25612" xr:uid="{00000000-0005-0000-0000-00000E610000}"/>
    <cellStyle name="Normal 2 21 3 3 3" xfId="25613" xr:uid="{00000000-0005-0000-0000-00000F610000}"/>
    <cellStyle name="Normal 2 21 3 3 4" xfId="25614" xr:uid="{00000000-0005-0000-0000-000010610000}"/>
    <cellStyle name="Normal 2 21 3 3 5" xfId="25615" xr:uid="{00000000-0005-0000-0000-000011610000}"/>
    <cellStyle name="Normal 2 21 3 3 6" xfId="25616" xr:uid="{00000000-0005-0000-0000-000012610000}"/>
    <cellStyle name="Normal 2 21 3 4" xfId="25617" xr:uid="{00000000-0005-0000-0000-000013610000}"/>
    <cellStyle name="Normal 2 21 3 4 2" xfId="25618" xr:uid="{00000000-0005-0000-0000-000014610000}"/>
    <cellStyle name="Normal 2 21 3 4 3" xfId="25619" xr:uid="{00000000-0005-0000-0000-000015610000}"/>
    <cellStyle name="Normal 2 21 3 4 4" xfId="25620" xr:uid="{00000000-0005-0000-0000-000016610000}"/>
    <cellStyle name="Normal 2 21 3 4 5" xfId="25621" xr:uid="{00000000-0005-0000-0000-000017610000}"/>
    <cellStyle name="Normal 2 21 3 4 6" xfId="25622" xr:uid="{00000000-0005-0000-0000-000018610000}"/>
    <cellStyle name="Normal 2 21 3 5" xfId="25623" xr:uid="{00000000-0005-0000-0000-000019610000}"/>
    <cellStyle name="Normal 2 21 3 5 2" xfId="25624" xr:uid="{00000000-0005-0000-0000-00001A610000}"/>
    <cellStyle name="Normal 2 21 3 5 3" xfId="25625" xr:uid="{00000000-0005-0000-0000-00001B610000}"/>
    <cellStyle name="Normal 2 21 3 5 4" xfId="25626" xr:uid="{00000000-0005-0000-0000-00001C610000}"/>
    <cellStyle name="Normal 2 21 3 5 5" xfId="25627" xr:uid="{00000000-0005-0000-0000-00001D610000}"/>
    <cellStyle name="Normal 2 21 3 5 6" xfId="25628" xr:uid="{00000000-0005-0000-0000-00001E610000}"/>
    <cellStyle name="Normal 2 21 3 6" xfId="25629" xr:uid="{00000000-0005-0000-0000-00001F610000}"/>
    <cellStyle name="Normal 2 21 3 6 2" xfId="25630" xr:uid="{00000000-0005-0000-0000-000020610000}"/>
    <cellStyle name="Normal 2 21 3 6 3" xfId="25631" xr:uid="{00000000-0005-0000-0000-000021610000}"/>
    <cellStyle name="Normal 2 21 3 6 4" xfId="25632" xr:uid="{00000000-0005-0000-0000-000022610000}"/>
    <cellStyle name="Normal 2 21 3 6 5" xfId="25633" xr:uid="{00000000-0005-0000-0000-000023610000}"/>
    <cellStyle name="Normal 2 21 3 6 6" xfId="25634" xr:uid="{00000000-0005-0000-0000-000024610000}"/>
    <cellStyle name="Normal 2 21 3 7" xfId="25635" xr:uid="{00000000-0005-0000-0000-000025610000}"/>
    <cellStyle name="Normal 2 21 3 7 2" xfId="25636" xr:uid="{00000000-0005-0000-0000-000026610000}"/>
    <cellStyle name="Normal 2 21 3 7 3" xfId="25637" xr:uid="{00000000-0005-0000-0000-000027610000}"/>
    <cellStyle name="Normal 2 21 3 7 4" xfId="25638" xr:uid="{00000000-0005-0000-0000-000028610000}"/>
    <cellStyle name="Normal 2 21 3 7 5" xfId="25639" xr:uid="{00000000-0005-0000-0000-000029610000}"/>
    <cellStyle name="Normal 2 21 3 7 6" xfId="25640" xr:uid="{00000000-0005-0000-0000-00002A610000}"/>
    <cellStyle name="Normal 2 21 3 8" xfId="25641" xr:uid="{00000000-0005-0000-0000-00002B610000}"/>
    <cellStyle name="Normal 2 21 3 8 2" xfId="25642" xr:uid="{00000000-0005-0000-0000-00002C610000}"/>
    <cellStyle name="Normal 2 21 3 8 3" xfId="25643" xr:uid="{00000000-0005-0000-0000-00002D610000}"/>
    <cellStyle name="Normal 2 21 3 8 4" xfId="25644" xr:uid="{00000000-0005-0000-0000-00002E610000}"/>
    <cellStyle name="Normal 2 21 3 8 5" xfId="25645" xr:uid="{00000000-0005-0000-0000-00002F610000}"/>
    <cellStyle name="Normal 2 21 3 8 6" xfId="25646" xr:uid="{00000000-0005-0000-0000-000030610000}"/>
    <cellStyle name="Normal 2 21 3 9" xfId="25647" xr:uid="{00000000-0005-0000-0000-000031610000}"/>
    <cellStyle name="Normal 2 21 30" xfId="25648" xr:uid="{00000000-0005-0000-0000-000032610000}"/>
    <cellStyle name="Normal 2 21 31" xfId="25649" xr:uid="{00000000-0005-0000-0000-000033610000}"/>
    <cellStyle name="Normal 2 21 32" xfId="25650" xr:uid="{00000000-0005-0000-0000-000034610000}"/>
    <cellStyle name="Normal 2 21 33" xfId="25651" xr:uid="{00000000-0005-0000-0000-000035610000}"/>
    <cellStyle name="Normal 2 21 34" xfId="25652" xr:uid="{00000000-0005-0000-0000-000036610000}"/>
    <cellStyle name="Normal 2 21 35" xfId="25653" xr:uid="{00000000-0005-0000-0000-000037610000}"/>
    <cellStyle name="Normal 2 21 36" xfId="25654" xr:uid="{00000000-0005-0000-0000-000038610000}"/>
    <cellStyle name="Normal 2 21 37" xfId="25655" xr:uid="{00000000-0005-0000-0000-000039610000}"/>
    <cellStyle name="Normal 2 21 38" xfId="25656" xr:uid="{00000000-0005-0000-0000-00003A610000}"/>
    <cellStyle name="Normal 2 21 39" xfId="25657" xr:uid="{00000000-0005-0000-0000-00003B610000}"/>
    <cellStyle name="Normal 2 21 4" xfId="25658" xr:uid="{00000000-0005-0000-0000-00003C610000}"/>
    <cellStyle name="Normal 2 21 4 10" xfId="25659" xr:uid="{00000000-0005-0000-0000-00003D610000}"/>
    <cellStyle name="Normal 2 21 4 11" xfId="25660" xr:uid="{00000000-0005-0000-0000-00003E610000}"/>
    <cellStyle name="Normal 2 21 4 12" xfId="25661" xr:uid="{00000000-0005-0000-0000-00003F610000}"/>
    <cellStyle name="Normal 2 21 4 13" xfId="25662" xr:uid="{00000000-0005-0000-0000-000040610000}"/>
    <cellStyle name="Normal 2 21 4 2" xfId="25663" xr:uid="{00000000-0005-0000-0000-000041610000}"/>
    <cellStyle name="Normal 2 21 4 2 2" xfId="25664" xr:uid="{00000000-0005-0000-0000-000042610000}"/>
    <cellStyle name="Normal 2 21 4 2 3" xfId="25665" xr:uid="{00000000-0005-0000-0000-000043610000}"/>
    <cellStyle name="Normal 2 21 4 2 4" xfId="25666" xr:uid="{00000000-0005-0000-0000-000044610000}"/>
    <cellStyle name="Normal 2 21 4 2 5" xfId="25667" xr:uid="{00000000-0005-0000-0000-000045610000}"/>
    <cellStyle name="Normal 2 21 4 2 6" xfId="25668" xr:uid="{00000000-0005-0000-0000-000046610000}"/>
    <cellStyle name="Normal 2 21 4 3" xfId="25669" xr:uid="{00000000-0005-0000-0000-000047610000}"/>
    <cellStyle name="Normal 2 21 4 3 2" xfId="25670" xr:uid="{00000000-0005-0000-0000-000048610000}"/>
    <cellStyle name="Normal 2 21 4 3 3" xfId="25671" xr:uid="{00000000-0005-0000-0000-000049610000}"/>
    <cellStyle name="Normal 2 21 4 3 4" xfId="25672" xr:uid="{00000000-0005-0000-0000-00004A610000}"/>
    <cellStyle name="Normal 2 21 4 3 5" xfId="25673" xr:uid="{00000000-0005-0000-0000-00004B610000}"/>
    <cellStyle name="Normal 2 21 4 3 6" xfId="25674" xr:uid="{00000000-0005-0000-0000-00004C610000}"/>
    <cellStyle name="Normal 2 21 4 4" xfId="25675" xr:uid="{00000000-0005-0000-0000-00004D610000}"/>
    <cellStyle name="Normal 2 21 4 4 2" xfId="25676" xr:uid="{00000000-0005-0000-0000-00004E610000}"/>
    <cellStyle name="Normal 2 21 4 4 3" xfId="25677" xr:uid="{00000000-0005-0000-0000-00004F610000}"/>
    <cellStyle name="Normal 2 21 4 4 4" xfId="25678" xr:uid="{00000000-0005-0000-0000-000050610000}"/>
    <cellStyle name="Normal 2 21 4 4 5" xfId="25679" xr:uid="{00000000-0005-0000-0000-000051610000}"/>
    <cellStyle name="Normal 2 21 4 4 6" xfId="25680" xr:uid="{00000000-0005-0000-0000-000052610000}"/>
    <cellStyle name="Normal 2 21 4 5" xfId="25681" xr:uid="{00000000-0005-0000-0000-000053610000}"/>
    <cellStyle name="Normal 2 21 4 5 2" xfId="25682" xr:uid="{00000000-0005-0000-0000-000054610000}"/>
    <cellStyle name="Normal 2 21 4 5 3" xfId="25683" xr:uid="{00000000-0005-0000-0000-000055610000}"/>
    <cellStyle name="Normal 2 21 4 5 4" xfId="25684" xr:uid="{00000000-0005-0000-0000-000056610000}"/>
    <cellStyle name="Normal 2 21 4 5 5" xfId="25685" xr:uid="{00000000-0005-0000-0000-000057610000}"/>
    <cellStyle name="Normal 2 21 4 5 6" xfId="25686" xr:uid="{00000000-0005-0000-0000-000058610000}"/>
    <cellStyle name="Normal 2 21 4 6" xfId="25687" xr:uid="{00000000-0005-0000-0000-000059610000}"/>
    <cellStyle name="Normal 2 21 4 6 2" xfId="25688" xr:uid="{00000000-0005-0000-0000-00005A610000}"/>
    <cellStyle name="Normal 2 21 4 6 3" xfId="25689" xr:uid="{00000000-0005-0000-0000-00005B610000}"/>
    <cellStyle name="Normal 2 21 4 6 4" xfId="25690" xr:uid="{00000000-0005-0000-0000-00005C610000}"/>
    <cellStyle name="Normal 2 21 4 6 5" xfId="25691" xr:uid="{00000000-0005-0000-0000-00005D610000}"/>
    <cellStyle name="Normal 2 21 4 6 6" xfId="25692" xr:uid="{00000000-0005-0000-0000-00005E610000}"/>
    <cellStyle name="Normal 2 21 4 7" xfId="25693" xr:uid="{00000000-0005-0000-0000-00005F610000}"/>
    <cellStyle name="Normal 2 21 4 7 2" xfId="25694" xr:uid="{00000000-0005-0000-0000-000060610000}"/>
    <cellStyle name="Normal 2 21 4 7 3" xfId="25695" xr:uid="{00000000-0005-0000-0000-000061610000}"/>
    <cellStyle name="Normal 2 21 4 7 4" xfId="25696" xr:uid="{00000000-0005-0000-0000-000062610000}"/>
    <cellStyle name="Normal 2 21 4 7 5" xfId="25697" xr:uid="{00000000-0005-0000-0000-000063610000}"/>
    <cellStyle name="Normal 2 21 4 7 6" xfId="25698" xr:uid="{00000000-0005-0000-0000-000064610000}"/>
    <cellStyle name="Normal 2 21 4 8" xfId="25699" xr:uid="{00000000-0005-0000-0000-000065610000}"/>
    <cellStyle name="Normal 2 21 4 8 2" xfId="25700" xr:uid="{00000000-0005-0000-0000-000066610000}"/>
    <cellStyle name="Normal 2 21 4 8 3" xfId="25701" xr:uid="{00000000-0005-0000-0000-000067610000}"/>
    <cellStyle name="Normal 2 21 4 8 4" xfId="25702" xr:uid="{00000000-0005-0000-0000-000068610000}"/>
    <cellStyle name="Normal 2 21 4 8 5" xfId="25703" xr:uid="{00000000-0005-0000-0000-000069610000}"/>
    <cellStyle name="Normal 2 21 4 8 6" xfId="25704" xr:uid="{00000000-0005-0000-0000-00006A610000}"/>
    <cellStyle name="Normal 2 21 4 9" xfId="25705" xr:uid="{00000000-0005-0000-0000-00006B610000}"/>
    <cellStyle name="Normal 2 21 40" xfId="25706" xr:uid="{00000000-0005-0000-0000-00006C610000}"/>
    <cellStyle name="Normal 2 21 41" xfId="25707" xr:uid="{00000000-0005-0000-0000-00006D610000}"/>
    <cellStyle name="Normal 2 21 42" xfId="25708" xr:uid="{00000000-0005-0000-0000-00006E610000}"/>
    <cellStyle name="Normal 2 21 43" xfId="25709" xr:uid="{00000000-0005-0000-0000-00006F610000}"/>
    <cellStyle name="Normal 2 21 44" xfId="25710" xr:uid="{00000000-0005-0000-0000-000070610000}"/>
    <cellStyle name="Normal 2 21 45" xfId="25711" xr:uid="{00000000-0005-0000-0000-000071610000}"/>
    <cellStyle name="Normal 2 21 46" xfId="25712" xr:uid="{00000000-0005-0000-0000-000072610000}"/>
    <cellStyle name="Normal 2 21 47" xfId="25713" xr:uid="{00000000-0005-0000-0000-000073610000}"/>
    <cellStyle name="Normal 2 21 48" xfId="25714" xr:uid="{00000000-0005-0000-0000-000074610000}"/>
    <cellStyle name="Normal 2 21 49" xfId="25715" xr:uid="{00000000-0005-0000-0000-000075610000}"/>
    <cellStyle name="Normal 2 21 5" xfId="25716" xr:uid="{00000000-0005-0000-0000-000076610000}"/>
    <cellStyle name="Normal 2 21 5 10" xfId="25717" xr:uid="{00000000-0005-0000-0000-000077610000}"/>
    <cellStyle name="Normal 2 21 5 11" xfId="25718" xr:uid="{00000000-0005-0000-0000-000078610000}"/>
    <cellStyle name="Normal 2 21 5 12" xfId="25719" xr:uid="{00000000-0005-0000-0000-000079610000}"/>
    <cellStyle name="Normal 2 21 5 13" xfId="25720" xr:uid="{00000000-0005-0000-0000-00007A610000}"/>
    <cellStyle name="Normal 2 21 5 2" xfId="25721" xr:uid="{00000000-0005-0000-0000-00007B610000}"/>
    <cellStyle name="Normal 2 21 5 2 2" xfId="25722" xr:uid="{00000000-0005-0000-0000-00007C610000}"/>
    <cellStyle name="Normal 2 21 5 2 3" xfId="25723" xr:uid="{00000000-0005-0000-0000-00007D610000}"/>
    <cellStyle name="Normal 2 21 5 2 4" xfId="25724" xr:uid="{00000000-0005-0000-0000-00007E610000}"/>
    <cellStyle name="Normal 2 21 5 2 5" xfId="25725" xr:uid="{00000000-0005-0000-0000-00007F610000}"/>
    <cellStyle name="Normal 2 21 5 2 6" xfId="25726" xr:uid="{00000000-0005-0000-0000-000080610000}"/>
    <cellStyle name="Normal 2 21 5 3" xfId="25727" xr:uid="{00000000-0005-0000-0000-000081610000}"/>
    <cellStyle name="Normal 2 21 5 3 2" xfId="25728" xr:uid="{00000000-0005-0000-0000-000082610000}"/>
    <cellStyle name="Normal 2 21 5 3 3" xfId="25729" xr:uid="{00000000-0005-0000-0000-000083610000}"/>
    <cellStyle name="Normal 2 21 5 3 4" xfId="25730" xr:uid="{00000000-0005-0000-0000-000084610000}"/>
    <cellStyle name="Normal 2 21 5 3 5" xfId="25731" xr:uid="{00000000-0005-0000-0000-000085610000}"/>
    <cellStyle name="Normal 2 21 5 3 6" xfId="25732" xr:uid="{00000000-0005-0000-0000-000086610000}"/>
    <cellStyle name="Normal 2 21 5 4" xfId="25733" xr:uid="{00000000-0005-0000-0000-000087610000}"/>
    <cellStyle name="Normal 2 21 5 4 2" xfId="25734" xr:uid="{00000000-0005-0000-0000-000088610000}"/>
    <cellStyle name="Normal 2 21 5 4 3" xfId="25735" xr:uid="{00000000-0005-0000-0000-000089610000}"/>
    <cellStyle name="Normal 2 21 5 4 4" xfId="25736" xr:uid="{00000000-0005-0000-0000-00008A610000}"/>
    <cellStyle name="Normal 2 21 5 4 5" xfId="25737" xr:uid="{00000000-0005-0000-0000-00008B610000}"/>
    <cellStyle name="Normal 2 21 5 4 6" xfId="25738" xr:uid="{00000000-0005-0000-0000-00008C610000}"/>
    <cellStyle name="Normal 2 21 5 5" xfId="25739" xr:uid="{00000000-0005-0000-0000-00008D610000}"/>
    <cellStyle name="Normal 2 21 5 5 2" xfId="25740" xr:uid="{00000000-0005-0000-0000-00008E610000}"/>
    <cellStyle name="Normal 2 21 5 5 3" xfId="25741" xr:uid="{00000000-0005-0000-0000-00008F610000}"/>
    <cellStyle name="Normal 2 21 5 5 4" xfId="25742" xr:uid="{00000000-0005-0000-0000-000090610000}"/>
    <cellStyle name="Normal 2 21 5 5 5" xfId="25743" xr:uid="{00000000-0005-0000-0000-000091610000}"/>
    <cellStyle name="Normal 2 21 5 5 6" xfId="25744" xr:uid="{00000000-0005-0000-0000-000092610000}"/>
    <cellStyle name="Normal 2 21 5 6" xfId="25745" xr:uid="{00000000-0005-0000-0000-000093610000}"/>
    <cellStyle name="Normal 2 21 5 6 2" xfId="25746" xr:uid="{00000000-0005-0000-0000-000094610000}"/>
    <cellStyle name="Normal 2 21 5 6 3" xfId="25747" xr:uid="{00000000-0005-0000-0000-000095610000}"/>
    <cellStyle name="Normal 2 21 5 6 4" xfId="25748" xr:uid="{00000000-0005-0000-0000-000096610000}"/>
    <cellStyle name="Normal 2 21 5 6 5" xfId="25749" xr:uid="{00000000-0005-0000-0000-000097610000}"/>
    <cellStyle name="Normal 2 21 5 6 6" xfId="25750" xr:uid="{00000000-0005-0000-0000-000098610000}"/>
    <cellStyle name="Normal 2 21 5 7" xfId="25751" xr:uid="{00000000-0005-0000-0000-000099610000}"/>
    <cellStyle name="Normal 2 21 5 7 2" xfId="25752" xr:uid="{00000000-0005-0000-0000-00009A610000}"/>
    <cellStyle name="Normal 2 21 5 7 3" xfId="25753" xr:uid="{00000000-0005-0000-0000-00009B610000}"/>
    <cellStyle name="Normal 2 21 5 7 4" xfId="25754" xr:uid="{00000000-0005-0000-0000-00009C610000}"/>
    <cellStyle name="Normal 2 21 5 7 5" xfId="25755" xr:uid="{00000000-0005-0000-0000-00009D610000}"/>
    <cellStyle name="Normal 2 21 5 7 6" xfId="25756" xr:uid="{00000000-0005-0000-0000-00009E610000}"/>
    <cellStyle name="Normal 2 21 5 8" xfId="25757" xr:uid="{00000000-0005-0000-0000-00009F610000}"/>
    <cellStyle name="Normal 2 21 5 8 2" xfId="25758" xr:uid="{00000000-0005-0000-0000-0000A0610000}"/>
    <cellStyle name="Normal 2 21 5 8 3" xfId="25759" xr:uid="{00000000-0005-0000-0000-0000A1610000}"/>
    <cellStyle name="Normal 2 21 5 8 4" xfId="25760" xr:uid="{00000000-0005-0000-0000-0000A2610000}"/>
    <cellStyle name="Normal 2 21 5 8 5" xfId="25761" xr:uid="{00000000-0005-0000-0000-0000A3610000}"/>
    <cellStyle name="Normal 2 21 5 8 6" xfId="25762" xr:uid="{00000000-0005-0000-0000-0000A4610000}"/>
    <cellStyle name="Normal 2 21 5 9" xfId="25763" xr:uid="{00000000-0005-0000-0000-0000A5610000}"/>
    <cellStyle name="Normal 2 21 50" xfId="25764" xr:uid="{00000000-0005-0000-0000-0000A6610000}"/>
    <cellStyle name="Normal 2 21 51" xfId="25765" xr:uid="{00000000-0005-0000-0000-0000A7610000}"/>
    <cellStyle name="Normal 2 21 52" xfId="25766" xr:uid="{00000000-0005-0000-0000-0000A8610000}"/>
    <cellStyle name="Normal 2 21 6" xfId="25767" xr:uid="{00000000-0005-0000-0000-0000A9610000}"/>
    <cellStyle name="Normal 2 21 6 10" xfId="25768" xr:uid="{00000000-0005-0000-0000-0000AA610000}"/>
    <cellStyle name="Normal 2 21 6 11" xfId="25769" xr:uid="{00000000-0005-0000-0000-0000AB610000}"/>
    <cellStyle name="Normal 2 21 6 12" xfId="25770" xr:uid="{00000000-0005-0000-0000-0000AC610000}"/>
    <cellStyle name="Normal 2 21 6 13" xfId="25771" xr:uid="{00000000-0005-0000-0000-0000AD610000}"/>
    <cellStyle name="Normal 2 21 6 2" xfId="25772" xr:uid="{00000000-0005-0000-0000-0000AE610000}"/>
    <cellStyle name="Normal 2 21 6 2 2" xfId="25773" xr:uid="{00000000-0005-0000-0000-0000AF610000}"/>
    <cellStyle name="Normal 2 21 6 2 3" xfId="25774" xr:uid="{00000000-0005-0000-0000-0000B0610000}"/>
    <cellStyle name="Normal 2 21 6 2 4" xfId="25775" xr:uid="{00000000-0005-0000-0000-0000B1610000}"/>
    <cellStyle name="Normal 2 21 6 2 5" xfId="25776" xr:uid="{00000000-0005-0000-0000-0000B2610000}"/>
    <cellStyle name="Normal 2 21 6 2 6" xfId="25777" xr:uid="{00000000-0005-0000-0000-0000B3610000}"/>
    <cellStyle name="Normal 2 21 6 3" xfId="25778" xr:uid="{00000000-0005-0000-0000-0000B4610000}"/>
    <cellStyle name="Normal 2 21 6 3 2" xfId="25779" xr:uid="{00000000-0005-0000-0000-0000B5610000}"/>
    <cellStyle name="Normal 2 21 6 3 3" xfId="25780" xr:uid="{00000000-0005-0000-0000-0000B6610000}"/>
    <cellStyle name="Normal 2 21 6 3 4" xfId="25781" xr:uid="{00000000-0005-0000-0000-0000B7610000}"/>
    <cellStyle name="Normal 2 21 6 3 5" xfId="25782" xr:uid="{00000000-0005-0000-0000-0000B8610000}"/>
    <cellStyle name="Normal 2 21 6 3 6" xfId="25783" xr:uid="{00000000-0005-0000-0000-0000B9610000}"/>
    <cellStyle name="Normal 2 21 6 4" xfId="25784" xr:uid="{00000000-0005-0000-0000-0000BA610000}"/>
    <cellStyle name="Normal 2 21 6 4 2" xfId="25785" xr:uid="{00000000-0005-0000-0000-0000BB610000}"/>
    <cellStyle name="Normal 2 21 6 4 3" xfId="25786" xr:uid="{00000000-0005-0000-0000-0000BC610000}"/>
    <cellStyle name="Normal 2 21 6 4 4" xfId="25787" xr:uid="{00000000-0005-0000-0000-0000BD610000}"/>
    <cellStyle name="Normal 2 21 6 4 5" xfId="25788" xr:uid="{00000000-0005-0000-0000-0000BE610000}"/>
    <cellStyle name="Normal 2 21 6 4 6" xfId="25789" xr:uid="{00000000-0005-0000-0000-0000BF610000}"/>
    <cellStyle name="Normal 2 21 6 5" xfId="25790" xr:uid="{00000000-0005-0000-0000-0000C0610000}"/>
    <cellStyle name="Normal 2 21 6 5 2" xfId="25791" xr:uid="{00000000-0005-0000-0000-0000C1610000}"/>
    <cellStyle name="Normal 2 21 6 5 3" xfId="25792" xr:uid="{00000000-0005-0000-0000-0000C2610000}"/>
    <cellStyle name="Normal 2 21 6 5 4" xfId="25793" xr:uid="{00000000-0005-0000-0000-0000C3610000}"/>
    <cellStyle name="Normal 2 21 6 5 5" xfId="25794" xr:uid="{00000000-0005-0000-0000-0000C4610000}"/>
    <cellStyle name="Normal 2 21 6 5 6" xfId="25795" xr:uid="{00000000-0005-0000-0000-0000C5610000}"/>
    <cellStyle name="Normal 2 21 6 6" xfId="25796" xr:uid="{00000000-0005-0000-0000-0000C6610000}"/>
    <cellStyle name="Normal 2 21 6 6 2" xfId="25797" xr:uid="{00000000-0005-0000-0000-0000C7610000}"/>
    <cellStyle name="Normal 2 21 6 6 3" xfId="25798" xr:uid="{00000000-0005-0000-0000-0000C8610000}"/>
    <cellStyle name="Normal 2 21 6 6 4" xfId="25799" xr:uid="{00000000-0005-0000-0000-0000C9610000}"/>
    <cellStyle name="Normal 2 21 6 6 5" xfId="25800" xr:uid="{00000000-0005-0000-0000-0000CA610000}"/>
    <cellStyle name="Normal 2 21 6 6 6" xfId="25801" xr:uid="{00000000-0005-0000-0000-0000CB610000}"/>
    <cellStyle name="Normal 2 21 6 7" xfId="25802" xr:uid="{00000000-0005-0000-0000-0000CC610000}"/>
    <cellStyle name="Normal 2 21 6 7 2" xfId="25803" xr:uid="{00000000-0005-0000-0000-0000CD610000}"/>
    <cellStyle name="Normal 2 21 6 7 3" xfId="25804" xr:uid="{00000000-0005-0000-0000-0000CE610000}"/>
    <cellStyle name="Normal 2 21 6 7 4" xfId="25805" xr:uid="{00000000-0005-0000-0000-0000CF610000}"/>
    <cellStyle name="Normal 2 21 6 7 5" xfId="25806" xr:uid="{00000000-0005-0000-0000-0000D0610000}"/>
    <cellStyle name="Normal 2 21 6 7 6" xfId="25807" xr:uid="{00000000-0005-0000-0000-0000D1610000}"/>
    <cellStyle name="Normal 2 21 6 8" xfId="25808" xr:uid="{00000000-0005-0000-0000-0000D2610000}"/>
    <cellStyle name="Normal 2 21 6 8 2" xfId="25809" xr:uid="{00000000-0005-0000-0000-0000D3610000}"/>
    <cellStyle name="Normal 2 21 6 8 3" xfId="25810" xr:uid="{00000000-0005-0000-0000-0000D4610000}"/>
    <cellStyle name="Normal 2 21 6 8 4" xfId="25811" xr:uid="{00000000-0005-0000-0000-0000D5610000}"/>
    <cellStyle name="Normal 2 21 6 8 5" xfId="25812" xr:uid="{00000000-0005-0000-0000-0000D6610000}"/>
    <cellStyle name="Normal 2 21 6 8 6" xfId="25813" xr:uid="{00000000-0005-0000-0000-0000D7610000}"/>
    <cellStyle name="Normal 2 21 6 9" xfId="25814" xr:uid="{00000000-0005-0000-0000-0000D8610000}"/>
    <cellStyle name="Normal 2 21 7" xfId="25815" xr:uid="{00000000-0005-0000-0000-0000D9610000}"/>
    <cellStyle name="Normal 2 21 7 10" xfId="25816" xr:uid="{00000000-0005-0000-0000-0000DA610000}"/>
    <cellStyle name="Normal 2 21 7 11" xfId="25817" xr:uid="{00000000-0005-0000-0000-0000DB610000}"/>
    <cellStyle name="Normal 2 21 7 12" xfId="25818" xr:uid="{00000000-0005-0000-0000-0000DC610000}"/>
    <cellStyle name="Normal 2 21 7 13" xfId="25819" xr:uid="{00000000-0005-0000-0000-0000DD610000}"/>
    <cellStyle name="Normal 2 21 7 2" xfId="25820" xr:uid="{00000000-0005-0000-0000-0000DE610000}"/>
    <cellStyle name="Normal 2 21 7 2 2" xfId="25821" xr:uid="{00000000-0005-0000-0000-0000DF610000}"/>
    <cellStyle name="Normal 2 21 7 2 3" xfId="25822" xr:uid="{00000000-0005-0000-0000-0000E0610000}"/>
    <cellStyle name="Normal 2 21 7 2 4" xfId="25823" xr:uid="{00000000-0005-0000-0000-0000E1610000}"/>
    <cellStyle name="Normal 2 21 7 2 5" xfId="25824" xr:uid="{00000000-0005-0000-0000-0000E2610000}"/>
    <cellStyle name="Normal 2 21 7 2 6" xfId="25825" xr:uid="{00000000-0005-0000-0000-0000E3610000}"/>
    <cellStyle name="Normal 2 21 7 3" xfId="25826" xr:uid="{00000000-0005-0000-0000-0000E4610000}"/>
    <cellStyle name="Normal 2 21 7 3 2" xfId="25827" xr:uid="{00000000-0005-0000-0000-0000E5610000}"/>
    <cellStyle name="Normal 2 21 7 3 3" xfId="25828" xr:uid="{00000000-0005-0000-0000-0000E6610000}"/>
    <cellStyle name="Normal 2 21 7 3 4" xfId="25829" xr:uid="{00000000-0005-0000-0000-0000E7610000}"/>
    <cellStyle name="Normal 2 21 7 3 5" xfId="25830" xr:uid="{00000000-0005-0000-0000-0000E8610000}"/>
    <cellStyle name="Normal 2 21 7 3 6" xfId="25831" xr:uid="{00000000-0005-0000-0000-0000E9610000}"/>
    <cellStyle name="Normal 2 21 7 4" xfId="25832" xr:uid="{00000000-0005-0000-0000-0000EA610000}"/>
    <cellStyle name="Normal 2 21 7 4 2" xfId="25833" xr:uid="{00000000-0005-0000-0000-0000EB610000}"/>
    <cellStyle name="Normal 2 21 7 4 3" xfId="25834" xr:uid="{00000000-0005-0000-0000-0000EC610000}"/>
    <cellStyle name="Normal 2 21 7 4 4" xfId="25835" xr:uid="{00000000-0005-0000-0000-0000ED610000}"/>
    <cellStyle name="Normal 2 21 7 4 5" xfId="25836" xr:uid="{00000000-0005-0000-0000-0000EE610000}"/>
    <cellStyle name="Normal 2 21 7 4 6" xfId="25837" xr:uid="{00000000-0005-0000-0000-0000EF610000}"/>
    <cellStyle name="Normal 2 21 7 5" xfId="25838" xr:uid="{00000000-0005-0000-0000-0000F0610000}"/>
    <cellStyle name="Normal 2 21 7 5 2" xfId="25839" xr:uid="{00000000-0005-0000-0000-0000F1610000}"/>
    <cellStyle name="Normal 2 21 7 5 3" xfId="25840" xr:uid="{00000000-0005-0000-0000-0000F2610000}"/>
    <cellStyle name="Normal 2 21 7 5 4" xfId="25841" xr:uid="{00000000-0005-0000-0000-0000F3610000}"/>
    <cellStyle name="Normal 2 21 7 5 5" xfId="25842" xr:uid="{00000000-0005-0000-0000-0000F4610000}"/>
    <cellStyle name="Normal 2 21 7 5 6" xfId="25843" xr:uid="{00000000-0005-0000-0000-0000F5610000}"/>
    <cellStyle name="Normal 2 21 7 6" xfId="25844" xr:uid="{00000000-0005-0000-0000-0000F6610000}"/>
    <cellStyle name="Normal 2 21 7 6 2" xfId="25845" xr:uid="{00000000-0005-0000-0000-0000F7610000}"/>
    <cellStyle name="Normal 2 21 7 6 3" xfId="25846" xr:uid="{00000000-0005-0000-0000-0000F8610000}"/>
    <cellStyle name="Normal 2 21 7 6 4" xfId="25847" xr:uid="{00000000-0005-0000-0000-0000F9610000}"/>
    <cellStyle name="Normal 2 21 7 6 5" xfId="25848" xr:uid="{00000000-0005-0000-0000-0000FA610000}"/>
    <cellStyle name="Normal 2 21 7 6 6" xfId="25849" xr:uid="{00000000-0005-0000-0000-0000FB610000}"/>
    <cellStyle name="Normal 2 21 7 7" xfId="25850" xr:uid="{00000000-0005-0000-0000-0000FC610000}"/>
    <cellStyle name="Normal 2 21 7 7 2" xfId="25851" xr:uid="{00000000-0005-0000-0000-0000FD610000}"/>
    <cellStyle name="Normal 2 21 7 7 3" xfId="25852" xr:uid="{00000000-0005-0000-0000-0000FE610000}"/>
    <cellStyle name="Normal 2 21 7 7 4" xfId="25853" xr:uid="{00000000-0005-0000-0000-0000FF610000}"/>
    <cellStyle name="Normal 2 21 7 7 5" xfId="25854" xr:uid="{00000000-0005-0000-0000-000000620000}"/>
    <cellStyle name="Normal 2 21 7 7 6" xfId="25855" xr:uid="{00000000-0005-0000-0000-000001620000}"/>
    <cellStyle name="Normal 2 21 7 8" xfId="25856" xr:uid="{00000000-0005-0000-0000-000002620000}"/>
    <cellStyle name="Normal 2 21 7 8 2" xfId="25857" xr:uid="{00000000-0005-0000-0000-000003620000}"/>
    <cellStyle name="Normal 2 21 7 8 3" xfId="25858" xr:uid="{00000000-0005-0000-0000-000004620000}"/>
    <cellStyle name="Normal 2 21 7 8 4" xfId="25859" xr:uid="{00000000-0005-0000-0000-000005620000}"/>
    <cellStyle name="Normal 2 21 7 8 5" xfId="25860" xr:uid="{00000000-0005-0000-0000-000006620000}"/>
    <cellStyle name="Normal 2 21 7 8 6" xfId="25861" xr:uid="{00000000-0005-0000-0000-000007620000}"/>
    <cellStyle name="Normal 2 21 7 9" xfId="25862" xr:uid="{00000000-0005-0000-0000-000008620000}"/>
    <cellStyle name="Normal 2 21 8" xfId="25863" xr:uid="{00000000-0005-0000-0000-000009620000}"/>
    <cellStyle name="Normal 2 21 9" xfId="25864" xr:uid="{00000000-0005-0000-0000-00000A620000}"/>
    <cellStyle name="Normal 2 22" xfId="25865" xr:uid="{00000000-0005-0000-0000-00000B620000}"/>
    <cellStyle name="Normal 2 22 10" xfId="25866" xr:uid="{00000000-0005-0000-0000-00000C620000}"/>
    <cellStyle name="Normal 2 22 11" xfId="25867" xr:uid="{00000000-0005-0000-0000-00000D620000}"/>
    <cellStyle name="Normal 2 22 12" xfId="25868" xr:uid="{00000000-0005-0000-0000-00000E620000}"/>
    <cellStyle name="Normal 2 22 13" xfId="25869" xr:uid="{00000000-0005-0000-0000-00000F620000}"/>
    <cellStyle name="Normal 2 22 14" xfId="25870" xr:uid="{00000000-0005-0000-0000-000010620000}"/>
    <cellStyle name="Normal 2 22 2" xfId="25871" xr:uid="{00000000-0005-0000-0000-000011620000}"/>
    <cellStyle name="Normal 2 22 2 2" xfId="25872" xr:uid="{00000000-0005-0000-0000-000012620000}"/>
    <cellStyle name="Normal 2 22 2 3" xfId="25873" xr:uid="{00000000-0005-0000-0000-000013620000}"/>
    <cellStyle name="Normal 2 22 2 4" xfId="25874" xr:uid="{00000000-0005-0000-0000-000014620000}"/>
    <cellStyle name="Normal 2 22 2 5" xfId="25875" xr:uid="{00000000-0005-0000-0000-000015620000}"/>
    <cellStyle name="Normal 2 22 2 6" xfId="25876" xr:uid="{00000000-0005-0000-0000-000016620000}"/>
    <cellStyle name="Normal 2 22 3" xfId="25877" xr:uid="{00000000-0005-0000-0000-000017620000}"/>
    <cellStyle name="Normal 2 22 3 2" xfId="25878" xr:uid="{00000000-0005-0000-0000-000018620000}"/>
    <cellStyle name="Normal 2 22 3 3" xfId="25879" xr:uid="{00000000-0005-0000-0000-000019620000}"/>
    <cellStyle name="Normal 2 22 3 4" xfId="25880" xr:uid="{00000000-0005-0000-0000-00001A620000}"/>
    <cellStyle name="Normal 2 22 3 5" xfId="25881" xr:uid="{00000000-0005-0000-0000-00001B620000}"/>
    <cellStyle name="Normal 2 22 3 6" xfId="25882" xr:uid="{00000000-0005-0000-0000-00001C620000}"/>
    <cellStyle name="Normal 2 22 4" xfId="25883" xr:uid="{00000000-0005-0000-0000-00001D620000}"/>
    <cellStyle name="Normal 2 22 4 2" xfId="25884" xr:uid="{00000000-0005-0000-0000-00001E620000}"/>
    <cellStyle name="Normal 2 22 4 3" xfId="25885" xr:uid="{00000000-0005-0000-0000-00001F620000}"/>
    <cellStyle name="Normal 2 22 4 4" xfId="25886" xr:uid="{00000000-0005-0000-0000-000020620000}"/>
    <cellStyle name="Normal 2 22 4 5" xfId="25887" xr:uid="{00000000-0005-0000-0000-000021620000}"/>
    <cellStyle name="Normal 2 22 4 6" xfId="25888" xr:uid="{00000000-0005-0000-0000-000022620000}"/>
    <cellStyle name="Normal 2 22 5" xfId="25889" xr:uid="{00000000-0005-0000-0000-000023620000}"/>
    <cellStyle name="Normal 2 22 5 2" xfId="25890" xr:uid="{00000000-0005-0000-0000-000024620000}"/>
    <cellStyle name="Normal 2 22 5 3" xfId="25891" xr:uid="{00000000-0005-0000-0000-000025620000}"/>
    <cellStyle name="Normal 2 22 5 4" xfId="25892" xr:uid="{00000000-0005-0000-0000-000026620000}"/>
    <cellStyle name="Normal 2 22 5 5" xfId="25893" xr:uid="{00000000-0005-0000-0000-000027620000}"/>
    <cellStyle name="Normal 2 22 5 6" xfId="25894" xr:uid="{00000000-0005-0000-0000-000028620000}"/>
    <cellStyle name="Normal 2 22 6" xfId="25895" xr:uid="{00000000-0005-0000-0000-000029620000}"/>
    <cellStyle name="Normal 2 22 6 2" xfId="25896" xr:uid="{00000000-0005-0000-0000-00002A620000}"/>
    <cellStyle name="Normal 2 22 6 3" xfId="25897" xr:uid="{00000000-0005-0000-0000-00002B620000}"/>
    <cellStyle name="Normal 2 22 6 4" xfId="25898" xr:uid="{00000000-0005-0000-0000-00002C620000}"/>
    <cellStyle name="Normal 2 22 6 5" xfId="25899" xr:uid="{00000000-0005-0000-0000-00002D620000}"/>
    <cellStyle name="Normal 2 22 6 6" xfId="25900" xr:uid="{00000000-0005-0000-0000-00002E620000}"/>
    <cellStyle name="Normal 2 22 7" xfId="25901" xr:uid="{00000000-0005-0000-0000-00002F620000}"/>
    <cellStyle name="Normal 2 22 7 2" xfId="25902" xr:uid="{00000000-0005-0000-0000-000030620000}"/>
    <cellStyle name="Normal 2 22 7 3" xfId="25903" xr:uid="{00000000-0005-0000-0000-000031620000}"/>
    <cellStyle name="Normal 2 22 7 4" xfId="25904" xr:uid="{00000000-0005-0000-0000-000032620000}"/>
    <cellStyle name="Normal 2 22 7 5" xfId="25905" xr:uid="{00000000-0005-0000-0000-000033620000}"/>
    <cellStyle name="Normal 2 22 7 6" xfId="25906" xr:uid="{00000000-0005-0000-0000-000034620000}"/>
    <cellStyle name="Normal 2 22 8" xfId="25907" xr:uid="{00000000-0005-0000-0000-000035620000}"/>
    <cellStyle name="Normal 2 22 8 2" xfId="25908" xr:uid="{00000000-0005-0000-0000-000036620000}"/>
    <cellStyle name="Normal 2 22 8 3" xfId="25909" xr:uid="{00000000-0005-0000-0000-000037620000}"/>
    <cellStyle name="Normal 2 22 8 4" xfId="25910" xr:uid="{00000000-0005-0000-0000-000038620000}"/>
    <cellStyle name="Normal 2 22 8 5" xfId="25911" xr:uid="{00000000-0005-0000-0000-000039620000}"/>
    <cellStyle name="Normal 2 22 8 6" xfId="25912" xr:uid="{00000000-0005-0000-0000-00003A620000}"/>
    <cellStyle name="Normal 2 22 9" xfId="25913" xr:uid="{00000000-0005-0000-0000-00003B620000}"/>
    <cellStyle name="Normal 2 23" xfId="25914" xr:uid="{00000000-0005-0000-0000-00003C620000}"/>
    <cellStyle name="Normal 2 23 10" xfId="25915" xr:uid="{00000000-0005-0000-0000-00003D620000}"/>
    <cellStyle name="Normal 2 23 11" xfId="25916" xr:uid="{00000000-0005-0000-0000-00003E620000}"/>
    <cellStyle name="Normal 2 23 12" xfId="25917" xr:uid="{00000000-0005-0000-0000-00003F620000}"/>
    <cellStyle name="Normal 2 23 13" xfId="25918" xr:uid="{00000000-0005-0000-0000-000040620000}"/>
    <cellStyle name="Normal 2 23 14" xfId="25919" xr:uid="{00000000-0005-0000-0000-000041620000}"/>
    <cellStyle name="Normal 2 23 2" xfId="25920" xr:uid="{00000000-0005-0000-0000-000042620000}"/>
    <cellStyle name="Normal 2 23 2 2" xfId="25921" xr:uid="{00000000-0005-0000-0000-000043620000}"/>
    <cellStyle name="Normal 2 23 2 3" xfId="25922" xr:uid="{00000000-0005-0000-0000-000044620000}"/>
    <cellStyle name="Normal 2 23 2 4" xfId="25923" xr:uid="{00000000-0005-0000-0000-000045620000}"/>
    <cellStyle name="Normal 2 23 2 5" xfId="25924" xr:uid="{00000000-0005-0000-0000-000046620000}"/>
    <cellStyle name="Normal 2 23 2 6" xfId="25925" xr:uid="{00000000-0005-0000-0000-000047620000}"/>
    <cellStyle name="Normal 2 23 3" xfId="25926" xr:uid="{00000000-0005-0000-0000-000048620000}"/>
    <cellStyle name="Normal 2 23 3 2" xfId="25927" xr:uid="{00000000-0005-0000-0000-000049620000}"/>
    <cellStyle name="Normal 2 23 3 3" xfId="25928" xr:uid="{00000000-0005-0000-0000-00004A620000}"/>
    <cellStyle name="Normal 2 23 3 4" xfId="25929" xr:uid="{00000000-0005-0000-0000-00004B620000}"/>
    <cellStyle name="Normal 2 23 3 5" xfId="25930" xr:uid="{00000000-0005-0000-0000-00004C620000}"/>
    <cellStyle name="Normal 2 23 3 6" xfId="25931" xr:uid="{00000000-0005-0000-0000-00004D620000}"/>
    <cellStyle name="Normal 2 23 4" xfId="25932" xr:uid="{00000000-0005-0000-0000-00004E620000}"/>
    <cellStyle name="Normal 2 23 4 2" xfId="25933" xr:uid="{00000000-0005-0000-0000-00004F620000}"/>
    <cellStyle name="Normal 2 23 4 3" xfId="25934" xr:uid="{00000000-0005-0000-0000-000050620000}"/>
    <cellStyle name="Normal 2 23 4 4" xfId="25935" xr:uid="{00000000-0005-0000-0000-000051620000}"/>
    <cellStyle name="Normal 2 23 4 5" xfId="25936" xr:uid="{00000000-0005-0000-0000-000052620000}"/>
    <cellStyle name="Normal 2 23 4 6" xfId="25937" xr:uid="{00000000-0005-0000-0000-000053620000}"/>
    <cellStyle name="Normal 2 23 5" xfId="25938" xr:uid="{00000000-0005-0000-0000-000054620000}"/>
    <cellStyle name="Normal 2 23 5 2" xfId="25939" xr:uid="{00000000-0005-0000-0000-000055620000}"/>
    <cellStyle name="Normal 2 23 5 3" xfId="25940" xr:uid="{00000000-0005-0000-0000-000056620000}"/>
    <cellStyle name="Normal 2 23 5 4" xfId="25941" xr:uid="{00000000-0005-0000-0000-000057620000}"/>
    <cellStyle name="Normal 2 23 5 5" xfId="25942" xr:uid="{00000000-0005-0000-0000-000058620000}"/>
    <cellStyle name="Normal 2 23 5 6" xfId="25943" xr:uid="{00000000-0005-0000-0000-000059620000}"/>
    <cellStyle name="Normal 2 23 6" xfId="25944" xr:uid="{00000000-0005-0000-0000-00005A620000}"/>
    <cellStyle name="Normal 2 23 6 2" xfId="25945" xr:uid="{00000000-0005-0000-0000-00005B620000}"/>
    <cellStyle name="Normal 2 23 6 3" xfId="25946" xr:uid="{00000000-0005-0000-0000-00005C620000}"/>
    <cellStyle name="Normal 2 23 6 4" xfId="25947" xr:uid="{00000000-0005-0000-0000-00005D620000}"/>
    <cellStyle name="Normal 2 23 6 5" xfId="25948" xr:uid="{00000000-0005-0000-0000-00005E620000}"/>
    <cellStyle name="Normal 2 23 6 6" xfId="25949" xr:uid="{00000000-0005-0000-0000-00005F620000}"/>
    <cellStyle name="Normal 2 23 7" xfId="25950" xr:uid="{00000000-0005-0000-0000-000060620000}"/>
    <cellStyle name="Normal 2 23 7 2" xfId="25951" xr:uid="{00000000-0005-0000-0000-000061620000}"/>
    <cellStyle name="Normal 2 23 7 3" xfId="25952" xr:uid="{00000000-0005-0000-0000-000062620000}"/>
    <cellStyle name="Normal 2 23 7 4" xfId="25953" xr:uid="{00000000-0005-0000-0000-000063620000}"/>
    <cellStyle name="Normal 2 23 7 5" xfId="25954" xr:uid="{00000000-0005-0000-0000-000064620000}"/>
    <cellStyle name="Normal 2 23 7 6" xfId="25955" xr:uid="{00000000-0005-0000-0000-000065620000}"/>
    <cellStyle name="Normal 2 23 8" xfId="25956" xr:uid="{00000000-0005-0000-0000-000066620000}"/>
    <cellStyle name="Normal 2 23 8 2" xfId="25957" xr:uid="{00000000-0005-0000-0000-000067620000}"/>
    <cellStyle name="Normal 2 23 8 3" xfId="25958" xr:uid="{00000000-0005-0000-0000-000068620000}"/>
    <cellStyle name="Normal 2 23 8 4" xfId="25959" xr:uid="{00000000-0005-0000-0000-000069620000}"/>
    <cellStyle name="Normal 2 23 8 5" xfId="25960" xr:uid="{00000000-0005-0000-0000-00006A620000}"/>
    <cellStyle name="Normal 2 23 8 6" xfId="25961" xr:uid="{00000000-0005-0000-0000-00006B620000}"/>
    <cellStyle name="Normal 2 23 9" xfId="25962" xr:uid="{00000000-0005-0000-0000-00006C620000}"/>
    <cellStyle name="Normal 2 24" xfId="25963" xr:uid="{00000000-0005-0000-0000-00006D620000}"/>
    <cellStyle name="Normal 2 24 10" xfId="25964" xr:uid="{00000000-0005-0000-0000-00006E620000}"/>
    <cellStyle name="Normal 2 24 11" xfId="25965" xr:uid="{00000000-0005-0000-0000-00006F620000}"/>
    <cellStyle name="Normal 2 24 12" xfId="25966" xr:uid="{00000000-0005-0000-0000-000070620000}"/>
    <cellStyle name="Normal 2 24 13" xfId="25967" xr:uid="{00000000-0005-0000-0000-000071620000}"/>
    <cellStyle name="Normal 2 24 14" xfId="25968" xr:uid="{00000000-0005-0000-0000-000072620000}"/>
    <cellStyle name="Normal 2 24 15" xfId="25969" xr:uid="{00000000-0005-0000-0000-000073620000}"/>
    <cellStyle name="Normal 2 24 16" xfId="25970" xr:uid="{00000000-0005-0000-0000-000074620000}"/>
    <cellStyle name="Normal 2 24 17" xfId="25971" xr:uid="{00000000-0005-0000-0000-000075620000}"/>
    <cellStyle name="Normal 2 24 18" xfId="25972" xr:uid="{00000000-0005-0000-0000-000076620000}"/>
    <cellStyle name="Normal 2 24 19" xfId="25973" xr:uid="{00000000-0005-0000-0000-000077620000}"/>
    <cellStyle name="Normal 2 24 2" xfId="25974" xr:uid="{00000000-0005-0000-0000-000078620000}"/>
    <cellStyle name="Normal 2 24 20" xfId="25975" xr:uid="{00000000-0005-0000-0000-000079620000}"/>
    <cellStyle name="Normal 2 24 21" xfId="25976" xr:uid="{00000000-0005-0000-0000-00007A620000}"/>
    <cellStyle name="Normal 2 24 22" xfId="25977" xr:uid="{00000000-0005-0000-0000-00007B620000}"/>
    <cellStyle name="Normal 2 24 23" xfId="25978" xr:uid="{00000000-0005-0000-0000-00007C620000}"/>
    <cellStyle name="Normal 2 24 24" xfId="25979" xr:uid="{00000000-0005-0000-0000-00007D620000}"/>
    <cellStyle name="Normal 2 24 25" xfId="25980" xr:uid="{00000000-0005-0000-0000-00007E620000}"/>
    <cellStyle name="Normal 2 24 26" xfId="25981" xr:uid="{00000000-0005-0000-0000-00007F620000}"/>
    <cellStyle name="Normal 2 24 27" xfId="25982" xr:uid="{00000000-0005-0000-0000-000080620000}"/>
    <cellStyle name="Normal 2 24 28" xfId="25983" xr:uid="{00000000-0005-0000-0000-000081620000}"/>
    <cellStyle name="Normal 2 24 29" xfId="25984" xr:uid="{00000000-0005-0000-0000-000082620000}"/>
    <cellStyle name="Normal 2 24 3" xfId="25985" xr:uid="{00000000-0005-0000-0000-000083620000}"/>
    <cellStyle name="Normal 2 24 30" xfId="25986" xr:uid="{00000000-0005-0000-0000-000084620000}"/>
    <cellStyle name="Normal 2 24 31" xfId="25987" xr:uid="{00000000-0005-0000-0000-000085620000}"/>
    <cellStyle name="Normal 2 24 32" xfId="25988" xr:uid="{00000000-0005-0000-0000-000086620000}"/>
    <cellStyle name="Normal 2 24 33" xfId="25989" xr:uid="{00000000-0005-0000-0000-000087620000}"/>
    <cellStyle name="Normal 2 24 34" xfId="25990" xr:uid="{00000000-0005-0000-0000-000088620000}"/>
    <cellStyle name="Normal 2 24 35" xfId="25991" xr:uid="{00000000-0005-0000-0000-000089620000}"/>
    <cellStyle name="Normal 2 24 36" xfId="25992" xr:uid="{00000000-0005-0000-0000-00008A620000}"/>
    <cellStyle name="Normal 2 24 37" xfId="25993" xr:uid="{00000000-0005-0000-0000-00008B620000}"/>
    <cellStyle name="Normal 2 24 38" xfId="25994" xr:uid="{00000000-0005-0000-0000-00008C620000}"/>
    <cellStyle name="Normal 2 24 39" xfId="25995" xr:uid="{00000000-0005-0000-0000-00008D620000}"/>
    <cellStyle name="Normal 2 24 4" xfId="25996" xr:uid="{00000000-0005-0000-0000-00008E620000}"/>
    <cellStyle name="Normal 2 24 40" xfId="25997" xr:uid="{00000000-0005-0000-0000-00008F620000}"/>
    <cellStyle name="Normal 2 24 41" xfId="25998" xr:uid="{00000000-0005-0000-0000-000090620000}"/>
    <cellStyle name="Normal 2 24 42" xfId="25999" xr:uid="{00000000-0005-0000-0000-000091620000}"/>
    <cellStyle name="Normal 2 24 43" xfId="26000" xr:uid="{00000000-0005-0000-0000-000092620000}"/>
    <cellStyle name="Normal 2 24 44" xfId="26001" xr:uid="{00000000-0005-0000-0000-000093620000}"/>
    <cellStyle name="Normal 2 24 45" xfId="26002" xr:uid="{00000000-0005-0000-0000-000094620000}"/>
    <cellStyle name="Normal 2 24 46" xfId="26003" xr:uid="{00000000-0005-0000-0000-000095620000}"/>
    <cellStyle name="Normal 2 24 5" xfId="26004" xr:uid="{00000000-0005-0000-0000-000096620000}"/>
    <cellStyle name="Normal 2 24 6" xfId="26005" xr:uid="{00000000-0005-0000-0000-000097620000}"/>
    <cellStyle name="Normal 2 24 7" xfId="26006" xr:uid="{00000000-0005-0000-0000-000098620000}"/>
    <cellStyle name="Normal 2 24 8" xfId="26007" xr:uid="{00000000-0005-0000-0000-000099620000}"/>
    <cellStyle name="Normal 2 24 9" xfId="26008" xr:uid="{00000000-0005-0000-0000-00009A620000}"/>
    <cellStyle name="Normal 2 25" xfId="26009" xr:uid="{00000000-0005-0000-0000-00009B620000}"/>
    <cellStyle name="Normal 2 25 10" xfId="26010" xr:uid="{00000000-0005-0000-0000-00009C620000}"/>
    <cellStyle name="Normal 2 25 11" xfId="26011" xr:uid="{00000000-0005-0000-0000-00009D620000}"/>
    <cellStyle name="Normal 2 25 12" xfId="26012" xr:uid="{00000000-0005-0000-0000-00009E620000}"/>
    <cellStyle name="Normal 2 25 13" xfId="26013" xr:uid="{00000000-0005-0000-0000-00009F620000}"/>
    <cellStyle name="Normal 2 25 14" xfId="26014" xr:uid="{00000000-0005-0000-0000-0000A0620000}"/>
    <cellStyle name="Normal 2 25 15" xfId="26015" xr:uid="{00000000-0005-0000-0000-0000A1620000}"/>
    <cellStyle name="Normal 2 25 16" xfId="26016" xr:uid="{00000000-0005-0000-0000-0000A2620000}"/>
    <cellStyle name="Normal 2 25 17" xfId="26017" xr:uid="{00000000-0005-0000-0000-0000A3620000}"/>
    <cellStyle name="Normal 2 25 18" xfId="26018" xr:uid="{00000000-0005-0000-0000-0000A4620000}"/>
    <cellStyle name="Normal 2 25 19" xfId="26019" xr:uid="{00000000-0005-0000-0000-0000A5620000}"/>
    <cellStyle name="Normal 2 25 2" xfId="26020" xr:uid="{00000000-0005-0000-0000-0000A6620000}"/>
    <cellStyle name="Normal 2 25 20" xfId="26021" xr:uid="{00000000-0005-0000-0000-0000A7620000}"/>
    <cellStyle name="Normal 2 25 21" xfId="26022" xr:uid="{00000000-0005-0000-0000-0000A8620000}"/>
    <cellStyle name="Normal 2 25 22" xfId="26023" xr:uid="{00000000-0005-0000-0000-0000A9620000}"/>
    <cellStyle name="Normal 2 25 23" xfId="26024" xr:uid="{00000000-0005-0000-0000-0000AA620000}"/>
    <cellStyle name="Normal 2 25 24" xfId="26025" xr:uid="{00000000-0005-0000-0000-0000AB620000}"/>
    <cellStyle name="Normal 2 25 25" xfId="26026" xr:uid="{00000000-0005-0000-0000-0000AC620000}"/>
    <cellStyle name="Normal 2 25 26" xfId="26027" xr:uid="{00000000-0005-0000-0000-0000AD620000}"/>
    <cellStyle name="Normal 2 25 27" xfId="26028" xr:uid="{00000000-0005-0000-0000-0000AE620000}"/>
    <cellStyle name="Normal 2 25 28" xfId="26029" xr:uid="{00000000-0005-0000-0000-0000AF620000}"/>
    <cellStyle name="Normal 2 25 29" xfId="26030" xr:uid="{00000000-0005-0000-0000-0000B0620000}"/>
    <cellStyle name="Normal 2 25 3" xfId="26031" xr:uid="{00000000-0005-0000-0000-0000B1620000}"/>
    <cellStyle name="Normal 2 25 30" xfId="26032" xr:uid="{00000000-0005-0000-0000-0000B2620000}"/>
    <cellStyle name="Normal 2 25 31" xfId="26033" xr:uid="{00000000-0005-0000-0000-0000B3620000}"/>
    <cellStyle name="Normal 2 25 32" xfId="26034" xr:uid="{00000000-0005-0000-0000-0000B4620000}"/>
    <cellStyle name="Normal 2 25 33" xfId="26035" xr:uid="{00000000-0005-0000-0000-0000B5620000}"/>
    <cellStyle name="Normal 2 25 34" xfId="26036" xr:uid="{00000000-0005-0000-0000-0000B6620000}"/>
    <cellStyle name="Normal 2 25 35" xfId="26037" xr:uid="{00000000-0005-0000-0000-0000B7620000}"/>
    <cellStyle name="Normal 2 25 36" xfId="26038" xr:uid="{00000000-0005-0000-0000-0000B8620000}"/>
    <cellStyle name="Normal 2 25 37" xfId="26039" xr:uid="{00000000-0005-0000-0000-0000B9620000}"/>
    <cellStyle name="Normal 2 25 38" xfId="26040" xr:uid="{00000000-0005-0000-0000-0000BA620000}"/>
    <cellStyle name="Normal 2 25 39" xfId="26041" xr:uid="{00000000-0005-0000-0000-0000BB620000}"/>
    <cellStyle name="Normal 2 25 4" xfId="26042" xr:uid="{00000000-0005-0000-0000-0000BC620000}"/>
    <cellStyle name="Normal 2 25 40" xfId="26043" xr:uid="{00000000-0005-0000-0000-0000BD620000}"/>
    <cellStyle name="Normal 2 25 41" xfId="26044" xr:uid="{00000000-0005-0000-0000-0000BE620000}"/>
    <cellStyle name="Normal 2 25 42" xfId="26045" xr:uid="{00000000-0005-0000-0000-0000BF620000}"/>
    <cellStyle name="Normal 2 25 43" xfId="26046" xr:uid="{00000000-0005-0000-0000-0000C0620000}"/>
    <cellStyle name="Normal 2 25 44" xfId="26047" xr:uid="{00000000-0005-0000-0000-0000C1620000}"/>
    <cellStyle name="Normal 2 25 45" xfId="26048" xr:uid="{00000000-0005-0000-0000-0000C2620000}"/>
    <cellStyle name="Normal 2 25 46" xfId="26049" xr:uid="{00000000-0005-0000-0000-0000C3620000}"/>
    <cellStyle name="Normal 2 25 5" xfId="26050" xr:uid="{00000000-0005-0000-0000-0000C4620000}"/>
    <cellStyle name="Normal 2 25 6" xfId="26051" xr:uid="{00000000-0005-0000-0000-0000C5620000}"/>
    <cellStyle name="Normal 2 25 7" xfId="26052" xr:uid="{00000000-0005-0000-0000-0000C6620000}"/>
    <cellStyle name="Normal 2 25 8" xfId="26053" xr:uid="{00000000-0005-0000-0000-0000C7620000}"/>
    <cellStyle name="Normal 2 25 9" xfId="26054" xr:uid="{00000000-0005-0000-0000-0000C8620000}"/>
    <cellStyle name="Normal 2 26" xfId="26055" xr:uid="{00000000-0005-0000-0000-0000C9620000}"/>
    <cellStyle name="Normal 2 26 10" xfId="26056" xr:uid="{00000000-0005-0000-0000-0000CA620000}"/>
    <cellStyle name="Normal 2 26 11" xfId="26057" xr:uid="{00000000-0005-0000-0000-0000CB620000}"/>
    <cellStyle name="Normal 2 26 12" xfId="26058" xr:uid="{00000000-0005-0000-0000-0000CC620000}"/>
    <cellStyle name="Normal 2 26 13" xfId="26059" xr:uid="{00000000-0005-0000-0000-0000CD620000}"/>
    <cellStyle name="Normal 2 26 14" xfId="26060" xr:uid="{00000000-0005-0000-0000-0000CE620000}"/>
    <cellStyle name="Normal 2 26 15" xfId="26061" xr:uid="{00000000-0005-0000-0000-0000CF620000}"/>
    <cellStyle name="Normal 2 26 16" xfId="26062" xr:uid="{00000000-0005-0000-0000-0000D0620000}"/>
    <cellStyle name="Normal 2 26 17" xfId="26063" xr:uid="{00000000-0005-0000-0000-0000D1620000}"/>
    <cellStyle name="Normal 2 26 18" xfId="26064" xr:uid="{00000000-0005-0000-0000-0000D2620000}"/>
    <cellStyle name="Normal 2 26 19" xfId="26065" xr:uid="{00000000-0005-0000-0000-0000D3620000}"/>
    <cellStyle name="Normal 2 26 2" xfId="26066" xr:uid="{00000000-0005-0000-0000-0000D4620000}"/>
    <cellStyle name="Normal 2 26 20" xfId="26067" xr:uid="{00000000-0005-0000-0000-0000D5620000}"/>
    <cellStyle name="Normal 2 26 21" xfId="26068" xr:uid="{00000000-0005-0000-0000-0000D6620000}"/>
    <cellStyle name="Normal 2 26 22" xfId="26069" xr:uid="{00000000-0005-0000-0000-0000D7620000}"/>
    <cellStyle name="Normal 2 26 23" xfId="26070" xr:uid="{00000000-0005-0000-0000-0000D8620000}"/>
    <cellStyle name="Normal 2 26 24" xfId="26071" xr:uid="{00000000-0005-0000-0000-0000D9620000}"/>
    <cellStyle name="Normal 2 26 25" xfId="26072" xr:uid="{00000000-0005-0000-0000-0000DA620000}"/>
    <cellStyle name="Normal 2 26 26" xfId="26073" xr:uid="{00000000-0005-0000-0000-0000DB620000}"/>
    <cellStyle name="Normal 2 26 27" xfId="26074" xr:uid="{00000000-0005-0000-0000-0000DC620000}"/>
    <cellStyle name="Normal 2 26 28" xfId="26075" xr:uid="{00000000-0005-0000-0000-0000DD620000}"/>
    <cellStyle name="Normal 2 26 29" xfId="26076" xr:uid="{00000000-0005-0000-0000-0000DE620000}"/>
    <cellStyle name="Normal 2 26 3" xfId="26077" xr:uid="{00000000-0005-0000-0000-0000DF620000}"/>
    <cellStyle name="Normal 2 26 30" xfId="26078" xr:uid="{00000000-0005-0000-0000-0000E0620000}"/>
    <cellStyle name="Normal 2 26 31" xfId="26079" xr:uid="{00000000-0005-0000-0000-0000E1620000}"/>
    <cellStyle name="Normal 2 26 32" xfId="26080" xr:uid="{00000000-0005-0000-0000-0000E2620000}"/>
    <cellStyle name="Normal 2 26 33" xfId="26081" xr:uid="{00000000-0005-0000-0000-0000E3620000}"/>
    <cellStyle name="Normal 2 26 34" xfId="26082" xr:uid="{00000000-0005-0000-0000-0000E4620000}"/>
    <cellStyle name="Normal 2 26 35" xfId="26083" xr:uid="{00000000-0005-0000-0000-0000E5620000}"/>
    <cellStyle name="Normal 2 26 36" xfId="26084" xr:uid="{00000000-0005-0000-0000-0000E6620000}"/>
    <cellStyle name="Normal 2 26 37" xfId="26085" xr:uid="{00000000-0005-0000-0000-0000E7620000}"/>
    <cellStyle name="Normal 2 26 38" xfId="26086" xr:uid="{00000000-0005-0000-0000-0000E8620000}"/>
    <cellStyle name="Normal 2 26 39" xfId="26087" xr:uid="{00000000-0005-0000-0000-0000E9620000}"/>
    <cellStyle name="Normal 2 26 4" xfId="26088" xr:uid="{00000000-0005-0000-0000-0000EA620000}"/>
    <cellStyle name="Normal 2 26 40" xfId="26089" xr:uid="{00000000-0005-0000-0000-0000EB620000}"/>
    <cellStyle name="Normal 2 26 41" xfId="26090" xr:uid="{00000000-0005-0000-0000-0000EC620000}"/>
    <cellStyle name="Normal 2 26 42" xfId="26091" xr:uid="{00000000-0005-0000-0000-0000ED620000}"/>
    <cellStyle name="Normal 2 26 43" xfId="26092" xr:uid="{00000000-0005-0000-0000-0000EE620000}"/>
    <cellStyle name="Normal 2 26 44" xfId="26093" xr:uid="{00000000-0005-0000-0000-0000EF620000}"/>
    <cellStyle name="Normal 2 26 45" xfId="26094" xr:uid="{00000000-0005-0000-0000-0000F0620000}"/>
    <cellStyle name="Normal 2 26 46" xfId="26095" xr:uid="{00000000-0005-0000-0000-0000F1620000}"/>
    <cellStyle name="Normal 2 26 5" xfId="26096" xr:uid="{00000000-0005-0000-0000-0000F2620000}"/>
    <cellStyle name="Normal 2 26 6" xfId="26097" xr:uid="{00000000-0005-0000-0000-0000F3620000}"/>
    <cellStyle name="Normal 2 26 7" xfId="26098" xr:uid="{00000000-0005-0000-0000-0000F4620000}"/>
    <cellStyle name="Normal 2 26 8" xfId="26099" xr:uid="{00000000-0005-0000-0000-0000F5620000}"/>
    <cellStyle name="Normal 2 26 9" xfId="26100" xr:uid="{00000000-0005-0000-0000-0000F6620000}"/>
    <cellStyle name="Normal 2 27" xfId="26101" xr:uid="{00000000-0005-0000-0000-0000F7620000}"/>
    <cellStyle name="Normal 2 27 10" xfId="26102" xr:uid="{00000000-0005-0000-0000-0000F8620000}"/>
    <cellStyle name="Normal 2 27 11" xfId="26103" xr:uid="{00000000-0005-0000-0000-0000F9620000}"/>
    <cellStyle name="Normal 2 27 12" xfId="26104" xr:uid="{00000000-0005-0000-0000-0000FA620000}"/>
    <cellStyle name="Normal 2 27 13" xfId="26105" xr:uid="{00000000-0005-0000-0000-0000FB620000}"/>
    <cellStyle name="Normal 2 27 14" xfId="26106" xr:uid="{00000000-0005-0000-0000-0000FC620000}"/>
    <cellStyle name="Normal 2 27 15" xfId="26107" xr:uid="{00000000-0005-0000-0000-0000FD620000}"/>
    <cellStyle name="Normal 2 27 16" xfId="26108" xr:uid="{00000000-0005-0000-0000-0000FE620000}"/>
    <cellStyle name="Normal 2 27 17" xfId="26109" xr:uid="{00000000-0005-0000-0000-0000FF620000}"/>
    <cellStyle name="Normal 2 27 18" xfId="26110" xr:uid="{00000000-0005-0000-0000-000000630000}"/>
    <cellStyle name="Normal 2 27 19" xfId="26111" xr:uid="{00000000-0005-0000-0000-000001630000}"/>
    <cellStyle name="Normal 2 27 2" xfId="26112" xr:uid="{00000000-0005-0000-0000-000002630000}"/>
    <cellStyle name="Normal 2 27 20" xfId="26113" xr:uid="{00000000-0005-0000-0000-000003630000}"/>
    <cellStyle name="Normal 2 27 21" xfId="26114" xr:uid="{00000000-0005-0000-0000-000004630000}"/>
    <cellStyle name="Normal 2 27 22" xfId="26115" xr:uid="{00000000-0005-0000-0000-000005630000}"/>
    <cellStyle name="Normal 2 27 23" xfId="26116" xr:uid="{00000000-0005-0000-0000-000006630000}"/>
    <cellStyle name="Normal 2 27 24" xfId="26117" xr:uid="{00000000-0005-0000-0000-000007630000}"/>
    <cellStyle name="Normal 2 27 25" xfId="26118" xr:uid="{00000000-0005-0000-0000-000008630000}"/>
    <cellStyle name="Normal 2 27 26" xfId="26119" xr:uid="{00000000-0005-0000-0000-000009630000}"/>
    <cellStyle name="Normal 2 27 27" xfId="26120" xr:uid="{00000000-0005-0000-0000-00000A630000}"/>
    <cellStyle name="Normal 2 27 28" xfId="26121" xr:uid="{00000000-0005-0000-0000-00000B630000}"/>
    <cellStyle name="Normal 2 27 29" xfId="26122" xr:uid="{00000000-0005-0000-0000-00000C630000}"/>
    <cellStyle name="Normal 2 27 3" xfId="26123" xr:uid="{00000000-0005-0000-0000-00000D630000}"/>
    <cellStyle name="Normal 2 27 30" xfId="26124" xr:uid="{00000000-0005-0000-0000-00000E630000}"/>
    <cellStyle name="Normal 2 27 31" xfId="26125" xr:uid="{00000000-0005-0000-0000-00000F630000}"/>
    <cellStyle name="Normal 2 27 32" xfId="26126" xr:uid="{00000000-0005-0000-0000-000010630000}"/>
    <cellStyle name="Normal 2 27 33" xfId="26127" xr:uid="{00000000-0005-0000-0000-000011630000}"/>
    <cellStyle name="Normal 2 27 34" xfId="26128" xr:uid="{00000000-0005-0000-0000-000012630000}"/>
    <cellStyle name="Normal 2 27 35" xfId="26129" xr:uid="{00000000-0005-0000-0000-000013630000}"/>
    <cellStyle name="Normal 2 27 36" xfId="26130" xr:uid="{00000000-0005-0000-0000-000014630000}"/>
    <cellStyle name="Normal 2 27 37" xfId="26131" xr:uid="{00000000-0005-0000-0000-000015630000}"/>
    <cellStyle name="Normal 2 27 38" xfId="26132" xr:uid="{00000000-0005-0000-0000-000016630000}"/>
    <cellStyle name="Normal 2 27 39" xfId="26133" xr:uid="{00000000-0005-0000-0000-000017630000}"/>
    <cellStyle name="Normal 2 27 4" xfId="26134" xr:uid="{00000000-0005-0000-0000-000018630000}"/>
    <cellStyle name="Normal 2 27 40" xfId="26135" xr:uid="{00000000-0005-0000-0000-000019630000}"/>
    <cellStyle name="Normal 2 27 41" xfId="26136" xr:uid="{00000000-0005-0000-0000-00001A630000}"/>
    <cellStyle name="Normal 2 27 42" xfId="26137" xr:uid="{00000000-0005-0000-0000-00001B630000}"/>
    <cellStyle name="Normal 2 27 43" xfId="26138" xr:uid="{00000000-0005-0000-0000-00001C630000}"/>
    <cellStyle name="Normal 2 27 44" xfId="26139" xr:uid="{00000000-0005-0000-0000-00001D630000}"/>
    <cellStyle name="Normal 2 27 45" xfId="26140" xr:uid="{00000000-0005-0000-0000-00001E630000}"/>
    <cellStyle name="Normal 2 27 46" xfId="26141" xr:uid="{00000000-0005-0000-0000-00001F630000}"/>
    <cellStyle name="Normal 2 27 5" xfId="26142" xr:uid="{00000000-0005-0000-0000-000020630000}"/>
    <cellStyle name="Normal 2 27 6" xfId="26143" xr:uid="{00000000-0005-0000-0000-000021630000}"/>
    <cellStyle name="Normal 2 27 7" xfId="26144" xr:uid="{00000000-0005-0000-0000-000022630000}"/>
    <cellStyle name="Normal 2 27 8" xfId="26145" xr:uid="{00000000-0005-0000-0000-000023630000}"/>
    <cellStyle name="Normal 2 27 9" xfId="26146" xr:uid="{00000000-0005-0000-0000-000024630000}"/>
    <cellStyle name="Normal 2 28" xfId="26147" xr:uid="{00000000-0005-0000-0000-000025630000}"/>
    <cellStyle name="Normal 2 28 10" xfId="26148" xr:uid="{00000000-0005-0000-0000-000026630000}"/>
    <cellStyle name="Normal 2 28 11" xfId="26149" xr:uid="{00000000-0005-0000-0000-000027630000}"/>
    <cellStyle name="Normal 2 28 12" xfId="26150" xr:uid="{00000000-0005-0000-0000-000028630000}"/>
    <cellStyle name="Normal 2 28 13" xfId="26151" xr:uid="{00000000-0005-0000-0000-000029630000}"/>
    <cellStyle name="Normal 2 28 14" xfId="26152" xr:uid="{00000000-0005-0000-0000-00002A630000}"/>
    <cellStyle name="Normal 2 28 15" xfId="26153" xr:uid="{00000000-0005-0000-0000-00002B630000}"/>
    <cellStyle name="Normal 2 28 16" xfId="26154" xr:uid="{00000000-0005-0000-0000-00002C630000}"/>
    <cellStyle name="Normal 2 28 17" xfId="26155" xr:uid="{00000000-0005-0000-0000-00002D630000}"/>
    <cellStyle name="Normal 2 28 18" xfId="26156" xr:uid="{00000000-0005-0000-0000-00002E630000}"/>
    <cellStyle name="Normal 2 28 19" xfId="26157" xr:uid="{00000000-0005-0000-0000-00002F630000}"/>
    <cellStyle name="Normal 2 28 2" xfId="26158" xr:uid="{00000000-0005-0000-0000-000030630000}"/>
    <cellStyle name="Normal 2 28 20" xfId="26159" xr:uid="{00000000-0005-0000-0000-000031630000}"/>
    <cellStyle name="Normal 2 28 21" xfId="26160" xr:uid="{00000000-0005-0000-0000-000032630000}"/>
    <cellStyle name="Normal 2 28 22" xfId="26161" xr:uid="{00000000-0005-0000-0000-000033630000}"/>
    <cellStyle name="Normal 2 28 23" xfId="26162" xr:uid="{00000000-0005-0000-0000-000034630000}"/>
    <cellStyle name="Normal 2 28 24" xfId="26163" xr:uid="{00000000-0005-0000-0000-000035630000}"/>
    <cellStyle name="Normal 2 28 25" xfId="26164" xr:uid="{00000000-0005-0000-0000-000036630000}"/>
    <cellStyle name="Normal 2 28 26" xfId="26165" xr:uid="{00000000-0005-0000-0000-000037630000}"/>
    <cellStyle name="Normal 2 28 27" xfId="26166" xr:uid="{00000000-0005-0000-0000-000038630000}"/>
    <cellStyle name="Normal 2 28 28" xfId="26167" xr:uid="{00000000-0005-0000-0000-000039630000}"/>
    <cellStyle name="Normal 2 28 29" xfId="26168" xr:uid="{00000000-0005-0000-0000-00003A630000}"/>
    <cellStyle name="Normal 2 28 3" xfId="26169" xr:uid="{00000000-0005-0000-0000-00003B630000}"/>
    <cellStyle name="Normal 2 28 30" xfId="26170" xr:uid="{00000000-0005-0000-0000-00003C630000}"/>
    <cellStyle name="Normal 2 28 31" xfId="26171" xr:uid="{00000000-0005-0000-0000-00003D630000}"/>
    <cellStyle name="Normal 2 28 32" xfId="26172" xr:uid="{00000000-0005-0000-0000-00003E630000}"/>
    <cellStyle name="Normal 2 28 33" xfId="26173" xr:uid="{00000000-0005-0000-0000-00003F630000}"/>
    <cellStyle name="Normal 2 28 34" xfId="26174" xr:uid="{00000000-0005-0000-0000-000040630000}"/>
    <cellStyle name="Normal 2 28 35" xfId="26175" xr:uid="{00000000-0005-0000-0000-000041630000}"/>
    <cellStyle name="Normal 2 28 36" xfId="26176" xr:uid="{00000000-0005-0000-0000-000042630000}"/>
    <cellStyle name="Normal 2 28 37" xfId="26177" xr:uid="{00000000-0005-0000-0000-000043630000}"/>
    <cellStyle name="Normal 2 28 38" xfId="26178" xr:uid="{00000000-0005-0000-0000-000044630000}"/>
    <cellStyle name="Normal 2 28 39" xfId="26179" xr:uid="{00000000-0005-0000-0000-000045630000}"/>
    <cellStyle name="Normal 2 28 4" xfId="26180" xr:uid="{00000000-0005-0000-0000-000046630000}"/>
    <cellStyle name="Normal 2 28 40" xfId="26181" xr:uid="{00000000-0005-0000-0000-000047630000}"/>
    <cellStyle name="Normal 2 28 41" xfId="26182" xr:uid="{00000000-0005-0000-0000-000048630000}"/>
    <cellStyle name="Normal 2 28 42" xfId="26183" xr:uid="{00000000-0005-0000-0000-000049630000}"/>
    <cellStyle name="Normal 2 28 43" xfId="26184" xr:uid="{00000000-0005-0000-0000-00004A630000}"/>
    <cellStyle name="Normal 2 28 44" xfId="26185" xr:uid="{00000000-0005-0000-0000-00004B630000}"/>
    <cellStyle name="Normal 2 28 45" xfId="26186" xr:uid="{00000000-0005-0000-0000-00004C630000}"/>
    <cellStyle name="Normal 2 28 46" xfId="26187" xr:uid="{00000000-0005-0000-0000-00004D630000}"/>
    <cellStyle name="Normal 2 28 5" xfId="26188" xr:uid="{00000000-0005-0000-0000-00004E630000}"/>
    <cellStyle name="Normal 2 28 6" xfId="26189" xr:uid="{00000000-0005-0000-0000-00004F630000}"/>
    <cellStyle name="Normal 2 28 7" xfId="26190" xr:uid="{00000000-0005-0000-0000-000050630000}"/>
    <cellStyle name="Normal 2 28 8" xfId="26191" xr:uid="{00000000-0005-0000-0000-000051630000}"/>
    <cellStyle name="Normal 2 28 9" xfId="26192" xr:uid="{00000000-0005-0000-0000-000052630000}"/>
    <cellStyle name="Normal 2 29" xfId="26193" xr:uid="{00000000-0005-0000-0000-000053630000}"/>
    <cellStyle name="Normal 2 29 10" xfId="26194" xr:uid="{00000000-0005-0000-0000-000054630000}"/>
    <cellStyle name="Normal 2 29 10 10" xfId="26195" xr:uid="{00000000-0005-0000-0000-000055630000}"/>
    <cellStyle name="Normal 2 29 10 11" xfId="26196" xr:uid="{00000000-0005-0000-0000-000056630000}"/>
    <cellStyle name="Normal 2 29 10 12" xfId="26197" xr:uid="{00000000-0005-0000-0000-000057630000}"/>
    <cellStyle name="Normal 2 29 10 13" xfId="26198" xr:uid="{00000000-0005-0000-0000-000058630000}"/>
    <cellStyle name="Normal 2 29 10 2" xfId="26199" xr:uid="{00000000-0005-0000-0000-000059630000}"/>
    <cellStyle name="Normal 2 29 10 2 2" xfId="26200" xr:uid="{00000000-0005-0000-0000-00005A630000}"/>
    <cellStyle name="Normal 2 29 10 2 3" xfId="26201" xr:uid="{00000000-0005-0000-0000-00005B630000}"/>
    <cellStyle name="Normal 2 29 10 2 4" xfId="26202" xr:uid="{00000000-0005-0000-0000-00005C630000}"/>
    <cellStyle name="Normal 2 29 10 2 5" xfId="26203" xr:uid="{00000000-0005-0000-0000-00005D630000}"/>
    <cellStyle name="Normal 2 29 10 2 6" xfId="26204" xr:uid="{00000000-0005-0000-0000-00005E630000}"/>
    <cellStyle name="Normal 2 29 10 3" xfId="26205" xr:uid="{00000000-0005-0000-0000-00005F630000}"/>
    <cellStyle name="Normal 2 29 10 3 2" xfId="26206" xr:uid="{00000000-0005-0000-0000-000060630000}"/>
    <cellStyle name="Normal 2 29 10 3 3" xfId="26207" xr:uid="{00000000-0005-0000-0000-000061630000}"/>
    <cellStyle name="Normal 2 29 10 3 4" xfId="26208" xr:uid="{00000000-0005-0000-0000-000062630000}"/>
    <cellStyle name="Normal 2 29 10 3 5" xfId="26209" xr:uid="{00000000-0005-0000-0000-000063630000}"/>
    <cellStyle name="Normal 2 29 10 3 6" xfId="26210" xr:uid="{00000000-0005-0000-0000-000064630000}"/>
    <cellStyle name="Normal 2 29 10 4" xfId="26211" xr:uid="{00000000-0005-0000-0000-000065630000}"/>
    <cellStyle name="Normal 2 29 10 4 2" xfId="26212" xr:uid="{00000000-0005-0000-0000-000066630000}"/>
    <cellStyle name="Normal 2 29 10 4 3" xfId="26213" xr:uid="{00000000-0005-0000-0000-000067630000}"/>
    <cellStyle name="Normal 2 29 10 4 4" xfId="26214" xr:uid="{00000000-0005-0000-0000-000068630000}"/>
    <cellStyle name="Normal 2 29 10 4 5" xfId="26215" xr:uid="{00000000-0005-0000-0000-000069630000}"/>
    <cellStyle name="Normal 2 29 10 4 6" xfId="26216" xr:uid="{00000000-0005-0000-0000-00006A630000}"/>
    <cellStyle name="Normal 2 29 10 5" xfId="26217" xr:uid="{00000000-0005-0000-0000-00006B630000}"/>
    <cellStyle name="Normal 2 29 10 5 2" xfId="26218" xr:uid="{00000000-0005-0000-0000-00006C630000}"/>
    <cellStyle name="Normal 2 29 10 5 3" xfId="26219" xr:uid="{00000000-0005-0000-0000-00006D630000}"/>
    <cellStyle name="Normal 2 29 10 5 4" xfId="26220" xr:uid="{00000000-0005-0000-0000-00006E630000}"/>
    <cellStyle name="Normal 2 29 10 5 5" xfId="26221" xr:uid="{00000000-0005-0000-0000-00006F630000}"/>
    <cellStyle name="Normal 2 29 10 5 6" xfId="26222" xr:uid="{00000000-0005-0000-0000-000070630000}"/>
    <cellStyle name="Normal 2 29 10 6" xfId="26223" xr:uid="{00000000-0005-0000-0000-000071630000}"/>
    <cellStyle name="Normal 2 29 10 6 2" xfId="26224" xr:uid="{00000000-0005-0000-0000-000072630000}"/>
    <cellStyle name="Normal 2 29 10 6 3" xfId="26225" xr:uid="{00000000-0005-0000-0000-000073630000}"/>
    <cellStyle name="Normal 2 29 10 6 4" xfId="26226" xr:uid="{00000000-0005-0000-0000-000074630000}"/>
    <cellStyle name="Normal 2 29 10 6 5" xfId="26227" xr:uid="{00000000-0005-0000-0000-000075630000}"/>
    <cellStyle name="Normal 2 29 10 6 6" xfId="26228" xr:uid="{00000000-0005-0000-0000-000076630000}"/>
    <cellStyle name="Normal 2 29 10 7" xfId="26229" xr:uid="{00000000-0005-0000-0000-000077630000}"/>
    <cellStyle name="Normal 2 29 10 7 2" xfId="26230" xr:uid="{00000000-0005-0000-0000-000078630000}"/>
    <cellStyle name="Normal 2 29 10 7 3" xfId="26231" xr:uid="{00000000-0005-0000-0000-000079630000}"/>
    <cellStyle name="Normal 2 29 10 7 4" xfId="26232" xr:uid="{00000000-0005-0000-0000-00007A630000}"/>
    <cellStyle name="Normal 2 29 10 7 5" xfId="26233" xr:uid="{00000000-0005-0000-0000-00007B630000}"/>
    <cellStyle name="Normal 2 29 10 7 6" xfId="26234" xr:uid="{00000000-0005-0000-0000-00007C630000}"/>
    <cellStyle name="Normal 2 29 10 8" xfId="26235" xr:uid="{00000000-0005-0000-0000-00007D630000}"/>
    <cellStyle name="Normal 2 29 10 8 2" xfId="26236" xr:uid="{00000000-0005-0000-0000-00007E630000}"/>
    <cellStyle name="Normal 2 29 10 8 3" xfId="26237" xr:uid="{00000000-0005-0000-0000-00007F630000}"/>
    <cellStyle name="Normal 2 29 10 8 4" xfId="26238" xr:uid="{00000000-0005-0000-0000-000080630000}"/>
    <cellStyle name="Normal 2 29 10 8 5" xfId="26239" xr:uid="{00000000-0005-0000-0000-000081630000}"/>
    <cellStyle name="Normal 2 29 10 8 6" xfId="26240" xr:uid="{00000000-0005-0000-0000-000082630000}"/>
    <cellStyle name="Normal 2 29 10 9" xfId="26241" xr:uid="{00000000-0005-0000-0000-000083630000}"/>
    <cellStyle name="Normal 2 29 11" xfId="26242" xr:uid="{00000000-0005-0000-0000-000084630000}"/>
    <cellStyle name="Normal 2 29 11 10" xfId="26243" xr:uid="{00000000-0005-0000-0000-000085630000}"/>
    <cellStyle name="Normal 2 29 11 11" xfId="26244" xr:uid="{00000000-0005-0000-0000-000086630000}"/>
    <cellStyle name="Normal 2 29 11 12" xfId="26245" xr:uid="{00000000-0005-0000-0000-000087630000}"/>
    <cellStyle name="Normal 2 29 11 13" xfId="26246" xr:uid="{00000000-0005-0000-0000-000088630000}"/>
    <cellStyle name="Normal 2 29 11 2" xfId="26247" xr:uid="{00000000-0005-0000-0000-000089630000}"/>
    <cellStyle name="Normal 2 29 11 2 2" xfId="26248" xr:uid="{00000000-0005-0000-0000-00008A630000}"/>
    <cellStyle name="Normal 2 29 11 2 3" xfId="26249" xr:uid="{00000000-0005-0000-0000-00008B630000}"/>
    <cellStyle name="Normal 2 29 11 2 4" xfId="26250" xr:uid="{00000000-0005-0000-0000-00008C630000}"/>
    <cellStyle name="Normal 2 29 11 2 5" xfId="26251" xr:uid="{00000000-0005-0000-0000-00008D630000}"/>
    <cellStyle name="Normal 2 29 11 2 6" xfId="26252" xr:uid="{00000000-0005-0000-0000-00008E630000}"/>
    <cellStyle name="Normal 2 29 11 3" xfId="26253" xr:uid="{00000000-0005-0000-0000-00008F630000}"/>
    <cellStyle name="Normal 2 29 11 3 2" xfId="26254" xr:uid="{00000000-0005-0000-0000-000090630000}"/>
    <cellStyle name="Normal 2 29 11 3 3" xfId="26255" xr:uid="{00000000-0005-0000-0000-000091630000}"/>
    <cellStyle name="Normal 2 29 11 3 4" xfId="26256" xr:uid="{00000000-0005-0000-0000-000092630000}"/>
    <cellStyle name="Normal 2 29 11 3 5" xfId="26257" xr:uid="{00000000-0005-0000-0000-000093630000}"/>
    <cellStyle name="Normal 2 29 11 3 6" xfId="26258" xr:uid="{00000000-0005-0000-0000-000094630000}"/>
    <cellStyle name="Normal 2 29 11 4" xfId="26259" xr:uid="{00000000-0005-0000-0000-000095630000}"/>
    <cellStyle name="Normal 2 29 11 4 2" xfId="26260" xr:uid="{00000000-0005-0000-0000-000096630000}"/>
    <cellStyle name="Normal 2 29 11 4 3" xfId="26261" xr:uid="{00000000-0005-0000-0000-000097630000}"/>
    <cellStyle name="Normal 2 29 11 4 4" xfId="26262" xr:uid="{00000000-0005-0000-0000-000098630000}"/>
    <cellStyle name="Normal 2 29 11 4 5" xfId="26263" xr:uid="{00000000-0005-0000-0000-000099630000}"/>
    <cellStyle name="Normal 2 29 11 4 6" xfId="26264" xr:uid="{00000000-0005-0000-0000-00009A630000}"/>
    <cellStyle name="Normal 2 29 11 5" xfId="26265" xr:uid="{00000000-0005-0000-0000-00009B630000}"/>
    <cellStyle name="Normal 2 29 11 5 2" xfId="26266" xr:uid="{00000000-0005-0000-0000-00009C630000}"/>
    <cellStyle name="Normal 2 29 11 5 3" xfId="26267" xr:uid="{00000000-0005-0000-0000-00009D630000}"/>
    <cellStyle name="Normal 2 29 11 5 4" xfId="26268" xr:uid="{00000000-0005-0000-0000-00009E630000}"/>
    <cellStyle name="Normal 2 29 11 5 5" xfId="26269" xr:uid="{00000000-0005-0000-0000-00009F630000}"/>
    <cellStyle name="Normal 2 29 11 5 6" xfId="26270" xr:uid="{00000000-0005-0000-0000-0000A0630000}"/>
    <cellStyle name="Normal 2 29 11 6" xfId="26271" xr:uid="{00000000-0005-0000-0000-0000A1630000}"/>
    <cellStyle name="Normal 2 29 11 6 2" xfId="26272" xr:uid="{00000000-0005-0000-0000-0000A2630000}"/>
    <cellStyle name="Normal 2 29 11 6 3" xfId="26273" xr:uid="{00000000-0005-0000-0000-0000A3630000}"/>
    <cellStyle name="Normal 2 29 11 6 4" xfId="26274" xr:uid="{00000000-0005-0000-0000-0000A4630000}"/>
    <cellStyle name="Normal 2 29 11 6 5" xfId="26275" xr:uid="{00000000-0005-0000-0000-0000A5630000}"/>
    <cellStyle name="Normal 2 29 11 6 6" xfId="26276" xr:uid="{00000000-0005-0000-0000-0000A6630000}"/>
    <cellStyle name="Normal 2 29 11 7" xfId="26277" xr:uid="{00000000-0005-0000-0000-0000A7630000}"/>
    <cellStyle name="Normal 2 29 11 7 2" xfId="26278" xr:uid="{00000000-0005-0000-0000-0000A8630000}"/>
    <cellStyle name="Normal 2 29 11 7 3" xfId="26279" xr:uid="{00000000-0005-0000-0000-0000A9630000}"/>
    <cellStyle name="Normal 2 29 11 7 4" xfId="26280" xr:uid="{00000000-0005-0000-0000-0000AA630000}"/>
    <cellStyle name="Normal 2 29 11 7 5" xfId="26281" xr:uid="{00000000-0005-0000-0000-0000AB630000}"/>
    <cellStyle name="Normal 2 29 11 7 6" xfId="26282" xr:uid="{00000000-0005-0000-0000-0000AC630000}"/>
    <cellStyle name="Normal 2 29 11 8" xfId="26283" xr:uid="{00000000-0005-0000-0000-0000AD630000}"/>
    <cellStyle name="Normal 2 29 11 8 2" xfId="26284" xr:uid="{00000000-0005-0000-0000-0000AE630000}"/>
    <cellStyle name="Normal 2 29 11 8 3" xfId="26285" xr:uid="{00000000-0005-0000-0000-0000AF630000}"/>
    <cellStyle name="Normal 2 29 11 8 4" xfId="26286" xr:uid="{00000000-0005-0000-0000-0000B0630000}"/>
    <cellStyle name="Normal 2 29 11 8 5" xfId="26287" xr:uid="{00000000-0005-0000-0000-0000B1630000}"/>
    <cellStyle name="Normal 2 29 11 8 6" xfId="26288" xr:uid="{00000000-0005-0000-0000-0000B2630000}"/>
    <cellStyle name="Normal 2 29 11 9" xfId="26289" xr:uid="{00000000-0005-0000-0000-0000B3630000}"/>
    <cellStyle name="Normal 2 29 12" xfId="26290" xr:uid="{00000000-0005-0000-0000-0000B4630000}"/>
    <cellStyle name="Normal 2 29 13" xfId="26291" xr:uid="{00000000-0005-0000-0000-0000B5630000}"/>
    <cellStyle name="Normal 2 29 14" xfId="26292" xr:uid="{00000000-0005-0000-0000-0000B6630000}"/>
    <cellStyle name="Normal 2 29 15" xfId="26293" xr:uid="{00000000-0005-0000-0000-0000B7630000}"/>
    <cellStyle name="Normal 2 29 16" xfId="26294" xr:uid="{00000000-0005-0000-0000-0000B8630000}"/>
    <cellStyle name="Normal 2 29 17" xfId="26295" xr:uid="{00000000-0005-0000-0000-0000B9630000}"/>
    <cellStyle name="Normal 2 29 18" xfId="26296" xr:uid="{00000000-0005-0000-0000-0000BA630000}"/>
    <cellStyle name="Normal 2 29 19" xfId="26297" xr:uid="{00000000-0005-0000-0000-0000BB630000}"/>
    <cellStyle name="Normal 2 29 2" xfId="26298" xr:uid="{00000000-0005-0000-0000-0000BC630000}"/>
    <cellStyle name="Normal 2 29 2 10" xfId="26299" xr:uid="{00000000-0005-0000-0000-0000BD630000}"/>
    <cellStyle name="Normal 2 29 2 11" xfId="26300" xr:uid="{00000000-0005-0000-0000-0000BE630000}"/>
    <cellStyle name="Normal 2 29 2 12" xfId="26301" xr:uid="{00000000-0005-0000-0000-0000BF630000}"/>
    <cellStyle name="Normal 2 29 2 13" xfId="26302" xr:uid="{00000000-0005-0000-0000-0000C0630000}"/>
    <cellStyle name="Normal 2 29 2 2" xfId="26303" xr:uid="{00000000-0005-0000-0000-0000C1630000}"/>
    <cellStyle name="Normal 2 29 2 2 2" xfId="26304" xr:uid="{00000000-0005-0000-0000-0000C2630000}"/>
    <cellStyle name="Normal 2 29 2 2 3" xfId="26305" xr:uid="{00000000-0005-0000-0000-0000C3630000}"/>
    <cellStyle name="Normal 2 29 2 2 4" xfId="26306" xr:uid="{00000000-0005-0000-0000-0000C4630000}"/>
    <cellStyle name="Normal 2 29 2 2 5" xfId="26307" xr:uid="{00000000-0005-0000-0000-0000C5630000}"/>
    <cellStyle name="Normal 2 29 2 2 6" xfId="26308" xr:uid="{00000000-0005-0000-0000-0000C6630000}"/>
    <cellStyle name="Normal 2 29 2 3" xfId="26309" xr:uid="{00000000-0005-0000-0000-0000C7630000}"/>
    <cellStyle name="Normal 2 29 2 3 2" xfId="26310" xr:uid="{00000000-0005-0000-0000-0000C8630000}"/>
    <cellStyle name="Normal 2 29 2 3 3" xfId="26311" xr:uid="{00000000-0005-0000-0000-0000C9630000}"/>
    <cellStyle name="Normal 2 29 2 3 4" xfId="26312" xr:uid="{00000000-0005-0000-0000-0000CA630000}"/>
    <cellStyle name="Normal 2 29 2 3 5" xfId="26313" xr:uid="{00000000-0005-0000-0000-0000CB630000}"/>
    <cellStyle name="Normal 2 29 2 3 6" xfId="26314" xr:uid="{00000000-0005-0000-0000-0000CC630000}"/>
    <cellStyle name="Normal 2 29 2 4" xfId="26315" xr:uid="{00000000-0005-0000-0000-0000CD630000}"/>
    <cellStyle name="Normal 2 29 2 4 2" xfId="26316" xr:uid="{00000000-0005-0000-0000-0000CE630000}"/>
    <cellStyle name="Normal 2 29 2 4 3" xfId="26317" xr:uid="{00000000-0005-0000-0000-0000CF630000}"/>
    <cellStyle name="Normal 2 29 2 4 4" xfId="26318" xr:uid="{00000000-0005-0000-0000-0000D0630000}"/>
    <cellStyle name="Normal 2 29 2 4 5" xfId="26319" xr:uid="{00000000-0005-0000-0000-0000D1630000}"/>
    <cellStyle name="Normal 2 29 2 4 6" xfId="26320" xr:uid="{00000000-0005-0000-0000-0000D2630000}"/>
    <cellStyle name="Normal 2 29 2 5" xfId="26321" xr:uid="{00000000-0005-0000-0000-0000D3630000}"/>
    <cellStyle name="Normal 2 29 2 5 2" xfId="26322" xr:uid="{00000000-0005-0000-0000-0000D4630000}"/>
    <cellStyle name="Normal 2 29 2 5 3" xfId="26323" xr:uid="{00000000-0005-0000-0000-0000D5630000}"/>
    <cellStyle name="Normal 2 29 2 5 4" xfId="26324" xr:uid="{00000000-0005-0000-0000-0000D6630000}"/>
    <cellStyle name="Normal 2 29 2 5 5" xfId="26325" xr:uid="{00000000-0005-0000-0000-0000D7630000}"/>
    <cellStyle name="Normal 2 29 2 5 6" xfId="26326" xr:uid="{00000000-0005-0000-0000-0000D8630000}"/>
    <cellStyle name="Normal 2 29 2 6" xfId="26327" xr:uid="{00000000-0005-0000-0000-0000D9630000}"/>
    <cellStyle name="Normal 2 29 2 6 2" xfId="26328" xr:uid="{00000000-0005-0000-0000-0000DA630000}"/>
    <cellStyle name="Normal 2 29 2 6 3" xfId="26329" xr:uid="{00000000-0005-0000-0000-0000DB630000}"/>
    <cellStyle name="Normal 2 29 2 6 4" xfId="26330" xr:uid="{00000000-0005-0000-0000-0000DC630000}"/>
    <cellStyle name="Normal 2 29 2 6 5" xfId="26331" xr:uid="{00000000-0005-0000-0000-0000DD630000}"/>
    <cellStyle name="Normal 2 29 2 6 6" xfId="26332" xr:uid="{00000000-0005-0000-0000-0000DE630000}"/>
    <cellStyle name="Normal 2 29 2 7" xfId="26333" xr:uid="{00000000-0005-0000-0000-0000DF630000}"/>
    <cellStyle name="Normal 2 29 2 7 2" xfId="26334" xr:uid="{00000000-0005-0000-0000-0000E0630000}"/>
    <cellStyle name="Normal 2 29 2 7 3" xfId="26335" xr:uid="{00000000-0005-0000-0000-0000E1630000}"/>
    <cellStyle name="Normal 2 29 2 7 4" xfId="26336" xr:uid="{00000000-0005-0000-0000-0000E2630000}"/>
    <cellStyle name="Normal 2 29 2 7 5" xfId="26337" xr:uid="{00000000-0005-0000-0000-0000E3630000}"/>
    <cellStyle name="Normal 2 29 2 7 6" xfId="26338" xr:uid="{00000000-0005-0000-0000-0000E4630000}"/>
    <cellStyle name="Normal 2 29 2 8" xfId="26339" xr:uid="{00000000-0005-0000-0000-0000E5630000}"/>
    <cellStyle name="Normal 2 29 2 8 2" xfId="26340" xr:uid="{00000000-0005-0000-0000-0000E6630000}"/>
    <cellStyle name="Normal 2 29 2 8 3" xfId="26341" xr:uid="{00000000-0005-0000-0000-0000E7630000}"/>
    <cellStyle name="Normal 2 29 2 8 4" xfId="26342" xr:uid="{00000000-0005-0000-0000-0000E8630000}"/>
    <cellStyle name="Normal 2 29 2 8 5" xfId="26343" xr:uid="{00000000-0005-0000-0000-0000E9630000}"/>
    <cellStyle name="Normal 2 29 2 8 6" xfId="26344" xr:uid="{00000000-0005-0000-0000-0000EA630000}"/>
    <cellStyle name="Normal 2 29 2 9" xfId="26345" xr:uid="{00000000-0005-0000-0000-0000EB630000}"/>
    <cellStyle name="Normal 2 29 20" xfId="26346" xr:uid="{00000000-0005-0000-0000-0000EC630000}"/>
    <cellStyle name="Normal 2 29 21" xfId="26347" xr:uid="{00000000-0005-0000-0000-0000ED630000}"/>
    <cellStyle name="Normal 2 29 22" xfId="26348" xr:uid="{00000000-0005-0000-0000-0000EE630000}"/>
    <cellStyle name="Normal 2 29 23" xfId="26349" xr:uid="{00000000-0005-0000-0000-0000EF630000}"/>
    <cellStyle name="Normal 2 29 24" xfId="26350" xr:uid="{00000000-0005-0000-0000-0000F0630000}"/>
    <cellStyle name="Normal 2 29 25" xfId="26351" xr:uid="{00000000-0005-0000-0000-0000F1630000}"/>
    <cellStyle name="Normal 2 29 26" xfId="26352" xr:uid="{00000000-0005-0000-0000-0000F2630000}"/>
    <cellStyle name="Normal 2 29 27" xfId="26353" xr:uid="{00000000-0005-0000-0000-0000F3630000}"/>
    <cellStyle name="Normal 2 29 28" xfId="26354" xr:uid="{00000000-0005-0000-0000-0000F4630000}"/>
    <cellStyle name="Normal 2 29 29" xfId="26355" xr:uid="{00000000-0005-0000-0000-0000F5630000}"/>
    <cellStyle name="Normal 2 29 3" xfId="26356" xr:uid="{00000000-0005-0000-0000-0000F6630000}"/>
    <cellStyle name="Normal 2 29 3 10" xfId="26357" xr:uid="{00000000-0005-0000-0000-0000F7630000}"/>
    <cellStyle name="Normal 2 29 3 11" xfId="26358" xr:uid="{00000000-0005-0000-0000-0000F8630000}"/>
    <cellStyle name="Normal 2 29 3 12" xfId="26359" xr:uid="{00000000-0005-0000-0000-0000F9630000}"/>
    <cellStyle name="Normal 2 29 3 13" xfId="26360" xr:uid="{00000000-0005-0000-0000-0000FA630000}"/>
    <cellStyle name="Normal 2 29 3 2" xfId="26361" xr:uid="{00000000-0005-0000-0000-0000FB630000}"/>
    <cellStyle name="Normal 2 29 3 2 2" xfId="26362" xr:uid="{00000000-0005-0000-0000-0000FC630000}"/>
    <cellStyle name="Normal 2 29 3 2 3" xfId="26363" xr:uid="{00000000-0005-0000-0000-0000FD630000}"/>
    <cellStyle name="Normal 2 29 3 2 4" xfId="26364" xr:uid="{00000000-0005-0000-0000-0000FE630000}"/>
    <cellStyle name="Normal 2 29 3 2 5" xfId="26365" xr:uid="{00000000-0005-0000-0000-0000FF630000}"/>
    <cellStyle name="Normal 2 29 3 2 6" xfId="26366" xr:uid="{00000000-0005-0000-0000-000000640000}"/>
    <cellStyle name="Normal 2 29 3 3" xfId="26367" xr:uid="{00000000-0005-0000-0000-000001640000}"/>
    <cellStyle name="Normal 2 29 3 3 2" xfId="26368" xr:uid="{00000000-0005-0000-0000-000002640000}"/>
    <cellStyle name="Normal 2 29 3 3 3" xfId="26369" xr:uid="{00000000-0005-0000-0000-000003640000}"/>
    <cellStyle name="Normal 2 29 3 3 4" xfId="26370" xr:uid="{00000000-0005-0000-0000-000004640000}"/>
    <cellStyle name="Normal 2 29 3 3 5" xfId="26371" xr:uid="{00000000-0005-0000-0000-000005640000}"/>
    <cellStyle name="Normal 2 29 3 3 6" xfId="26372" xr:uid="{00000000-0005-0000-0000-000006640000}"/>
    <cellStyle name="Normal 2 29 3 4" xfId="26373" xr:uid="{00000000-0005-0000-0000-000007640000}"/>
    <cellStyle name="Normal 2 29 3 4 2" xfId="26374" xr:uid="{00000000-0005-0000-0000-000008640000}"/>
    <cellStyle name="Normal 2 29 3 4 3" xfId="26375" xr:uid="{00000000-0005-0000-0000-000009640000}"/>
    <cellStyle name="Normal 2 29 3 4 4" xfId="26376" xr:uid="{00000000-0005-0000-0000-00000A640000}"/>
    <cellStyle name="Normal 2 29 3 4 5" xfId="26377" xr:uid="{00000000-0005-0000-0000-00000B640000}"/>
    <cellStyle name="Normal 2 29 3 4 6" xfId="26378" xr:uid="{00000000-0005-0000-0000-00000C640000}"/>
    <cellStyle name="Normal 2 29 3 5" xfId="26379" xr:uid="{00000000-0005-0000-0000-00000D640000}"/>
    <cellStyle name="Normal 2 29 3 5 2" xfId="26380" xr:uid="{00000000-0005-0000-0000-00000E640000}"/>
    <cellStyle name="Normal 2 29 3 5 3" xfId="26381" xr:uid="{00000000-0005-0000-0000-00000F640000}"/>
    <cellStyle name="Normal 2 29 3 5 4" xfId="26382" xr:uid="{00000000-0005-0000-0000-000010640000}"/>
    <cellStyle name="Normal 2 29 3 5 5" xfId="26383" xr:uid="{00000000-0005-0000-0000-000011640000}"/>
    <cellStyle name="Normal 2 29 3 5 6" xfId="26384" xr:uid="{00000000-0005-0000-0000-000012640000}"/>
    <cellStyle name="Normal 2 29 3 6" xfId="26385" xr:uid="{00000000-0005-0000-0000-000013640000}"/>
    <cellStyle name="Normal 2 29 3 6 2" xfId="26386" xr:uid="{00000000-0005-0000-0000-000014640000}"/>
    <cellStyle name="Normal 2 29 3 6 3" xfId="26387" xr:uid="{00000000-0005-0000-0000-000015640000}"/>
    <cellStyle name="Normal 2 29 3 6 4" xfId="26388" xr:uid="{00000000-0005-0000-0000-000016640000}"/>
    <cellStyle name="Normal 2 29 3 6 5" xfId="26389" xr:uid="{00000000-0005-0000-0000-000017640000}"/>
    <cellStyle name="Normal 2 29 3 6 6" xfId="26390" xr:uid="{00000000-0005-0000-0000-000018640000}"/>
    <cellStyle name="Normal 2 29 3 7" xfId="26391" xr:uid="{00000000-0005-0000-0000-000019640000}"/>
    <cellStyle name="Normal 2 29 3 7 2" xfId="26392" xr:uid="{00000000-0005-0000-0000-00001A640000}"/>
    <cellStyle name="Normal 2 29 3 7 3" xfId="26393" xr:uid="{00000000-0005-0000-0000-00001B640000}"/>
    <cellStyle name="Normal 2 29 3 7 4" xfId="26394" xr:uid="{00000000-0005-0000-0000-00001C640000}"/>
    <cellStyle name="Normal 2 29 3 7 5" xfId="26395" xr:uid="{00000000-0005-0000-0000-00001D640000}"/>
    <cellStyle name="Normal 2 29 3 7 6" xfId="26396" xr:uid="{00000000-0005-0000-0000-00001E640000}"/>
    <cellStyle name="Normal 2 29 3 8" xfId="26397" xr:uid="{00000000-0005-0000-0000-00001F640000}"/>
    <cellStyle name="Normal 2 29 3 8 2" xfId="26398" xr:uid="{00000000-0005-0000-0000-000020640000}"/>
    <cellStyle name="Normal 2 29 3 8 3" xfId="26399" xr:uid="{00000000-0005-0000-0000-000021640000}"/>
    <cellStyle name="Normal 2 29 3 8 4" xfId="26400" xr:uid="{00000000-0005-0000-0000-000022640000}"/>
    <cellStyle name="Normal 2 29 3 8 5" xfId="26401" xr:uid="{00000000-0005-0000-0000-000023640000}"/>
    <cellStyle name="Normal 2 29 3 8 6" xfId="26402" xr:uid="{00000000-0005-0000-0000-000024640000}"/>
    <cellStyle name="Normal 2 29 3 9" xfId="26403" xr:uid="{00000000-0005-0000-0000-000025640000}"/>
    <cellStyle name="Normal 2 29 30" xfId="26404" xr:uid="{00000000-0005-0000-0000-000026640000}"/>
    <cellStyle name="Normal 2 29 31" xfId="26405" xr:uid="{00000000-0005-0000-0000-000027640000}"/>
    <cellStyle name="Normal 2 29 32" xfId="26406" xr:uid="{00000000-0005-0000-0000-000028640000}"/>
    <cellStyle name="Normal 2 29 33" xfId="26407" xr:uid="{00000000-0005-0000-0000-000029640000}"/>
    <cellStyle name="Normal 2 29 34" xfId="26408" xr:uid="{00000000-0005-0000-0000-00002A640000}"/>
    <cellStyle name="Normal 2 29 35" xfId="26409" xr:uid="{00000000-0005-0000-0000-00002B640000}"/>
    <cellStyle name="Normal 2 29 36" xfId="26410" xr:uid="{00000000-0005-0000-0000-00002C640000}"/>
    <cellStyle name="Normal 2 29 37" xfId="26411" xr:uid="{00000000-0005-0000-0000-00002D640000}"/>
    <cellStyle name="Normal 2 29 38" xfId="26412" xr:uid="{00000000-0005-0000-0000-00002E640000}"/>
    <cellStyle name="Normal 2 29 39" xfId="26413" xr:uid="{00000000-0005-0000-0000-00002F640000}"/>
    <cellStyle name="Normal 2 29 4" xfId="26414" xr:uid="{00000000-0005-0000-0000-000030640000}"/>
    <cellStyle name="Normal 2 29 4 10" xfId="26415" xr:uid="{00000000-0005-0000-0000-000031640000}"/>
    <cellStyle name="Normal 2 29 4 11" xfId="26416" xr:uid="{00000000-0005-0000-0000-000032640000}"/>
    <cellStyle name="Normal 2 29 4 12" xfId="26417" xr:uid="{00000000-0005-0000-0000-000033640000}"/>
    <cellStyle name="Normal 2 29 4 13" xfId="26418" xr:uid="{00000000-0005-0000-0000-000034640000}"/>
    <cellStyle name="Normal 2 29 4 2" xfId="26419" xr:uid="{00000000-0005-0000-0000-000035640000}"/>
    <cellStyle name="Normal 2 29 4 2 2" xfId="26420" xr:uid="{00000000-0005-0000-0000-000036640000}"/>
    <cellStyle name="Normal 2 29 4 2 3" xfId="26421" xr:uid="{00000000-0005-0000-0000-000037640000}"/>
    <cellStyle name="Normal 2 29 4 2 4" xfId="26422" xr:uid="{00000000-0005-0000-0000-000038640000}"/>
    <cellStyle name="Normal 2 29 4 2 5" xfId="26423" xr:uid="{00000000-0005-0000-0000-000039640000}"/>
    <cellStyle name="Normal 2 29 4 2 6" xfId="26424" xr:uid="{00000000-0005-0000-0000-00003A640000}"/>
    <cellStyle name="Normal 2 29 4 3" xfId="26425" xr:uid="{00000000-0005-0000-0000-00003B640000}"/>
    <cellStyle name="Normal 2 29 4 3 2" xfId="26426" xr:uid="{00000000-0005-0000-0000-00003C640000}"/>
    <cellStyle name="Normal 2 29 4 3 3" xfId="26427" xr:uid="{00000000-0005-0000-0000-00003D640000}"/>
    <cellStyle name="Normal 2 29 4 3 4" xfId="26428" xr:uid="{00000000-0005-0000-0000-00003E640000}"/>
    <cellStyle name="Normal 2 29 4 3 5" xfId="26429" xr:uid="{00000000-0005-0000-0000-00003F640000}"/>
    <cellStyle name="Normal 2 29 4 3 6" xfId="26430" xr:uid="{00000000-0005-0000-0000-000040640000}"/>
    <cellStyle name="Normal 2 29 4 4" xfId="26431" xr:uid="{00000000-0005-0000-0000-000041640000}"/>
    <cellStyle name="Normal 2 29 4 4 2" xfId="26432" xr:uid="{00000000-0005-0000-0000-000042640000}"/>
    <cellStyle name="Normal 2 29 4 4 3" xfId="26433" xr:uid="{00000000-0005-0000-0000-000043640000}"/>
    <cellStyle name="Normal 2 29 4 4 4" xfId="26434" xr:uid="{00000000-0005-0000-0000-000044640000}"/>
    <cellStyle name="Normal 2 29 4 4 5" xfId="26435" xr:uid="{00000000-0005-0000-0000-000045640000}"/>
    <cellStyle name="Normal 2 29 4 4 6" xfId="26436" xr:uid="{00000000-0005-0000-0000-000046640000}"/>
    <cellStyle name="Normal 2 29 4 5" xfId="26437" xr:uid="{00000000-0005-0000-0000-000047640000}"/>
    <cellStyle name="Normal 2 29 4 5 2" xfId="26438" xr:uid="{00000000-0005-0000-0000-000048640000}"/>
    <cellStyle name="Normal 2 29 4 5 3" xfId="26439" xr:uid="{00000000-0005-0000-0000-000049640000}"/>
    <cellStyle name="Normal 2 29 4 5 4" xfId="26440" xr:uid="{00000000-0005-0000-0000-00004A640000}"/>
    <cellStyle name="Normal 2 29 4 5 5" xfId="26441" xr:uid="{00000000-0005-0000-0000-00004B640000}"/>
    <cellStyle name="Normal 2 29 4 5 6" xfId="26442" xr:uid="{00000000-0005-0000-0000-00004C640000}"/>
    <cellStyle name="Normal 2 29 4 6" xfId="26443" xr:uid="{00000000-0005-0000-0000-00004D640000}"/>
    <cellStyle name="Normal 2 29 4 6 2" xfId="26444" xr:uid="{00000000-0005-0000-0000-00004E640000}"/>
    <cellStyle name="Normal 2 29 4 6 3" xfId="26445" xr:uid="{00000000-0005-0000-0000-00004F640000}"/>
    <cellStyle name="Normal 2 29 4 6 4" xfId="26446" xr:uid="{00000000-0005-0000-0000-000050640000}"/>
    <cellStyle name="Normal 2 29 4 6 5" xfId="26447" xr:uid="{00000000-0005-0000-0000-000051640000}"/>
    <cellStyle name="Normal 2 29 4 6 6" xfId="26448" xr:uid="{00000000-0005-0000-0000-000052640000}"/>
    <cellStyle name="Normal 2 29 4 7" xfId="26449" xr:uid="{00000000-0005-0000-0000-000053640000}"/>
    <cellStyle name="Normal 2 29 4 7 2" xfId="26450" xr:uid="{00000000-0005-0000-0000-000054640000}"/>
    <cellStyle name="Normal 2 29 4 7 3" xfId="26451" xr:uid="{00000000-0005-0000-0000-000055640000}"/>
    <cellStyle name="Normal 2 29 4 7 4" xfId="26452" xr:uid="{00000000-0005-0000-0000-000056640000}"/>
    <cellStyle name="Normal 2 29 4 7 5" xfId="26453" xr:uid="{00000000-0005-0000-0000-000057640000}"/>
    <cellStyle name="Normal 2 29 4 7 6" xfId="26454" xr:uid="{00000000-0005-0000-0000-000058640000}"/>
    <cellStyle name="Normal 2 29 4 8" xfId="26455" xr:uid="{00000000-0005-0000-0000-000059640000}"/>
    <cellStyle name="Normal 2 29 4 8 2" xfId="26456" xr:uid="{00000000-0005-0000-0000-00005A640000}"/>
    <cellStyle name="Normal 2 29 4 8 3" xfId="26457" xr:uid="{00000000-0005-0000-0000-00005B640000}"/>
    <cellStyle name="Normal 2 29 4 8 4" xfId="26458" xr:uid="{00000000-0005-0000-0000-00005C640000}"/>
    <cellStyle name="Normal 2 29 4 8 5" xfId="26459" xr:uid="{00000000-0005-0000-0000-00005D640000}"/>
    <cellStyle name="Normal 2 29 4 8 6" xfId="26460" xr:uid="{00000000-0005-0000-0000-00005E640000}"/>
    <cellStyle name="Normal 2 29 4 9" xfId="26461" xr:uid="{00000000-0005-0000-0000-00005F640000}"/>
    <cellStyle name="Normal 2 29 40" xfId="26462" xr:uid="{00000000-0005-0000-0000-000060640000}"/>
    <cellStyle name="Normal 2 29 41" xfId="26463" xr:uid="{00000000-0005-0000-0000-000061640000}"/>
    <cellStyle name="Normal 2 29 42" xfId="26464" xr:uid="{00000000-0005-0000-0000-000062640000}"/>
    <cellStyle name="Normal 2 29 43" xfId="26465" xr:uid="{00000000-0005-0000-0000-000063640000}"/>
    <cellStyle name="Normal 2 29 44" xfId="26466" xr:uid="{00000000-0005-0000-0000-000064640000}"/>
    <cellStyle name="Normal 2 29 45" xfId="26467" xr:uid="{00000000-0005-0000-0000-000065640000}"/>
    <cellStyle name="Normal 2 29 46" xfId="26468" xr:uid="{00000000-0005-0000-0000-000066640000}"/>
    <cellStyle name="Normal 2 29 47" xfId="26469" xr:uid="{00000000-0005-0000-0000-000067640000}"/>
    <cellStyle name="Normal 2 29 48" xfId="26470" xr:uid="{00000000-0005-0000-0000-000068640000}"/>
    <cellStyle name="Normal 2 29 5" xfId="26471" xr:uid="{00000000-0005-0000-0000-000069640000}"/>
    <cellStyle name="Normal 2 29 5 10" xfId="26472" xr:uid="{00000000-0005-0000-0000-00006A640000}"/>
    <cellStyle name="Normal 2 29 5 11" xfId="26473" xr:uid="{00000000-0005-0000-0000-00006B640000}"/>
    <cellStyle name="Normal 2 29 5 12" xfId="26474" xr:uid="{00000000-0005-0000-0000-00006C640000}"/>
    <cellStyle name="Normal 2 29 5 13" xfId="26475" xr:uid="{00000000-0005-0000-0000-00006D640000}"/>
    <cellStyle name="Normal 2 29 5 2" xfId="26476" xr:uid="{00000000-0005-0000-0000-00006E640000}"/>
    <cellStyle name="Normal 2 29 5 2 2" xfId="26477" xr:uid="{00000000-0005-0000-0000-00006F640000}"/>
    <cellStyle name="Normal 2 29 5 2 3" xfId="26478" xr:uid="{00000000-0005-0000-0000-000070640000}"/>
    <cellStyle name="Normal 2 29 5 2 4" xfId="26479" xr:uid="{00000000-0005-0000-0000-000071640000}"/>
    <cellStyle name="Normal 2 29 5 2 5" xfId="26480" xr:uid="{00000000-0005-0000-0000-000072640000}"/>
    <cellStyle name="Normal 2 29 5 2 6" xfId="26481" xr:uid="{00000000-0005-0000-0000-000073640000}"/>
    <cellStyle name="Normal 2 29 5 3" xfId="26482" xr:uid="{00000000-0005-0000-0000-000074640000}"/>
    <cellStyle name="Normal 2 29 5 3 2" xfId="26483" xr:uid="{00000000-0005-0000-0000-000075640000}"/>
    <cellStyle name="Normal 2 29 5 3 3" xfId="26484" xr:uid="{00000000-0005-0000-0000-000076640000}"/>
    <cellStyle name="Normal 2 29 5 3 4" xfId="26485" xr:uid="{00000000-0005-0000-0000-000077640000}"/>
    <cellStyle name="Normal 2 29 5 3 5" xfId="26486" xr:uid="{00000000-0005-0000-0000-000078640000}"/>
    <cellStyle name="Normal 2 29 5 3 6" xfId="26487" xr:uid="{00000000-0005-0000-0000-000079640000}"/>
    <cellStyle name="Normal 2 29 5 4" xfId="26488" xr:uid="{00000000-0005-0000-0000-00007A640000}"/>
    <cellStyle name="Normal 2 29 5 4 2" xfId="26489" xr:uid="{00000000-0005-0000-0000-00007B640000}"/>
    <cellStyle name="Normal 2 29 5 4 3" xfId="26490" xr:uid="{00000000-0005-0000-0000-00007C640000}"/>
    <cellStyle name="Normal 2 29 5 4 4" xfId="26491" xr:uid="{00000000-0005-0000-0000-00007D640000}"/>
    <cellStyle name="Normal 2 29 5 4 5" xfId="26492" xr:uid="{00000000-0005-0000-0000-00007E640000}"/>
    <cellStyle name="Normal 2 29 5 4 6" xfId="26493" xr:uid="{00000000-0005-0000-0000-00007F640000}"/>
    <cellStyle name="Normal 2 29 5 5" xfId="26494" xr:uid="{00000000-0005-0000-0000-000080640000}"/>
    <cellStyle name="Normal 2 29 5 5 2" xfId="26495" xr:uid="{00000000-0005-0000-0000-000081640000}"/>
    <cellStyle name="Normal 2 29 5 5 3" xfId="26496" xr:uid="{00000000-0005-0000-0000-000082640000}"/>
    <cellStyle name="Normal 2 29 5 5 4" xfId="26497" xr:uid="{00000000-0005-0000-0000-000083640000}"/>
    <cellStyle name="Normal 2 29 5 5 5" xfId="26498" xr:uid="{00000000-0005-0000-0000-000084640000}"/>
    <cellStyle name="Normal 2 29 5 5 6" xfId="26499" xr:uid="{00000000-0005-0000-0000-000085640000}"/>
    <cellStyle name="Normal 2 29 5 6" xfId="26500" xr:uid="{00000000-0005-0000-0000-000086640000}"/>
    <cellStyle name="Normal 2 29 5 6 2" xfId="26501" xr:uid="{00000000-0005-0000-0000-000087640000}"/>
    <cellStyle name="Normal 2 29 5 6 3" xfId="26502" xr:uid="{00000000-0005-0000-0000-000088640000}"/>
    <cellStyle name="Normal 2 29 5 6 4" xfId="26503" xr:uid="{00000000-0005-0000-0000-000089640000}"/>
    <cellStyle name="Normal 2 29 5 6 5" xfId="26504" xr:uid="{00000000-0005-0000-0000-00008A640000}"/>
    <cellStyle name="Normal 2 29 5 6 6" xfId="26505" xr:uid="{00000000-0005-0000-0000-00008B640000}"/>
    <cellStyle name="Normal 2 29 5 7" xfId="26506" xr:uid="{00000000-0005-0000-0000-00008C640000}"/>
    <cellStyle name="Normal 2 29 5 7 2" xfId="26507" xr:uid="{00000000-0005-0000-0000-00008D640000}"/>
    <cellStyle name="Normal 2 29 5 7 3" xfId="26508" xr:uid="{00000000-0005-0000-0000-00008E640000}"/>
    <cellStyle name="Normal 2 29 5 7 4" xfId="26509" xr:uid="{00000000-0005-0000-0000-00008F640000}"/>
    <cellStyle name="Normal 2 29 5 7 5" xfId="26510" xr:uid="{00000000-0005-0000-0000-000090640000}"/>
    <cellStyle name="Normal 2 29 5 7 6" xfId="26511" xr:uid="{00000000-0005-0000-0000-000091640000}"/>
    <cellStyle name="Normal 2 29 5 8" xfId="26512" xr:uid="{00000000-0005-0000-0000-000092640000}"/>
    <cellStyle name="Normal 2 29 5 8 2" xfId="26513" xr:uid="{00000000-0005-0000-0000-000093640000}"/>
    <cellStyle name="Normal 2 29 5 8 3" xfId="26514" xr:uid="{00000000-0005-0000-0000-000094640000}"/>
    <cellStyle name="Normal 2 29 5 8 4" xfId="26515" xr:uid="{00000000-0005-0000-0000-000095640000}"/>
    <cellStyle name="Normal 2 29 5 8 5" xfId="26516" xr:uid="{00000000-0005-0000-0000-000096640000}"/>
    <cellStyle name="Normal 2 29 5 8 6" xfId="26517" xr:uid="{00000000-0005-0000-0000-000097640000}"/>
    <cellStyle name="Normal 2 29 5 9" xfId="26518" xr:uid="{00000000-0005-0000-0000-000098640000}"/>
    <cellStyle name="Normal 2 29 6" xfId="26519" xr:uid="{00000000-0005-0000-0000-000099640000}"/>
    <cellStyle name="Normal 2 29 6 10" xfId="26520" xr:uid="{00000000-0005-0000-0000-00009A640000}"/>
    <cellStyle name="Normal 2 29 6 11" xfId="26521" xr:uid="{00000000-0005-0000-0000-00009B640000}"/>
    <cellStyle name="Normal 2 29 6 12" xfId="26522" xr:uid="{00000000-0005-0000-0000-00009C640000}"/>
    <cellStyle name="Normal 2 29 6 13" xfId="26523" xr:uid="{00000000-0005-0000-0000-00009D640000}"/>
    <cellStyle name="Normal 2 29 6 2" xfId="26524" xr:uid="{00000000-0005-0000-0000-00009E640000}"/>
    <cellStyle name="Normal 2 29 6 2 2" xfId="26525" xr:uid="{00000000-0005-0000-0000-00009F640000}"/>
    <cellStyle name="Normal 2 29 6 2 3" xfId="26526" xr:uid="{00000000-0005-0000-0000-0000A0640000}"/>
    <cellStyle name="Normal 2 29 6 2 4" xfId="26527" xr:uid="{00000000-0005-0000-0000-0000A1640000}"/>
    <cellStyle name="Normal 2 29 6 2 5" xfId="26528" xr:uid="{00000000-0005-0000-0000-0000A2640000}"/>
    <cellStyle name="Normal 2 29 6 2 6" xfId="26529" xr:uid="{00000000-0005-0000-0000-0000A3640000}"/>
    <cellStyle name="Normal 2 29 6 3" xfId="26530" xr:uid="{00000000-0005-0000-0000-0000A4640000}"/>
    <cellStyle name="Normal 2 29 6 3 2" xfId="26531" xr:uid="{00000000-0005-0000-0000-0000A5640000}"/>
    <cellStyle name="Normal 2 29 6 3 3" xfId="26532" xr:uid="{00000000-0005-0000-0000-0000A6640000}"/>
    <cellStyle name="Normal 2 29 6 3 4" xfId="26533" xr:uid="{00000000-0005-0000-0000-0000A7640000}"/>
    <cellStyle name="Normal 2 29 6 3 5" xfId="26534" xr:uid="{00000000-0005-0000-0000-0000A8640000}"/>
    <cellStyle name="Normal 2 29 6 3 6" xfId="26535" xr:uid="{00000000-0005-0000-0000-0000A9640000}"/>
    <cellStyle name="Normal 2 29 6 4" xfId="26536" xr:uid="{00000000-0005-0000-0000-0000AA640000}"/>
    <cellStyle name="Normal 2 29 6 4 2" xfId="26537" xr:uid="{00000000-0005-0000-0000-0000AB640000}"/>
    <cellStyle name="Normal 2 29 6 4 3" xfId="26538" xr:uid="{00000000-0005-0000-0000-0000AC640000}"/>
    <cellStyle name="Normal 2 29 6 4 4" xfId="26539" xr:uid="{00000000-0005-0000-0000-0000AD640000}"/>
    <cellStyle name="Normal 2 29 6 4 5" xfId="26540" xr:uid="{00000000-0005-0000-0000-0000AE640000}"/>
    <cellStyle name="Normal 2 29 6 4 6" xfId="26541" xr:uid="{00000000-0005-0000-0000-0000AF640000}"/>
    <cellStyle name="Normal 2 29 6 5" xfId="26542" xr:uid="{00000000-0005-0000-0000-0000B0640000}"/>
    <cellStyle name="Normal 2 29 6 5 2" xfId="26543" xr:uid="{00000000-0005-0000-0000-0000B1640000}"/>
    <cellStyle name="Normal 2 29 6 5 3" xfId="26544" xr:uid="{00000000-0005-0000-0000-0000B2640000}"/>
    <cellStyle name="Normal 2 29 6 5 4" xfId="26545" xr:uid="{00000000-0005-0000-0000-0000B3640000}"/>
    <cellStyle name="Normal 2 29 6 5 5" xfId="26546" xr:uid="{00000000-0005-0000-0000-0000B4640000}"/>
    <cellStyle name="Normal 2 29 6 5 6" xfId="26547" xr:uid="{00000000-0005-0000-0000-0000B5640000}"/>
    <cellStyle name="Normal 2 29 6 6" xfId="26548" xr:uid="{00000000-0005-0000-0000-0000B6640000}"/>
    <cellStyle name="Normal 2 29 6 6 2" xfId="26549" xr:uid="{00000000-0005-0000-0000-0000B7640000}"/>
    <cellStyle name="Normal 2 29 6 6 3" xfId="26550" xr:uid="{00000000-0005-0000-0000-0000B8640000}"/>
    <cellStyle name="Normal 2 29 6 6 4" xfId="26551" xr:uid="{00000000-0005-0000-0000-0000B9640000}"/>
    <cellStyle name="Normal 2 29 6 6 5" xfId="26552" xr:uid="{00000000-0005-0000-0000-0000BA640000}"/>
    <cellStyle name="Normal 2 29 6 6 6" xfId="26553" xr:uid="{00000000-0005-0000-0000-0000BB640000}"/>
    <cellStyle name="Normal 2 29 6 7" xfId="26554" xr:uid="{00000000-0005-0000-0000-0000BC640000}"/>
    <cellStyle name="Normal 2 29 6 7 2" xfId="26555" xr:uid="{00000000-0005-0000-0000-0000BD640000}"/>
    <cellStyle name="Normal 2 29 6 7 3" xfId="26556" xr:uid="{00000000-0005-0000-0000-0000BE640000}"/>
    <cellStyle name="Normal 2 29 6 7 4" xfId="26557" xr:uid="{00000000-0005-0000-0000-0000BF640000}"/>
    <cellStyle name="Normal 2 29 6 7 5" xfId="26558" xr:uid="{00000000-0005-0000-0000-0000C0640000}"/>
    <cellStyle name="Normal 2 29 6 7 6" xfId="26559" xr:uid="{00000000-0005-0000-0000-0000C1640000}"/>
    <cellStyle name="Normal 2 29 6 8" xfId="26560" xr:uid="{00000000-0005-0000-0000-0000C2640000}"/>
    <cellStyle name="Normal 2 29 6 8 2" xfId="26561" xr:uid="{00000000-0005-0000-0000-0000C3640000}"/>
    <cellStyle name="Normal 2 29 6 8 3" xfId="26562" xr:uid="{00000000-0005-0000-0000-0000C4640000}"/>
    <cellStyle name="Normal 2 29 6 8 4" xfId="26563" xr:uid="{00000000-0005-0000-0000-0000C5640000}"/>
    <cellStyle name="Normal 2 29 6 8 5" xfId="26564" xr:uid="{00000000-0005-0000-0000-0000C6640000}"/>
    <cellStyle name="Normal 2 29 6 8 6" xfId="26565" xr:uid="{00000000-0005-0000-0000-0000C7640000}"/>
    <cellStyle name="Normal 2 29 6 9" xfId="26566" xr:uid="{00000000-0005-0000-0000-0000C8640000}"/>
    <cellStyle name="Normal 2 29 7" xfId="26567" xr:uid="{00000000-0005-0000-0000-0000C9640000}"/>
    <cellStyle name="Normal 2 29 7 10" xfId="26568" xr:uid="{00000000-0005-0000-0000-0000CA640000}"/>
    <cellStyle name="Normal 2 29 7 11" xfId="26569" xr:uid="{00000000-0005-0000-0000-0000CB640000}"/>
    <cellStyle name="Normal 2 29 7 12" xfId="26570" xr:uid="{00000000-0005-0000-0000-0000CC640000}"/>
    <cellStyle name="Normal 2 29 7 13" xfId="26571" xr:uid="{00000000-0005-0000-0000-0000CD640000}"/>
    <cellStyle name="Normal 2 29 7 2" xfId="26572" xr:uid="{00000000-0005-0000-0000-0000CE640000}"/>
    <cellStyle name="Normal 2 29 7 2 2" xfId="26573" xr:uid="{00000000-0005-0000-0000-0000CF640000}"/>
    <cellStyle name="Normal 2 29 7 2 3" xfId="26574" xr:uid="{00000000-0005-0000-0000-0000D0640000}"/>
    <cellStyle name="Normal 2 29 7 2 4" xfId="26575" xr:uid="{00000000-0005-0000-0000-0000D1640000}"/>
    <cellStyle name="Normal 2 29 7 2 5" xfId="26576" xr:uid="{00000000-0005-0000-0000-0000D2640000}"/>
    <cellStyle name="Normal 2 29 7 2 6" xfId="26577" xr:uid="{00000000-0005-0000-0000-0000D3640000}"/>
    <cellStyle name="Normal 2 29 7 3" xfId="26578" xr:uid="{00000000-0005-0000-0000-0000D4640000}"/>
    <cellStyle name="Normal 2 29 7 3 2" xfId="26579" xr:uid="{00000000-0005-0000-0000-0000D5640000}"/>
    <cellStyle name="Normal 2 29 7 3 3" xfId="26580" xr:uid="{00000000-0005-0000-0000-0000D6640000}"/>
    <cellStyle name="Normal 2 29 7 3 4" xfId="26581" xr:uid="{00000000-0005-0000-0000-0000D7640000}"/>
    <cellStyle name="Normal 2 29 7 3 5" xfId="26582" xr:uid="{00000000-0005-0000-0000-0000D8640000}"/>
    <cellStyle name="Normal 2 29 7 3 6" xfId="26583" xr:uid="{00000000-0005-0000-0000-0000D9640000}"/>
    <cellStyle name="Normal 2 29 7 4" xfId="26584" xr:uid="{00000000-0005-0000-0000-0000DA640000}"/>
    <cellStyle name="Normal 2 29 7 4 2" xfId="26585" xr:uid="{00000000-0005-0000-0000-0000DB640000}"/>
    <cellStyle name="Normal 2 29 7 4 3" xfId="26586" xr:uid="{00000000-0005-0000-0000-0000DC640000}"/>
    <cellStyle name="Normal 2 29 7 4 4" xfId="26587" xr:uid="{00000000-0005-0000-0000-0000DD640000}"/>
    <cellStyle name="Normal 2 29 7 4 5" xfId="26588" xr:uid="{00000000-0005-0000-0000-0000DE640000}"/>
    <cellStyle name="Normal 2 29 7 4 6" xfId="26589" xr:uid="{00000000-0005-0000-0000-0000DF640000}"/>
    <cellStyle name="Normal 2 29 7 5" xfId="26590" xr:uid="{00000000-0005-0000-0000-0000E0640000}"/>
    <cellStyle name="Normal 2 29 7 5 2" xfId="26591" xr:uid="{00000000-0005-0000-0000-0000E1640000}"/>
    <cellStyle name="Normal 2 29 7 5 3" xfId="26592" xr:uid="{00000000-0005-0000-0000-0000E2640000}"/>
    <cellStyle name="Normal 2 29 7 5 4" xfId="26593" xr:uid="{00000000-0005-0000-0000-0000E3640000}"/>
    <cellStyle name="Normal 2 29 7 5 5" xfId="26594" xr:uid="{00000000-0005-0000-0000-0000E4640000}"/>
    <cellStyle name="Normal 2 29 7 5 6" xfId="26595" xr:uid="{00000000-0005-0000-0000-0000E5640000}"/>
    <cellStyle name="Normal 2 29 7 6" xfId="26596" xr:uid="{00000000-0005-0000-0000-0000E6640000}"/>
    <cellStyle name="Normal 2 29 7 6 2" xfId="26597" xr:uid="{00000000-0005-0000-0000-0000E7640000}"/>
    <cellStyle name="Normal 2 29 7 6 3" xfId="26598" xr:uid="{00000000-0005-0000-0000-0000E8640000}"/>
    <cellStyle name="Normal 2 29 7 6 4" xfId="26599" xr:uid="{00000000-0005-0000-0000-0000E9640000}"/>
    <cellStyle name="Normal 2 29 7 6 5" xfId="26600" xr:uid="{00000000-0005-0000-0000-0000EA640000}"/>
    <cellStyle name="Normal 2 29 7 6 6" xfId="26601" xr:uid="{00000000-0005-0000-0000-0000EB640000}"/>
    <cellStyle name="Normal 2 29 7 7" xfId="26602" xr:uid="{00000000-0005-0000-0000-0000EC640000}"/>
    <cellStyle name="Normal 2 29 7 7 2" xfId="26603" xr:uid="{00000000-0005-0000-0000-0000ED640000}"/>
    <cellStyle name="Normal 2 29 7 7 3" xfId="26604" xr:uid="{00000000-0005-0000-0000-0000EE640000}"/>
    <cellStyle name="Normal 2 29 7 7 4" xfId="26605" xr:uid="{00000000-0005-0000-0000-0000EF640000}"/>
    <cellStyle name="Normal 2 29 7 7 5" xfId="26606" xr:uid="{00000000-0005-0000-0000-0000F0640000}"/>
    <cellStyle name="Normal 2 29 7 7 6" xfId="26607" xr:uid="{00000000-0005-0000-0000-0000F1640000}"/>
    <cellStyle name="Normal 2 29 7 8" xfId="26608" xr:uid="{00000000-0005-0000-0000-0000F2640000}"/>
    <cellStyle name="Normal 2 29 7 8 2" xfId="26609" xr:uid="{00000000-0005-0000-0000-0000F3640000}"/>
    <cellStyle name="Normal 2 29 7 8 3" xfId="26610" xr:uid="{00000000-0005-0000-0000-0000F4640000}"/>
    <cellStyle name="Normal 2 29 7 8 4" xfId="26611" xr:uid="{00000000-0005-0000-0000-0000F5640000}"/>
    <cellStyle name="Normal 2 29 7 8 5" xfId="26612" xr:uid="{00000000-0005-0000-0000-0000F6640000}"/>
    <cellStyle name="Normal 2 29 7 8 6" xfId="26613" xr:uid="{00000000-0005-0000-0000-0000F7640000}"/>
    <cellStyle name="Normal 2 29 7 9" xfId="26614" xr:uid="{00000000-0005-0000-0000-0000F8640000}"/>
    <cellStyle name="Normal 2 29 8" xfId="26615" xr:uid="{00000000-0005-0000-0000-0000F9640000}"/>
    <cellStyle name="Normal 2 29 8 10" xfId="26616" xr:uid="{00000000-0005-0000-0000-0000FA640000}"/>
    <cellStyle name="Normal 2 29 8 11" xfId="26617" xr:uid="{00000000-0005-0000-0000-0000FB640000}"/>
    <cellStyle name="Normal 2 29 8 12" xfId="26618" xr:uid="{00000000-0005-0000-0000-0000FC640000}"/>
    <cellStyle name="Normal 2 29 8 13" xfId="26619" xr:uid="{00000000-0005-0000-0000-0000FD640000}"/>
    <cellStyle name="Normal 2 29 8 2" xfId="26620" xr:uid="{00000000-0005-0000-0000-0000FE640000}"/>
    <cellStyle name="Normal 2 29 8 2 2" xfId="26621" xr:uid="{00000000-0005-0000-0000-0000FF640000}"/>
    <cellStyle name="Normal 2 29 8 2 3" xfId="26622" xr:uid="{00000000-0005-0000-0000-000000650000}"/>
    <cellStyle name="Normal 2 29 8 2 4" xfId="26623" xr:uid="{00000000-0005-0000-0000-000001650000}"/>
    <cellStyle name="Normal 2 29 8 2 5" xfId="26624" xr:uid="{00000000-0005-0000-0000-000002650000}"/>
    <cellStyle name="Normal 2 29 8 2 6" xfId="26625" xr:uid="{00000000-0005-0000-0000-000003650000}"/>
    <cellStyle name="Normal 2 29 8 3" xfId="26626" xr:uid="{00000000-0005-0000-0000-000004650000}"/>
    <cellStyle name="Normal 2 29 8 3 2" xfId="26627" xr:uid="{00000000-0005-0000-0000-000005650000}"/>
    <cellStyle name="Normal 2 29 8 3 3" xfId="26628" xr:uid="{00000000-0005-0000-0000-000006650000}"/>
    <cellStyle name="Normal 2 29 8 3 4" xfId="26629" xr:uid="{00000000-0005-0000-0000-000007650000}"/>
    <cellStyle name="Normal 2 29 8 3 5" xfId="26630" xr:uid="{00000000-0005-0000-0000-000008650000}"/>
    <cellStyle name="Normal 2 29 8 3 6" xfId="26631" xr:uid="{00000000-0005-0000-0000-000009650000}"/>
    <cellStyle name="Normal 2 29 8 4" xfId="26632" xr:uid="{00000000-0005-0000-0000-00000A650000}"/>
    <cellStyle name="Normal 2 29 8 4 2" xfId="26633" xr:uid="{00000000-0005-0000-0000-00000B650000}"/>
    <cellStyle name="Normal 2 29 8 4 3" xfId="26634" xr:uid="{00000000-0005-0000-0000-00000C650000}"/>
    <cellStyle name="Normal 2 29 8 4 4" xfId="26635" xr:uid="{00000000-0005-0000-0000-00000D650000}"/>
    <cellStyle name="Normal 2 29 8 4 5" xfId="26636" xr:uid="{00000000-0005-0000-0000-00000E650000}"/>
    <cellStyle name="Normal 2 29 8 4 6" xfId="26637" xr:uid="{00000000-0005-0000-0000-00000F650000}"/>
    <cellStyle name="Normal 2 29 8 5" xfId="26638" xr:uid="{00000000-0005-0000-0000-000010650000}"/>
    <cellStyle name="Normal 2 29 8 5 2" xfId="26639" xr:uid="{00000000-0005-0000-0000-000011650000}"/>
    <cellStyle name="Normal 2 29 8 5 3" xfId="26640" xr:uid="{00000000-0005-0000-0000-000012650000}"/>
    <cellStyle name="Normal 2 29 8 5 4" xfId="26641" xr:uid="{00000000-0005-0000-0000-000013650000}"/>
    <cellStyle name="Normal 2 29 8 5 5" xfId="26642" xr:uid="{00000000-0005-0000-0000-000014650000}"/>
    <cellStyle name="Normal 2 29 8 5 6" xfId="26643" xr:uid="{00000000-0005-0000-0000-000015650000}"/>
    <cellStyle name="Normal 2 29 8 6" xfId="26644" xr:uid="{00000000-0005-0000-0000-000016650000}"/>
    <cellStyle name="Normal 2 29 8 6 2" xfId="26645" xr:uid="{00000000-0005-0000-0000-000017650000}"/>
    <cellStyle name="Normal 2 29 8 6 3" xfId="26646" xr:uid="{00000000-0005-0000-0000-000018650000}"/>
    <cellStyle name="Normal 2 29 8 6 4" xfId="26647" xr:uid="{00000000-0005-0000-0000-000019650000}"/>
    <cellStyle name="Normal 2 29 8 6 5" xfId="26648" xr:uid="{00000000-0005-0000-0000-00001A650000}"/>
    <cellStyle name="Normal 2 29 8 6 6" xfId="26649" xr:uid="{00000000-0005-0000-0000-00001B650000}"/>
    <cellStyle name="Normal 2 29 8 7" xfId="26650" xr:uid="{00000000-0005-0000-0000-00001C650000}"/>
    <cellStyle name="Normal 2 29 8 7 2" xfId="26651" xr:uid="{00000000-0005-0000-0000-00001D650000}"/>
    <cellStyle name="Normal 2 29 8 7 3" xfId="26652" xr:uid="{00000000-0005-0000-0000-00001E650000}"/>
    <cellStyle name="Normal 2 29 8 7 4" xfId="26653" xr:uid="{00000000-0005-0000-0000-00001F650000}"/>
    <cellStyle name="Normal 2 29 8 7 5" xfId="26654" xr:uid="{00000000-0005-0000-0000-000020650000}"/>
    <cellStyle name="Normal 2 29 8 7 6" xfId="26655" xr:uid="{00000000-0005-0000-0000-000021650000}"/>
    <cellStyle name="Normal 2 29 8 8" xfId="26656" xr:uid="{00000000-0005-0000-0000-000022650000}"/>
    <cellStyle name="Normal 2 29 8 8 2" xfId="26657" xr:uid="{00000000-0005-0000-0000-000023650000}"/>
    <cellStyle name="Normal 2 29 8 8 3" xfId="26658" xr:uid="{00000000-0005-0000-0000-000024650000}"/>
    <cellStyle name="Normal 2 29 8 8 4" xfId="26659" xr:uid="{00000000-0005-0000-0000-000025650000}"/>
    <cellStyle name="Normal 2 29 8 8 5" xfId="26660" xr:uid="{00000000-0005-0000-0000-000026650000}"/>
    <cellStyle name="Normal 2 29 8 8 6" xfId="26661" xr:uid="{00000000-0005-0000-0000-000027650000}"/>
    <cellStyle name="Normal 2 29 8 9" xfId="26662" xr:uid="{00000000-0005-0000-0000-000028650000}"/>
    <cellStyle name="Normal 2 29 9" xfId="26663" xr:uid="{00000000-0005-0000-0000-000029650000}"/>
    <cellStyle name="Normal 2 29 9 10" xfId="26664" xr:uid="{00000000-0005-0000-0000-00002A650000}"/>
    <cellStyle name="Normal 2 29 9 11" xfId="26665" xr:uid="{00000000-0005-0000-0000-00002B650000}"/>
    <cellStyle name="Normal 2 29 9 12" xfId="26666" xr:uid="{00000000-0005-0000-0000-00002C650000}"/>
    <cellStyle name="Normal 2 29 9 13" xfId="26667" xr:uid="{00000000-0005-0000-0000-00002D650000}"/>
    <cellStyle name="Normal 2 29 9 2" xfId="26668" xr:uid="{00000000-0005-0000-0000-00002E650000}"/>
    <cellStyle name="Normal 2 29 9 2 2" xfId="26669" xr:uid="{00000000-0005-0000-0000-00002F650000}"/>
    <cellStyle name="Normal 2 29 9 2 3" xfId="26670" xr:uid="{00000000-0005-0000-0000-000030650000}"/>
    <cellStyle name="Normal 2 29 9 2 4" xfId="26671" xr:uid="{00000000-0005-0000-0000-000031650000}"/>
    <cellStyle name="Normal 2 29 9 2 5" xfId="26672" xr:uid="{00000000-0005-0000-0000-000032650000}"/>
    <cellStyle name="Normal 2 29 9 2 6" xfId="26673" xr:uid="{00000000-0005-0000-0000-000033650000}"/>
    <cellStyle name="Normal 2 29 9 3" xfId="26674" xr:uid="{00000000-0005-0000-0000-000034650000}"/>
    <cellStyle name="Normal 2 29 9 3 2" xfId="26675" xr:uid="{00000000-0005-0000-0000-000035650000}"/>
    <cellStyle name="Normal 2 29 9 3 3" xfId="26676" xr:uid="{00000000-0005-0000-0000-000036650000}"/>
    <cellStyle name="Normal 2 29 9 3 4" xfId="26677" xr:uid="{00000000-0005-0000-0000-000037650000}"/>
    <cellStyle name="Normal 2 29 9 3 5" xfId="26678" xr:uid="{00000000-0005-0000-0000-000038650000}"/>
    <cellStyle name="Normal 2 29 9 3 6" xfId="26679" xr:uid="{00000000-0005-0000-0000-000039650000}"/>
    <cellStyle name="Normal 2 29 9 4" xfId="26680" xr:uid="{00000000-0005-0000-0000-00003A650000}"/>
    <cellStyle name="Normal 2 29 9 4 2" xfId="26681" xr:uid="{00000000-0005-0000-0000-00003B650000}"/>
    <cellStyle name="Normal 2 29 9 4 3" xfId="26682" xr:uid="{00000000-0005-0000-0000-00003C650000}"/>
    <cellStyle name="Normal 2 29 9 4 4" xfId="26683" xr:uid="{00000000-0005-0000-0000-00003D650000}"/>
    <cellStyle name="Normal 2 29 9 4 5" xfId="26684" xr:uid="{00000000-0005-0000-0000-00003E650000}"/>
    <cellStyle name="Normal 2 29 9 4 6" xfId="26685" xr:uid="{00000000-0005-0000-0000-00003F650000}"/>
    <cellStyle name="Normal 2 29 9 5" xfId="26686" xr:uid="{00000000-0005-0000-0000-000040650000}"/>
    <cellStyle name="Normal 2 29 9 5 2" xfId="26687" xr:uid="{00000000-0005-0000-0000-000041650000}"/>
    <cellStyle name="Normal 2 29 9 5 3" xfId="26688" xr:uid="{00000000-0005-0000-0000-000042650000}"/>
    <cellStyle name="Normal 2 29 9 5 4" xfId="26689" xr:uid="{00000000-0005-0000-0000-000043650000}"/>
    <cellStyle name="Normal 2 29 9 5 5" xfId="26690" xr:uid="{00000000-0005-0000-0000-000044650000}"/>
    <cellStyle name="Normal 2 29 9 5 6" xfId="26691" xr:uid="{00000000-0005-0000-0000-000045650000}"/>
    <cellStyle name="Normal 2 29 9 6" xfId="26692" xr:uid="{00000000-0005-0000-0000-000046650000}"/>
    <cellStyle name="Normal 2 29 9 6 2" xfId="26693" xr:uid="{00000000-0005-0000-0000-000047650000}"/>
    <cellStyle name="Normal 2 29 9 6 3" xfId="26694" xr:uid="{00000000-0005-0000-0000-000048650000}"/>
    <cellStyle name="Normal 2 29 9 6 4" xfId="26695" xr:uid="{00000000-0005-0000-0000-000049650000}"/>
    <cellStyle name="Normal 2 29 9 6 5" xfId="26696" xr:uid="{00000000-0005-0000-0000-00004A650000}"/>
    <cellStyle name="Normal 2 29 9 6 6" xfId="26697" xr:uid="{00000000-0005-0000-0000-00004B650000}"/>
    <cellStyle name="Normal 2 29 9 7" xfId="26698" xr:uid="{00000000-0005-0000-0000-00004C650000}"/>
    <cellStyle name="Normal 2 29 9 7 2" xfId="26699" xr:uid="{00000000-0005-0000-0000-00004D650000}"/>
    <cellStyle name="Normal 2 29 9 7 3" xfId="26700" xr:uid="{00000000-0005-0000-0000-00004E650000}"/>
    <cellStyle name="Normal 2 29 9 7 4" xfId="26701" xr:uid="{00000000-0005-0000-0000-00004F650000}"/>
    <cellStyle name="Normal 2 29 9 7 5" xfId="26702" xr:uid="{00000000-0005-0000-0000-000050650000}"/>
    <cellStyle name="Normal 2 29 9 7 6" xfId="26703" xr:uid="{00000000-0005-0000-0000-000051650000}"/>
    <cellStyle name="Normal 2 29 9 8" xfId="26704" xr:uid="{00000000-0005-0000-0000-000052650000}"/>
    <cellStyle name="Normal 2 29 9 8 2" xfId="26705" xr:uid="{00000000-0005-0000-0000-000053650000}"/>
    <cellStyle name="Normal 2 29 9 8 3" xfId="26706" xr:uid="{00000000-0005-0000-0000-000054650000}"/>
    <cellStyle name="Normal 2 29 9 8 4" xfId="26707" xr:uid="{00000000-0005-0000-0000-000055650000}"/>
    <cellStyle name="Normal 2 29 9 8 5" xfId="26708" xr:uid="{00000000-0005-0000-0000-000056650000}"/>
    <cellStyle name="Normal 2 29 9 8 6" xfId="26709" xr:uid="{00000000-0005-0000-0000-000057650000}"/>
    <cellStyle name="Normal 2 29 9 9" xfId="26710" xr:uid="{00000000-0005-0000-0000-000058650000}"/>
    <cellStyle name="Normal 2 3" xfId="1056" xr:uid="{00000000-0005-0000-0000-000059650000}"/>
    <cellStyle name="Normal 2 3 10" xfId="26711" xr:uid="{00000000-0005-0000-0000-00005A650000}"/>
    <cellStyle name="Normal 2 3 11" xfId="26712" xr:uid="{00000000-0005-0000-0000-00005B650000}"/>
    <cellStyle name="Normal 2 3 12" xfId="26713" xr:uid="{00000000-0005-0000-0000-00005C650000}"/>
    <cellStyle name="Normal 2 3 13" xfId="26714" xr:uid="{00000000-0005-0000-0000-00005D650000}"/>
    <cellStyle name="Normal 2 3 14" xfId="26715" xr:uid="{00000000-0005-0000-0000-00005E650000}"/>
    <cellStyle name="Normal 2 3 2" xfId="26716" xr:uid="{00000000-0005-0000-0000-00005F650000}"/>
    <cellStyle name="Normal 2 3 2 2" xfId="26717" xr:uid="{00000000-0005-0000-0000-000060650000}"/>
    <cellStyle name="Normal 2 3 2 3" xfId="26718" xr:uid="{00000000-0005-0000-0000-000061650000}"/>
    <cellStyle name="Normal 2 3 2 4" xfId="26719" xr:uid="{00000000-0005-0000-0000-000062650000}"/>
    <cellStyle name="Normal 2 3 2 5" xfId="26720" xr:uid="{00000000-0005-0000-0000-000063650000}"/>
    <cellStyle name="Normal 2 3 2 6" xfId="26721" xr:uid="{00000000-0005-0000-0000-000064650000}"/>
    <cellStyle name="Normal 2 3 3" xfId="26722" xr:uid="{00000000-0005-0000-0000-000065650000}"/>
    <cellStyle name="Normal 2 3 3 2" xfId="26723" xr:uid="{00000000-0005-0000-0000-000066650000}"/>
    <cellStyle name="Normal 2 3 3 3" xfId="26724" xr:uid="{00000000-0005-0000-0000-000067650000}"/>
    <cellStyle name="Normal 2 3 3 4" xfId="26725" xr:uid="{00000000-0005-0000-0000-000068650000}"/>
    <cellStyle name="Normal 2 3 3 5" xfId="26726" xr:uid="{00000000-0005-0000-0000-000069650000}"/>
    <cellStyle name="Normal 2 3 3 6" xfId="26727" xr:uid="{00000000-0005-0000-0000-00006A650000}"/>
    <cellStyle name="Normal 2 3 4" xfId="26728" xr:uid="{00000000-0005-0000-0000-00006B650000}"/>
    <cellStyle name="Normal 2 3 4 2" xfId="26729" xr:uid="{00000000-0005-0000-0000-00006C650000}"/>
    <cellStyle name="Normal 2 3 4 3" xfId="26730" xr:uid="{00000000-0005-0000-0000-00006D650000}"/>
    <cellStyle name="Normal 2 3 4 4" xfId="26731" xr:uid="{00000000-0005-0000-0000-00006E650000}"/>
    <cellStyle name="Normal 2 3 4 5" xfId="26732" xr:uid="{00000000-0005-0000-0000-00006F650000}"/>
    <cellStyle name="Normal 2 3 4 6" xfId="26733" xr:uid="{00000000-0005-0000-0000-000070650000}"/>
    <cellStyle name="Normal 2 3 5" xfId="26734" xr:uid="{00000000-0005-0000-0000-000071650000}"/>
    <cellStyle name="Normal 2 3 5 2" xfId="26735" xr:uid="{00000000-0005-0000-0000-000072650000}"/>
    <cellStyle name="Normal 2 3 5 3" xfId="26736" xr:uid="{00000000-0005-0000-0000-000073650000}"/>
    <cellStyle name="Normal 2 3 5 4" xfId="26737" xr:uid="{00000000-0005-0000-0000-000074650000}"/>
    <cellStyle name="Normal 2 3 5 5" xfId="26738" xr:uid="{00000000-0005-0000-0000-000075650000}"/>
    <cellStyle name="Normal 2 3 5 6" xfId="26739" xr:uid="{00000000-0005-0000-0000-000076650000}"/>
    <cellStyle name="Normal 2 3 6" xfId="26740" xr:uid="{00000000-0005-0000-0000-000077650000}"/>
    <cellStyle name="Normal 2 3 6 2" xfId="26741" xr:uid="{00000000-0005-0000-0000-000078650000}"/>
    <cellStyle name="Normal 2 3 6 3" xfId="26742" xr:uid="{00000000-0005-0000-0000-000079650000}"/>
    <cellStyle name="Normal 2 3 6 4" xfId="26743" xr:uid="{00000000-0005-0000-0000-00007A650000}"/>
    <cellStyle name="Normal 2 3 6 5" xfId="26744" xr:uid="{00000000-0005-0000-0000-00007B650000}"/>
    <cellStyle name="Normal 2 3 6 6" xfId="26745" xr:uid="{00000000-0005-0000-0000-00007C650000}"/>
    <cellStyle name="Normal 2 3 7" xfId="26746" xr:uid="{00000000-0005-0000-0000-00007D650000}"/>
    <cellStyle name="Normal 2 3 7 2" xfId="26747" xr:uid="{00000000-0005-0000-0000-00007E650000}"/>
    <cellStyle name="Normal 2 3 7 3" xfId="26748" xr:uid="{00000000-0005-0000-0000-00007F650000}"/>
    <cellStyle name="Normal 2 3 7 4" xfId="26749" xr:uid="{00000000-0005-0000-0000-000080650000}"/>
    <cellStyle name="Normal 2 3 7 5" xfId="26750" xr:uid="{00000000-0005-0000-0000-000081650000}"/>
    <cellStyle name="Normal 2 3 7 6" xfId="26751" xr:uid="{00000000-0005-0000-0000-000082650000}"/>
    <cellStyle name="Normal 2 3 8" xfId="26752" xr:uid="{00000000-0005-0000-0000-000083650000}"/>
    <cellStyle name="Normal 2 3 8 2" xfId="26753" xr:uid="{00000000-0005-0000-0000-000084650000}"/>
    <cellStyle name="Normal 2 3 8 3" xfId="26754" xr:uid="{00000000-0005-0000-0000-000085650000}"/>
    <cellStyle name="Normal 2 3 8 4" xfId="26755" xr:uid="{00000000-0005-0000-0000-000086650000}"/>
    <cellStyle name="Normal 2 3 8 5" xfId="26756" xr:uid="{00000000-0005-0000-0000-000087650000}"/>
    <cellStyle name="Normal 2 3 8 6" xfId="26757" xr:uid="{00000000-0005-0000-0000-000088650000}"/>
    <cellStyle name="Normal 2 3 9" xfId="26758" xr:uid="{00000000-0005-0000-0000-000089650000}"/>
    <cellStyle name="Normal 2 30" xfId="26759" xr:uid="{00000000-0005-0000-0000-00008A650000}"/>
    <cellStyle name="Normal 2 30 10" xfId="26760" xr:uid="{00000000-0005-0000-0000-00008B650000}"/>
    <cellStyle name="Normal 2 30 11" xfId="26761" xr:uid="{00000000-0005-0000-0000-00008C650000}"/>
    <cellStyle name="Normal 2 30 12" xfId="26762" xr:uid="{00000000-0005-0000-0000-00008D650000}"/>
    <cellStyle name="Normal 2 30 13" xfId="26763" xr:uid="{00000000-0005-0000-0000-00008E650000}"/>
    <cellStyle name="Normal 2 30 14" xfId="26764" xr:uid="{00000000-0005-0000-0000-00008F650000}"/>
    <cellStyle name="Normal 2 30 2" xfId="26765" xr:uid="{00000000-0005-0000-0000-000090650000}"/>
    <cellStyle name="Normal 2 30 2 2" xfId="26766" xr:uid="{00000000-0005-0000-0000-000091650000}"/>
    <cellStyle name="Normal 2 30 2 3" xfId="26767" xr:uid="{00000000-0005-0000-0000-000092650000}"/>
    <cellStyle name="Normal 2 30 2 4" xfId="26768" xr:uid="{00000000-0005-0000-0000-000093650000}"/>
    <cellStyle name="Normal 2 30 2 5" xfId="26769" xr:uid="{00000000-0005-0000-0000-000094650000}"/>
    <cellStyle name="Normal 2 30 2 6" xfId="26770" xr:uid="{00000000-0005-0000-0000-000095650000}"/>
    <cellStyle name="Normal 2 30 3" xfId="26771" xr:uid="{00000000-0005-0000-0000-000096650000}"/>
    <cellStyle name="Normal 2 30 3 2" xfId="26772" xr:uid="{00000000-0005-0000-0000-000097650000}"/>
    <cellStyle name="Normal 2 30 3 3" xfId="26773" xr:uid="{00000000-0005-0000-0000-000098650000}"/>
    <cellStyle name="Normal 2 30 3 4" xfId="26774" xr:uid="{00000000-0005-0000-0000-000099650000}"/>
    <cellStyle name="Normal 2 30 3 5" xfId="26775" xr:uid="{00000000-0005-0000-0000-00009A650000}"/>
    <cellStyle name="Normal 2 30 3 6" xfId="26776" xr:uid="{00000000-0005-0000-0000-00009B650000}"/>
    <cellStyle name="Normal 2 30 4" xfId="26777" xr:uid="{00000000-0005-0000-0000-00009C650000}"/>
    <cellStyle name="Normal 2 30 4 2" xfId="26778" xr:uid="{00000000-0005-0000-0000-00009D650000}"/>
    <cellStyle name="Normal 2 30 4 3" xfId="26779" xr:uid="{00000000-0005-0000-0000-00009E650000}"/>
    <cellStyle name="Normal 2 30 4 4" xfId="26780" xr:uid="{00000000-0005-0000-0000-00009F650000}"/>
    <cellStyle name="Normal 2 30 4 5" xfId="26781" xr:uid="{00000000-0005-0000-0000-0000A0650000}"/>
    <cellStyle name="Normal 2 30 4 6" xfId="26782" xr:uid="{00000000-0005-0000-0000-0000A1650000}"/>
    <cellStyle name="Normal 2 30 5" xfId="26783" xr:uid="{00000000-0005-0000-0000-0000A2650000}"/>
    <cellStyle name="Normal 2 30 5 2" xfId="26784" xr:uid="{00000000-0005-0000-0000-0000A3650000}"/>
    <cellStyle name="Normal 2 30 5 3" xfId="26785" xr:uid="{00000000-0005-0000-0000-0000A4650000}"/>
    <cellStyle name="Normal 2 30 5 4" xfId="26786" xr:uid="{00000000-0005-0000-0000-0000A5650000}"/>
    <cellStyle name="Normal 2 30 5 5" xfId="26787" xr:uid="{00000000-0005-0000-0000-0000A6650000}"/>
    <cellStyle name="Normal 2 30 5 6" xfId="26788" xr:uid="{00000000-0005-0000-0000-0000A7650000}"/>
    <cellStyle name="Normal 2 30 6" xfId="26789" xr:uid="{00000000-0005-0000-0000-0000A8650000}"/>
    <cellStyle name="Normal 2 30 6 2" xfId="26790" xr:uid="{00000000-0005-0000-0000-0000A9650000}"/>
    <cellStyle name="Normal 2 30 6 3" xfId="26791" xr:uid="{00000000-0005-0000-0000-0000AA650000}"/>
    <cellStyle name="Normal 2 30 6 4" xfId="26792" xr:uid="{00000000-0005-0000-0000-0000AB650000}"/>
    <cellStyle name="Normal 2 30 6 5" xfId="26793" xr:uid="{00000000-0005-0000-0000-0000AC650000}"/>
    <cellStyle name="Normal 2 30 6 6" xfId="26794" xr:uid="{00000000-0005-0000-0000-0000AD650000}"/>
    <cellStyle name="Normal 2 30 7" xfId="26795" xr:uid="{00000000-0005-0000-0000-0000AE650000}"/>
    <cellStyle name="Normal 2 30 7 2" xfId="26796" xr:uid="{00000000-0005-0000-0000-0000AF650000}"/>
    <cellStyle name="Normal 2 30 7 3" xfId="26797" xr:uid="{00000000-0005-0000-0000-0000B0650000}"/>
    <cellStyle name="Normal 2 30 7 4" xfId="26798" xr:uid="{00000000-0005-0000-0000-0000B1650000}"/>
    <cellStyle name="Normal 2 30 7 5" xfId="26799" xr:uid="{00000000-0005-0000-0000-0000B2650000}"/>
    <cellStyle name="Normal 2 30 7 6" xfId="26800" xr:uid="{00000000-0005-0000-0000-0000B3650000}"/>
    <cellStyle name="Normal 2 30 8" xfId="26801" xr:uid="{00000000-0005-0000-0000-0000B4650000}"/>
    <cellStyle name="Normal 2 30 8 2" xfId="26802" xr:uid="{00000000-0005-0000-0000-0000B5650000}"/>
    <cellStyle name="Normal 2 30 8 3" xfId="26803" xr:uid="{00000000-0005-0000-0000-0000B6650000}"/>
    <cellStyle name="Normal 2 30 8 4" xfId="26804" xr:uid="{00000000-0005-0000-0000-0000B7650000}"/>
    <cellStyle name="Normal 2 30 8 5" xfId="26805" xr:uid="{00000000-0005-0000-0000-0000B8650000}"/>
    <cellStyle name="Normal 2 30 8 6" xfId="26806" xr:uid="{00000000-0005-0000-0000-0000B9650000}"/>
    <cellStyle name="Normal 2 30 9" xfId="26807" xr:uid="{00000000-0005-0000-0000-0000BA650000}"/>
    <cellStyle name="Normal 2 31" xfId="26808" xr:uid="{00000000-0005-0000-0000-0000BB650000}"/>
    <cellStyle name="Normal 2 31 10" xfId="26809" xr:uid="{00000000-0005-0000-0000-0000BC650000}"/>
    <cellStyle name="Normal 2 31 11" xfId="26810" xr:uid="{00000000-0005-0000-0000-0000BD650000}"/>
    <cellStyle name="Normal 2 31 12" xfId="26811" xr:uid="{00000000-0005-0000-0000-0000BE650000}"/>
    <cellStyle name="Normal 2 31 13" xfId="26812" xr:uid="{00000000-0005-0000-0000-0000BF650000}"/>
    <cellStyle name="Normal 2 31 14" xfId="26813" xr:uid="{00000000-0005-0000-0000-0000C0650000}"/>
    <cellStyle name="Normal 2 31 2" xfId="26814" xr:uid="{00000000-0005-0000-0000-0000C1650000}"/>
    <cellStyle name="Normal 2 31 2 2" xfId="26815" xr:uid="{00000000-0005-0000-0000-0000C2650000}"/>
    <cellStyle name="Normal 2 31 2 3" xfId="26816" xr:uid="{00000000-0005-0000-0000-0000C3650000}"/>
    <cellStyle name="Normal 2 31 2 4" xfId="26817" xr:uid="{00000000-0005-0000-0000-0000C4650000}"/>
    <cellStyle name="Normal 2 31 2 5" xfId="26818" xr:uid="{00000000-0005-0000-0000-0000C5650000}"/>
    <cellStyle name="Normal 2 31 2 6" xfId="26819" xr:uid="{00000000-0005-0000-0000-0000C6650000}"/>
    <cellStyle name="Normal 2 31 3" xfId="26820" xr:uid="{00000000-0005-0000-0000-0000C7650000}"/>
    <cellStyle name="Normal 2 31 3 2" xfId="26821" xr:uid="{00000000-0005-0000-0000-0000C8650000}"/>
    <cellStyle name="Normal 2 31 3 3" xfId="26822" xr:uid="{00000000-0005-0000-0000-0000C9650000}"/>
    <cellStyle name="Normal 2 31 3 4" xfId="26823" xr:uid="{00000000-0005-0000-0000-0000CA650000}"/>
    <cellStyle name="Normal 2 31 3 5" xfId="26824" xr:uid="{00000000-0005-0000-0000-0000CB650000}"/>
    <cellStyle name="Normal 2 31 3 6" xfId="26825" xr:uid="{00000000-0005-0000-0000-0000CC650000}"/>
    <cellStyle name="Normal 2 31 4" xfId="26826" xr:uid="{00000000-0005-0000-0000-0000CD650000}"/>
    <cellStyle name="Normal 2 31 4 2" xfId="26827" xr:uid="{00000000-0005-0000-0000-0000CE650000}"/>
    <cellStyle name="Normal 2 31 4 3" xfId="26828" xr:uid="{00000000-0005-0000-0000-0000CF650000}"/>
    <cellStyle name="Normal 2 31 4 4" xfId="26829" xr:uid="{00000000-0005-0000-0000-0000D0650000}"/>
    <cellStyle name="Normal 2 31 4 5" xfId="26830" xr:uid="{00000000-0005-0000-0000-0000D1650000}"/>
    <cellStyle name="Normal 2 31 4 6" xfId="26831" xr:uid="{00000000-0005-0000-0000-0000D2650000}"/>
    <cellStyle name="Normal 2 31 5" xfId="26832" xr:uid="{00000000-0005-0000-0000-0000D3650000}"/>
    <cellStyle name="Normal 2 31 5 2" xfId="26833" xr:uid="{00000000-0005-0000-0000-0000D4650000}"/>
    <cellStyle name="Normal 2 31 5 3" xfId="26834" xr:uid="{00000000-0005-0000-0000-0000D5650000}"/>
    <cellStyle name="Normal 2 31 5 4" xfId="26835" xr:uid="{00000000-0005-0000-0000-0000D6650000}"/>
    <cellStyle name="Normal 2 31 5 5" xfId="26836" xr:uid="{00000000-0005-0000-0000-0000D7650000}"/>
    <cellStyle name="Normal 2 31 5 6" xfId="26837" xr:uid="{00000000-0005-0000-0000-0000D8650000}"/>
    <cellStyle name="Normal 2 31 6" xfId="26838" xr:uid="{00000000-0005-0000-0000-0000D9650000}"/>
    <cellStyle name="Normal 2 31 6 2" xfId="26839" xr:uid="{00000000-0005-0000-0000-0000DA650000}"/>
    <cellStyle name="Normal 2 31 6 3" xfId="26840" xr:uid="{00000000-0005-0000-0000-0000DB650000}"/>
    <cellStyle name="Normal 2 31 6 4" xfId="26841" xr:uid="{00000000-0005-0000-0000-0000DC650000}"/>
    <cellStyle name="Normal 2 31 6 5" xfId="26842" xr:uid="{00000000-0005-0000-0000-0000DD650000}"/>
    <cellStyle name="Normal 2 31 6 6" xfId="26843" xr:uid="{00000000-0005-0000-0000-0000DE650000}"/>
    <cellStyle name="Normal 2 31 7" xfId="26844" xr:uid="{00000000-0005-0000-0000-0000DF650000}"/>
    <cellStyle name="Normal 2 31 7 2" xfId="26845" xr:uid="{00000000-0005-0000-0000-0000E0650000}"/>
    <cellStyle name="Normal 2 31 7 3" xfId="26846" xr:uid="{00000000-0005-0000-0000-0000E1650000}"/>
    <cellStyle name="Normal 2 31 7 4" xfId="26847" xr:uid="{00000000-0005-0000-0000-0000E2650000}"/>
    <cellStyle name="Normal 2 31 7 5" xfId="26848" xr:uid="{00000000-0005-0000-0000-0000E3650000}"/>
    <cellStyle name="Normal 2 31 7 6" xfId="26849" xr:uid="{00000000-0005-0000-0000-0000E4650000}"/>
    <cellStyle name="Normal 2 31 8" xfId="26850" xr:uid="{00000000-0005-0000-0000-0000E5650000}"/>
    <cellStyle name="Normal 2 31 8 2" xfId="26851" xr:uid="{00000000-0005-0000-0000-0000E6650000}"/>
    <cellStyle name="Normal 2 31 8 3" xfId="26852" xr:uid="{00000000-0005-0000-0000-0000E7650000}"/>
    <cellStyle name="Normal 2 31 8 4" xfId="26853" xr:uid="{00000000-0005-0000-0000-0000E8650000}"/>
    <cellStyle name="Normal 2 31 8 5" xfId="26854" xr:uid="{00000000-0005-0000-0000-0000E9650000}"/>
    <cellStyle name="Normal 2 31 8 6" xfId="26855" xr:uid="{00000000-0005-0000-0000-0000EA650000}"/>
    <cellStyle name="Normal 2 31 9" xfId="26856" xr:uid="{00000000-0005-0000-0000-0000EB650000}"/>
    <cellStyle name="Normal 2 32" xfId="26857" xr:uid="{00000000-0005-0000-0000-0000EC650000}"/>
    <cellStyle name="Normal 2 32 10" xfId="26858" xr:uid="{00000000-0005-0000-0000-0000ED650000}"/>
    <cellStyle name="Normal 2 32 11" xfId="26859" xr:uid="{00000000-0005-0000-0000-0000EE650000}"/>
    <cellStyle name="Normal 2 32 12" xfId="26860" xr:uid="{00000000-0005-0000-0000-0000EF650000}"/>
    <cellStyle name="Normal 2 32 13" xfId="26861" xr:uid="{00000000-0005-0000-0000-0000F0650000}"/>
    <cellStyle name="Normal 2 32 14" xfId="26862" xr:uid="{00000000-0005-0000-0000-0000F1650000}"/>
    <cellStyle name="Normal 2 32 2" xfId="26863" xr:uid="{00000000-0005-0000-0000-0000F2650000}"/>
    <cellStyle name="Normal 2 32 2 2" xfId="26864" xr:uid="{00000000-0005-0000-0000-0000F3650000}"/>
    <cellStyle name="Normal 2 32 2 3" xfId="26865" xr:uid="{00000000-0005-0000-0000-0000F4650000}"/>
    <cellStyle name="Normal 2 32 2 4" xfId="26866" xr:uid="{00000000-0005-0000-0000-0000F5650000}"/>
    <cellStyle name="Normal 2 32 2 5" xfId="26867" xr:uid="{00000000-0005-0000-0000-0000F6650000}"/>
    <cellStyle name="Normal 2 32 2 6" xfId="26868" xr:uid="{00000000-0005-0000-0000-0000F7650000}"/>
    <cellStyle name="Normal 2 32 3" xfId="26869" xr:uid="{00000000-0005-0000-0000-0000F8650000}"/>
    <cellStyle name="Normal 2 32 3 2" xfId="26870" xr:uid="{00000000-0005-0000-0000-0000F9650000}"/>
    <cellStyle name="Normal 2 32 3 3" xfId="26871" xr:uid="{00000000-0005-0000-0000-0000FA650000}"/>
    <cellStyle name="Normal 2 32 3 4" xfId="26872" xr:uid="{00000000-0005-0000-0000-0000FB650000}"/>
    <cellStyle name="Normal 2 32 3 5" xfId="26873" xr:uid="{00000000-0005-0000-0000-0000FC650000}"/>
    <cellStyle name="Normal 2 32 3 6" xfId="26874" xr:uid="{00000000-0005-0000-0000-0000FD650000}"/>
    <cellStyle name="Normal 2 32 4" xfId="26875" xr:uid="{00000000-0005-0000-0000-0000FE650000}"/>
    <cellStyle name="Normal 2 32 4 2" xfId="26876" xr:uid="{00000000-0005-0000-0000-0000FF650000}"/>
    <cellStyle name="Normal 2 32 4 3" xfId="26877" xr:uid="{00000000-0005-0000-0000-000000660000}"/>
    <cellStyle name="Normal 2 32 4 4" xfId="26878" xr:uid="{00000000-0005-0000-0000-000001660000}"/>
    <cellStyle name="Normal 2 32 4 5" xfId="26879" xr:uid="{00000000-0005-0000-0000-000002660000}"/>
    <cellStyle name="Normal 2 32 4 6" xfId="26880" xr:uid="{00000000-0005-0000-0000-000003660000}"/>
    <cellStyle name="Normal 2 32 5" xfId="26881" xr:uid="{00000000-0005-0000-0000-000004660000}"/>
    <cellStyle name="Normal 2 32 5 2" xfId="26882" xr:uid="{00000000-0005-0000-0000-000005660000}"/>
    <cellStyle name="Normal 2 32 5 3" xfId="26883" xr:uid="{00000000-0005-0000-0000-000006660000}"/>
    <cellStyle name="Normal 2 32 5 4" xfId="26884" xr:uid="{00000000-0005-0000-0000-000007660000}"/>
    <cellStyle name="Normal 2 32 5 5" xfId="26885" xr:uid="{00000000-0005-0000-0000-000008660000}"/>
    <cellStyle name="Normal 2 32 5 6" xfId="26886" xr:uid="{00000000-0005-0000-0000-000009660000}"/>
    <cellStyle name="Normal 2 32 6" xfId="26887" xr:uid="{00000000-0005-0000-0000-00000A660000}"/>
    <cellStyle name="Normal 2 32 6 2" xfId="26888" xr:uid="{00000000-0005-0000-0000-00000B660000}"/>
    <cellStyle name="Normal 2 32 6 3" xfId="26889" xr:uid="{00000000-0005-0000-0000-00000C660000}"/>
    <cellStyle name="Normal 2 32 6 4" xfId="26890" xr:uid="{00000000-0005-0000-0000-00000D660000}"/>
    <cellStyle name="Normal 2 32 6 5" xfId="26891" xr:uid="{00000000-0005-0000-0000-00000E660000}"/>
    <cellStyle name="Normal 2 32 6 6" xfId="26892" xr:uid="{00000000-0005-0000-0000-00000F660000}"/>
    <cellStyle name="Normal 2 32 7" xfId="26893" xr:uid="{00000000-0005-0000-0000-000010660000}"/>
    <cellStyle name="Normal 2 32 7 2" xfId="26894" xr:uid="{00000000-0005-0000-0000-000011660000}"/>
    <cellStyle name="Normal 2 32 7 3" xfId="26895" xr:uid="{00000000-0005-0000-0000-000012660000}"/>
    <cellStyle name="Normal 2 32 7 4" xfId="26896" xr:uid="{00000000-0005-0000-0000-000013660000}"/>
    <cellStyle name="Normal 2 32 7 5" xfId="26897" xr:uid="{00000000-0005-0000-0000-000014660000}"/>
    <cellStyle name="Normal 2 32 7 6" xfId="26898" xr:uid="{00000000-0005-0000-0000-000015660000}"/>
    <cellStyle name="Normal 2 32 8" xfId="26899" xr:uid="{00000000-0005-0000-0000-000016660000}"/>
    <cellStyle name="Normal 2 32 8 2" xfId="26900" xr:uid="{00000000-0005-0000-0000-000017660000}"/>
    <cellStyle name="Normal 2 32 8 3" xfId="26901" xr:uid="{00000000-0005-0000-0000-000018660000}"/>
    <cellStyle name="Normal 2 32 8 4" xfId="26902" xr:uid="{00000000-0005-0000-0000-000019660000}"/>
    <cellStyle name="Normal 2 32 8 5" xfId="26903" xr:uid="{00000000-0005-0000-0000-00001A660000}"/>
    <cellStyle name="Normal 2 32 8 6" xfId="26904" xr:uid="{00000000-0005-0000-0000-00001B660000}"/>
    <cellStyle name="Normal 2 32 9" xfId="26905" xr:uid="{00000000-0005-0000-0000-00001C660000}"/>
    <cellStyle name="Normal 2 33" xfId="26906" xr:uid="{00000000-0005-0000-0000-00001D660000}"/>
    <cellStyle name="Normal 2 33 10" xfId="26907" xr:uid="{00000000-0005-0000-0000-00001E660000}"/>
    <cellStyle name="Normal 2 33 11" xfId="26908" xr:uid="{00000000-0005-0000-0000-00001F660000}"/>
    <cellStyle name="Normal 2 33 12" xfId="26909" xr:uid="{00000000-0005-0000-0000-000020660000}"/>
    <cellStyle name="Normal 2 33 13" xfId="26910" xr:uid="{00000000-0005-0000-0000-000021660000}"/>
    <cellStyle name="Normal 2 33 14" xfId="26911" xr:uid="{00000000-0005-0000-0000-000022660000}"/>
    <cellStyle name="Normal 2 33 2" xfId="26912" xr:uid="{00000000-0005-0000-0000-000023660000}"/>
    <cellStyle name="Normal 2 33 2 2" xfId="26913" xr:uid="{00000000-0005-0000-0000-000024660000}"/>
    <cellStyle name="Normal 2 33 2 3" xfId="26914" xr:uid="{00000000-0005-0000-0000-000025660000}"/>
    <cellStyle name="Normal 2 33 2 4" xfId="26915" xr:uid="{00000000-0005-0000-0000-000026660000}"/>
    <cellStyle name="Normal 2 33 2 5" xfId="26916" xr:uid="{00000000-0005-0000-0000-000027660000}"/>
    <cellStyle name="Normal 2 33 2 6" xfId="26917" xr:uid="{00000000-0005-0000-0000-000028660000}"/>
    <cellStyle name="Normal 2 33 3" xfId="26918" xr:uid="{00000000-0005-0000-0000-000029660000}"/>
    <cellStyle name="Normal 2 33 3 2" xfId="26919" xr:uid="{00000000-0005-0000-0000-00002A660000}"/>
    <cellStyle name="Normal 2 33 3 3" xfId="26920" xr:uid="{00000000-0005-0000-0000-00002B660000}"/>
    <cellStyle name="Normal 2 33 3 4" xfId="26921" xr:uid="{00000000-0005-0000-0000-00002C660000}"/>
    <cellStyle name="Normal 2 33 3 5" xfId="26922" xr:uid="{00000000-0005-0000-0000-00002D660000}"/>
    <cellStyle name="Normal 2 33 3 6" xfId="26923" xr:uid="{00000000-0005-0000-0000-00002E660000}"/>
    <cellStyle name="Normal 2 33 4" xfId="26924" xr:uid="{00000000-0005-0000-0000-00002F660000}"/>
    <cellStyle name="Normal 2 33 4 2" xfId="26925" xr:uid="{00000000-0005-0000-0000-000030660000}"/>
    <cellStyle name="Normal 2 33 4 3" xfId="26926" xr:uid="{00000000-0005-0000-0000-000031660000}"/>
    <cellStyle name="Normal 2 33 4 4" xfId="26927" xr:uid="{00000000-0005-0000-0000-000032660000}"/>
    <cellStyle name="Normal 2 33 4 5" xfId="26928" xr:uid="{00000000-0005-0000-0000-000033660000}"/>
    <cellStyle name="Normal 2 33 4 6" xfId="26929" xr:uid="{00000000-0005-0000-0000-000034660000}"/>
    <cellStyle name="Normal 2 33 5" xfId="26930" xr:uid="{00000000-0005-0000-0000-000035660000}"/>
    <cellStyle name="Normal 2 33 5 2" xfId="26931" xr:uid="{00000000-0005-0000-0000-000036660000}"/>
    <cellStyle name="Normal 2 33 5 3" xfId="26932" xr:uid="{00000000-0005-0000-0000-000037660000}"/>
    <cellStyle name="Normal 2 33 5 4" xfId="26933" xr:uid="{00000000-0005-0000-0000-000038660000}"/>
    <cellStyle name="Normal 2 33 5 5" xfId="26934" xr:uid="{00000000-0005-0000-0000-000039660000}"/>
    <cellStyle name="Normal 2 33 5 6" xfId="26935" xr:uid="{00000000-0005-0000-0000-00003A660000}"/>
    <cellStyle name="Normal 2 33 6" xfId="26936" xr:uid="{00000000-0005-0000-0000-00003B660000}"/>
    <cellStyle name="Normal 2 33 6 2" xfId="26937" xr:uid="{00000000-0005-0000-0000-00003C660000}"/>
    <cellStyle name="Normal 2 33 6 3" xfId="26938" xr:uid="{00000000-0005-0000-0000-00003D660000}"/>
    <cellStyle name="Normal 2 33 6 4" xfId="26939" xr:uid="{00000000-0005-0000-0000-00003E660000}"/>
    <cellStyle name="Normal 2 33 6 5" xfId="26940" xr:uid="{00000000-0005-0000-0000-00003F660000}"/>
    <cellStyle name="Normal 2 33 6 6" xfId="26941" xr:uid="{00000000-0005-0000-0000-000040660000}"/>
    <cellStyle name="Normal 2 33 7" xfId="26942" xr:uid="{00000000-0005-0000-0000-000041660000}"/>
    <cellStyle name="Normal 2 33 7 2" xfId="26943" xr:uid="{00000000-0005-0000-0000-000042660000}"/>
    <cellStyle name="Normal 2 33 7 3" xfId="26944" xr:uid="{00000000-0005-0000-0000-000043660000}"/>
    <cellStyle name="Normal 2 33 7 4" xfId="26945" xr:uid="{00000000-0005-0000-0000-000044660000}"/>
    <cellStyle name="Normal 2 33 7 5" xfId="26946" xr:uid="{00000000-0005-0000-0000-000045660000}"/>
    <cellStyle name="Normal 2 33 7 6" xfId="26947" xr:uid="{00000000-0005-0000-0000-000046660000}"/>
    <cellStyle name="Normal 2 33 8" xfId="26948" xr:uid="{00000000-0005-0000-0000-000047660000}"/>
    <cellStyle name="Normal 2 33 8 2" xfId="26949" xr:uid="{00000000-0005-0000-0000-000048660000}"/>
    <cellStyle name="Normal 2 33 8 3" xfId="26950" xr:uid="{00000000-0005-0000-0000-000049660000}"/>
    <cellStyle name="Normal 2 33 8 4" xfId="26951" xr:uid="{00000000-0005-0000-0000-00004A660000}"/>
    <cellStyle name="Normal 2 33 8 5" xfId="26952" xr:uid="{00000000-0005-0000-0000-00004B660000}"/>
    <cellStyle name="Normal 2 33 8 6" xfId="26953" xr:uid="{00000000-0005-0000-0000-00004C660000}"/>
    <cellStyle name="Normal 2 33 9" xfId="26954" xr:uid="{00000000-0005-0000-0000-00004D660000}"/>
    <cellStyle name="Normal 2 34" xfId="26955" xr:uid="{00000000-0005-0000-0000-00004E660000}"/>
    <cellStyle name="Normal 2 34 10" xfId="26956" xr:uid="{00000000-0005-0000-0000-00004F660000}"/>
    <cellStyle name="Normal 2 34 11" xfId="26957" xr:uid="{00000000-0005-0000-0000-000050660000}"/>
    <cellStyle name="Normal 2 34 12" xfId="26958" xr:uid="{00000000-0005-0000-0000-000051660000}"/>
    <cellStyle name="Normal 2 34 13" xfId="26959" xr:uid="{00000000-0005-0000-0000-000052660000}"/>
    <cellStyle name="Normal 2 34 14" xfId="26960" xr:uid="{00000000-0005-0000-0000-000053660000}"/>
    <cellStyle name="Normal 2 34 2" xfId="26961" xr:uid="{00000000-0005-0000-0000-000054660000}"/>
    <cellStyle name="Normal 2 34 2 2" xfId="26962" xr:uid="{00000000-0005-0000-0000-000055660000}"/>
    <cellStyle name="Normal 2 34 2 3" xfId="26963" xr:uid="{00000000-0005-0000-0000-000056660000}"/>
    <cellStyle name="Normal 2 34 2 4" xfId="26964" xr:uid="{00000000-0005-0000-0000-000057660000}"/>
    <cellStyle name="Normal 2 34 2 5" xfId="26965" xr:uid="{00000000-0005-0000-0000-000058660000}"/>
    <cellStyle name="Normal 2 34 2 6" xfId="26966" xr:uid="{00000000-0005-0000-0000-000059660000}"/>
    <cellStyle name="Normal 2 34 3" xfId="26967" xr:uid="{00000000-0005-0000-0000-00005A660000}"/>
    <cellStyle name="Normal 2 34 3 2" xfId="26968" xr:uid="{00000000-0005-0000-0000-00005B660000}"/>
    <cellStyle name="Normal 2 34 3 3" xfId="26969" xr:uid="{00000000-0005-0000-0000-00005C660000}"/>
    <cellStyle name="Normal 2 34 3 4" xfId="26970" xr:uid="{00000000-0005-0000-0000-00005D660000}"/>
    <cellStyle name="Normal 2 34 3 5" xfId="26971" xr:uid="{00000000-0005-0000-0000-00005E660000}"/>
    <cellStyle name="Normal 2 34 3 6" xfId="26972" xr:uid="{00000000-0005-0000-0000-00005F660000}"/>
    <cellStyle name="Normal 2 34 4" xfId="26973" xr:uid="{00000000-0005-0000-0000-000060660000}"/>
    <cellStyle name="Normal 2 34 4 2" xfId="26974" xr:uid="{00000000-0005-0000-0000-000061660000}"/>
    <cellStyle name="Normal 2 34 4 3" xfId="26975" xr:uid="{00000000-0005-0000-0000-000062660000}"/>
    <cellStyle name="Normal 2 34 4 4" xfId="26976" xr:uid="{00000000-0005-0000-0000-000063660000}"/>
    <cellStyle name="Normal 2 34 4 5" xfId="26977" xr:uid="{00000000-0005-0000-0000-000064660000}"/>
    <cellStyle name="Normal 2 34 4 6" xfId="26978" xr:uid="{00000000-0005-0000-0000-000065660000}"/>
    <cellStyle name="Normal 2 34 5" xfId="26979" xr:uid="{00000000-0005-0000-0000-000066660000}"/>
    <cellStyle name="Normal 2 34 5 2" xfId="26980" xr:uid="{00000000-0005-0000-0000-000067660000}"/>
    <cellStyle name="Normal 2 34 5 3" xfId="26981" xr:uid="{00000000-0005-0000-0000-000068660000}"/>
    <cellStyle name="Normal 2 34 5 4" xfId="26982" xr:uid="{00000000-0005-0000-0000-000069660000}"/>
    <cellStyle name="Normal 2 34 5 5" xfId="26983" xr:uid="{00000000-0005-0000-0000-00006A660000}"/>
    <cellStyle name="Normal 2 34 5 6" xfId="26984" xr:uid="{00000000-0005-0000-0000-00006B660000}"/>
    <cellStyle name="Normal 2 34 6" xfId="26985" xr:uid="{00000000-0005-0000-0000-00006C660000}"/>
    <cellStyle name="Normal 2 34 6 2" xfId="26986" xr:uid="{00000000-0005-0000-0000-00006D660000}"/>
    <cellStyle name="Normal 2 34 6 3" xfId="26987" xr:uid="{00000000-0005-0000-0000-00006E660000}"/>
    <cellStyle name="Normal 2 34 6 4" xfId="26988" xr:uid="{00000000-0005-0000-0000-00006F660000}"/>
    <cellStyle name="Normal 2 34 6 5" xfId="26989" xr:uid="{00000000-0005-0000-0000-000070660000}"/>
    <cellStyle name="Normal 2 34 6 6" xfId="26990" xr:uid="{00000000-0005-0000-0000-000071660000}"/>
    <cellStyle name="Normal 2 34 7" xfId="26991" xr:uid="{00000000-0005-0000-0000-000072660000}"/>
    <cellStyle name="Normal 2 34 7 2" xfId="26992" xr:uid="{00000000-0005-0000-0000-000073660000}"/>
    <cellStyle name="Normal 2 34 7 3" xfId="26993" xr:uid="{00000000-0005-0000-0000-000074660000}"/>
    <cellStyle name="Normal 2 34 7 4" xfId="26994" xr:uid="{00000000-0005-0000-0000-000075660000}"/>
    <cellStyle name="Normal 2 34 7 5" xfId="26995" xr:uid="{00000000-0005-0000-0000-000076660000}"/>
    <cellStyle name="Normal 2 34 7 6" xfId="26996" xr:uid="{00000000-0005-0000-0000-000077660000}"/>
    <cellStyle name="Normal 2 34 8" xfId="26997" xr:uid="{00000000-0005-0000-0000-000078660000}"/>
    <cellStyle name="Normal 2 34 8 2" xfId="26998" xr:uid="{00000000-0005-0000-0000-000079660000}"/>
    <cellStyle name="Normal 2 34 8 3" xfId="26999" xr:uid="{00000000-0005-0000-0000-00007A660000}"/>
    <cellStyle name="Normal 2 34 8 4" xfId="27000" xr:uid="{00000000-0005-0000-0000-00007B660000}"/>
    <cellStyle name="Normal 2 34 8 5" xfId="27001" xr:uid="{00000000-0005-0000-0000-00007C660000}"/>
    <cellStyle name="Normal 2 34 8 6" xfId="27002" xr:uid="{00000000-0005-0000-0000-00007D660000}"/>
    <cellStyle name="Normal 2 34 9" xfId="27003" xr:uid="{00000000-0005-0000-0000-00007E660000}"/>
    <cellStyle name="Normal 2 35" xfId="27004" xr:uid="{00000000-0005-0000-0000-00007F660000}"/>
    <cellStyle name="Normal 2 35 10" xfId="27005" xr:uid="{00000000-0005-0000-0000-000080660000}"/>
    <cellStyle name="Normal 2 35 11" xfId="27006" xr:uid="{00000000-0005-0000-0000-000081660000}"/>
    <cellStyle name="Normal 2 35 12" xfId="27007" xr:uid="{00000000-0005-0000-0000-000082660000}"/>
    <cellStyle name="Normal 2 35 13" xfId="27008" xr:uid="{00000000-0005-0000-0000-000083660000}"/>
    <cellStyle name="Normal 2 35 14" xfId="27009" xr:uid="{00000000-0005-0000-0000-000084660000}"/>
    <cellStyle name="Normal 2 35 2" xfId="27010" xr:uid="{00000000-0005-0000-0000-000085660000}"/>
    <cellStyle name="Normal 2 35 2 2" xfId="27011" xr:uid="{00000000-0005-0000-0000-000086660000}"/>
    <cellStyle name="Normal 2 35 2 3" xfId="27012" xr:uid="{00000000-0005-0000-0000-000087660000}"/>
    <cellStyle name="Normal 2 35 2 4" xfId="27013" xr:uid="{00000000-0005-0000-0000-000088660000}"/>
    <cellStyle name="Normal 2 35 2 5" xfId="27014" xr:uid="{00000000-0005-0000-0000-000089660000}"/>
    <cellStyle name="Normal 2 35 2 6" xfId="27015" xr:uid="{00000000-0005-0000-0000-00008A660000}"/>
    <cellStyle name="Normal 2 35 3" xfId="27016" xr:uid="{00000000-0005-0000-0000-00008B660000}"/>
    <cellStyle name="Normal 2 35 3 2" xfId="27017" xr:uid="{00000000-0005-0000-0000-00008C660000}"/>
    <cellStyle name="Normal 2 35 3 3" xfId="27018" xr:uid="{00000000-0005-0000-0000-00008D660000}"/>
    <cellStyle name="Normal 2 35 3 4" xfId="27019" xr:uid="{00000000-0005-0000-0000-00008E660000}"/>
    <cellStyle name="Normal 2 35 3 5" xfId="27020" xr:uid="{00000000-0005-0000-0000-00008F660000}"/>
    <cellStyle name="Normal 2 35 3 6" xfId="27021" xr:uid="{00000000-0005-0000-0000-000090660000}"/>
    <cellStyle name="Normal 2 35 4" xfId="27022" xr:uid="{00000000-0005-0000-0000-000091660000}"/>
    <cellStyle name="Normal 2 35 4 2" xfId="27023" xr:uid="{00000000-0005-0000-0000-000092660000}"/>
    <cellStyle name="Normal 2 35 4 3" xfId="27024" xr:uid="{00000000-0005-0000-0000-000093660000}"/>
    <cellStyle name="Normal 2 35 4 4" xfId="27025" xr:uid="{00000000-0005-0000-0000-000094660000}"/>
    <cellStyle name="Normal 2 35 4 5" xfId="27026" xr:uid="{00000000-0005-0000-0000-000095660000}"/>
    <cellStyle name="Normal 2 35 4 6" xfId="27027" xr:uid="{00000000-0005-0000-0000-000096660000}"/>
    <cellStyle name="Normal 2 35 5" xfId="27028" xr:uid="{00000000-0005-0000-0000-000097660000}"/>
    <cellStyle name="Normal 2 35 5 2" xfId="27029" xr:uid="{00000000-0005-0000-0000-000098660000}"/>
    <cellStyle name="Normal 2 35 5 3" xfId="27030" xr:uid="{00000000-0005-0000-0000-000099660000}"/>
    <cellStyle name="Normal 2 35 5 4" xfId="27031" xr:uid="{00000000-0005-0000-0000-00009A660000}"/>
    <cellStyle name="Normal 2 35 5 5" xfId="27032" xr:uid="{00000000-0005-0000-0000-00009B660000}"/>
    <cellStyle name="Normal 2 35 5 6" xfId="27033" xr:uid="{00000000-0005-0000-0000-00009C660000}"/>
    <cellStyle name="Normal 2 35 6" xfId="27034" xr:uid="{00000000-0005-0000-0000-00009D660000}"/>
    <cellStyle name="Normal 2 35 6 2" xfId="27035" xr:uid="{00000000-0005-0000-0000-00009E660000}"/>
    <cellStyle name="Normal 2 35 6 3" xfId="27036" xr:uid="{00000000-0005-0000-0000-00009F660000}"/>
    <cellStyle name="Normal 2 35 6 4" xfId="27037" xr:uid="{00000000-0005-0000-0000-0000A0660000}"/>
    <cellStyle name="Normal 2 35 6 5" xfId="27038" xr:uid="{00000000-0005-0000-0000-0000A1660000}"/>
    <cellStyle name="Normal 2 35 6 6" xfId="27039" xr:uid="{00000000-0005-0000-0000-0000A2660000}"/>
    <cellStyle name="Normal 2 35 7" xfId="27040" xr:uid="{00000000-0005-0000-0000-0000A3660000}"/>
    <cellStyle name="Normal 2 35 7 2" xfId="27041" xr:uid="{00000000-0005-0000-0000-0000A4660000}"/>
    <cellStyle name="Normal 2 35 7 3" xfId="27042" xr:uid="{00000000-0005-0000-0000-0000A5660000}"/>
    <cellStyle name="Normal 2 35 7 4" xfId="27043" xr:uid="{00000000-0005-0000-0000-0000A6660000}"/>
    <cellStyle name="Normal 2 35 7 5" xfId="27044" xr:uid="{00000000-0005-0000-0000-0000A7660000}"/>
    <cellStyle name="Normal 2 35 7 6" xfId="27045" xr:uid="{00000000-0005-0000-0000-0000A8660000}"/>
    <cellStyle name="Normal 2 35 8" xfId="27046" xr:uid="{00000000-0005-0000-0000-0000A9660000}"/>
    <cellStyle name="Normal 2 35 8 2" xfId="27047" xr:uid="{00000000-0005-0000-0000-0000AA660000}"/>
    <cellStyle name="Normal 2 35 8 3" xfId="27048" xr:uid="{00000000-0005-0000-0000-0000AB660000}"/>
    <cellStyle name="Normal 2 35 8 4" xfId="27049" xr:uid="{00000000-0005-0000-0000-0000AC660000}"/>
    <cellStyle name="Normal 2 35 8 5" xfId="27050" xr:uid="{00000000-0005-0000-0000-0000AD660000}"/>
    <cellStyle name="Normal 2 35 8 6" xfId="27051" xr:uid="{00000000-0005-0000-0000-0000AE660000}"/>
    <cellStyle name="Normal 2 35 9" xfId="27052" xr:uid="{00000000-0005-0000-0000-0000AF660000}"/>
    <cellStyle name="Normal 2 36" xfId="27053" xr:uid="{00000000-0005-0000-0000-0000B0660000}"/>
    <cellStyle name="Normal 2 36 10" xfId="27054" xr:uid="{00000000-0005-0000-0000-0000B1660000}"/>
    <cellStyle name="Normal 2 36 11" xfId="27055" xr:uid="{00000000-0005-0000-0000-0000B2660000}"/>
    <cellStyle name="Normal 2 36 12" xfId="27056" xr:uid="{00000000-0005-0000-0000-0000B3660000}"/>
    <cellStyle name="Normal 2 36 13" xfId="27057" xr:uid="{00000000-0005-0000-0000-0000B4660000}"/>
    <cellStyle name="Normal 2 36 14" xfId="27058" xr:uid="{00000000-0005-0000-0000-0000B5660000}"/>
    <cellStyle name="Normal 2 36 2" xfId="27059" xr:uid="{00000000-0005-0000-0000-0000B6660000}"/>
    <cellStyle name="Normal 2 36 2 2" xfId="27060" xr:uid="{00000000-0005-0000-0000-0000B7660000}"/>
    <cellStyle name="Normal 2 36 2 3" xfId="27061" xr:uid="{00000000-0005-0000-0000-0000B8660000}"/>
    <cellStyle name="Normal 2 36 2 4" xfId="27062" xr:uid="{00000000-0005-0000-0000-0000B9660000}"/>
    <cellStyle name="Normal 2 36 2 5" xfId="27063" xr:uid="{00000000-0005-0000-0000-0000BA660000}"/>
    <cellStyle name="Normal 2 36 2 6" xfId="27064" xr:uid="{00000000-0005-0000-0000-0000BB660000}"/>
    <cellStyle name="Normal 2 36 3" xfId="27065" xr:uid="{00000000-0005-0000-0000-0000BC660000}"/>
    <cellStyle name="Normal 2 36 3 2" xfId="27066" xr:uid="{00000000-0005-0000-0000-0000BD660000}"/>
    <cellStyle name="Normal 2 36 3 3" xfId="27067" xr:uid="{00000000-0005-0000-0000-0000BE660000}"/>
    <cellStyle name="Normal 2 36 3 4" xfId="27068" xr:uid="{00000000-0005-0000-0000-0000BF660000}"/>
    <cellStyle name="Normal 2 36 3 5" xfId="27069" xr:uid="{00000000-0005-0000-0000-0000C0660000}"/>
    <cellStyle name="Normal 2 36 3 6" xfId="27070" xr:uid="{00000000-0005-0000-0000-0000C1660000}"/>
    <cellStyle name="Normal 2 36 4" xfId="27071" xr:uid="{00000000-0005-0000-0000-0000C2660000}"/>
    <cellStyle name="Normal 2 36 4 2" xfId="27072" xr:uid="{00000000-0005-0000-0000-0000C3660000}"/>
    <cellStyle name="Normal 2 36 4 3" xfId="27073" xr:uid="{00000000-0005-0000-0000-0000C4660000}"/>
    <cellStyle name="Normal 2 36 4 4" xfId="27074" xr:uid="{00000000-0005-0000-0000-0000C5660000}"/>
    <cellStyle name="Normal 2 36 4 5" xfId="27075" xr:uid="{00000000-0005-0000-0000-0000C6660000}"/>
    <cellStyle name="Normal 2 36 4 6" xfId="27076" xr:uid="{00000000-0005-0000-0000-0000C7660000}"/>
    <cellStyle name="Normal 2 36 5" xfId="27077" xr:uid="{00000000-0005-0000-0000-0000C8660000}"/>
    <cellStyle name="Normal 2 36 5 2" xfId="27078" xr:uid="{00000000-0005-0000-0000-0000C9660000}"/>
    <cellStyle name="Normal 2 36 5 3" xfId="27079" xr:uid="{00000000-0005-0000-0000-0000CA660000}"/>
    <cellStyle name="Normal 2 36 5 4" xfId="27080" xr:uid="{00000000-0005-0000-0000-0000CB660000}"/>
    <cellStyle name="Normal 2 36 5 5" xfId="27081" xr:uid="{00000000-0005-0000-0000-0000CC660000}"/>
    <cellStyle name="Normal 2 36 5 6" xfId="27082" xr:uid="{00000000-0005-0000-0000-0000CD660000}"/>
    <cellStyle name="Normal 2 36 6" xfId="27083" xr:uid="{00000000-0005-0000-0000-0000CE660000}"/>
    <cellStyle name="Normal 2 36 6 2" xfId="27084" xr:uid="{00000000-0005-0000-0000-0000CF660000}"/>
    <cellStyle name="Normal 2 36 6 3" xfId="27085" xr:uid="{00000000-0005-0000-0000-0000D0660000}"/>
    <cellStyle name="Normal 2 36 6 4" xfId="27086" xr:uid="{00000000-0005-0000-0000-0000D1660000}"/>
    <cellStyle name="Normal 2 36 6 5" xfId="27087" xr:uid="{00000000-0005-0000-0000-0000D2660000}"/>
    <cellStyle name="Normal 2 36 6 6" xfId="27088" xr:uid="{00000000-0005-0000-0000-0000D3660000}"/>
    <cellStyle name="Normal 2 36 7" xfId="27089" xr:uid="{00000000-0005-0000-0000-0000D4660000}"/>
    <cellStyle name="Normal 2 36 7 2" xfId="27090" xr:uid="{00000000-0005-0000-0000-0000D5660000}"/>
    <cellStyle name="Normal 2 36 7 3" xfId="27091" xr:uid="{00000000-0005-0000-0000-0000D6660000}"/>
    <cellStyle name="Normal 2 36 7 4" xfId="27092" xr:uid="{00000000-0005-0000-0000-0000D7660000}"/>
    <cellStyle name="Normal 2 36 7 5" xfId="27093" xr:uid="{00000000-0005-0000-0000-0000D8660000}"/>
    <cellStyle name="Normal 2 36 7 6" xfId="27094" xr:uid="{00000000-0005-0000-0000-0000D9660000}"/>
    <cellStyle name="Normal 2 36 8" xfId="27095" xr:uid="{00000000-0005-0000-0000-0000DA660000}"/>
    <cellStyle name="Normal 2 36 8 2" xfId="27096" xr:uid="{00000000-0005-0000-0000-0000DB660000}"/>
    <cellStyle name="Normal 2 36 8 3" xfId="27097" xr:uid="{00000000-0005-0000-0000-0000DC660000}"/>
    <cellStyle name="Normal 2 36 8 4" xfId="27098" xr:uid="{00000000-0005-0000-0000-0000DD660000}"/>
    <cellStyle name="Normal 2 36 8 5" xfId="27099" xr:uid="{00000000-0005-0000-0000-0000DE660000}"/>
    <cellStyle name="Normal 2 36 8 6" xfId="27100" xr:uid="{00000000-0005-0000-0000-0000DF660000}"/>
    <cellStyle name="Normal 2 36 9" xfId="27101" xr:uid="{00000000-0005-0000-0000-0000E0660000}"/>
    <cellStyle name="Normal 2 37" xfId="27102" xr:uid="{00000000-0005-0000-0000-0000E1660000}"/>
    <cellStyle name="Normal 2 37 10" xfId="27103" xr:uid="{00000000-0005-0000-0000-0000E2660000}"/>
    <cellStyle name="Normal 2 37 11" xfId="27104" xr:uid="{00000000-0005-0000-0000-0000E3660000}"/>
    <cellStyle name="Normal 2 37 12" xfId="27105" xr:uid="{00000000-0005-0000-0000-0000E4660000}"/>
    <cellStyle name="Normal 2 37 13" xfId="27106" xr:uid="{00000000-0005-0000-0000-0000E5660000}"/>
    <cellStyle name="Normal 2 37 14" xfId="27107" xr:uid="{00000000-0005-0000-0000-0000E6660000}"/>
    <cellStyle name="Normal 2 37 2" xfId="27108" xr:uid="{00000000-0005-0000-0000-0000E7660000}"/>
    <cellStyle name="Normal 2 37 2 2" xfId="27109" xr:uid="{00000000-0005-0000-0000-0000E8660000}"/>
    <cellStyle name="Normal 2 37 2 3" xfId="27110" xr:uid="{00000000-0005-0000-0000-0000E9660000}"/>
    <cellStyle name="Normal 2 37 2 4" xfId="27111" xr:uid="{00000000-0005-0000-0000-0000EA660000}"/>
    <cellStyle name="Normal 2 37 2 5" xfId="27112" xr:uid="{00000000-0005-0000-0000-0000EB660000}"/>
    <cellStyle name="Normal 2 37 2 6" xfId="27113" xr:uid="{00000000-0005-0000-0000-0000EC660000}"/>
    <cellStyle name="Normal 2 37 3" xfId="27114" xr:uid="{00000000-0005-0000-0000-0000ED660000}"/>
    <cellStyle name="Normal 2 37 3 2" xfId="27115" xr:uid="{00000000-0005-0000-0000-0000EE660000}"/>
    <cellStyle name="Normal 2 37 3 3" xfId="27116" xr:uid="{00000000-0005-0000-0000-0000EF660000}"/>
    <cellStyle name="Normal 2 37 3 4" xfId="27117" xr:uid="{00000000-0005-0000-0000-0000F0660000}"/>
    <cellStyle name="Normal 2 37 3 5" xfId="27118" xr:uid="{00000000-0005-0000-0000-0000F1660000}"/>
    <cellStyle name="Normal 2 37 3 6" xfId="27119" xr:uid="{00000000-0005-0000-0000-0000F2660000}"/>
    <cellStyle name="Normal 2 37 4" xfId="27120" xr:uid="{00000000-0005-0000-0000-0000F3660000}"/>
    <cellStyle name="Normal 2 37 4 2" xfId="27121" xr:uid="{00000000-0005-0000-0000-0000F4660000}"/>
    <cellStyle name="Normal 2 37 4 3" xfId="27122" xr:uid="{00000000-0005-0000-0000-0000F5660000}"/>
    <cellStyle name="Normal 2 37 4 4" xfId="27123" xr:uid="{00000000-0005-0000-0000-0000F6660000}"/>
    <cellStyle name="Normal 2 37 4 5" xfId="27124" xr:uid="{00000000-0005-0000-0000-0000F7660000}"/>
    <cellStyle name="Normal 2 37 4 6" xfId="27125" xr:uid="{00000000-0005-0000-0000-0000F8660000}"/>
    <cellStyle name="Normal 2 37 5" xfId="27126" xr:uid="{00000000-0005-0000-0000-0000F9660000}"/>
    <cellStyle name="Normal 2 37 5 2" xfId="27127" xr:uid="{00000000-0005-0000-0000-0000FA660000}"/>
    <cellStyle name="Normal 2 37 5 3" xfId="27128" xr:uid="{00000000-0005-0000-0000-0000FB660000}"/>
    <cellStyle name="Normal 2 37 5 4" xfId="27129" xr:uid="{00000000-0005-0000-0000-0000FC660000}"/>
    <cellStyle name="Normal 2 37 5 5" xfId="27130" xr:uid="{00000000-0005-0000-0000-0000FD660000}"/>
    <cellStyle name="Normal 2 37 5 6" xfId="27131" xr:uid="{00000000-0005-0000-0000-0000FE660000}"/>
    <cellStyle name="Normal 2 37 6" xfId="27132" xr:uid="{00000000-0005-0000-0000-0000FF660000}"/>
    <cellStyle name="Normal 2 37 6 2" xfId="27133" xr:uid="{00000000-0005-0000-0000-000000670000}"/>
    <cellStyle name="Normal 2 37 6 3" xfId="27134" xr:uid="{00000000-0005-0000-0000-000001670000}"/>
    <cellStyle name="Normal 2 37 6 4" xfId="27135" xr:uid="{00000000-0005-0000-0000-000002670000}"/>
    <cellStyle name="Normal 2 37 6 5" xfId="27136" xr:uid="{00000000-0005-0000-0000-000003670000}"/>
    <cellStyle name="Normal 2 37 6 6" xfId="27137" xr:uid="{00000000-0005-0000-0000-000004670000}"/>
    <cellStyle name="Normal 2 37 7" xfId="27138" xr:uid="{00000000-0005-0000-0000-000005670000}"/>
    <cellStyle name="Normal 2 37 7 2" xfId="27139" xr:uid="{00000000-0005-0000-0000-000006670000}"/>
    <cellStyle name="Normal 2 37 7 3" xfId="27140" xr:uid="{00000000-0005-0000-0000-000007670000}"/>
    <cellStyle name="Normal 2 37 7 4" xfId="27141" xr:uid="{00000000-0005-0000-0000-000008670000}"/>
    <cellStyle name="Normal 2 37 7 5" xfId="27142" xr:uid="{00000000-0005-0000-0000-000009670000}"/>
    <cellStyle name="Normal 2 37 7 6" xfId="27143" xr:uid="{00000000-0005-0000-0000-00000A670000}"/>
    <cellStyle name="Normal 2 37 8" xfId="27144" xr:uid="{00000000-0005-0000-0000-00000B670000}"/>
    <cellStyle name="Normal 2 37 8 2" xfId="27145" xr:uid="{00000000-0005-0000-0000-00000C670000}"/>
    <cellStyle name="Normal 2 37 8 3" xfId="27146" xr:uid="{00000000-0005-0000-0000-00000D670000}"/>
    <cellStyle name="Normal 2 37 8 4" xfId="27147" xr:uid="{00000000-0005-0000-0000-00000E670000}"/>
    <cellStyle name="Normal 2 37 8 5" xfId="27148" xr:uid="{00000000-0005-0000-0000-00000F670000}"/>
    <cellStyle name="Normal 2 37 8 6" xfId="27149" xr:uid="{00000000-0005-0000-0000-000010670000}"/>
    <cellStyle name="Normal 2 37 9" xfId="27150" xr:uid="{00000000-0005-0000-0000-000011670000}"/>
    <cellStyle name="Normal 2 38" xfId="27151" xr:uid="{00000000-0005-0000-0000-000012670000}"/>
    <cellStyle name="Normal 2 38 10" xfId="27152" xr:uid="{00000000-0005-0000-0000-000013670000}"/>
    <cellStyle name="Normal 2 38 11" xfId="27153" xr:uid="{00000000-0005-0000-0000-000014670000}"/>
    <cellStyle name="Normal 2 38 12" xfId="27154" xr:uid="{00000000-0005-0000-0000-000015670000}"/>
    <cellStyle name="Normal 2 38 13" xfId="27155" xr:uid="{00000000-0005-0000-0000-000016670000}"/>
    <cellStyle name="Normal 2 38 14" xfId="27156" xr:uid="{00000000-0005-0000-0000-000017670000}"/>
    <cellStyle name="Normal 2 38 2" xfId="27157" xr:uid="{00000000-0005-0000-0000-000018670000}"/>
    <cellStyle name="Normal 2 38 2 2" xfId="27158" xr:uid="{00000000-0005-0000-0000-000019670000}"/>
    <cellStyle name="Normal 2 38 2 3" xfId="27159" xr:uid="{00000000-0005-0000-0000-00001A670000}"/>
    <cellStyle name="Normal 2 38 2 4" xfId="27160" xr:uid="{00000000-0005-0000-0000-00001B670000}"/>
    <cellStyle name="Normal 2 38 2 5" xfId="27161" xr:uid="{00000000-0005-0000-0000-00001C670000}"/>
    <cellStyle name="Normal 2 38 2 6" xfId="27162" xr:uid="{00000000-0005-0000-0000-00001D670000}"/>
    <cellStyle name="Normal 2 38 3" xfId="27163" xr:uid="{00000000-0005-0000-0000-00001E670000}"/>
    <cellStyle name="Normal 2 38 3 2" xfId="27164" xr:uid="{00000000-0005-0000-0000-00001F670000}"/>
    <cellStyle name="Normal 2 38 3 3" xfId="27165" xr:uid="{00000000-0005-0000-0000-000020670000}"/>
    <cellStyle name="Normal 2 38 3 4" xfId="27166" xr:uid="{00000000-0005-0000-0000-000021670000}"/>
    <cellStyle name="Normal 2 38 3 5" xfId="27167" xr:uid="{00000000-0005-0000-0000-000022670000}"/>
    <cellStyle name="Normal 2 38 3 6" xfId="27168" xr:uid="{00000000-0005-0000-0000-000023670000}"/>
    <cellStyle name="Normal 2 38 4" xfId="27169" xr:uid="{00000000-0005-0000-0000-000024670000}"/>
    <cellStyle name="Normal 2 38 4 2" xfId="27170" xr:uid="{00000000-0005-0000-0000-000025670000}"/>
    <cellStyle name="Normal 2 38 4 3" xfId="27171" xr:uid="{00000000-0005-0000-0000-000026670000}"/>
    <cellStyle name="Normal 2 38 4 4" xfId="27172" xr:uid="{00000000-0005-0000-0000-000027670000}"/>
    <cellStyle name="Normal 2 38 4 5" xfId="27173" xr:uid="{00000000-0005-0000-0000-000028670000}"/>
    <cellStyle name="Normal 2 38 4 6" xfId="27174" xr:uid="{00000000-0005-0000-0000-000029670000}"/>
    <cellStyle name="Normal 2 38 5" xfId="27175" xr:uid="{00000000-0005-0000-0000-00002A670000}"/>
    <cellStyle name="Normal 2 38 5 2" xfId="27176" xr:uid="{00000000-0005-0000-0000-00002B670000}"/>
    <cellStyle name="Normal 2 38 5 3" xfId="27177" xr:uid="{00000000-0005-0000-0000-00002C670000}"/>
    <cellStyle name="Normal 2 38 5 4" xfId="27178" xr:uid="{00000000-0005-0000-0000-00002D670000}"/>
    <cellStyle name="Normal 2 38 5 5" xfId="27179" xr:uid="{00000000-0005-0000-0000-00002E670000}"/>
    <cellStyle name="Normal 2 38 5 6" xfId="27180" xr:uid="{00000000-0005-0000-0000-00002F670000}"/>
    <cellStyle name="Normal 2 38 6" xfId="27181" xr:uid="{00000000-0005-0000-0000-000030670000}"/>
    <cellStyle name="Normal 2 38 6 2" xfId="27182" xr:uid="{00000000-0005-0000-0000-000031670000}"/>
    <cellStyle name="Normal 2 38 6 3" xfId="27183" xr:uid="{00000000-0005-0000-0000-000032670000}"/>
    <cellStyle name="Normal 2 38 6 4" xfId="27184" xr:uid="{00000000-0005-0000-0000-000033670000}"/>
    <cellStyle name="Normal 2 38 6 5" xfId="27185" xr:uid="{00000000-0005-0000-0000-000034670000}"/>
    <cellStyle name="Normal 2 38 6 6" xfId="27186" xr:uid="{00000000-0005-0000-0000-000035670000}"/>
    <cellStyle name="Normal 2 38 7" xfId="27187" xr:uid="{00000000-0005-0000-0000-000036670000}"/>
    <cellStyle name="Normal 2 38 7 2" xfId="27188" xr:uid="{00000000-0005-0000-0000-000037670000}"/>
    <cellStyle name="Normal 2 38 7 3" xfId="27189" xr:uid="{00000000-0005-0000-0000-000038670000}"/>
    <cellStyle name="Normal 2 38 7 4" xfId="27190" xr:uid="{00000000-0005-0000-0000-000039670000}"/>
    <cellStyle name="Normal 2 38 7 5" xfId="27191" xr:uid="{00000000-0005-0000-0000-00003A670000}"/>
    <cellStyle name="Normal 2 38 7 6" xfId="27192" xr:uid="{00000000-0005-0000-0000-00003B670000}"/>
    <cellStyle name="Normal 2 38 8" xfId="27193" xr:uid="{00000000-0005-0000-0000-00003C670000}"/>
    <cellStyle name="Normal 2 38 8 2" xfId="27194" xr:uid="{00000000-0005-0000-0000-00003D670000}"/>
    <cellStyle name="Normal 2 38 8 3" xfId="27195" xr:uid="{00000000-0005-0000-0000-00003E670000}"/>
    <cellStyle name="Normal 2 38 8 4" xfId="27196" xr:uid="{00000000-0005-0000-0000-00003F670000}"/>
    <cellStyle name="Normal 2 38 8 5" xfId="27197" xr:uid="{00000000-0005-0000-0000-000040670000}"/>
    <cellStyle name="Normal 2 38 8 6" xfId="27198" xr:uid="{00000000-0005-0000-0000-000041670000}"/>
    <cellStyle name="Normal 2 38 9" xfId="27199" xr:uid="{00000000-0005-0000-0000-000042670000}"/>
    <cellStyle name="Normal 2 39" xfId="27200" xr:uid="{00000000-0005-0000-0000-000043670000}"/>
    <cellStyle name="Normal 2 39 10" xfId="27201" xr:uid="{00000000-0005-0000-0000-000044670000}"/>
    <cellStyle name="Normal 2 39 11" xfId="27202" xr:uid="{00000000-0005-0000-0000-000045670000}"/>
    <cellStyle name="Normal 2 39 12" xfId="27203" xr:uid="{00000000-0005-0000-0000-000046670000}"/>
    <cellStyle name="Normal 2 39 13" xfId="27204" xr:uid="{00000000-0005-0000-0000-000047670000}"/>
    <cellStyle name="Normal 2 39 14" xfId="27205" xr:uid="{00000000-0005-0000-0000-000048670000}"/>
    <cellStyle name="Normal 2 39 2" xfId="27206" xr:uid="{00000000-0005-0000-0000-000049670000}"/>
    <cellStyle name="Normal 2 39 2 2" xfId="27207" xr:uid="{00000000-0005-0000-0000-00004A670000}"/>
    <cellStyle name="Normal 2 39 2 3" xfId="27208" xr:uid="{00000000-0005-0000-0000-00004B670000}"/>
    <cellStyle name="Normal 2 39 2 4" xfId="27209" xr:uid="{00000000-0005-0000-0000-00004C670000}"/>
    <cellStyle name="Normal 2 39 2 5" xfId="27210" xr:uid="{00000000-0005-0000-0000-00004D670000}"/>
    <cellStyle name="Normal 2 39 2 6" xfId="27211" xr:uid="{00000000-0005-0000-0000-00004E670000}"/>
    <cellStyle name="Normal 2 39 3" xfId="27212" xr:uid="{00000000-0005-0000-0000-00004F670000}"/>
    <cellStyle name="Normal 2 39 3 2" xfId="27213" xr:uid="{00000000-0005-0000-0000-000050670000}"/>
    <cellStyle name="Normal 2 39 3 3" xfId="27214" xr:uid="{00000000-0005-0000-0000-000051670000}"/>
    <cellStyle name="Normal 2 39 3 4" xfId="27215" xr:uid="{00000000-0005-0000-0000-000052670000}"/>
    <cellStyle name="Normal 2 39 3 5" xfId="27216" xr:uid="{00000000-0005-0000-0000-000053670000}"/>
    <cellStyle name="Normal 2 39 3 6" xfId="27217" xr:uid="{00000000-0005-0000-0000-000054670000}"/>
    <cellStyle name="Normal 2 39 4" xfId="27218" xr:uid="{00000000-0005-0000-0000-000055670000}"/>
    <cellStyle name="Normal 2 39 4 2" xfId="27219" xr:uid="{00000000-0005-0000-0000-000056670000}"/>
    <cellStyle name="Normal 2 39 4 3" xfId="27220" xr:uid="{00000000-0005-0000-0000-000057670000}"/>
    <cellStyle name="Normal 2 39 4 4" xfId="27221" xr:uid="{00000000-0005-0000-0000-000058670000}"/>
    <cellStyle name="Normal 2 39 4 5" xfId="27222" xr:uid="{00000000-0005-0000-0000-000059670000}"/>
    <cellStyle name="Normal 2 39 4 6" xfId="27223" xr:uid="{00000000-0005-0000-0000-00005A670000}"/>
    <cellStyle name="Normal 2 39 5" xfId="27224" xr:uid="{00000000-0005-0000-0000-00005B670000}"/>
    <cellStyle name="Normal 2 39 5 2" xfId="27225" xr:uid="{00000000-0005-0000-0000-00005C670000}"/>
    <cellStyle name="Normal 2 39 5 3" xfId="27226" xr:uid="{00000000-0005-0000-0000-00005D670000}"/>
    <cellStyle name="Normal 2 39 5 4" xfId="27227" xr:uid="{00000000-0005-0000-0000-00005E670000}"/>
    <cellStyle name="Normal 2 39 5 5" xfId="27228" xr:uid="{00000000-0005-0000-0000-00005F670000}"/>
    <cellStyle name="Normal 2 39 5 6" xfId="27229" xr:uid="{00000000-0005-0000-0000-000060670000}"/>
    <cellStyle name="Normal 2 39 6" xfId="27230" xr:uid="{00000000-0005-0000-0000-000061670000}"/>
    <cellStyle name="Normal 2 39 6 2" xfId="27231" xr:uid="{00000000-0005-0000-0000-000062670000}"/>
    <cellStyle name="Normal 2 39 6 3" xfId="27232" xr:uid="{00000000-0005-0000-0000-000063670000}"/>
    <cellStyle name="Normal 2 39 6 4" xfId="27233" xr:uid="{00000000-0005-0000-0000-000064670000}"/>
    <cellStyle name="Normal 2 39 6 5" xfId="27234" xr:uid="{00000000-0005-0000-0000-000065670000}"/>
    <cellStyle name="Normal 2 39 6 6" xfId="27235" xr:uid="{00000000-0005-0000-0000-000066670000}"/>
    <cellStyle name="Normal 2 39 7" xfId="27236" xr:uid="{00000000-0005-0000-0000-000067670000}"/>
    <cellStyle name="Normal 2 39 7 2" xfId="27237" xr:uid="{00000000-0005-0000-0000-000068670000}"/>
    <cellStyle name="Normal 2 39 7 3" xfId="27238" xr:uid="{00000000-0005-0000-0000-000069670000}"/>
    <cellStyle name="Normal 2 39 7 4" xfId="27239" xr:uid="{00000000-0005-0000-0000-00006A670000}"/>
    <cellStyle name="Normal 2 39 7 5" xfId="27240" xr:uid="{00000000-0005-0000-0000-00006B670000}"/>
    <cellStyle name="Normal 2 39 7 6" xfId="27241" xr:uid="{00000000-0005-0000-0000-00006C670000}"/>
    <cellStyle name="Normal 2 39 8" xfId="27242" xr:uid="{00000000-0005-0000-0000-00006D670000}"/>
    <cellStyle name="Normal 2 39 8 2" xfId="27243" xr:uid="{00000000-0005-0000-0000-00006E670000}"/>
    <cellStyle name="Normal 2 39 8 3" xfId="27244" xr:uid="{00000000-0005-0000-0000-00006F670000}"/>
    <cellStyle name="Normal 2 39 8 4" xfId="27245" xr:uid="{00000000-0005-0000-0000-000070670000}"/>
    <cellStyle name="Normal 2 39 8 5" xfId="27246" xr:uid="{00000000-0005-0000-0000-000071670000}"/>
    <cellStyle name="Normal 2 39 8 6" xfId="27247" xr:uid="{00000000-0005-0000-0000-000072670000}"/>
    <cellStyle name="Normal 2 39 9" xfId="27248" xr:uid="{00000000-0005-0000-0000-000073670000}"/>
    <cellStyle name="Normal 2 4" xfId="1057" xr:uid="{00000000-0005-0000-0000-000074670000}"/>
    <cellStyle name="Normal 2 4 10" xfId="27249" xr:uid="{00000000-0005-0000-0000-000075670000}"/>
    <cellStyle name="Normal 2 4 11" xfId="27250" xr:uid="{00000000-0005-0000-0000-000076670000}"/>
    <cellStyle name="Normal 2 4 12" xfId="27251" xr:uid="{00000000-0005-0000-0000-000077670000}"/>
    <cellStyle name="Normal 2 4 13" xfId="27252" xr:uid="{00000000-0005-0000-0000-000078670000}"/>
    <cellStyle name="Normal 2 4 14" xfId="27253" xr:uid="{00000000-0005-0000-0000-000079670000}"/>
    <cellStyle name="Normal 2 4 2" xfId="27254" xr:uid="{00000000-0005-0000-0000-00007A670000}"/>
    <cellStyle name="Normal 2 4 2 2" xfId="27255" xr:uid="{00000000-0005-0000-0000-00007B670000}"/>
    <cellStyle name="Normal 2 4 2 3" xfId="27256" xr:uid="{00000000-0005-0000-0000-00007C670000}"/>
    <cellStyle name="Normal 2 4 2 4" xfId="27257" xr:uid="{00000000-0005-0000-0000-00007D670000}"/>
    <cellStyle name="Normal 2 4 2 5" xfId="27258" xr:uid="{00000000-0005-0000-0000-00007E670000}"/>
    <cellStyle name="Normal 2 4 2 6" xfId="27259" xr:uid="{00000000-0005-0000-0000-00007F670000}"/>
    <cellStyle name="Normal 2 4 3" xfId="27260" xr:uid="{00000000-0005-0000-0000-000080670000}"/>
    <cellStyle name="Normal 2 4 3 2" xfId="27261" xr:uid="{00000000-0005-0000-0000-000081670000}"/>
    <cellStyle name="Normal 2 4 3 3" xfId="27262" xr:uid="{00000000-0005-0000-0000-000082670000}"/>
    <cellStyle name="Normal 2 4 3 4" xfId="27263" xr:uid="{00000000-0005-0000-0000-000083670000}"/>
    <cellStyle name="Normal 2 4 3 5" xfId="27264" xr:uid="{00000000-0005-0000-0000-000084670000}"/>
    <cellStyle name="Normal 2 4 3 6" xfId="27265" xr:uid="{00000000-0005-0000-0000-000085670000}"/>
    <cellStyle name="Normal 2 4 4" xfId="27266" xr:uid="{00000000-0005-0000-0000-000086670000}"/>
    <cellStyle name="Normal 2 4 4 2" xfId="27267" xr:uid="{00000000-0005-0000-0000-000087670000}"/>
    <cellStyle name="Normal 2 4 4 3" xfId="27268" xr:uid="{00000000-0005-0000-0000-000088670000}"/>
    <cellStyle name="Normal 2 4 4 4" xfId="27269" xr:uid="{00000000-0005-0000-0000-000089670000}"/>
    <cellStyle name="Normal 2 4 4 5" xfId="27270" xr:uid="{00000000-0005-0000-0000-00008A670000}"/>
    <cellStyle name="Normal 2 4 4 6" xfId="27271" xr:uid="{00000000-0005-0000-0000-00008B670000}"/>
    <cellStyle name="Normal 2 4 5" xfId="27272" xr:uid="{00000000-0005-0000-0000-00008C670000}"/>
    <cellStyle name="Normal 2 4 5 2" xfId="27273" xr:uid="{00000000-0005-0000-0000-00008D670000}"/>
    <cellStyle name="Normal 2 4 5 3" xfId="27274" xr:uid="{00000000-0005-0000-0000-00008E670000}"/>
    <cellStyle name="Normal 2 4 5 4" xfId="27275" xr:uid="{00000000-0005-0000-0000-00008F670000}"/>
    <cellStyle name="Normal 2 4 5 5" xfId="27276" xr:uid="{00000000-0005-0000-0000-000090670000}"/>
    <cellStyle name="Normal 2 4 5 6" xfId="27277" xr:uid="{00000000-0005-0000-0000-000091670000}"/>
    <cellStyle name="Normal 2 4 6" xfId="27278" xr:uid="{00000000-0005-0000-0000-000092670000}"/>
    <cellStyle name="Normal 2 4 6 2" xfId="27279" xr:uid="{00000000-0005-0000-0000-000093670000}"/>
    <cellStyle name="Normal 2 4 6 3" xfId="27280" xr:uid="{00000000-0005-0000-0000-000094670000}"/>
    <cellStyle name="Normal 2 4 6 4" xfId="27281" xr:uid="{00000000-0005-0000-0000-000095670000}"/>
    <cellStyle name="Normal 2 4 6 5" xfId="27282" xr:uid="{00000000-0005-0000-0000-000096670000}"/>
    <cellStyle name="Normal 2 4 6 6" xfId="27283" xr:uid="{00000000-0005-0000-0000-000097670000}"/>
    <cellStyle name="Normal 2 4 7" xfId="27284" xr:uid="{00000000-0005-0000-0000-000098670000}"/>
    <cellStyle name="Normal 2 4 7 2" xfId="27285" xr:uid="{00000000-0005-0000-0000-000099670000}"/>
    <cellStyle name="Normal 2 4 7 3" xfId="27286" xr:uid="{00000000-0005-0000-0000-00009A670000}"/>
    <cellStyle name="Normal 2 4 7 4" xfId="27287" xr:uid="{00000000-0005-0000-0000-00009B670000}"/>
    <cellStyle name="Normal 2 4 7 5" xfId="27288" xr:uid="{00000000-0005-0000-0000-00009C670000}"/>
    <cellStyle name="Normal 2 4 7 6" xfId="27289" xr:uid="{00000000-0005-0000-0000-00009D670000}"/>
    <cellStyle name="Normal 2 4 8" xfId="27290" xr:uid="{00000000-0005-0000-0000-00009E670000}"/>
    <cellStyle name="Normal 2 4 8 2" xfId="27291" xr:uid="{00000000-0005-0000-0000-00009F670000}"/>
    <cellStyle name="Normal 2 4 8 3" xfId="27292" xr:uid="{00000000-0005-0000-0000-0000A0670000}"/>
    <cellStyle name="Normal 2 4 8 4" xfId="27293" xr:uid="{00000000-0005-0000-0000-0000A1670000}"/>
    <cellStyle name="Normal 2 4 8 5" xfId="27294" xr:uid="{00000000-0005-0000-0000-0000A2670000}"/>
    <cellStyle name="Normal 2 4 8 6" xfId="27295" xr:uid="{00000000-0005-0000-0000-0000A3670000}"/>
    <cellStyle name="Normal 2 4 9" xfId="27296" xr:uid="{00000000-0005-0000-0000-0000A4670000}"/>
    <cellStyle name="Normal 2 40" xfId="27297" xr:uid="{00000000-0005-0000-0000-0000A5670000}"/>
    <cellStyle name="Normal 2 40 10" xfId="27298" xr:uid="{00000000-0005-0000-0000-0000A6670000}"/>
    <cellStyle name="Normal 2 40 11" xfId="27299" xr:uid="{00000000-0005-0000-0000-0000A7670000}"/>
    <cellStyle name="Normal 2 40 12" xfId="27300" xr:uid="{00000000-0005-0000-0000-0000A8670000}"/>
    <cellStyle name="Normal 2 40 13" xfId="27301" xr:uid="{00000000-0005-0000-0000-0000A9670000}"/>
    <cellStyle name="Normal 2 40 14" xfId="27302" xr:uid="{00000000-0005-0000-0000-0000AA670000}"/>
    <cellStyle name="Normal 2 40 15" xfId="27303" xr:uid="{00000000-0005-0000-0000-0000AB670000}"/>
    <cellStyle name="Normal 2 40 16" xfId="27304" xr:uid="{00000000-0005-0000-0000-0000AC670000}"/>
    <cellStyle name="Normal 2 40 17" xfId="27305" xr:uid="{00000000-0005-0000-0000-0000AD670000}"/>
    <cellStyle name="Normal 2 40 18" xfId="27306" xr:uid="{00000000-0005-0000-0000-0000AE670000}"/>
    <cellStyle name="Normal 2 40 19" xfId="27307" xr:uid="{00000000-0005-0000-0000-0000AF670000}"/>
    <cellStyle name="Normal 2 40 2" xfId="27308" xr:uid="{00000000-0005-0000-0000-0000B0670000}"/>
    <cellStyle name="Normal 2 40 20" xfId="27309" xr:uid="{00000000-0005-0000-0000-0000B1670000}"/>
    <cellStyle name="Normal 2 40 21" xfId="27310" xr:uid="{00000000-0005-0000-0000-0000B2670000}"/>
    <cellStyle name="Normal 2 40 22" xfId="27311" xr:uid="{00000000-0005-0000-0000-0000B3670000}"/>
    <cellStyle name="Normal 2 40 23" xfId="27312" xr:uid="{00000000-0005-0000-0000-0000B4670000}"/>
    <cellStyle name="Normal 2 40 24" xfId="27313" xr:uid="{00000000-0005-0000-0000-0000B5670000}"/>
    <cellStyle name="Normal 2 40 25" xfId="27314" xr:uid="{00000000-0005-0000-0000-0000B6670000}"/>
    <cellStyle name="Normal 2 40 26" xfId="27315" xr:uid="{00000000-0005-0000-0000-0000B7670000}"/>
    <cellStyle name="Normal 2 40 27" xfId="27316" xr:uid="{00000000-0005-0000-0000-0000B8670000}"/>
    <cellStyle name="Normal 2 40 28" xfId="27317" xr:uid="{00000000-0005-0000-0000-0000B9670000}"/>
    <cellStyle name="Normal 2 40 29" xfId="27318" xr:uid="{00000000-0005-0000-0000-0000BA670000}"/>
    <cellStyle name="Normal 2 40 3" xfId="27319" xr:uid="{00000000-0005-0000-0000-0000BB670000}"/>
    <cellStyle name="Normal 2 40 30" xfId="27320" xr:uid="{00000000-0005-0000-0000-0000BC670000}"/>
    <cellStyle name="Normal 2 40 31" xfId="27321" xr:uid="{00000000-0005-0000-0000-0000BD670000}"/>
    <cellStyle name="Normal 2 40 32" xfId="27322" xr:uid="{00000000-0005-0000-0000-0000BE670000}"/>
    <cellStyle name="Normal 2 40 33" xfId="27323" xr:uid="{00000000-0005-0000-0000-0000BF670000}"/>
    <cellStyle name="Normal 2 40 34" xfId="27324" xr:uid="{00000000-0005-0000-0000-0000C0670000}"/>
    <cellStyle name="Normal 2 40 35" xfId="27325" xr:uid="{00000000-0005-0000-0000-0000C1670000}"/>
    <cellStyle name="Normal 2 40 36" xfId="27326" xr:uid="{00000000-0005-0000-0000-0000C2670000}"/>
    <cellStyle name="Normal 2 40 37" xfId="27327" xr:uid="{00000000-0005-0000-0000-0000C3670000}"/>
    <cellStyle name="Normal 2 40 38" xfId="27328" xr:uid="{00000000-0005-0000-0000-0000C4670000}"/>
    <cellStyle name="Normal 2 40 4" xfId="27329" xr:uid="{00000000-0005-0000-0000-0000C5670000}"/>
    <cellStyle name="Normal 2 40 5" xfId="27330" xr:uid="{00000000-0005-0000-0000-0000C6670000}"/>
    <cellStyle name="Normal 2 40 6" xfId="27331" xr:uid="{00000000-0005-0000-0000-0000C7670000}"/>
    <cellStyle name="Normal 2 40 7" xfId="27332" xr:uid="{00000000-0005-0000-0000-0000C8670000}"/>
    <cellStyle name="Normal 2 40 8" xfId="27333" xr:uid="{00000000-0005-0000-0000-0000C9670000}"/>
    <cellStyle name="Normal 2 40 9" xfId="27334" xr:uid="{00000000-0005-0000-0000-0000CA670000}"/>
    <cellStyle name="Normal 2 41" xfId="27335" xr:uid="{00000000-0005-0000-0000-0000CB670000}"/>
    <cellStyle name="Normal 2 41 10" xfId="27336" xr:uid="{00000000-0005-0000-0000-0000CC670000}"/>
    <cellStyle name="Normal 2 41 11" xfId="27337" xr:uid="{00000000-0005-0000-0000-0000CD670000}"/>
    <cellStyle name="Normal 2 41 12" xfId="27338" xr:uid="{00000000-0005-0000-0000-0000CE670000}"/>
    <cellStyle name="Normal 2 41 13" xfId="27339" xr:uid="{00000000-0005-0000-0000-0000CF670000}"/>
    <cellStyle name="Normal 2 41 14" xfId="27340" xr:uid="{00000000-0005-0000-0000-0000D0670000}"/>
    <cellStyle name="Normal 2 41 15" xfId="27341" xr:uid="{00000000-0005-0000-0000-0000D1670000}"/>
    <cellStyle name="Normal 2 41 16" xfId="27342" xr:uid="{00000000-0005-0000-0000-0000D2670000}"/>
    <cellStyle name="Normal 2 41 17" xfId="27343" xr:uid="{00000000-0005-0000-0000-0000D3670000}"/>
    <cellStyle name="Normal 2 41 18" xfId="27344" xr:uid="{00000000-0005-0000-0000-0000D4670000}"/>
    <cellStyle name="Normal 2 41 19" xfId="27345" xr:uid="{00000000-0005-0000-0000-0000D5670000}"/>
    <cellStyle name="Normal 2 41 2" xfId="27346" xr:uid="{00000000-0005-0000-0000-0000D6670000}"/>
    <cellStyle name="Normal 2 41 20" xfId="27347" xr:uid="{00000000-0005-0000-0000-0000D7670000}"/>
    <cellStyle name="Normal 2 41 21" xfId="27348" xr:uid="{00000000-0005-0000-0000-0000D8670000}"/>
    <cellStyle name="Normal 2 41 22" xfId="27349" xr:uid="{00000000-0005-0000-0000-0000D9670000}"/>
    <cellStyle name="Normal 2 41 23" xfId="27350" xr:uid="{00000000-0005-0000-0000-0000DA670000}"/>
    <cellStyle name="Normal 2 41 24" xfId="27351" xr:uid="{00000000-0005-0000-0000-0000DB670000}"/>
    <cellStyle name="Normal 2 41 25" xfId="27352" xr:uid="{00000000-0005-0000-0000-0000DC670000}"/>
    <cellStyle name="Normal 2 41 26" xfId="27353" xr:uid="{00000000-0005-0000-0000-0000DD670000}"/>
    <cellStyle name="Normal 2 41 27" xfId="27354" xr:uid="{00000000-0005-0000-0000-0000DE670000}"/>
    <cellStyle name="Normal 2 41 28" xfId="27355" xr:uid="{00000000-0005-0000-0000-0000DF670000}"/>
    <cellStyle name="Normal 2 41 29" xfId="27356" xr:uid="{00000000-0005-0000-0000-0000E0670000}"/>
    <cellStyle name="Normal 2 41 3" xfId="27357" xr:uid="{00000000-0005-0000-0000-0000E1670000}"/>
    <cellStyle name="Normal 2 41 30" xfId="27358" xr:uid="{00000000-0005-0000-0000-0000E2670000}"/>
    <cellStyle name="Normal 2 41 31" xfId="27359" xr:uid="{00000000-0005-0000-0000-0000E3670000}"/>
    <cellStyle name="Normal 2 41 32" xfId="27360" xr:uid="{00000000-0005-0000-0000-0000E4670000}"/>
    <cellStyle name="Normal 2 41 33" xfId="27361" xr:uid="{00000000-0005-0000-0000-0000E5670000}"/>
    <cellStyle name="Normal 2 41 34" xfId="27362" xr:uid="{00000000-0005-0000-0000-0000E6670000}"/>
    <cellStyle name="Normal 2 41 35" xfId="27363" xr:uid="{00000000-0005-0000-0000-0000E7670000}"/>
    <cellStyle name="Normal 2 41 36" xfId="27364" xr:uid="{00000000-0005-0000-0000-0000E8670000}"/>
    <cellStyle name="Normal 2 41 37" xfId="27365" xr:uid="{00000000-0005-0000-0000-0000E9670000}"/>
    <cellStyle name="Normal 2 41 38" xfId="27366" xr:uid="{00000000-0005-0000-0000-0000EA670000}"/>
    <cellStyle name="Normal 2 41 4" xfId="27367" xr:uid="{00000000-0005-0000-0000-0000EB670000}"/>
    <cellStyle name="Normal 2 41 5" xfId="27368" xr:uid="{00000000-0005-0000-0000-0000EC670000}"/>
    <cellStyle name="Normal 2 41 6" xfId="27369" xr:uid="{00000000-0005-0000-0000-0000ED670000}"/>
    <cellStyle name="Normal 2 41 7" xfId="27370" xr:uid="{00000000-0005-0000-0000-0000EE670000}"/>
    <cellStyle name="Normal 2 41 8" xfId="27371" xr:uid="{00000000-0005-0000-0000-0000EF670000}"/>
    <cellStyle name="Normal 2 41 9" xfId="27372" xr:uid="{00000000-0005-0000-0000-0000F0670000}"/>
    <cellStyle name="Normal 2 42" xfId="27373" xr:uid="{00000000-0005-0000-0000-0000F1670000}"/>
    <cellStyle name="Normal 2 42 10" xfId="27374" xr:uid="{00000000-0005-0000-0000-0000F2670000}"/>
    <cellStyle name="Normal 2 42 11" xfId="27375" xr:uid="{00000000-0005-0000-0000-0000F3670000}"/>
    <cellStyle name="Normal 2 42 12" xfId="27376" xr:uid="{00000000-0005-0000-0000-0000F4670000}"/>
    <cellStyle name="Normal 2 42 13" xfId="27377" xr:uid="{00000000-0005-0000-0000-0000F5670000}"/>
    <cellStyle name="Normal 2 42 14" xfId="27378" xr:uid="{00000000-0005-0000-0000-0000F6670000}"/>
    <cellStyle name="Normal 2 42 15" xfId="27379" xr:uid="{00000000-0005-0000-0000-0000F7670000}"/>
    <cellStyle name="Normal 2 42 16" xfId="27380" xr:uid="{00000000-0005-0000-0000-0000F8670000}"/>
    <cellStyle name="Normal 2 42 17" xfId="27381" xr:uid="{00000000-0005-0000-0000-0000F9670000}"/>
    <cellStyle name="Normal 2 42 18" xfId="27382" xr:uid="{00000000-0005-0000-0000-0000FA670000}"/>
    <cellStyle name="Normal 2 42 19" xfId="27383" xr:uid="{00000000-0005-0000-0000-0000FB670000}"/>
    <cellStyle name="Normal 2 42 2" xfId="27384" xr:uid="{00000000-0005-0000-0000-0000FC670000}"/>
    <cellStyle name="Normal 2 42 20" xfId="27385" xr:uid="{00000000-0005-0000-0000-0000FD670000}"/>
    <cellStyle name="Normal 2 42 21" xfId="27386" xr:uid="{00000000-0005-0000-0000-0000FE670000}"/>
    <cellStyle name="Normal 2 42 22" xfId="27387" xr:uid="{00000000-0005-0000-0000-0000FF670000}"/>
    <cellStyle name="Normal 2 42 23" xfId="27388" xr:uid="{00000000-0005-0000-0000-000000680000}"/>
    <cellStyle name="Normal 2 42 24" xfId="27389" xr:uid="{00000000-0005-0000-0000-000001680000}"/>
    <cellStyle name="Normal 2 42 25" xfId="27390" xr:uid="{00000000-0005-0000-0000-000002680000}"/>
    <cellStyle name="Normal 2 42 26" xfId="27391" xr:uid="{00000000-0005-0000-0000-000003680000}"/>
    <cellStyle name="Normal 2 42 27" xfId="27392" xr:uid="{00000000-0005-0000-0000-000004680000}"/>
    <cellStyle name="Normal 2 42 28" xfId="27393" xr:uid="{00000000-0005-0000-0000-000005680000}"/>
    <cellStyle name="Normal 2 42 29" xfId="27394" xr:uid="{00000000-0005-0000-0000-000006680000}"/>
    <cellStyle name="Normal 2 42 3" xfId="27395" xr:uid="{00000000-0005-0000-0000-000007680000}"/>
    <cellStyle name="Normal 2 42 30" xfId="27396" xr:uid="{00000000-0005-0000-0000-000008680000}"/>
    <cellStyle name="Normal 2 42 31" xfId="27397" xr:uid="{00000000-0005-0000-0000-000009680000}"/>
    <cellStyle name="Normal 2 42 32" xfId="27398" xr:uid="{00000000-0005-0000-0000-00000A680000}"/>
    <cellStyle name="Normal 2 42 33" xfId="27399" xr:uid="{00000000-0005-0000-0000-00000B680000}"/>
    <cellStyle name="Normal 2 42 34" xfId="27400" xr:uid="{00000000-0005-0000-0000-00000C680000}"/>
    <cellStyle name="Normal 2 42 35" xfId="27401" xr:uid="{00000000-0005-0000-0000-00000D680000}"/>
    <cellStyle name="Normal 2 42 36" xfId="27402" xr:uid="{00000000-0005-0000-0000-00000E680000}"/>
    <cellStyle name="Normal 2 42 37" xfId="27403" xr:uid="{00000000-0005-0000-0000-00000F680000}"/>
    <cellStyle name="Normal 2 42 38" xfId="27404" xr:uid="{00000000-0005-0000-0000-000010680000}"/>
    <cellStyle name="Normal 2 42 4" xfId="27405" xr:uid="{00000000-0005-0000-0000-000011680000}"/>
    <cellStyle name="Normal 2 42 5" xfId="27406" xr:uid="{00000000-0005-0000-0000-000012680000}"/>
    <cellStyle name="Normal 2 42 6" xfId="27407" xr:uid="{00000000-0005-0000-0000-000013680000}"/>
    <cellStyle name="Normal 2 42 7" xfId="27408" xr:uid="{00000000-0005-0000-0000-000014680000}"/>
    <cellStyle name="Normal 2 42 8" xfId="27409" xr:uid="{00000000-0005-0000-0000-000015680000}"/>
    <cellStyle name="Normal 2 42 9" xfId="27410" xr:uid="{00000000-0005-0000-0000-000016680000}"/>
    <cellStyle name="Normal 2 43" xfId="27411" xr:uid="{00000000-0005-0000-0000-000017680000}"/>
    <cellStyle name="Normal 2 43 10" xfId="27412" xr:uid="{00000000-0005-0000-0000-000018680000}"/>
    <cellStyle name="Normal 2 43 11" xfId="27413" xr:uid="{00000000-0005-0000-0000-000019680000}"/>
    <cellStyle name="Normal 2 43 12" xfId="27414" xr:uid="{00000000-0005-0000-0000-00001A680000}"/>
    <cellStyle name="Normal 2 43 13" xfId="27415" xr:uid="{00000000-0005-0000-0000-00001B680000}"/>
    <cellStyle name="Normal 2 43 14" xfId="27416" xr:uid="{00000000-0005-0000-0000-00001C680000}"/>
    <cellStyle name="Normal 2 43 15" xfId="27417" xr:uid="{00000000-0005-0000-0000-00001D680000}"/>
    <cellStyle name="Normal 2 43 16" xfId="27418" xr:uid="{00000000-0005-0000-0000-00001E680000}"/>
    <cellStyle name="Normal 2 43 17" xfId="27419" xr:uid="{00000000-0005-0000-0000-00001F680000}"/>
    <cellStyle name="Normal 2 43 18" xfId="27420" xr:uid="{00000000-0005-0000-0000-000020680000}"/>
    <cellStyle name="Normal 2 43 19" xfId="27421" xr:uid="{00000000-0005-0000-0000-000021680000}"/>
    <cellStyle name="Normal 2 43 2" xfId="27422" xr:uid="{00000000-0005-0000-0000-000022680000}"/>
    <cellStyle name="Normal 2 43 20" xfId="27423" xr:uid="{00000000-0005-0000-0000-000023680000}"/>
    <cellStyle name="Normal 2 43 21" xfId="27424" xr:uid="{00000000-0005-0000-0000-000024680000}"/>
    <cellStyle name="Normal 2 43 22" xfId="27425" xr:uid="{00000000-0005-0000-0000-000025680000}"/>
    <cellStyle name="Normal 2 43 23" xfId="27426" xr:uid="{00000000-0005-0000-0000-000026680000}"/>
    <cellStyle name="Normal 2 43 24" xfId="27427" xr:uid="{00000000-0005-0000-0000-000027680000}"/>
    <cellStyle name="Normal 2 43 25" xfId="27428" xr:uid="{00000000-0005-0000-0000-000028680000}"/>
    <cellStyle name="Normal 2 43 26" xfId="27429" xr:uid="{00000000-0005-0000-0000-000029680000}"/>
    <cellStyle name="Normal 2 43 27" xfId="27430" xr:uid="{00000000-0005-0000-0000-00002A680000}"/>
    <cellStyle name="Normal 2 43 28" xfId="27431" xr:uid="{00000000-0005-0000-0000-00002B680000}"/>
    <cellStyle name="Normal 2 43 29" xfId="27432" xr:uid="{00000000-0005-0000-0000-00002C680000}"/>
    <cellStyle name="Normal 2 43 3" xfId="27433" xr:uid="{00000000-0005-0000-0000-00002D680000}"/>
    <cellStyle name="Normal 2 43 30" xfId="27434" xr:uid="{00000000-0005-0000-0000-00002E680000}"/>
    <cellStyle name="Normal 2 43 31" xfId="27435" xr:uid="{00000000-0005-0000-0000-00002F680000}"/>
    <cellStyle name="Normal 2 43 32" xfId="27436" xr:uid="{00000000-0005-0000-0000-000030680000}"/>
    <cellStyle name="Normal 2 43 33" xfId="27437" xr:uid="{00000000-0005-0000-0000-000031680000}"/>
    <cellStyle name="Normal 2 43 34" xfId="27438" xr:uid="{00000000-0005-0000-0000-000032680000}"/>
    <cellStyle name="Normal 2 43 35" xfId="27439" xr:uid="{00000000-0005-0000-0000-000033680000}"/>
    <cellStyle name="Normal 2 43 36" xfId="27440" xr:uid="{00000000-0005-0000-0000-000034680000}"/>
    <cellStyle name="Normal 2 43 37" xfId="27441" xr:uid="{00000000-0005-0000-0000-000035680000}"/>
    <cellStyle name="Normal 2 43 38" xfId="27442" xr:uid="{00000000-0005-0000-0000-000036680000}"/>
    <cellStyle name="Normal 2 43 4" xfId="27443" xr:uid="{00000000-0005-0000-0000-000037680000}"/>
    <cellStyle name="Normal 2 43 5" xfId="27444" xr:uid="{00000000-0005-0000-0000-000038680000}"/>
    <cellStyle name="Normal 2 43 6" xfId="27445" xr:uid="{00000000-0005-0000-0000-000039680000}"/>
    <cellStyle name="Normal 2 43 7" xfId="27446" xr:uid="{00000000-0005-0000-0000-00003A680000}"/>
    <cellStyle name="Normal 2 43 8" xfId="27447" xr:uid="{00000000-0005-0000-0000-00003B680000}"/>
    <cellStyle name="Normal 2 43 9" xfId="27448" xr:uid="{00000000-0005-0000-0000-00003C680000}"/>
    <cellStyle name="Normal 2 44" xfId="27449" xr:uid="{00000000-0005-0000-0000-00003D680000}"/>
    <cellStyle name="Normal 2 44 10" xfId="27450" xr:uid="{00000000-0005-0000-0000-00003E680000}"/>
    <cellStyle name="Normal 2 44 11" xfId="27451" xr:uid="{00000000-0005-0000-0000-00003F680000}"/>
    <cellStyle name="Normal 2 44 12" xfId="27452" xr:uid="{00000000-0005-0000-0000-000040680000}"/>
    <cellStyle name="Normal 2 44 13" xfId="27453" xr:uid="{00000000-0005-0000-0000-000041680000}"/>
    <cellStyle name="Normal 2 44 14" xfId="27454" xr:uid="{00000000-0005-0000-0000-000042680000}"/>
    <cellStyle name="Normal 2 44 15" xfId="27455" xr:uid="{00000000-0005-0000-0000-000043680000}"/>
    <cellStyle name="Normal 2 44 16" xfId="27456" xr:uid="{00000000-0005-0000-0000-000044680000}"/>
    <cellStyle name="Normal 2 44 17" xfId="27457" xr:uid="{00000000-0005-0000-0000-000045680000}"/>
    <cellStyle name="Normal 2 44 18" xfId="27458" xr:uid="{00000000-0005-0000-0000-000046680000}"/>
    <cellStyle name="Normal 2 44 19" xfId="27459" xr:uid="{00000000-0005-0000-0000-000047680000}"/>
    <cellStyle name="Normal 2 44 2" xfId="27460" xr:uid="{00000000-0005-0000-0000-000048680000}"/>
    <cellStyle name="Normal 2 44 20" xfId="27461" xr:uid="{00000000-0005-0000-0000-000049680000}"/>
    <cellStyle name="Normal 2 44 21" xfId="27462" xr:uid="{00000000-0005-0000-0000-00004A680000}"/>
    <cellStyle name="Normal 2 44 22" xfId="27463" xr:uid="{00000000-0005-0000-0000-00004B680000}"/>
    <cellStyle name="Normal 2 44 23" xfId="27464" xr:uid="{00000000-0005-0000-0000-00004C680000}"/>
    <cellStyle name="Normal 2 44 24" xfId="27465" xr:uid="{00000000-0005-0000-0000-00004D680000}"/>
    <cellStyle name="Normal 2 44 25" xfId="27466" xr:uid="{00000000-0005-0000-0000-00004E680000}"/>
    <cellStyle name="Normal 2 44 26" xfId="27467" xr:uid="{00000000-0005-0000-0000-00004F680000}"/>
    <cellStyle name="Normal 2 44 27" xfId="27468" xr:uid="{00000000-0005-0000-0000-000050680000}"/>
    <cellStyle name="Normal 2 44 28" xfId="27469" xr:uid="{00000000-0005-0000-0000-000051680000}"/>
    <cellStyle name="Normal 2 44 29" xfId="27470" xr:uid="{00000000-0005-0000-0000-000052680000}"/>
    <cellStyle name="Normal 2 44 3" xfId="27471" xr:uid="{00000000-0005-0000-0000-000053680000}"/>
    <cellStyle name="Normal 2 44 30" xfId="27472" xr:uid="{00000000-0005-0000-0000-000054680000}"/>
    <cellStyle name="Normal 2 44 31" xfId="27473" xr:uid="{00000000-0005-0000-0000-000055680000}"/>
    <cellStyle name="Normal 2 44 32" xfId="27474" xr:uid="{00000000-0005-0000-0000-000056680000}"/>
    <cellStyle name="Normal 2 44 33" xfId="27475" xr:uid="{00000000-0005-0000-0000-000057680000}"/>
    <cellStyle name="Normal 2 44 34" xfId="27476" xr:uid="{00000000-0005-0000-0000-000058680000}"/>
    <cellStyle name="Normal 2 44 35" xfId="27477" xr:uid="{00000000-0005-0000-0000-000059680000}"/>
    <cellStyle name="Normal 2 44 36" xfId="27478" xr:uid="{00000000-0005-0000-0000-00005A680000}"/>
    <cellStyle name="Normal 2 44 37" xfId="27479" xr:uid="{00000000-0005-0000-0000-00005B680000}"/>
    <cellStyle name="Normal 2 44 38" xfId="27480" xr:uid="{00000000-0005-0000-0000-00005C680000}"/>
    <cellStyle name="Normal 2 44 4" xfId="27481" xr:uid="{00000000-0005-0000-0000-00005D680000}"/>
    <cellStyle name="Normal 2 44 5" xfId="27482" xr:uid="{00000000-0005-0000-0000-00005E680000}"/>
    <cellStyle name="Normal 2 44 6" xfId="27483" xr:uid="{00000000-0005-0000-0000-00005F680000}"/>
    <cellStyle name="Normal 2 44 7" xfId="27484" xr:uid="{00000000-0005-0000-0000-000060680000}"/>
    <cellStyle name="Normal 2 44 8" xfId="27485" xr:uid="{00000000-0005-0000-0000-000061680000}"/>
    <cellStyle name="Normal 2 44 9" xfId="27486" xr:uid="{00000000-0005-0000-0000-000062680000}"/>
    <cellStyle name="Normal 2 45" xfId="27487" xr:uid="{00000000-0005-0000-0000-000063680000}"/>
    <cellStyle name="Normal 2 45 10" xfId="27488" xr:uid="{00000000-0005-0000-0000-000064680000}"/>
    <cellStyle name="Normal 2 45 11" xfId="27489" xr:uid="{00000000-0005-0000-0000-000065680000}"/>
    <cellStyle name="Normal 2 45 12" xfId="27490" xr:uid="{00000000-0005-0000-0000-000066680000}"/>
    <cellStyle name="Normal 2 45 13" xfId="27491" xr:uid="{00000000-0005-0000-0000-000067680000}"/>
    <cellStyle name="Normal 2 45 14" xfId="27492" xr:uid="{00000000-0005-0000-0000-000068680000}"/>
    <cellStyle name="Normal 2 45 15" xfId="27493" xr:uid="{00000000-0005-0000-0000-000069680000}"/>
    <cellStyle name="Normal 2 45 16" xfId="27494" xr:uid="{00000000-0005-0000-0000-00006A680000}"/>
    <cellStyle name="Normal 2 45 17" xfId="27495" xr:uid="{00000000-0005-0000-0000-00006B680000}"/>
    <cellStyle name="Normal 2 45 18" xfId="27496" xr:uid="{00000000-0005-0000-0000-00006C680000}"/>
    <cellStyle name="Normal 2 45 19" xfId="27497" xr:uid="{00000000-0005-0000-0000-00006D680000}"/>
    <cellStyle name="Normal 2 45 2" xfId="27498" xr:uid="{00000000-0005-0000-0000-00006E680000}"/>
    <cellStyle name="Normal 2 45 20" xfId="27499" xr:uid="{00000000-0005-0000-0000-00006F680000}"/>
    <cellStyle name="Normal 2 45 21" xfId="27500" xr:uid="{00000000-0005-0000-0000-000070680000}"/>
    <cellStyle name="Normal 2 45 22" xfId="27501" xr:uid="{00000000-0005-0000-0000-000071680000}"/>
    <cellStyle name="Normal 2 45 23" xfId="27502" xr:uid="{00000000-0005-0000-0000-000072680000}"/>
    <cellStyle name="Normal 2 45 24" xfId="27503" xr:uid="{00000000-0005-0000-0000-000073680000}"/>
    <cellStyle name="Normal 2 45 25" xfId="27504" xr:uid="{00000000-0005-0000-0000-000074680000}"/>
    <cellStyle name="Normal 2 45 26" xfId="27505" xr:uid="{00000000-0005-0000-0000-000075680000}"/>
    <cellStyle name="Normal 2 45 27" xfId="27506" xr:uid="{00000000-0005-0000-0000-000076680000}"/>
    <cellStyle name="Normal 2 45 28" xfId="27507" xr:uid="{00000000-0005-0000-0000-000077680000}"/>
    <cellStyle name="Normal 2 45 29" xfId="27508" xr:uid="{00000000-0005-0000-0000-000078680000}"/>
    <cellStyle name="Normal 2 45 3" xfId="27509" xr:uid="{00000000-0005-0000-0000-000079680000}"/>
    <cellStyle name="Normal 2 45 30" xfId="27510" xr:uid="{00000000-0005-0000-0000-00007A680000}"/>
    <cellStyle name="Normal 2 45 31" xfId="27511" xr:uid="{00000000-0005-0000-0000-00007B680000}"/>
    <cellStyle name="Normal 2 45 32" xfId="27512" xr:uid="{00000000-0005-0000-0000-00007C680000}"/>
    <cellStyle name="Normal 2 45 33" xfId="27513" xr:uid="{00000000-0005-0000-0000-00007D680000}"/>
    <cellStyle name="Normal 2 45 34" xfId="27514" xr:uid="{00000000-0005-0000-0000-00007E680000}"/>
    <cellStyle name="Normal 2 45 35" xfId="27515" xr:uid="{00000000-0005-0000-0000-00007F680000}"/>
    <cellStyle name="Normal 2 45 36" xfId="27516" xr:uid="{00000000-0005-0000-0000-000080680000}"/>
    <cellStyle name="Normal 2 45 37" xfId="27517" xr:uid="{00000000-0005-0000-0000-000081680000}"/>
    <cellStyle name="Normal 2 45 38" xfId="27518" xr:uid="{00000000-0005-0000-0000-000082680000}"/>
    <cellStyle name="Normal 2 45 4" xfId="27519" xr:uid="{00000000-0005-0000-0000-000083680000}"/>
    <cellStyle name="Normal 2 45 5" xfId="27520" xr:uid="{00000000-0005-0000-0000-000084680000}"/>
    <cellStyle name="Normal 2 45 6" xfId="27521" xr:uid="{00000000-0005-0000-0000-000085680000}"/>
    <cellStyle name="Normal 2 45 7" xfId="27522" xr:uid="{00000000-0005-0000-0000-000086680000}"/>
    <cellStyle name="Normal 2 45 8" xfId="27523" xr:uid="{00000000-0005-0000-0000-000087680000}"/>
    <cellStyle name="Normal 2 45 9" xfId="27524" xr:uid="{00000000-0005-0000-0000-000088680000}"/>
    <cellStyle name="Normal 2 46" xfId="27525" xr:uid="{00000000-0005-0000-0000-000089680000}"/>
    <cellStyle name="Normal 2 46 10" xfId="27526" xr:uid="{00000000-0005-0000-0000-00008A680000}"/>
    <cellStyle name="Normal 2 46 11" xfId="27527" xr:uid="{00000000-0005-0000-0000-00008B680000}"/>
    <cellStyle name="Normal 2 46 12" xfId="27528" xr:uid="{00000000-0005-0000-0000-00008C680000}"/>
    <cellStyle name="Normal 2 46 13" xfId="27529" xr:uid="{00000000-0005-0000-0000-00008D680000}"/>
    <cellStyle name="Normal 2 46 14" xfId="27530" xr:uid="{00000000-0005-0000-0000-00008E680000}"/>
    <cellStyle name="Normal 2 46 15" xfId="27531" xr:uid="{00000000-0005-0000-0000-00008F680000}"/>
    <cellStyle name="Normal 2 46 16" xfId="27532" xr:uid="{00000000-0005-0000-0000-000090680000}"/>
    <cellStyle name="Normal 2 46 17" xfId="27533" xr:uid="{00000000-0005-0000-0000-000091680000}"/>
    <cellStyle name="Normal 2 46 18" xfId="27534" xr:uid="{00000000-0005-0000-0000-000092680000}"/>
    <cellStyle name="Normal 2 46 19" xfId="27535" xr:uid="{00000000-0005-0000-0000-000093680000}"/>
    <cellStyle name="Normal 2 46 2" xfId="27536" xr:uid="{00000000-0005-0000-0000-000094680000}"/>
    <cellStyle name="Normal 2 46 20" xfId="27537" xr:uid="{00000000-0005-0000-0000-000095680000}"/>
    <cellStyle name="Normal 2 46 21" xfId="27538" xr:uid="{00000000-0005-0000-0000-000096680000}"/>
    <cellStyle name="Normal 2 46 22" xfId="27539" xr:uid="{00000000-0005-0000-0000-000097680000}"/>
    <cellStyle name="Normal 2 46 23" xfId="27540" xr:uid="{00000000-0005-0000-0000-000098680000}"/>
    <cellStyle name="Normal 2 46 24" xfId="27541" xr:uid="{00000000-0005-0000-0000-000099680000}"/>
    <cellStyle name="Normal 2 46 25" xfId="27542" xr:uid="{00000000-0005-0000-0000-00009A680000}"/>
    <cellStyle name="Normal 2 46 26" xfId="27543" xr:uid="{00000000-0005-0000-0000-00009B680000}"/>
    <cellStyle name="Normal 2 46 27" xfId="27544" xr:uid="{00000000-0005-0000-0000-00009C680000}"/>
    <cellStyle name="Normal 2 46 28" xfId="27545" xr:uid="{00000000-0005-0000-0000-00009D680000}"/>
    <cellStyle name="Normal 2 46 29" xfId="27546" xr:uid="{00000000-0005-0000-0000-00009E680000}"/>
    <cellStyle name="Normal 2 46 3" xfId="27547" xr:uid="{00000000-0005-0000-0000-00009F680000}"/>
    <cellStyle name="Normal 2 46 30" xfId="27548" xr:uid="{00000000-0005-0000-0000-0000A0680000}"/>
    <cellStyle name="Normal 2 46 31" xfId="27549" xr:uid="{00000000-0005-0000-0000-0000A1680000}"/>
    <cellStyle name="Normal 2 46 32" xfId="27550" xr:uid="{00000000-0005-0000-0000-0000A2680000}"/>
    <cellStyle name="Normal 2 46 33" xfId="27551" xr:uid="{00000000-0005-0000-0000-0000A3680000}"/>
    <cellStyle name="Normal 2 46 34" xfId="27552" xr:uid="{00000000-0005-0000-0000-0000A4680000}"/>
    <cellStyle name="Normal 2 46 35" xfId="27553" xr:uid="{00000000-0005-0000-0000-0000A5680000}"/>
    <cellStyle name="Normal 2 46 36" xfId="27554" xr:uid="{00000000-0005-0000-0000-0000A6680000}"/>
    <cellStyle name="Normal 2 46 37" xfId="27555" xr:uid="{00000000-0005-0000-0000-0000A7680000}"/>
    <cellStyle name="Normal 2 46 38" xfId="27556" xr:uid="{00000000-0005-0000-0000-0000A8680000}"/>
    <cellStyle name="Normal 2 46 4" xfId="27557" xr:uid="{00000000-0005-0000-0000-0000A9680000}"/>
    <cellStyle name="Normal 2 46 5" xfId="27558" xr:uid="{00000000-0005-0000-0000-0000AA680000}"/>
    <cellStyle name="Normal 2 46 6" xfId="27559" xr:uid="{00000000-0005-0000-0000-0000AB680000}"/>
    <cellStyle name="Normal 2 46 7" xfId="27560" xr:uid="{00000000-0005-0000-0000-0000AC680000}"/>
    <cellStyle name="Normal 2 46 8" xfId="27561" xr:uid="{00000000-0005-0000-0000-0000AD680000}"/>
    <cellStyle name="Normal 2 46 9" xfId="27562" xr:uid="{00000000-0005-0000-0000-0000AE680000}"/>
    <cellStyle name="Normal 2 47" xfId="27563" xr:uid="{00000000-0005-0000-0000-0000AF680000}"/>
    <cellStyle name="Normal 2 47 10" xfId="27564" xr:uid="{00000000-0005-0000-0000-0000B0680000}"/>
    <cellStyle name="Normal 2 47 11" xfId="27565" xr:uid="{00000000-0005-0000-0000-0000B1680000}"/>
    <cellStyle name="Normal 2 47 12" xfId="27566" xr:uid="{00000000-0005-0000-0000-0000B2680000}"/>
    <cellStyle name="Normal 2 47 13" xfId="27567" xr:uid="{00000000-0005-0000-0000-0000B3680000}"/>
    <cellStyle name="Normal 2 47 14" xfId="27568" xr:uid="{00000000-0005-0000-0000-0000B4680000}"/>
    <cellStyle name="Normal 2 47 15" xfId="27569" xr:uid="{00000000-0005-0000-0000-0000B5680000}"/>
    <cellStyle name="Normal 2 47 16" xfId="27570" xr:uid="{00000000-0005-0000-0000-0000B6680000}"/>
    <cellStyle name="Normal 2 47 17" xfId="27571" xr:uid="{00000000-0005-0000-0000-0000B7680000}"/>
    <cellStyle name="Normal 2 47 18" xfId="27572" xr:uid="{00000000-0005-0000-0000-0000B8680000}"/>
    <cellStyle name="Normal 2 47 19" xfId="27573" xr:uid="{00000000-0005-0000-0000-0000B9680000}"/>
    <cellStyle name="Normal 2 47 2" xfId="27574" xr:uid="{00000000-0005-0000-0000-0000BA680000}"/>
    <cellStyle name="Normal 2 47 20" xfId="27575" xr:uid="{00000000-0005-0000-0000-0000BB680000}"/>
    <cellStyle name="Normal 2 47 21" xfId="27576" xr:uid="{00000000-0005-0000-0000-0000BC680000}"/>
    <cellStyle name="Normal 2 47 22" xfId="27577" xr:uid="{00000000-0005-0000-0000-0000BD680000}"/>
    <cellStyle name="Normal 2 47 23" xfId="27578" xr:uid="{00000000-0005-0000-0000-0000BE680000}"/>
    <cellStyle name="Normal 2 47 24" xfId="27579" xr:uid="{00000000-0005-0000-0000-0000BF680000}"/>
    <cellStyle name="Normal 2 47 25" xfId="27580" xr:uid="{00000000-0005-0000-0000-0000C0680000}"/>
    <cellStyle name="Normal 2 47 26" xfId="27581" xr:uid="{00000000-0005-0000-0000-0000C1680000}"/>
    <cellStyle name="Normal 2 47 27" xfId="27582" xr:uid="{00000000-0005-0000-0000-0000C2680000}"/>
    <cellStyle name="Normal 2 47 28" xfId="27583" xr:uid="{00000000-0005-0000-0000-0000C3680000}"/>
    <cellStyle name="Normal 2 47 29" xfId="27584" xr:uid="{00000000-0005-0000-0000-0000C4680000}"/>
    <cellStyle name="Normal 2 47 3" xfId="27585" xr:uid="{00000000-0005-0000-0000-0000C5680000}"/>
    <cellStyle name="Normal 2 47 30" xfId="27586" xr:uid="{00000000-0005-0000-0000-0000C6680000}"/>
    <cellStyle name="Normal 2 47 31" xfId="27587" xr:uid="{00000000-0005-0000-0000-0000C7680000}"/>
    <cellStyle name="Normal 2 47 32" xfId="27588" xr:uid="{00000000-0005-0000-0000-0000C8680000}"/>
    <cellStyle name="Normal 2 47 33" xfId="27589" xr:uid="{00000000-0005-0000-0000-0000C9680000}"/>
    <cellStyle name="Normal 2 47 34" xfId="27590" xr:uid="{00000000-0005-0000-0000-0000CA680000}"/>
    <cellStyle name="Normal 2 47 35" xfId="27591" xr:uid="{00000000-0005-0000-0000-0000CB680000}"/>
    <cellStyle name="Normal 2 47 36" xfId="27592" xr:uid="{00000000-0005-0000-0000-0000CC680000}"/>
    <cellStyle name="Normal 2 47 37" xfId="27593" xr:uid="{00000000-0005-0000-0000-0000CD680000}"/>
    <cellStyle name="Normal 2 47 38" xfId="27594" xr:uid="{00000000-0005-0000-0000-0000CE680000}"/>
    <cellStyle name="Normal 2 47 4" xfId="27595" xr:uid="{00000000-0005-0000-0000-0000CF680000}"/>
    <cellStyle name="Normal 2 47 5" xfId="27596" xr:uid="{00000000-0005-0000-0000-0000D0680000}"/>
    <cellStyle name="Normal 2 47 6" xfId="27597" xr:uid="{00000000-0005-0000-0000-0000D1680000}"/>
    <cellStyle name="Normal 2 47 7" xfId="27598" xr:uid="{00000000-0005-0000-0000-0000D2680000}"/>
    <cellStyle name="Normal 2 47 8" xfId="27599" xr:uid="{00000000-0005-0000-0000-0000D3680000}"/>
    <cellStyle name="Normal 2 47 9" xfId="27600" xr:uid="{00000000-0005-0000-0000-0000D4680000}"/>
    <cellStyle name="Normal 2 48" xfId="27601" xr:uid="{00000000-0005-0000-0000-0000D5680000}"/>
    <cellStyle name="Normal 2 48 10" xfId="27602" xr:uid="{00000000-0005-0000-0000-0000D6680000}"/>
    <cellStyle name="Normal 2 48 11" xfId="27603" xr:uid="{00000000-0005-0000-0000-0000D7680000}"/>
    <cellStyle name="Normal 2 48 12" xfId="27604" xr:uid="{00000000-0005-0000-0000-0000D8680000}"/>
    <cellStyle name="Normal 2 48 13" xfId="27605" xr:uid="{00000000-0005-0000-0000-0000D9680000}"/>
    <cellStyle name="Normal 2 48 14" xfId="27606" xr:uid="{00000000-0005-0000-0000-0000DA680000}"/>
    <cellStyle name="Normal 2 48 15" xfId="27607" xr:uid="{00000000-0005-0000-0000-0000DB680000}"/>
    <cellStyle name="Normal 2 48 16" xfId="27608" xr:uid="{00000000-0005-0000-0000-0000DC680000}"/>
    <cellStyle name="Normal 2 48 17" xfId="27609" xr:uid="{00000000-0005-0000-0000-0000DD680000}"/>
    <cellStyle name="Normal 2 48 18" xfId="27610" xr:uid="{00000000-0005-0000-0000-0000DE680000}"/>
    <cellStyle name="Normal 2 48 19" xfId="27611" xr:uid="{00000000-0005-0000-0000-0000DF680000}"/>
    <cellStyle name="Normal 2 48 2" xfId="27612" xr:uid="{00000000-0005-0000-0000-0000E0680000}"/>
    <cellStyle name="Normal 2 48 20" xfId="27613" xr:uid="{00000000-0005-0000-0000-0000E1680000}"/>
    <cellStyle name="Normal 2 48 21" xfId="27614" xr:uid="{00000000-0005-0000-0000-0000E2680000}"/>
    <cellStyle name="Normal 2 48 22" xfId="27615" xr:uid="{00000000-0005-0000-0000-0000E3680000}"/>
    <cellStyle name="Normal 2 48 23" xfId="27616" xr:uid="{00000000-0005-0000-0000-0000E4680000}"/>
    <cellStyle name="Normal 2 48 24" xfId="27617" xr:uid="{00000000-0005-0000-0000-0000E5680000}"/>
    <cellStyle name="Normal 2 48 25" xfId="27618" xr:uid="{00000000-0005-0000-0000-0000E6680000}"/>
    <cellStyle name="Normal 2 48 26" xfId="27619" xr:uid="{00000000-0005-0000-0000-0000E7680000}"/>
    <cellStyle name="Normal 2 48 27" xfId="27620" xr:uid="{00000000-0005-0000-0000-0000E8680000}"/>
    <cellStyle name="Normal 2 48 28" xfId="27621" xr:uid="{00000000-0005-0000-0000-0000E9680000}"/>
    <cellStyle name="Normal 2 48 29" xfId="27622" xr:uid="{00000000-0005-0000-0000-0000EA680000}"/>
    <cellStyle name="Normal 2 48 3" xfId="27623" xr:uid="{00000000-0005-0000-0000-0000EB680000}"/>
    <cellStyle name="Normal 2 48 30" xfId="27624" xr:uid="{00000000-0005-0000-0000-0000EC680000}"/>
    <cellStyle name="Normal 2 48 31" xfId="27625" xr:uid="{00000000-0005-0000-0000-0000ED680000}"/>
    <cellStyle name="Normal 2 48 32" xfId="27626" xr:uid="{00000000-0005-0000-0000-0000EE680000}"/>
    <cellStyle name="Normal 2 48 33" xfId="27627" xr:uid="{00000000-0005-0000-0000-0000EF680000}"/>
    <cellStyle name="Normal 2 48 34" xfId="27628" xr:uid="{00000000-0005-0000-0000-0000F0680000}"/>
    <cellStyle name="Normal 2 48 35" xfId="27629" xr:uid="{00000000-0005-0000-0000-0000F1680000}"/>
    <cellStyle name="Normal 2 48 36" xfId="27630" xr:uid="{00000000-0005-0000-0000-0000F2680000}"/>
    <cellStyle name="Normal 2 48 37" xfId="27631" xr:uid="{00000000-0005-0000-0000-0000F3680000}"/>
    <cellStyle name="Normal 2 48 38" xfId="27632" xr:uid="{00000000-0005-0000-0000-0000F4680000}"/>
    <cellStyle name="Normal 2 48 4" xfId="27633" xr:uid="{00000000-0005-0000-0000-0000F5680000}"/>
    <cellStyle name="Normal 2 48 5" xfId="27634" xr:uid="{00000000-0005-0000-0000-0000F6680000}"/>
    <cellStyle name="Normal 2 48 6" xfId="27635" xr:uid="{00000000-0005-0000-0000-0000F7680000}"/>
    <cellStyle name="Normal 2 48 7" xfId="27636" xr:uid="{00000000-0005-0000-0000-0000F8680000}"/>
    <cellStyle name="Normal 2 48 8" xfId="27637" xr:uid="{00000000-0005-0000-0000-0000F9680000}"/>
    <cellStyle name="Normal 2 48 9" xfId="27638" xr:uid="{00000000-0005-0000-0000-0000FA680000}"/>
    <cellStyle name="Normal 2 49" xfId="27639" xr:uid="{00000000-0005-0000-0000-0000FB680000}"/>
    <cellStyle name="Normal 2 49 10" xfId="27640" xr:uid="{00000000-0005-0000-0000-0000FC680000}"/>
    <cellStyle name="Normal 2 49 11" xfId="27641" xr:uid="{00000000-0005-0000-0000-0000FD680000}"/>
    <cellStyle name="Normal 2 49 12" xfId="27642" xr:uid="{00000000-0005-0000-0000-0000FE680000}"/>
    <cellStyle name="Normal 2 49 13" xfId="27643" xr:uid="{00000000-0005-0000-0000-0000FF680000}"/>
    <cellStyle name="Normal 2 49 14" xfId="27644" xr:uid="{00000000-0005-0000-0000-000000690000}"/>
    <cellStyle name="Normal 2 49 15" xfId="27645" xr:uid="{00000000-0005-0000-0000-000001690000}"/>
    <cellStyle name="Normal 2 49 16" xfId="27646" xr:uid="{00000000-0005-0000-0000-000002690000}"/>
    <cellStyle name="Normal 2 49 17" xfId="27647" xr:uid="{00000000-0005-0000-0000-000003690000}"/>
    <cellStyle name="Normal 2 49 18" xfId="27648" xr:uid="{00000000-0005-0000-0000-000004690000}"/>
    <cellStyle name="Normal 2 49 19" xfId="27649" xr:uid="{00000000-0005-0000-0000-000005690000}"/>
    <cellStyle name="Normal 2 49 2" xfId="27650" xr:uid="{00000000-0005-0000-0000-000006690000}"/>
    <cellStyle name="Normal 2 49 2 2" xfId="27651" xr:uid="{00000000-0005-0000-0000-000007690000}"/>
    <cellStyle name="Normal 2 49 2 3" xfId="27652" xr:uid="{00000000-0005-0000-0000-000008690000}"/>
    <cellStyle name="Normal 2 49 2 4" xfId="27653" xr:uid="{00000000-0005-0000-0000-000009690000}"/>
    <cellStyle name="Normal 2 49 2 5" xfId="27654" xr:uid="{00000000-0005-0000-0000-00000A690000}"/>
    <cellStyle name="Normal 2 49 2 6" xfId="27655" xr:uid="{00000000-0005-0000-0000-00000B690000}"/>
    <cellStyle name="Normal 2 49 20" xfId="27656" xr:uid="{00000000-0005-0000-0000-00000C690000}"/>
    <cellStyle name="Normal 2 49 21" xfId="27657" xr:uid="{00000000-0005-0000-0000-00000D690000}"/>
    <cellStyle name="Normal 2 49 22" xfId="27658" xr:uid="{00000000-0005-0000-0000-00000E690000}"/>
    <cellStyle name="Normal 2 49 23" xfId="27659" xr:uid="{00000000-0005-0000-0000-00000F690000}"/>
    <cellStyle name="Normal 2 49 24" xfId="27660" xr:uid="{00000000-0005-0000-0000-000010690000}"/>
    <cellStyle name="Normal 2 49 25" xfId="27661" xr:uid="{00000000-0005-0000-0000-000011690000}"/>
    <cellStyle name="Normal 2 49 26" xfId="27662" xr:uid="{00000000-0005-0000-0000-000012690000}"/>
    <cellStyle name="Normal 2 49 27" xfId="27663" xr:uid="{00000000-0005-0000-0000-000013690000}"/>
    <cellStyle name="Normal 2 49 28" xfId="27664" xr:uid="{00000000-0005-0000-0000-000014690000}"/>
    <cellStyle name="Normal 2 49 29" xfId="27665" xr:uid="{00000000-0005-0000-0000-000015690000}"/>
    <cellStyle name="Normal 2 49 3" xfId="27666" xr:uid="{00000000-0005-0000-0000-000016690000}"/>
    <cellStyle name="Normal 2 49 3 2" xfId="27667" xr:uid="{00000000-0005-0000-0000-000017690000}"/>
    <cellStyle name="Normal 2 49 3 3" xfId="27668" xr:uid="{00000000-0005-0000-0000-000018690000}"/>
    <cellStyle name="Normal 2 49 3 4" xfId="27669" xr:uid="{00000000-0005-0000-0000-000019690000}"/>
    <cellStyle name="Normal 2 49 3 5" xfId="27670" xr:uid="{00000000-0005-0000-0000-00001A690000}"/>
    <cellStyle name="Normal 2 49 3 6" xfId="27671" xr:uid="{00000000-0005-0000-0000-00001B690000}"/>
    <cellStyle name="Normal 2 49 30" xfId="27672" xr:uid="{00000000-0005-0000-0000-00001C690000}"/>
    <cellStyle name="Normal 2 49 31" xfId="27673" xr:uid="{00000000-0005-0000-0000-00001D690000}"/>
    <cellStyle name="Normal 2 49 32" xfId="27674" xr:uid="{00000000-0005-0000-0000-00001E690000}"/>
    <cellStyle name="Normal 2 49 33" xfId="27675" xr:uid="{00000000-0005-0000-0000-00001F690000}"/>
    <cellStyle name="Normal 2 49 34" xfId="27676" xr:uid="{00000000-0005-0000-0000-000020690000}"/>
    <cellStyle name="Normal 2 49 35" xfId="27677" xr:uid="{00000000-0005-0000-0000-000021690000}"/>
    <cellStyle name="Normal 2 49 4" xfId="27678" xr:uid="{00000000-0005-0000-0000-000022690000}"/>
    <cellStyle name="Normal 2 49 4 2" xfId="27679" xr:uid="{00000000-0005-0000-0000-000023690000}"/>
    <cellStyle name="Normal 2 49 4 3" xfId="27680" xr:uid="{00000000-0005-0000-0000-000024690000}"/>
    <cellStyle name="Normal 2 49 4 4" xfId="27681" xr:uid="{00000000-0005-0000-0000-000025690000}"/>
    <cellStyle name="Normal 2 49 4 5" xfId="27682" xr:uid="{00000000-0005-0000-0000-000026690000}"/>
    <cellStyle name="Normal 2 49 4 6" xfId="27683" xr:uid="{00000000-0005-0000-0000-000027690000}"/>
    <cellStyle name="Normal 2 49 5" xfId="27684" xr:uid="{00000000-0005-0000-0000-000028690000}"/>
    <cellStyle name="Normal 2 49 5 2" xfId="27685" xr:uid="{00000000-0005-0000-0000-000029690000}"/>
    <cellStyle name="Normal 2 49 5 3" xfId="27686" xr:uid="{00000000-0005-0000-0000-00002A690000}"/>
    <cellStyle name="Normal 2 49 5 4" xfId="27687" xr:uid="{00000000-0005-0000-0000-00002B690000}"/>
    <cellStyle name="Normal 2 49 5 5" xfId="27688" xr:uid="{00000000-0005-0000-0000-00002C690000}"/>
    <cellStyle name="Normal 2 49 5 6" xfId="27689" xr:uid="{00000000-0005-0000-0000-00002D690000}"/>
    <cellStyle name="Normal 2 49 6" xfId="27690" xr:uid="{00000000-0005-0000-0000-00002E690000}"/>
    <cellStyle name="Normal 2 49 6 2" xfId="27691" xr:uid="{00000000-0005-0000-0000-00002F690000}"/>
    <cellStyle name="Normal 2 49 6 3" xfId="27692" xr:uid="{00000000-0005-0000-0000-000030690000}"/>
    <cellStyle name="Normal 2 49 6 4" xfId="27693" xr:uid="{00000000-0005-0000-0000-000031690000}"/>
    <cellStyle name="Normal 2 49 6 5" xfId="27694" xr:uid="{00000000-0005-0000-0000-000032690000}"/>
    <cellStyle name="Normal 2 49 6 6" xfId="27695" xr:uid="{00000000-0005-0000-0000-000033690000}"/>
    <cellStyle name="Normal 2 49 7" xfId="27696" xr:uid="{00000000-0005-0000-0000-000034690000}"/>
    <cellStyle name="Normal 2 49 8" xfId="27697" xr:uid="{00000000-0005-0000-0000-000035690000}"/>
    <cellStyle name="Normal 2 49 9" xfId="27698" xr:uid="{00000000-0005-0000-0000-000036690000}"/>
    <cellStyle name="Normal 2 5" xfId="1058" xr:uid="{00000000-0005-0000-0000-000037690000}"/>
    <cellStyle name="Normal 2 5 10" xfId="27699" xr:uid="{00000000-0005-0000-0000-000038690000}"/>
    <cellStyle name="Normal 2 5 11" xfId="27700" xr:uid="{00000000-0005-0000-0000-000039690000}"/>
    <cellStyle name="Normal 2 5 12" xfId="27701" xr:uid="{00000000-0005-0000-0000-00003A690000}"/>
    <cellStyle name="Normal 2 5 13" xfId="27702" xr:uid="{00000000-0005-0000-0000-00003B690000}"/>
    <cellStyle name="Normal 2 5 14" xfId="27703" xr:uid="{00000000-0005-0000-0000-00003C690000}"/>
    <cellStyle name="Normal 2 5 2" xfId="27704" xr:uid="{00000000-0005-0000-0000-00003D690000}"/>
    <cellStyle name="Normal 2 5 2 2" xfId="27705" xr:uid="{00000000-0005-0000-0000-00003E690000}"/>
    <cellStyle name="Normal 2 5 2 3" xfId="27706" xr:uid="{00000000-0005-0000-0000-00003F690000}"/>
    <cellStyle name="Normal 2 5 2 4" xfId="27707" xr:uid="{00000000-0005-0000-0000-000040690000}"/>
    <cellStyle name="Normal 2 5 2 5" xfId="27708" xr:uid="{00000000-0005-0000-0000-000041690000}"/>
    <cellStyle name="Normal 2 5 2 6" xfId="27709" xr:uid="{00000000-0005-0000-0000-000042690000}"/>
    <cellStyle name="Normal 2 5 3" xfId="27710" xr:uid="{00000000-0005-0000-0000-000043690000}"/>
    <cellStyle name="Normal 2 5 3 2" xfId="27711" xr:uid="{00000000-0005-0000-0000-000044690000}"/>
    <cellStyle name="Normal 2 5 3 3" xfId="27712" xr:uid="{00000000-0005-0000-0000-000045690000}"/>
    <cellStyle name="Normal 2 5 3 4" xfId="27713" xr:uid="{00000000-0005-0000-0000-000046690000}"/>
    <cellStyle name="Normal 2 5 3 5" xfId="27714" xr:uid="{00000000-0005-0000-0000-000047690000}"/>
    <cellStyle name="Normal 2 5 3 6" xfId="27715" xr:uid="{00000000-0005-0000-0000-000048690000}"/>
    <cellStyle name="Normal 2 5 4" xfId="27716" xr:uid="{00000000-0005-0000-0000-000049690000}"/>
    <cellStyle name="Normal 2 5 4 2" xfId="27717" xr:uid="{00000000-0005-0000-0000-00004A690000}"/>
    <cellStyle name="Normal 2 5 4 3" xfId="27718" xr:uid="{00000000-0005-0000-0000-00004B690000}"/>
    <cellStyle name="Normal 2 5 4 4" xfId="27719" xr:uid="{00000000-0005-0000-0000-00004C690000}"/>
    <cellStyle name="Normal 2 5 4 5" xfId="27720" xr:uid="{00000000-0005-0000-0000-00004D690000}"/>
    <cellStyle name="Normal 2 5 4 6" xfId="27721" xr:uid="{00000000-0005-0000-0000-00004E690000}"/>
    <cellStyle name="Normal 2 5 5" xfId="27722" xr:uid="{00000000-0005-0000-0000-00004F690000}"/>
    <cellStyle name="Normal 2 5 5 2" xfId="27723" xr:uid="{00000000-0005-0000-0000-000050690000}"/>
    <cellStyle name="Normal 2 5 5 3" xfId="27724" xr:uid="{00000000-0005-0000-0000-000051690000}"/>
    <cellStyle name="Normal 2 5 5 4" xfId="27725" xr:uid="{00000000-0005-0000-0000-000052690000}"/>
    <cellStyle name="Normal 2 5 5 5" xfId="27726" xr:uid="{00000000-0005-0000-0000-000053690000}"/>
    <cellStyle name="Normal 2 5 5 6" xfId="27727" xr:uid="{00000000-0005-0000-0000-000054690000}"/>
    <cellStyle name="Normal 2 5 6" xfId="27728" xr:uid="{00000000-0005-0000-0000-000055690000}"/>
    <cellStyle name="Normal 2 5 6 2" xfId="27729" xr:uid="{00000000-0005-0000-0000-000056690000}"/>
    <cellStyle name="Normal 2 5 6 3" xfId="27730" xr:uid="{00000000-0005-0000-0000-000057690000}"/>
    <cellStyle name="Normal 2 5 6 4" xfId="27731" xr:uid="{00000000-0005-0000-0000-000058690000}"/>
    <cellStyle name="Normal 2 5 6 5" xfId="27732" xr:uid="{00000000-0005-0000-0000-000059690000}"/>
    <cellStyle name="Normal 2 5 6 6" xfId="27733" xr:uid="{00000000-0005-0000-0000-00005A690000}"/>
    <cellStyle name="Normal 2 5 7" xfId="27734" xr:uid="{00000000-0005-0000-0000-00005B690000}"/>
    <cellStyle name="Normal 2 5 7 2" xfId="27735" xr:uid="{00000000-0005-0000-0000-00005C690000}"/>
    <cellStyle name="Normal 2 5 7 3" xfId="27736" xr:uid="{00000000-0005-0000-0000-00005D690000}"/>
    <cellStyle name="Normal 2 5 7 4" xfId="27737" xr:uid="{00000000-0005-0000-0000-00005E690000}"/>
    <cellStyle name="Normal 2 5 7 5" xfId="27738" xr:uid="{00000000-0005-0000-0000-00005F690000}"/>
    <cellStyle name="Normal 2 5 7 6" xfId="27739" xr:uid="{00000000-0005-0000-0000-000060690000}"/>
    <cellStyle name="Normal 2 5 8" xfId="27740" xr:uid="{00000000-0005-0000-0000-000061690000}"/>
    <cellStyle name="Normal 2 5 8 2" xfId="27741" xr:uid="{00000000-0005-0000-0000-000062690000}"/>
    <cellStyle name="Normal 2 5 8 3" xfId="27742" xr:uid="{00000000-0005-0000-0000-000063690000}"/>
    <cellStyle name="Normal 2 5 8 4" xfId="27743" xr:uid="{00000000-0005-0000-0000-000064690000}"/>
    <cellStyle name="Normal 2 5 8 5" xfId="27744" xr:uid="{00000000-0005-0000-0000-000065690000}"/>
    <cellStyle name="Normal 2 5 8 6" xfId="27745" xr:uid="{00000000-0005-0000-0000-000066690000}"/>
    <cellStyle name="Normal 2 5 9" xfId="27746" xr:uid="{00000000-0005-0000-0000-000067690000}"/>
    <cellStyle name="Normal 2 50" xfId="27747" xr:uid="{00000000-0005-0000-0000-000068690000}"/>
    <cellStyle name="Normal 2 50 2" xfId="27748" xr:uid="{00000000-0005-0000-0000-000069690000}"/>
    <cellStyle name="Normal 2 50 3" xfId="27749" xr:uid="{00000000-0005-0000-0000-00006A690000}"/>
    <cellStyle name="Normal 2 50 4" xfId="27750" xr:uid="{00000000-0005-0000-0000-00006B690000}"/>
    <cellStyle name="Normal 2 50 5" xfId="27751" xr:uid="{00000000-0005-0000-0000-00006C690000}"/>
    <cellStyle name="Normal 2 50 6" xfId="27752" xr:uid="{00000000-0005-0000-0000-00006D690000}"/>
    <cellStyle name="Normal 2 50 7" xfId="27753" xr:uid="{00000000-0005-0000-0000-00006E690000}"/>
    <cellStyle name="Normal 2 51" xfId="27754" xr:uid="{00000000-0005-0000-0000-00006F690000}"/>
    <cellStyle name="Normal 2 51 2" xfId="27755" xr:uid="{00000000-0005-0000-0000-000070690000}"/>
    <cellStyle name="Normal 2 51 3" xfId="27756" xr:uid="{00000000-0005-0000-0000-000071690000}"/>
    <cellStyle name="Normal 2 51 4" xfId="27757" xr:uid="{00000000-0005-0000-0000-000072690000}"/>
    <cellStyle name="Normal 2 51 5" xfId="27758" xr:uid="{00000000-0005-0000-0000-000073690000}"/>
    <cellStyle name="Normal 2 51 6" xfId="27759" xr:uid="{00000000-0005-0000-0000-000074690000}"/>
    <cellStyle name="Normal 2 51 7" xfId="27760" xr:uid="{00000000-0005-0000-0000-000075690000}"/>
    <cellStyle name="Normal 2 52" xfId="27761" xr:uid="{00000000-0005-0000-0000-000076690000}"/>
    <cellStyle name="Normal 2 52 2" xfId="27762" xr:uid="{00000000-0005-0000-0000-000077690000}"/>
    <cellStyle name="Normal 2 52 3" xfId="27763" xr:uid="{00000000-0005-0000-0000-000078690000}"/>
    <cellStyle name="Normal 2 52 4" xfId="27764" xr:uid="{00000000-0005-0000-0000-000079690000}"/>
    <cellStyle name="Normal 2 52 5" xfId="27765" xr:uid="{00000000-0005-0000-0000-00007A690000}"/>
    <cellStyle name="Normal 2 52 6" xfId="27766" xr:uid="{00000000-0005-0000-0000-00007B690000}"/>
    <cellStyle name="Normal 2 52 7" xfId="27767" xr:uid="{00000000-0005-0000-0000-00007C690000}"/>
    <cellStyle name="Normal 2 53" xfId="27768" xr:uid="{00000000-0005-0000-0000-00007D690000}"/>
    <cellStyle name="Normal 2 53 2" xfId="27769" xr:uid="{00000000-0005-0000-0000-00007E690000}"/>
    <cellStyle name="Normal 2 53 3" xfId="27770" xr:uid="{00000000-0005-0000-0000-00007F690000}"/>
    <cellStyle name="Normal 2 53 4" xfId="27771" xr:uid="{00000000-0005-0000-0000-000080690000}"/>
    <cellStyle name="Normal 2 53 5" xfId="27772" xr:uid="{00000000-0005-0000-0000-000081690000}"/>
    <cellStyle name="Normal 2 53 6" xfId="27773" xr:uid="{00000000-0005-0000-0000-000082690000}"/>
    <cellStyle name="Normal 2 53 7" xfId="27774" xr:uid="{00000000-0005-0000-0000-000083690000}"/>
    <cellStyle name="Normal 2 54" xfId="27775" xr:uid="{00000000-0005-0000-0000-000084690000}"/>
    <cellStyle name="Normal 2 54 2" xfId="27776" xr:uid="{00000000-0005-0000-0000-000085690000}"/>
    <cellStyle name="Normal 2 54 3" xfId="27777" xr:uid="{00000000-0005-0000-0000-000086690000}"/>
    <cellStyle name="Normal 2 54 4" xfId="27778" xr:uid="{00000000-0005-0000-0000-000087690000}"/>
    <cellStyle name="Normal 2 54 5" xfId="27779" xr:uid="{00000000-0005-0000-0000-000088690000}"/>
    <cellStyle name="Normal 2 54 6" xfId="27780" xr:uid="{00000000-0005-0000-0000-000089690000}"/>
    <cellStyle name="Normal 2 54 7" xfId="27781" xr:uid="{00000000-0005-0000-0000-00008A690000}"/>
    <cellStyle name="Normal 2 55" xfId="27782" xr:uid="{00000000-0005-0000-0000-00008B690000}"/>
    <cellStyle name="Normal 2 55 2" xfId="27783" xr:uid="{00000000-0005-0000-0000-00008C690000}"/>
    <cellStyle name="Normal 2 55 3" xfId="27784" xr:uid="{00000000-0005-0000-0000-00008D690000}"/>
    <cellStyle name="Normal 2 55 4" xfId="27785" xr:uid="{00000000-0005-0000-0000-00008E690000}"/>
    <cellStyle name="Normal 2 55 5" xfId="27786" xr:uid="{00000000-0005-0000-0000-00008F690000}"/>
    <cellStyle name="Normal 2 55 6" xfId="27787" xr:uid="{00000000-0005-0000-0000-000090690000}"/>
    <cellStyle name="Normal 2 55 7" xfId="27788" xr:uid="{00000000-0005-0000-0000-000091690000}"/>
    <cellStyle name="Normal 2 56" xfId="27789" xr:uid="{00000000-0005-0000-0000-000092690000}"/>
    <cellStyle name="Normal 2 56 2" xfId="27790" xr:uid="{00000000-0005-0000-0000-000093690000}"/>
    <cellStyle name="Normal 2 56 3" xfId="27791" xr:uid="{00000000-0005-0000-0000-000094690000}"/>
    <cellStyle name="Normal 2 56 4" xfId="27792" xr:uid="{00000000-0005-0000-0000-000095690000}"/>
    <cellStyle name="Normal 2 56 5" xfId="27793" xr:uid="{00000000-0005-0000-0000-000096690000}"/>
    <cellStyle name="Normal 2 56 6" xfId="27794" xr:uid="{00000000-0005-0000-0000-000097690000}"/>
    <cellStyle name="Normal 2 56 7" xfId="27795" xr:uid="{00000000-0005-0000-0000-000098690000}"/>
    <cellStyle name="Normal 2 57" xfId="27796" xr:uid="{00000000-0005-0000-0000-000099690000}"/>
    <cellStyle name="Normal 2 57 2" xfId="27797" xr:uid="{00000000-0005-0000-0000-00009A690000}"/>
    <cellStyle name="Normal 2 57 3" xfId="27798" xr:uid="{00000000-0005-0000-0000-00009B690000}"/>
    <cellStyle name="Normal 2 57 4" xfId="27799" xr:uid="{00000000-0005-0000-0000-00009C690000}"/>
    <cellStyle name="Normal 2 57 5" xfId="27800" xr:uid="{00000000-0005-0000-0000-00009D690000}"/>
    <cellStyle name="Normal 2 57 6" xfId="27801" xr:uid="{00000000-0005-0000-0000-00009E690000}"/>
    <cellStyle name="Normal 2 57 7" xfId="27802" xr:uid="{00000000-0005-0000-0000-00009F690000}"/>
    <cellStyle name="Normal 2 58" xfId="27803" xr:uid="{00000000-0005-0000-0000-0000A0690000}"/>
    <cellStyle name="Normal 2 58 2" xfId="27804" xr:uid="{00000000-0005-0000-0000-0000A1690000}"/>
    <cellStyle name="Normal 2 58 3" xfId="27805" xr:uid="{00000000-0005-0000-0000-0000A2690000}"/>
    <cellStyle name="Normal 2 58 4" xfId="27806" xr:uid="{00000000-0005-0000-0000-0000A3690000}"/>
    <cellStyle name="Normal 2 58 5" xfId="27807" xr:uid="{00000000-0005-0000-0000-0000A4690000}"/>
    <cellStyle name="Normal 2 58 6" xfId="27808" xr:uid="{00000000-0005-0000-0000-0000A5690000}"/>
    <cellStyle name="Normal 2 58 7" xfId="27809" xr:uid="{00000000-0005-0000-0000-0000A6690000}"/>
    <cellStyle name="Normal 2 59" xfId="27810" xr:uid="{00000000-0005-0000-0000-0000A7690000}"/>
    <cellStyle name="Normal 2 59 2" xfId="27811" xr:uid="{00000000-0005-0000-0000-0000A8690000}"/>
    <cellStyle name="Normal 2 59 3" xfId="27812" xr:uid="{00000000-0005-0000-0000-0000A9690000}"/>
    <cellStyle name="Normal 2 59 4" xfId="27813" xr:uid="{00000000-0005-0000-0000-0000AA690000}"/>
    <cellStyle name="Normal 2 59 5" xfId="27814" xr:uid="{00000000-0005-0000-0000-0000AB690000}"/>
    <cellStyle name="Normal 2 59 6" xfId="27815" xr:uid="{00000000-0005-0000-0000-0000AC690000}"/>
    <cellStyle name="Normal 2 59 7" xfId="27816" xr:uid="{00000000-0005-0000-0000-0000AD690000}"/>
    <cellStyle name="Normal 2 6" xfId="1059" xr:uid="{00000000-0005-0000-0000-0000AE690000}"/>
    <cellStyle name="Normal 2 6 10" xfId="27817" xr:uid="{00000000-0005-0000-0000-0000AF690000}"/>
    <cellStyle name="Normal 2 6 11" xfId="27818" xr:uid="{00000000-0005-0000-0000-0000B0690000}"/>
    <cellStyle name="Normal 2 6 12" xfId="27819" xr:uid="{00000000-0005-0000-0000-0000B1690000}"/>
    <cellStyle name="Normal 2 6 13" xfId="27820" xr:uid="{00000000-0005-0000-0000-0000B2690000}"/>
    <cellStyle name="Normal 2 6 14" xfId="27821" xr:uid="{00000000-0005-0000-0000-0000B3690000}"/>
    <cellStyle name="Normal 2 6 15" xfId="27822" xr:uid="{00000000-0005-0000-0000-0000B4690000}"/>
    <cellStyle name="Normal 2 6 16" xfId="27823" xr:uid="{00000000-0005-0000-0000-0000B5690000}"/>
    <cellStyle name="Normal 2 6 17" xfId="27824" xr:uid="{00000000-0005-0000-0000-0000B6690000}"/>
    <cellStyle name="Normal 2 6 18" xfId="27825" xr:uid="{00000000-0005-0000-0000-0000B7690000}"/>
    <cellStyle name="Normal 2 6 19" xfId="27826" xr:uid="{00000000-0005-0000-0000-0000B8690000}"/>
    <cellStyle name="Normal 2 6 2" xfId="27827" xr:uid="{00000000-0005-0000-0000-0000B9690000}"/>
    <cellStyle name="Normal 2 6 2 10" xfId="27828" xr:uid="{00000000-0005-0000-0000-0000BA690000}"/>
    <cellStyle name="Normal 2 6 2 10 2" xfId="27829" xr:uid="{00000000-0005-0000-0000-0000BB690000}"/>
    <cellStyle name="Normal 2 6 2 10 3" xfId="27830" xr:uid="{00000000-0005-0000-0000-0000BC690000}"/>
    <cellStyle name="Normal 2 6 2 10 4" xfId="27831" xr:uid="{00000000-0005-0000-0000-0000BD690000}"/>
    <cellStyle name="Normal 2 6 2 10 5" xfId="27832" xr:uid="{00000000-0005-0000-0000-0000BE690000}"/>
    <cellStyle name="Normal 2 6 2 10 6" xfId="27833" xr:uid="{00000000-0005-0000-0000-0000BF690000}"/>
    <cellStyle name="Normal 2 6 2 11" xfId="27834" xr:uid="{00000000-0005-0000-0000-0000C0690000}"/>
    <cellStyle name="Normal 2 6 2 11 2" xfId="27835" xr:uid="{00000000-0005-0000-0000-0000C1690000}"/>
    <cellStyle name="Normal 2 6 2 11 3" xfId="27836" xr:uid="{00000000-0005-0000-0000-0000C2690000}"/>
    <cellStyle name="Normal 2 6 2 11 4" xfId="27837" xr:uid="{00000000-0005-0000-0000-0000C3690000}"/>
    <cellStyle name="Normal 2 6 2 11 5" xfId="27838" xr:uid="{00000000-0005-0000-0000-0000C4690000}"/>
    <cellStyle name="Normal 2 6 2 11 6" xfId="27839" xr:uid="{00000000-0005-0000-0000-0000C5690000}"/>
    <cellStyle name="Normal 2 6 2 12" xfId="27840" xr:uid="{00000000-0005-0000-0000-0000C6690000}"/>
    <cellStyle name="Normal 2 6 2 12 2" xfId="27841" xr:uid="{00000000-0005-0000-0000-0000C7690000}"/>
    <cellStyle name="Normal 2 6 2 12 3" xfId="27842" xr:uid="{00000000-0005-0000-0000-0000C8690000}"/>
    <cellStyle name="Normal 2 6 2 12 4" xfId="27843" xr:uid="{00000000-0005-0000-0000-0000C9690000}"/>
    <cellStyle name="Normal 2 6 2 12 5" xfId="27844" xr:uid="{00000000-0005-0000-0000-0000CA690000}"/>
    <cellStyle name="Normal 2 6 2 12 6" xfId="27845" xr:uid="{00000000-0005-0000-0000-0000CB690000}"/>
    <cellStyle name="Normal 2 6 2 13" xfId="27846" xr:uid="{00000000-0005-0000-0000-0000CC690000}"/>
    <cellStyle name="Normal 2 6 2 13 2" xfId="27847" xr:uid="{00000000-0005-0000-0000-0000CD690000}"/>
    <cellStyle name="Normal 2 6 2 13 3" xfId="27848" xr:uid="{00000000-0005-0000-0000-0000CE690000}"/>
    <cellStyle name="Normal 2 6 2 13 4" xfId="27849" xr:uid="{00000000-0005-0000-0000-0000CF690000}"/>
    <cellStyle name="Normal 2 6 2 13 5" xfId="27850" xr:uid="{00000000-0005-0000-0000-0000D0690000}"/>
    <cellStyle name="Normal 2 6 2 13 6" xfId="27851" xr:uid="{00000000-0005-0000-0000-0000D1690000}"/>
    <cellStyle name="Normal 2 6 2 14" xfId="27852" xr:uid="{00000000-0005-0000-0000-0000D2690000}"/>
    <cellStyle name="Normal 2 6 2 14 2" xfId="27853" xr:uid="{00000000-0005-0000-0000-0000D3690000}"/>
    <cellStyle name="Normal 2 6 2 14 3" xfId="27854" xr:uid="{00000000-0005-0000-0000-0000D4690000}"/>
    <cellStyle name="Normal 2 6 2 14 4" xfId="27855" xr:uid="{00000000-0005-0000-0000-0000D5690000}"/>
    <cellStyle name="Normal 2 6 2 14 5" xfId="27856" xr:uid="{00000000-0005-0000-0000-0000D6690000}"/>
    <cellStyle name="Normal 2 6 2 14 6" xfId="27857" xr:uid="{00000000-0005-0000-0000-0000D7690000}"/>
    <cellStyle name="Normal 2 6 2 15" xfId="27858" xr:uid="{00000000-0005-0000-0000-0000D8690000}"/>
    <cellStyle name="Normal 2 6 2 15 2" xfId="27859" xr:uid="{00000000-0005-0000-0000-0000D9690000}"/>
    <cellStyle name="Normal 2 6 2 15 3" xfId="27860" xr:uid="{00000000-0005-0000-0000-0000DA690000}"/>
    <cellStyle name="Normal 2 6 2 15 4" xfId="27861" xr:uid="{00000000-0005-0000-0000-0000DB690000}"/>
    <cellStyle name="Normal 2 6 2 15 5" xfId="27862" xr:uid="{00000000-0005-0000-0000-0000DC690000}"/>
    <cellStyle name="Normal 2 6 2 15 6" xfId="27863" xr:uid="{00000000-0005-0000-0000-0000DD690000}"/>
    <cellStyle name="Normal 2 6 2 16" xfId="27864" xr:uid="{00000000-0005-0000-0000-0000DE690000}"/>
    <cellStyle name="Normal 2 6 2 17" xfId="27865" xr:uid="{00000000-0005-0000-0000-0000DF690000}"/>
    <cellStyle name="Normal 2 6 2 18" xfId="27866" xr:uid="{00000000-0005-0000-0000-0000E0690000}"/>
    <cellStyle name="Normal 2 6 2 19" xfId="27867" xr:uid="{00000000-0005-0000-0000-0000E1690000}"/>
    <cellStyle name="Normal 2 6 2 2" xfId="27868" xr:uid="{00000000-0005-0000-0000-0000E2690000}"/>
    <cellStyle name="Normal 2 6 2 2 2" xfId="27869" xr:uid="{00000000-0005-0000-0000-0000E3690000}"/>
    <cellStyle name="Normal 2 6 2 2 2 2" xfId="27870" xr:uid="{00000000-0005-0000-0000-0000E4690000}"/>
    <cellStyle name="Normal 2 6 2 2 2 3" xfId="27871" xr:uid="{00000000-0005-0000-0000-0000E5690000}"/>
    <cellStyle name="Normal 2 6 2 2 2 4" xfId="27872" xr:uid="{00000000-0005-0000-0000-0000E6690000}"/>
    <cellStyle name="Normal 2 6 2 2 3" xfId="27873" xr:uid="{00000000-0005-0000-0000-0000E7690000}"/>
    <cellStyle name="Normal 2 6 2 2 4" xfId="27874" xr:uid="{00000000-0005-0000-0000-0000E8690000}"/>
    <cellStyle name="Normal 2 6 2 2 5" xfId="27875" xr:uid="{00000000-0005-0000-0000-0000E9690000}"/>
    <cellStyle name="Normal 2 6 2 20" xfId="27876" xr:uid="{00000000-0005-0000-0000-0000EA690000}"/>
    <cellStyle name="Normal 2 6 2 3" xfId="27877" xr:uid="{00000000-0005-0000-0000-0000EB690000}"/>
    <cellStyle name="Normal 2 6 2 3 2" xfId="27878" xr:uid="{00000000-0005-0000-0000-0000EC690000}"/>
    <cellStyle name="Normal 2 6 2 3 3" xfId="27879" xr:uid="{00000000-0005-0000-0000-0000ED690000}"/>
    <cellStyle name="Normal 2 6 2 3 4" xfId="27880" xr:uid="{00000000-0005-0000-0000-0000EE690000}"/>
    <cellStyle name="Normal 2 6 2 4" xfId="27881" xr:uid="{00000000-0005-0000-0000-0000EF690000}"/>
    <cellStyle name="Normal 2 6 2 5" xfId="27882" xr:uid="{00000000-0005-0000-0000-0000F0690000}"/>
    <cellStyle name="Normal 2 6 2 6" xfId="27883" xr:uid="{00000000-0005-0000-0000-0000F1690000}"/>
    <cellStyle name="Normal 2 6 2 7" xfId="27884" xr:uid="{00000000-0005-0000-0000-0000F2690000}"/>
    <cellStyle name="Normal 2 6 2 8" xfId="27885" xr:uid="{00000000-0005-0000-0000-0000F3690000}"/>
    <cellStyle name="Normal 2 6 2 9" xfId="27886" xr:uid="{00000000-0005-0000-0000-0000F4690000}"/>
    <cellStyle name="Normal 2 6 2 9 2" xfId="27887" xr:uid="{00000000-0005-0000-0000-0000F5690000}"/>
    <cellStyle name="Normal 2 6 2 9 3" xfId="27888" xr:uid="{00000000-0005-0000-0000-0000F6690000}"/>
    <cellStyle name="Normal 2 6 2 9 4" xfId="27889" xr:uid="{00000000-0005-0000-0000-0000F7690000}"/>
    <cellStyle name="Normal 2 6 2 9 5" xfId="27890" xr:uid="{00000000-0005-0000-0000-0000F8690000}"/>
    <cellStyle name="Normal 2 6 2 9 6" xfId="27891" xr:uid="{00000000-0005-0000-0000-0000F9690000}"/>
    <cellStyle name="Normal 2 6 20" xfId="27892" xr:uid="{00000000-0005-0000-0000-0000FA690000}"/>
    <cellStyle name="Normal 2 6 21" xfId="27893" xr:uid="{00000000-0005-0000-0000-0000FB690000}"/>
    <cellStyle name="Normal 2 6 22" xfId="27894" xr:uid="{00000000-0005-0000-0000-0000FC690000}"/>
    <cellStyle name="Normal 2 6 23" xfId="27895" xr:uid="{00000000-0005-0000-0000-0000FD690000}"/>
    <cellStyle name="Normal 2 6 24" xfId="27896" xr:uid="{00000000-0005-0000-0000-0000FE690000}"/>
    <cellStyle name="Normal 2 6 25" xfId="27897" xr:uid="{00000000-0005-0000-0000-0000FF690000}"/>
    <cellStyle name="Normal 2 6 26" xfId="27898" xr:uid="{00000000-0005-0000-0000-0000006A0000}"/>
    <cellStyle name="Normal 2 6 27" xfId="27899" xr:uid="{00000000-0005-0000-0000-0000016A0000}"/>
    <cellStyle name="Normal 2 6 28" xfId="27900" xr:uid="{00000000-0005-0000-0000-0000026A0000}"/>
    <cellStyle name="Normal 2 6 29" xfId="27901" xr:uid="{00000000-0005-0000-0000-0000036A0000}"/>
    <cellStyle name="Normal 2 6 3" xfId="27902" xr:uid="{00000000-0005-0000-0000-0000046A0000}"/>
    <cellStyle name="Normal 2 6 3 10" xfId="27903" xr:uid="{00000000-0005-0000-0000-0000056A0000}"/>
    <cellStyle name="Normal 2 6 3 11" xfId="27904" xr:uid="{00000000-0005-0000-0000-0000066A0000}"/>
    <cellStyle name="Normal 2 6 3 12" xfId="27905" xr:uid="{00000000-0005-0000-0000-0000076A0000}"/>
    <cellStyle name="Normal 2 6 3 13" xfId="27906" xr:uid="{00000000-0005-0000-0000-0000086A0000}"/>
    <cellStyle name="Normal 2 6 3 2" xfId="27907" xr:uid="{00000000-0005-0000-0000-0000096A0000}"/>
    <cellStyle name="Normal 2 6 3 2 2" xfId="27908" xr:uid="{00000000-0005-0000-0000-00000A6A0000}"/>
    <cellStyle name="Normal 2 6 3 2 3" xfId="27909" xr:uid="{00000000-0005-0000-0000-00000B6A0000}"/>
    <cellStyle name="Normal 2 6 3 2 4" xfId="27910" xr:uid="{00000000-0005-0000-0000-00000C6A0000}"/>
    <cellStyle name="Normal 2 6 3 2 5" xfId="27911" xr:uid="{00000000-0005-0000-0000-00000D6A0000}"/>
    <cellStyle name="Normal 2 6 3 2 6" xfId="27912" xr:uid="{00000000-0005-0000-0000-00000E6A0000}"/>
    <cellStyle name="Normal 2 6 3 3" xfId="27913" xr:uid="{00000000-0005-0000-0000-00000F6A0000}"/>
    <cellStyle name="Normal 2 6 3 3 2" xfId="27914" xr:uid="{00000000-0005-0000-0000-0000106A0000}"/>
    <cellStyle name="Normal 2 6 3 3 3" xfId="27915" xr:uid="{00000000-0005-0000-0000-0000116A0000}"/>
    <cellStyle name="Normal 2 6 3 3 4" xfId="27916" xr:uid="{00000000-0005-0000-0000-0000126A0000}"/>
    <cellStyle name="Normal 2 6 3 3 5" xfId="27917" xr:uid="{00000000-0005-0000-0000-0000136A0000}"/>
    <cellStyle name="Normal 2 6 3 3 6" xfId="27918" xr:uid="{00000000-0005-0000-0000-0000146A0000}"/>
    <cellStyle name="Normal 2 6 3 4" xfId="27919" xr:uid="{00000000-0005-0000-0000-0000156A0000}"/>
    <cellStyle name="Normal 2 6 3 4 2" xfId="27920" xr:uid="{00000000-0005-0000-0000-0000166A0000}"/>
    <cellStyle name="Normal 2 6 3 4 3" xfId="27921" xr:uid="{00000000-0005-0000-0000-0000176A0000}"/>
    <cellStyle name="Normal 2 6 3 4 4" xfId="27922" xr:uid="{00000000-0005-0000-0000-0000186A0000}"/>
    <cellStyle name="Normal 2 6 3 4 5" xfId="27923" xr:uid="{00000000-0005-0000-0000-0000196A0000}"/>
    <cellStyle name="Normal 2 6 3 4 6" xfId="27924" xr:uid="{00000000-0005-0000-0000-00001A6A0000}"/>
    <cellStyle name="Normal 2 6 3 5" xfId="27925" xr:uid="{00000000-0005-0000-0000-00001B6A0000}"/>
    <cellStyle name="Normal 2 6 3 5 2" xfId="27926" xr:uid="{00000000-0005-0000-0000-00001C6A0000}"/>
    <cellStyle name="Normal 2 6 3 5 3" xfId="27927" xr:uid="{00000000-0005-0000-0000-00001D6A0000}"/>
    <cellStyle name="Normal 2 6 3 5 4" xfId="27928" xr:uid="{00000000-0005-0000-0000-00001E6A0000}"/>
    <cellStyle name="Normal 2 6 3 5 5" xfId="27929" xr:uid="{00000000-0005-0000-0000-00001F6A0000}"/>
    <cellStyle name="Normal 2 6 3 5 6" xfId="27930" xr:uid="{00000000-0005-0000-0000-0000206A0000}"/>
    <cellStyle name="Normal 2 6 3 6" xfId="27931" xr:uid="{00000000-0005-0000-0000-0000216A0000}"/>
    <cellStyle name="Normal 2 6 3 6 2" xfId="27932" xr:uid="{00000000-0005-0000-0000-0000226A0000}"/>
    <cellStyle name="Normal 2 6 3 6 3" xfId="27933" xr:uid="{00000000-0005-0000-0000-0000236A0000}"/>
    <cellStyle name="Normal 2 6 3 6 4" xfId="27934" xr:uid="{00000000-0005-0000-0000-0000246A0000}"/>
    <cellStyle name="Normal 2 6 3 6 5" xfId="27935" xr:uid="{00000000-0005-0000-0000-0000256A0000}"/>
    <cellStyle name="Normal 2 6 3 6 6" xfId="27936" xr:uid="{00000000-0005-0000-0000-0000266A0000}"/>
    <cellStyle name="Normal 2 6 3 7" xfId="27937" xr:uid="{00000000-0005-0000-0000-0000276A0000}"/>
    <cellStyle name="Normal 2 6 3 7 2" xfId="27938" xr:uid="{00000000-0005-0000-0000-0000286A0000}"/>
    <cellStyle name="Normal 2 6 3 7 3" xfId="27939" xr:uid="{00000000-0005-0000-0000-0000296A0000}"/>
    <cellStyle name="Normal 2 6 3 7 4" xfId="27940" xr:uid="{00000000-0005-0000-0000-00002A6A0000}"/>
    <cellStyle name="Normal 2 6 3 7 5" xfId="27941" xr:uid="{00000000-0005-0000-0000-00002B6A0000}"/>
    <cellStyle name="Normal 2 6 3 7 6" xfId="27942" xr:uid="{00000000-0005-0000-0000-00002C6A0000}"/>
    <cellStyle name="Normal 2 6 3 8" xfId="27943" xr:uid="{00000000-0005-0000-0000-00002D6A0000}"/>
    <cellStyle name="Normal 2 6 3 8 2" xfId="27944" xr:uid="{00000000-0005-0000-0000-00002E6A0000}"/>
    <cellStyle name="Normal 2 6 3 8 3" xfId="27945" xr:uid="{00000000-0005-0000-0000-00002F6A0000}"/>
    <cellStyle name="Normal 2 6 3 8 4" xfId="27946" xr:uid="{00000000-0005-0000-0000-0000306A0000}"/>
    <cellStyle name="Normal 2 6 3 8 5" xfId="27947" xr:uid="{00000000-0005-0000-0000-0000316A0000}"/>
    <cellStyle name="Normal 2 6 3 8 6" xfId="27948" xr:uid="{00000000-0005-0000-0000-0000326A0000}"/>
    <cellStyle name="Normal 2 6 3 9" xfId="27949" xr:uid="{00000000-0005-0000-0000-0000336A0000}"/>
    <cellStyle name="Normal 2 6 30" xfId="27950" xr:uid="{00000000-0005-0000-0000-0000346A0000}"/>
    <cellStyle name="Normal 2 6 31" xfId="27951" xr:uid="{00000000-0005-0000-0000-0000356A0000}"/>
    <cellStyle name="Normal 2 6 32" xfId="27952" xr:uid="{00000000-0005-0000-0000-0000366A0000}"/>
    <cellStyle name="Normal 2 6 33" xfId="27953" xr:uid="{00000000-0005-0000-0000-0000376A0000}"/>
    <cellStyle name="Normal 2 6 34" xfId="27954" xr:uid="{00000000-0005-0000-0000-0000386A0000}"/>
    <cellStyle name="Normal 2 6 35" xfId="27955" xr:uid="{00000000-0005-0000-0000-0000396A0000}"/>
    <cellStyle name="Normal 2 6 36" xfId="27956" xr:uid="{00000000-0005-0000-0000-00003A6A0000}"/>
    <cellStyle name="Normal 2 6 37" xfId="27957" xr:uid="{00000000-0005-0000-0000-00003B6A0000}"/>
    <cellStyle name="Normal 2 6 38" xfId="27958" xr:uid="{00000000-0005-0000-0000-00003C6A0000}"/>
    <cellStyle name="Normal 2 6 39" xfId="27959" xr:uid="{00000000-0005-0000-0000-00003D6A0000}"/>
    <cellStyle name="Normal 2 6 4" xfId="27960" xr:uid="{00000000-0005-0000-0000-00003E6A0000}"/>
    <cellStyle name="Normal 2 6 4 10" xfId="27961" xr:uid="{00000000-0005-0000-0000-00003F6A0000}"/>
    <cellStyle name="Normal 2 6 4 11" xfId="27962" xr:uid="{00000000-0005-0000-0000-0000406A0000}"/>
    <cellStyle name="Normal 2 6 4 12" xfId="27963" xr:uid="{00000000-0005-0000-0000-0000416A0000}"/>
    <cellStyle name="Normal 2 6 4 13" xfId="27964" xr:uid="{00000000-0005-0000-0000-0000426A0000}"/>
    <cellStyle name="Normal 2 6 4 2" xfId="27965" xr:uid="{00000000-0005-0000-0000-0000436A0000}"/>
    <cellStyle name="Normal 2 6 4 2 2" xfId="27966" xr:uid="{00000000-0005-0000-0000-0000446A0000}"/>
    <cellStyle name="Normal 2 6 4 2 3" xfId="27967" xr:uid="{00000000-0005-0000-0000-0000456A0000}"/>
    <cellStyle name="Normal 2 6 4 2 4" xfId="27968" xr:uid="{00000000-0005-0000-0000-0000466A0000}"/>
    <cellStyle name="Normal 2 6 4 2 5" xfId="27969" xr:uid="{00000000-0005-0000-0000-0000476A0000}"/>
    <cellStyle name="Normal 2 6 4 2 6" xfId="27970" xr:uid="{00000000-0005-0000-0000-0000486A0000}"/>
    <cellStyle name="Normal 2 6 4 3" xfId="27971" xr:uid="{00000000-0005-0000-0000-0000496A0000}"/>
    <cellStyle name="Normal 2 6 4 3 2" xfId="27972" xr:uid="{00000000-0005-0000-0000-00004A6A0000}"/>
    <cellStyle name="Normal 2 6 4 3 3" xfId="27973" xr:uid="{00000000-0005-0000-0000-00004B6A0000}"/>
    <cellStyle name="Normal 2 6 4 3 4" xfId="27974" xr:uid="{00000000-0005-0000-0000-00004C6A0000}"/>
    <cellStyle name="Normal 2 6 4 3 5" xfId="27975" xr:uid="{00000000-0005-0000-0000-00004D6A0000}"/>
    <cellStyle name="Normal 2 6 4 3 6" xfId="27976" xr:uid="{00000000-0005-0000-0000-00004E6A0000}"/>
    <cellStyle name="Normal 2 6 4 4" xfId="27977" xr:uid="{00000000-0005-0000-0000-00004F6A0000}"/>
    <cellStyle name="Normal 2 6 4 4 2" xfId="27978" xr:uid="{00000000-0005-0000-0000-0000506A0000}"/>
    <cellStyle name="Normal 2 6 4 4 3" xfId="27979" xr:uid="{00000000-0005-0000-0000-0000516A0000}"/>
    <cellStyle name="Normal 2 6 4 4 4" xfId="27980" xr:uid="{00000000-0005-0000-0000-0000526A0000}"/>
    <cellStyle name="Normal 2 6 4 4 5" xfId="27981" xr:uid="{00000000-0005-0000-0000-0000536A0000}"/>
    <cellStyle name="Normal 2 6 4 4 6" xfId="27982" xr:uid="{00000000-0005-0000-0000-0000546A0000}"/>
    <cellStyle name="Normal 2 6 4 5" xfId="27983" xr:uid="{00000000-0005-0000-0000-0000556A0000}"/>
    <cellStyle name="Normal 2 6 4 5 2" xfId="27984" xr:uid="{00000000-0005-0000-0000-0000566A0000}"/>
    <cellStyle name="Normal 2 6 4 5 3" xfId="27985" xr:uid="{00000000-0005-0000-0000-0000576A0000}"/>
    <cellStyle name="Normal 2 6 4 5 4" xfId="27986" xr:uid="{00000000-0005-0000-0000-0000586A0000}"/>
    <cellStyle name="Normal 2 6 4 5 5" xfId="27987" xr:uid="{00000000-0005-0000-0000-0000596A0000}"/>
    <cellStyle name="Normal 2 6 4 5 6" xfId="27988" xr:uid="{00000000-0005-0000-0000-00005A6A0000}"/>
    <cellStyle name="Normal 2 6 4 6" xfId="27989" xr:uid="{00000000-0005-0000-0000-00005B6A0000}"/>
    <cellStyle name="Normal 2 6 4 6 2" xfId="27990" xr:uid="{00000000-0005-0000-0000-00005C6A0000}"/>
    <cellStyle name="Normal 2 6 4 6 3" xfId="27991" xr:uid="{00000000-0005-0000-0000-00005D6A0000}"/>
    <cellStyle name="Normal 2 6 4 6 4" xfId="27992" xr:uid="{00000000-0005-0000-0000-00005E6A0000}"/>
    <cellStyle name="Normal 2 6 4 6 5" xfId="27993" xr:uid="{00000000-0005-0000-0000-00005F6A0000}"/>
    <cellStyle name="Normal 2 6 4 6 6" xfId="27994" xr:uid="{00000000-0005-0000-0000-0000606A0000}"/>
    <cellStyle name="Normal 2 6 4 7" xfId="27995" xr:uid="{00000000-0005-0000-0000-0000616A0000}"/>
    <cellStyle name="Normal 2 6 4 7 2" xfId="27996" xr:uid="{00000000-0005-0000-0000-0000626A0000}"/>
    <cellStyle name="Normal 2 6 4 7 3" xfId="27997" xr:uid="{00000000-0005-0000-0000-0000636A0000}"/>
    <cellStyle name="Normal 2 6 4 7 4" xfId="27998" xr:uid="{00000000-0005-0000-0000-0000646A0000}"/>
    <cellStyle name="Normal 2 6 4 7 5" xfId="27999" xr:uid="{00000000-0005-0000-0000-0000656A0000}"/>
    <cellStyle name="Normal 2 6 4 7 6" xfId="28000" xr:uid="{00000000-0005-0000-0000-0000666A0000}"/>
    <cellStyle name="Normal 2 6 4 8" xfId="28001" xr:uid="{00000000-0005-0000-0000-0000676A0000}"/>
    <cellStyle name="Normal 2 6 4 8 2" xfId="28002" xr:uid="{00000000-0005-0000-0000-0000686A0000}"/>
    <cellStyle name="Normal 2 6 4 8 3" xfId="28003" xr:uid="{00000000-0005-0000-0000-0000696A0000}"/>
    <cellStyle name="Normal 2 6 4 8 4" xfId="28004" xr:uid="{00000000-0005-0000-0000-00006A6A0000}"/>
    <cellStyle name="Normal 2 6 4 8 5" xfId="28005" xr:uid="{00000000-0005-0000-0000-00006B6A0000}"/>
    <cellStyle name="Normal 2 6 4 8 6" xfId="28006" xr:uid="{00000000-0005-0000-0000-00006C6A0000}"/>
    <cellStyle name="Normal 2 6 4 9" xfId="28007" xr:uid="{00000000-0005-0000-0000-00006D6A0000}"/>
    <cellStyle name="Normal 2 6 40" xfId="28008" xr:uid="{00000000-0005-0000-0000-00006E6A0000}"/>
    <cellStyle name="Normal 2 6 41" xfId="28009" xr:uid="{00000000-0005-0000-0000-00006F6A0000}"/>
    <cellStyle name="Normal 2 6 42" xfId="28010" xr:uid="{00000000-0005-0000-0000-0000706A0000}"/>
    <cellStyle name="Normal 2 6 43" xfId="28011" xr:uid="{00000000-0005-0000-0000-0000716A0000}"/>
    <cellStyle name="Normal 2 6 44" xfId="28012" xr:uid="{00000000-0005-0000-0000-0000726A0000}"/>
    <cellStyle name="Normal 2 6 45" xfId="28013" xr:uid="{00000000-0005-0000-0000-0000736A0000}"/>
    <cellStyle name="Normal 2 6 46" xfId="28014" xr:uid="{00000000-0005-0000-0000-0000746A0000}"/>
    <cellStyle name="Normal 2 6 47" xfId="28015" xr:uid="{00000000-0005-0000-0000-0000756A0000}"/>
    <cellStyle name="Normal 2 6 48" xfId="28016" xr:uid="{00000000-0005-0000-0000-0000766A0000}"/>
    <cellStyle name="Normal 2 6 49" xfId="28017" xr:uid="{00000000-0005-0000-0000-0000776A0000}"/>
    <cellStyle name="Normal 2 6 5" xfId="28018" xr:uid="{00000000-0005-0000-0000-0000786A0000}"/>
    <cellStyle name="Normal 2 6 5 10" xfId="28019" xr:uid="{00000000-0005-0000-0000-0000796A0000}"/>
    <cellStyle name="Normal 2 6 5 11" xfId="28020" xr:uid="{00000000-0005-0000-0000-00007A6A0000}"/>
    <cellStyle name="Normal 2 6 5 12" xfId="28021" xr:uid="{00000000-0005-0000-0000-00007B6A0000}"/>
    <cellStyle name="Normal 2 6 5 13" xfId="28022" xr:uid="{00000000-0005-0000-0000-00007C6A0000}"/>
    <cellStyle name="Normal 2 6 5 2" xfId="28023" xr:uid="{00000000-0005-0000-0000-00007D6A0000}"/>
    <cellStyle name="Normal 2 6 5 2 2" xfId="28024" xr:uid="{00000000-0005-0000-0000-00007E6A0000}"/>
    <cellStyle name="Normal 2 6 5 2 3" xfId="28025" xr:uid="{00000000-0005-0000-0000-00007F6A0000}"/>
    <cellStyle name="Normal 2 6 5 2 4" xfId="28026" xr:uid="{00000000-0005-0000-0000-0000806A0000}"/>
    <cellStyle name="Normal 2 6 5 2 5" xfId="28027" xr:uid="{00000000-0005-0000-0000-0000816A0000}"/>
    <cellStyle name="Normal 2 6 5 2 6" xfId="28028" xr:uid="{00000000-0005-0000-0000-0000826A0000}"/>
    <cellStyle name="Normal 2 6 5 3" xfId="28029" xr:uid="{00000000-0005-0000-0000-0000836A0000}"/>
    <cellStyle name="Normal 2 6 5 3 2" xfId="28030" xr:uid="{00000000-0005-0000-0000-0000846A0000}"/>
    <cellStyle name="Normal 2 6 5 3 3" xfId="28031" xr:uid="{00000000-0005-0000-0000-0000856A0000}"/>
    <cellStyle name="Normal 2 6 5 3 4" xfId="28032" xr:uid="{00000000-0005-0000-0000-0000866A0000}"/>
    <cellStyle name="Normal 2 6 5 3 5" xfId="28033" xr:uid="{00000000-0005-0000-0000-0000876A0000}"/>
    <cellStyle name="Normal 2 6 5 3 6" xfId="28034" xr:uid="{00000000-0005-0000-0000-0000886A0000}"/>
    <cellStyle name="Normal 2 6 5 4" xfId="28035" xr:uid="{00000000-0005-0000-0000-0000896A0000}"/>
    <cellStyle name="Normal 2 6 5 4 2" xfId="28036" xr:uid="{00000000-0005-0000-0000-00008A6A0000}"/>
    <cellStyle name="Normal 2 6 5 4 3" xfId="28037" xr:uid="{00000000-0005-0000-0000-00008B6A0000}"/>
    <cellStyle name="Normal 2 6 5 4 4" xfId="28038" xr:uid="{00000000-0005-0000-0000-00008C6A0000}"/>
    <cellStyle name="Normal 2 6 5 4 5" xfId="28039" xr:uid="{00000000-0005-0000-0000-00008D6A0000}"/>
    <cellStyle name="Normal 2 6 5 4 6" xfId="28040" xr:uid="{00000000-0005-0000-0000-00008E6A0000}"/>
    <cellStyle name="Normal 2 6 5 5" xfId="28041" xr:uid="{00000000-0005-0000-0000-00008F6A0000}"/>
    <cellStyle name="Normal 2 6 5 5 2" xfId="28042" xr:uid="{00000000-0005-0000-0000-0000906A0000}"/>
    <cellStyle name="Normal 2 6 5 5 3" xfId="28043" xr:uid="{00000000-0005-0000-0000-0000916A0000}"/>
    <cellStyle name="Normal 2 6 5 5 4" xfId="28044" xr:uid="{00000000-0005-0000-0000-0000926A0000}"/>
    <cellStyle name="Normal 2 6 5 5 5" xfId="28045" xr:uid="{00000000-0005-0000-0000-0000936A0000}"/>
    <cellStyle name="Normal 2 6 5 5 6" xfId="28046" xr:uid="{00000000-0005-0000-0000-0000946A0000}"/>
    <cellStyle name="Normal 2 6 5 6" xfId="28047" xr:uid="{00000000-0005-0000-0000-0000956A0000}"/>
    <cellStyle name="Normal 2 6 5 6 2" xfId="28048" xr:uid="{00000000-0005-0000-0000-0000966A0000}"/>
    <cellStyle name="Normal 2 6 5 6 3" xfId="28049" xr:uid="{00000000-0005-0000-0000-0000976A0000}"/>
    <cellStyle name="Normal 2 6 5 6 4" xfId="28050" xr:uid="{00000000-0005-0000-0000-0000986A0000}"/>
    <cellStyle name="Normal 2 6 5 6 5" xfId="28051" xr:uid="{00000000-0005-0000-0000-0000996A0000}"/>
    <cellStyle name="Normal 2 6 5 6 6" xfId="28052" xr:uid="{00000000-0005-0000-0000-00009A6A0000}"/>
    <cellStyle name="Normal 2 6 5 7" xfId="28053" xr:uid="{00000000-0005-0000-0000-00009B6A0000}"/>
    <cellStyle name="Normal 2 6 5 7 2" xfId="28054" xr:uid="{00000000-0005-0000-0000-00009C6A0000}"/>
    <cellStyle name="Normal 2 6 5 7 3" xfId="28055" xr:uid="{00000000-0005-0000-0000-00009D6A0000}"/>
    <cellStyle name="Normal 2 6 5 7 4" xfId="28056" xr:uid="{00000000-0005-0000-0000-00009E6A0000}"/>
    <cellStyle name="Normal 2 6 5 7 5" xfId="28057" xr:uid="{00000000-0005-0000-0000-00009F6A0000}"/>
    <cellStyle name="Normal 2 6 5 7 6" xfId="28058" xr:uid="{00000000-0005-0000-0000-0000A06A0000}"/>
    <cellStyle name="Normal 2 6 5 8" xfId="28059" xr:uid="{00000000-0005-0000-0000-0000A16A0000}"/>
    <cellStyle name="Normal 2 6 5 8 2" xfId="28060" xr:uid="{00000000-0005-0000-0000-0000A26A0000}"/>
    <cellStyle name="Normal 2 6 5 8 3" xfId="28061" xr:uid="{00000000-0005-0000-0000-0000A36A0000}"/>
    <cellStyle name="Normal 2 6 5 8 4" xfId="28062" xr:uid="{00000000-0005-0000-0000-0000A46A0000}"/>
    <cellStyle name="Normal 2 6 5 8 5" xfId="28063" xr:uid="{00000000-0005-0000-0000-0000A56A0000}"/>
    <cellStyle name="Normal 2 6 5 8 6" xfId="28064" xr:uid="{00000000-0005-0000-0000-0000A66A0000}"/>
    <cellStyle name="Normal 2 6 5 9" xfId="28065" xr:uid="{00000000-0005-0000-0000-0000A76A0000}"/>
    <cellStyle name="Normal 2 6 50" xfId="28066" xr:uid="{00000000-0005-0000-0000-0000A86A0000}"/>
    <cellStyle name="Normal 2 6 51" xfId="28067" xr:uid="{00000000-0005-0000-0000-0000A96A0000}"/>
    <cellStyle name="Normal 2 6 52" xfId="28068" xr:uid="{00000000-0005-0000-0000-0000AA6A0000}"/>
    <cellStyle name="Normal 2 6 53" xfId="28069" xr:uid="{00000000-0005-0000-0000-0000AB6A0000}"/>
    <cellStyle name="Normal 2 6 6" xfId="28070" xr:uid="{00000000-0005-0000-0000-0000AC6A0000}"/>
    <cellStyle name="Normal 2 6 6 10" xfId="28071" xr:uid="{00000000-0005-0000-0000-0000AD6A0000}"/>
    <cellStyle name="Normal 2 6 6 11" xfId="28072" xr:uid="{00000000-0005-0000-0000-0000AE6A0000}"/>
    <cellStyle name="Normal 2 6 6 12" xfId="28073" xr:uid="{00000000-0005-0000-0000-0000AF6A0000}"/>
    <cellStyle name="Normal 2 6 6 13" xfId="28074" xr:uid="{00000000-0005-0000-0000-0000B06A0000}"/>
    <cellStyle name="Normal 2 6 6 2" xfId="28075" xr:uid="{00000000-0005-0000-0000-0000B16A0000}"/>
    <cellStyle name="Normal 2 6 6 2 2" xfId="28076" xr:uid="{00000000-0005-0000-0000-0000B26A0000}"/>
    <cellStyle name="Normal 2 6 6 2 3" xfId="28077" xr:uid="{00000000-0005-0000-0000-0000B36A0000}"/>
    <cellStyle name="Normal 2 6 6 2 4" xfId="28078" xr:uid="{00000000-0005-0000-0000-0000B46A0000}"/>
    <cellStyle name="Normal 2 6 6 2 5" xfId="28079" xr:uid="{00000000-0005-0000-0000-0000B56A0000}"/>
    <cellStyle name="Normal 2 6 6 2 6" xfId="28080" xr:uid="{00000000-0005-0000-0000-0000B66A0000}"/>
    <cellStyle name="Normal 2 6 6 3" xfId="28081" xr:uid="{00000000-0005-0000-0000-0000B76A0000}"/>
    <cellStyle name="Normal 2 6 6 3 2" xfId="28082" xr:uid="{00000000-0005-0000-0000-0000B86A0000}"/>
    <cellStyle name="Normal 2 6 6 3 3" xfId="28083" xr:uid="{00000000-0005-0000-0000-0000B96A0000}"/>
    <cellStyle name="Normal 2 6 6 3 4" xfId="28084" xr:uid="{00000000-0005-0000-0000-0000BA6A0000}"/>
    <cellStyle name="Normal 2 6 6 3 5" xfId="28085" xr:uid="{00000000-0005-0000-0000-0000BB6A0000}"/>
    <cellStyle name="Normal 2 6 6 3 6" xfId="28086" xr:uid="{00000000-0005-0000-0000-0000BC6A0000}"/>
    <cellStyle name="Normal 2 6 6 4" xfId="28087" xr:uid="{00000000-0005-0000-0000-0000BD6A0000}"/>
    <cellStyle name="Normal 2 6 6 4 2" xfId="28088" xr:uid="{00000000-0005-0000-0000-0000BE6A0000}"/>
    <cellStyle name="Normal 2 6 6 4 3" xfId="28089" xr:uid="{00000000-0005-0000-0000-0000BF6A0000}"/>
    <cellStyle name="Normal 2 6 6 4 4" xfId="28090" xr:uid="{00000000-0005-0000-0000-0000C06A0000}"/>
    <cellStyle name="Normal 2 6 6 4 5" xfId="28091" xr:uid="{00000000-0005-0000-0000-0000C16A0000}"/>
    <cellStyle name="Normal 2 6 6 4 6" xfId="28092" xr:uid="{00000000-0005-0000-0000-0000C26A0000}"/>
    <cellStyle name="Normal 2 6 6 5" xfId="28093" xr:uid="{00000000-0005-0000-0000-0000C36A0000}"/>
    <cellStyle name="Normal 2 6 6 5 2" xfId="28094" xr:uid="{00000000-0005-0000-0000-0000C46A0000}"/>
    <cellStyle name="Normal 2 6 6 5 3" xfId="28095" xr:uid="{00000000-0005-0000-0000-0000C56A0000}"/>
    <cellStyle name="Normal 2 6 6 5 4" xfId="28096" xr:uid="{00000000-0005-0000-0000-0000C66A0000}"/>
    <cellStyle name="Normal 2 6 6 5 5" xfId="28097" xr:uid="{00000000-0005-0000-0000-0000C76A0000}"/>
    <cellStyle name="Normal 2 6 6 5 6" xfId="28098" xr:uid="{00000000-0005-0000-0000-0000C86A0000}"/>
    <cellStyle name="Normal 2 6 6 6" xfId="28099" xr:uid="{00000000-0005-0000-0000-0000C96A0000}"/>
    <cellStyle name="Normal 2 6 6 6 2" xfId="28100" xr:uid="{00000000-0005-0000-0000-0000CA6A0000}"/>
    <cellStyle name="Normal 2 6 6 6 3" xfId="28101" xr:uid="{00000000-0005-0000-0000-0000CB6A0000}"/>
    <cellStyle name="Normal 2 6 6 6 4" xfId="28102" xr:uid="{00000000-0005-0000-0000-0000CC6A0000}"/>
    <cellStyle name="Normal 2 6 6 6 5" xfId="28103" xr:uid="{00000000-0005-0000-0000-0000CD6A0000}"/>
    <cellStyle name="Normal 2 6 6 6 6" xfId="28104" xr:uid="{00000000-0005-0000-0000-0000CE6A0000}"/>
    <cellStyle name="Normal 2 6 6 7" xfId="28105" xr:uid="{00000000-0005-0000-0000-0000CF6A0000}"/>
    <cellStyle name="Normal 2 6 6 7 2" xfId="28106" xr:uid="{00000000-0005-0000-0000-0000D06A0000}"/>
    <cellStyle name="Normal 2 6 6 7 3" xfId="28107" xr:uid="{00000000-0005-0000-0000-0000D16A0000}"/>
    <cellStyle name="Normal 2 6 6 7 4" xfId="28108" xr:uid="{00000000-0005-0000-0000-0000D26A0000}"/>
    <cellStyle name="Normal 2 6 6 7 5" xfId="28109" xr:uid="{00000000-0005-0000-0000-0000D36A0000}"/>
    <cellStyle name="Normal 2 6 6 7 6" xfId="28110" xr:uid="{00000000-0005-0000-0000-0000D46A0000}"/>
    <cellStyle name="Normal 2 6 6 8" xfId="28111" xr:uid="{00000000-0005-0000-0000-0000D56A0000}"/>
    <cellStyle name="Normal 2 6 6 8 2" xfId="28112" xr:uid="{00000000-0005-0000-0000-0000D66A0000}"/>
    <cellStyle name="Normal 2 6 6 8 3" xfId="28113" xr:uid="{00000000-0005-0000-0000-0000D76A0000}"/>
    <cellStyle name="Normal 2 6 6 8 4" xfId="28114" xr:uid="{00000000-0005-0000-0000-0000D86A0000}"/>
    <cellStyle name="Normal 2 6 6 8 5" xfId="28115" xr:uid="{00000000-0005-0000-0000-0000D96A0000}"/>
    <cellStyle name="Normal 2 6 6 8 6" xfId="28116" xr:uid="{00000000-0005-0000-0000-0000DA6A0000}"/>
    <cellStyle name="Normal 2 6 6 9" xfId="28117" xr:uid="{00000000-0005-0000-0000-0000DB6A0000}"/>
    <cellStyle name="Normal 2 6 7" xfId="28118" xr:uid="{00000000-0005-0000-0000-0000DC6A0000}"/>
    <cellStyle name="Normal 2 6 7 10" xfId="28119" xr:uid="{00000000-0005-0000-0000-0000DD6A0000}"/>
    <cellStyle name="Normal 2 6 7 11" xfId="28120" xr:uid="{00000000-0005-0000-0000-0000DE6A0000}"/>
    <cellStyle name="Normal 2 6 7 12" xfId="28121" xr:uid="{00000000-0005-0000-0000-0000DF6A0000}"/>
    <cellStyle name="Normal 2 6 7 13" xfId="28122" xr:uid="{00000000-0005-0000-0000-0000E06A0000}"/>
    <cellStyle name="Normal 2 6 7 2" xfId="28123" xr:uid="{00000000-0005-0000-0000-0000E16A0000}"/>
    <cellStyle name="Normal 2 6 7 2 2" xfId="28124" xr:uid="{00000000-0005-0000-0000-0000E26A0000}"/>
    <cellStyle name="Normal 2 6 7 2 3" xfId="28125" xr:uid="{00000000-0005-0000-0000-0000E36A0000}"/>
    <cellStyle name="Normal 2 6 7 2 4" xfId="28126" xr:uid="{00000000-0005-0000-0000-0000E46A0000}"/>
    <cellStyle name="Normal 2 6 7 2 5" xfId="28127" xr:uid="{00000000-0005-0000-0000-0000E56A0000}"/>
    <cellStyle name="Normal 2 6 7 2 6" xfId="28128" xr:uid="{00000000-0005-0000-0000-0000E66A0000}"/>
    <cellStyle name="Normal 2 6 7 3" xfId="28129" xr:uid="{00000000-0005-0000-0000-0000E76A0000}"/>
    <cellStyle name="Normal 2 6 7 3 2" xfId="28130" xr:uid="{00000000-0005-0000-0000-0000E86A0000}"/>
    <cellStyle name="Normal 2 6 7 3 3" xfId="28131" xr:uid="{00000000-0005-0000-0000-0000E96A0000}"/>
    <cellStyle name="Normal 2 6 7 3 4" xfId="28132" xr:uid="{00000000-0005-0000-0000-0000EA6A0000}"/>
    <cellStyle name="Normal 2 6 7 3 5" xfId="28133" xr:uid="{00000000-0005-0000-0000-0000EB6A0000}"/>
    <cellStyle name="Normal 2 6 7 3 6" xfId="28134" xr:uid="{00000000-0005-0000-0000-0000EC6A0000}"/>
    <cellStyle name="Normal 2 6 7 4" xfId="28135" xr:uid="{00000000-0005-0000-0000-0000ED6A0000}"/>
    <cellStyle name="Normal 2 6 7 4 2" xfId="28136" xr:uid="{00000000-0005-0000-0000-0000EE6A0000}"/>
    <cellStyle name="Normal 2 6 7 4 3" xfId="28137" xr:uid="{00000000-0005-0000-0000-0000EF6A0000}"/>
    <cellStyle name="Normal 2 6 7 4 4" xfId="28138" xr:uid="{00000000-0005-0000-0000-0000F06A0000}"/>
    <cellStyle name="Normal 2 6 7 4 5" xfId="28139" xr:uid="{00000000-0005-0000-0000-0000F16A0000}"/>
    <cellStyle name="Normal 2 6 7 4 6" xfId="28140" xr:uid="{00000000-0005-0000-0000-0000F26A0000}"/>
    <cellStyle name="Normal 2 6 7 5" xfId="28141" xr:uid="{00000000-0005-0000-0000-0000F36A0000}"/>
    <cellStyle name="Normal 2 6 7 5 2" xfId="28142" xr:uid="{00000000-0005-0000-0000-0000F46A0000}"/>
    <cellStyle name="Normal 2 6 7 5 3" xfId="28143" xr:uid="{00000000-0005-0000-0000-0000F56A0000}"/>
    <cellStyle name="Normal 2 6 7 5 4" xfId="28144" xr:uid="{00000000-0005-0000-0000-0000F66A0000}"/>
    <cellStyle name="Normal 2 6 7 5 5" xfId="28145" xr:uid="{00000000-0005-0000-0000-0000F76A0000}"/>
    <cellStyle name="Normal 2 6 7 5 6" xfId="28146" xr:uid="{00000000-0005-0000-0000-0000F86A0000}"/>
    <cellStyle name="Normal 2 6 7 6" xfId="28147" xr:uid="{00000000-0005-0000-0000-0000F96A0000}"/>
    <cellStyle name="Normal 2 6 7 6 2" xfId="28148" xr:uid="{00000000-0005-0000-0000-0000FA6A0000}"/>
    <cellStyle name="Normal 2 6 7 6 3" xfId="28149" xr:uid="{00000000-0005-0000-0000-0000FB6A0000}"/>
    <cellStyle name="Normal 2 6 7 6 4" xfId="28150" xr:uid="{00000000-0005-0000-0000-0000FC6A0000}"/>
    <cellStyle name="Normal 2 6 7 6 5" xfId="28151" xr:uid="{00000000-0005-0000-0000-0000FD6A0000}"/>
    <cellStyle name="Normal 2 6 7 6 6" xfId="28152" xr:uid="{00000000-0005-0000-0000-0000FE6A0000}"/>
    <cellStyle name="Normal 2 6 7 7" xfId="28153" xr:uid="{00000000-0005-0000-0000-0000FF6A0000}"/>
    <cellStyle name="Normal 2 6 7 7 2" xfId="28154" xr:uid="{00000000-0005-0000-0000-0000006B0000}"/>
    <cellStyle name="Normal 2 6 7 7 3" xfId="28155" xr:uid="{00000000-0005-0000-0000-0000016B0000}"/>
    <cellStyle name="Normal 2 6 7 7 4" xfId="28156" xr:uid="{00000000-0005-0000-0000-0000026B0000}"/>
    <cellStyle name="Normal 2 6 7 7 5" xfId="28157" xr:uid="{00000000-0005-0000-0000-0000036B0000}"/>
    <cellStyle name="Normal 2 6 7 7 6" xfId="28158" xr:uid="{00000000-0005-0000-0000-0000046B0000}"/>
    <cellStyle name="Normal 2 6 7 8" xfId="28159" xr:uid="{00000000-0005-0000-0000-0000056B0000}"/>
    <cellStyle name="Normal 2 6 7 8 2" xfId="28160" xr:uid="{00000000-0005-0000-0000-0000066B0000}"/>
    <cellStyle name="Normal 2 6 7 8 3" xfId="28161" xr:uid="{00000000-0005-0000-0000-0000076B0000}"/>
    <cellStyle name="Normal 2 6 7 8 4" xfId="28162" xr:uid="{00000000-0005-0000-0000-0000086B0000}"/>
    <cellStyle name="Normal 2 6 7 8 5" xfId="28163" xr:uid="{00000000-0005-0000-0000-0000096B0000}"/>
    <cellStyle name="Normal 2 6 7 8 6" xfId="28164" xr:uid="{00000000-0005-0000-0000-00000A6B0000}"/>
    <cellStyle name="Normal 2 6 7 9" xfId="28165" xr:uid="{00000000-0005-0000-0000-00000B6B0000}"/>
    <cellStyle name="Normal 2 6 8" xfId="28166" xr:uid="{00000000-0005-0000-0000-00000C6B0000}"/>
    <cellStyle name="Normal 2 6 8 10" xfId="28167" xr:uid="{00000000-0005-0000-0000-00000D6B0000}"/>
    <cellStyle name="Normal 2 6 8 11" xfId="28168" xr:uid="{00000000-0005-0000-0000-00000E6B0000}"/>
    <cellStyle name="Normal 2 6 8 12" xfId="28169" xr:uid="{00000000-0005-0000-0000-00000F6B0000}"/>
    <cellStyle name="Normal 2 6 8 13" xfId="28170" xr:uid="{00000000-0005-0000-0000-0000106B0000}"/>
    <cellStyle name="Normal 2 6 8 2" xfId="28171" xr:uid="{00000000-0005-0000-0000-0000116B0000}"/>
    <cellStyle name="Normal 2 6 8 2 2" xfId="28172" xr:uid="{00000000-0005-0000-0000-0000126B0000}"/>
    <cellStyle name="Normal 2 6 8 2 3" xfId="28173" xr:uid="{00000000-0005-0000-0000-0000136B0000}"/>
    <cellStyle name="Normal 2 6 8 2 4" xfId="28174" xr:uid="{00000000-0005-0000-0000-0000146B0000}"/>
    <cellStyle name="Normal 2 6 8 2 5" xfId="28175" xr:uid="{00000000-0005-0000-0000-0000156B0000}"/>
    <cellStyle name="Normal 2 6 8 2 6" xfId="28176" xr:uid="{00000000-0005-0000-0000-0000166B0000}"/>
    <cellStyle name="Normal 2 6 8 3" xfId="28177" xr:uid="{00000000-0005-0000-0000-0000176B0000}"/>
    <cellStyle name="Normal 2 6 8 3 2" xfId="28178" xr:uid="{00000000-0005-0000-0000-0000186B0000}"/>
    <cellStyle name="Normal 2 6 8 3 3" xfId="28179" xr:uid="{00000000-0005-0000-0000-0000196B0000}"/>
    <cellStyle name="Normal 2 6 8 3 4" xfId="28180" xr:uid="{00000000-0005-0000-0000-00001A6B0000}"/>
    <cellStyle name="Normal 2 6 8 3 5" xfId="28181" xr:uid="{00000000-0005-0000-0000-00001B6B0000}"/>
    <cellStyle name="Normal 2 6 8 3 6" xfId="28182" xr:uid="{00000000-0005-0000-0000-00001C6B0000}"/>
    <cellStyle name="Normal 2 6 8 4" xfId="28183" xr:uid="{00000000-0005-0000-0000-00001D6B0000}"/>
    <cellStyle name="Normal 2 6 8 4 2" xfId="28184" xr:uid="{00000000-0005-0000-0000-00001E6B0000}"/>
    <cellStyle name="Normal 2 6 8 4 3" xfId="28185" xr:uid="{00000000-0005-0000-0000-00001F6B0000}"/>
    <cellStyle name="Normal 2 6 8 4 4" xfId="28186" xr:uid="{00000000-0005-0000-0000-0000206B0000}"/>
    <cellStyle name="Normal 2 6 8 4 5" xfId="28187" xr:uid="{00000000-0005-0000-0000-0000216B0000}"/>
    <cellStyle name="Normal 2 6 8 4 6" xfId="28188" xr:uid="{00000000-0005-0000-0000-0000226B0000}"/>
    <cellStyle name="Normal 2 6 8 5" xfId="28189" xr:uid="{00000000-0005-0000-0000-0000236B0000}"/>
    <cellStyle name="Normal 2 6 8 5 2" xfId="28190" xr:uid="{00000000-0005-0000-0000-0000246B0000}"/>
    <cellStyle name="Normal 2 6 8 5 3" xfId="28191" xr:uid="{00000000-0005-0000-0000-0000256B0000}"/>
    <cellStyle name="Normal 2 6 8 5 4" xfId="28192" xr:uid="{00000000-0005-0000-0000-0000266B0000}"/>
    <cellStyle name="Normal 2 6 8 5 5" xfId="28193" xr:uid="{00000000-0005-0000-0000-0000276B0000}"/>
    <cellStyle name="Normal 2 6 8 5 6" xfId="28194" xr:uid="{00000000-0005-0000-0000-0000286B0000}"/>
    <cellStyle name="Normal 2 6 8 6" xfId="28195" xr:uid="{00000000-0005-0000-0000-0000296B0000}"/>
    <cellStyle name="Normal 2 6 8 6 2" xfId="28196" xr:uid="{00000000-0005-0000-0000-00002A6B0000}"/>
    <cellStyle name="Normal 2 6 8 6 3" xfId="28197" xr:uid="{00000000-0005-0000-0000-00002B6B0000}"/>
    <cellStyle name="Normal 2 6 8 6 4" xfId="28198" xr:uid="{00000000-0005-0000-0000-00002C6B0000}"/>
    <cellStyle name="Normal 2 6 8 6 5" xfId="28199" xr:uid="{00000000-0005-0000-0000-00002D6B0000}"/>
    <cellStyle name="Normal 2 6 8 6 6" xfId="28200" xr:uid="{00000000-0005-0000-0000-00002E6B0000}"/>
    <cellStyle name="Normal 2 6 8 7" xfId="28201" xr:uid="{00000000-0005-0000-0000-00002F6B0000}"/>
    <cellStyle name="Normal 2 6 8 7 2" xfId="28202" xr:uid="{00000000-0005-0000-0000-0000306B0000}"/>
    <cellStyle name="Normal 2 6 8 7 3" xfId="28203" xr:uid="{00000000-0005-0000-0000-0000316B0000}"/>
    <cellStyle name="Normal 2 6 8 7 4" xfId="28204" xr:uid="{00000000-0005-0000-0000-0000326B0000}"/>
    <cellStyle name="Normal 2 6 8 7 5" xfId="28205" xr:uid="{00000000-0005-0000-0000-0000336B0000}"/>
    <cellStyle name="Normal 2 6 8 7 6" xfId="28206" xr:uid="{00000000-0005-0000-0000-0000346B0000}"/>
    <cellStyle name="Normal 2 6 8 8" xfId="28207" xr:uid="{00000000-0005-0000-0000-0000356B0000}"/>
    <cellStyle name="Normal 2 6 8 8 2" xfId="28208" xr:uid="{00000000-0005-0000-0000-0000366B0000}"/>
    <cellStyle name="Normal 2 6 8 8 3" xfId="28209" xr:uid="{00000000-0005-0000-0000-0000376B0000}"/>
    <cellStyle name="Normal 2 6 8 8 4" xfId="28210" xr:uid="{00000000-0005-0000-0000-0000386B0000}"/>
    <cellStyle name="Normal 2 6 8 8 5" xfId="28211" xr:uid="{00000000-0005-0000-0000-0000396B0000}"/>
    <cellStyle name="Normal 2 6 8 8 6" xfId="28212" xr:uid="{00000000-0005-0000-0000-00003A6B0000}"/>
    <cellStyle name="Normal 2 6 8 9" xfId="28213" xr:uid="{00000000-0005-0000-0000-00003B6B0000}"/>
    <cellStyle name="Normal 2 6 9" xfId="28214" xr:uid="{00000000-0005-0000-0000-00003C6B0000}"/>
    <cellStyle name="Normal 2 60" xfId="28215" xr:uid="{00000000-0005-0000-0000-00003D6B0000}"/>
    <cellStyle name="Normal 2 60 2" xfId="28216" xr:uid="{00000000-0005-0000-0000-00003E6B0000}"/>
    <cellStyle name="Normal 2 60 3" xfId="28217" xr:uid="{00000000-0005-0000-0000-00003F6B0000}"/>
    <cellStyle name="Normal 2 60 4" xfId="28218" xr:uid="{00000000-0005-0000-0000-0000406B0000}"/>
    <cellStyle name="Normal 2 60 5" xfId="28219" xr:uid="{00000000-0005-0000-0000-0000416B0000}"/>
    <cellStyle name="Normal 2 60 6" xfId="28220" xr:uid="{00000000-0005-0000-0000-0000426B0000}"/>
    <cellStyle name="Normal 2 60 7" xfId="28221" xr:uid="{00000000-0005-0000-0000-0000436B0000}"/>
    <cellStyle name="Normal 2 61" xfId="28222" xr:uid="{00000000-0005-0000-0000-0000446B0000}"/>
    <cellStyle name="Normal 2 61 2" xfId="28223" xr:uid="{00000000-0005-0000-0000-0000456B0000}"/>
    <cellStyle name="Normal 2 61 3" xfId="28224" xr:uid="{00000000-0005-0000-0000-0000466B0000}"/>
    <cellStyle name="Normal 2 61 4" xfId="28225" xr:uid="{00000000-0005-0000-0000-0000476B0000}"/>
    <cellStyle name="Normal 2 61 5" xfId="28226" xr:uid="{00000000-0005-0000-0000-0000486B0000}"/>
    <cellStyle name="Normal 2 61 6" xfId="28227" xr:uid="{00000000-0005-0000-0000-0000496B0000}"/>
    <cellStyle name="Normal 2 61 7" xfId="28228" xr:uid="{00000000-0005-0000-0000-00004A6B0000}"/>
    <cellStyle name="Normal 2 62" xfId="28229" xr:uid="{00000000-0005-0000-0000-00004B6B0000}"/>
    <cellStyle name="Normal 2 62 2" xfId="28230" xr:uid="{00000000-0005-0000-0000-00004C6B0000}"/>
    <cellStyle name="Normal 2 62 3" xfId="28231" xr:uid="{00000000-0005-0000-0000-00004D6B0000}"/>
    <cellStyle name="Normal 2 62 4" xfId="28232" xr:uid="{00000000-0005-0000-0000-00004E6B0000}"/>
    <cellStyle name="Normal 2 62 5" xfId="28233" xr:uid="{00000000-0005-0000-0000-00004F6B0000}"/>
    <cellStyle name="Normal 2 62 6" xfId="28234" xr:uid="{00000000-0005-0000-0000-0000506B0000}"/>
    <cellStyle name="Normal 2 62 7" xfId="28235" xr:uid="{00000000-0005-0000-0000-0000516B0000}"/>
    <cellStyle name="Normal 2 63" xfId="28236" xr:uid="{00000000-0005-0000-0000-0000526B0000}"/>
    <cellStyle name="Normal 2 63 2" xfId="28237" xr:uid="{00000000-0005-0000-0000-0000536B0000}"/>
    <cellStyle name="Normal 2 63 3" xfId="28238" xr:uid="{00000000-0005-0000-0000-0000546B0000}"/>
    <cellStyle name="Normal 2 63 4" xfId="28239" xr:uid="{00000000-0005-0000-0000-0000556B0000}"/>
    <cellStyle name="Normal 2 63 5" xfId="28240" xr:uid="{00000000-0005-0000-0000-0000566B0000}"/>
    <cellStyle name="Normal 2 63 6" xfId="28241" xr:uid="{00000000-0005-0000-0000-0000576B0000}"/>
    <cellStyle name="Normal 2 63 7" xfId="28242" xr:uid="{00000000-0005-0000-0000-0000586B0000}"/>
    <cellStyle name="Normal 2 64" xfId="28243" xr:uid="{00000000-0005-0000-0000-0000596B0000}"/>
    <cellStyle name="Normal 2 65" xfId="28244" xr:uid="{00000000-0005-0000-0000-00005A6B0000}"/>
    <cellStyle name="Normal 2 66" xfId="28245" xr:uid="{00000000-0005-0000-0000-00005B6B0000}"/>
    <cellStyle name="Normal 2 67" xfId="28246" xr:uid="{00000000-0005-0000-0000-00005C6B0000}"/>
    <cellStyle name="Normal 2 68" xfId="28247" xr:uid="{00000000-0005-0000-0000-00005D6B0000}"/>
    <cellStyle name="Normal 2 68 2" xfId="28248" xr:uid="{00000000-0005-0000-0000-00005E6B0000}"/>
    <cellStyle name="Normal 2 68 2 2" xfId="28249" xr:uid="{00000000-0005-0000-0000-00005F6B0000}"/>
    <cellStyle name="Normal 2 68 2 2 2" xfId="28250" xr:uid="{00000000-0005-0000-0000-0000606B0000}"/>
    <cellStyle name="Normal 2 68 2 2 2 2" xfId="28251" xr:uid="{00000000-0005-0000-0000-0000616B0000}"/>
    <cellStyle name="Normal 2 68 2 2 2 3" xfId="28252" xr:uid="{00000000-0005-0000-0000-0000626B0000}"/>
    <cellStyle name="Normal 2 68 2 2 2 4" xfId="28253" xr:uid="{00000000-0005-0000-0000-0000636B0000}"/>
    <cellStyle name="Normal 2 68 2 2 2 5" xfId="28254" xr:uid="{00000000-0005-0000-0000-0000646B0000}"/>
    <cellStyle name="Normal 2 68 2 2 2 6" xfId="28255" xr:uid="{00000000-0005-0000-0000-0000656B0000}"/>
    <cellStyle name="Normal 2 68 2 3" xfId="28256" xr:uid="{00000000-0005-0000-0000-0000666B0000}"/>
    <cellStyle name="Normal 2 68 2 4" xfId="28257" xr:uid="{00000000-0005-0000-0000-0000676B0000}"/>
    <cellStyle name="Normal 2 68 2 5" xfId="28258" xr:uid="{00000000-0005-0000-0000-0000686B0000}"/>
    <cellStyle name="Normal 2 68 2 6" xfId="28259" xr:uid="{00000000-0005-0000-0000-0000696B0000}"/>
    <cellStyle name="Normal 2 68 2 7" xfId="28260" xr:uid="{00000000-0005-0000-0000-00006A6B0000}"/>
    <cellStyle name="Normal 2 68 3" xfId="28261" xr:uid="{00000000-0005-0000-0000-00006B6B0000}"/>
    <cellStyle name="Normal 2 68 3 2" xfId="28262" xr:uid="{00000000-0005-0000-0000-00006C6B0000}"/>
    <cellStyle name="Normal 2 68 3 3" xfId="28263" xr:uid="{00000000-0005-0000-0000-00006D6B0000}"/>
    <cellStyle name="Normal 2 68 3 4" xfId="28264" xr:uid="{00000000-0005-0000-0000-00006E6B0000}"/>
    <cellStyle name="Normal 2 68 3 5" xfId="28265" xr:uid="{00000000-0005-0000-0000-00006F6B0000}"/>
    <cellStyle name="Normal 2 68 3 6" xfId="28266" xr:uid="{00000000-0005-0000-0000-0000706B0000}"/>
    <cellStyle name="Normal 2 69" xfId="28267" xr:uid="{00000000-0005-0000-0000-0000716B0000}"/>
    <cellStyle name="Normal 2 69 2" xfId="28268" xr:uid="{00000000-0005-0000-0000-0000726B0000}"/>
    <cellStyle name="Normal 2 69 3" xfId="28269" xr:uid="{00000000-0005-0000-0000-0000736B0000}"/>
    <cellStyle name="Normal 2 69 4" xfId="28270" xr:uid="{00000000-0005-0000-0000-0000746B0000}"/>
    <cellStyle name="Normal 2 69 5" xfId="28271" xr:uid="{00000000-0005-0000-0000-0000756B0000}"/>
    <cellStyle name="Normal 2 69 6" xfId="28272" xr:uid="{00000000-0005-0000-0000-0000766B0000}"/>
    <cellStyle name="Normal 2 7" xfId="1888" xr:uid="{00000000-0005-0000-0000-0000776B0000}"/>
    <cellStyle name="Normal 2 7 10" xfId="28273" xr:uid="{00000000-0005-0000-0000-0000786B0000}"/>
    <cellStyle name="Normal 2 7 11" xfId="28274" xr:uid="{00000000-0005-0000-0000-0000796B0000}"/>
    <cellStyle name="Normal 2 7 12" xfId="28275" xr:uid="{00000000-0005-0000-0000-00007A6B0000}"/>
    <cellStyle name="Normal 2 7 13" xfId="28276" xr:uid="{00000000-0005-0000-0000-00007B6B0000}"/>
    <cellStyle name="Normal 2 7 14" xfId="28277" xr:uid="{00000000-0005-0000-0000-00007C6B0000}"/>
    <cellStyle name="Normal 2 7 15" xfId="28278" xr:uid="{00000000-0005-0000-0000-00007D6B0000}"/>
    <cellStyle name="Normal 2 7 16" xfId="28279" xr:uid="{00000000-0005-0000-0000-00007E6B0000}"/>
    <cellStyle name="Normal 2 7 17" xfId="28280" xr:uid="{00000000-0005-0000-0000-00007F6B0000}"/>
    <cellStyle name="Normal 2 7 18" xfId="28281" xr:uid="{00000000-0005-0000-0000-0000806B0000}"/>
    <cellStyle name="Normal 2 7 19" xfId="28282" xr:uid="{00000000-0005-0000-0000-0000816B0000}"/>
    <cellStyle name="Normal 2 7 2" xfId="28283" xr:uid="{00000000-0005-0000-0000-0000826B0000}"/>
    <cellStyle name="Normal 2 7 20" xfId="28284" xr:uid="{00000000-0005-0000-0000-0000836B0000}"/>
    <cellStyle name="Normal 2 7 21" xfId="28285" xr:uid="{00000000-0005-0000-0000-0000846B0000}"/>
    <cellStyle name="Normal 2 7 22" xfId="28286" xr:uid="{00000000-0005-0000-0000-0000856B0000}"/>
    <cellStyle name="Normal 2 7 23" xfId="28287" xr:uid="{00000000-0005-0000-0000-0000866B0000}"/>
    <cellStyle name="Normal 2 7 24" xfId="28288" xr:uid="{00000000-0005-0000-0000-0000876B0000}"/>
    <cellStyle name="Normal 2 7 25" xfId="28289" xr:uid="{00000000-0005-0000-0000-0000886B0000}"/>
    <cellStyle name="Normal 2 7 26" xfId="28290" xr:uid="{00000000-0005-0000-0000-0000896B0000}"/>
    <cellStyle name="Normal 2 7 27" xfId="28291" xr:uid="{00000000-0005-0000-0000-00008A6B0000}"/>
    <cellStyle name="Normal 2 7 28" xfId="28292" xr:uid="{00000000-0005-0000-0000-00008B6B0000}"/>
    <cellStyle name="Normal 2 7 29" xfId="28293" xr:uid="{00000000-0005-0000-0000-00008C6B0000}"/>
    <cellStyle name="Normal 2 7 3" xfId="28294" xr:uid="{00000000-0005-0000-0000-00008D6B0000}"/>
    <cellStyle name="Normal 2 7 30" xfId="28295" xr:uid="{00000000-0005-0000-0000-00008E6B0000}"/>
    <cellStyle name="Normal 2 7 31" xfId="28296" xr:uid="{00000000-0005-0000-0000-00008F6B0000}"/>
    <cellStyle name="Normal 2 7 32" xfId="28297" xr:uid="{00000000-0005-0000-0000-0000906B0000}"/>
    <cellStyle name="Normal 2 7 33" xfId="28298" xr:uid="{00000000-0005-0000-0000-0000916B0000}"/>
    <cellStyle name="Normal 2 7 34" xfId="28299" xr:uid="{00000000-0005-0000-0000-0000926B0000}"/>
    <cellStyle name="Normal 2 7 35" xfId="28300" xr:uid="{00000000-0005-0000-0000-0000936B0000}"/>
    <cellStyle name="Normal 2 7 36" xfId="28301" xr:uid="{00000000-0005-0000-0000-0000946B0000}"/>
    <cellStyle name="Normal 2 7 37" xfId="28302" xr:uid="{00000000-0005-0000-0000-0000956B0000}"/>
    <cellStyle name="Normal 2 7 38" xfId="28303" xr:uid="{00000000-0005-0000-0000-0000966B0000}"/>
    <cellStyle name="Normal 2 7 39" xfId="28304" xr:uid="{00000000-0005-0000-0000-0000976B0000}"/>
    <cellStyle name="Normal 2 7 4" xfId="28305" xr:uid="{00000000-0005-0000-0000-0000986B0000}"/>
    <cellStyle name="Normal 2 7 40" xfId="28306" xr:uid="{00000000-0005-0000-0000-0000996B0000}"/>
    <cellStyle name="Normal 2 7 41" xfId="28307" xr:uid="{00000000-0005-0000-0000-00009A6B0000}"/>
    <cellStyle name="Normal 2 7 42" xfId="28308" xr:uid="{00000000-0005-0000-0000-00009B6B0000}"/>
    <cellStyle name="Normal 2 7 43" xfId="28309" xr:uid="{00000000-0005-0000-0000-00009C6B0000}"/>
    <cellStyle name="Normal 2 7 44" xfId="28310" xr:uid="{00000000-0005-0000-0000-00009D6B0000}"/>
    <cellStyle name="Normal 2 7 45" xfId="28311" xr:uid="{00000000-0005-0000-0000-00009E6B0000}"/>
    <cellStyle name="Normal 2 7 46" xfId="28312" xr:uid="{00000000-0005-0000-0000-00009F6B0000}"/>
    <cellStyle name="Normal 2 7 47" xfId="28313" xr:uid="{00000000-0005-0000-0000-0000A06B0000}"/>
    <cellStyle name="Normal 2 7 48" xfId="28314" xr:uid="{00000000-0005-0000-0000-0000A16B0000}"/>
    <cellStyle name="Normal 2 7 49" xfId="28315" xr:uid="{00000000-0005-0000-0000-0000A26B0000}"/>
    <cellStyle name="Normal 2 7 5" xfId="28316" xr:uid="{00000000-0005-0000-0000-0000A36B0000}"/>
    <cellStyle name="Normal 2 7 50" xfId="28317" xr:uid="{00000000-0005-0000-0000-0000A46B0000}"/>
    <cellStyle name="Normal 2 7 51" xfId="28318" xr:uid="{00000000-0005-0000-0000-0000A56B0000}"/>
    <cellStyle name="Normal 2 7 52" xfId="28319" xr:uid="{00000000-0005-0000-0000-0000A66B0000}"/>
    <cellStyle name="Normal 2 7 53" xfId="28320" xr:uid="{00000000-0005-0000-0000-0000A76B0000}"/>
    <cellStyle name="Normal 2 7 6" xfId="28321" xr:uid="{00000000-0005-0000-0000-0000A86B0000}"/>
    <cellStyle name="Normal 2 7 7" xfId="28322" xr:uid="{00000000-0005-0000-0000-0000A96B0000}"/>
    <cellStyle name="Normal 2 7 8" xfId="28323" xr:uid="{00000000-0005-0000-0000-0000AA6B0000}"/>
    <cellStyle name="Normal 2 7 9" xfId="28324" xr:uid="{00000000-0005-0000-0000-0000AB6B0000}"/>
    <cellStyle name="Normal 2 70" xfId="28325" xr:uid="{00000000-0005-0000-0000-0000AC6B0000}"/>
    <cellStyle name="Normal 2 70 2" xfId="28326" xr:uid="{00000000-0005-0000-0000-0000AD6B0000}"/>
    <cellStyle name="Normal 2 70 3" xfId="28327" xr:uid="{00000000-0005-0000-0000-0000AE6B0000}"/>
    <cellStyle name="Normal 2 70 4" xfId="28328" xr:uid="{00000000-0005-0000-0000-0000AF6B0000}"/>
    <cellStyle name="Normal 2 70 5" xfId="28329" xr:uid="{00000000-0005-0000-0000-0000B06B0000}"/>
    <cellStyle name="Normal 2 70 6" xfId="28330" xr:uid="{00000000-0005-0000-0000-0000B16B0000}"/>
    <cellStyle name="Normal 2 71" xfId="28331" xr:uid="{00000000-0005-0000-0000-0000B26B0000}"/>
    <cellStyle name="Normal 2 71 2" xfId="28332" xr:uid="{00000000-0005-0000-0000-0000B36B0000}"/>
    <cellStyle name="Normal 2 71 3" xfId="28333" xr:uid="{00000000-0005-0000-0000-0000B46B0000}"/>
    <cellStyle name="Normal 2 71 4" xfId="28334" xr:uid="{00000000-0005-0000-0000-0000B56B0000}"/>
    <cellStyle name="Normal 2 71 5" xfId="28335" xr:uid="{00000000-0005-0000-0000-0000B66B0000}"/>
    <cellStyle name="Normal 2 71 6" xfId="28336" xr:uid="{00000000-0005-0000-0000-0000B76B0000}"/>
    <cellStyle name="Normal 2 72" xfId="28337" xr:uid="{00000000-0005-0000-0000-0000B86B0000}"/>
    <cellStyle name="Normal 2 72 2" xfId="28338" xr:uid="{00000000-0005-0000-0000-0000B96B0000}"/>
    <cellStyle name="Normal 2 72 3" xfId="28339" xr:uid="{00000000-0005-0000-0000-0000BA6B0000}"/>
    <cellStyle name="Normal 2 72 4" xfId="28340" xr:uid="{00000000-0005-0000-0000-0000BB6B0000}"/>
    <cellStyle name="Normal 2 72 5" xfId="28341" xr:uid="{00000000-0005-0000-0000-0000BC6B0000}"/>
    <cellStyle name="Normal 2 72 6" xfId="28342" xr:uid="{00000000-0005-0000-0000-0000BD6B0000}"/>
    <cellStyle name="Normal 2 73" xfId="28343" xr:uid="{00000000-0005-0000-0000-0000BE6B0000}"/>
    <cellStyle name="Normal 2 73 2" xfId="28344" xr:uid="{00000000-0005-0000-0000-0000BF6B0000}"/>
    <cellStyle name="Normal 2 73 3" xfId="28345" xr:uid="{00000000-0005-0000-0000-0000C06B0000}"/>
    <cellStyle name="Normal 2 73 4" xfId="28346" xr:uid="{00000000-0005-0000-0000-0000C16B0000}"/>
    <cellStyle name="Normal 2 73 5" xfId="28347" xr:uid="{00000000-0005-0000-0000-0000C26B0000}"/>
    <cellStyle name="Normal 2 73 6" xfId="28348" xr:uid="{00000000-0005-0000-0000-0000C36B0000}"/>
    <cellStyle name="Normal 2 74" xfId="28349" xr:uid="{00000000-0005-0000-0000-0000C46B0000}"/>
    <cellStyle name="Normal 2 74 2" xfId="28350" xr:uid="{00000000-0005-0000-0000-0000C56B0000}"/>
    <cellStyle name="Normal 2 74 3" xfId="28351" xr:uid="{00000000-0005-0000-0000-0000C66B0000}"/>
    <cellStyle name="Normal 2 74 4" xfId="28352" xr:uid="{00000000-0005-0000-0000-0000C76B0000}"/>
    <cellStyle name="Normal 2 74 5" xfId="28353" xr:uid="{00000000-0005-0000-0000-0000C86B0000}"/>
    <cellStyle name="Normal 2 74 6" xfId="28354" xr:uid="{00000000-0005-0000-0000-0000C96B0000}"/>
    <cellStyle name="Normal 2 75" xfId="28355" xr:uid="{00000000-0005-0000-0000-0000CA6B0000}"/>
    <cellStyle name="Normal 2 75 2" xfId="28356" xr:uid="{00000000-0005-0000-0000-0000CB6B0000}"/>
    <cellStyle name="Normal 2 75 3" xfId="28357" xr:uid="{00000000-0005-0000-0000-0000CC6B0000}"/>
    <cellStyle name="Normal 2 75 4" xfId="28358" xr:uid="{00000000-0005-0000-0000-0000CD6B0000}"/>
    <cellStyle name="Normal 2 75 5" xfId="28359" xr:uid="{00000000-0005-0000-0000-0000CE6B0000}"/>
    <cellStyle name="Normal 2 75 6" xfId="28360" xr:uid="{00000000-0005-0000-0000-0000CF6B0000}"/>
    <cellStyle name="Normal 2 76" xfId="28361" xr:uid="{00000000-0005-0000-0000-0000D06B0000}"/>
    <cellStyle name="Normal 2 76 2" xfId="28362" xr:uid="{00000000-0005-0000-0000-0000D16B0000}"/>
    <cellStyle name="Normal 2 76 3" xfId="28363" xr:uid="{00000000-0005-0000-0000-0000D26B0000}"/>
    <cellStyle name="Normal 2 76 4" xfId="28364" xr:uid="{00000000-0005-0000-0000-0000D36B0000}"/>
    <cellStyle name="Normal 2 76 5" xfId="28365" xr:uid="{00000000-0005-0000-0000-0000D46B0000}"/>
    <cellStyle name="Normal 2 76 6" xfId="28366" xr:uid="{00000000-0005-0000-0000-0000D56B0000}"/>
    <cellStyle name="Normal 2 77" xfId="28367" xr:uid="{00000000-0005-0000-0000-0000D66B0000}"/>
    <cellStyle name="Normal 2 77 2" xfId="28368" xr:uid="{00000000-0005-0000-0000-0000D76B0000}"/>
    <cellStyle name="Normal 2 77 3" xfId="28369" xr:uid="{00000000-0005-0000-0000-0000D86B0000}"/>
    <cellStyle name="Normal 2 77 4" xfId="28370" xr:uid="{00000000-0005-0000-0000-0000D96B0000}"/>
    <cellStyle name="Normal 2 77 5" xfId="28371" xr:uid="{00000000-0005-0000-0000-0000DA6B0000}"/>
    <cellStyle name="Normal 2 77 6" xfId="28372" xr:uid="{00000000-0005-0000-0000-0000DB6B0000}"/>
    <cellStyle name="Normal 2 78" xfId="28373" xr:uid="{00000000-0005-0000-0000-0000DC6B0000}"/>
    <cellStyle name="Normal 2 78 2" xfId="28374" xr:uid="{00000000-0005-0000-0000-0000DD6B0000}"/>
    <cellStyle name="Normal 2 78 3" xfId="28375" xr:uid="{00000000-0005-0000-0000-0000DE6B0000}"/>
    <cellStyle name="Normal 2 78 4" xfId="28376" xr:uid="{00000000-0005-0000-0000-0000DF6B0000}"/>
    <cellStyle name="Normal 2 78 5" xfId="28377" xr:uid="{00000000-0005-0000-0000-0000E06B0000}"/>
    <cellStyle name="Normal 2 78 6" xfId="28378" xr:uid="{00000000-0005-0000-0000-0000E16B0000}"/>
    <cellStyle name="Normal 2 79" xfId="28379" xr:uid="{00000000-0005-0000-0000-0000E26B0000}"/>
    <cellStyle name="Normal 2 79 2" xfId="28380" xr:uid="{00000000-0005-0000-0000-0000E36B0000}"/>
    <cellStyle name="Normal 2 79 3" xfId="28381" xr:uid="{00000000-0005-0000-0000-0000E46B0000}"/>
    <cellStyle name="Normal 2 79 4" xfId="28382" xr:uid="{00000000-0005-0000-0000-0000E56B0000}"/>
    <cellStyle name="Normal 2 79 5" xfId="28383" xr:uid="{00000000-0005-0000-0000-0000E66B0000}"/>
    <cellStyle name="Normal 2 79 6" xfId="28384" xr:uid="{00000000-0005-0000-0000-0000E76B0000}"/>
    <cellStyle name="Normal 2 8" xfId="28385" xr:uid="{00000000-0005-0000-0000-0000E86B0000}"/>
    <cellStyle name="Normal 2 8 10" xfId="28386" xr:uid="{00000000-0005-0000-0000-0000E96B0000}"/>
    <cellStyle name="Normal 2 8 11" xfId="28387" xr:uid="{00000000-0005-0000-0000-0000EA6B0000}"/>
    <cellStyle name="Normal 2 8 12" xfId="28388" xr:uid="{00000000-0005-0000-0000-0000EB6B0000}"/>
    <cellStyle name="Normal 2 8 13" xfId="28389" xr:uid="{00000000-0005-0000-0000-0000EC6B0000}"/>
    <cellStyle name="Normal 2 8 14" xfId="28390" xr:uid="{00000000-0005-0000-0000-0000ED6B0000}"/>
    <cellStyle name="Normal 2 8 15" xfId="28391" xr:uid="{00000000-0005-0000-0000-0000EE6B0000}"/>
    <cellStyle name="Normal 2 8 16" xfId="28392" xr:uid="{00000000-0005-0000-0000-0000EF6B0000}"/>
    <cellStyle name="Normal 2 8 17" xfId="28393" xr:uid="{00000000-0005-0000-0000-0000F06B0000}"/>
    <cellStyle name="Normal 2 8 18" xfId="28394" xr:uid="{00000000-0005-0000-0000-0000F16B0000}"/>
    <cellStyle name="Normal 2 8 19" xfId="28395" xr:uid="{00000000-0005-0000-0000-0000F26B0000}"/>
    <cellStyle name="Normal 2 8 2" xfId="28396" xr:uid="{00000000-0005-0000-0000-0000F36B0000}"/>
    <cellStyle name="Normal 2 8 20" xfId="28397" xr:uid="{00000000-0005-0000-0000-0000F46B0000}"/>
    <cellStyle name="Normal 2 8 21" xfId="28398" xr:uid="{00000000-0005-0000-0000-0000F56B0000}"/>
    <cellStyle name="Normal 2 8 22" xfId="28399" xr:uid="{00000000-0005-0000-0000-0000F66B0000}"/>
    <cellStyle name="Normal 2 8 23" xfId="28400" xr:uid="{00000000-0005-0000-0000-0000F76B0000}"/>
    <cellStyle name="Normal 2 8 24" xfId="28401" xr:uid="{00000000-0005-0000-0000-0000F86B0000}"/>
    <cellStyle name="Normal 2 8 25" xfId="28402" xr:uid="{00000000-0005-0000-0000-0000F96B0000}"/>
    <cellStyle name="Normal 2 8 26" xfId="28403" xr:uid="{00000000-0005-0000-0000-0000FA6B0000}"/>
    <cellStyle name="Normal 2 8 27" xfId="28404" xr:uid="{00000000-0005-0000-0000-0000FB6B0000}"/>
    <cellStyle name="Normal 2 8 28" xfId="28405" xr:uid="{00000000-0005-0000-0000-0000FC6B0000}"/>
    <cellStyle name="Normal 2 8 29" xfId="28406" xr:uid="{00000000-0005-0000-0000-0000FD6B0000}"/>
    <cellStyle name="Normal 2 8 3" xfId="28407" xr:uid="{00000000-0005-0000-0000-0000FE6B0000}"/>
    <cellStyle name="Normal 2 8 30" xfId="28408" xr:uid="{00000000-0005-0000-0000-0000FF6B0000}"/>
    <cellStyle name="Normal 2 8 31" xfId="28409" xr:uid="{00000000-0005-0000-0000-0000006C0000}"/>
    <cellStyle name="Normal 2 8 32" xfId="28410" xr:uid="{00000000-0005-0000-0000-0000016C0000}"/>
    <cellStyle name="Normal 2 8 33" xfId="28411" xr:uid="{00000000-0005-0000-0000-0000026C0000}"/>
    <cellStyle name="Normal 2 8 34" xfId="28412" xr:uid="{00000000-0005-0000-0000-0000036C0000}"/>
    <cellStyle name="Normal 2 8 35" xfId="28413" xr:uid="{00000000-0005-0000-0000-0000046C0000}"/>
    <cellStyle name="Normal 2 8 36" xfId="28414" xr:uid="{00000000-0005-0000-0000-0000056C0000}"/>
    <cellStyle name="Normal 2 8 37" xfId="28415" xr:uid="{00000000-0005-0000-0000-0000066C0000}"/>
    <cellStyle name="Normal 2 8 38" xfId="28416" xr:uid="{00000000-0005-0000-0000-0000076C0000}"/>
    <cellStyle name="Normal 2 8 39" xfId="28417" xr:uid="{00000000-0005-0000-0000-0000086C0000}"/>
    <cellStyle name="Normal 2 8 4" xfId="28418" xr:uid="{00000000-0005-0000-0000-0000096C0000}"/>
    <cellStyle name="Normal 2 8 40" xfId="28419" xr:uid="{00000000-0005-0000-0000-00000A6C0000}"/>
    <cellStyle name="Normal 2 8 41" xfId="28420" xr:uid="{00000000-0005-0000-0000-00000B6C0000}"/>
    <cellStyle name="Normal 2 8 42" xfId="28421" xr:uid="{00000000-0005-0000-0000-00000C6C0000}"/>
    <cellStyle name="Normal 2 8 43" xfId="28422" xr:uid="{00000000-0005-0000-0000-00000D6C0000}"/>
    <cellStyle name="Normal 2 8 44" xfId="28423" xr:uid="{00000000-0005-0000-0000-00000E6C0000}"/>
    <cellStyle name="Normal 2 8 45" xfId="28424" xr:uid="{00000000-0005-0000-0000-00000F6C0000}"/>
    <cellStyle name="Normal 2 8 46" xfId="28425" xr:uid="{00000000-0005-0000-0000-0000106C0000}"/>
    <cellStyle name="Normal 2 8 47" xfId="28426" xr:uid="{00000000-0005-0000-0000-0000116C0000}"/>
    <cellStyle name="Normal 2 8 48" xfId="28427" xr:uid="{00000000-0005-0000-0000-0000126C0000}"/>
    <cellStyle name="Normal 2 8 49" xfId="28428" xr:uid="{00000000-0005-0000-0000-0000136C0000}"/>
    <cellStyle name="Normal 2 8 5" xfId="28429" xr:uid="{00000000-0005-0000-0000-0000146C0000}"/>
    <cellStyle name="Normal 2 8 50" xfId="28430" xr:uid="{00000000-0005-0000-0000-0000156C0000}"/>
    <cellStyle name="Normal 2 8 51" xfId="28431" xr:uid="{00000000-0005-0000-0000-0000166C0000}"/>
    <cellStyle name="Normal 2 8 52" xfId="28432" xr:uid="{00000000-0005-0000-0000-0000176C0000}"/>
    <cellStyle name="Normal 2 8 53" xfId="28433" xr:uid="{00000000-0005-0000-0000-0000186C0000}"/>
    <cellStyle name="Normal 2 8 6" xfId="28434" xr:uid="{00000000-0005-0000-0000-0000196C0000}"/>
    <cellStyle name="Normal 2 8 7" xfId="28435" xr:uid="{00000000-0005-0000-0000-00001A6C0000}"/>
    <cellStyle name="Normal 2 8 8" xfId="28436" xr:uid="{00000000-0005-0000-0000-00001B6C0000}"/>
    <cellStyle name="Normal 2 8 9" xfId="28437" xr:uid="{00000000-0005-0000-0000-00001C6C0000}"/>
    <cellStyle name="Normal 2 80" xfId="28438" xr:uid="{00000000-0005-0000-0000-00001D6C0000}"/>
    <cellStyle name="Normal 2 80 2" xfId="28439" xr:uid="{00000000-0005-0000-0000-00001E6C0000}"/>
    <cellStyle name="Normal 2 80 3" xfId="28440" xr:uid="{00000000-0005-0000-0000-00001F6C0000}"/>
    <cellStyle name="Normal 2 80 4" xfId="28441" xr:uid="{00000000-0005-0000-0000-0000206C0000}"/>
    <cellStyle name="Normal 2 80 5" xfId="28442" xr:uid="{00000000-0005-0000-0000-0000216C0000}"/>
    <cellStyle name="Normal 2 80 6" xfId="28443" xr:uid="{00000000-0005-0000-0000-0000226C0000}"/>
    <cellStyle name="Normal 2 81" xfId="28444" xr:uid="{00000000-0005-0000-0000-0000236C0000}"/>
    <cellStyle name="Normal 2 81 2" xfId="28445" xr:uid="{00000000-0005-0000-0000-0000246C0000}"/>
    <cellStyle name="Normal 2 81 3" xfId="28446" xr:uid="{00000000-0005-0000-0000-0000256C0000}"/>
    <cellStyle name="Normal 2 81 4" xfId="28447" xr:uid="{00000000-0005-0000-0000-0000266C0000}"/>
    <cellStyle name="Normal 2 81 5" xfId="28448" xr:uid="{00000000-0005-0000-0000-0000276C0000}"/>
    <cellStyle name="Normal 2 81 6" xfId="28449" xr:uid="{00000000-0005-0000-0000-0000286C0000}"/>
    <cellStyle name="Normal 2 82" xfId="28450" xr:uid="{00000000-0005-0000-0000-0000296C0000}"/>
    <cellStyle name="Normal 2 82 2" xfId="28451" xr:uid="{00000000-0005-0000-0000-00002A6C0000}"/>
    <cellStyle name="Normal 2 82 3" xfId="28452" xr:uid="{00000000-0005-0000-0000-00002B6C0000}"/>
    <cellStyle name="Normal 2 82 4" xfId="28453" xr:uid="{00000000-0005-0000-0000-00002C6C0000}"/>
    <cellStyle name="Normal 2 82 5" xfId="28454" xr:uid="{00000000-0005-0000-0000-00002D6C0000}"/>
    <cellStyle name="Normal 2 82 6" xfId="28455" xr:uid="{00000000-0005-0000-0000-00002E6C0000}"/>
    <cellStyle name="Normal 2 83" xfId="28456" xr:uid="{00000000-0005-0000-0000-00002F6C0000}"/>
    <cellStyle name="Normal 2 83 2" xfId="28457" xr:uid="{00000000-0005-0000-0000-0000306C0000}"/>
    <cellStyle name="Normal 2 83 3" xfId="28458" xr:uid="{00000000-0005-0000-0000-0000316C0000}"/>
    <cellStyle name="Normal 2 83 4" xfId="28459" xr:uid="{00000000-0005-0000-0000-0000326C0000}"/>
    <cellStyle name="Normal 2 83 5" xfId="28460" xr:uid="{00000000-0005-0000-0000-0000336C0000}"/>
    <cellStyle name="Normal 2 83 6" xfId="28461" xr:uid="{00000000-0005-0000-0000-0000346C0000}"/>
    <cellStyle name="Normal 2 84" xfId="28462" xr:uid="{00000000-0005-0000-0000-0000356C0000}"/>
    <cellStyle name="Normal 2 84 2" xfId="28463" xr:uid="{00000000-0005-0000-0000-0000366C0000}"/>
    <cellStyle name="Normal 2 84 3" xfId="28464" xr:uid="{00000000-0005-0000-0000-0000376C0000}"/>
    <cellStyle name="Normal 2 84 4" xfId="28465" xr:uid="{00000000-0005-0000-0000-0000386C0000}"/>
    <cellStyle name="Normal 2 84 5" xfId="28466" xr:uid="{00000000-0005-0000-0000-0000396C0000}"/>
    <cellStyle name="Normal 2 84 6" xfId="28467" xr:uid="{00000000-0005-0000-0000-00003A6C0000}"/>
    <cellStyle name="Normal 2 85" xfId="28468" xr:uid="{00000000-0005-0000-0000-00003B6C0000}"/>
    <cellStyle name="Normal 2 85 2" xfId="28469" xr:uid="{00000000-0005-0000-0000-00003C6C0000}"/>
    <cellStyle name="Normal 2 85 3" xfId="28470" xr:uid="{00000000-0005-0000-0000-00003D6C0000}"/>
    <cellStyle name="Normal 2 85 4" xfId="28471" xr:uid="{00000000-0005-0000-0000-00003E6C0000}"/>
    <cellStyle name="Normal 2 85 5" xfId="28472" xr:uid="{00000000-0005-0000-0000-00003F6C0000}"/>
    <cellStyle name="Normal 2 85 6" xfId="28473" xr:uid="{00000000-0005-0000-0000-0000406C0000}"/>
    <cellStyle name="Normal 2 86" xfId="28474" xr:uid="{00000000-0005-0000-0000-0000416C0000}"/>
    <cellStyle name="Normal 2 86 2" xfId="28475" xr:uid="{00000000-0005-0000-0000-0000426C0000}"/>
    <cellStyle name="Normal 2 86 3" xfId="28476" xr:uid="{00000000-0005-0000-0000-0000436C0000}"/>
    <cellStyle name="Normal 2 86 4" xfId="28477" xr:uid="{00000000-0005-0000-0000-0000446C0000}"/>
    <cellStyle name="Normal 2 86 5" xfId="28478" xr:uid="{00000000-0005-0000-0000-0000456C0000}"/>
    <cellStyle name="Normal 2 86 6" xfId="28479" xr:uid="{00000000-0005-0000-0000-0000466C0000}"/>
    <cellStyle name="Normal 2 87" xfId="28480" xr:uid="{00000000-0005-0000-0000-0000476C0000}"/>
    <cellStyle name="Normal 2 87 2" xfId="28481" xr:uid="{00000000-0005-0000-0000-0000486C0000}"/>
    <cellStyle name="Normal 2 87 3" xfId="28482" xr:uid="{00000000-0005-0000-0000-0000496C0000}"/>
    <cellStyle name="Normal 2 87 4" xfId="28483" xr:uid="{00000000-0005-0000-0000-00004A6C0000}"/>
    <cellStyle name="Normal 2 87 5" xfId="28484" xr:uid="{00000000-0005-0000-0000-00004B6C0000}"/>
    <cellStyle name="Normal 2 87 6" xfId="28485" xr:uid="{00000000-0005-0000-0000-00004C6C0000}"/>
    <cellStyle name="Normal 2 88" xfId="28486" xr:uid="{00000000-0005-0000-0000-00004D6C0000}"/>
    <cellStyle name="Normal 2 88 2" xfId="28487" xr:uid="{00000000-0005-0000-0000-00004E6C0000}"/>
    <cellStyle name="Normal 2 88 2 2" xfId="28488" xr:uid="{00000000-0005-0000-0000-00004F6C0000}"/>
    <cellStyle name="Normal 2 88 2 3" xfId="28489" xr:uid="{00000000-0005-0000-0000-0000506C0000}"/>
    <cellStyle name="Normal 2 88 2 4" xfId="28490" xr:uid="{00000000-0005-0000-0000-0000516C0000}"/>
    <cellStyle name="Normal 2 88 2 5" xfId="28491" xr:uid="{00000000-0005-0000-0000-0000526C0000}"/>
    <cellStyle name="Normal 2 88 2 6" xfId="28492" xr:uid="{00000000-0005-0000-0000-0000536C0000}"/>
    <cellStyle name="Normal 2 89" xfId="28493" xr:uid="{00000000-0005-0000-0000-0000546C0000}"/>
    <cellStyle name="Normal 2 9" xfId="28494" xr:uid="{00000000-0005-0000-0000-0000556C0000}"/>
    <cellStyle name="Normal 2 9 10" xfId="28495" xr:uid="{00000000-0005-0000-0000-0000566C0000}"/>
    <cellStyle name="Normal 2 9 11" xfId="28496" xr:uid="{00000000-0005-0000-0000-0000576C0000}"/>
    <cellStyle name="Normal 2 9 12" xfId="28497" xr:uid="{00000000-0005-0000-0000-0000586C0000}"/>
    <cellStyle name="Normal 2 9 13" xfId="28498" xr:uid="{00000000-0005-0000-0000-0000596C0000}"/>
    <cellStyle name="Normal 2 9 14" xfId="28499" xr:uid="{00000000-0005-0000-0000-00005A6C0000}"/>
    <cellStyle name="Normal 2 9 15" xfId="28500" xr:uid="{00000000-0005-0000-0000-00005B6C0000}"/>
    <cellStyle name="Normal 2 9 16" xfId="28501" xr:uid="{00000000-0005-0000-0000-00005C6C0000}"/>
    <cellStyle name="Normal 2 9 17" xfId="28502" xr:uid="{00000000-0005-0000-0000-00005D6C0000}"/>
    <cellStyle name="Normal 2 9 18" xfId="28503" xr:uid="{00000000-0005-0000-0000-00005E6C0000}"/>
    <cellStyle name="Normal 2 9 19" xfId="28504" xr:uid="{00000000-0005-0000-0000-00005F6C0000}"/>
    <cellStyle name="Normal 2 9 2" xfId="28505" xr:uid="{00000000-0005-0000-0000-0000606C0000}"/>
    <cellStyle name="Normal 2 9 20" xfId="28506" xr:uid="{00000000-0005-0000-0000-0000616C0000}"/>
    <cellStyle name="Normal 2 9 21" xfId="28507" xr:uid="{00000000-0005-0000-0000-0000626C0000}"/>
    <cellStyle name="Normal 2 9 22" xfId="28508" xr:uid="{00000000-0005-0000-0000-0000636C0000}"/>
    <cellStyle name="Normal 2 9 23" xfId="28509" xr:uid="{00000000-0005-0000-0000-0000646C0000}"/>
    <cellStyle name="Normal 2 9 24" xfId="28510" xr:uid="{00000000-0005-0000-0000-0000656C0000}"/>
    <cellStyle name="Normal 2 9 25" xfId="28511" xr:uid="{00000000-0005-0000-0000-0000666C0000}"/>
    <cellStyle name="Normal 2 9 26" xfId="28512" xr:uid="{00000000-0005-0000-0000-0000676C0000}"/>
    <cellStyle name="Normal 2 9 27" xfId="28513" xr:uid="{00000000-0005-0000-0000-0000686C0000}"/>
    <cellStyle name="Normal 2 9 28" xfId="28514" xr:uid="{00000000-0005-0000-0000-0000696C0000}"/>
    <cellStyle name="Normal 2 9 29" xfId="28515" xr:uid="{00000000-0005-0000-0000-00006A6C0000}"/>
    <cellStyle name="Normal 2 9 3" xfId="28516" xr:uid="{00000000-0005-0000-0000-00006B6C0000}"/>
    <cellStyle name="Normal 2 9 30" xfId="28517" xr:uid="{00000000-0005-0000-0000-00006C6C0000}"/>
    <cellStyle name="Normal 2 9 31" xfId="28518" xr:uid="{00000000-0005-0000-0000-00006D6C0000}"/>
    <cellStyle name="Normal 2 9 32" xfId="28519" xr:uid="{00000000-0005-0000-0000-00006E6C0000}"/>
    <cellStyle name="Normal 2 9 33" xfId="28520" xr:uid="{00000000-0005-0000-0000-00006F6C0000}"/>
    <cellStyle name="Normal 2 9 34" xfId="28521" xr:uid="{00000000-0005-0000-0000-0000706C0000}"/>
    <cellStyle name="Normal 2 9 35" xfId="28522" xr:uid="{00000000-0005-0000-0000-0000716C0000}"/>
    <cellStyle name="Normal 2 9 36" xfId="28523" xr:uid="{00000000-0005-0000-0000-0000726C0000}"/>
    <cellStyle name="Normal 2 9 37" xfId="28524" xr:uid="{00000000-0005-0000-0000-0000736C0000}"/>
    <cellStyle name="Normal 2 9 38" xfId="28525" xr:uid="{00000000-0005-0000-0000-0000746C0000}"/>
    <cellStyle name="Normal 2 9 39" xfId="28526" xr:uid="{00000000-0005-0000-0000-0000756C0000}"/>
    <cellStyle name="Normal 2 9 4" xfId="28527" xr:uid="{00000000-0005-0000-0000-0000766C0000}"/>
    <cellStyle name="Normal 2 9 40" xfId="28528" xr:uid="{00000000-0005-0000-0000-0000776C0000}"/>
    <cellStyle name="Normal 2 9 41" xfId="28529" xr:uid="{00000000-0005-0000-0000-0000786C0000}"/>
    <cellStyle name="Normal 2 9 42" xfId="28530" xr:uid="{00000000-0005-0000-0000-0000796C0000}"/>
    <cellStyle name="Normal 2 9 43" xfId="28531" xr:uid="{00000000-0005-0000-0000-00007A6C0000}"/>
    <cellStyle name="Normal 2 9 44" xfId="28532" xr:uid="{00000000-0005-0000-0000-00007B6C0000}"/>
    <cellStyle name="Normal 2 9 45" xfId="28533" xr:uid="{00000000-0005-0000-0000-00007C6C0000}"/>
    <cellStyle name="Normal 2 9 46" xfId="28534" xr:uid="{00000000-0005-0000-0000-00007D6C0000}"/>
    <cellStyle name="Normal 2 9 47" xfId="28535" xr:uid="{00000000-0005-0000-0000-00007E6C0000}"/>
    <cellStyle name="Normal 2 9 48" xfId="28536" xr:uid="{00000000-0005-0000-0000-00007F6C0000}"/>
    <cellStyle name="Normal 2 9 49" xfId="28537" xr:uid="{00000000-0005-0000-0000-0000806C0000}"/>
    <cellStyle name="Normal 2 9 5" xfId="28538" xr:uid="{00000000-0005-0000-0000-0000816C0000}"/>
    <cellStyle name="Normal 2 9 50" xfId="28539" xr:uid="{00000000-0005-0000-0000-0000826C0000}"/>
    <cellStyle name="Normal 2 9 51" xfId="28540" xr:uid="{00000000-0005-0000-0000-0000836C0000}"/>
    <cellStyle name="Normal 2 9 52" xfId="28541" xr:uid="{00000000-0005-0000-0000-0000846C0000}"/>
    <cellStyle name="Normal 2 9 53" xfId="28542" xr:uid="{00000000-0005-0000-0000-0000856C0000}"/>
    <cellStyle name="Normal 2 9 6" xfId="28543" xr:uid="{00000000-0005-0000-0000-0000866C0000}"/>
    <cellStyle name="Normal 2 9 7" xfId="28544" xr:uid="{00000000-0005-0000-0000-0000876C0000}"/>
    <cellStyle name="Normal 2 9 8" xfId="28545" xr:uid="{00000000-0005-0000-0000-0000886C0000}"/>
    <cellStyle name="Normal 2 9 9" xfId="28546" xr:uid="{00000000-0005-0000-0000-0000896C0000}"/>
    <cellStyle name="Normal 2 90" xfId="28547" xr:uid="{00000000-0005-0000-0000-00008A6C0000}"/>
    <cellStyle name="Normal 2 91" xfId="28548" xr:uid="{00000000-0005-0000-0000-00008B6C0000}"/>
    <cellStyle name="Normal 2 92" xfId="28549" xr:uid="{00000000-0005-0000-0000-00008C6C0000}"/>
    <cellStyle name="Normal 2 93" xfId="28550" xr:uid="{00000000-0005-0000-0000-00008D6C0000}"/>
    <cellStyle name="Normal 2 94" xfId="28551" xr:uid="{00000000-0005-0000-0000-00008E6C0000}"/>
    <cellStyle name="Normal 2 95" xfId="28552" xr:uid="{00000000-0005-0000-0000-00008F6C0000}"/>
    <cellStyle name="Normal 2 96" xfId="28553" xr:uid="{00000000-0005-0000-0000-0000906C0000}"/>
    <cellStyle name="Normal 2 97" xfId="28554" xr:uid="{00000000-0005-0000-0000-0000916C0000}"/>
    <cellStyle name="Normal 2 98" xfId="28555" xr:uid="{00000000-0005-0000-0000-0000926C0000}"/>
    <cellStyle name="Normal 2 99" xfId="43193" xr:uid="{00000000-0005-0000-0000-0000936C0000}"/>
    <cellStyle name="Normal 2_07-05-24-fnb- Banco de Preços R14" xfId="1060" xr:uid="{00000000-0005-0000-0000-0000946C0000}"/>
    <cellStyle name="Normal 20" xfId="1061" xr:uid="{00000000-0005-0000-0000-0000956C0000}"/>
    <cellStyle name="Normal 20 10" xfId="28556" xr:uid="{00000000-0005-0000-0000-0000966C0000}"/>
    <cellStyle name="Normal 20 10 10" xfId="28557" xr:uid="{00000000-0005-0000-0000-0000976C0000}"/>
    <cellStyle name="Normal 20 10 11" xfId="28558" xr:uid="{00000000-0005-0000-0000-0000986C0000}"/>
    <cellStyle name="Normal 20 10 12" xfId="28559" xr:uid="{00000000-0005-0000-0000-0000996C0000}"/>
    <cellStyle name="Normal 20 10 13" xfId="28560" xr:uid="{00000000-0005-0000-0000-00009A6C0000}"/>
    <cellStyle name="Normal 20 10 2" xfId="28561" xr:uid="{00000000-0005-0000-0000-00009B6C0000}"/>
    <cellStyle name="Normal 20 10 2 2" xfId="28562" xr:uid="{00000000-0005-0000-0000-00009C6C0000}"/>
    <cellStyle name="Normal 20 10 2 3" xfId="28563" xr:uid="{00000000-0005-0000-0000-00009D6C0000}"/>
    <cellStyle name="Normal 20 10 2 4" xfId="28564" xr:uid="{00000000-0005-0000-0000-00009E6C0000}"/>
    <cellStyle name="Normal 20 10 2 5" xfId="28565" xr:uid="{00000000-0005-0000-0000-00009F6C0000}"/>
    <cellStyle name="Normal 20 10 2 6" xfId="28566" xr:uid="{00000000-0005-0000-0000-0000A06C0000}"/>
    <cellStyle name="Normal 20 10 3" xfId="28567" xr:uid="{00000000-0005-0000-0000-0000A16C0000}"/>
    <cellStyle name="Normal 20 10 3 2" xfId="28568" xr:uid="{00000000-0005-0000-0000-0000A26C0000}"/>
    <cellStyle name="Normal 20 10 3 3" xfId="28569" xr:uid="{00000000-0005-0000-0000-0000A36C0000}"/>
    <cellStyle name="Normal 20 10 3 4" xfId="28570" xr:uid="{00000000-0005-0000-0000-0000A46C0000}"/>
    <cellStyle name="Normal 20 10 3 5" xfId="28571" xr:uid="{00000000-0005-0000-0000-0000A56C0000}"/>
    <cellStyle name="Normal 20 10 3 6" xfId="28572" xr:uid="{00000000-0005-0000-0000-0000A66C0000}"/>
    <cellStyle name="Normal 20 10 4" xfId="28573" xr:uid="{00000000-0005-0000-0000-0000A76C0000}"/>
    <cellStyle name="Normal 20 10 4 2" xfId="28574" xr:uid="{00000000-0005-0000-0000-0000A86C0000}"/>
    <cellStyle name="Normal 20 10 4 3" xfId="28575" xr:uid="{00000000-0005-0000-0000-0000A96C0000}"/>
    <cellStyle name="Normal 20 10 4 4" xfId="28576" xr:uid="{00000000-0005-0000-0000-0000AA6C0000}"/>
    <cellStyle name="Normal 20 10 4 5" xfId="28577" xr:uid="{00000000-0005-0000-0000-0000AB6C0000}"/>
    <cellStyle name="Normal 20 10 4 6" xfId="28578" xr:uid="{00000000-0005-0000-0000-0000AC6C0000}"/>
    <cellStyle name="Normal 20 10 5" xfId="28579" xr:uid="{00000000-0005-0000-0000-0000AD6C0000}"/>
    <cellStyle name="Normal 20 10 5 2" xfId="28580" xr:uid="{00000000-0005-0000-0000-0000AE6C0000}"/>
    <cellStyle name="Normal 20 10 5 3" xfId="28581" xr:uid="{00000000-0005-0000-0000-0000AF6C0000}"/>
    <cellStyle name="Normal 20 10 5 4" xfId="28582" xr:uid="{00000000-0005-0000-0000-0000B06C0000}"/>
    <cellStyle name="Normal 20 10 5 5" xfId="28583" xr:uid="{00000000-0005-0000-0000-0000B16C0000}"/>
    <cellStyle name="Normal 20 10 5 6" xfId="28584" xr:uid="{00000000-0005-0000-0000-0000B26C0000}"/>
    <cellStyle name="Normal 20 10 6" xfId="28585" xr:uid="{00000000-0005-0000-0000-0000B36C0000}"/>
    <cellStyle name="Normal 20 10 6 2" xfId="28586" xr:uid="{00000000-0005-0000-0000-0000B46C0000}"/>
    <cellStyle name="Normal 20 10 6 3" xfId="28587" xr:uid="{00000000-0005-0000-0000-0000B56C0000}"/>
    <cellStyle name="Normal 20 10 6 4" xfId="28588" xr:uid="{00000000-0005-0000-0000-0000B66C0000}"/>
    <cellStyle name="Normal 20 10 6 5" xfId="28589" xr:uid="{00000000-0005-0000-0000-0000B76C0000}"/>
    <cellStyle name="Normal 20 10 6 6" xfId="28590" xr:uid="{00000000-0005-0000-0000-0000B86C0000}"/>
    <cellStyle name="Normal 20 10 7" xfId="28591" xr:uid="{00000000-0005-0000-0000-0000B96C0000}"/>
    <cellStyle name="Normal 20 10 7 2" xfId="28592" xr:uid="{00000000-0005-0000-0000-0000BA6C0000}"/>
    <cellStyle name="Normal 20 10 7 3" xfId="28593" xr:uid="{00000000-0005-0000-0000-0000BB6C0000}"/>
    <cellStyle name="Normal 20 10 7 4" xfId="28594" xr:uid="{00000000-0005-0000-0000-0000BC6C0000}"/>
    <cellStyle name="Normal 20 10 7 5" xfId="28595" xr:uid="{00000000-0005-0000-0000-0000BD6C0000}"/>
    <cellStyle name="Normal 20 10 7 6" xfId="28596" xr:uid="{00000000-0005-0000-0000-0000BE6C0000}"/>
    <cellStyle name="Normal 20 10 8" xfId="28597" xr:uid="{00000000-0005-0000-0000-0000BF6C0000}"/>
    <cellStyle name="Normal 20 10 8 2" xfId="28598" xr:uid="{00000000-0005-0000-0000-0000C06C0000}"/>
    <cellStyle name="Normal 20 10 8 3" xfId="28599" xr:uid="{00000000-0005-0000-0000-0000C16C0000}"/>
    <cellStyle name="Normal 20 10 8 4" xfId="28600" xr:uid="{00000000-0005-0000-0000-0000C26C0000}"/>
    <cellStyle name="Normal 20 10 8 5" xfId="28601" xr:uid="{00000000-0005-0000-0000-0000C36C0000}"/>
    <cellStyle name="Normal 20 10 8 6" xfId="28602" xr:uid="{00000000-0005-0000-0000-0000C46C0000}"/>
    <cellStyle name="Normal 20 10 9" xfId="28603" xr:uid="{00000000-0005-0000-0000-0000C56C0000}"/>
    <cellStyle name="Normal 20 11" xfId="28604" xr:uid="{00000000-0005-0000-0000-0000C66C0000}"/>
    <cellStyle name="Normal 20 11 10" xfId="28605" xr:uid="{00000000-0005-0000-0000-0000C76C0000}"/>
    <cellStyle name="Normal 20 11 11" xfId="28606" xr:uid="{00000000-0005-0000-0000-0000C86C0000}"/>
    <cellStyle name="Normal 20 11 12" xfId="28607" xr:uid="{00000000-0005-0000-0000-0000C96C0000}"/>
    <cellStyle name="Normal 20 11 13" xfId="28608" xr:uid="{00000000-0005-0000-0000-0000CA6C0000}"/>
    <cellStyle name="Normal 20 11 2" xfId="28609" xr:uid="{00000000-0005-0000-0000-0000CB6C0000}"/>
    <cellStyle name="Normal 20 11 2 2" xfId="28610" xr:uid="{00000000-0005-0000-0000-0000CC6C0000}"/>
    <cellStyle name="Normal 20 11 2 3" xfId="28611" xr:uid="{00000000-0005-0000-0000-0000CD6C0000}"/>
    <cellStyle name="Normal 20 11 2 4" xfId="28612" xr:uid="{00000000-0005-0000-0000-0000CE6C0000}"/>
    <cellStyle name="Normal 20 11 2 5" xfId="28613" xr:uid="{00000000-0005-0000-0000-0000CF6C0000}"/>
    <cellStyle name="Normal 20 11 2 6" xfId="28614" xr:uid="{00000000-0005-0000-0000-0000D06C0000}"/>
    <cellStyle name="Normal 20 11 3" xfId="28615" xr:uid="{00000000-0005-0000-0000-0000D16C0000}"/>
    <cellStyle name="Normal 20 11 3 2" xfId="28616" xr:uid="{00000000-0005-0000-0000-0000D26C0000}"/>
    <cellStyle name="Normal 20 11 3 3" xfId="28617" xr:uid="{00000000-0005-0000-0000-0000D36C0000}"/>
    <cellStyle name="Normal 20 11 3 4" xfId="28618" xr:uid="{00000000-0005-0000-0000-0000D46C0000}"/>
    <cellStyle name="Normal 20 11 3 5" xfId="28619" xr:uid="{00000000-0005-0000-0000-0000D56C0000}"/>
    <cellStyle name="Normal 20 11 3 6" xfId="28620" xr:uid="{00000000-0005-0000-0000-0000D66C0000}"/>
    <cellStyle name="Normal 20 11 4" xfId="28621" xr:uid="{00000000-0005-0000-0000-0000D76C0000}"/>
    <cellStyle name="Normal 20 11 4 2" xfId="28622" xr:uid="{00000000-0005-0000-0000-0000D86C0000}"/>
    <cellStyle name="Normal 20 11 4 3" xfId="28623" xr:uid="{00000000-0005-0000-0000-0000D96C0000}"/>
    <cellStyle name="Normal 20 11 4 4" xfId="28624" xr:uid="{00000000-0005-0000-0000-0000DA6C0000}"/>
    <cellStyle name="Normal 20 11 4 5" xfId="28625" xr:uid="{00000000-0005-0000-0000-0000DB6C0000}"/>
    <cellStyle name="Normal 20 11 4 6" xfId="28626" xr:uid="{00000000-0005-0000-0000-0000DC6C0000}"/>
    <cellStyle name="Normal 20 11 5" xfId="28627" xr:uid="{00000000-0005-0000-0000-0000DD6C0000}"/>
    <cellStyle name="Normal 20 11 5 2" xfId="28628" xr:uid="{00000000-0005-0000-0000-0000DE6C0000}"/>
    <cellStyle name="Normal 20 11 5 3" xfId="28629" xr:uid="{00000000-0005-0000-0000-0000DF6C0000}"/>
    <cellStyle name="Normal 20 11 5 4" xfId="28630" xr:uid="{00000000-0005-0000-0000-0000E06C0000}"/>
    <cellStyle name="Normal 20 11 5 5" xfId="28631" xr:uid="{00000000-0005-0000-0000-0000E16C0000}"/>
    <cellStyle name="Normal 20 11 5 6" xfId="28632" xr:uid="{00000000-0005-0000-0000-0000E26C0000}"/>
    <cellStyle name="Normal 20 11 6" xfId="28633" xr:uid="{00000000-0005-0000-0000-0000E36C0000}"/>
    <cellStyle name="Normal 20 11 6 2" xfId="28634" xr:uid="{00000000-0005-0000-0000-0000E46C0000}"/>
    <cellStyle name="Normal 20 11 6 3" xfId="28635" xr:uid="{00000000-0005-0000-0000-0000E56C0000}"/>
    <cellStyle name="Normal 20 11 6 4" xfId="28636" xr:uid="{00000000-0005-0000-0000-0000E66C0000}"/>
    <cellStyle name="Normal 20 11 6 5" xfId="28637" xr:uid="{00000000-0005-0000-0000-0000E76C0000}"/>
    <cellStyle name="Normal 20 11 6 6" xfId="28638" xr:uid="{00000000-0005-0000-0000-0000E86C0000}"/>
    <cellStyle name="Normal 20 11 7" xfId="28639" xr:uid="{00000000-0005-0000-0000-0000E96C0000}"/>
    <cellStyle name="Normal 20 11 7 2" xfId="28640" xr:uid="{00000000-0005-0000-0000-0000EA6C0000}"/>
    <cellStyle name="Normal 20 11 7 3" xfId="28641" xr:uid="{00000000-0005-0000-0000-0000EB6C0000}"/>
    <cellStyle name="Normal 20 11 7 4" xfId="28642" xr:uid="{00000000-0005-0000-0000-0000EC6C0000}"/>
    <cellStyle name="Normal 20 11 7 5" xfId="28643" xr:uid="{00000000-0005-0000-0000-0000ED6C0000}"/>
    <cellStyle name="Normal 20 11 7 6" xfId="28644" xr:uid="{00000000-0005-0000-0000-0000EE6C0000}"/>
    <cellStyle name="Normal 20 11 8" xfId="28645" xr:uid="{00000000-0005-0000-0000-0000EF6C0000}"/>
    <cellStyle name="Normal 20 11 8 2" xfId="28646" xr:uid="{00000000-0005-0000-0000-0000F06C0000}"/>
    <cellStyle name="Normal 20 11 8 3" xfId="28647" xr:uid="{00000000-0005-0000-0000-0000F16C0000}"/>
    <cellStyle name="Normal 20 11 8 4" xfId="28648" xr:uid="{00000000-0005-0000-0000-0000F26C0000}"/>
    <cellStyle name="Normal 20 11 8 5" xfId="28649" xr:uid="{00000000-0005-0000-0000-0000F36C0000}"/>
    <cellStyle name="Normal 20 11 8 6" xfId="28650" xr:uid="{00000000-0005-0000-0000-0000F46C0000}"/>
    <cellStyle name="Normal 20 11 9" xfId="28651" xr:uid="{00000000-0005-0000-0000-0000F56C0000}"/>
    <cellStyle name="Normal 20 12" xfId="28652" xr:uid="{00000000-0005-0000-0000-0000F66C0000}"/>
    <cellStyle name="Normal 20 12 10" xfId="28653" xr:uid="{00000000-0005-0000-0000-0000F76C0000}"/>
    <cellStyle name="Normal 20 12 11" xfId="28654" xr:uid="{00000000-0005-0000-0000-0000F86C0000}"/>
    <cellStyle name="Normal 20 12 12" xfId="28655" xr:uid="{00000000-0005-0000-0000-0000F96C0000}"/>
    <cellStyle name="Normal 20 12 13" xfId="28656" xr:uid="{00000000-0005-0000-0000-0000FA6C0000}"/>
    <cellStyle name="Normal 20 12 2" xfId="28657" xr:uid="{00000000-0005-0000-0000-0000FB6C0000}"/>
    <cellStyle name="Normal 20 12 2 2" xfId="28658" xr:uid="{00000000-0005-0000-0000-0000FC6C0000}"/>
    <cellStyle name="Normal 20 12 2 3" xfId="28659" xr:uid="{00000000-0005-0000-0000-0000FD6C0000}"/>
    <cellStyle name="Normal 20 12 2 4" xfId="28660" xr:uid="{00000000-0005-0000-0000-0000FE6C0000}"/>
    <cellStyle name="Normal 20 12 2 5" xfId="28661" xr:uid="{00000000-0005-0000-0000-0000FF6C0000}"/>
    <cellStyle name="Normal 20 12 2 6" xfId="28662" xr:uid="{00000000-0005-0000-0000-0000006D0000}"/>
    <cellStyle name="Normal 20 12 3" xfId="28663" xr:uid="{00000000-0005-0000-0000-0000016D0000}"/>
    <cellStyle name="Normal 20 12 3 2" xfId="28664" xr:uid="{00000000-0005-0000-0000-0000026D0000}"/>
    <cellStyle name="Normal 20 12 3 3" xfId="28665" xr:uid="{00000000-0005-0000-0000-0000036D0000}"/>
    <cellStyle name="Normal 20 12 3 4" xfId="28666" xr:uid="{00000000-0005-0000-0000-0000046D0000}"/>
    <cellStyle name="Normal 20 12 3 5" xfId="28667" xr:uid="{00000000-0005-0000-0000-0000056D0000}"/>
    <cellStyle name="Normal 20 12 3 6" xfId="28668" xr:uid="{00000000-0005-0000-0000-0000066D0000}"/>
    <cellStyle name="Normal 20 12 4" xfId="28669" xr:uid="{00000000-0005-0000-0000-0000076D0000}"/>
    <cellStyle name="Normal 20 12 4 2" xfId="28670" xr:uid="{00000000-0005-0000-0000-0000086D0000}"/>
    <cellStyle name="Normal 20 12 4 3" xfId="28671" xr:uid="{00000000-0005-0000-0000-0000096D0000}"/>
    <cellStyle name="Normal 20 12 4 4" xfId="28672" xr:uid="{00000000-0005-0000-0000-00000A6D0000}"/>
    <cellStyle name="Normal 20 12 4 5" xfId="28673" xr:uid="{00000000-0005-0000-0000-00000B6D0000}"/>
    <cellStyle name="Normal 20 12 4 6" xfId="28674" xr:uid="{00000000-0005-0000-0000-00000C6D0000}"/>
    <cellStyle name="Normal 20 12 5" xfId="28675" xr:uid="{00000000-0005-0000-0000-00000D6D0000}"/>
    <cellStyle name="Normal 20 12 5 2" xfId="28676" xr:uid="{00000000-0005-0000-0000-00000E6D0000}"/>
    <cellStyle name="Normal 20 12 5 3" xfId="28677" xr:uid="{00000000-0005-0000-0000-00000F6D0000}"/>
    <cellStyle name="Normal 20 12 5 4" xfId="28678" xr:uid="{00000000-0005-0000-0000-0000106D0000}"/>
    <cellStyle name="Normal 20 12 5 5" xfId="28679" xr:uid="{00000000-0005-0000-0000-0000116D0000}"/>
    <cellStyle name="Normal 20 12 5 6" xfId="28680" xr:uid="{00000000-0005-0000-0000-0000126D0000}"/>
    <cellStyle name="Normal 20 12 6" xfId="28681" xr:uid="{00000000-0005-0000-0000-0000136D0000}"/>
    <cellStyle name="Normal 20 12 6 2" xfId="28682" xr:uid="{00000000-0005-0000-0000-0000146D0000}"/>
    <cellStyle name="Normal 20 12 6 3" xfId="28683" xr:uid="{00000000-0005-0000-0000-0000156D0000}"/>
    <cellStyle name="Normal 20 12 6 4" xfId="28684" xr:uid="{00000000-0005-0000-0000-0000166D0000}"/>
    <cellStyle name="Normal 20 12 6 5" xfId="28685" xr:uid="{00000000-0005-0000-0000-0000176D0000}"/>
    <cellStyle name="Normal 20 12 6 6" xfId="28686" xr:uid="{00000000-0005-0000-0000-0000186D0000}"/>
    <cellStyle name="Normal 20 12 7" xfId="28687" xr:uid="{00000000-0005-0000-0000-0000196D0000}"/>
    <cellStyle name="Normal 20 12 7 2" xfId="28688" xr:uid="{00000000-0005-0000-0000-00001A6D0000}"/>
    <cellStyle name="Normal 20 12 7 3" xfId="28689" xr:uid="{00000000-0005-0000-0000-00001B6D0000}"/>
    <cellStyle name="Normal 20 12 7 4" xfId="28690" xr:uid="{00000000-0005-0000-0000-00001C6D0000}"/>
    <cellStyle name="Normal 20 12 7 5" xfId="28691" xr:uid="{00000000-0005-0000-0000-00001D6D0000}"/>
    <cellStyle name="Normal 20 12 7 6" xfId="28692" xr:uid="{00000000-0005-0000-0000-00001E6D0000}"/>
    <cellStyle name="Normal 20 12 8" xfId="28693" xr:uid="{00000000-0005-0000-0000-00001F6D0000}"/>
    <cellStyle name="Normal 20 12 8 2" xfId="28694" xr:uid="{00000000-0005-0000-0000-0000206D0000}"/>
    <cellStyle name="Normal 20 12 8 3" xfId="28695" xr:uid="{00000000-0005-0000-0000-0000216D0000}"/>
    <cellStyle name="Normal 20 12 8 4" xfId="28696" xr:uid="{00000000-0005-0000-0000-0000226D0000}"/>
    <cellStyle name="Normal 20 12 8 5" xfId="28697" xr:uid="{00000000-0005-0000-0000-0000236D0000}"/>
    <cellStyle name="Normal 20 12 8 6" xfId="28698" xr:uid="{00000000-0005-0000-0000-0000246D0000}"/>
    <cellStyle name="Normal 20 12 9" xfId="28699" xr:uid="{00000000-0005-0000-0000-0000256D0000}"/>
    <cellStyle name="Normal 20 13" xfId="28700" xr:uid="{00000000-0005-0000-0000-0000266D0000}"/>
    <cellStyle name="Normal 20 13 10" xfId="28701" xr:uid="{00000000-0005-0000-0000-0000276D0000}"/>
    <cellStyle name="Normal 20 13 11" xfId="28702" xr:uid="{00000000-0005-0000-0000-0000286D0000}"/>
    <cellStyle name="Normal 20 13 12" xfId="28703" xr:uid="{00000000-0005-0000-0000-0000296D0000}"/>
    <cellStyle name="Normal 20 13 13" xfId="28704" xr:uid="{00000000-0005-0000-0000-00002A6D0000}"/>
    <cellStyle name="Normal 20 13 2" xfId="28705" xr:uid="{00000000-0005-0000-0000-00002B6D0000}"/>
    <cellStyle name="Normal 20 13 2 2" xfId="28706" xr:uid="{00000000-0005-0000-0000-00002C6D0000}"/>
    <cellStyle name="Normal 20 13 2 3" xfId="28707" xr:uid="{00000000-0005-0000-0000-00002D6D0000}"/>
    <cellStyle name="Normal 20 13 2 4" xfId="28708" xr:uid="{00000000-0005-0000-0000-00002E6D0000}"/>
    <cellStyle name="Normal 20 13 2 5" xfId="28709" xr:uid="{00000000-0005-0000-0000-00002F6D0000}"/>
    <cellStyle name="Normal 20 13 2 6" xfId="28710" xr:uid="{00000000-0005-0000-0000-0000306D0000}"/>
    <cellStyle name="Normal 20 13 3" xfId="28711" xr:uid="{00000000-0005-0000-0000-0000316D0000}"/>
    <cellStyle name="Normal 20 13 3 2" xfId="28712" xr:uid="{00000000-0005-0000-0000-0000326D0000}"/>
    <cellStyle name="Normal 20 13 3 3" xfId="28713" xr:uid="{00000000-0005-0000-0000-0000336D0000}"/>
    <cellStyle name="Normal 20 13 3 4" xfId="28714" xr:uid="{00000000-0005-0000-0000-0000346D0000}"/>
    <cellStyle name="Normal 20 13 3 5" xfId="28715" xr:uid="{00000000-0005-0000-0000-0000356D0000}"/>
    <cellStyle name="Normal 20 13 3 6" xfId="28716" xr:uid="{00000000-0005-0000-0000-0000366D0000}"/>
    <cellStyle name="Normal 20 13 4" xfId="28717" xr:uid="{00000000-0005-0000-0000-0000376D0000}"/>
    <cellStyle name="Normal 20 13 4 2" xfId="28718" xr:uid="{00000000-0005-0000-0000-0000386D0000}"/>
    <cellStyle name="Normal 20 13 4 3" xfId="28719" xr:uid="{00000000-0005-0000-0000-0000396D0000}"/>
    <cellStyle name="Normal 20 13 4 4" xfId="28720" xr:uid="{00000000-0005-0000-0000-00003A6D0000}"/>
    <cellStyle name="Normal 20 13 4 5" xfId="28721" xr:uid="{00000000-0005-0000-0000-00003B6D0000}"/>
    <cellStyle name="Normal 20 13 4 6" xfId="28722" xr:uid="{00000000-0005-0000-0000-00003C6D0000}"/>
    <cellStyle name="Normal 20 13 5" xfId="28723" xr:uid="{00000000-0005-0000-0000-00003D6D0000}"/>
    <cellStyle name="Normal 20 13 5 2" xfId="28724" xr:uid="{00000000-0005-0000-0000-00003E6D0000}"/>
    <cellStyle name="Normal 20 13 5 3" xfId="28725" xr:uid="{00000000-0005-0000-0000-00003F6D0000}"/>
    <cellStyle name="Normal 20 13 5 4" xfId="28726" xr:uid="{00000000-0005-0000-0000-0000406D0000}"/>
    <cellStyle name="Normal 20 13 5 5" xfId="28727" xr:uid="{00000000-0005-0000-0000-0000416D0000}"/>
    <cellStyle name="Normal 20 13 5 6" xfId="28728" xr:uid="{00000000-0005-0000-0000-0000426D0000}"/>
    <cellStyle name="Normal 20 13 6" xfId="28729" xr:uid="{00000000-0005-0000-0000-0000436D0000}"/>
    <cellStyle name="Normal 20 13 6 2" xfId="28730" xr:uid="{00000000-0005-0000-0000-0000446D0000}"/>
    <cellStyle name="Normal 20 13 6 3" xfId="28731" xr:uid="{00000000-0005-0000-0000-0000456D0000}"/>
    <cellStyle name="Normal 20 13 6 4" xfId="28732" xr:uid="{00000000-0005-0000-0000-0000466D0000}"/>
    <cellStyle name="Normal 20 13 6 5" xfId="28733" xr:uid="{00000000-0005-0000-0000-0000476D0000}"/>
    <cellStyle name="Normal 20 13 6 6" xfId="28734" xr:uid="{00000000-0005-0000-0000-0000486D0000}"/>
    <cellStyle name="Normal 20 13 7" xfId="28735" xr:uid="{00000000-0005-0000-0000-0000496D0000}"/>
    <cellStyle name="Normal 20 13 7 2" xfId="28736" xr:uid="{00000000-0005-0000-0000-00004A6D0000}"/>
    <cellStyle name="Normal 20 13 7 3" xfId="28737" xr:uid="{00000000-0005-0000-0000-00004B6D0000}"/>
    <cellStyle name="Normal 20 13 7 4" xfId="28738" xr:uid="{00000000-0005-0000-0000-00004C6D0000}"/>
    <cellStyle name="Normal 20 13 7 5" xfId="28739" xr:uid="{00000000-0005-0000-0000-00004D6D0000}"/>
    <cellStyle name="Normal 20 13 7 6" xfId="28740" xr:uid="{00000000-0005-0000-0000-00004E6D0000}"/>
    <cellStyle name="Normal 20 13 8" xfId="28741" xr:uid="{00000000-0005-0000-0000-00004F6D0000}"/>
    <cellStyle name="Normal 20 13 8 2" xfId="28742" xr:uid="{00000000-0005-0000-0000-0000506D0000}"/>
    <cellStyle name="Normal 20 13 8 3" xfId="28743" xr:uid="{00000000-0005-0000-0000-0000516D0000}"/>
    <cellStyle name="Normal 20 13 8 4" xfId="28744" xr:uid="{00000000-0005-0000-0000-0000526D0000}"/>
    <cellStyle name="Normal 20 13 8 5" xfId="28745" xr:uid="{00000000-0005-0000-0000-0000536D0000}"/>
    <cellStyle name="Normal 20 13 8 6" xfId="28746" xr:uid="{00000000-0005-0000-0000-0000546D0000}"/>
    <cellStyle name="Normal 20 13 9" xfId="28747" xr:uid="{00000000-0005-0000-0000-0000556D0000}"/>
    <cellStyle name="Normal 20 14" xfId="28748" xr:uid="{00000000-0005-0000-0000-0000566D0000}"/>
    <cellStyle name="Normal 20 14 10" xfId="28749" xr:uid="{00000000-0005-0000-0000-0000576D0000}"/>
    <cellStyle name="Normal 20 14 11" xfId="28750" xr:uid="{00000000-0005-0000-0000-0000586D0000}"/>
    <cellStyle name="Normal 20 14 12" xfId="28751" xr:uid="{00000000-0005-0000-0000-0000596D0000}"/>
    <cellStyle name="Normal 20 14 13" xfId="28752" xr:uid="{00000000-0005-0000-0000-00005A6D0000}"/>
    <cellStyle name="Normal 20 14 2" xfId="28753" xr:uid="{00000000-0005-0000-0000-00005B6D0000}"/>
    <cellStyle name="Normal 20 14 2 2" xfId="28754" xr:uid="{00000000-0005-0000-0000-00005C6D0000}"/>
    <cellStyle name="Normal 20 14 2 3" xfId="28755" xr:uid="{00000000-0005-0000-0000-00005D6D0000}"/>
    <cellStyle name="Normal 20 14 2 4" xfId="28756" xr:uid="{00000000-0005-0000-0000-00005E6D0000}"/>
    <cellStyle name="Normal 20 14 2 5" xfId="28757" xr:uid="{00000000-0005-0000-0000-00005F6D0000}"/>
    <cellStyle name="Normal 20 14 2 6" xfId="28758" xr:uid="{00000000-0005-0000-0000-0000606D0000}"/>
    <cellStyle name="Normal 20 14 3" xfId="28759" xr:uid="{00000000-0005-0000-0000-0000616D0000}"/>
    <cellStyle name="Normal 20 14 3 2" xfId="28760" xr:uid="{00000000-0005-0000-0000-0000626D0000}"/>
    <cellStyle name="Normal 20 14 3 3" xfId="28761" xr:uid="{00000000-0005-0000-0000-0000636D0000}"/>
    <cellStyle name="Normal 20 14 3 4" xfId="28762" xr:uid="{00000000-0005-0000-0000-0000646D0000}"/>
    <cellStyle name="Normal 20 14 3 5" xfId="28763" xr:uid="{00000000-0005-0000-0000-0000656D0000}"/>
    <cellStyle name="Normal 20 14 3 6" xfId="28764" xr:uid="{00000000-0005-0000-0000-0000666D0000}"/>
    <cellStyle name="Normal 20 14 4" xfId="28765" xr:uid="{00000000-0005-0000-0000-0000676D0000}"/>
    <cellStyle name="Normal 20 14 4 2" xfId="28766" xr:uid="{00000000-0005-0000-0000-0000686D0000}"/>
    <cellStyle name="Normal 20 14 4 3" xfId="28767" xr:uid="{00000000-0005-0000-0000-0000696D0000}"/>
    <cellStyle name="Normal 20 14 4 4" xfId="28768" xr:uid="{00000000-0005-0000-0000-00006A6D0000}"/>
    <cellStyle name="Normal 20 14 4 5" xfId="28769" xr:uid="{00000000-0005-0000-0000-00006B6D0000}"/>
    <cellStyle name="Normal 20 14 4 6" xfId="28770" xr:uid="{00000000-0005-0000-0000-00006C6D0000}"/>
    <cellStyle name="Normal 20 14 5" xfId="28771" xr:uid="{00000000-0005-0000-0000-00006D6D0000}"/>
    <cellStyle name="Normal 20 14 5 2" xfId="28772" xr:uid="{00000000-0005-0000-0000-00006E6D0000}"/>
    <cellStyle name="Normal 20 14 5 3" xfId="28773" xr:uid="{00000000-0005-0000-0000-00006F6D0000}"/>
    <cellStyle name="Normal 20 14 5 4" xfId="28774" xr:uid="{00000000-0005-0000-0000-0000706D0000}"/>
    <cellStyle name="Normal 20 14 5 5" xfId="28775" xr:uid="{00000000-0005-0000-0000-0000716D0000}"/>
    <cellStyle name="Normal 20 14 5 6" xfId="28776" xr:uid="{00000000-0005-0000-0000-0000726D0000}"/>
    <cellStyle name="Normal 20 14 6" xfId="28777" xr:uid="{00000000-0005-0000-0000-0000736D0000}"/>
    <cellStyle name="Normal 20 14 6 2" xfId="28778" xr:uid="{00000000-0005-0000-0000-0000746D0000}"/>
    <cellStyle name="Normal 20 14 6 3" xfId="28779" xr:uid="{00000000-0005-0000-0000-0000756D0000}"/>
    <cellStyle name="Normal 20 14 6 4" xfId="28780" xr:uid="{00000000-0005-0000-0000-0000766D0000}"/>
    <cellStyle name="Normal 20 14 6 5" xfId="28781" xr:uid="{00000000-0005-0000-0000-0000776D0000}"/>
    <cellStyle name="Normal 20 14 6 6" xfId="28782" xr:uid="{00000000-0005-0000-0000-0000786D0000}"/>
    <cellStyle name="Normal 20 14 7" xfId="28783" xr:uid="{00000000-0005-0000-0000-0000796D0000}"/>
    <cellStyle name="Normal 20 14 7 2" xfId="28784" xr:uid="{00000000-0005-0000-0000-00007A6D0000}"/>
    <cellStyle name="Normal 20 14 7 3" xfId="28785" xr:uid="{00000000-0005-0000-0000-00007B6D0000}"/>
    <cellStyle name="Normal 20 14 7 4" xfId="28786" xr:uid="{00000000-0005-0000-0000-00007C6D0000}"/>
    <cellStyle name="Normal 20 14 7 5" xfId="28787" xr:uid="{00000000-0005-0000-0000-00007D6D0000}"/>
    <cellStyle name="Normal 20 14 7 6" xfId="28788" xr:uid="{00000000-0005-0000-0000-00007E6D0000}"/>
    <cellStyle name="Normal 20 14 8" xfId="28789" xr:uid="{00000000-0005-0000-0000-00007F6D0000}"/>
    <cellStyle name="Normal 20 14 8 2" xfId="28790" xr:uid="{00000000-0005-0000-0000-0000806D0000}"/>
    <cellStyle name="Normal 20 14 8 3" xfId="28791" xr:uid="{00000000-0005-0000-0000-0000816D0000}"/>
    <cellStyle name="Normal 20 14 8 4" xfId="28792" xr:uid="{00000000-0005-0000-0000-0000826D0000}"/>
    <cellStyle name="Normal 20 14 8 5" xfId="28793" xr:uid="{00000000-0005-0000-0000-0000836D0000}"/>
    <cellStyle name="Normal 20 14 8 6" xfId="28794" xr:uid="{00000000-0005-0000-0000-0000846D0000}"/>
    <cellStyle name="Normal 20 14 9" xfId="28795" xr:uid="{00000000-0005-0000-0000-0000856D0000}"/>
    <cellStyle name="Normal 20 15" xfId="28796" xr:uid="{00000000-0005-0000-0000-0000866D0000}"/>
    <cellStyle name="Normal 20 15 10" xfId="28797" xr:uid="{00000000-0005-0000-0000-0000876D0000}"/>
    <cellStyle name="Normal 20 15 11" xfId="28798" xr:uid="{00000000-0005-0000-0000-0000886D0000}"/>
    <cellStyle name="Normal 20 15 12" xfId="28799" xr:uid="{00000000-0005-0000-0000-0000896D0000}"/>
    <cellStyle name="Normal 20 15 13" xfId="28800" xr:uid="{00000000-0005-0000-0000-00008A6D0000}"/>
    <cellStyle name="Normal 20 15 2" xfId="28801" xr:uid="{00000000-0005-0000-0000-00008B6D0000}"/>
    <cellStyle name="Normal 20 15 2 2" xfId="28802" xr:uid="{00000000-0005-0000-0000-00008C6D0000}"/>
    <cellStyle name="Normal 20 15 2 3" xfId="28803" xr:uid="{00000000-0005-0000-0000-00008D6D0000}"/>
    <cellStyle name="Normal 20 15 2 4" xfId="28804" xr:uid="{00000000-0005-0000-0000-00008E6D0000}"/>
    <cellStyle name="Normal 20 15 2 5" xfId="28805" xr:uid="{00000000-0005-0000-0000-00008F6D0000}"/>
    <cellStyle name="Normal 20 15 2 6" xfId="28806" xr:uid="{00000000-0005-0000-0000-0000906D0000}"/>
    <cellStyle name="Normal 20 15 3" xfId="28807" xr:uid="{00000000-0005-0000-0000-0000916D0000}"/>
    <cellStyle name="Normal 20 15 3 2" xfId="28808" xr:uid="{00000000-0005-0000-0000-0000926D0000}"/>
    <cellStyle name="Normal 20 15 3 3" xfId="28809" xr:uid="{00000000-0005-0000-0000-0000936D0000}"/>
    <cellStyle name="Normal 20 15 3 4" xfId="28810" xr:uid="{00000000-0005-0000-0000-0000946D0000}"/>
    <cellStyle name="Normal 20 15 3 5" xfId="28811" xr:uid="{00000000-0005-0000-0000-0000956D0000}"/>
    <cellStyle name="Normal 20 15 3 6" xfId="28812" xr:uid="{00000000-0005-0000-0000-0000966D0000}"/>
    <cellStyle name="Normal 20 15 4" xfId="28813" xr:uid="{00000000-0005-0000-0000-0000976D0000}"/>
    <cellStyle name="Normal 20 15 4 2" xfId="28814" xr:uid="{00000000-0005-0000-0000-0000986D0000}"/>
    <cellStyle name="Normal 20 15 4 3" xfId="28815" xr:uid="{00000000-0005-0000-0000-0000996D0000}"/>
    <cellStyle name="Normal 20 15 4 4" xfId="28816" xr:uid="{00000000-0005-0000-0000-00009A6D0000}"/>
    <cellStyle name="Normal 20 15 4 5" xfId="28817" xr:uid="{00000000-0005-0000-0000-00009B6D0000}"/>
    <cellStyle name="Normal 20 15 4 6" xfId="28818" xr:uid="{00000000-0005-0000-0000-00009C6D0000}"/>
    <cellStyle name="Normal 20 15 5" xfId="28819" xr:uid="{00000000-0005-0000-0000-00009D6D0000}"/>
    <cellStyle name="Normal 20 15 5 2" xfId="28820" xr:uid="{00000000-0005-0000-0000-00009E6D0000}"/>
    <cellStyle name="Normal 20 15 5 3" xfId="28821" xr:uid="{00000000-0005-0000-0000-00009F6D0000}"/>
    <cellStyle name="Normal 20 15 5 4" xfId="28822" xr:uid="{00000000-0005-0000-0000-0000A06D0000}"/>
    <cellStyle name="Normal 20 15 5 5" xfId="28823" xr:uid="{00000000-0005-0000-0000-0000A16D0000}"/>
    <cellStyle name="Normal 20 15 5 6" xfId="28824" xr:uid="{00000000-0005-0000-0000-0000A26D0000}"/>
    <cellStyle name="Normal 20 15 6" xfId="28825" xr:uid="{00000000-0005-0000-0000-0000A36D0000}"/>
    <cellStyle name="Normal 20 15 6 2" xfId="28826" xr:uid="{00000000-0005-0000-0000-0000A46D0000}"/>
    <cellStyle name="Normal 20 15 6 3" xfId="28827" xr:uid="{00000000-0005-0000-0000-0000A56D0000}"/>
    <cellStyle name="Normal 20 15 6 4" xfId="28828" xr:uid="{00000000-0005-0000-0000-0000A66D0000}"/>
    <cellStyle name="Normal 20 15 6 5" xfId="28829" xr:uid="{00000000-0005-0000-0000-0000A76D0000}"/>
    <cellStyle name="Normal 20 15 6 6" xfId="28830" xr:uid="{00000000-0005-0000-0000-0000A86D0000}"/>
    <cellStyle name="Normal 20 15 7" xfId="28831" xr:uid="{00000000-0005-0000-0000-0000A96D0000}"/>
    <cellStyle name="Normal 20 15 7 2" xfId="28832" xr:uid="{00000000-0005-0000-0000-0000AA6D0000}"/>
    <cellStyle name="Normal 20 15 7 3" xfId="28833" xr:uid="{00000000-0005-0000-0000-0000AB6D0000}"/>
    <cellStyle name="Normal 20 15 7 4" xfId="28834" xr:uid="{00000000-0005-0000-0000-0000AC6D0000}"/>
    <cellStyle name="Normal 20 15 7 5" xfId="28835" xr:uid="{00000000-0005-0000-0000-0000AD6D0000}"/>
    <cellStyle name="Normal 20 15 7 6" xfId="28836" xr:uid="{00000000-0005-0000-0000-0000AE6D0000}"/>
    <cellStyle name="Normal 20 15 8" xfId="28837" xr:uid="{00000000-0005-0000-0000-0000AF6D0000}"/>
    <cellStyle name="Normal 20 15 8 2" xfId="28838" xr:uid="{00000000-0005-0000-0000-0000B06D0000}"/>
    <cellStyle name="Normal 20 15 8 3" xfId="28839" xr:uid="{00000000-0005-0000-0000-0000B16D0000}"/>
    <cellStyle name="Normal 20 15 8 4" xfId="28840" xr:uid="{00000000-0005-0000-0000-0000B26D0000}"/>
    <cellStyle name="Normal 20 15 8 5" xfId="28841" xr:uid="{00000000-0005-0000-0000-0000B36D0000}"/>
    <cellStyle name="Normal 20 15 8 6" xfId="28842" xr:uid="{00000000-0005-0000-0000-0000B46D0000}"/>
    <cellStyle name="Normal 20 15 9" xfId="28843" xr:uid="{00000000-0005-0000-0000-0000B56D0000}"/>
    <cellStyle name="Normal 20 16" xfId="28844" xr:uid="{00000000-0005-0000-0000-0000B66D0000}"/>
    <cellStyle name="Normal 20 16 10" xfId="28845" xr:uid="{00000000-0005-0000-0000-0000B76D0000}"/>
    <cellStyle name="Normal 20 16 11" xfId="28846" xr:uid="{00000000-0005-0000-0000-0000B86D0000}"/>
    <cellStyle name="Normal 20 16 12" xfId="28847" xr:uid="{00000000-0005-0000-0000-0000B96D0000}"/>
    <cellStyle name="Normal 20 16 13" xfId="28848" xr:uid="{00000000-0005-0000-0000-0000BA6D0000}"/>
    <cellStyle name="Normal 20 16 2" xfId="28849" xr:uid="{00000000-0005-0000-0000-0000BB6D0000}"/>
    <cellStyle name="Normal 20 16 2 2" xfId="28850" xr:uid="{00000000-0005-0000-0000-0000BC6D0000}"/>
    <cellStyle name="Normal 20 16 2 3" xfId="28851" xr:uid="{00000000-0005-0000-0000-0000BD6D0000}"/>
    <cellStyle name="Normal 20 16 2 4" xfId="28852" xr:uid="{00000000-0005-0000-0000-0000BE6D0000}"/>
    <cellStyle name="Normal 20 16 2 5" xfId="28853" xr:uid="{00000000-0005-0000-0000-0000BF6D0000}"/>
    <cellStyle name="Normal 20 16 2 6" xfId="28854" xr:uid="{00000000-0005-0000-0000-0000C06D0000}"/>
    <cellStyle name="Normal 20 16 3" xfId="28855" xr:uid="{00000000-0005-0000-0000-0000C16D0000}"/>
    <cellStyle name="Normal 20 16 3 2" xfId="28856" xr:uid="{00000000-0005-0000-0000-0000C26D0000}"/>
    <cellStyle name="Normal 20 16 3 3" xfId="28857" xr:uid="{00000000-0005-0000-0000-0000C36D0000}"/>
    <cellStyle name="Normal 20 16 3 4" xfId="28858" xr:uid="{00000000-0005-0000-0000-0000C46D0000}"/>
    <cellStyle name="Normal 20 16 3 5" xfId="28859" xr:uid="{00000000-0005-0000-0000-0000C56D0000}"/>
    <cellStyle name="Normal 20 16 3 6" xfId="28860" xr:uid="{00000000-0005-0000-0000-0000C66D0000}"/>
    <cellStyle name="Normal 20 16 4" xfId="28861" xr:uid="{00000000-0005-0000-0000-0000C76D0000}"/>
    <cellStyle name="Normal 20 16 4 2" xfId="28862" xr:uid="{00000000-0005-0000-0000-0000C86D0000}"/>
    <cellStyle name="Normal 20 16 4 3" xfId="28863" xr:uid="{00000000-0005-0000-0000-0000C96D0000}"/>
    <cellStyle name="Normal 20 16 4 4" xfId="28864" xr:uid="{00000000-0005-0000-0000-0000CA6D0000}"/>
    <cellStyle name="Normal 20 16 4 5" xfId="28865" xr:uid="{00000000-0005-0000-0000-0000CB6D0000}"/>
    <cellStyle name="Normal 20 16 4 6" xfId="28866" xr:uid="{00000000-0005-0000-0000-0000CC6D0000}"/>
    <cellStyle name="Normal 20 16 5" xfId="28867" xr:uid="{00000000-0005-0000-0000-0000CD6D0000}"/>
    <cellStyle name="Normal 20 16 5 2" xfId="28868" xr:uid="{00000000-0005-0000-0000-0000CE6D0000}"/>
    <cellStyle name="Normal 20 16 5 3" xfId="28869" xr:uid="{00000000-0005-0000-0000-0000CF6D0000}"/>
    <cellStyle name="Normal 20 16 5 4" xfId="28870" xr:uid="{00000000-0005-0000-0000-0000D06D0000}"/>
    <cellStyle name="Normal 20 16 5 5" xfId="28871" xr:uid="{00000000-0005-0000-0000-0000D16D0000}"/>
    <cellStyle name="Normal 20 16 5 6" xfId="28872" xr:uid="{00000000-0005-0000-0000-0000D26D0000}"/>
    <cellStyle name="Normal 20 16 6" xfId="28873" xr:uid="{00000000-0005-0000-0000-0000D36D0000}"/>
    <cellStyle name="Normal 20 16 6 2" xfId="28874" xr:uid="{00000000-0005-0000-0000-0000D46D0000}"/>
    <cellStyle name="Normal 20 16 6 3" xfId="28875" xr:uid="{00000000-0005-0000-0000-0000D56D0000}"/>
    <cellStyle name="Normal 20 16 6 4" xfId="28876" xr:uid="{00000000-0005-0000-0000-0000D66D0000}"/>
    <cellStyle name="Normal 20 16 6 5" xfId="28877" xr:uid="{00000000-0005-0000-0000-0000D76D0000}"/>
    <cellStyle name="Normal 20 16 6 6" xfId="28878" xr:uid="{00000000-0005-0000-0000-0000D86D0000}"/>
    <cellStyle name="Normal 20 16 7" xfId="28879" xr:uid="{00000000-0005-0000-0000-0000D96D0000}"/>
    <cellStyle name="Normal 20 16 7 2" xfId="28880" xr:uid="{00000000-0005-0000-0000-0000DA6D0000}"/>
    <cellStyle name="Normal 20 16 7 3" xfId="28881" xr:uid="{00000000-0005-0000-0000-0000DB6D0000}"/>
    <cellStyle name="Normal 20 16 7 4" xfId="28882" xr:uid="{00000000-0005-0000-0000-0000DC6D0000}"/>
    <cellStyle name="Normal 20 16 7 5" xfId="28883" xr:uid="{00000000-0005-0000-0000-0000DD6D0000}"/>
    <cellStyle name="Normal 20 16 7 6" xfId="28884" xr:uid="{00000000-0005-0000-0000-0000DE6D0000}"/>
    <cellStyle name="Normal 20 16 8" xfId="28885" xr:uid="{00000000-0005-0000-0000-0000DF6D0000}"/>
    <cellStyle name="Normal 20 16 8 2" xfId="28886" xr:uid="{00000000-0005-0000-0000-0000E06D0000}"/>
    <cellStyle name="Normal 20 16 8 3" xfId="28887" xr:uid="{00000000-0005-0000-0000-0000E16D0000}"/>
    <cellStyle name="Normal 20 16 8 4" xfId="28888" xr:uid="{00000000-0005-0000-0000-0000E26D0000}"/>
    <cellStyle name="Normal 20 16 8 5" xfId="28889" xr:uid="{00000000-0005-0000-0000-0000E36D0000}"/>
    <cellStyle name="Normal 20 16 8 6" xfId="28890" xr:uid="{00000000-0005-0000-0000-0000E46D0000}"/>
    <cellStyle name="Normal 20 16 9" xfId="28891" xr:uid="{00000000-0005-0000-0000-0000E56D0000}"/>
    <cellStyle name="Normal 20 17" xfId="28892" xr:uid="{00000000-0005-0000-0000-0000E66D0000}"/>
    <cellStyle name="Normal 20 17 10" xfId="28893" xr:uid="{00000000-0005-0000-0000-0000E76D0000}"/>
    <cellStyle name="Normal 20 17 11" xfId="28894" xr:uid="{00000000-0005-0000-0000-0000E86D0000}"/>
    <cellStyle name="Normal 20 17 12" xfId="28895" xr:uid="{00000000-0005-0000-0000-0000E96D0000}"/>
    <cellStyle name="Normal 20 17 13" xfId="28896" xr:uid="{00000000-0005-0000-0000-0000EA6D0000}"/>
    <cellStyle name="Normal 20 17 2" xfId="28897" xr:uid="{00000000-0005-0000-0000-0000EB6D0000}"/>
    <cellStyle name="Normal 20 17 2 2" xfId="28898" xr:uid="{00000000-0005-0000-0000-0000EC6D0000}"/>
    <cellStyle name="Normal 20 17 2 3" xfId="28899" xr:uid="{00000000-0005-0000-0000-0000ED6D0000}"/>
    <cellStyle name="Normal 20 17 2 4" xfId="28900" xr:uid="{00000000-0005-0000-0000-0000EE6D0000}"/>
    <cellStyle name="Normal 20 17 2 5" xfId="28901" xr:uid="{00000000-0005-0000-0000-0000EF6D0000}"/>
    <cellStyle name="Normal 20 17 2 6" xfId="28902" xr:uid="{00000000-0005-0000-0000-0000F06D0000}"/>
    <cellStyle name="Normal 20 17 3" xfId="28903" xr:uid="{00000000-0005-0000-0000-0000F16D0000}"/>
    <cellStyle name="Normal 20 17 3 2" xfId="28904" xr:uid="{00000000-0005-0000-0000-0000F26D0000}"/>
    <cellStyle name="Normal 20 17 3 3" xfId="28905" xr:uid="{00000000-0005-0000-0000-0000F36D0000}"/>
    <cellStyle name="Normal 20 17 3 4" xfId="28906" xr:uid="{00000000-0005-0000-0000-0000F46D0000}"/>
    <cellStyle name="Normal 20 17 3 5" xfId="28907" xr:uid="{00000000-0005-0000-0000-0000F56D0000}"/>
    <cellStyle name="Normal 20 17 3 6" xfId="28908" xr:uid="{00000000-0005-0000-0000-0000F66D0000}"/>
    <cellStyle name="Normal 20 17 4" xfId="28909" xr:uid="{00000000-0005-0000-0000-0000F76D0000}"/>
    <cellStyle name="Normal 20 17 4 2" xfId="28910" xr:uid="{00000000-0005-0000-0000-0000F86D0000}"/>
    <cellStyle name="Normal 20 17 4 3" xfId="28911" xr:uid="{00000000-0005-0000-0000-0000F96D0000}"/>
    <cellStyle name="Normal 20 17 4 4" xfId="28912" xr:uid="{00000000-0005-0000-0000-0000FA6D0000}"/>
    <cellStyle name="Normal 20 17 4 5" xfId="28913" xr:uid="{00000000-0005-0000-0000-0000FB6D0000}"/>
    <cellStyle name="Normal 20 17 4 6" xfId="28914" xr:uid="{00000000-0005-0000-0000-0000FC6D0000}"/>
    <cellStyle name="Normal 20 17 5" xfId="28915" xr:uid="{00000000-0005-0000-0000-0000FD6D0000}"/>
    <cellStyle name="Normal 20 17 5 2" xfId="28916" xr:uid="{00000000-0005-0000-0000-0000FE6D0000}"/>
    <cellStyle name="Normal 20 17 5 3" xfId="28917" xr:uid="{00000000-0005-0000-0000-0000FF6D0000}"/>
    <cellStyle name="Normal 20 17 5 4" xfId="28918" xr:uid="{00000000-0005-0000-0000-0000006E0000}"/>
    <cellStyle name="Normal 20 17 5 5" xfId="28919" xr:uid="{00000000-0005-0000-0000-0000016E0000}"/>
    <cellStyle name="Normal 20 17 5 6" xfId="28920" xr:uid="{00000000-0005-0000-0000-0000026E0000}"/>
    <cellStyle name="Normal 20 17 6" xfId="28921" xr:uid="{00000000-0005-0000-0000-0000036E0000}"/>
    <cellStyle name="Normal 20 17 6 2" xfId="28922" xr:uid="{00000000-0005-0000-0000-0000046E0000}"/>
    <cellStyle name="Normal 20 17 6 3" xfId="28923" xr:uid="{00000000-0005-0000-0000-0000056E0000}"/>
    <cellStyle name="Normal 20 17 6 4" xfId="28924" xr:uid="{00000000-0005-0000-0000-0000066E0000}"/>
    <cellStyle name="Normal 20 17 6 5" xfId="28925" xr:uid="{00000000-0005-0000-0000-0000076E0000}"/>
    <cellStyle name="Normal 20 17 6 6" xfId="28926" xr:uid="{00000000-0005-0000-0000-0000086E0000}"/>
    <cellStyle name="Normal 20 17 7" xfId="28927" xr:uid="{00000000-0005-0000-0000-0000096E0000}"/>
    <cellStyle name="Normal 20 17 7 2" xfId="28928" xr:uid="{00000000-0005-0000-0000-00000A6E0000}"/>
    <cellStyle name="Normal 20 17 7 3" xfId="28929" xr:uid="{00000000-0005-0000-0000-00000B6E0000}"/>
    <cellStyle name="Normal 20 17 7 4" xfId="28930" xr:uid="{00000000-0005-0000-0000-00000C6E0000}"/>
    <cellStyle name="Normal 20 17 7 5" xfId="28931" xr:uid="{00000000-0005-0000-0000-00000D6E0000}"/>
    <cellStyle name="Normal 20 17 7 6" xfId="28932" xr:uid="{00000000-0005-0000-0000-00000E6E0000}"/>
    <cellStyle name="Normal 20 17 8" xfId="28933" xr:uid="{00000000-0005-0000-0000-00000F6E0000}"/>
    <cellStyle name="Normal 20 17 8 2" xfId="28934" xr:uid="{00000000-0005-0000-0000-0000106E0000}"/>
    <cellStyle name="Normal 20 17 8 3" xfId="28935" xr:uid="{00000000-0005-0000-0000-0000116E0000}"/>
    <cellStyle name="Normal 20 17 8 4" xfId="28936" xr:uid="{00000000-0005-0000-0000-0000126E0000}"/>
    <cellStyle name="Normal 20 17 8 5" xfId="28937" xr:uid="{00000000-0005-0000-0000-0000136E0000}"/>
    <cellStyle name="Normal 20 17 8 6" xfId="28938" xr:uid="{00000000-0005-0000-0000-0000146E0000}"/>
    <cellStyle name="Normal 20 17 9" xfId="28939" xr:uid="{00000000-0005-0000-0000-0000156E0000}"/>
    <cellStyle name="Normal 20 18" xfId="28940" xr:uid="{00000000-0005-0000-0000-0000166E0000}"/>
    <cellStyle name="Normal 20 18 10" xfId="28941" xr:uid="{00000000-0005-0000-0000-0000176E0000}"/>
    <cellStyle name="Normal 20 18 11" xfId="28942" xr:uid="{00000000-0005-0000-0000-0000186E0000}"/>
    <cellStyle name="Normal 20 18 12" xfId="28943" xr:uid="{00000000-0005-0000-0000-0000196E0000}"/>
    <cellStyle name="Normal 20 18 13" xfId="28944" xr:uid="{00000000-0005-0000-0000-00001A6E0000}"/>
    <cellStyle name="Normal 20 18 2" xfId="28945" xr:uid="{00000000-0005-0000-0000-00001B6E0000}"/>
    <cellStyle name="Normal 20 18 2 2" xfId="28946" xr:uid="{00000000-0005-0000-0000-00001C6E0000}"/>
    <cellStyle name="Normal 20 18 2 3" xfId="28947" xr:uid="{00000000-0005-0000-0000-00001D6E0000}"/>
    <cellStyle name="Normal 20 18 2 4" xfId="28948" xr:uid="{00000000-0005-0000-0000-00001E6E0000}"/>
    <cellStyle name="Normal 20 18 2 5" xfId="28949" xr:uid="{00000000-0005-0000-0000-00001F6E0000}"/>
    <cellStyle name="Normal 20 18 2 6" xfId="28950" xr:uid="{00000000-0005-0000-0000-0000206E0000}"/>
    <cellStyle name="Normal 20 18 3" xfId="28951" xr:uid="{00000000-0005-0000-0000-0000216E0000}"/>
    <cellStyle name="Normal 20 18 3 2" xfId="28952" xr:uid="{00000000-0005-0000-0000-0000226E0000}"/>
    <cellStyle name="Normal 20 18 3 3" xfId="28953" xr:uid="{00000000-0005-0000-0000-0000236E0000}"/>
    <cellStyle name="Normal 20 18 3 4" xfId="28954" xr:uid="{00000000-0005-0000-0000-0000246E0000}"/>
    <cellStyle name="Normal 20 18 3 5" xfId="28955" xr:uid="{00000000-0005-0000-0000-0000256E0000}"/>
    <cellStyle name="Normal 20 18 3 6" xfId="28956" xr:uid="{00000000-0005-0000-0000-0000266E0000}"/>
    <cellStyle name="Normal 20 18 4" xfId="28957" xr:uid="{00000000-0005-0000-0000-0000276E0000}"/>
    <cellStyle name="Normal 20 18 4 2" xfId="28958" xr:uid="{00000000-0005-0000-0000-0000286E0000}"/>
    <cellStyle name="Normal 20 18 4 3" xfId="28959" xr:uid="{00000000-0005-0000-0000-0000296E0000}"/>
    <cellStyle name="Normal 20 18 4 4" xfId="28960" xr:uid="{00000000-0005-0000-0000-00002A6E0000}"/>
    <cellStyle name="Normal 20 18 4 5" xfId="28961" xr:uid="{00000000-0005-0000-0000-00002B6E0000}"/>
    <cellStyle name="Normal 20 18 4 6" xfId="28962" xr:uid="{00000000-0005-0000-0000-00002C6E0000}"/>
    <cellStyle name="Normal 20 18 5" xfId="28963" xr:uid="{00000000-0005-0000-0000-00002D6E0000}"/>
    <cellStyle name="Normal 20 18 5 2" xfId="28964" xr:uid="{00000000-0005-0000-0000-00002E6E0000}"/>
    <cellStyle name="Normal 20 18 5 3" xfId="28965" xr:uid="{00000000-0005-0000-0000-00002F6E0000}"/>
    <cellStyle name="Normal 20 18 5 4" xfId="28966" xr:uid="{00000000-0005-0000-0000-0000306E0000}"/>
    <cellStyle name="Normal 20 18 5 5" xfId="28967" xr:uid="{00000000-0005-0000-0000-0000316E0000}"/>
    <cellStyle name="Normal 20 18 5 6" xfId="28968" xr:uid="{00000000-0005-0000-0000-0000326E0000}"/>
    <cellStyle name="Normal 20 18 6" xfId="28969" xr:uid="{00000000-0005-0000-0000-0000336E0000}"/>
    <cellStyle name="Normal 20 18 6 2" xfId="28970" xr:uid="{00000000-0005-0000-0000-0000346E0000}"/>
    <cellStyle name="Normal 20 18 6 3" xfId="28971" xr:uid="{00000000-0005-0000-0000-0000356E0000}"/>
    <cellStyle name="Normal 20 18 6 4" xfId="28972" xr:uid="{00000000-0005-0000-0000-0000366E0000}"/>
    <cellStyle name="Normal 20 18 6 5" xfId="28973" xr:uid="{00000000-0005-0000-0000-0000376E0000}"/>
    <cellStyle name="Normal 20 18 6 6" xfId="28974" xr:uid="{00000000-0005-0000-0000-0000386E0000}"/>
    <cellStyle name="Normal 20 18 7" xfId="28975" xr:uid="{00000000-0005-0000-0000-0000396E0000}"/>
    <cellStyle name="Normal 20 18 7 2" xfId="28976" xr:uid="{00000000-0005-0000-0000-00003A6E0000}"/>
    <cellStyle name="Normal 20 18 7 3" xfId="28977" xr:uid="{00000000-0005-0000-0000-00003B6E0000}"/>
    <cellStyle name="Normal 20 18 7 4" xfId="28978" xr:uid="{00000000-0005-0000-0000-00003C6E0000}"/>
    <cellStyle name="Normal 20 18 7 5" xfId="28979" xr:uid="{00000000-0005-0000-0000-00003D6E0000}"/>
    <cellStyle name="Normal 20 18 7 6" xfId="28980" xr:uid="{00000000-0005-0000-0000-00003E6E0000}"/>
    <cellStyle name="Normal 20 18 8" xfId="28981" xr:uid="{00000000-0005-0000-0000-00003F6E0000}"/>
    <cellStyle name="Normal 20 18 8 2" xfId="28982" xr:uid="{00000000-0005-0000-0000-0000406E0000}"/>
    <cellStyle name="Normal 20 18 8 3" xfId="28983" xr:uid="{00000000-0005-0000-0000-0000416E0000}"/>
    <cellStyle name="Normal 20 18 8 4" xfId="28984" xr:uid="{00000000-0005-0000-0000-0000426E0000}"/>
    <cellStyle name="Normal 20 18 8 5" xfId="28985" xr:uid="{00000000-0005-0000-0000-0000436E0000}"/>
    <cellStyle name="Normal 20 18 8 6" xfId="28986" xr:uid="{00000000-0005-0000-0000-0000446E0000}"/>
    <cellStyle name="Normal 20 18 9" xfId="28987" xr:uid="{00000000-0005-0000-0000-0000456E0000}"/>
    <cellStyle name="Normal 20 19" xfId="28988" xr:uid="{00000000-0005-0000-0000-0000466E0000}"/>
    <cellStyle name="Normal 20 19 10" xfId="28989" xr:uid="{00000000-0005-0000-0000-0000476E0000}"/>
    <cellStyle name="Normal 20 19 11" xfId="28990" xr:uid="{00000000-0005-0000-0000-0000486E0000}"/>
    <cellStyle name="Normal 20 19 12" xfId="28991" xr:uid="{00000000-0005-0000-0000-0000496E0000}"/>
    <cellStyle name="Normal 20 19 13" xfId="28992" xr:uid="{00000000-0005-0000-0000-00004A6E0000}"/>
    <cellStyle name="Normal 20 19 2" xfId="28993" xr:uid="{00000000-0005-0000-0000-00004B6E0000}"/>
    <cellStyle name="Normal 20 19 2 2" xfId="28994" xr:uid="{00000000-0005-0000-0000-00004C6E0000}"/>
    <cellStyle name="Normal 20 19 2 3" xfId="28995" xr:uid="{00000000-0005-0000-0000-00004D6E0000}"/>
    <cellStyle name="Normal 20 19 2 4" xfId="28996" xr:uid="{00000000-0005-0000-0000-00004E6E0000}"/>
    <cellStyle name="Normal 20 19 2 5" xfId="28997" xr:uid="{00000000-0005-0000-0000-00004F6E0000}"/>
    <cellStyle name="Normal 20 19 2 6" xfId="28998" xr:uid="{00000000-0005-0000-0000-0000506E0000}"/>
    <cellStyle name="Normal 20 19 3" xfId="28999" xr:uid="{00000000-0005-0000-0000-0000516E0000}"/>
    <cellStyle name="Normal 20 19 3 2" xfId="29000" xr:uid="{00000000-0005-0000-0000-0000526E0000}"/>
    <cellStyle name="Normal 20 19 3 3" xfId="29001" xr:uid="{00000000-0005-0000-0000-0000536E0000}"/>
    <cellStyle name="Normal 20 19 3 4" xfId="29002" xr:uid="{00000000-0005-0000-0000-0000546E0000}"/>
    <cellStyle name="Normal 20 19 3 5" xfId="29003" xr:uid="{00000000-0005-0000-0000-0000556E0000}"/>
    <cellStyle name="Normal 20 19 3 6" xfId="29004" xr:uid="{00000000-0005-0000-0000-0000566E0000}"/>
    <cellStyle name="Normal 20 19 4" xfId="29005" xr:uid="{00000000-0005-0000-0000-0000576E0000}"/>
    <cellStyle name="Normal 20 19 4 2" xfId="29006" xr:uid="{00000000-0005-0000-0000-0000586E0000}"/>
    <cellStyle name="Normal 20 19 4 3" xfId="29007" xr:uid="{00000000-0005-0000-0000-0000596E0000}"/>
    <cellStyle name="Normal 20 19 4 4" xfId="29008" xr:uid="{00000000-0005-0000-0000-00005A6E0000}"/>
    <cellStyle name="Normal 20 19 4 5" xfId="29009" xr:uid="{00000000-0005-0000-0000-00005B6E0000}"/>
    <cellStyle name="Normal 20 19 4 6" xfId="29010" xr:uid="{00000000-0005-0000-0000-00005C6E0000}"/>
    <cellStyle name="Normal 20 19 5" xfId="29011" xr:uid="{00000000-0005-0000-0000-00005D6E0000}"/>
    <cellStyle name="Normal 20 19 5 2" xfId="29012" xr:uid="{00000000-0005-0000-0000-00005E6E0000}"/>
    <cellStyle name="Normal 20 19 5 3" xfId="29013" xr:uid="{00000000-0005-0000-0000-00005F6E0000}"/>
    <cellStyle name="Normal 20 19 5 4" xfId="29014" xr:uid="{00000000-0005-0000-0000-0000606E0000}"/>
    <cellStyle name="Normal 20 19 5 5" xfId="29015" xr:uid="{00000000-0005-0000-0000-0000616E0000}"/>
    <cellStyle name="Normal 20 19 5 6" xfId="29016" xr:uid="{00000000-0005-0000-0000-0000626E0000}"/>
    <cellStyle name="Normal 20 19 6" xfId="29017" xr:uid="{00000000-0005-0000-0000-0000636E0000}"/>
    <cellStyle name="Normal 20 19 6 2" xfId="29018" xr:uid="{00000000-0005-0000-0000-0000646E0000}"/>
    <cellStyle name="Normal 20 19 6 3" xfId="29019" xr:uid="{00000000-0005-0000-0000-0000656E0000}"/>
    <cellStyle name="Normal 20 19 6 4" xfId="29020" xr:uid="{00000000-0005-0000-0000-0000666E0000}"/>
    <cellStyle name="Normal 20 19 6 5" xfId="29021" xr:uid="{00000000-0005-0000-0000-0000676E0000}"/>
    <cellStyle name="Normal 20 19 6 6" xfId="29022" xr:uid="{00000000-0005-0000-0000-0000686E0000}"/>
    <cellStyle name="Normal 20 19 7" xfId="29023" xr:uid="{00000000-0005-0000-0000-0000696E0000}"/>
    <cellStyle name="Normal 20 19 7 2" xfId="29024" xr:uid="{00000000-0005-0000-0000-00006A6E0000}"/>
    <cellStyle name="Normal 20 19 7 3" xfId="29025" xr:uid="{00000000-0005-0000-0000-00006B6E0000}"/>
    <cellStyle name="Normal 20 19 7 4" xfId="29026" xr:uid="{00000000-0005-0000-0000-00006C6E0000}"/>
    <cellStyle name="Normal 20 19 7 5" xfId="29027" xr:uid="{00000000-0005-0000-0000-00006D6E0000}"/>
    <cellStyle name="Normal 20 19 7 6" xfId="29028" xr:uid="{00000000-0005-0000-0000-00006E6E0000}"/>
    <cellStyle name="Normal 20 19 8" xfId="29029" xr:uid="{00000000-0005-0000-0000-00006F6E0000}"/>
    <cellStyle name="Normal 20 19 8 2" xfId="29030" xr:uid="{00000000-0005-0000-0000-0000706E0000}"/>
    <cellStyle name="Normal 20 19 8 3" xfId="29031" xr:uid="{00000000-0005-0000-0000-0000716E0000}"/>
    <cellStyle name="Normal 20 19 8 4" xfId="29032" xr:uid="{00000000-0005-0000-0000-0000726E0000}"/>
    <cellStyle name="Normal 20 19 8 5" xfId="29033" xr:uid="{00000000-0005-0000-0000-0000736E0000}"/>
    <cellStyle name="Normal 20 19 8 6" xfId="29034" xr:uid="{00000000-0005-0000-0000-0000746E0000}"/>
    <cellStyle name="Normal 20 19 9" xfId="29035" xr:uid="{00000000-0005-0000-0000-0000756E0000}"/>
    <cellStyle name="Normal 20 2" xfId="29036" xr:uid="{00000000-0005-0000-0000-0000766E0000}"/>
    <cellStyle name="Normal 20 2 10" xfId="29037" xr:uid="{00000000-0005-0000-0000-0000776E0000}"/>
    <cellStyle name="Normal 20 2 11" xfId="29038" xr:uid="{00000000-0005-0000-0000-0000786E0000}"/>
    <cellStyle name="Normal 20 2 12" xfId="29039" xr:uid="{00000000-0005-0000-0000-0000796E0000}"/>
    <cellStyle name="Normal 20 2 13" xfId="29040" xr:uid="{00000000-0005-0000-0000-00007A6E0000}"/>
    <cellStyle name="Normal 20 2 2" xfId="29041" xr:uid="{00000000-0005-0000-0000-00007B6E0000}"/>
    <cellStyle name="Normal 20 2 2 2" xfId="29042" xr:uid="{00000000-0005-0000-0000-00007C6E0000}"/>
    <cellStyle name="Normal 20 2 2 3" xfId="29043" xr:uid="{00000000-0005-0000-0000-00007D6E0000}"/>
    <cellStyle name="Normal 20 2 2 4" xfId="29044" xr:uid="{00000000-0005-0000-0000-00007E6E0000}"/>
    <cellStyle name="Normal 20 2 2 5" xfId="29045" xr:uid="{00000000-0005-0000-0000-00007F6E0000}"/>
    <cellStyle name="Normal 20 2 2 6" xfId="29046" xr:uid="{00000000-0005-0000-0000-0000806E0000}"/>
    <cellStyle name="Normal 20 2 3" xfId="29047" xr:uid="{00000000-0005-0000-0000-0000816E0000}"/>
    <cellStyle name="Normal 20 2 3 2" xfId="29048" xr:uid="{00000000-0005-0000-0000-0000826E0000}"/>
    <cellStyle name="Normal 20 2 3 3" xfId="29049" xr:uid="{00000000-0005-0000-0000-0000836E0000}"/>
    <cellStyle name="Normal 20 2 3 4" xfId="29050" xr:uid="{00000000-0005-0000-0000-0000846E0000}"/>
    <cellStyle name="Normal 20 2 3 5" xfId="29051" xr:uid="{00000000-0005-0000-0000-0000856E0000}"/>
    <cellStyle name="Normal 20 2 3 6" xfId="29052" xr:uid="{00000000-0005-0000-0000-0000866E0000}"/>
    <cellStyle name="Normal 20 2 4" xfId="29053" xr:uid="{00000000-0005-0000-0000-0000876E0000}"/>
    <cellStyle name="Normal 20 2 4 2" xfId="29054" xr:uid="{00000000-0005-0000-0000-0000886E0000}"/>
    <cellStyle name="Normal 20 2 4 3" xfId="29055" xr:uid="{00000000-0005-0000-0000-0000896E0000}"/>
    <cellStyle name="Normal 20 2 4 4" xfId="29056" xr:uid="{00000000-0005-0000-0000-00008A6E0000}"/>
    <cellStyle name="Normal 20 2 4 5" xfId="29057" xr:uid="{00000000-0005-0000-0000-00008B6E0000}"/>
    <cellStyle name="Normal 20 2 4 6" xfId="29058" xr:uid="{00000000-0005-0000-0000-00008C6E0000}"/>
    <cellStyle name="Normal 20 2 5" xfId="29059" xr:uid="{00000000-0005-0000-0000-00008D6E0000}"/>
    <cellStyle name="Normal 20 2 5 2" xfId="29060" xr:uid="{00000000-0005-0000-0000-00008E6E0000}"/>
    <cellStyle name="Normal 20 2 5 3" xfId="29061" xr:uid="{00000000-0005-0000-0000-00008F6E0000}"/>
    <cellStyle name="Normal 20 2 5 4" xfId="29062" xr:uid="{00000000-0005-0000-0000-0000906E0000}"/>
    <cellStyle name="Normal 20 2 5 5" xfId="29063" xr:uid="{00000000-0005-0000-0000-0000916E0000}"/>
    <cellStyle name="Normal 20 2 5 6" xfId="29064" xr:uid="{00000000-0005-0000-0000-0000926E0000}"/>
    <cellStyle name="Normal 20 2 6" xfId="29065" xr:uid="{00000000-0005-0000-0000-0000936E0000}"/>
    <cellStyle name="Normal 20 2 6 2" xfId="29066" xr:uid="{00000000-0005-0000-0000-0000946E0000}"/>
    <cellStyle name="Normal 20 2 6 3" xfId="29067" xr:uid="{00000000-0005-0000-0000-0000956E0000}"/>
    <cellStyle name="Normal 20 2 6 4" xfId="29068" xr:uid="{00000000-0005-0000-0000-0000966E0000}"/>
    <cellStyle name="Normal 20 2 6 5" xfId="29069" xr:uid="{00000000-0005-0000-0000-0000976E0000}"/>
    <cellStyle name="Normal 20 2 6 6" xfId="29070" xr:uid="{00000000-0005-0000-0000-0000986E0000}"/>
    <cellStyle name="Normal 20 2 7" xfId="29071" xr:uid="{00000000-0005-0000-0000-0000996E0000}"/>
    <cellStyle name="Normal 20 2 7 2" xfId="29072" xr:uid="{00000000-0005-0000-0000-00009A6E0000}"/>
    <cellStyle name="Normal 20 2 7 3" xfId="29073" xr:uid="{00000000-0005-0000-0000-00009B6E0000}"/>
    <cellStyle name="Normal 20 2 7 4" xfId="29074" xr:uid="{00000000-0005-0000-0000-00009C6E0000}"/>
    <cellStyle name="Normal 20 2 7 5" xfId="29075" xr:uid="{00000000-0005-0000-0000-00009D6E0000}"/>
    <cellStyle name="Normal 20 2 7 6" xfId="29076" xr:uid="{00000000-0005-0000-0000-00009E6E0000}"/>
    <cellStyle name="Normal 20 2 8" xfId="29077" xr:uid="{00000000-0005-0000-0000-00009F6E0000}"/>
    <cellStyle name="Normal 20 2 8 2" xfId="29078" xr:uid="{00000000-0005-0000-0000-0000A06E0000}"/>
    <cellStyle name="Normal 20 2 8 3" xfId="29079" xr:uid="{00000000-0005-0000-0000-0000A16E0000}"/>
    <cellStyle name="Normal 20 2 8 4" xfId="29080" xr:uid="{00000000-0005-0000-0000-0000A26E0000}"/>
    <cellStyle name="Normal 20 2 8 5" xfId="29081" xr:uid="{00000000-0005-0000-0000-0000A36E0000}"/>
    <cellStyle name="Normal 20 2 8 6" xfId="29082" xr:uid="{00000000-0005-0000-0000-0000A46E0000}"/>
    <cellStyle name="Normal 20 2 9" xfId="29083" xr:uid="{00000000-0005-0000-0000-0000A56E0000}"/>
    <cellStyle name="Normal 20 20" xfId="29084" xr:uid="{00000000-0005-0000-0000-0000A66E0000}"/>
    <cellStyle name="Normal 20 20 10" xfId="29085" xr:uid="{00000000-0005-0000-0000-0000A76E0000}"/>
    <cellStyle name="Normal 20 20 11" xfId="29086" xr:uid="{00000000-0005-0000-0000-0000A86E0000}"/>
    <cellStyle name="Normal 20 20 12" xfId="29087" xr:uid="{00000000-0005-0000-0000-0000A96E0000}"/>
    <cellStyle name="Normal 20 20 13" xfId="29088" xr:uid="{00000000-0005-0000-0000-0000AA6E0000}"/>
    <cellStyle name="Normal 20 20 2" xfId="29089" xr:uid="{00000000-0005-0000-0000-0000AB6E0000}"/>
    <cellStyle name="Normal 20 20 2 2" xfId="29090" xr:uid="{00000000-0005-0000-0000-0000AC6E0000}"/>
    <cellStyle name="Normal 20 20 2 3" xfId="29091" xr:uid="{00000000-0005-0000-0000-0000AD6E0000}"/>
    <cellStyle name="Normal 20 20 2 4" xfId="29092" xr:uid="{00000000-0005-0000-0000-0000AE6E0000}"/>
    <cellStyle name="Normal 20 20 2 5" xfId="29093" xr:uid="{00000000-0005-0000-0000-0000AF6E0000}"/>
    <cellStyle name="Normal 20 20 2 6" xfId="29094" xr:uid="{00000000-0005-0000-0000-0000B06E0000}"/>
    <cellStyle name="Normal 20 20 3" xfId="29095" xr:uid="{00000000-0005-0000-0000-0000B16E0000}"/>
    <cellStyle name="Normal 20 20 3 2" xfId="29096" xr:uid="{00000000-0005-0000-0000-0000B26E0000}"/>
    <cellStyle name="Normal 20 20 3 3" xfId="29097" xr:uid="{00000000-0005-0000-0000-0000B36E0000}"/>
    <cellStyle name="Normal 20 20 3 4" xfId="29098" xr:uid="{00000000-0005-0000-0000-0000B46E0000}"/>
    <cellStyle name="Normal 20 20 3 5" xfId="29099" xr:uid="{00000000-0005-0000-0000-0000B56E0000}"/>
    <cellStyle name="Normal 20 20 3 6" xfId="29100" xr:uid="{00000000-0005-0000-0000-0000B66E0000}"/>
    <cellStyle name="Normal 20 20 4" xfId="29101" xr:uid="{00000000-0005-0000-0000-0000B76E0000}"/>
    <cellStyle name="Normal 20 20 4 2" xfId="29102" xr:uid="{00000000-0005-0000-0000-0000B86E0000}"/>
    <cellStyle name="Normal 20 20 4 3" xfId="29103" xr:uid="{00000000-0005-0000-0000-0000B96E0000}"/>
    <cellStyle name="Normal 20 20 4 4" xfId="29104" xr:uid="{00000000-0005-0000-0000-0000BA6E0000}"/>
    <cellStyle name="Normal 20 20 4 5" xfId="29105" xr:uid="{00000000-0005-0000-0000-0000BB6E0000}"/>
    <cellStyle name="Normal 20 20 4 6" xfId="29106" xr:uid="{00000000-0005-0000-0000-0000BC6E0000}"/>
    <cellStyle name="Normal 20 20 5" xfId="29107" xr:uid="{00000000-0005-0000-0000-0000BD6E0000}"/>
    <cellStyle name="Normal 20 20 5 2" xfId="29108" xr:uid="{00000000-0005-0000-0000-0000BE6E0000}"/>
    <cellStyle name="Normal 20 20 5 3" xfId="29109" xr:uid="{00000000-0005-0000-0000-0000BF6E0000}"/>
    <cellStyle name="Normal 20 20 5 4" xfId="29110" xr:uid="{00000000-0005-0000-0000-0000C06E0000}"/>
    <cellStyle name="Normal 20 20 5 5" xfId="29111" xr:uid="{00000000-0005-0000-0000-0000C16E0000}"/>
    <cellStyle name="Normal 20 20 5 6" xfId="29112" xr:uid="{00000000-0005-0000-0000-0000C26E0000}"/>
    <cellStyle name="Normal 20 20 6" xfId="29113" xr:uid="{00000000-0005-0000-0000-0000C36E0000}"/>
    <cellStyle name="Normal 20 20 6 2" xfId="29114" xr:uid="{00000000-0005-0000-0000-0000C46E0000}"/>
    <cellStyle name="Normal 20 20 6 3" xfId="29115" xr:uid="{00000000-0005-0000-0000-0000C56E0000}"/>
    <cellStyle name="Normal 20 20 6 4" xfId="29116" xr:uid="{00000000-0005-0000-0000-0000C66E0000}"/>
    <cellStyle name="Normal 20 20 6 5" xfId="29117" xr:uid="{00000000-0005-0000-0000-0000C76E0000}"/>
    <cellStyle name="Normal 20 20 6 6" xfId="29118" xr:uid="{00000000-0005-0000-0000-0000C86E0000}"/>
    <cellStyle name="Normal 20 20 7" xfId="29119" xr:uid="{00000000-0005-0000-0000-0000C96E0000}"/>
    <cellStyle name="Normal 20 20 7 2" xfId="29120" xr:uid="{00000000-0005-0000-0000-0000CA6E0000}"/>
    <cellStyle name="Normal 20 20 7 3" xfId="29121" xr:uid="{00000000-0005-0000-0000-0000CB6E0000}"/>
    <cellStyle name="Normal 20 20 7 4" xfId="29122" xr:uid="{00000000-0005-0000-0000-0000CC6E0000}"/>
    <cellStyle name="Normal 20 20 7 5" xfId="29123" xr:uid="{00000000-0005-0000-0000-0000CD6E0000}"/>
    <cellStyle name="Normal 20 20 7 6" xfId="29124" xr:uid="{00000000-0005-0000-0000-0000CE6E0000}"/>
    <cellStyle name="Normal 20 20 8" xfId="29125" xr:uid="{00000000-0005-0000-0000-0000CF6E0000}"/>
    <cellStyle name="Normal 20 20 8 2" xfId="29126" xr:uid="{00000000-0005-0000-0000-0000D06E0000}"/>
    <cellStyle name="Normal 20 20 8 3" xfId="29127" xr:uid="{00000000-0005-0000-0000-0000D16E0000}"/>
    <cellStyle name="Normal 20 20 8 4" xfId="29128" xr:uid="{00000000-0005-0000-0000-0000D26E0000}"/>
    <cellStyle name="Normal 20 20 8 5" xfId="29129" xr:uid="{00000000-0005-0000-0000-0000D36E0000}"/>
    <cellStyle name="Normal 20 20 8 6" xfId="29130" xr:uid="{00000000-0005-0000-0000-0000D46E0000}"/>
    <cellStyle name="Normal 20 20 9" xfId="29131" xr:uid="{00000000-0005-0000-0000-0000D56E0000}"/>
    <cellStyle name="Normal 20 21" xfId="29132" xr:uid="{00000000-0005-0000-0000-0000D66E0000}"/>
    <cellStyle name="Normal 20 21 10" xfId="29133" xr:uid="{00000000-0005-0000-0000-0000D76E0000}"/>
    <cellStyle name="Normal 20 21 11" xfId="29134" xr:uid="{00000000-0005-0000-0000-0000D86E0000}"/>
    <cellStyle name="Normal 20 21 12" xfId="29135" xr:uid="{00000000-0005-0000-0000-0000D96E0000}"/>
    <cellStyle name="Normal 20 21 13" xfId="29136" xr:uid="{00000000-0005-0000-0000-0000DA6E0000}"/>
    <cellStyle name="Normal 20 21 2" xfId="29137" xr:uid="{00000000-0005-0000-0000-0000DB6E0000}"/>
    <cellStyle name="Normal 20 21 2 2" xfId="29138" xr:uid="{00000000-0005-0000-0000-0000DC6E0000}"/>
    <cellStyle name="Normal 20 21 2 3" xfId="29139" xr:uid="{00000000-0005-0000-0000-0000DD6E0000}"/>
    <cellStyle name="Normal 20 21 2 4" xfId="29140" xr:uid="{00000000-0005-0000-0000-0000DE6E0000}"/>
    <cellStyle name="Normal 20 21 2 5" xfId="29141" xr:uid="{00000000-0005-0000-0000-0000DF6E0000}"/>
    <cellStyle name="Normal 20 21 2 6" xfId="29142" xr:uid="{00000000-0005-0000-0000-0000E06E0000}"/>
    <cellStyle name="Normal 20 21 3" xfId="29143" xr:uid="{00000000-0005-0000-0000-0000E16E0000}"/>
    <cellStyle name="Normal 20 21 3 2" xfId="29144" xr:uid="{00000000-0005-0000-0000-0000E26E0000}"/>
    <cellStyle name="Normal 20 21 3 3" xfId="29145" xr:uid="{00000000-0005-0000-0000-0000E36E0000}"/>
    <cellStyle name="Normal 20 21 3 4" xfId="29146" xr:uid="{00000000-0005-0000-0000-0000E46E0000}"/>
    <cellStyle name="Normal 20 21 3 5" xfId="29147" xr:uid="{00000000-0005-0000-0000-0000E56E0000}"/>
    <cellStyle name="Normal 20 21 3 6" xfId="29148" xr:uid="{00000000-0005-0000-0000-0000E66E0000}"/>
    <cellStyle name="Normal 20 21 4" xfId="29149" xr:uid="{00000000-0005-0000-0000-0000E76E0000}"/>
    <cellStyle name="Normal 20 21 4 2" xfId="29150" xr:uid="{00000000-0005-0000-0000-0000E86E0000}"/>
    <cellStyle name="Normal 20 21 4 3" xfId="29151" xr:uid="{00000000-0005-0000-0000-0000E96E0000}"/>
    <cellStyle name="Normal 20 21 4 4" xfId="29152" xr:uid="{00000000-0005-0000-0000-0000EA6E0000}"/>
    <cellStyle name="Normal 20 21 4 5" xfId="29153" xr:uid="{00000000-0005-0000-0000-0000EB6E0000}"/>
    <cellStyle name="Normal 20 21 4 6" xfId="29154" xr:uid="{00000000-0005-0000-0000-0000EC6E0000}"/>
    <cellStyle name="Normal 20 21 5" xfId="29155" xr:uid="{00000000-0005-0000-0000-0000ED6E0000}"/>
    <cellStyle name="Normal 20 21 5 2" xfId="29156" xr:uid="{00000000-0005-0000-0000-0000EE6E0000}"/>
    <cellStyle name="Normal 20 21 5 3" xfId="29157" xr:uid="{00000000-0005-0000-0000-0000EF6E0000}"/>
    <cellStyle name="Normal 20 21 5 4" xfId="29158" xr:uid="{00000000-0005-0000-0000-0000F06E0000}"/>
    <cellStyle name="Normal 20 21 5 5" xfId="29159" xr:uid="{00000000-0005-0000-0000-0000F16E0000}"/>
    <cellStyle name="Normal 20 21 5 6" xfId="29160" xr:uid="{00000000-0005-0000-0000-0000F26E0000}"/>
    <cellStyle name="Normal 20 21 6" xfId="29161" xr:uid="{00000000-0005-0000-0000-0000F36E0000}"/>
    <cellStyle name="Normal 20 21 6 2" xfId="29162" xr:uid="{00000000-0005-0000-0000-0000F46E0000}"/>
    <cellStyle name="Normal 20 21 6 3" xfId="29163" xr:uid="{00000000-0005-0000-0000-0000F56E0000}"/>
    <cellStyle name="Normal 20 21 6 4" xfId="29164" xr:uid="{00000000-0005-0000-0000-0000F66E0000}"/>
    <cellStyle name="Normal 20 21 6 5" xfId="29165" xr:uid="{00000000-0005-0000-0000-0000F76E0000}"/>
    <cellStyle name="Normal 20 21 6 6" xfId="29166" xr:uid="{00000000-0005-0000-0000-0000F86E0000}"/>
    <cellStyle name="Normal 20 21 7" xfId="29167" xr:uid="{00000000-0005-0000-0000-0000F96E0000}"/>
    <cellStyle name="Normal 20 21 7 2" xfId="29168" xr:uid="{00000000-0005-0000-0000-0000FA6E0000}"/>
    <cellStyle name="Normal 20 21 7 3" xfId="29169" xr:uid="{00000000-0005-0000-0000-0000FB6E0000}"/>
    <cellStyle name="Normal 20 21 7 4" xfId="29170" xr:uid="{00000000-0005-0000-0000-0000FC6E0000}"/>
    <cellStyle name="Normal 20 21 7 5" xfId="29171" xr:uid="{00000000-0005-0000-0000-0000FD6E0000}"/>
    <cellStyle name="Normal 20 21 7 6" xfId="29172" xr:uid="{00000000-0005-0000-0000-0000FE6E0000}"/>
    <cellStyle name="Normal 20 21 8" xfId="29173" xr:uid="{00000000-0005-0000-0000-0000FF6E0000}"/>
    <cellStyle name="Normal 20 21 8 2" xfId="29174" xr:uid="{00000000-0005-0000-0000-0000006F0000}"/>
    <cellStyle name="Normal 20 21 8 3" xfId="29175" xr:uid="{00000000-0005-0000-0000-0000016F0000}"/>
    <cellStyle name="Normal 20 21 8 4" xfId="29176" xr:uid="{00000000-0005-0000-0000-0000026F0000}"/>
    <cellStyle name="Normal 20 21 8 5" xfId="29177" xr:uid="{00000000-0005-0000-0000-0000036F0000}"/>
    <cellStyle name="Normal 20 21 8 6" xfId="29178" xr:uid="{00000000-0005-0000-0000-0000046F0000}"/>
    <cellStyle name="Normal 20 21 9" xfId="29179" xr:uid="{00000000-0005-0000-0000-0000056F0000}"/>
    <cellStyle name="Normal 20 22" xfId="29180" xr:uid="{00000000-0005-0000-0000-0000066F0000}"/>
    <cellStyle name="Normal 20 22 10" xfId="29181" xr:uid="{00000000-0005-0000-0000-0000076F0000}"/>
    <cellStyle name="Normal 20 22 11" xfId="29182" xr:uid="{00000000-0005-0000-0000-0000086F0000}"/>
    <cellStyle name="Normal 20 22 12" xfId="29183" xr:uid="{00000000-0005-0000-0000-0000096F0000}"/>
    <cellStyle name="Normal 20 22 13" xfId="29184" xr:uid="{00000000-0005-0000-0000-00000A6F0000}"/>
    <cellStyle name="Normal 20 22 2" xfId="29185" xr:uid="{00000000-0005-0000-0000-00000B6F0000}"/>
    <cellStyle name="Normal 20 22 2 2" xfId="29186" xr:uid="{00000000-0005-0000-0000-00000C6F0000}"/>
    <cellStyle name="Normal 20 22 2 3" xfId="29187" xr:uid="{00000000-0005-0000-0000-00000D6F0000}"/>
    <cellStyle name="Normal 20 22 2 4" xfId="29188" xr:uid="{00000000-0005-0000-0000-00000E6F0000}"/>
    <cellStyle name="Normal 20 22 2 5" xfId="29189" xr:uid="{00000000-0005-0000-0000-00000F6F0000}"/>
    <cellStyle name="Normal 20 22 2 6" xfId="29190" xr:uid="{00000000-0005-0000-0000-0000106F0000}"/>
    <cellStyle name="Normal 20 22 3" xfId="29191" xr:uid="{00000000-0005-0000-0000-0000116F0000}"/>
    <cellStyle name="Normal 20 22 3 2" xfId="29192" xr:uid="{00000000-0005-0000-0000-0000126F0000}"/>
    <cellStyle name="Normal 20 22 3 3" xfId="29193" xr:uid="{00000000-0005-0000-0000-0000136F0000}"/>
    <cellStyle name="Normal 20 22 3 4" xfId="29194" xr:uid="{00000000-0005-0000-0000-0000146F0000}"/>
    <cellStyle name="Normal 20 22 3 5" xfId="29195" xr:uid="{00000000-0005-0000-0000-0000156F0000}"/>
    <cellStyle name="Normal 20 22 3 6" xfId="29196" xr:uid="{00000000-0005-0000-0000-0000166F0000}"/>
    <cellStyle name="Normal 20 22 4" xfId="29197" xr:uid="{00000000-0005-0000-0000-0000176F0000}"/>
    <cellStyle name="Normal 20 22 4 2" xfId="29198" xr:uid="{00000000-0005-0000-0000-0000186F0000}"/>
    <cellStyle name="Normal 20 22 4 3" xfId="29199" xr:uid="{00000000-0005-0000-0000-0000196F0000}"/>
    <cellStyle name="Normal 20 22 4 4" xfId="29200" xr:uid="{00000000-0005-0000-0000-00001A6F0000}"/>
    <cellStyle name="Normal 20 22 4 5" xfId="29201" xr:uid="{00000000-0005-0000-0000-00001B6F0000}"/>
    <cellStyle name="Normal 20 22 4 6" xfId="29202" xr:uid="{00000000-0005-0000-0000-00001C6F0000}"/>
    <cellStyle name="Normal 20 22 5" xfId="29203" xr:uid="{00000000-0005-0000-0000-00001D6F0000}"/>
    <cellStyle name="Normal 20 22 5 2" xfId="29204" xr:uid="{00000000-0005-0000-0000-00001E6F0000}"/>
    <cellStyle name="Normal 20 22 5 3" xfId="29205" xr:uid="{00000000-0005-0000-0000-00001F6F0000}"/>
    <cellStyle name="Normal 20 22 5 4" xfId="29206" xr:uid="{00000000-0005-0000-0000-0000206F0000}"/>
    <cellStyle name="Normal 20 22 5 5" xfId="29207" xr:uid="{00000000-0005-0000-0000-0000216F0000}"/>
    <cellStyle name="Normal 20 22 5 6" xfId="29208" xr:uid="{00000000-0005-0000-0000-0000226F0000}"/>
    <cellStyle name="Normal 20 22 6" xfId="29209" xr:uid="{00000000-0005-0000-0000-0000236F0000}"/>
    <cellStyle name="Normal 20 22 6 2" xfId="29210" xr:uid="{00000000-0005-0000-0000-0000246F0000}"/>
    <cellStyle name="Normal 20 22 6 3" xfId="29211" xr:uid="{00000000-0005-0000-0000-0000256F0000}"/>
    <cellStyle name="Normal 20 22 6 4" xfId="29212" xr:uid="{00000000-0005-0000-0000-0000266F0000}"/>
    <cellStyle name="Normal 20 22 6 5" xfId="29213" xr:uid="{00000000-0005-0000-0000-0000276F0000}"/>
    <cellStyle name="Normal 20 22 6 6" xfId="29214" xr:uid="{00000000-0005-0000-0000-0000286F0000}"/>
    <cellStyle name="Normal 20 22 7" xfId="29215" xr:uid="{00000000-0005-0000-0000-0000296F0000}"/>
    <cellStyle name="Normal 20 22 7 2" xfId="29216" xr:uid="{00000000-0005-0000-0000-00002A6F0000}"/>
    <cellStyle name="Normal 20 22 7 3" xfId="29217" xr:uid="{00000000-0005-0000-0000-00002B6F0000}"/>
    <cellStyle name="Normal 20 22 7 4" xfId="29218" xr:uid="{00000000-0005-0000-0000-00002C6F0000}"/>
    <cellStyle name="Normal 20 22 7 5" xfId="29219" xr:uid="{00000000-0005-0000-0000-00002D6F0000}"/>
    <cellStyle name="Normal 20 22 7 6" xfId="29220" xr:uid="{00000000-0005-0000-0000-00002E6F0000}"/>
    <cellStyle name="Normal 20 22 8" xfId="29221" xr:uid="{00000000-0005-0000-0000-00002F6F0000}"/>
    <cellStyle name="Normal 20 22 8 2" xfId="29222" xr:uid="{00000000-0005-0000-0000-0000306F0000}"/>
    <cellStyle name="Normal 20 22 8 3" xfId="29223" xr:uid="{00000000-0005-0000-0000-0000316F0000}"/>
    <cellStyle name="Normal 20 22 8 4" xfId="29224" xr:uid="{00000000-0005-0000-0000-0000326F0000}"/>
    <cellStyle name="Normal 20 22 8 5" xfId="29225" xr:uid="{00000000-0005-0000-0000-0000336F0000}"/>
    <cellStyle name="Normal 20 22 8 6" xfId="29226" xr:uid="{00000000-0005-0000-0000-0000346F0000}"/>
    <cellStyle name="Normal 20 22 9" xfId="29227" xr:uid="{00000000-0005-0000-0000-0000356F0000}"/>
    <cellStyle name="Normal 20 23" xfId="29228" xr:uid="{00000000-0005-0000-0000-0000366F0000}"/>
    <cellStyle name="Normal 20 23 10" xfId="29229" xr:uid="{00000000-0005-0000-0000-0000376F0000}"/>
    <cellStyle name="Normal 20 23 11" xfId="29230" xr:uid="{00000000-0005-0000-0000-0000386F0000}"/>
    <cellStyle name="Normal 20 23 12" xfId="29231" xr:uid="{00000000-0005-0000-0000-0000396F0000}"/>
    <cellStyle name="Normal 20 23 13" xfId="29232" xr:uid="{00000000-0005-0000-0000-00003A6F0000}"/>
    <cellStyle name="Normal 20 23 2" xfId="29233" xr:uid="{00000000-0005-0000-0000-00003B6F0000}"/>
    <cellStyle name="Normal 20 23 2 2" xfId="29234" xr:uid="{00000000-0005-0000-0000-00003C6F0000}"/>
    <cellStyle name="Normal 20 23 2 3" xfId="29235" xr:uid="{00000000-0005-0000-0000-00003D6F0000}"/>
    <cellStyle name="Normal 20 23 2 4" xfId="29236" xr:uid="{00000000-0005-0000-0000-00003E6F0000}"/>
    <cellStyle name="Normal 20 23 2 5" xfId="29237" xr:uid="{00000000-0005-0000-0000-00003F6F0000}"/>
    <cellStyle name="Normal 20 23 2 6" xfId="29238" xr:uid="{00000000-0005-0000-0000-0000406F0000}"/>
    <cellStyle name="Normal 20 23 3" xfId="29239" xr:uid="{00000000-0005-0000-0000-0000416F0000}"/>
    <cellStyle name="Normal 20 23 3 2" xfId="29240" xr:uid="{00000000-0005-0000-0000-0000426F0000}"/>
    <cellStyle name="Normal 20 23 3 3" xfId="29241" xr:uid="{00000000-0005-0000-0000-0000436F0000}"/>
    <cellStyle name="Normal 20 23 3 4" xfId="29242" xr:uid="{00000000-0005-0000-0000-0000446F0000}"/>
    <cellStyle name="Normal 20 23 3 5" xfId="29243" xr:uid="{00000000-0005-0000-0000-0000456F0000}"/>
    <cellStyle name="Normal 20 23 3 6" xfId="29244" xr:uid="{00000000-0005-0000-0000-0000466F0000}"/>
    <cellStyle name="Normal 20 23 4" xfId="29245" xr:uid="{00000000-0005-0000-0000-0000476F0000}"/>
    <cellStyle name="Normal 20 23 4 2" xfId="29246" xr:uid="{00000000-0005-0000-0000-0000486F0000}"/>
    <cellStyle name="Normal 20 23 4 3" xfId="29247" xr:uid="{00000000-0005-0000-0000-0000496F0000}"/>
    <cellStyle name="Normal 20 23 4 4" xfId="29248" xr:uid="{00000000-0005-0000-0000-00004A6F0000}"/>
    <cellStyle name="Normal 20 23 4 5" xfId="29249" xr:uid="{00000000-0005-0000-0000-00004B6F0000}"/>
    <cellStyle name="Normal 20 23 4 6" xfId="29250" xr:uid="{00000000-0005-0000-0000-00004C6F0000}"/>
    <cellStyle name="Normal 20 23 5" xfId="29251" xr:uid="{00000000-0005-0000-0000-00004D6F0000}"/>
    <cellStyle name="Normal 20 23 5 2" xfId="29252" xr:uid="{00000000-0005-0000-0000-00004E6F0000}"/>
    <cellStyle name="Normal 20 23 5 3" xfId="29253" xr:uid="{00000000-0005-0000-0000-00004F6F0000}"/>
    <cellStyle name="Normal 20 23 5 4" xfId="29254" xr:uid="{00000000-0005-0000-0000-0000506F0000}"/>
    <cellStyle name="Normal 20 23 5 5" xfId="29255" xr:uid="{00000000-0005-0000-0000-0000516F0000}"/>
    <cellStyle name="Normal 20 23 5 6" xfId="29256" xr:uid="{00000000-0005-0000-0000-0000526F0000}"/>
    <cellStyle name="Normal 20 23 6" xfId="29257" xr:uid="{00000000-0005-0000-0000-0000536F0000}"/>
    <cellStyle name="Normal 20 23 6 2" xfId="29258" xr:uid="{00000000-0005-0000-0000-0000546F0000}"/>
    <cellStyle name="Normal 20 23 6 3" xfId="29259" xr:uid="{00000000-0005-0000-0000-0000556F0000}"/>
    <cellStyle name="Normal 20 23 6 4" xfId="29260" xr:uid="{00000000-0005-0000-0000-0000566F0000}"/>
    <cellStyle name="Normal 20 23 6 5" xfId="29261" xr:uid="{00000000-0005-0000-0000-0000576F0000}"/>
    <cellStyle name="Normal 20 23 6 6" xfId="29262" xr:uid="{00000000-0005-0000-0000-0000586F0000}"/>
    <cellStyle name="Normal 20 23 7" xfId="29263" xr:uid="{00000000-0005-0000-0000-0000596F0000}"/>
    <cellStyle name="Normal 20 23 7 2" xfId="29264" xr:uid="{00000000-0005-0000-0000-00005A6F0000}"/>
    <cellStyle name="Normal 20 23 7 3" xfId="29265" xr:uid="{00000000-0005-0000-0000-00005B6F0000}"/>
    <cellStyle name="Normal 20 23 7 4" xfId="29266" xr:uid="{00000000-0005-0000-0000-00005C6F0000}"/>
    <cellStyle name="Normal 20 23 7 5" xfId="29267" xr:uid="{00000000-0005-0000-0000-00005D6F0000}"/>
    <cellStyle name="Normal 20 23 7 6" xfId="29268" xr:uid="{00000000-0005-0000-0000-00005E6F0000}"/>
    <cellStyle name="Normal 20 23 8" xfId="29269" xr:uid="{00000000-0005-0000-0000-00005F6F0000}"/>
    <cellStyle name="Normal 20 23 8 2" xfId="29270" xr:uid="{00000000-0005-0000-0000-0000606F0000}"/>
    <cellStyle name="Normal 20 23 8 3" xfId="29271" xr:uid="{00000000-0005-0000-0000-0000616F0000}"/>
    <cellStyle name="Normal 20 23 8 4" xfId="29272" xr:uid="{00000000-0005-0000-0000-0000626F0000}"/>
    <cellStyle name="Normal 20 23 8 5" xfId="29273" xr:uid="{00000000-0005-0000-0000-0000636F0000}"/>
    <cellStyle name="Normal 20 23 8 6" xfId="29274" xr:uid="{00000000-0005-0000-0000-0000646F0000}"/>
    <cellStyle name="Normal 20 23 9" xfId="29275" xr:uid="{00000000-0005-0000-0000-0000656F0000}"/>
    <cellStyle name="Normal 20 24" xfId="29276" xr:uid="{00000000-0005-0000-0000-0000666F0000}"/>
    <cellStyle name="Normal 20 24 10" xfId="29277" xr:uid="{00000000-0005-0000-0000-0000676F0000}"/>
    <cellStyle name="Normal 20 24 11" xfId="29278" xr:uid="{00000000-0005-0000-0000-0000686F0000}"/>
    <cellStyle name="Normal 20 24 12" xfId="29279" xr:uid="{00000000-0005-0000-0000-0000696F0000}"/>
    <cellStyle name="Normal 20 24 13" xfId="29280" xr:uid="{00000000-0005-0000-0000-00006A6F0000}"/>
    <cellStyle name="Normal 20 24 2" xfId="29281" xr:uid="{00000000-0005-0000-0000-00006B6F0000}"/>
    <cellStyle name="Normal 20 24 2 2" xfId="29282" xr:uid="{00000000-0005-0000-0000-00006C6F0000}"/>
    <cellStyle name="Normal 20 24 2 3" xfId="29283" xr:uid="{00000000-0005-0000-0000-00006D6F0000}"/>
    <cellStyle name="Normal 20 24 2 4" xfId="29284" xr:uid="{00000000-0005-0000-0000-00006E6F0000}"/>
    <cellStyle name="Normal 20 24 2 5" xfId="29285" xr:uid="{00000000-0005-0000-0000-00006F6F0000}"/>
    <cellStyle name="Normal 20 24 2 6" xfId="29286" xr:uid="{00000000-0005-0000-0000-0000706F0000}"/>
    <cellStyle name="Normal 20 24 3" xfId="29287" xr:uid="{00000000-0005-0000-0000-0000716F0000}"/>
    <cellStyle name="Normal 20 24 3 2" xfId="29288" xr:uid="{00000000-0005-0000-0000-0000726F0000}"/>
    <cellStyle name="Normal 20 24 3 3" xfId="29289" xr:uid="{00000000-0005-0000-0000-0000736F0000}"/>
    <cellStyle name="Normal 20 24 3 4" xfId="29290" xr:uid="{00000000-0005-0000-0000-0000746F0000}"/>
    <cellStyle name="Normal 20 24 3 5" xfId="29291" xr:uid="{00000000-0005-0000-0000-0000756F0000}"/>
    <cellStyle name="Normal 20 24 3 6" xfId="29292" xr:uid="{00000000-0005-0000-0000-0000766F0000}"/>
    <cellStyle name="Normal 20 24 4" xfId="29293" xr:uid="{00000000-0005-0000-0000-0000776F0000}"/>
    <cellStyle name="Normal 20 24 4 2" xfId="29294" xr:uid="{00000000-0005-0000-0000-0000786F0000}"/>
    <cellStyle name="Normal 20 24 4 3" xfId="29295" xr:uid="{00000000-0005-0000-0000-0000796F0000}"/>
    <cellStyle name="Normal 20 24 4 4" xfId="29296" xr:uid="{00000000-0005-0000-0000-00007A6F0000}"/>
    <cellStyle name="Normal 20 24 4 5" xfId="29297" xr:uid="{00000000-0005-0000-0000-00007B6F0000}"/>
    <cellStyle name="Normal 20 24 4 6" xfId="29298" xr:uid="{00000000-0005-0000-0000-00007C6F0000}"/>
    <cellStyle name="Normal 20 24 5" xfId="29299" xr:uid="{00000000-0005-0000-0000-00007D6F0000}"/>
    <cellStyle name="Normal 20 24 5 2" xfId="29300" xr:uid="{00000000-0005-0000-0000-00007E6F0000}"/>
    <cellStyle name="Normal 20 24 5 3" xfId="29301" xr:uid="{00000000-0005-0000-0000-00007F6F0000}"/>
    <cellStyle name="Normal 20 24 5 4" xfId="29302" xr:uid="{00000000-0005-0000-0000-0000806F0000}"/>
    <cellStyle name="Normal 20 24 5 5" xfId="29303" xr:uid="{00000000-0005-0000-0000-0000816F0000}"/>
    <cellStyle name="Normal 20 24 5 6" xfId="29304" xr:uid="{00000000-0005-0000-0000-0000826F0000}"/>
    <cellStyle name="Normal 20 24 6" xfId="29305" xr:uid="{00000000-0005-0000-0000-0000836F0000}"/>
    <cellStyle name="Normal 20 24 6 2" xfId="29306" xr:uid="{00000000-0005-0000-0000-0000846F0000}"/>
    <cellStyle name="Normal 20 24 6 3" xfId="29307" xr:uid="{00000000-0005-0000-0000-0000856F0000}"/>
    <cellStyle name="Normal 20 24 6 4" xfId="29308" xr:uid="{00000000-0005-0000-0000-0000866F0000}"/>
    <cellStyle name="Normal 20 24 6 5" xfId="29309" xr:uid="{00000000-0005-0000-0000-0000876F0000}"/>
    <cellStyle name="Normal 20 24 6 6" xfId="29310" xr:uid="{00000000-0005-0000-0000-0000886F0000}"/>
    <cellStyle name="Normal 20 24 7" xfId="29311" xr:uid="{00000000-0005-0000-0000-0000896F0000}"/>
    <cellStyle name="Normal 20 24 7 2" xfId="29312" xr:uid="{00000000-0005-0000-0000-00008A6F0000}"/>
    <cellStyle name="Normal 20 24 7 3" xfId="29313" xr:uid="{00000000-0005-0000-0000-00008B6F0000}"/>
    <cellStyle name="Normal 20 24 7 4" xfId="29314" xr:uid="{00000000-0005-0000-0000-00008C6F0000}"/>
    <cellStyle name="Normal 20 24 7 5" xfId="29315" xr:uid="{00000000-0005-0000-0000-00008D6F0000}"/>
    <cellStyle name="Normal 20 24 7 6" xfId="29316" xr:uid="{00000000-0005-0000-0000-00008E6F0000}"/>
    <cellStyle name="Normal 20 24 8" xfId="29317" xr:uid="{00000000-0005-0000-0000-00008F6F0000}"/>
    <cellStyle name="Normal 20 24 8 2" xfId="29318" xr:uid="{00000000-0005-0000-0000-0000906F0000}"/>
    <cellStyle name="Normal 20 24 8 3" xfId="29319" xr:uid="{00000000-0005-0000-0000-0000916F0000}"/>
    <cellStyle name="Normal 20 24 8 4" xfId="29320" xr:uid="{00000000-0005-0000-0000-0000926F0000}"/>
    <cellStyle name="Normal 20 24 8 5" xfId="29321" xr:uid="{00000000-0005-0000-0000-0000936F0000}"/>
    <cellStyle name="Normal 20 24 8 6" xfId="29322" xr:uid="{00000000-0005-0000-0000-0000946F0000}"/>
    <cellStyle name="Normal 20 24 9" xfId="29323" xr:uid="{00000000-0005-0000-0000-0000956F0000}"/>
    <cellStyle name="Normal 20 25" xfId="29324" xr:uid="{00000000-0005-0000-0000-0000966F0000}"/>
    <cellStyle name="Normal 20 25 2" xfId="29325" xr:uid="{00000000-0005-0000-0000-0000976F0000}"/>
    <cellStyle name="Normal 20 25 3" xfId="29326" xr:uid="{00000000-0005-0000-0000-0000986F0000}"/>
    <cellStyle name="Normal 20 25 4" xfId="29327" xr:uid="{00000000-0005-0000-0000-0000996F0000}"/>
    <cellStyle name="Normal 20 25 5" xfId="29328" xr:uid="{00000000-0005-0000-0000-00009A6F0000}"/>
    <cellStyle name="Normal 20 25 6" xfId="29329" xr:uid="{00000000-0005-0000-0000-00009B6F0000}"/>
    <cellStyle name="Normal 20 26" xfId="29330" xr:uid="{00000000-0005-0000-0000-00009C6F0000}"/>
    <cellStyle name="Normal 20 26 2" xfId="29331" xr:uid="{00000000-0005-0000-0000-00009D6F0000}"/>
    <cellStyle name="Normal 20 26 3" xfId="29332" xr:uid="{00000000-0005-0000-0000-00009E6F0000}"/>
    <cellStyle name="Normal 20 26 4" xfId="29333" xr:uid="{00000000-0005-0000-0000-00009F6F0000}"/>
    <cellStyle name="Normal 20 26 5" xfId="29334" xr:uid="{00000000-0005-0000-0000-0000A06F0000}"/>
    <cellStyle name="Normal 20 26 6" xfId="29335" xr:uid="{00000000-0005-0000-0000-0000A16F0000}"/>
    <cellStyle name="Normal 20 27" xfId="29336" xr:uid="{00000000-0005-0000-0000-0000A26F0000}"/>
    <cellStyle name="Normal 20 27 2" xfId="29337" xr:uid="{00000000-0005-0000-0000-0000A36F0000}"/>
    <cellStyle name="Normal 20 27 3" xfId="29338" xr:uid="{00000000-0005-0000-0000-0000A46F0000}"/>
    <cellStyle name="Normal 20 27 4" xfId="29339" xr:uid="{00000000-0005-0000-0000-0000A56F0000}"/>
    <cellStyle name="Normal 20 27 5" xfId="29340" xr:uid="{00000000-0005-0000-0000-0000A66F0000}"/>
    <cellStyle name="Normal 20 27 6" xfId="29341" xr:uid="{00000000-0005-0000-0000-0000A76F0000}"/>
    <cellStyle name="Normal 20 28" xfId="29342" xr:uid="{00000000-0005-0000-0000-0000A86F0000}"/>
    <cellStyle name="Normal 20 28 2" xfId="29343" xr:uid="{00000000-0005-0000-0000-0000A96F0000}"/>
    <cellStyle name="Normal 20 28 3" xfId="29344" xr:uid="{00000000-0005-0000-0000-0000AA6F0000}"/>
    <cellStyle name="Normal 20 28 4" xfId="29345" xr:uid="{00000000-0005-0000-0000-0000AB6F0000}"/>
    <cellStyle name="Normal 20 28 5" xfId="29346" xr:uid="{00000000-0005-0000-0000-0000AC6F0000}"/>
    <cellStyle name="Normal 20 28 6" xfId="29347" xr:uid="{00000000-0005-0000-0000-0000AD6F0000}"/>
    <cellStyle name="Normal 20 29" xfId="29348" xr:uid="{00000000-0005-0000-0000-0000AE6F0000}"/>
    <cellStyle name="Normal 20 29 2" xfId="29349" xr:uid="{00000000-0005-0000-0000-0000AF6F0000}"/>
    <cellStyle name="Normal 20 29 3" xfId="29350" xr:uid="{00000000-0005-0000-0000-0000B06F0000}"/>
    <cellStyle name="Normal 20 29 4" xfId="29351" xr:uid="{00000000-0005-0000-0000-0000B16F0000}"/>
    <cellStyle name="Normal 20 29 5" xfId="29352" xr:uid="{00000000-0005-0000-0000-0000B26F0000}"/>
    <cellStyle name="Normal 20 29 6" xfId="29353" xr:uid="{00000000-0005-0000-0000-0000B36F0000}"/>
    <cellStyle name="Normal 20 3" xfId="29354" xr:uid="{00000000-0005-0000-0000-0000B46F0000}"/>
    <cellStyle name="Normal 20 3 10" xfId="29355" xr:uid="{00000000-0005-0000-0000-0000B56F0000}"/>
    <cellStyle name="Normal 20 3 11" xfId="29356" xr:uid="{00000000-0005-0000-0000-0000B66F0000}"/>
    <cellStyle name="Normal 20 3 12" xfId="29357" xr:uid="{00000000-0005-0000-0000-0000B76F0000}"/>
    <cellStyle name="Normal 20 3 13" xfId="29358" xr:uid="{00000000-0005-0000-0000-0000B86F0000}"/>
    <cellStyle name="Normal 20 3 2" xfId="29359" xr:uid="{00000000-0005-0000-0000-0000B96F0000}"/>
    <cellStyle name="Normal 20 3 2 2" xfId="29360" xr:uid="{00000000-0005-0000-0000-0000BA6F0000}"/>
    <cellStyle name="Normal 20 3 2 3" xfId="29361" xr:uid="{00000000-0005-0000-0000-0000BB6F0000}"/>
    <cellStyle name="Normal 20 3 2 4" xfId="29362" xr:uid="{00000000-0005-0000-0000-0000BC6F0000}"/>
    <cellStyle name="Normal 20 3 2 5" xfId="29363" xr:uid="{00000000-0005-0000-0000-0000BD6F0000}"/>
    <cellStyle name="Normal 20 3 2 6" xfId="29364" xr:uid="{00000000-0005-0000-0000-0000BE6F0000}"/>
    <cellStyle name="Normal 20 3 3" xfId="29365" xr:uid="{00000000-0005-0000-0000-0000BF6F0000}"/>
    <cellStyle name="Normal 20 3 3 2" xfId="29366" xr:uid="{00000000-0005-0000-0000-0000C06F0000}"/>
    <cellStyle name="Normal 20 3 3 3" xfId="29367" xr:uid="{00000000-0005-0000-0000-0000C16F0000}"/>
    <cellStyle name="Normal 20 3 3 4" xfId="29368" xr:uid="{00000000-0005-0000-0000-0000C26F0000}"/>
    <cellStyle name="Normal 20 3 3 5" xfId="29369" xr:uid="{00000000-0005-0000-0000-0000C36F0000}"/>
    <cellStyle name="Normal 20 3 3 6" xfId="29370" xr:uid="{00000000-0005-0000-0000-0000C46F0000}"/>
    <cellStyle name="Normal 20 3 4" xfId="29371" xr:uid="{00000000-0005-0000-0000-0000C56F0000}"/>
    <cellStyle name="Normal 20 3 4 2" xfId="29372" xr:uid="{00000000-0005-0000-0000-0000C66F0000}"/>
    <cellStyle name="Normal 20 3 4 3" xfId="29373" xr:uid="{00000000-0005-0000-0000-0000C76F0000}"/>
    <cellStyle name="Normal 20 3 4 4" xfId="29374" xr:uid="{00000000-0005-0000-0000-0000C86F0000}"/>
    <cellStyle name="Normal 20 3 4 5" xfId="29375" xr:uid="{00000000-0005-0000-0000-0000C96F0000}"/>
    <cellStyle name="Normal 20 3 4 6" xfId="29376" xr:uid="{00000000-0005-0000-0000-0000CA6F0000}"/>
    <cellStyle name="Normal 20 3 5" xfId="29377" xr:uid="{00000000-0005-0000-0000-0000CB6F0000}"/>
    <cellStyle name="Normal 20 3 5 2" xfId="29378" xr:uid="{00000000-0005-0000-0000-0000CC6F0000}"/>
    <cellStyle name="Normal 20 3 5 3" xfId="29379" xr:uid="{00000000-0005-0000-0000-0000CD6F0000}"/>
    <cellStyle name="Normal 20 3 5 4" xfId="29380" xr:uid="{00000000-0005-0000-0000-0000CE6F0000}"/>
    <cellStyle name="Normal 20 3 5 5" xfId="29381" xr:uid="{00000000-0005-0000-0000-0000CF6F0000}"/>
    <cellStyle name="Normal 20 3 5 6" xfId="29382" xr:uid="{00000000-0005-0000-0000-0000D06F0000}"/>
    <cellStyle name="Normal 20 3 6" xfId="29383" xr:uid="{00000000-0005-0000-0000-0000D16F0000}"/>
    <cellStyle name="Normal 20 3 6 2" xfId="29384" xr:uid="{00000000-0005-0000-0000-0000D26F0000}"/>
    <cellStyle name="Normal 20 3 6 3" xfId="29385" xr:uid="{00000000-0005-0000-0000-0000D36F0000}"/>
    <cellStyle name="Normal 20 3 6 4" xfId="29386" xr:uid="{00000000-0005-0000-0000-0000D46F0000}"/>
    <cellStyle name="Normal 20 3 6 5" xfId="29387" xr:uid="{00000000-0005-0000-0000-0000D56F0000}"/>
    <cellStyle name="Normal 20 3 6 6" xfId="29388" xr:uid="{00000000-0005-0000-0000-0000D66F0000}"/>
    <cellStyle name="Normal 20 3 7" xfId="29389" xr:uid="{00000000-0005-0000-0000-0000D76F0000}"/>
    <cellStyle name="Normal 20 3 7 2" xfId="29390" xr:uid="{00000000-0005-0000-0000-0000D86F0000}"/>
    <cellStyle name="Normal 20 3 7 3" xfId="29391" xr:uid="{00000000-0005-0000-0000-0000D96F0000}"/>
    <cellStyle name="Normal 20 3 7 4" xfId="29392" xr:uid="{00000000-0005-0000-0000-0000DA6F0000}"/>
    <cellStyle name="Normal 20 3 7 5" xfId="29393" xr:uid="{00000000-0005-0000-0000-0000DB6F0000}"/>
    <cellStyle name="Normal 20 3 7 6" xfId="29394" xr:uid="{00000000-0005-0000-0000-0000DC6F0000}"/>
    <cellStyle name="Normal 20 3 8" xfId="29395" xr:uid="{00000000-0005-0000-0000-0000DD6F0000}"/>
    <cellStyle name="Normal 20 3 8 2" xfId="29396" xr:uid="{00000000-0005-0000-0000-0000DE6F0000}"/>
    <cellStyle name="Normal 20 3 8 3" xfId="29397" xr:uid="{00000000-0005-0000-0000-0000DF6F0000}"/>
    <cellStyle name="Normal 20 3 8 4" xfId="29398" xr:uid="{00000000-0005-0000-0000-0000E06F0000}"/>
    <cellStyle name="Normal 20 3 8 5" xfId="29399" xr:uid="{00000000-0005-0000-0000-0000E16F0000}"/>
    <cellStyle name="Normal 20 3 8 6" xfId="29400" xr:uid="{00000000-0005-0000-0000-0000E26F0000}"/>
    <cellStyle name="Normal 20 3 9" xfId="29401" xr:uid="{00000000-0005-0000-0000-0000E36F0000}"/>
    <cellStyle name="Normal 20 30" xfId="29402" xr:uid="{00000000-0005-0000-0000-0000E46F0000}"/>
    <cellStyle name="Normal 20 30 2" xfId="29403" xr:uid="{00000000-0005-0000-0000-0000E56F0000}"/>
    <cellStyle name="Normal 20 30 3" xfId="29404" xr:uid="{00000000-0005-0000-0000-0000E66F0000}"/>
    <cellStyle name="Normal 20 30 4" xfId="29405" xr:uid="{00000000-0005-0000-0000-0000E76F0000}"/>
    <cellStyle name="Normal 20 30 5" xfId="29406" xr:uid="{00000000-0005-0000-0000-0000E86F0000}"/>
    <cellStyle name="Normal 20 30 6" xfId="29407" xr:uid="{00000000-0005-0000-0000-0000E96F0000}"/>
    <cellStyle name="Normal 20 31" xfId="29408" xr:uid="{00000000-0005-0000-0000-0000EA6F0000}"/>
    <cellStyle name="Normal 20 31 2" xfId="29409" xr:uid="{00000000-0005-0000-0000-0000EB6F0000}"/>
    <cellStyle name="Normal 20 31 3" xfId="29410" xr:uid="{00000000-0005-0000-0000-0000EC6F0000}"/>
    <cellStyle name="Normal 20 31 4" xfId="29411" xr:uid="{00000000-0005-0000-0000-0000ED6F0000}"/>
    <cellStyle name="Normal 20 31 5" xfId="29412" xr:uid="{00000000-0005-0000-0000-0000EE6F0000}"/>
    <cellStyle name="Normal 20 31 6" xfId="29413" xr:uid="{00000000-0005-0000-0000-0000EF6F0000}"/>
    <cellStyle name="Normal 20 32" xfId="29414" xr:uid="{00000000-0005-0000-0000-0000F06F0000}"/>
    <cellStyle name="Normal 20 33" xfId="29415" xr:uid="{00000000-0005-0000-0000-0000F16F0000}"/>
    <cellStyle name="Normal 20 34" xfId="29416" xr:uid="{00000000-0005-0000-0000-0000F26F0000}"/>
    <cellStyle name="Normal 20 35" xfId="29417" xr:uid="{00000000-0005-0000-0000-0000F36F0000}"/>
    <cellStyle name="Normal 20 36" xfId="29418" xr:uid="{00000000-0005-0000-0000-0000F46F0000}"/>
    <cellStyle name="Normal 20 4" xfId="29419" xr:uid="{00000000-0005-0000-0000-0000F56F0000}"/>
    <cellStyle name="Normal 20 4 10" xfId="29420" xr:uid="{00000000-0005-0000-0000-0000F66F0000}"/>
    <cellStyle name="Normal 20 4 11" xfId="29421" xr:uid="{00000000-0005-0000-0000-0000F76F0000}"/>
    <cellStyle name="Normal 20 4 12" xfId="29422" xr:uid="{00000000-0005-0000-0000-0000F86F0000}"/>
    <cellStyle name="Normal 20 4 13" xfId="29423" xr:uid="{00000000-0005-0000-0000-0000F96F0000}"/>
    <cellStyle name="Normal 20 4 2" xfId="29424" xr:uid="{00000000-0005-0000-0000-0000FA6F0000}"/>
    <cellStyle name="Normal 20 4 2 2" xfId="29425" xr:uid="{00000000-0005-0000-0000-0000FB6F0000}"/>
    <cellStyle name="Normal 20 4 2 3" xfId="29426" xr:uid="{00000000-0005-0000-0000-0000FC6F0000}"/>
    <cellStyle name="Normal 20 4 2 4" xfId="29427" xr:uid="{00000000-0005-0000-0000-0000FD6F0000}"/>
    <cellStyle name="Normal 20 4 2 5" xfId="29428" xr:uid="{00000000-0005-0000-0000-0000FE6F0000}"/>
    <cellStyle name="Normal 20 4 2 6" xfId="29429" xr:uid="{00000000-0005-0000-0000-0000FF6F0000}"/>
    <cellStyle name="Normal 20 4 3" xfId="29430" xr:uid="{00000000-0005-0000-0000-000000700000}"/>
    <cellStyle name="Normal 20 4 3 2" xfId="29431" xr:uid="{00000000-0005-0000-0000-000001700000}"/>
    <cellStyle name="Normal 20 4 3 3" xfId="29432" xr:uid="{00000000-0005-0000-0000-000002700000}"/>
    <cellStyle name="Normal 20 4 3 4" xfId="29433" xr:uid="{00000000-0005-0000-0000-000003700000}"/>
    <cellStyle name="Normal 20 4 3 5" xfId="29434" xr:uid="{00000000-0005-0000-0000-000004700000}"/>
    <cellStyle name="Normal 20 4 3 6" xfId="29435" xr:uid="{00000000-0005-0000-0000-000005700000}"/>
    <cellStyle name="Normal 20 4 4" xfId="29436" xr:uid="{00000000-0005-0000-0000-000006700000}"/>
    <cellStyle name="Normal 20 4 4 2" xfId="29437" xr:uid="{00000000-0005-0000-0000-000007700000}"/>
    <cellStyle name="Normal 20 4 4 3" xfId="29438" xr:uid="{00000000-0005-0000-0000-000008700000}"/>
    <cellStyle name="Normal 20 4 4 4" xfId="29439" xr:uid="{00000000-0005-0000-0000-000009700000}"/>
    <cellStyle name="Normal 20 4 4 5" xfId="29440" xr:uid="{00000000-0005-0000-0000-00000A700000}"/>
    <cellStyle name="Normal 20 4 4 6" xfId="29441" xr:uid="{00000000-0005-0000-0000-00000B700000}"/>
    <cellStyle name="Normal 20 4 5" xfId="29442" xr:uid="{00000000-0005-0000-0000-00000C700000}"/>
    <cellStyle name="Normal 20 4 5 2" xfId="29443" xr:uid="{00000000-0005-0000-0000-00000D700000}"/>
    <cellStyle name="Normal 20 4 5 3" xfId="29444" xr:uid="{00000000-0005-0000-0000-00000E700000}"/>
    <cellStyle name="Normal 20 4 5 4" xfId="29445" xr:uid="{00000000-0005-0000-0000-00000F700000}"/>
    <cellStyle name="Normal 20 4 5 5" xfId="29446" xr:uid="{00000000-0005-0000-0000-000010700000}"/>
    <cellStyle name="Normal 20 4 5 6" xfId="29447" xr:uid="{00000000-0005-0000-0000-000011700000}"/>
    <cellStyle name="Normal 20 4 6" xfId="29448" xr:uid="{00000000-0005-0000-0000-000012700000}"/>
    <cellStyle name="Normal 20 4 6 2" xfId="29449" xr:uid="{00000000-0005-0000-0000-000013700000}"/>
    <cellStyle name="Normal 20 4 6 3" xfId="29450" xr:uid="{00000000-0005-0000-0000-000014700000}"/>
    <cellStyle name="Normal 20 4 6 4" xfId="29451" xr:uid="{00000000-0005-0000-0000-000015700000}"/>
    <cellStyle name="Normal 20 4 6 5" xfId="29452" xr:uid="{00000000-0005-0000-0000-000016700000}"/>
    <cellStyle name="Normal 20 4 6 6" xfId="29453" xr:uid="{00000000-0005-0000-0000-000017700000}"/>
    <cellStyle name="Normal 20 4 7" xfId="29454" xr:uid="{00000000-0005-0000-0000-000018700000}"/>
    <cellStyle name="Normal 20 4 7 2" xfId="29455" xr:uid="{00000000-0005-0000-0000-000019700000}"/>
    <cellStyle name="Normal 20 4 7 3" xfId="29456" xr:uid="{00000000-0005-0000-0000-00001A700000}"/>
    <cellStyle name="Normal 20 4 7 4" xfId="29457" xr:uid="{00000000-0005-0000-0000-00001B700000}"/>
    <cellStyle name="Normal 20 4 7 5" xfId="29458" xr:uid="{00000000-0005-0000-0000-00001C700000}"/>
    <cellStyle name="Normal 20 4 7 6" xfId="29459" xr:uid="{00000000-0005-0000-0000-00001D700000}"/>
    <cellStyle name="Normal 20 4 8" xfId="29460" xr:uid="{00000000-0005-0000-0000-00001E700000}"/>
    <cellStyle name="Normal 20 4 8 2" xfId="29461" xr:uid="{00000000-0005-0000-0000-00001F700000}"/>
    <cellStyle name="Normal 20 4 8 3" xfId="29462" xr:uid="{00000000-0005-0000-0000-000020700000}"/>
    <cellStyle name="Normal 20 4 8 4" xfId="29463" xr:uid="{00000000-0005-0000-0000-000021700000}"/>
    <cellStyle name="Normal 20 4 8 5" xfId="29464" xr:uid="{00000000-0005-0000-0000-000022700000}"/>
    <cellStyle name="Normal 20 4 8 6" xfId="29465" xr:uid="{00000000-0005-0000-0000-000023700000}"/>
    <cellStyle name="Normal 20 4 9" xfId="29466" xr:uid="{00000000-0005-0000-0000-000024700000}"/>
    <cellStyle name="Normal 20 5" xfId="29467" xr:uid="{00000000-0005-0000-0000-000025700000}"/>
    <cellStyle name="Normal 20 5 10" xfId="29468" xr:uid="{00000000-0005-0000-0000-000026700000}"/>
    <cellStyle name="Normal 20 5 11" xfId="29469" xr:uid="{00000000-0005-0000-0000-000027700000}"/>
    <cellStyle name="Normal 20 5 12" xfId="29470" xr:uid="{00000000-0005-0000-0000-000028700000}"/>
    <cellStyle name="Normal 20 5 13" xfId="29471" xr:uid="{00000000-0005-0000-0000-000029700000}"/>
    <cellStyle name="Normal 20 5 2" xfId="29472" xr:uid="{00000000-0005-0000-0000-00002A700000}"/>
    <cellStyle name="Normal 20 5 2 2" xfId="29473" xr:uid="{00000000-0005-0000-0000-00002B700000}"/>
    <cellStyle name="Normal 20 5 2 3" xfId="29474" xr:uid="{00000000-0005-0000-0000-00002C700000}"/>
    <cellStyle name="Normal 20 5 2 4" xfId="29475" xr:uid="{00000000-0005-0000-0000-00002D700000}"/>
    <cellStyle name="Normal 20 5 2 5" xfId="29476" xr:uid="{00000000-0005-0000-0000-00002E700000}"/>
    <cellStyle name="Normal 20 5 2 6" xfId="29477" xr:uid="{00000000-0005-0000-0000-00002F700000}"/>
    <cellStyle name="Normal 20 5 3" xfId="29478" xr:uid="{00000000-0005-0000-0000-000030700000}"/>
    <cellStyle name="Normal 20 5 3 2" xfId="29479" xr:uid="{00000000-0005-0000-0000-000031700000}"/>
    <cellStyle name="Normal 20 5 3 3" xfId="29480" xr:uid="{00000000-0005-0000-0000-000032700000}"/>
    <cellStyle name="Normal 20 5 3 4" xfId="29481" xr:uid="{00000000-0005-0000-0000-000033700000}"/>
    <cellStyle name="Normal 20 5 3 5" xfId="29482" xr:uid="{00000000-0005-0000-0000-000034700000}"/>
    <cellStyle name="Normal 20 5 3 6" xfId="29483" xr:uid="{00000000-0005-0000-0000-000035700000}"/>
    <cellStyle name="Normal 20 5 4" xfId="29484" xr:uid="{00000000-0005-0000-0000-000036700000}"/>
    <cellStyle name="Normal 20 5 4 2" xfId="29485" xr:uid="{00000000-0005-0000-0000-000037700000}"/>
    <cellStyle name="Normal 20 5 4 3" xfId="29486" xr:uid="{00000000-0005-0000-0000-000038700000}"/>
    <cellStyle name="Normal 20 5 4 4" xfId="29487" xr:uid="{00000000-0005-0000-0000-000039700000}"/>
    <cellStyle name="Normal 20 5 4 5" xfId="29488" xr:uid="{00000000-0005-0000-0000-00003A700000}"/>
    <cellStyle name="Normal 20 5 4 6" xfId="29489" xr:uid="{00000000-0005-0000-0000-00003B700000}"/>
    <cellStyle name="Normal 20 5 5" xfId="29490" xr:uid="{00000000-0005-0000-0000-00003C700000}"/>
    <cellStyle name="Normal 20 5 5 2" xfId="29491" xr:uid="{00000000-0005-0000-0000-00003D700000}"/>
    <cellStyle name="Normal 20 5 5 3" xfId="29492" xr:uid="{00000000-0005-0000-0000-00003E700000}"/>
    <cellStyle name="Normal 20 5 5 4" xfId="29493" xr:uid="{00000000-0005-0000-0000-00003F700000}"/>
    <cellStyle name="Normal 20 5 5 5" xfId="29494" xr:uid="{00000000-0005-0000-0000-000040700000}"/>
    <cellStyle name="Normal 20 5 5 6" xfId="29495" xr:uid="{00000000-0005-0000-0000-000041700000}"/>
    <cellStyle name="Normal 20 5 6" xfId="29496" xr:uid="{00000000-0005-0000-0000-000042700000}"/>
    <cellStyle name="Normal 20 5 6 2" xfId="29497" xr:uid="{00000000-0005-0000-0000-000043700000}"/>
    <cellStyle name="Normal 20 5 6 3" xfId="29498" xr:uid="{00000000-0005-0000-0000-000044700000}"/>
    <cellStyle name="Normal 20 5 6 4" xfId="29499" xr:uid="{00000000-0005-0000-0000-000045700000}"/>
    <cellStyle name="Normal 20 5 6 5" xfId="29500" xr:uid="{00000000-0005-0000-0000-000046700000}"/>
    <cellStyle name="Normal 20 5 6 6" xfId="29501" xr:uid="{00000000-0005-0000-0000-000047700000}"/>
    <cellStyle name="Normal 20 5 7" xfId="29502" xr:uid="{00000000-0005-0000-0000-000048700000}"/>
    <cellStyle name="Normal 20 5 7 2" xfId="29503" xr:uid="{00000000-0005-0000-0000-000049700000}"/>
    <cellStyle name="Normal 20 5 7 3" xfId="29504" xr:uid="{00000000-0005-0000-0000-00004A700000}"/>
    <cellStyle name="Normal 20 5 7 4" xfId="29505" xr:uid="{00000000-0005-0000-0000-00004B700000}"/>
    <cellStyle name="Normal 20 5 7 5" xfId="29506" xr:uid="{00000000-0005-0000-0000-00004C700000}"/>
    <cellStyle name="Normal 20 5 7 6" xfId="29507" xr:uid="{00000000-0005-0000-0000-00004D700000}"/>
    <cellStyle name="Normal 20 5 8" xfId="29508" xr:uid="{00000000-0005-0000-0000-00004E700000}"/>
    <cellStyle name="Normal 20 5 8 2" xfId="29509" xr:uid="{00000000-0005-0000-0000-00004F700000}"/>
    <cellStyle name="Normal 20 5 8 3" xfId="29510" xr:uid="{00000000-0005-0000-0000-000050700000}"/>
    <cellStyle name="Normal 20 5 8 4" xfId="29511" xr:uid="{00000000-0005-0000-0000-000051700000}"/>
    <cellStyle name="Normal 20 5 8 5" xfId="29512" xr:uid="{00000000-0005-0000-0000-000052700000}"/>
    <cellStyle name="Normal 20 5 8 6" xfId="29513" xr:uid="{00000000-0005-0000-0000-000053700000}"/>
    <cellStyle name="Normal 20 5 9" xfId="29514" xr:uid="{00000000-0005-0000-0000-000054700000}"/>
    <cellStyle name="Normal 20 6" xfId="29515" xr:uid="{00000000-0005-0000-0000-000055700000}"/>
    <cellStyle name="Normal 20 6 10" xfId="29516" xr:uid="{00000000-0005-0000-0000-000056700000}"/>
    <cellStyle name="Normal 20 6 11" xfId="29517" xr:uid="{00000000-0005-0000-0000-000057700000}"/>
    <cellStyle name="Normal 20 6 12" xfId="29518" xr:uid="{00000000-0005-0000-0000-000058700000}"/>
    <cellStyle name="Normal 20 6 13" xfId="29519" xr:uid="{00000000-0005-0000-0000-000059700000}"/>
    <cellStyle name="Normal 20 6 2" xfId="29520" xr:uid="{00000000-0005-0000-0000-00005A700000}"/>
    <cellStyle name="Normal 20 6 2 2" xfId="29521" xr:uid="{00000000-0005-0000-0000-00005B700000}"/>
    <cellStyle name="Normal 20 6 2 3" xfId="29522" xr:uid="{00000000-0005-0000-0000-00005C700000}"/>
    <cellStyle name="Normal 20 6 2 4" xfId="29523" xr:uid="{00000000-0005-0000-0000-00005D700000}"/>
    <cellStyle name="Normal 20 6 2 5" xfId="29524" xr:uid="{00000000-0005-0000-0000-00005E700000}"/>
    <cellStyle name="Normal 20 6 2 6" xfId="29525" xr:uid="{00000000-0005-0000-0000-00005F700000}"/>
    <cellStyle name="Normal 20 6 3" xfId="29526" xr:uid="{00000000-0005-0000-0000-000060700000}"/>
    <cellStyle name="Normal 20 6 3 2" xfId="29527" xr:uid="{00000000-0005-0000-0000-000061700000}"/>
    <cellStyle name="Normal 20 6 3 3" xfId="29528" xr:uid="{00000000-0005-0000-0000-000062700000}"/>
    <cellStyle name="Normal 20 6 3 4" xfId="29529" xr:uid="{00000000-0005-0000-0000-000063700000}"/>
    <cellStyle name="Normal 20 6 3 5" xfId="29530" xr:uid="{00000000-0005-0000-0000-000064700000}"/>
    <cellStyle name="Normal 20 6 3 6" xfId="29531" xr:uid="{00000000-0005-0000-0000-000065700000}"/>
    <cellStyle name="Normal 20 6 4" xfId="29532" xr:uid="{00000000-0005-0000-0000-000066700000}"/>
    <cellStyle name="Normal 20 6 4 2" xfId="29533" xr:uid="{00000000-0005-0000-0000-000067700000}"/>
    <cellStyle name="Normal 20 6 4 3" xfId="29534" xr:uid="{00000000-0005-0000-0000-000068700000}"/>
    <cellStyle name="Normal 20 6 4 4" xfId="29535" xr:uid="{00000000-0005-0000-0000-000069700000}"/>
    <cellStyle name="Normal 20 6 4 5" xfId="29536" xr:uid="{00000000-0005-0000-0000-00006A700000}"/>
    <cellStyle name="Normal 20 6 4 6" xfId="29537" xr:uid="{00000000-0005-0000-0000-00006B700000}"/>
    <cellStyle name="Normal 20 6 5" xfId="29538" xr:uid="{00000000-0005-0000-0000-00006C700000}"/>
    <cellStyle name="Normal 20 6 5 2" xfId="29539" xr:uid="{00000000-0005-0000-0000-00006D700000}"/>
    <cellStyle name="Normal 20 6 5 3" xfId="29540" xr:uid="{00000000-0005-0000-0000-00006E700000}"/>
    <cellStyle name="Normal 20 6 5 4" xfId="29541" xr:uid="{00000000-0005-0000-0000-00006F700000}"/>
    <cellStyle name="Normal 20 6 5 5" xfId="29542" xr:uid="{00000000-0005-0000-0000-000070700000}"/>
    <cellStyle name="Normal 20 6 5 6" xfId="29543" xr:uid="{00000000-0005-0000-0000-000071700000}"/>
    <cellStyle name="Normal 20 6 6" xfId="29544" xr:uid="{00000000-0005-0000-0000-000072700000}"/>
    <cellStyle name="Normal 20 6 6 2" xfId="29545" xr:uid="{00000000-0005-0000-0000-000073700000}"/>
    <cellStyle name="Normal 20 6 6 3" xfId="29546" xr:uid="{00000000-0005-0000-0000-000074700000}"/>
    <cellStyle name="Normal 20 6 6 4" xfId="29547" xr:uid="{00000000-0005-0000-0000-000075700000}"/>
    <cellStyle name="Normal 20 6 6 5" xfId="29548" xr:uid="{00000000-0005-0000-0000-000076700000}"/>
    <cellStyle name="Normal 20 6 6 6" xfId="29549" xr:uid="{00000000-0005-0000-0000-000077700000}"/>
    <cellStyle name="Normal 20 6 7" xfId="29550" xr:uid="{00000000-0005-0000-0000-000078700000}"/>
    <cellStyle name="Normal 20 6 7 2" xfId="29551" xr:uid="{00000000-0005-0000-0000-000079700000}"/>
    <cellStyle name="Normal 20 6 7 3" xfId="29552" xr:uid="{00000000-0005-0000-0000-00007A700000}"/>
    <cellStyle name="Normal 20 6 7 4" xfId="29553" xr:uid="{00000000-0005-0000-0000-00007B700000}"/>
    <cellStyle name="Normal 20 6 7 5" xfId="29554" xr:uid="{00000000-0005-0000-0000-00007C700000}"/>
    <cellStyle name="Normal 20 6 7 6" xfId="29555" xr:uid="{00000000-0005-0000-0000-00007D700000}"/>
    <cellStyle name="Normal 20 6 8" xfId="29556" xr:uid="{00000000-0005-0000-0000-00007E700000}"/>
    <cellStyle name="Normal 20 6 8 2" xfId="29557" xr:uid="{00000000-0005-0000-0000-00007F700000}"/>
    <cellStyle name="Normal 20 6 8 3" xfId="29558" xr:uid="{00000000-0005-0000-0000-000080700000}"/>
    <cellStyle name="Normal 20 6 8 4" xfId="29559" xr:uid="{00000000-0005-0000-0000-000081700000}"/>
    <cellStyle name="Normal 20 6 8 5" xfId="29560" xr:uid="{00000000-0005-0000-0000-000082700000}"/>
    <cellStyle name="Normal 20 6 8 6" xfId="29561" xr:uid="{00000000-0005-0000-0000-000083700000}"/>
    <cellStyle name="Normal 20 6 9" xfId="29562" xr:uid="{00000000-0005-0000-0000-000084700000}"/>
    <cellStyle name="Normal 20 7" xfId="29563" xr:uid="{00000000-0005-0000-0000-000085700000}"/>
    <cellStyle name="Normal 20 7 10" xfId="29564" xr:uid="{00000000-0005-0000-0000-000086700000}"/>
    <cellStyle name="Normal 20 7 11" xfId="29565" xr:uid="{00000000-0005-0000-0000-000087700000}"/>
    <cellStyle name="Normal 20 7 12" xfId="29566" xr:uid="{00000000-0005-0000-0000-000088700000}"/>
    <cellStyle name="Normal 20 7 13" xfId="29567" xr:uid="{00000000-0005-0000-0000-000089700000}"/>
    <cellStyle name="Normal 20 7 2" xfId="29568" xr:uid="{00000000-0005-0000-0000-00008A700000}"/>
    <cellStyle name="Normal 20 7 2 2" xfId="29569" xr:uid="{00000000-0005-0000-0000-00008B700000}"/>
    <cellStyle name="Normal 20 7 2 3" xfId="29570" xr:uid="{00000000-0005-0000-0000-00008C700000}"/>
    <cellStyle name="Normal 20 7 2 4" xfId="29571" xr:uid="{00000000-0005-0000-0000-00008D700000}"/>
    <cellStyle name="Normal 20 7 2 5" xfId="29572" xr:uid="{00000000-0005-0000-0000-00008E700000}"/>
    <cellStyle name="Normal 20 7 2 6" xfId="29573" xr:uid="{00000000-0005-0000-0000-00008F700000}"/>
    <cellStyle name="Normal 20 7 3" xfId="29574" xr:uid="{00000000-0005-0000-0000-000090700000}"/>
    <cellStyle name="Normal 20 7 3 2" xfId="29575" xr:uid="{00000000-0005-0000-0000-000091700000}"/>
    <cellStyle name="Normal 20 7 3 3" xfId="29576" xr:uid="{00000000-0005-0000-0000-000092700000}"/>
    <cellStyle name="Normal 20 7 3 4" xfId="29577" xr:uid="{00000000-0005-0000-0000-000093700000}"/>
    <cellStyle name="Normal 20 7 3 5" xfId="29578" xr:uid="{00000000-0005-0000-0000-000094700000}"/>
    <cellStyle name="Normal 20 7 3 6" xfId="29579" xr:uid="{00000000-0005-0000-0000-000095700000}"/>
    <cellStyle name="Normal 20 7 4" xfId="29580" xr:uid="{00000000-0005-0000-0000-000096700000}"/>
    <cellStyle name="Normal 20 7 4 2" xfId="29581" xr:uid="{00000000-0005-0000-0000-000097700000}"/>
    <cellStyle name="Normal 20 7 4 3" xfId="29582" xr:uid="{00000000-0005-0000-0000-000098700000}"/>
    <cellStyle name="Normal 20 7 4 4" xfId="29583" xr:uid="{00000000-0005-0000-0000-000099700000}"/>
    <cellStyle name="Normal 20 7 4 5" xfId="29584" xr:uid="{00000000-0005-0000-0000-00009A700000}"/>
    <cellStyle name="Normal 20 7 4 6" xfId="29585" xr:uid="{00000000-0005-0000-0000-00009B700000}"/>
    <cellStyle name="Normal 20 7 5" xfId="29586" xr:uid="{00000000-0005-0000-0000-00009C700000}"/>
    <cellStyle name="Normal 20 7 5 2" xfId="29587" xr:uid="{00000000-0005-0000-0000-00009D700000}"/>
    <cellStyle name="Normal 20 7 5 3" xfId="29588" xr:uid="{00000000-0005-0000-0000-00009E700000}"/>
    <cellStyle name="Normal 20 7 5 4" xfId="29589" xr:uid="{00000000-0005-0000-0000-00009F700000}"/>
    <cellStyle name="Normal 20 7 5 5" xfId="29590" xr:uid="{00000000-0005-0000-0000-0000A0700000}"/>
    <cellStyle name="Normal 20 7 5 6" xfId="29591" xr:uid="{00000000-0005-0000-0000-0000A1700000}"/>
    <cellStyle name="Normal 20 7 6" xfId="29592" xr:uid="{00000000-0005-0000-0000-0000A2700000}"/>
    <cellStyle name="Normal 20 7 6 2" xfId="29593" xr:uid="{00000000-0005-0000-0000-0000A3700000}"/>
    <cellStyle name="Normal 20 7 6 3" xfId="29594" xr:uid="{00000000-0005-0000-0000-0000A4700000}"/>
    <cellStyle name="Normal 20 7 6 4" xfId="29595" xr:uid="{00000000-0005-0000-0000-0000A5700000}"/>
    <cellStyle name="Normal 20 7 6 5" xfId="29596" xr:uid="{00000000-0005-0000-0000-0000A6700000}"/>
    <cellStyle name="Normal 20 7 6 6" xfId="29597" xr:uid="{00000000-0005-0000-0000-0000A7700000}"/>
    <cellStyle name="Normal 20 7 7" xfId="29598" xr:uid="{00000000-0005-0000-0000-0000A8700000}"/>
    <cellStyle name="Normal 20 7 7 2" xfId="29599" xr:uid="{00000000-0005-0000-0000-0000A9700000}"/>
    <cellStyle name="Normal 20 7 7 3" xfId="29600" xr:uid="{00000000-0005-0000-0000-0000AA700000}"/>
    <cellStyle name="Normal 20 7 7 4" xfId="29601" xr:uid="{00000000-0005-0000-0000-0000AB700000}"/>
    <cellStyle name="Normal 20 7 7 5" xfId="29602" xr:uid="{00000000-0005-0000-0000-0000AC700000}"/>
    <cellStyle name="Normal 20 7 7 6" xfId="29603" xr:uid="{00000000-0005-0000-0000-0000AD700000}"/>
    <cellStyle name="Normal 20 7 8" xfId="29604" xr:uid="{00000000-0005-0000-0000-0000AE700000}"/>
    <cellStyle name="Normal 20 7 8 2" xfId="29605" xr:uid="{00000000-0005-0000-0000-0000AF700000}"/>
    <cellStyle name="Normal 20 7 8 3" xfId="29606" xr:uid="{00000000-0005-0000-0000-0000B0700000}"/>
    <cellStyle name="Normal 20 7 8 4" xfId="29607" xr:uid="{00000000-0005-0000-0000-0000B1700000}"/>
    <cellStyle name="Normal 20 7 8 5" xfId="29608" xr:uid="{00000000-0005-0000-0000-0000B2700000}"/>
    <cellStyle name="Normal 20 7 8 6" xfId="29609" xr:uid="{00000000-0005-0000-0000-0000B3700000}"/>
    <cellStyle name="Normal 20 7 9" xfId="29610" xr:uid="{00000000-0005-0000-0000-0000B4700000}"/>
    <cellStyle name="Normal 20 8" xfId="29611" xr:uid="{00000000-0005-0000-0000-0000B5700000}"/>
    <cellStyle name="Normal 20 8 10" xfId="29612" xr:uid="{00000000-0005-0000-0000-0000B6700000}"/>
    <cellStyle name="Normal 20 8 11" xfId="29613" xr:uid="{00000000-0005-0000-0000-0000B7700000}"/>
    <cellStyle name="Normal 20 8 12" xfId="29614" xr:uid="{00000000-0005-0000-0000-0000B8700000}"/>
    <cellStyle name="Normal 20 8 13" xfId="29615" xr:uid="{00000000-0005-0000-0000-0000B9700000}"/>
    <cellStyle name="Normal 20 8 2" xfId="29616" xr:uid="{00000000-0005-0000-0000-0000BA700000}"/>
    <cellStyle name="Normal 20 8 2 2" xfId="29617" xr:uid="{00000000-0005-0000-0000-0000BB700000}"/>
    <cellStyle name="Normal 20 8 2 3" xfId="29618" xr:uid="{00000000-0005-0000-0000-0000BC700000}"/>
    <cellStyle name="Normal 20 8 2 4" xfId="29619" xr:uid="{00000000-0005-0000-0000-0000BD700000}"/>
    <cellStyle name="Normal 20 8 2 5" xfId="29620" xr:uid="{00000000-0005-0000-0000-0000BE700000}"/>
    <cellStyle name="Normal 20 8 2 6" xfId="29621" xr:uid="{00000000-0005-0000-0000-0000BF700000}"/>
    <cellStyle name="Normal 20 8 3" xfId="29622" xr:uid="{00000000-0005-0000-0000-0000C0700000}"/>
    <cellStyle name="Normal 20 8 3 2" xfId="29623" xr:uid="{00000000-0005-0000-0000-0000C1700000}"/>
    <cellStyle name="Normal 20 8 3 3" xfId="29624" xr:uid="{00000000-0005-0000-0000-0000C2700000}"/>
    <cellStyle name="Normal 20 8 3 4" xfId="29625" xr:uid="{00000000-0005-0000-0000-0000C3700000}"/>
    <cellStyle name="Normal 20 8 3 5" xfId="29626" xr:uid="{00000000-0005-0000-0000-0000C4700000}"/>
    <cellStyle name="Normal 20 8 3 6" xfId="29627" xr:uid="{00000000-0005-0000-0000-0000C5700000}"/>
    <cellStyle name="Normal 20 8 4" xfId="29628" xr:uid="{00000000-0005-0000-0000-0000C6700000}"/>
    <cellStyle name="Normal 20 8 4 2" xfId="29629" xr:uid="{00000000-0005-0000-0000-0000C7700000}"/>
    <cellStyle name="Normal 20 8 4 3" xfId="29630" xr:uid="{00000000-0005-0000-0000-0000C8700000}"/>
    <cellStyle name="Normal 20 8 4 4" xfId="29631" xr:uid="{00000000-0005-0000-0000-0000C9700000}"/>
    <cellStyle name="Normal 20 8 4 5" xfId="29632" xr:uid="{00000000-0005-0000-0000-0000CA700000}"/>
    <cellStyle name="Normal 20 8 4 6" xfId="29633" xr:uid="{00000000-0005-0000-0000-0000CB700000}"/>
    <cellStyle name="Normal 20 8 5" xfId="29634" xr:uid="{00000000-0005-0000-0000-0000CC700000}"/>
    <cellStyle name="Normal 20 8 5 2" xfId="29635" xr:uid="{00000000-0005-0000-0000-0000CD700000}"/>
    <cellStyle name="Normal 20 8 5 3" xfId="29636" xr:uid="{00000000-0005-0000-0000-0000CE700000}"/>
    <cellStyle name="Normal 20 8 5 4" xfId="29637" xr:uid="{00000000-0005-0000-0000-0000CF700000}"/>
    <cellStyle name="Normal 20 8 5 5" xfId="29638" xr:uid="{00000000-0005-0000-0000-0000D0700000}"/>
    <cellStyle name="Normal 20 8 5 6" xfId="29639" xr:uid="{00000000-0005-0000-0000-0000D1700000}"/>
    <cellStyle name="Normal 20 8 6" xfId="29640" xr:uid="{00000000-0005-0000-0000-0000D2700000}"/>
    <cellStyle name="Normal 20 8 6 2" xfId="29641" xr:uid="{00000000-0005-0000-0000-0000D3700000}"/>
    <cellStyle name="Normal 20 8 6 3" xfId="29642" xr:uid="{00000000-0005-0000-0000-0000D4700000}"/>
    <cellStyle name="Normal 20 8 6 4" xfId="29643" xr:uid="{00000000-0005-0000-0000-0000D5700000}"/>
    <cellStyle name="Normal 20 8 6 5" xfId="29644" xr:uid="{00000000-0005-0000-0000-0000D6700000}"/>
    <cellStyle name="Normal 20 8 6 6" xfId="29645" xr:uid="{00000000-0005-0000-0000-0000D7700000}"/>
    <cellStyle name="Normal 20 8 7" xfId="29646" xr:uid="{00000000-0005-0000-0000-0000D8700000}"/>
    <cellStyle name="Normal 20 8 7 2" xfId="29647" xr:uid="{00000000-0005-0000-0000-0000D9700000}"/>
    <cellStyle name="Normal 20 8 7 3" xfId="29648" xr:uid="{00000000-0005-0000-0000-0000DA700000}"/>
    <cellStyle name="Normal 20 8 7 4" xfId="29649" xr:uid="{00000000-0005-0000-0000-0000DB700000}"/>
    <cellStyle name="Normal 20 8 7 5" xfId="29650" xr:uid="{00000000-0005-0000-0000-0000DC700000}"/>
    <cellStyle name="Normal 20 8 7 6" xfId="29651" xr:uid="{00000000-0005-0000-0000-0000DD700000}"/>
    <cellStyle name="Normal 20 8 8" xfId="29652" xr:uid="{00000000-0005-0000-0000-0000DE700000}"/>
    <cellStyle name="Normal 20 8 8 2" xfId="29653" xr:uid="{00000000-0005-0000-0000-0000DF700000}"/>
    <cellStyle name="Normal 20 8 8 3" xfId="29654" xr:uid="{00000000-0005-0000-0000-0000E0700000}"/>
    <cellStyle name="Normal 20 8 8 4" xfId="29655" xr:uid="{00000000-0005-0000-0000-0000E1700000}"/>
    <cellStyle name="Normal 20 8 8 5" xfId="29656" xr:uid="{00000000-0005-0000-0000-0000E2700000}"/>
    <cellStyle name="Normal 20 8 8 6" xfId="29657" xr:uid="{00000000-0005-0000-0000-0000E3700000}"/>
    <cellStyle name="Normal 20 8 9" xfId="29658" xr:uid="{00000000-0005-0000-0000-0000E4700000}"/>
    <cellStyle name="Normal 20 9" xfId="29659" xr:uid="{00000000-0005-0000-0000-0000E5700000}"/>
    <cellStyle name="Normal 20 9 10" xfId="29660" xr:uid="{00000000-0005-0000-0000-0000E6700000}"/>
    <cellStyle name="Normal 20 9 11" xfId="29661" xr:uid="{00000000-0005-0000-0000-0000E7700000}"/>
    <cellStyle name="Normal 20 9 12" xfId="29662" xr:uid="{00000000-0005-0000-0000-0000E8700000}"/>
    <cellStyle name="Normal 20 9 13" xfId="29663" xr:uid="{00000000-0005-0000-0000-0000E9700000}"/>
    <cellStyle name="Normal 20 9 2" xfId="29664" xr:uid="{00000000-0005-0000-0000-0000EA700000}"/>
    <cellStyle name="Normal 20 9 2 2" xfId="29665" xr:uid="{00000000-0005-0000-0000-0000EB700000}"/>
    <cellStyle name="Normal 20 9 2 3" xfId="29666" xr:uid="{00000000-0005-0000-0000-0000EC700000}"/>
    <cellStyle name="Normal 20 9 2 4" xfId="29667" xr:uid="{00000000-0005-0000-0000-0000ED700000}"/>
    <cellStyle name="Normal 20 9 2 5" xfId="29668" xr:uid="{00000000-0005-0000-0000-0000EE700000}"/>
    <cellStyle name="Normal 20 9 2 6" xfId="29669" xr:uid="{00000000-0005-0000-0000-0000EF700000}"/>
    <cellStyle name="Normal 20 9 3" xfId="29670" xr:uid="{00000000-0005-0000-0000-0000F0700000}"/>
    <cellStyle name="Normal 20 9 3 2" xfId="29671" xr:uid="{00000000-0005-0000-0000-0000F1700000}"/>
    <cellStyle name="Normal 20 9 3 3" xfId="29672" xr:uid="{00000000-0005-0000-0000-0000F2700000}"/>
    <cellStyle name="Normal 20 9 3 4" xfId="29673" xr:uid="{00000000-0005-0000-0000-0000F3700000}"/>
    <cellStyle name="Normal 20 9 3 5" xfId="29674" xr:uid="{00000000-0005-0000-0000-0000F4700000}"/>
    <cellStyle name="Normal 20 9 3 6" xfId="29675" xr:uid="{00000000-0005-0000-0000-0000F5700000}"/>
    <cellStyle name="Normal 20 9 4" xfId="29676" xr:uid="{00000000-0005-0000-0000-0000F6700000}"/>
    <cellStyle name="Normal 20 9 4 2" xfId="29677" xr:uid="{00000000-0005-0000-0000-0000F7700000}"/>
    <cellStyle name="Normal 20 9 4 3" xfId="29678" xr:uid="{00000000-0005-0000-0000-0000F8700000}"/>
    <cellStyle name="Normal 20 9 4 4" xfId="29679" xr:uid="{00000000-0005-0000-0000-0000F9700000}"/>
    <cellStyle name="Normal 20 9 4 5" xfId="29680" xr:uid="{00000000-0005-0000-0000-0000FA700000}"/>
    <cellStyle name="Normal 20 9 4 6" xfId="29681" xr:uid="{00000000-0005-0000-0000-0000FB700000}"/>
    <cellStyle name="Normal 20 9 5" xfId="29682" xr:uid="{00000000-0005-0000-0000-0000FC700000}"/>
    <cellStyle name="Normal 20 9 5 2" xfId="29683" xr:uid="{00000000-0005-0000-0000-0000FD700000}"/>
    <cellStyle name="Normal 20 9 5 3" xfId="29684" xr:uid="{00000000-0005-0000-0000-0000FE700000}"/>
    <cellStyle name="Normal 20 9 5 4" xfId="29685" xr:uid="{00000000-0005-0000-0000-0000FF700000}"/>
    <cellStyle name="Normal 20 9 5 5" xfId="29686" xr:uid="{00000000-0005-0000-0000-000000710000}"/>
    <cellStyle name="Normal 20 9 5 6" xfId="29687" xr:uid="{00000000-0005-0000-0000-000001710000}"/>
    <cellStyle name="Normal 20 9 6" xfId="29688" xr:uid="{00000000-0005-0000-0000-000002710000}"/>
    <cellStyle name="Normal 20 9 6 2" xfId="29689" xr:uid="{00000000-0005-0000-0000-000003710000}"/>
    <cellStyle name="Normal 20 9 6 3" xfId="29690" xr:uid="{00000000-0005-0000-0000-000004710000}"/>
    <cellStyle name="Normal 20 9 6 4" xfId="29691" xr:uid="{00000000-0005-0000-0000-000005710000}"/>
    <cellStyle name="Normal 20 9 6 5" xfId="29692" xr:uid="{00000000-0005-0000-0000-000006710000}"/>
    <cellStyle name="Normal 20 9 6 6" xfId="29693" xr:uid="{00000000-0005-0000-0000-000007710000}"/>
    <cellStyle name="Normal 20 9 7" xfId="29694" xr:uid="{00000000-0005-0000-0000-000008710000}"/>
    <cellStyle name="Normal 20 9 7 2" xfId="29695" xr:uid="{00000000-0005-0000-0000-000009710000}"/>
    <cellStyle name="Normal 20 9 7 3" xfId="29696" xr:uid="{00000000-0005-0000-0000-00000A710000}"/>
    <cellStyle name="Normal 20 9 7 4" xfId="29697" xr:uid="{00000000-0005-0000-0000-00000B710000}"/>
    <cellStyle name="Normal 20 9 7 5" xfId="29698" xr:uid="{00000000-0005-0000-0000-00000C710000}"/>
    <cellStyle name="Normal 20 9 7 6" xfId="29699" xr:uid="{00000000-0005-0000-0000-00000D710000}"/>
    <cellStyle name="Normal 20 9 8" xfId="29700" xr:uid="{00000000-0005-0000-0000-00000E710000}"/>
    <cellStyle name="Normal 20 9 8 2" xfId="29701" xr:uid="{00000000-0005-0000-0000-00000F710000}"/>
    <cellStyle name="Normal 20 9 8 3" xfId="29702" xr:uid="{00000000-0005-0000-0000-000010710000}"/>
    <cellStyle name="Normal 20 9 8 4" xfId="29703" xr:uid="{00000000-0005-0000-0000-000011710000}"/>
    <cellStyle name="Normal 20 9 8 5" xfId="29704" xr:uid="{00000000-0005-0000-0000-000012710000}"/>
    <cellStyle name="Normal 20 9 8 6" xfId="29705" xr:uid="{00000000-0005-0000-0000-000013710000}"/>
    <cellStyle name="Normal 20 9 9" xfId="29706" xr:uid="{00000000-0005-0000-0000-000014710000}"/>
    <cellStyle name="Normal 21" xfId="1062" xr:uid="{00000000-0005-0000-0000-000015710000}"/>
    <cellStyle name="Normal 21 10" xfId="29707" xr:uid="{00000000-0005-0000-0000-000016710000}"/>
    <cellStyle name="Normal 21 10 10" xfId="29708" xr:uid="{00000000-0005-0000-0000-000017710000}"/>
    <cellStyle name="Normal 21 10 11" xfId="29709" xr:uid="{00000000-0005-0000-0000-000018710000}"/>
    <cellStyle name="Normal 21 10 12" xfId="29710" xr:uid="{00000000-0005-0000-0000-000019710000}"/>
    <cellStyle name="Normal 21 10 13" xfId="29711" xr:uid="{00000000-0005-0000-0000-00001A710000}"/>
    <cellStyle name="Normal 21 10 2" xfId="29712" xr:uid="{00000000-0005-0000-0000-00001B710000}"/>
    <cellStyle name="Normal 21 10 2 2" xfId="29713" xr:uid="{00000000-0005-0000-0000-00001C710000}"/>
    <cellStyle name="Normal 21 10 2 3" xfId="29714" xr:uid="{00000000-0005-0000-0000-00001D710000}"/>
    <cellStyle name="Normal 21 10 2 4" xfId="29715" xr:uid="{00000000-0005-0000-0000-00001E710000}"/>
    <cellStyle name="Normal 21 10 2 5" xfId="29716" xr:uid="{00000000-0005-0000-0000-00001F710000}"/>
    <cellStyle name="Normal 21 10 2 6" xfId="29717" xr:uid="{00000000-0005-0000-0000-000020710000}"/>
    <cellStyle name="Normal 21 10 3" xfId="29718" xr:uid="{00000000-0005-0000-0000-000021710000}"/>
    <cellStyle name="Normal 21 10 3 2" xfId="29719" xr:uid="{00000000-0005-0000-0000-000022710000}"/>
    <cellStyle name="Normal 21 10 3 3" xfId="29720" xr:uid="{00000000-0005-0000-0000-000023710000}"/>
    <cellStyle name="Normal 21 10 3 4" xfId="29721" xr:uid="{00000000-0005-0000-0000-000024710000}"/>
    <cellStyle name="Normal 21 10 3 5" xfId="29722" xr:uid="{00000000-0005-0000-0000-000025710000}"/>
    <cellStyle name="Normal 21 10 3 6" xfId="29723" xr:uid="{00000000-0005-0000-0000-000026710000}"/>
    <cellStyle name="Normal 21 10 4" xfId="29724" xr:uid="{00000000-0005-0000-0000-000027710000}"/>
    <cellStyle name="Normal 21 10 4 2" xfId="29725" xr:uid="{00000000-0005-0000-0000-000028710000}"/>
    <cellStyle name="Normal 21 10 4 3" xfId="29726" xr:uid="{00000000-0005-0000-0000-000029710000}"/>
    <cellStyle name="Normal 21 10 4 4" xfId="29727" xr:uid="{00000000-0005-0000-0000-00002A710000}"/>
    <cellStyle name="Normal 21 10 4 5" xfId="29728" xr:uid="{00000000-0005-0000-0000-00002B710000}"/>
    <cellStyle name="Normal 21 10 4 6" xfId="29729" xr:uid="{00000000-0005-0000-0000-00002C710000}"/>
    <cellStyle name="Normal 21 10 5" xfId="29730" xr:uid="{00000000-0005-0000-0000-00002D710000}"/>
    <cellStyle name="Normal 21 10 5 2" xfId="29731" xr:uid="{00000000-0005-0000-0000-00002E710000}"/>
    <cellStyle name="Normal 21 10 5 3" xfId="29732" xr:uid="{00000000-0005-0000-0000-00002F710000}"/>
    <cellStyle name="Normal 21 10 5 4" xfId="29733" xr:uid="{00000000-0005-0000-0000-000030710000}"/>
    <cellStyle name="Normal 21 10 5 5" xfId="29734" xr:uid="{00000000-0005-0000-0000-000031710000}"/>
    <cellStyle name="Normal 21 10 5 6" xfId="29735" xr:uid="{00000000-0005-0000-0000-000032710000}"/>
    <cellStyle name="Normal 21 10 6" xfId="29736" xr:uid="{00000000-0005-0000-0000-000033710000}"/>
    <cellStyle name="Normal 21 10 6 2" xfId="29737" xr:uid="{00000000-0005-0000-0000-000034710000}"/>
    <cellStyle name="Normal 21 10 6 3" xfId="29738" xr:uid="{00000000-0005-0000-0000-000035710000}"/>
    <cellStyle name="Normal 21 10 6 4" xfId="29739" xr:uid="{00000000-0005-0000-0000-000036710000}"/>
    <cellStyle name="Normal 21 10 6 5" xfId="29740" xr:uid="{00000000-0005-0000-0000-000037710000}"/>
    <cellStyle name="Normal 21 10 6 6" xfId="29741" xr:uid="{00000000-0005-0000-0000-000038710000}"/>
    <cellStyle name="Normal 21 10 7" xfId="29742" xr:uid="{00000000-0005-0000-0000-000039710000}"/>
    <cellStyle name="Normal 21 10 7 2" xfId="29743" xr:uid="{00000000-0005-0000-0000-00003A710000}"/>
    <cellStyle name="Normal 21 10 7 3" xfId="29744" xr:uid="{00000000-0005-0000-0000-00003B710000}"/>
    <cellStyle name="Normal 21 10 7 4" xfId="29745" xr:uid="{00000000-0005-0000-0000-00003C710000}"/>
    <cellStyle name="Normal 21 10 7 5" xfId="29746" xr:uid="{00000000-0005-0000-0000-00003D710000}"/>
    <cellStyle name="Normal 21 10 7 6" xfId="29747" xr:uid="{00000000-0005-0000-0000-00003E710000}"/>
    <cellStyle name="Normal 21 10 8" xfId="29748" xr:uid="{00000000-0005-0000-0000-00003F710000}"/>
    <cellStyle name="Normal 21 10 8 2" xfId="29749" xr:uid="{00000000-0005-0000-0000-000040710000}"/>
    <cellStyle name="Normal 21 10 8 3" xfId="29750" xr:uid="{00000000-0005-0000-0000-000041710000}"/>
    <cellStyle name="Normal 21 10 8 4" xfId="29751" xr:uid="{00000000-0005-0000-0000-000042710000}"/>
    <cellStyle name="Normal 21 10 8 5" xfId="29752" xr:uid="{00000000-0005-0000-0000-000043710000}"/>
    <cellStyle name="Normal 21 10 8 6" xfId="29753" xr:uid="{00000000-0005-0000-0000-000044710000}"/>
    <cellStyle name="Normal 21 10 9" xfId="29754" xr:uid="{00000000-0005-0000-0000-000045710000}"/>
    <cellStyle name="Normal 21 11" xfId="29755" xr:uid="{00000000-0005-0000-0000-000046710000}"/>
    <cellStyle name="Normal 21 11 10" xfId="29756" xr:uid="{00000000-0005-0000-0000-000047710000}"/>
    <cellStyle name="Normal 21 11 11" xfId="29757" xr:uid="{00000000-0005-0000-0000-000048710000}"/>
    <cellStyle name="Normal 21 11 12" xfId="29758" xr:uid="{00000000-0005-0000-0000-000049710000}"/>
    <cellStyle name="Normal 21 11 13" xfId="29759" xr:uid="{00000000-0005-0000-0000-00004A710000}"/>
    <cellStyle name="Normal 21 11 2" xfId="29760" xr:uid="{00000000-0005-0000-0000-00004B710000}"/>
    <cellStyle name="Normal 21 11 2 2" xfId="29761" xr:uid="{00000000-0005-0000-0000-00004C710000}"/>
    <cellStyle name="Normal 21 11 2 3" xfId="29762" xr:uid="{00000000-0005-0000-0000-00004D710000}"/>
    <cellStyle name="Normal 21 11 2 4" xfId="29763" xr:uid="{00000000-0005-0000-0000-00004E710000}"/>
    <cellStyle name="Normal 21 11 2 5" xfId="29764" xr:uid="{00000000-0005-0000-0000-00004F710000}"/>
    <cellStyle name="Normal 21 11 2 6" xfId="29765" xr:uid="{00000000-0005-0000-0000-000050710000}"/>
    <cellStyle name="Normal 21 11 3" xfId="29766" xr:uid="{00000000-0005-0000-0000-000051710000}"/>
    <cellStyle name="Normal 21 11 3 2" xfId="29767" xr:uid="{00000000-0005-0000-0000-000052710000}"/>
    <cellStyle name="Normal 21 11 3 3" xfId="29768" xr:uid="{00000000-0005-0000-0000-000053710000}"/>
    <cellStyle name="Normal 21 11 3 4" xfId="29769" xr:uid="{00000000-0005-0000-0000-000054710000}"/>
    <cellStyle name="Normal 21 11 3 5" xfId="29770" xr:uid="{00000000-0005-0000-0000-000055710000}"/>
    <cellStyle name="Normal 21 11 3 6" xfId="29771" xr:uid="{00000000-0005-0000-0000-000056710000}"/>
    <cellStyle name="Normal 21 11 4" xfId="29772" xr:uid="{00000000-0005-0000-0000-000057710000}"/>
    <cellStyle name="Normal 21 11 4 2" xfId="29773" xr:uid="{00000000-0005-0000-0000-000058710000}"/>
    <cellStyle name="Normal 21 11 4 3" xfId="29774" xr:uid="{00000000-0005-0000-0000-000059710000}"/>
    <cellStyle name="Normal 21 11 4 4" xfId="29775" xr:uid="{00000000-0005-0000-0000-00005A710000}"/>
    <cellStyle name="Normal 21 11 4 5" xfId="29776" xr:uid="{00000000-0005-0000-0000-00005B710000}"/>
    <cellStyle name="Normal 21 11 4 6" xfId="29777" xr:uid="{00000000-0005-0000-0000-00005C710000}"/>
    <cellStyle name="Normal 21 11 5" xfId="29778" xr:uid="{00000000-0005-0000-0000-00005D710000}"/>
    <cellStyle name="Normal 21 11 5 2" xfId="29779" xr:uid="{00000000-0005-0000-0000-00005E710000}"/>
    <cellStyle name="Normal 21 11 5 3" xfId="29780" xr:uid="{00000000-0005-0000-0000-00005F710000}"/>
    <cellStyle name="Normal 21 11 5 4" xfId="29781" xr:uid="{00000000-0005-0000-0000-000060710000}"/>
    <cellStyle name="Normal 21 11 5 5" xfId="29782" xr:uid="{00000000-0005-0000-0000-000061710000}"/>
    <cellStyle name="Normal 21 11 5 6" xfId="29783" xr:uid="{00000000-0005-0000-0000-000062710000}"/>
    <cellStyle name="Normal 21 11 6" xfId="29784" xr:uid="{00000000-0005-0000-0000-000063710000}"/>
    <cellStyle name="Normal 21 11 6 2" xfId="29785" xr:uid="{00000000-0005-0000-0000-000064710000}"/>
    <cellStyle name="Normal 21 11 6 3" xfId="29786" xr:uid="{00000000-0005-0000-0000-000065710000}"/>
    <cellStyle name="Normal 21 11 6 4" xfId="29787" xr:uid="{00000000-0005-0000-0000-000066710000}"/>
    <cellStyle name="Normal 21 11 6 5" xfId="29788" xr:uid="{00000000-0005-0000-0000-000067710000}"/>
    <cellStyle name="Normal 21 11 6 6" xfId="29789" xr:uid="{00000000-0005-0000-0000-000068710000}"/>
    <cellStyle name="Normal 21 11 7" xfId="29790" xr:uid="{00000000-0005-0000-0000-000069710000}"/>
    <cellStyle name="Normal 21 11 7 2" xfId="29791" xr:uid="{00000000-0005-0000-0000-00006A710000}"/>
    <cellStyle name="Normal 21 11 7 3" xfId="29792" xr:uid="{00000000-0005-0000-0000-00006B710000}"/>
    <cellStyle name="Normal 21 11 7 4" xfId="29793" xr:uid="{00000000-0005-0000-0000-00006C710000}"/>
    <cellStyle name="Normal 21 11 7 5" xfId="29794" xr:uid="{00000000-0005-0000-0000-00006D710000}"/>
    <cellStyle name="Normal 21 11 7 6" xfId="29795" xr:uid="{00000000-0005-0000-0000-00006E710000}"/>
    <cellStyle name="Normal 21 11 8" xfId="29796" xr:uid="{00000000-0005-0000-0000-00006F710000}"/>
    <cellStyle name="Normal 21 11 8 2" xfId="29797" xr:uid="{00000000-0005-0000-0000-000070710000}"/>
    <cellStyle name="Normal 21 11 8 3" xfId="29798" xr:uid="{00000000-0005-0000-0000-000071710000}"/>
    <cellStyle name="Normal 21 11 8 4" xfId="29799" xr:uid="{00000000-0005-0000-0000-000072710000}"/>
    <cellStyle name="Normal 21 11 8 5" xfId="29800" xr:uid="{00000000-0005-0000-0000-000073710000}"/>
    <cellStyle name="Normal 21 11 8 6" xfId="29801" xr:uid="{00000000-0005-0000-0000-000074710000}"/>
    <cellStyle name="Normal 21 11 9" xfId="29802" xr:uid="{00000000-0005-0000-0000-000075710000}"/>
    <cellStyle name="Normal 21 12" xfId="29803" xr:uid="{00000000-0005-0000-0000-000076710000}"/>
    <cellStyle name="Normal 21 12 10" xfId="29804" xr:uid="{00000000-0005-0000-0000-000077710000}"/>
    <cellStyle name="Normal 21 12 11" xfId="29805" xr:uid="{00000000-0005-0000-0000-000078710000}"/>
    <cellStyle name="Normal 21 12 12" xfId="29806" xr:uid="{00000000-0005-0000-0000-000079710000}"/>
    <cellStyle name="Normal 21 12 13" xfId="29807" xr:uid="{00000000-0005-0000-0000-00007A710000}"/>
    <cellStyle name="Normal 21 12 2" xfId="29808" xr:uid="{00000000-0005-0000-0000-00007B710000}"/>
    <cellStyle name="Normal 21 12 2 2" xfId="29809" xr:uid="{00000000-0005-0000-0000-00007C710000}"/>
    <cellStyle name="Normal 21 12 2 3" xfId="29810" xr:uid="{00000000-0005-0000-0000-00007D710000}"/>
    <cellStyle name="Normal 21 12 2 4" xfId="29811" xr:uid="{00000000-0005-0000-0000-00007E710000}"/>
    <cellStyle name="Normal 21 12 2 5" xfId="29812" xr:uid="{00000000-0005-0000-0000-00007F710000}"/>
    <cellStyle name="Normal 21 12 2 6" xfId="29813" xr:uid="{00000000-0005-0000-0000-000080710000}"/>
    <cellStyle name="Normal 21 12 3" xfId="29814" xr:uid="{00000000-0005-0000-0000-000081710000}"/>
    <cellStyle name="Normal 21 12 3 2" xfId="29815" xr:uid="{00000000-0005-0000-0000-000082710000}"/>
    <cellStyle name="Normal 21 12 3 3" xfId="29816" xr:uid="{00000000-0005-0000-0000-000083710000}"/>
    <cellStyle name="Normal 21 12 3 4" xfId="29817" xr:uid="{00000000-0005-0000-0000-000084710000}"/>
    <cellStyle name="Normal 21 12 3 5" xfId="29818" xr:uid="{00000000-0005-0000-0000-000085710000}"/>
    <cellStyle name="Normal 21 12 3 6" xfId="29819" xr:uid="{00000000-0005-0000-0000-000086710000}"/>
    <cellStyle name="Normal 21 12 4" xfId="29820" xr:uid="{00000000-0005-0000-0000-000087710000}"/>
    <cellStyle name="Normal 21 12 4 2" xfId="29821" xr:uid="{00000000-0005-0000-0000-000088710000}"/>
    <cellStyle name="Normal 21 12 4 3" xfId="29822" xr:uid="{00000000-0005-0000-0000-000089710000}"/>
    <cellStyle name="Normal 21 12 4 4" xfId="29823" xr:uid="{00000000-0005-0000-0000-00008A710000}"/>
    <cellStyle name="Normal 21 12 4 5" xfId="29824" xr:uid="{00000000-0005-0000-0000-00008B710000}"/>
    <cellStyle name="Normal 21 12 4 6" xfId="29825" xr:uid="{00000000-0005-0000-0000-00008C710000}"/>
    <cellStyle name="Normal 21 12 5" xfId="29826" xr:uid="{00000000-0005-0000-0000-00008D710000}"/>
    <cellStyle name="Normal 21 12 5 2" xfId="29827" xr:uid="{00000000-0005-0000-0000-00008E710000}"/>
    <cellStyle name="Normal 21 12 5 3" xfId="29828" xr:uid="{00000000-0005-0000-0000-00008F710000}"/>
    <cellStyle name="Normal 21 12 5 4" xfId="29829" xr:uid="{00000000-0005-0000-0000-000090710000}"/>
    <cellStyle name="Normal 21 12 5 5" xfId="29830" xr:uid="{00000000-0005-0000-0000-000091710000}"/>
    <cellStyle name="Normal 21 12 5 6" xfId="29831" xr:uid="{00000000-0005-0000-0000-000092710000}"/>
    <cellStyle name="Normal 21 12 6" xfId="29832" xr:uid="{00000000-0005-0000-0000-000093710000}"/>
    <cellStyle name="Normal 21 12 6 2" xfId="29833" xr:uid="{00000000-0005-0000-0000-000094710000}"/>
    <cellStyle name="Normal 21 12 6 3" xfId="29834" xr:uid="{00000000-0005-0000-0000-000095710000}"/>
    <cellStyle name="Normal 21 12 6 4" xfId="29835" xr:uid="{00000000-0005-0000-0000-000096710000}"/>
    <cellStyle name="Normal 21 12 6 5" xfId="29836" xr:uid="{00000000-0005-0000-0000-000097710000}"/>
    <cellStyle name="Normal 21 12 6 6" xfId="29837" xr:uid="{00000000-0005-0000-0000-000098710000}"/>
    <cellStyle name="Normal 21 12 7" xfId="29838" xr:uid="{00000000-0005-0000-0000-000099710000}"/>
    <cellStyle name="Normal 21 12 7 2" xfId="29839" xr:uid="{00000000-0005-0000-0000-00009A710000}"/>
    <cellStyle name="Normal 21 12 7 3" xfId="29840" xr:uid="{00000000-0005-0000-0000-00009B710000}"/>
    <cellStyle name="Normal 21 12 7 4" xfId="29841" xr:uid="{00000000-0005-0000-0000-00009C710000}"/>
    <cellStyle name="Normal 21 12 7 5" xfId="29842" xr:uid="{00000000-0005-0000-0000-00009D710000}"/>
    <cellStyle name="Normal 21 12 7 6" xfId="29843" xr:uid="{00000000-0005-0000-0000-00009E710000}"/>
    <cellStyle name="Normal 21 12 8" xfId="29844" xr:uid="{00000000-0005-0000-0000-00009F710000}"/>
    <cellStyle name="Normal 21 12 8 2" xfId="29845" xr:uid="{00000000-0005-0000-0000-0000A0710000}"/>
    <cellStyle name="Normal 21 12 8 3" xfId="29846" xr:uid="{00000000-0005-0000-0000-0000A1710000}"/>
    <cellStyle name="Normal 21 12 8 4" xfId="29847" xr:uid="{00000000-0005-0000-0000-0000A2710000}"/>
    <cellStyle name="Normal 21 12 8 5" xfId="29848" xr:uid="{00000000-0005-0000-0000-0000A3710000}"/>
    <cellStyle name="Normal 21 12 8 6" xfId="29849" xr:uid="{00000000-0005-0000-0000-0000A4710000}"/>
    <cellStyle name="Normal 21 12 9" xfId="29850" xr:uid="{00000000-0005-0000-0000-0000A5710000}"/>
    <cellStyle name="Normal 21 13" xfId="29851" xr:uid="{00000000-0005-0000-0000-0000A6710000}"/>
    <cellStyle name="Normal 21 13 10" xfId="29852" xr:uid="{00000000-0005-0000-0000-0000A7710000}"/>
    <cellStyle name="Normal 21 13 11" xfId="29853" xr:uid="{00000000-0005-0000-0000-0000A8710000}"/>
    <cellStyle name="Normal 21 13 12" xfId="29854" xr:uid="{00000000-0005-0000-0000-0000A9710000}"/>
    <cellStyle name="Normal 21 13 13" xfId="29855" xr:uid="{00000000-0005-0000-0000-0000AA710000}"/>
    <cellStyle name="Normal 21 13 2" xfId="29856" xr:uid="{00000000-0005-0000-0000-0000AB710000}"/>
    <cellStyle name="Normal 21 13 2 2" xfId="29857" xr:uid="{00000000-0005-0000-0000-0000AC710000}"/>
    <cellStyle name="Normal 21 13 2 3" xfId="29858" xr:uid="{00000000-0005-0000-0000-0000AD710000}"/>
    <cellStyle name="Normal 21 13 2 4" xfId="29859" xr:uid="{00000000-0005-0000-0000-0000AE710000}"/>
    <cellStyle name="Normal 21 13 2 5" xfId="29860" xr:uid="{00000000-0005-0000-0000-0000AF710000}"/>
    <cellStyle name="Normal 21 13 2 6" xfId="29861" xr:uid="{00000000-0005-0000-0000-0000B0710000}"/>
    <cellStyle name="Normal 21 13 3" xfId="29862" xr:uid="{00000000-0005-0000-0000-0000B1710000}"/>
    <cellStyle name="Normal 21 13 3 2" xfId="29863" xr:uid="{00000000-0005-0000-0000-0000B2710000}"/>
    <cellStyle name="Normal 21 13 3 3" xfId="29864" xr:uid="{00000000-0005-0000-0000-0000B3710000}"/>
    <cellStyle name="Normal 21 13 3 4" xfId="29865" xr:uid="{00000000-0005-0000-0000-0000B4710000}"/>
    <cellStyle name="Normal 21 13 3 5" xfId="29866" xr:uid="{00000000-0005-0000-0000-0000B5710000}"/>
    <cellStyle name="Normal 21 13 3 6" xfId="29867" xr:uid="{00000000-0005-0000-0000-0000B6710000}"/>
    <cellStyle name="Normal 21 13 4" xfId="29868" xr:uid="{00000000-0005-0000-0000-0000B7710000}"/>
    <cellStyle name="Normal 21 13 4 2" xfId="29869" xr:uid="{00000000-0005-0000-0000-0000B8710000}"/>
    <cellStyle name="Normal 21 13 4 3" xfId="29870" xr:uid="{00000000-0005-0000-0000-0000B9710000}"/>
    <cellStyle name="Normal 21 13 4 4" xfId="29871" xr:uid="{00000000-0005-0000-0000-0000BA710000}"/>
    <cellStyle name="Normal 21 13 4 5" xfId="29872" xr:uid="{00000000-0005-0000-0000-0000BB710000}"/>
    <cellStyle name="Normal 21 13 4 6" xfId="29873" xr:uid="{00000000-0005-0000-0000-0000BC710000}"/>
    <cellStyle name="Normal 21 13 5" xfId="29874" xr:uid="{00000000-0005-0000-0000-0000BD710000}"/>
    <cellStyle name="Normal 21 13 5 2" xfId="29875" xr:uid="{00000000-0005-0000-0000-0000BE710000}"/>
    <cellStyle name="Normal 21 13 5 3" xfId="29876" xr:uid="{00000000-0005-0000-0000-0000BF710000}"/>
    <cellStyle name="Normal 21 13 5 4" xfId="29877" xr:uid="{00000000-0005-0000-0000-0000C0710000}"/>
    <cellStyle name="Normal 21 13 5 5" xfId="29878" xr:uid="{00000000-0005-0000-0000-0000C1710000}"/>
    <cellStyle name="Normal 21 13 5 6" xfId="29879" xr:uid="{00000000-0005-0000-0000-0000C2710000}"/>
    <cellStyle name="Normal 21 13 6" xfId="29880" xr:uid="{00000000-0005-0000-0000-0000C3710000}"/>
    <cellStyle name="Normal 21 13 6 2" xfId="29881" xr:uid="{00000000-0005-0000-0000-0000C4710000}"/>
    <cellStyle name="Normal 21 13 6 3" xfId="29882" xr:uid="{00000000-0005-0000-0000-0000C5710000}"/>
    <cellStyle name="Normal 21 13 6 4" xfId="29883" xr:uid="{00000000-0005-0000-0000-0000C6710000}"/>
    <cellStyle name="Normal 21 13 6 5" xfId="29884" xr:uid="{00000000-0005-0000-0000-0000C7710000}"/>
    <cellStyle name="Normal 21 13 6 6" xfId="29885" xr:uid="{00000000-0005-0000-0000-0000C8710000}"/>
    <cellStyle name="Normal 21 13 7" xfId="29886" xr:uid="{00000000-0005-0000-0000-0000C9710000}"/>
    <cellStyle name="Normal 21 13 7 2" xfId="29887" xr:uid="{00000000-0005-0000-0000-0000CA710000}"/>
    <cellStyle name="Normal 21 13 7 3" xfId="29888" xr:uid="{00000000-0005-0000-0000-0000CB710000}"/>
    <cellStyle name="Normal 21 13 7 4" xfId="29889" xr:uid="{00000000-0005-0000-0000-0000CC710000}"/>
    <cellStyle name="Normal 21 13 7 5" xfId="29890" xr:uid="{00000000-0005-0000-0000-0000CD710000}"/>
    <cellStyle name="Normal 21 13 7 6" xfId="29891" xr:uid="{00000000-0005-0000-0000-0000CE710000}"/>
    <cellStyle name="Normal 21 13 8" xfId="29892" xr:uid="{00000000-0005-0000-0000-0000CF710000}"/>
    <cellStyle name="Normal 21 13 8 2" xfId="29893" xr:uid="{00000000-0005-0000-0000-0000D0710000}"/>
    <cellStyle name="Normal 21 13 8 3" xfId="29894" xr:uid="{00000000-0005-0000-0000-0000D1710000}"/>
    <cellStyle name="Normal 21 13 8 4" xfId="29895" xr:uid="{00000000-0005-0000-0000-0000D2710000}"/>
    <cellStyle name="Normal 21 13 8 5" xfId="29896" xr:uid="{00000000-0005-0000-0000-0000D3710000}"/>
    <cellStyle name="Normal 21 13 8 6" xfId="29897" xr:uid="{00000000-0005-0000-0000-0000D4710000}"/>
    <cellStyle name="Normal 21 13 9" xfId="29898" xr:uid="{00000000-0005-0000-0000-0000D5710000}"/>
    <cellStyle name="Normal 21 14" xfId="29899" xr:uid="{00000000-0005-0000-0000-0000D6710000}"/>
    <cellStyle name="Normal 21 14 10" xfId="29900" xr:uid="{00000000-0005-0000-0000-0000D7710000}"/>
    <cellStyle name="Normal 21 14 11" xfId="29901" xr:uid="{00000000-0005-0000-0000-0000D8710000}"/>
    <cellStyle name="Normal 21 14 12" xfId="29902" xr:uid="{00000000-0005-0000-0000-0000D9710000}"/>
    <cellStyle name="Normal 21 14 13" xfId="29903" xr:uid="{00000000-0005-0000-0000-0000DA710000}"/>
    <cellStyle name="Normal 21 14 2" xfId="29904" xr:uid="{00000000-0005-0000-0000-0000DB710000}"/>
    <cellStyle name="Normal 21 14 2 2" xfId="29905" xr:uid="{00000000-0005-0000-0000-0000DC710000}"/>
    <cellStyle name="Normal 21 14 2 3" xfId="29906" xr:uid="{00000000-0005-0000-0000-0000DD710000}"/>
    <cellStyle name="Normal 21 14 2 4" xfId="29907" xr:uid="{00000000-0005-0000-0000-0000DE710000}"/>
    <cellStyle name="Normal 21 14 2 5" xfId="29908" xr:uid="{00000000-0005-0000-0000-0000DF710000}"/>
    <cellStyle name="Normal 21 14 2 6" xfId="29909" xr:uid="{00000000-0005-0000-0000-0000E0710000}"/>
    <cellStyle name="Normal 21 14 3" xfId="29910" xr:uid="{00000000-0005-0000-0000-0000E1710000}"/>
    <cellStyle name="Normal 21 14 3 2" xfId="29911" xr:uid="{00000000-0005-0000-0000-0000E2710000}"/>
    <cellStyle name="Normal 21 14 3 3" xfId="29912" xr:uid="{00000000-0005-0000-0000-0000E3710000}"/>
    <cellStyle name="Normal 21 14 3 4" xfId="29913" xr:uid="{00000000-0005-0000-0000-0000E4710000}"/>
    <cellStyle name="Normal 21 14 3 5" xfId="29914" xr:uid="{00000000-0005-0000-0000-0000E5710000}"/>
    <cellStyle name="Normal 21 14 3 6" xfId="29915" xr:uid="{00000000-0005-0000-0000-0000E6710000}"/>
    <cellStyle name="Normal 21 14 4" xfId="29916" xr:uid="{00000000-0005-0000-0000-0000E7710000}"/>
    <cellStyle name="Normal 21 14 4 2" xfId="29917" xr:uid="{00000000-0005-0000-0000-0000E8710000}"/>
    <cellStyle name="Normal 21 14 4 3" xfId="29918" xr:uid="{00000000-0005-0000-0000-0000E9710000}"/>
    <cellStyle name="Normal 21 14 4 4" xfId="29919" xr:uid="{00000000-0005-0000-0000-0000EA710000}"/>
    <cellStyle name="Normal 21 14 4 5" xfId="29920" xr:uid="{00000000-0005-0000-0000-0000EB710000}"/>
    <cellStyle name="Normal 21 14 4 6" xfId="29921" xr:uid="{00000000-0005-0000-0000-0000EC710000}"/>
    <cellStyle name="Normal 21 14 5" xfId="29922" xr:uid="{00000000-0005-0000-0000-0000ED710000}"/>
    <cellStyle name="Normal 21 14 5 2" xfId="29923" xr:uid="{00000000-0005-0000-0000-0000EE710000}"/>
    <cellStyle name="Normal 21 14 5 3" xfId="29924" xr:uid="{00000000-0005-0000-0000-0000EF710000}"/>
    <cellStyle name="Normal 21 14 5 4" xfId="29925" xr:uid="{00000000-0005-0000-0000-0000F0710000}"/>
    <cellStyle name="Normal 21 14 5 5" xfId="29926" xr:uid="{00000000-0005-0000-0000-0000F1710000}"/>
    <cellStyle name="Normal 21 14 5 6" xfId="29927" xr:uid="{00000000-0005-0000-0000-0000F2710000}"/>
    <cellStyle name="Normal 21 14 6" xfId="29928" xr:uid="{00000000-0005-0000-0000-0000F3710000}"/>
    <cellStyle name="Normal 21 14 6 2" xfId="29929" xr:uid="{00000000-0005-0000-0000-0000F4710000}"/>
    <cellStyle name="Normal 21 14 6 3" xfId="29930" xr:uid="{00000000-0005-0000-0000-0000F5710000}"/>
    <cellStyle name="Normal 21 14 6 4" xfId="29931" xr:uid="{00000000-0005-0000-0000-0000F6710000}"/>
    <cellStyle name="Normal 21 14 6 5" xfId="29932" xr:uid="{00000000-0005-0000-0000-0000F7710000}"/>
    <cellStyle name="Normal 21 14 6 6" xfId="29933" xr:uid="{00000000-0005-0000-0000-0000F8710000}"/>
    <cellStyle name="Normal 21 14 7" xfId="29934" xr:uid="{00000000-0005-0000-0000-0000F9710000}"/>
    <cellStyle name="Normal 21 14 7 2" xfId="29935" xr:uid="{00000000-0005-0000-0000-0000FA710000}"/>
    <cellStyle name="Normal 21 14 7 3" xfId="29936" xr:uid="{00000000-0005-0000-0000-0000FB710000}"/>
    <cellStyle name="Normal 21 14 7 4" xfId="29937" xr:uid="{00000000-0005-0000-0000-0000FC710000}"/>
    <cellStyle name="Normal 21 14 7 5" xfId="29938" xr:uid="{00000000-0005-0000-0000-0000FD710000}"/>
    <cellStyle name="Normal 21 14 7 6" xfId="29939" xr:uid="{00000000-0005-0000-0000-0000FE710000}"/>
    <cellStyle name="Normal 21 14 8" xfId="29940" xr:uid="{00000000-0005-0000-0000-0000FF710000}"/>
    <cellStyle name="Normal 21 14 8 2" xfId="29941" xr:uid="{00000000-0005-0000-0000-000000720000}"/>
    <cellStyle name="Normal 21 14 8 3" xfId="29942" xr:uid="{00000000-0005-0000-0000-000001720000}"/>
    <cellStyle name="Normal 21 14 8 4" xfId="29943" xr:uid="{00000000-0005-0000-0000-000002720000}"/>
    <cellStyle name="Normal 21 14 8 5" xfId="29944" xr:uid="{00000000-0005-0000-0000-000003720000}"/>
    <cellStyle name="Normal 21 14 8 6" xfId="29945" xr:uid="{00000000-0005-0000-0000-000004720000}"/>
    <cellStyle name="Normal 21 14 9" xfId="29946" xr:uid="{00000000-0005-0000-0000-000005720000}"/>
    <cellStyle name="Normal 21 15" xfId="29947" xr:uid="{00000000-0005-0000-0000-000006720000}"/>
    <cellStyle name="Normal 21 15 10" xfId="29948" xr:uid="{00000000-0005-0000-0000-000007720000}"/>
    <cellStyle name="Normal 21 15 11" xfId="29949" xr:uid="{00000000-0005-0000-0000-000008720000}"/>
    <cellStyle name="Normal 21 15 12" xfId="29950" xr:uid="{00000000-0005-0000-0000-000009720000}"/>
    <cellStyle name="Normal 21 15 13" xfId="29951" xr:uid="{00000000-0005-0000-0000-00000A720000}"/>
    <cellStyle name="Normal 21 15 2" xfId="29952" xr:uid="{00000000-0005-0000-0000-00000B720000}"/>
    <cellStyle name="Normal 21 15 2 2" xfId="29953" xr:uid="{00000000-0005-0000-0000-00000C720000}"/>
    <cellStyle name="Normal 21 15 2 3" xfId="29954" xr:uid="{00000000-0005-0000-0000-00000D720000}"/>
    <cellStyle name="Normal 21 15 2 4" xfId="29955" xr:uid="{00000000-0005-0000-0000-00000E720000}"/>
    <cellStyle name="Normal 21 15 2 5" xfId="29956" xr:uid="{00000000-0005-0000-0000-00000F720000}"/>
    <cellStyle name="Normal 21 15 2 6" xfId="29957" xr:uid="{00000000-0005-0000-0000-000010720000}"/>
    <cellStyle name="Normal 21 15 3" xfId="29958" xr:uid="{00000000-0005-0000-0000-000011720000}"/>
    <cellStyle name="Normal 21 15 3 2" xfId="29959" xr:uid="{00000000-0005-0000-0000-000012720000}"/>
    <cellStyle name="Normal 21 15 3 3" xfId="29960" xr:uid="{00000000-0005-0000-0000-000013720000}"/>
    <cellStyle name="Normal 21 15 3 4" xfId="29961" xr:uid="{00000000-0005-0000-0000-000014720000}"/>
    <cellStyle name="Normal 21 15 3 5" xfId="29962" xr:uid="{00000000-0005-0000-0000-000015720000}"/>
    <cellStyle name="Normal 21 15 3 6" xfId="29963" xr:uid="{00000000-0005-0000-0000-000016720000}"/>
    <cellStyle name="Normal 21 15 4" xfId="29964" xr:uid="{00000000-0005-0000-0000-000017720000}"/>
    <cellStyle name="Normal 21 15 4 2" xfId="29965" xr:uid="{00000000-0005-0000-0000-000018720000}"/>
    <cellStyle name="Normal 21 15 4 3" xfId="29966" xr:uid="{00000000-0005-0000-0000-000019720000}"/>
    <cellStyle name="Normal 21 15 4 4" xfId="29967" xr:uid="{00000000-0005-0000-0000-00001A720000}"/>
    <cellStyle name="Normal 21 15 4 5" xfId="29968" xr:uid="{00000000-0005-0000-0000-00001B720000}"/>
    <cellStyle name="Normal 21 15 4 6" xfId="29969" xr:uid="{00000000-0005-0000-0000-00001C720000}"/>
    <cellStyle name="Normal 21 15 5" xfId="29970" xr:uid="{00000000-0005-0000-0000-00001D720000}"/>
    <cellStyle name="Normal 21 15 5 2" xfId="29971" xr:uid="{00000000-0005-0000-0000-00001E720000}"/>
    <cellStyle name="Normal 21 15 5 3" xfId="29972" xr:uid="{00000000-0005-0000-0000-00001F720000}"/>
    <cellStyle name="Normal 21 15 5 4" xfId="29973" xr:uid="{00000000-0005-0000-0000-000020720000}"/>
    <cellStyle name="Normal 21 15 5 5" xfId="29974" xr:uid="{00000000-0005-0000-0000-000021720000}"/>
    <cellStyle name="Normal 21 15 5 6" xfId="29975" xr:uid="{00000000-0005-0000-0000-000022720000}"/>
    <cellStyle name="Normal 21 15 6" xfId="29976" xr:uid="{00000000-0005-0000-0000-000023720000}"/>
    <cellStyle name="Normal 21 15 6 2" xfId="29977" xr:uid="{00000000-0005-0000-0000-000024720000}"/>
    <cellStyle name="Normal 21 15 6 3" xfId="29978" xr:uid="{00000000-0005-0000-0000-000025720000}"/>
    <cellStyle name="Normal 21 15 6 4" xfId="29979" xr:uid="{00000000-0005-0000-0000-000026720000}"/>
    <cellStyle name="Normal 21 15 6 5" xfId="29980" xr:uid="{00000000-0005-0000-0000-000027720000}"/>
    <cellStyle name="Normal 21 15 6 6" xfId="29981" xr:uid="{00000000-0005-0000-0000-000028720000}"/>
    <cellStyle name="Normal 21 15 7" xfId="29982" xr:uid="{00000000-0005-0000-0000-000029720000}"/>
    <cellStyle name="Normal 21 15 7 2" xfId="29983" xr:uid="{00000000-0005-0000-0000-00002A720000}"/>
    <cellStyle name="Normal 21 15 7 3" xfId="29984" xr:uid="{00000000-0005-0000-0000-00002B720000}"/>
    <cellStyle name="Normal 21 15 7 4" xfId="29985" xr:uid="{00000000-0005-0000-0000-00002C720000}"/>
    <cellStyle name="Normal 21 15 7 5" xfId="29986" xr:uid="{00000000-0005-0000-0000-00002D720000}"/>
    <cellStyle name="Normal 21 15 7 6" xfId="29987" xr:uid="{00000000-0005-0000-0000-00002E720000}"/>
    <cellStyle name="Normal 21 15 8" xfId="29988" xr:uid="{00000000-0005-0000-0000-00002F720000}"/>
    <cellStyle name="Normal 21 15 8 2" xfId="29989" xr:uid="{00000000-0005-0000-0000-000030720000}"/>
    <cellStyle name="Normal 21 15 8 3" xfId="29990" xr:uid="{00000000-0005-0000-0000-000031720000}"/>
    <cellStyle name="Normal 21 15 8 4" xfId="29991" xr:uid="{00000000-0005-0000-0000-000032720000}"/>
    <cellStyle name="Normal 21 15 8 5" xfId="29992" xr:uid="{00000000-0005-0000-0000-000033720000}"/>
    <cellStyle name="Normal 21 15 8 6" xfId="29993" xr:uid="{00000000-0005-0000-0000-000034720000}"/>
    <cellStyle name="Normal 21 15 9" xfId="29994" xr:uid="{00000000-0005-0000-0000-000035720000}"/>
    <cellStyle name="Normal 21 16" xfId="29995" xr:uid="{00000000-0005-0000-0000-000036720000}"/>
    <cellStyle name="Normal 21 16 10" xfId="29996" xr:uid="{00000000-0005-0000-0000-000037720000}"/>
    <cellStyle name="Normal 21 16 11" xfId="29997" xr:uid="{00000000-0005-0000-0000-000038720000}"/>
    <cellStyle name="Normal 21 16 12" xfId="29998" xr:uid="{00000000-0005-0000-0000-000039720000}"/>
    <cellStyle name="Normal 21 16 13" xfId="29999" xr:uid="{00000000-0005-0000-0000-00003A720000}"/>
    <cellStyle name="Normal 21 16 2" xfId="30000" xr:uid="{00000000-0005-0000-0000-00003B720000}"/>
    <cellStyle name="Normal 21 16 2 2" xfId="30001" xr:uid="{00000000-0005-0000-0000-00003C720000}"/>
    <cellStyle name="Normal 21 16 2 3" xfId="30002" xr:uid="{00000000-0005-0000-0000-00003D720000}"/>
    <cellStyle name="Normal 21 16 2 4" xfId="30003" xr:uid="{00000000-0005-0000-0000-00003E720000}"/>
    <cellStyle name="Normal 21 16 2 5" xfId="30004" xr:uid="{00000000-0005-0000-0000-00003F720000}"/>
    <cellStyle name="Normal 21 16 2 6" xfId="30005" xr:uid="{00000000-0005-0000-0000-000040720000}"/>
    <cellStyle name="Normal 21 16 3" xfId="30006" xr:uid="{00000000-0005-0000-0000-000041720000}"/>
    <cellStyle name="Normal 21 16 3 2" xfId="30007" xr:uid="{00000000-0005-0000-0000-000042720000}"/>
    <cellStyle name="Normal 21 16 3 3" xfId="30008" xr:uid="{00000000-0005-0000-0000-000043720000}"/>
    <cellStyle name="Normal 21 16 3 4" xfId="30009" xr:uid="{00000000-0005-0000-0000-000044720000}"/>
    <cellStyle name="Normal 21 16 3 5" xfId="30010" xr:uid="{00000000-0005-0000-0000-000045720000}"/>
    <cellStyle name="Normal 21 16 3 6" xfId="30011" xr:uid="{00000000-0005-0000-0000-000046720000}"/>
    <cellStyle name="Normal 21 16 4" xfId="30012" xr:uid="{00000000-0005-0000-0000-000047720000}"/>
    <cellStyle name="Normal 21 16 4 2" xfId="30013" xr:uid="{00000000-0005-0000-0000-000048720000}"/>
    <cellStyle name="Normal 21 16 4 3" xfId="30014" xr:uid="{00000000-0005-0000-0000-000049720000}"/>
    <cellStyle name="Normal 21 16 4 4" xfId="30015" xr:uid="{00000000-0005-0000-0000-00004A720000}"/>
    <cellStyle name="Normal 21 16 4 5" xfId="30016" xr:uid="{00000000-0005-0000-0000-00004B720000}"/>
    <cellStyle name="Normal 21 16 4 6" xfId="30017" xr:uid="{00000000-0005-0000-0000-00004C720000}"/>
    <cellStyle name="Normal 21 16 5" xfId="30018" xr:uid="{00000000-0005-0000-0000-00004D720000}"/>
    <cellStyle name="Normal 21 16 5 2" xfId="30019" xr:uid="{00000000-0005-0000-0000-00004E720000}"/>
    <cellStyle name="Normal 21 16 5 3" xfId="30020" xr:uid="{00000000-0005-0000-0000-00004F720000}"/>
    <cellStyle name="Normal 21 16 5 4" xfId="30021" xr:uid="{00000000-0005-0000-0000-000050720000}"/>
    <cellStyle name="Normal 21 16 5 5" xfId="30022" xr:uid="{00000000-0005-0000-0000-000051720000}"/>
    <cellStyle name="Normal 21 16 5 6" xfId="30023" xr:uid="{00000000-0005-0000-0000-000052720000}"/>
    <cellStyle name="Normal 21 16 6" xfId="30024" xr:uid="{00000000-0005-0000-0000-000053720000}"/>
    <cellStyle name="Normal 21 16 6 2" xfId="30025" xr:uid="{00000000-0005-0000-0000-000054720000}"/>
    <cellStyle name="Normal 21 16 6 3" xfId="30026" xr:uid="{00000000-0005-0000-0000-000055720000}"/>
    <cellStyle name="Normal 21 16 6 4" xfId="30027" xr:uid="{00000000-0005-0000-0000-000056720000}"/>
    <cellStyle name="Normal 21 16 6 5" xfId="30028" xr:uid="{00000000-0005-0000-0000-000057720000}"/>
    <cellStyle name="Normal 21 16 6 6" xfId="30029" xr:uid="{00000000-0005-0000-0000-000058720000}"/>
    <cellStyle name="Normal 21 16 7" xfId="30030" xr:uid="{00000000-0005-0000-0000-000059720000}"/>
    <cellStyle name="Normal 21 16 7 2" xfId="30031" xr:uid="{00000000-0005-0000-0000-00005A720000}"/>
    <cellStyle name="Normal 21 16 7 3" xfId="30032" xr:uid="{00000000-0005-0000-0000-00005B720000}"/>
    <cellStyle name="Normal 21 16 7 4" xfId="30033" xr:uid="{00000000-0005-0000-0000-00005C720000}"/>
    <cellStyle name="Normal 21 16 7 5" xfId="30034" xr:uid="{00000000-0005-0000-0000-00005D720000}"/>
    <cellStyle name="Normal 21 16 7 6" xfId="30035" xr:uid="{00000000-0005-0000-0000-00005E720000}"/>
    <cellStyle name="Normal 21 16 8" xfId="30036" xr:uid="{00000000-0005-0000-0000-00005F720000}"/>
    <cellStyle name="Normal 21 16 8 2" xfId="30037" xr:uid="{00000000-0005-0000-0000-000060720000}"/>
    <cellStyle name="Normal 21 16 8 3" xfId="30038" xr:uid="{00000000-0005-0000-0000-000061720000}"/>
    <cellStyle name="Normal 21 16 8 4" xfId="30039" xr:uid="{00000000-0005-0000-0000-000062720000}"/>
    <cellStyle name="Normal 21 16 8 5" xfId="30040" xr:uid="{00000000-0005-0000-0000-000063720000}"/>
    <cellStyle name="Normal 21 16 8 6" xfId="30041" xr:uid="{00000000-0005-0000-0000-000064720000}"/>
    <cellStyle name="Normal 21 16 9" xfId="30042" xr:uid="{00000000-0005-0000-0000-000065720000}"/>
    <cellStyle name="Normal 21 17" xfId="30043" xr:uid="{00000000-0005-0000-0000-000066720000}"/>
    <cellStyle name="Normal 21 17 10" xfId="30044" xr:uid="{00000000-0005-0000-0000-000067720000}"/>
    <cellStyle name="Normal 21 17 11" xfId="30045" xr:uid="{00000000-0005-0000-0000-000068720000}"/>
    <cellStyle name="Normal 21 17 12" xfId="30046" xr:uid="{00000000-0005-0000-0000-000069720000}"/>
    <cellStyle name="Normal 21 17 13" xfId="30047" xr:uid="{00000000-0005-0000-0000-00006A720000}"/>
    <cellStyle name="Normal 21 17 2" xfId="30048" xr:uid="{00000000-0005-0000-0000-00006B720000}"/>
    <cellStyle name="Normal 21 17 2 2" xfId="30049" xr:uid="{00000000-0005-0000-0000-00006C720000}"/>
    <cellStyle name="Normal 21 17 2 3" xfId="30050" xr:uid="{00000000-0005-0000-0000-00006D720000}"/>
    <cellStyle name="Normal 21 17 2 4" xfId="30051" xr:uid="{00000000-0005-0000-0000-00006E720000}"/>
    <cellStyle name="Normal 21 17 2 5" xfId="30052" xr:uid="{00000000-0005-0000-0000-00006F720000}"/>
    <cellStyle name="Normal 21 17 2 6" xfId="30053" xr:uid="{00000000-0005-0000-0000-000070720000}"/>
    <cellStyle name="Normal 21 17 3" xfId="30054" xr:uid="{00000000-0005-0000-0000-000071720000}"/>
    <cellStyle name="Normal 21 17 3 2" xfId="30055" xr:uid="{00000000-0005-0000-0000-000072720000}"/>
    <cellStyle name="Normal 21 17 3 3" xfId="30056" xr:uid="{00000000-0005-0000-0000-000073720000}"/>
    <cellStyle name="Normal 21 17 3 4" xfId="30057" xr:uid="{00000000-0005-0000-0000-000074720000}"/>
    <cellStyle name="Normal 21 17 3 5" xfId="30058" xr:uid="{00000000-0005-0000-0000-000075720000}"/>
    <cellStyle name="Normal 21 17 3 6" xfId="30059" xr:uid="{00000000-0005-0000-0000-000076720000}"/>
    <cellStyle name="Normal 21 17 4" xfId="30060" xr:uid="{00000000-0005-0000-0000-000077720000}"/>
    <cellStyle name="Normal 21 17 4 2" xfId="30061" xr:uid="{00000000-0005-0000-0000-000078720000}"/>
    <cellStyle name="Normal 21 17 4 3" xfId="30062" xr:uid="{00000000-0005-0000-0000-000079720000}"/>
    <cellStyle name="Normal 21 17 4 4" xfId="30063" xr:uid="{00000000-0005-0000-0000-00007A720000}"/>
    <cellStyle name="Normal 21 17 4 5" xfId="30064" xr:uid="{00000000-0005-0000-0000-00007B720000}"/>
    <cellStyle name="Normal 21 17 4 6" xfId="30065" xr:uid="{00000000-0005-0000-0000-00007C720000}"/>
    <cellStyle name="Normal 21 17 5" xfId="30066" xr:uid="{00000000-0005-0000-0000-00007D720000}"/>
    <cellStyle name="Normal 21 17 5 2" xfId="30067" xr:uid="{00000000-0005-0000-0000-00007E720000}"/>
    <cellStyle name="Normal 21 17 5 3" xfId="30068" xr:uid="{00000000-0005-0000-0000-00007F720000}"/>
    <cellStyle name="Normal 21 17 5 4" xfId="30069" xr:uid="{00000000-0005-0000-0000-000080720000}"/>
    <cellStyle name="Normal 21 17 5 5" xfId="30070" xr:uid="{00000000-0005-0000-0000-000081720000}"/>
    <cellStyle name="Normal 21 17 5 6" xfId="30071" xr:uid="{00000000-0005-0000-0000-000082720000}"/>
    <cellStyle name="Normal 21 17 6" xfId="30072" xr:uid="{00000000-0005-0000-0000-000083720000}"/>
    <cellStyle name="Normal 21 17 6 2" xfId="30073" xr:uid="{00000000-0005-0000-0000-000084720000}"/>
    <cellStyle name="Normal 21 17 6 3" xfId="30074" xr:uid="{00000000-0005-0000-0000-000085720000}"/>
    <cellStyle name="Normal 21 17 6 4" xfId="30075" xr:uid="{00000000-0005-0000-0000-000086720000}"/>
    <cellStyle name="Normal 21 17 6 5" xfId="30076" xr:uid="{00000000-0005-0000-0000-000087720000}"/>
    <cellStyle name="Normal 21 17 6 6" xfId="30077" xr:uid="{00000000-0005-0000-0000-000088720000}"/>
    <cellStyle name="Normal 21 17 7" xfId="30078" xr:uid="{00000000-0005-0000-0000-000089720000}"/>
    <cellStyle name="Normal 21 17 7 2" xfId="30079" xr:uid="{00000000-0005-0000-0000-00008A720000}"/>
    <cellStyle name="Normal 21 17 7 3" xfId="30080" xr:uid="{00000000-0005-0000-0000-00008B720000}"/>
    <cellStyle name="Normal 21 17 7 4" xfId="30081" xr:uid="{00000000-0005-0000-0000-00008C720000}"/>
    <cellStyle name="Normal 21 17 7 5" xfId="30082" xr:uid="{00000000-0005-0000-0000-00008D720000}"/>
    <cellStyle name="Normal 21 17 7 6" xfId="30083" xr:uid="{00000000-0005-0000-0000-00008E720000}"/>
    <cellStyle name="Normal 21 17 8" xfId="30084" xr:uid="{00000000-0005-0000-0000-00008F720000}"/>
    <cellStyle name="Normal 21 17 8 2" xfId="30085" xr:uid="{00000000-0005-0000-0000-000090720000}"/>
    <cellStyle name="Normal 21 17 8 3" xfId="30086" xr:uid="{00000000-0005-0000-0000-000091720000}"/>
    <cellStyle name="Normal 21 17 8 4" xfId="30087" xr:uid="{00000000-0005-0000-0000-000092720000}"/>
    <cellStyle name="Normal 21 17 8 5" xfId="30088" xr:uid="{00000000-0005-0000-0000-000093720000}"/>
    <cellStyle name="Normal 21 17 8 6" xfId="30089" xr:uid="{00000000-0005-0000-0000-000094720000}"/>
    <cellStyle name="Normal 21 17 9" xfId="30090" xr:uid="{00000000-0005-0000-0000-000095720000}"/>
    <cellStyle name="Normal 21 18" xfId="30091" xr:uid="{00000000-0005-0000-0000-000096720000}"/>
    <cellStyle name="Normal 21 18 10" xfId="30092" xr:uid="{00000000-0005-0000-0000-000097720000}"/>
    <cellStyle name="Normal 21 18 11" xfId="30093" xr:uid="{00000000-0005-0000-0000-000098720000}"/>
    <cellStyle name="Normal 21 18 12" xfId="30094" xr:uid="{00000000-0005-0000-0000-000099720000}"/>
    <cellStyle name="Normal 21 18 13" xfId="30095" xr:uid="{00000000-0005-0000-0000-00009A720000}"/>
    <cellStyle name="Normal 21 18 2" xfId="30096" xr:uid="{00000000-0005-0000-0000-00009B720000}"/>
    <cellStyle name="Normal 21 18 2 2" xfId="30097" xr:uid="{00000000-0005-0000-0000-00009C720000}"/>
    <cellStyle name="Normal 21 18 2 3" xfId="30098" xr:uid="{00000000-0005-0000-0000-00009D720000}"/>
    <cellStyle name="Normal 21 18 2 4" xfId="30099" xr:uid="{00000000-0005-0000-0000-00009E720000}"/>
    <cellStyle name="Normal 21 18 2 5" xfId="30100" xr:uid="{00000000-0005-0000-0000-00009F720000}"/>
    <cellStyle name="Normal 21 18 2 6" xfId="30101" xr:uid="{00000000-0005-0000-0000-0000A0720000}"/>
    <cellStyle name="Normal 21 18 3" xfId="30102" xr:uid="{00000000-0005-0000-0000-0000A1720000}"/>
    <cellStyle name="Normal 21 18 3 2" xfId="30103" xr:uid="{00000000-0005-0000-0000-0000A2720000}"/>
    <cellStyle name="Normal 21 18 3 3" xfId="30104" xr:uid="{00000000-0005-0000-0000-0000A3720000}"/>
    <cellStyle name="Normal 21 18 3 4" xfId="30105" xr:uid="{00000000-0005-0000-0000-0000A4720000}"/>
    <cellStyle name="Normal 21 18 3 5" xfId="30106" xr:uid="{00000000-0005-0000-0000-0000A5720000}"/>
    <cellStyle name="Normal 21 18 3 6" xfId="30107" xr:uid="{00000000-0005-0000-0000-0000A6720000}"/>
    <cellStyle name="Normal 21 18 4" xfId="30108" xr:uid="{00000000-0005-0000-0000-0000A7720000}"/>
    <cellStyle name="Normal 21 18 4 2" xfId="30109" xr:uid="{00000000-0005-0000-0000-0000A8720000}"/>
    <cellStyle name="Normal 21 18 4 3" xfId="30110" xr:uid="{00000000-0005-0000-0000-0000A9720000}"/>
    <cellStyle name="Normal 21 18 4 4" xfId="30111" xr:uid="{00000000-0005-0000-0000-0000AA720000}"/>
    <cellStyle name="Normal 21 18 4 5" xfId="30112" xr:uid="{00000000-0005-0000-0000-0000AB720000}"/>
    <cellStyle name="Normal 21 18 4 6" xfId="30113" xr:uid="{00000000-0005-0000-0000-0000AC720000}"/>
    <cellStyle name="Normal 21 18 5" xfId="30114" xr:uid="{00000000-0005-0000-0000-0000AD720000}"/>
    <cellStyle name="Normal 21 18 5 2" xfId="30115" xr:uid="{00000000-0005-0000-0000-0000AE720000}"/>
    <cellStyle name="Normal 21 18 5 3" xfId="30116" xr:uid="{00000000-0005-0000-0000-0000AF720000}"/>
    <cellStyle name="Normal 21 18 5 4" xfId="30117" xr:uid="{00000000-0005-0000-0000-0000B0720000}"/>
    <cellStyle name="Normal 21 18 5 5" xfId="30118" xr:uid="{00000000-0005-0000-0000-0000B1720000}"/>
    <cellStyle name="Normal 21 18 5 6" xfId="30119" xr:uid="{00000000-0005-0000-0000-0000B2720000}"/>
    <cellStyle name="Normal 21 18 6" xfId="30120" xr:uid="{00000000-0005-0000-0000-0000B3720000}"/>
    <cellStyle name="Normal 21 18 6 2" xfId="30121" xr:uid="{00000000-0005-0000-0000-0000B4720000}"/>
    <cellStyle name="Normal 21 18 6 3" xfId="30122" xr:uid="{00000000-0005-0000-0000-0000B5720000}"/>
    <cellStyle name="Normal 21 18 6 4" xfId="30123" xr:uid="{00000000-0005-0000-0000-0000B6720000}"/>
    <cellStyle name="Normal 21 18 6 5" xfId="30124" xr:uid="{00000000-0005-0000-0000-0000B7720000}"/>
    <cellStyle name="Normal 21 18 6 6" xfId="30125" xr:uid="{00000000-0005-0000-0000-0000B8720000}"/>
    <cellStyle name="Normal 21 18 7" xfId="30126" xr:uid="{00000000-0005-0000-0000-0000B9720000}"/>
    <cellStyle name="Normal 21 18 7 2" xfId="30127" xr:uid="{00000000-0005-0000-0000-0000BA720000}"/>
    <cellStyle name="Normal 21 18 7 3" xfId="30128" xr:uid="{00000000-0005-0000-0000-0000BB720000}"/>
    <cellStyle name="Normal 21 18 7 4" xfId="30129" xr:uid="{00000000-0005-0000-0000-0000BC720000}"/>
    <cellStyle name="Normal 21 18 7 5" xfId="30130" xr:uid="{00000000-0005-0000-0000-0000BD720000}"/>
    <cellStyle name="Normal 21 18 7 6" xfId="30131" xr:uid="{00000000-0005-0000-0000-0000BE720000}"/>
    <cellStyle name="Normal 21 18 8" xfId="30132" xr:uid="{00000000-0005-0000-0000-0000BF720000}"/>
    <cellStyle name="Normal 21 18 8 2" xfId="30133" xr:uid="{00000000-0005-0000-0000-0000C0720000}"/>
    <cellStyle name="Normal 21 18 8 3" xfId="30134" xr:uid="{00000000-0005-0000-0000-0000C1720000}"/>
    <cellStyle name="Normal 21 18 8 4" xfId="30135" xr:uid="{00000000-0005-0000-0000-0000C2720000}"/>
    <cellStyle name="Normal 21 18 8 5" xfId="30136" xr:uid="{00000000-0005-0000-0000-0000C3720000}"/>
    <cellStyle name="Normal 21 18 8 6" xfId="30137" xr:uid="{00000000-0005-0000-0000-0000C4720000}"/>
    <cellStyle name="Normal 21 18 9" xfId="30138" xr:uid="{00000000-0005-0000-0000-0000C5720000}"/>
    <cellStyle name="Normal 21 19" xfId="30139" xr:uid="{00000000-0005-0000-0000-0000C6720000}"/>
    <cellStyle name="Normal 21 19 10" xfId="30140" xr:uid="{00000000-0005-0000-0000-0000C7720000}"/>
    <cellStyle name="Normal 21 19 11" xfId="30141" xr:uid="{00000000-0005-0000-0000-0000C8720000}"/>
    <cellStyle name="Normal 21 19 12" xfId="30142" xr:uid="{00000000-0005-0000-0000-0000C9720000}"/>
    <cellStyle name="Normal 21 19 13" xfId="30143" xr:uid="{00000000-0005-0000-0000-0000CA720000}"/>
    <cellStyle name="Normal 21 19 2" xfId="30144" xr:uid="{00000000-0005-0000-0000-0000CB720000}"/>
    <cellStyle name="Normal 21 19 2 2" xfId="30145" xr:uid="{00000000-0005-0000-0000-0000CC720000}"/>
    <cellStyle name="Normal 21 19 2 3" xfId="30146" xr:uid="{00000000-0005-0000-0000-0000CD720000}"/>
    <cellStyle name="Normal 21 19 2 4" xfId="30147" xr:uid="{00000000-0005-0000-0000-0000CE720000}"/>
    <cellStyle name="Normal 21 19 2 5" xfId="30148" xr:uid="{00000000-0005-0000-0000-0000CF720000}"/>
    <cellStyle name="Normal 21 19 2 6" xfId="30149" xr:uid="{00000000-0005-0000-0000-0000D0720000}"/>
    <cellStyle name="Normal 21 19 3" xfId="30150" xr:uid="{00000000-0005-0000-0000-0000D1720000}"/>
    <cellStyle name="Normal 21 19 3 2" xfId="30151" xr:uid="{00000000-0005-0000-0000-0000D2720000}"/>
    <cellStyle name="Normal 21 19 3 3" xfId="30152" xr:uid="{00000000-0005-0000-0000-0000D3720000}"/>
    <cellStyle name="Normal 21 19 3 4" xfId="30153" xr:uid="{00000000-0005-0000-0000-0000D4720000}"/>
    <cellStyle name="Normal 21 19 3 5" xfId="30154" xr:uid="{00000000-0005-0000-0000-0000D5720000}"/>
    <cellStyle name="Normal 21 19 3 6" xfId="30155" xr:uid="{00000000-0005-0000-0000-0000D6720000}"/>
    <cellStyle name="Normal 21 19 4" xfId="30156" xr:uid="{00000000-0005-0000-0000-0000D7720000}"/>
    <cellStyle name="Normal 21 19 4 2" xfId="30157" xr:uid="{00000000-0005-0000-0000-0000D8720000}"/>
    <cellStyle name="Normal 21 19 4 3" xfId="30158" xr:uid="{00000000-0005-0000-0000-0000D9720000}"/>
    <cellStyle name="Normal 21 19 4 4" xfId="30159" xr:uid="{00000000-0005-0000-0000-0000DA720000}"/>
    <cellStyle name="Normal 21 19 4 5" xfId="30160" xr:uid="{00000000-0005-0000-0000-0000DB720000}"/>
    <cellStyle name="Normal 21 19 4 6" xfId="30161" xr:uid="{00000000-0005-0000-0000-0000DC720000}"/>
    <cellStyle name="Normal 21 19 5" xfId="30162" xr:uid="{00000000-0005-0000-0000-0000DD720000}"/>
    <cellStyle name="Normal 21 19 5 2" xfId="30163" xr:uid="{00000000-0005-0000-0000-0000DE720000}"/>
    <cellStyle name="Normal 21 19 5 3" xfId="30164" xr:uid="{00000000-0005-0000-0000-0000DF720000}"/>
    <cellStyle name="Normal 21 19 5 4" xfId="30165" xr:uid="{00000000-0005-0000-0000-0000E0720000}"/>
    <cellStyle name="Normal 21 19 5 5" xfId="30166" xr:uid="{00000000-0005-0000-0000-0000E1720000}"/>
    <cellStyle name="Normal 21 19 5 6" xfId="30167" xr:uid="{00000000-0005-0000-0000-0000E2720000}"/>
    <cellStyle name="Normal 21 19 6" xfId="30168" xr:uid="{00000000-0005-0000-0000-0000E3720000}"/>
    <cellStyle name="Normal 21 19 6 2" xfId="30169" xr:uid="{00000000-0005-0000-0000-0000E4720000}"/>
    <cellStyle name="Normal 21 19 6 3" xfId="30170" xr:uid="{00000000-0005-0000-0000-0000E5720000}"/>
    <cellStyle name="Normal 21 19 6 4" xfId="30171" xr:uid="{00000000-0005-0000-0000-0000E6720000}"/>
    <cellStyle name="Normal 21 19 6 5" xfId="30172" xr:uid="{00000000-0005-0000-0000-0000E7720000}"/>
    <cellStyle name="Normal 21 19 6 6" xfId="30173" xr:uid="{00000000-0005-0000-0000-0000E8720000}"/>
    <cellStyle name="Normal 21 19 7" xfId="30174" xr:uid="{00000000-0005-0000-0000-0000E9720000}"/>
    <cellStyle name="Normal 21 19 7 2" xfId="30175" xr:uid="{00000000-0005-0000-0000-0000EA720000}"/>
    <cellStyle name="Normal 21 19 7 3" xfId="30176" xr:uid="{00000000-0005-0000-0000-0000EB720000}"/>
    <cellStyle name="Normal 21 19 7 4" xfId="30177" xr:uid="{00000000-0005-0000-0000-0000EC720000}"/>
    <cellStyle name="Normal 21 19 7 5" xfId="30178" xr:uid="{00000000-0005-0000-0000-0000ED720000}"/>
    <cellStyle name="Normal 21 19 7 6" xfId="30179" xr:uid="{00000000-0005-0000-0000-0000EE720000}"/>
    <cellStyle name="Normal 21 19 8" xfId="30180" xr:uid="{00000000-0005-0000-0000-0000EF720000}"/>
    <cellStyle name="Normal 21 19 8 2" xfId="30181" xr:uid="{00000000-0005-0000-0000-0000F0720000}"/>
    <cellStyle name="Normal 21 19 8 3" xfId="30182" xr:uid="{00000000-0005-0000-0000-0000F1720000}"/>
    <cellStyle name="Normal 21 19 8 4" xfId="30183" xr:uid="{00000000-0005-0000-0000-0000F2720000}"/>
    <cellStyle name="Normal 21 19 8 5" xfId="30184" xr:uid="{00000000-0005-0000-0000-0000F3720000}"/>
    <cellStyle name="Normal 21 19 8 6" xfId="30185" xr:uid="{00000000-0005-0000-0000-0000F4720000}"/>
    <cellStyle name="Normal 21 19 9" xfId="30186" xr:uid="{00000000-0005-0000-0000-0000F5720000}"/>
    <cellStyle name="Normal 21 2" xfId="30187" xr:uid="{00000000-0005-0000-0000-0000F6720000}"/>
    <cellStyle name="Normal 21 2 10" xfId="30188" xr:uid="{00000000-0005-0000-0000-0000F7720000}"/>
    <cellStyle name="Normal 21 2 11" xfId="30189" xr:uid="{00000000-0005-0000-0000-0000F8720000}"/>
    <cellStyle name="Normal 21 2 12" xfId="30190" xr:uid="{00000000-0005-0000-0000-0000F9720000}"/>
    <cellStyle name="Normal 21 2 13" xfId="30191" xr:uid="{00000000-0005-0000-0000-0000FA720000}"/>
    <cellStyle name="Normal 21 2 2" xfId="30192" xr:uid="{00000000-0005-0000-0000-0000FB720000}"/>
    <cellStyle name="Normal 21 2 2 2" xfId="30193" xr:uid="{00000000-0005-0000-0000-0000FC720000}"/>
    <cellStyle name="Normal 21 2 2 3" xfId="30194" xr:uid="{00000000-0005-0000-0000-0000FD720000}"/>
    <cellStyle name="Normal 21 2 2 4" xfId="30195" xr:uid="{00000000-0005-0000-0000-0000FE720000}"/>
    <cellStyle name="Normal 21 2 2 5" xfId="30196" xr:uid="{00000000-0005-0000-0000-0000FF720000}"/>
    <cellStyle name="Normal 21 2 2 6" xfId="30197" xr:uid="{00000000-0005-0000-0000-000000730000}"/>
    <cellStyle name="Normal 21 2 3" xfId="30198" xr:uid="{00000000-0005-0000-0000-000001730000}"/>
    <cellStyle name="Normal 21 2 3 2" xfId="30199" xr:uid="{00000000-0005-0000-0000-000002730000}"/>
    <cellStyle name="Normal 21 2 3 3" xfId="30200" xr:uid="{00000000-0005-0000-0000-000003730000}"/>
    <cellStyle name="Normal 21 2 3 4" xfId="30201" xr:uid="{00000000-0005-0000-0000-000004730000}"/>
    <cellStyle name="Normal 21 2 3 5" xfId="30202" xr:uid="{00000000-0005-0000-0000-000005730000}"/>
    <cellStyle name="Normal 21 2 3 6" xfId="30203" xr:uid="{00000000-0005-0000-0000-000006730000}"/>
    <cellStyle name="Normal 21 2 4" xfId="30204" xr:uid="{00000000-0005-0000-0000-000007730000}"/>
    <cellStyle name="Normal 21 2 4 2" xfId="30205" xr:uid="{00000000-0005-0000-0000-000008730000}"/>
    <cellStyle name="Normal 21 2 4 3" xfId="30206" xr:uid="{00000000-0005-0000-0000-000009730000}"/>
    <cellStyle name="Normal 21 2 4 4" xfId="30207" xr:uid="{00000000-0005-0000-0000-00000A730000}"/>
    <cellStyle name="Normal 21 2 4 5" xfId="30208" xr:uid="{00000000-0005-0000-0000-00000B730000}"/>
    <cellStyle name="Normal 21 2 4 6" xfId="30209" xr:uid="{00000000-0005-0000-0000-00000C730000}"/>
    <cellStyle name="Normal 21 2 5" xfId="30210" xr:uid="{00000000-0005-0000-0000-00000D730000}"/>
    <cellStyle name="Normal 21 2 5 2" xfId="30211" xr:uid="{00000000-0005-0000-0000-00000E730000}"/>
    <cellStyle name="Normal 21 2 5 3" xfId="30212" xr:uid="{00000000-0005-0000-0000-00000F730000}"/>
    <cellStyle name="Normal 21 2 5 4" xfId="30213" xr:uid="{00000000-0005-0000-0000-000010730000}"/>
    <cellStyle name="Normal 21 2 5 5" xfId="30214" xr:uid="{00000000-0005-0000-0000-000011730000}"/>
    <cellStyle name="Normal 21 2 5 6" xfId="30215" xr:uid="{00000000-0005-0000-0000-000012730000}"/>
    <cellStyle name="Normal 21 2 6" xfId="30216" xr:uid="{00000000-0005-0000-0000-000013730000}"/>
    <cellStyle name="Normal 21 2 6 2" xfId="30217" xr:uid="{00000000-0005-0000-0000-000014730000}"/>
    <cellStyle name="Normal 21 2 6 3" xfId="30218" xr:uid="{00000000-0005-0000-0000-000015730000}"/>
    <cellStyle name="Normal 21 2 6 4" xfId="30219" xr:uid="{00000000-0005-0000-0000-000016730000}"/>
    <cellStyle name="Normal 21 2 6 5" xfId="30220" xr:uid="{00000000-0005-0000-0000-000017730000}"/>
    <cellStyle name="Normal 21 2 6 6" xfId="30221" xr:uid="{00000000-0005-0000-0000-000018730000}"/>
    <cellStyle name="Normal 21 2 7" xfId="30222" xr:uid="{00000000-0005-0000-0000-000019730000}"/>
    <cellStyle name="Normal 21 2 7 2" xfId="30223" xr:uid="{00000000-0005-0000-0000-00001A730000}"/>
    <cellStyle name="Normal 21 2 7 3" xfId="30224" xr:uid="{00000000-0005-0000-0000-00001B730000}"/>
    <cellStyle name="Normal 21 2 7 4" xfId="30225" xr:uid="{00000000-0005-0000-0000-00001C730000}"/>
    <cellStyle name="Normal 21 2 7 5" xfId="30226" xr:uid="{00000000-0005-0000-0000-00001D730000}"/>
    <cellStyle name="Normal 21 2 7 6" xfId="30227" xr:uid="{00000000-0005-0000-0000-00001E730000}"/>
    <cellStyle name="Normal 21 2 8" xfId="30228" xr:uid="{00000000-0005-0000-0000-00001F730000}"/>
    <cellStyle name="Normal 21 2 8 2" xfId="30229" xr:uid="{00000000-0005-0000-0000-000020730000}"/>
    <cellStyle name="Normal 21 2 8 3" xfId="30230" xr:uid="{00000000-0005-0000-0000-000021730000}"/>
    <cellStyle name="Normal 21 2 8 4" xfId="30231" xr:uid="{00000000-0005-0000-0000-000022730000}"/>
    <cellStyle name="Normal 21 2 8 5" xfId="30232" xr:uid="{00000000-0005-0000-0000-000023730000}"/>
    <cellStyle name="Normal 21 2 8 6" xfId="30233" xr:uid="{00000000-0005-0000-0000-000024730000}"/>
    <cellStyle name="Normal 21 2 9" xfId="30234" xr:uid="{00000000-0005-0000-0000-000025730000}"/>
    <cellStyle name="Normal 21 20" xfId="30235" xr:uid="{00000000-0005-0000-0000-000026730000}"/>
    <cellStyle name="Normal 21 20 10" xfId="30236" xr:uid="{00000000-0005-0000-0000-000027730000}"/>
    <cellStyle name="Normal 21 20 11" xfId="30237" xr:uid="{00000000-0005-0000-0000-000028730000}"/>
    <cellStyle name="Normal 21 20 12" xfId="30238" xr:uid="{00000000-0005-0000-0000-000029730000}"/>
    <cellStyle name="Normal 21 20 13" xfId="30239" xr:uid="{00000000-0005-0000-0000-00002A730000}"/>
    <cellStyle name="Normal 21 20 2" xfId="30240" xr:uid="{00000000-0005-0000-0000-00002B730000}"/>
    <cellStyle name="Normal 21 20 2 2" xfId="30241" xr:uid="{00000000-0005-0000-0000-00002C730000}"/>
    <cellStyle name="Normal 21 20 2 3" xfId="30242" xr:uid="{00000000-0005-0000-0000-00002D730000}"/>
    <cellStyle name="Normal 21 20 2 4" xfId="30243" xr:uid="{00000000-0005-0000-0000-00002E730000}"/>
    <cellStyle name="Normal 21 20 2 5" xfId="30244" xr:uid="{00000000-0005-0000-0000-00002F730000}"/>
    <cellStyle name="Normal 21 20 2 6" xfId="30245" xr:uid="{00000000-0005-0000-0000-000030730000}"/>
    <cellStyle name="Normal 21 20 3" xfId="30246" xr:uid="{00000000-0005-0000-0000-000031730000}"/>
    <cellStyle name="Normal 21 20 3 2" xfId="30247" xr:uid="{00000000-0005-0000-0000-000032730000}"/>
    <cellStyle name="Normal 21 20 3 3" xfId="30248" xr:uid="{00000000-0005-0000-0000-000033730000}"/>
    <cellStyle name="Normal 21 20 3 4" xfId="30249" xr:uid="{00000000-0005-0000-0000-000034730000}"/>
    <cellStyle name="Normal 21 20 3 5" xfId="30250" xr:uid="{00000000-0005-0000-0000-000035730000}"/>
    <cellStyle name="Normal 21 20 3 6" xfId="30251" xr:uid="{00000000-0005-0000-0000-000036730000}"/>
    <cellStyle name="Normal 21 20 4" xfId="30252" xr:uid="{00000000-0005-0000-0000-000037730000}"/>
    <cellStyle name="Normal 21 20 4 2" xfId="30253" xr:uid="{00000000-0005-0000-0000-000038730000}"/>
    <cellStyle name="Normal 21 20 4 3" xfId="30254" xr:uid="{00000000-0005-0000-0000-000039730000}"/>
    <cellStyle name="Normal 21 20 4 4" xfId="30255" xr:uid="{00000000-0005-0000-0000-00003A730000}"/>
    <cellStyle name="Normal 21 20 4 5" xfId="30256" xr:uid="{00000000-0005-0000-0000-00003B730000}"/>
    <cellStyle name="Normal 21 20 4 6" xfId="30257" xr:uid="{00000000-0005-0000-0000-00003C730000}"/>
    <cellStyle name="Normal 21 20 5" xfId="30258" xr:uid="{00000000-0005-0000-0000-00003D730000}"/>
    <cellStyle name="Normal 21 20 5 2" xfId="30259" xr:uid="{00000000-0005-0000-0000-00003E730000}"/>
    <cellStyle name="Normal 21 20 5 3" xfId="30260" xr:uid="{00000000-0005-0000-0000-00003F730000}"/>
    <cellStyle name="Normal 21 20 5 4" xfId="30261" xr:uid="{00000000-0005-0000-0000-000040730000}"/>
    <cellStyle name="Normal 21 20 5 5" xfId="30262" xr:uid="{00000000-0005-0000-0000-000041730000}"/>
    <cellStyle name="Normal 21 20 5 6" xfId="30263" xr:uid="{00000000-0005-0000-0000-000042730000}"/>
    <cellStyle name="Normal 21 20 6" xfId="30264" xr:uid="{00000000-0005-0000-0000-000043730000}"/>
    <cellStyle name="Normal 21 20 6 2" xfId="30265" xr:uid="{00000000-0005-0000-0000-000044730000}"/>
    <cellStyle name="Normal 21 20 6 3" xfId="30266" xr:uid="{00000000-0005-0000-0000-000045730000}"/>
    <cellStyle name="Normal 21 20 6 4" xfId="30267" xr:uid="{00000000-0005-0000-0000-000046730000}"/>
    <cellStyle name="Normal 21 20 6 5" xfId="30268" xr:uid="{00000000-0005-0000-0000-000047730000}"/>
    <cellStyle name="Normal 21 20 6 6" xfId="30269" xr:uid="{00000000-0005-0000-0000-000048730000}"/>
    <cellStyle name="Normal 21 20 7" xfId="30270" xr:uid="{00000000-0005-0000-0000-000049730000}"/>
    <cellStyle name="Normal 21 20 7 2" xfId="30271" xr:uid="{00000000-0005-0000-0000-00004A730000}"/>
    <cellStyle name="Normal 21 20 7 3" xfId="30272" xr:uid="{00000000-0005-0000-0000-00004B730000}"/>
    <cellStyle name="Normal 21 20 7 4" xfId="30273" xr:uid="{00000000-0005-0000-0000-00004C730000}"/>
    <cellStyle name="Normal 21 20 7 5" xfId="30274" xr:uid="{00000000-0005-0000-0000-00004D730000}"/>
    <cellStyle name="Normal 21 20 7 6" xfId="30275" xr:uid="{00000000-0005-0000-0000-00004E730000}"/>
    <cellStyle name="Normal 21 20 8" xfId="30276" xr:uid="{00000000-0005-0000-0000-00004F730000}"/>
    <cellStyle name="Normal 21 20 8 2" xfId="30277" xr:uid="{00000000-0005-0000-0000-000050730000}"/>
    <cellStyle name="Normal 21 20 8 3" xfId="30278" xr:uid="{00000000-0005-0000-0000-000051730000}"/>
    <cellStyle name="Normal 21 20 8 4" xfId="30279" xr:uid="{00000000-0005-0000-0000-000052730000}"/>
    <cellStyle name="Normal 21 20 8 5" xfId="30280" xr:uid="{00000000-0005-0000-0000-000053730000}"/>
    <cellStyle name="Normal 21 20 8 6" xfId="30281" xr:uid="{00000000-0005-0000-0000-000054730000}"/>
    <cellStyle name="Normal 21 20 9" xfId="30282" xr:uid="{00000000-0005-0000-0000-000055730000}"/>
    <cellStyle name="Normal 21 21" xfId="30283" xr:uid="{00000000-0005-0000-0000-000056730000}"/>
    <cellStyle name="Normal 21 21 10" xfId="30284" xr:uid="{00000000-0005-0000-0000-000057730000}"/>
    <cellStyle name="Normal 21 21 11" xfId="30285" xr:uid="{00000000-0005-0000-0000-000058730000}"/>
    <cellStyle name="Normal 21 21 12" xfId="30286" xr:uid="{00000000-0005-0000-0000-000059730000}"/>
    <cellStyle name="Normal 21 21 13" xfId="30287" xr:uid="{00000000-0005-0000-0000-00005A730000}"/>
    <cellStyle name="Normal 21 21 2" xfId="30288" xr:uid="{00000000-0005-0000-0000-00005B730000}"/>
    <cellStyle name="Normal 21 21 2 2" xfId="30289" xr:uid="{00000000-0005-0000-0000-00005C730000}"/>
    <cellStyle name="Normal 21 21 2 3" xfId="30290" xr:uid="{00000000-0005-0000-0000-00005D730000}"/>
    <cellStyle name="Normal 21 21 2 4" xfId="30291" xr:uid="{00000000-0005-0000-0000-00005E730000}"/>
    <cellStyle name="Normal 21 21 2 5" xfId="30292" xr:uid="{00000000-0005-0000-0000-00005F730000}"/>
    <cellStyle name="Normal 21 21 2 6" xfId="30293" xr:uid="{00000000-0005-0000-0000-000060730000}"/>
    <cellStyle name="Normal 21 21 3" xfId="30294" xr:uid="{00000000-0005-0000-0000-000061730000}"/>
    <cellStyle name="Normal 21 21 3 2" xfId="30295" xr:uid="{00000000-0005-0000-0000-000062730000}"/>
    <cellStyle name="Normal 21 21 3 3" xfId="30296" xr:uid="{00000000-0005-0000-0000-000063730000}"/>
    <cellStyle name="Normal 21 21 3 4" xfId="30297" xr:uid="{00000000-0005-0000-0000-000064730000}"/>
    <cellStyle name="Normal 21 21 3 5" xfId="30298" xr:uid="{00000000-0005-0000-0000-000065730000}"/>
    <cellStyle name="Normal 21 21 3 6" xfId="30299" xr:uid="{00000000-0005-0000-0000-000066730000}"/>
    <cellStyle name="Normal 21 21 4" xfId="30300" xr:uid="{00000000-0005-0000-0000-000067730000}"/>
    <cellStyle name="Normal 21 21 4 2" xfId="30301" xr:uid="{00000000-0005-0000-0000-000068730000}"/>
    <cellStyle name="Normal 21 21 4 3" xfId="30302" xr:uid="{00000000-0005-0000-0000-000069730000}"/>
    <cellStyle name="Normal 21 21 4 4" xfId="30303" xr:uid="{00000000-0005-0000-0000-00006A730000}"/>
    <cellStyle name="Normal 21 21 4 5" xfId="30304" xr:uid="{00000000-0005-0000-0000-00006B730000}"/>
    <cellStyle name="Normal 21 21 4 6" xfId="30305" xr:uid="{00000000-0005-0000-0000-00006C730000}"/>
    <cellStyle name="Normal 21 21 5" xfId="30306" xr:uid="{00000000-0005-0000-0000-00006D730000}"/>
    <cellStyle name="Normal 21 21 5 2" xfId="30307" xr:uid="{00000000-0005-0000-0000-00006E730000}"/>
    <cellStyle name="Normal 21 21 5 3" xfId="30308" xr:uid="{00000000-0005-0000-0000-00006F730000}"/>
    <cellStyle name="Normal 21 21 5 4" xfId="30309" xr:uid="{00000000-0005-0000-0000-000070730000}"/>
    <cellStyle name="Normal 21 21 5 5" xfId="30310" xr:uid="{00000000-0005-0000-0000-000071730000}"/>
    <cellStyle name="Normal 21 21 5 6" xfId="30311" xr:uid="{00000000-0005-0000-0000-000072730000}"/>
    <cellStyle name="Normal 21 21 6" xfId="30312" xr:uid="{00000000-0005-0000-0000-000073730000}"/>
    <cellStyle name="Normal 21 21 6 2" xfId="30313" xr:uid="{00000000-0005-0000-0000-000074730000}"/>
    <cellStyle name="Normal 21 21 6 3" xfId="30314" xr:uid="{00000000-0005-0000-0000-000075730000}"/>
    <cellStyle name="Normal 21 21 6 4" xfId="30315" xr:uid="{00000000-0005-0000-0000-000076730000}"/>
    <cellStyle name="Normal 21 21 6 5" xfId="30316" xr:uid="{00000000-0005-0000-0000-000077730000}"/>
    <cellStyle name="Normal 21 21 6 6" xfId="30317" xr:uid="{00000000-0005-0000-0000-000078730000}"/>
    <cellStyle name="Normal 21 21 7" xfId="30318" xr:uid="{00000000-0005-0000-0000-000079730000}"/>
    <cellStyle name="Normal 21 21 7 2" xfId="30319" xr:uid="{00000000-0005-0000-0000-00007A730000}"/>
    <cellStyle name="Normal 21 21 7 3" xfId="30320" xr:uid="{00000000-0005-0000-0000-00007B730000}"/>
    <cellStyle name="Normal 21 21 7 4" xfId="30321" xr:uid="{00000000-0005-0000-0000-00007C730000}"/>
    <cellStyle name="Normal 21 21 7 5" xfId="30322" xr:uid="{00000000-0005-0000-0000-00007D730000}"/>
    <cellStyle name="Normal 21 21 7 6" xfId="30323" xr:uid="{00000000-0005-0000-0000-00007E730000}"/>
    <cellStyle name="Normal 21 21 8" xfId="30324" xr:uid="{00000000-0005-0000-0000-00007F730000}"/>
    <cellStyle name="Normal 21 21 8 2" xfId="30325" xr:uid="{00000000-0005-0000-0000-000080730000}"/>
    <cellStyle name="Normal 21 21 8 3" xfId="30326" xr:uid="{00000000-0005-0000-0000-000081730000}"/>
    <cellStyle name="Normal 21 21 8 4" xfId="30327" xr:uid="{00000000-0005-0000-0000-000082730000}"/>
    <cellStyle name="Normal 21 21 8 5" xfId="30328" xr:uid="{00000000-0005-0000-0000-000083730000}"/>
    <cellStyle name="Normal 21 21 8 6" xfId="30329" xr:uid="{00000000-0005-0000-0000-000084730000}"/>
    <cellStyle name="Normal 21 21 9" xfId="30330" xr:uid="{00000000-0005-0000-0000-000085730000}"/>
    <cellStyle name="Normal 21 22" xfId="30331" xr:uid="{00000000-0005-0000-0000-000086730000}"/>
    <cellStyle name="Normal 21 22 10" xfId="30332" xr:uid="{00000000-0005-0000-0000-000087730000}"/>
    <cellStyle name="Normal 21 22 11" xfId="30333" xr:uid="{00000000-0005-0000-0000-000088730000}"/>
    <cellStyle name="Normal 21 22 12" xfId="30334" xr:uid="{00000000-0005-0000-0000-000089730000}"/>
    <cellStyle name="Normal 21 22 13" xfId="30335" xr:uid="{00000000-0005-0000-0000-00008A730000}"/>
    <cellStyle name="Normal 21 22 2" xfId="30336" xr:uid="{00000000-0005-0000-0000-00008B730000}"/>
    <cellStyle name="Normal 21 22 2 2" xfId="30337" xr:uid="{00000000-0005-0000-0000-00008C730000}"/>
    <cellStyle name="Normal 21 22 2 3" xfId="30338" xr:uid="{00000000-0005-0000-0000-00008D730000}"/>
    <cellStyle name="Normal 21 22 2 4" xfId="30339" xr:uid="{00000000-0005-0000-0000-00008E730000}"/>
    <cellStyle name="Normal 21 22 2 5" xfId="30340" xr:uid="{00000000-0005-0000-0000-00008F730000}"/>
    <cellStyle name="Normal 21 22 2 6" xfId="30341" xr:uid="{00000000-0005-0000-0000-000090730000}"/>
    <cellStyle name="Normal 21 22 3" xfId="30342" xr:uid="{00000000-0005-0000-0000-000091730000}"/>
    <cellStyle name="Normal 21 22 3 2" xfId="30343" xr:uid="{00000000-0005-0000-0000-000092730000}"/>
    <cellStyle name="Normal 21 22 3 3" xfId="30344" xr:uid="{00000000-0005-0000-0000-000093730000}"/>
    <cellStyle name="Normal 21 22 3 4" xfId="30345" xr:uid="{00000000-0005-0000-0000-000094730000}"/>
    <cellStyle name="Normal 21 22 3 5" xfId="30346" xr:uid="{00000000-0005-0000-0000-000095730000}"/>
    <cellStyle name="Normal 21 22 3 6" xfId="30347" xr:uid="{00000000-0005-0000-0000-000096730000}"/>
    <cellStyle name="Normal 21 22 4" xfId="30348" xr:uid="{00000000-0005-0000-0000-000097730000}"/>
    <cellStyle name="Normal 21 22 4 2" xfId="30349" xr:uid="{00000000-0005-0000-0000-000098730000}"/>
    <cellStyle name="Normal 21 22 4 3" xfId="30350" xr:uid="{00000000-0005-0000-0000-000099730000}"/>
    <cellStyle name="Normal 21 22 4 4" xfId="30351" xr:uid="{00000000-0005-0000-0000-00009A730000}"/>
    <cellStyle name="Normal 21 22 4 5" xfId="30352" xr:uid="{00000000-0005-0000-0000-00009B730000}"/>
    <cellStyle name="Normal 21 22 4 6" xfId="30353" xr:uid="{00000000-0005-0000-0000-00009C730000}"/>
    <cellStyle name="Normal 21 22 5" xfId="30354" xr:uid="{00000000-0005-0000-0000-00009D730000}"/>
    <cellStyle name="Normal 21 22 5 2" xfId="30355" xr:uid="{00000000-0005-0000-0000-00009E730000}"/>
    <cellStyle name="Normal 21 22 5 3" xfId="30356" xr:uid="{00000000-0005-0000-0000-00009F730000}"/>
    <cellStyle name="Normal 21 22 5 4" xfId="30357" xr:uid="{00000000-0005-0000-0000-0000A0730000}"/>
    <cellStyle name="Normal 21 22 5 5" xfId="30358" xr:uid="{00000000-0005-0000-0000-0000A1730000}"/>
    <cellStyle name="Normal 21 22 5 6" xfId="30359" xr:uid="{00000000-0005-0000-0000-0000A2730000}"/>
    <cellStyle name="Normal 21 22 6" xfId="30360" xr:uid="{00000000-0005-0000-0000-0000A3730000}"/>
    <cellStyle name="Normal 21 22 6 2" xfId="30361" xr:uid="{00000000-0005-0000-0000-0000A4730000}"/>
    <cellStyle name="Normal 21 22 6 3" xfId="30362" xr:uid="{00000000-0005-0000-0000-0000A5730000}"/>
    <cellStyle name="Normal 21 22 6 4" xfId="30363" xr:uid="{00000000-0005-0000-0000-0000A6730000}"/>
    <cellStyle name="Normal 21 22 6 5" xfId="30364" xr:uid="{00000000-0005-0000-0000-0000A7730000}"/>
    <cellStyle name="Normal 21 22 6 6" xfId="30365" xr:uid="{00000000-0005-0000-0000-0000A8730000}"/>
    <cellStyle name="Normal 21 22 7" xfId="30366" xr:uid="{00000000-0005-0000-0000-0000A9730000}"/>
    <cellStyle name="Normal 21 22 7 2" xfId="30367" xr:uid="{00000000-0005-0000-0000-0000AA730000}"/>
    <cellStyle name="Normal 21 22 7 3" xfId="30368" xr:uid="{00000000-0005-0000-0000-0000AB730000}"/>
    <cellStyle name="Normal 21 22 7 4" xfId="30369" xr:uid="{00000000-0005-0000-0000-0000AC730000}"/>
    <cellStyle name="Normal 21 22 7 5" xfId="30370" xr:uid="{00000000-0005-0000-0000-0000AD730000}"/>
    <cellStyle name="Normal 21 22 7 6" xfId="30371" xr:uid="{00000000-0005-0000-0000-0000AE730000}"/>
    <cellStyle name="Normal 21 22 8" xfId="30372" xr:uid="{00000000-0005-0000-0000-0000AF730000}"/>
    <cellStyle name="Normal 21 22 8 2" xfId="30373" xr:uid="{00000000-0005-0000-0000-0000B0730000}"/>
    <cellStyle name="Normal 21 22 8 3" xfId="30374" xr:uid="{00000000-0005-0000-0000-0000B1730000}"/>
    <cellStyle name="Normal 21 22 8 4" xfId="30375" xr:uid="{00000000-0005-0000-0000-0000B2730000}"/>
    <cellStyle name="Normal 21 22 8 5" xfId="30376" xr:uid="{00000000-0005-0000-0000-0000B3730000}"/>
    <cellStyle name="Normal 21 22 8 6" xfId="30377" xr:uid="{00000000-0005-0000-0000-0000B4730000}"/>
    <cellStyle name="Normal 21 22 9" xfId="30378" xr:uid="{00000000-0005-0000-0000-0000B5730000}"/>
    <cellStyle name="Normal 21 23" xfId="30379" xr:uid="{00000000-0005-0000-0000-0000B6730000}"/>
    <cellStyle name="Normal 21 23 10" xfId="30380" xr:uid="{00000000-0005-0000-0000-0000B7730000}"/>
    <cellStyle name="Normal 21 23 11" xfId="30381" xr:uid="{00000000-0005-0000-0000-0000B8730000}"/>
    <cellStyle name="Normal 21 23 12" xfId="30382" xr:uid="{00000000-0005-0000-0000-0000B9730000}"/>
    <cellStyle name="Normal 21 23 13" xfId="30383" xr:uid="{00000000-0005-0000-0000-0000BA730000}"/>
    <cellStyle name="Normal 21 23 2" xfId="30384" xr:uid="{00000000-0005-0000-0000-0000BB730000}"/>
    <cellStyle name="Normal 21 23 2 2" xfId="30385" xr:uid="{00000000-0005-0000-0000-0000BC730000}"/>
    <cellStyle name="Normal 21 23 2 3" xfId="30386" xr:uid="{00000000-0005-0000-0000-0000BD730000}"/>
    <cellStyle name="Normal 21 23 2 4" xfId="30387" xr:uid="{00000000-0005-0000-0000-0000BE730000}"/>
    <cellStyle name="Normal 21 23 2 5" xfId="30388" xr:uid="{00000000-0005-0000-0000-0000BF730000}"/>
    <cellStyle name="Normal 21 23 2 6" xfId="30389" xr:uid="{00000000-0005-0000-0000-0000C0730000}"/>
    <cellStyle name="Normal 21 23 3" xfId="30390" xr:uid="{00000000-0005-0000-0000-0000C1730000}"/>
    <cellStyle name="Normal 21 23 3 2" xfId="30391" xr:uid="{00000000-0005-0000-0000-0000C2730000}"/>
    <cellStyle name="Normal 21 23 3 3" xfId="30392" xr:uid="{00000000-0005-0000-0000-0000C3730000}"/>
    <cellStyle name="Normal 21 23 3 4" xfId="30393" xr:uid="{00000000-0005-0000-0000-0000C4730000}"/>
    <cellStyle name="Normal 21 23 3 5" xfId="30394" xr:uid="{00000000-0005-0000-0000-0000C5730000}"/>
    <cellStyle name="Normal 21 23 3 6" xfId="30395" xr:uid="{00000000-0005-0000-0000-0000C6730000}"/>
    <cellStyle name="Normal 21 23 4" xfId="30396" xr:uid="{00000000-0005-0000-0000-0000C7730000}"/>
    <cellStyle name="Normal 21 23 4 2" xfId="30397" xr:uid="{00000000-0005-0000-0000-0000C8730000}"/>
    <cellStyle name="Normal 21 23 4 3" xfId="30398" xr:uid="{00000000-0005-0000-0000-0000C9730000}"/>
    <cellStyle name="Normal 21 23 4 4" xfId="30399" xr:uid="{00000000-0005-0000-0000-0000CA730000}"/>
    <cellStyle name="Normal 21 23 4 5" xfId="30400" xr:uid="{00000000-0005-0000-0000-0000CB730000}"/>
    <cellStyle name="Normal 21 23 4 6" xfId="30401" xr:uid="{00000000-0005-0000-0000-0000CC730000}"/>
    <cellStyle name="Normal 21 23 5" xfId="30402" xr:uid="{00000000-0005-0000-0000-0000CD730000}"/>
    <cellStyle name="Normal 21 23 5 2" xfId="30403" xr:uid="{00000000-0005-0000-0000-0000CE730000}"/>
    <cellStyle name="Normal 21 23 5 3" xfId="30404" xr:uid="{00000000-0005-0000-0000-0000CF730000}"/>
    <cellStyle name="Normal 21 23 5 4" xfId="30405" xr:uid="{00000000-0005-0000-0000-0000D0730000}"/>
    <cellStyle name="Normal 21 23 5 5" xfId="30406" xr:uid="{00000000-0005-0000-0000-0000D1730000}"/>
    <cellStyle name="Normal 21 23 5 6" xfId="30407" xr:uid="{00000000-0005-0000-0000-0000D2730000}"/>
    <cellStyle name="Normal 21 23 6" xfId="30408" xr:uid="{00000000-0005-0000-0000-0000D3730000}"/>
    <cellStyle name="Normal 21 23 6 2" xfId="30409" xr:uid="{00000000-0005-0000-0000-0000D4730000}"/>
    <cellStyle name="Normal 21 23 6 3" xfId="30410" xr:uid="{00000000-0005-0000-0000-0000D5730000}"/>
    <cellStyle name="Normal 21 23 6 4" xfId="30411" xr:uid="{00000000-0005-0000-0000-0000D6730000}"/>
    <cellStyle name="Normal 21 23 6 5" xfId="30412" xr:uid="{00000000-0005-0000-0000-0000D7730000}"/>
    <cellStyle name="Normal 21 23 6 6" xfId="30413" xr:uid="{00000000-0005-0000-0000-0000D8730000}"/>
    <cellStyle name="Normal 21 23 7" xfId="30414" xr:uid="{00000000-0005-0000-0000-0000D9730000}"/>
    <cellStyle name="Normal 21 23 7 2" xfId="30415" xr:uid="{00000000-0005-0000-0000-0000DA730000}"/>
    <cellStyle name="Normal 21 23 7 3" xfId="30416" xr:uid="{00000000-0005-0000-0000-0000DB730000}"/>
    <cellStyle name="Normal 21 23 7 4" xfId="30417" xr:uid="{00000000-0005-0000-0000-0000DC730000}"/>
    <cellStyle name="Normal 21 23 7 5" xfId="30418" xr:uid="{00000000-0005-0000-0000-0000DD730000}"/>
    <cellStyle name="Normal 21 23 7 6" xfId="30419" xr:uid="{00000000-0005-0000-0000-0000DE730000}"/>
    <cellStyle name="Normal 21 23 8" xfId="30420" xr:uid="{00000000-0005-0000-0000-0000DF730000}"/>
    <cellStyle name="Normal 21 23 8 2" xfId="30421" xr:uid="{00000000-0005-0000-0000-0000E0730000}"/>
    <cellStyle name="Normal 21 23 8 3" xfId="30422" xr:uid="{00000000-0005-0000-0000-0000E1730000}"/>
    <cellStyle name="Normal 21 23 8 4" xfId="30423" xr:uid="{00000000-0005-0000-0000-0000E2730000}"/>
    <cellStyle name="Normal 21 23 8 5" xfId="30424" xr:uid="{00000000-0005-0000-0000-0000E3730000}"/>
    <cellStyle name="Normal 21 23 8 6" xfId="30425" xr:uid="{00000000-0005-0000-0000-0000E4730000}"/>
    <cellStyle name="Normal 21 23 9" xfId="30426" xr:uid="{00000000-0005-0000-0000-0000E5730000}"/>
    <cellStyle name="Normal 21 24" xfId="30427" xr:uid="{00000000-0005-0000-0000-0000E6730000}"/>
    <cellStyle name="Normal 21 24 10" xfId="30428" xr:uid="{00000000-0005-0000-0000-0000E7730000}"/>
    <cellStyle name="Normal 21 24 11" xfId="30429" xr:uid="{00000000-0005-0000-0000-0000E8730000}"/>
    <cellStyle name="Normal 21 24 12" xfId="30430" xr:uid="{00000000-0005-0000-0000-0000E9730000}"/>
    <cellStyle name="Normal 21 24 13" xfId="30431" xr:uid="{00000000-0005-0000-0000-0000EA730000}"/>
    <cellStyle name="Normal 21 24 2" xfId="30432" xr:uid="{00000000-0005-0000-0000-0000EB730000}"/>
    <cellStyle name="Normal 21 24 2 2" xfId="30433" xr:uid="{00000000-0005-0000-0000-0000EC730000}"/>
    <cellStyle name="Normal 21 24 2 3" xfId="30434" xr:uid="{00000000-0005-0000-0000-0000ED730000}"/>
    <cellStyle name="Normal 21 24 2 4" xfId="30435" xr:uid="{00000000-0005-0000-0000-0000EE730000}"/>
    <cellStyle name="Normal 21 24 2 5" xfId="30436" xr:uid="{00000000-0005-0000-0000-0000EF730000}"/>
    <cellStyle name="Normal 21 24 2 6" xfId="30437" xr:uid="{00000000-0005-0000-0000-0000F0730000}"/>
    <cellStyle name="Normal 21 24 3" xfId="30438" xr:uid="{00000000-0005-0000-0000-0000F1730000}"/>
    <cellStyle name="Normal 21 24 3 2" xfId="30439" xr:uid="{00000000-0005-0000-0000-0000F2730000}"/>
    <cellStyle name="Normal 21 24 3 3" xfId="30440" xr:uid="{00000000-0005-0000-0000-0000F3730000}"/>
    <cellStyle name="Normal 21 24 3 4" xfId="30441" xr:uid="{00000000-0005-0000-0000-0000F4730000}"/>
    <cellStyle name="Normal 21 24 3 5" xfId="30442" xr:uid="{00000000-0005-0000-0000-0000F5730000}"/>
    <cellStyle name="Normal 21 24 3 6" xfId="30443" xr:uid="{00000000-0005-0000-0000-0000F6730000}"/>
    <cellStyle name="Normal 21 24 4" xfId="30444" xr:uid="{00000000-0005-0000-0000-0000F7730000}"/>
    <cellStyle name="Normal 21 24 4 2" xfId="30445" xr:uid="{00000000-0005-0000-0000-0000F8730000}"/>
    <cellStyle name="Normal 21 24 4 3" xfId="30446" xr:uid="{00000000-0005-0000-0000-0000F9730000}"/>
    <cellStyle name="Normal 21 24 4 4" xfId="30447" xr:uid="{00000000-0005-0000-0000-0000FA730000}"/>
    <cellStyle name="Normal 21 24 4 5" xfId="30448" xr:uid="{00000000-0005-0000-0000-0000FB730000}"/>
    <cellStyle name="Normal 21 24 4 6" xfId="30449" xr:uid="{00000000-0005-0000-0000-0000FC730000}"/>
    <cellStyle name="Normal 21 24 5" xfId="30450" xr:uid="{00000000-0005-0000-0000-0000FD730000}"/>
    <cellStyle name="Normal 21 24 5 2" xfId="30451" xr:uid="{00000000-0005-0000-0000-0000FE730000}"/>
    <cellStyle name="Normal 21 24 5 3" xfId="30452" xr:uid="{00000000-0005-0000-0000-0000FF730000}"/>
    <cellStyle name="Normal 21 24 5 4" xfId="30453" xr:uid="{00000000-0005-0000-0000-000000740000}"/>
    <cellStyle name="Normal 21 24 5 5" xfId="30454" xr:uid="{00000000-0005-0000-0000-000001740000}"/>
    <cellStyle name="Normal 21 24 5 6" xfId="30455" xr:uid="{00000000-0005-0000-0000-000002740000}"/>
    <cellStyle name="Normal 21 24 6" xfId="30456" xr:uid="{00000000-0005-0000-0000-000003740000}"/>
    <cellStyle name="Normal 21 24 6 2" xfId="30457" xr:uid="{00000000-0005-0000-0000-000004740000}"/>
    <cellStyle name="Normal 21 24 6 3" xfId="30458" xr:uid="{00000000-0005-0000-0000-000005740000}"/>
    <cellStyle name="Normal 21 24 6 4" xfId="30459" xr:uid="{00000000-0005-0000-0000-000006740000}"/>
    <cellStyle name="Normal 21 24 6 5" xfId="30460" xr:uid="{00000000-0005-0000-0000-000007740000}"/>
    <cellStyle name="Normal 21 24 6 6" xfId="30461" xr:uid="{00000000-0005-0000-0000-000008740000}"/>
    <cellStyle name="Normal 21 24 7" xfId="30462" xr:uid="{00000000-0005-0000-0000-000009740000}"/>
    <cellStyle name="Normal 21 24 7 2" xfId="30463" xr:uid="{00000000-0005-0000-0000-00000A740000}"/>
    <cellStyle name="Normal 21 24 7 3" xfId="30464" xr:uid="{00000000-0005-0000-0000-00000B740000}"/>
    <cellStyle name="Normal 21 24 7 4" xfId="30465" xr:uid="{00000000-0005-0000-0000-00000C740000}"/>
    <cellStyle name="Normal 21 24 7 5" xfId="30466" xr:uid="{00000000-0005-0000-0000-00000D740000}"/>
    <cellStyle name="Normal 21 24 7 6" xfId="30467" xr:uid="{00000000-0005-0000-0000-00000E740000}"/>
    <cellStyle name="Normal 21 24 8" xfId="30468" xr:uid="{00000000-0005-0000-0000-00000F740000}"/>
    <cellStyle name="Normal 21 24 8 2" xfId="30469" xr:uid="{00000000-0005-0000-0000-000010740000}"/>
    <cellStyle name="Normal 21 24 8 3" xfId="30470" xr:uid="{00000000-0005-0000-0000-000011740000}"/>
    <cellStyle name="Normal 21 24 8 4" xfId="30471" xr:uid="{00000000-0005-0000-0000-000012740000}"/>
    <cellStyle name="Normal 21 24 8 5" xfId="30472" xr:uid="{00000000-0005-0000-0000-000013740000}"/>
    <cellStyle name="Normal 21 24 8 6" xfId="30473" xr:uid="{00000000-0005-0000-0000-000014740000}"/>
    <cellStyle name="Normal 21 24 9" xfId="30474" xr:uid="{00000000-0005-0000-0000-000015740000}"/>
    <cellStyle name="Normal 21 25" xfId="30475" xr:uid="{00000000-0005-0000-0000-000016740000}"/>
    <cellStyle name="Normal 21 25 2" xfId="30476" xr:uid="{00000000-0005-0000-0000-000017740000}"/>
    <cellStyle name="Normal 21 25 3" xfId="30477" xr:uid="{00000000-0005-0000-0000-000018740000}"/>
    <cellStyle name="Normal 21 25 4" xfId="30478" xr:uid="{00000000-0005-0000-0000-000019740000}"/>
    <cellStyle name="Normal 21 25 5" xfId="30479" xr:uid="{00000000-0005-0000-0000-00001A740000}"/>
    <cellStyle name="Normal 21 25 6" xfId="30480" xr:uid="{00000000-0005-0000-0000-00001B740000}"/>
    <cellStyle name="Normal 21 26" xfId="30481" xr:uid="{00000000-0005-0000-0000-00001C740000}"/>
    <cellStyle name="Normal 21 26 2" xfId="30482" xr:uid="{00000000-0005-0000-0000-00001D740000}"/>
    <cellStyle name="Normal 21 26 3" xfId="30483" xr:uid="{00000000-0005-0000-0000-00001E740000}"/>
    <cellStyle name="Normal 21 26 4" xfId="30484" xr:uid="{00000000-0005-0000-0000-00001F740000}"/>
    <cellStyle name="Normal 21 26 5" xfId="30485" xr:uid="{00000000-0005-0000-0000-000020740000}"/>
    <cellStyle name="Normal 21 26 6" xfId="30486" xr:uid="{00000000-0005-0000-0000-000021740000}"/>
    <cellStyle name="Normal 21 27" xfId="30487" xr:uid="{00000000-0005-0000-0000-000022740000}"/>
    <cellStyle name="Normal 21 27 2" xfId="30488" xr:uid="{00000000-0005-0000-0000-000023740000}"/>
    <cellStyle name="Normal 21 27 3" xfId="30489" xr:uid="{00000000-0005-0000-0000-000024740000}"/>
    <cellStyle name="Normal 21 27 4" xfId="30490" xr:uid="{00000000-0005-0000-0000-000025740000}"/>
    <cellStyle name="Normal 21 27 5" xfId="30491" xr:uid="{00000000-0005-0000-0000-000026740000}"/>
    <cellStyle name="Normal 21 27 6" xfId="30492" xr:uid="{00000000-0005-0000-0000-000027740000}"/>
    <cellStyle name="Normal 21 28" xfId="30493" xr:uid="{00000000-0005-0000-0000-000028740000}"/>
    <cellStyle name="Normal 21 28 2" xfId="30494" xr:uid="{00000000-0005-0000-0000-000029740000}"/>
    <cellStyle name="Normal 21 28 3" xfId="30495" xr:uid="{00000000-0005-0000-0000-00002A740000}"/>
    <cellStyle name="Normal 21 28 4" xfId="30496" xr:uid="{00000000-0005-0000-0000-00002B740000}"/>
    <cellStyle name="Normal 21 28 5" xfId="30497" xr:uid="{00000000-0005-0000-0000-00002C740000}"/>
    <cellStyle name="Normal 21 28 6" xfId="30498" xr:uid="{00000000-0005-0000-0000-00002D740000}"/>
    <cellStyle name="Normal 21 29" xfId="30499" xr:uid="{00000000-0005-0000-0000-00002E740000}"/>
    <cellStyle name="Normal 21 29 2" xfId="30500" xr:uid="{00000000-0005-0000-0000-00002F740000}"/>
    <cellStyle name="Normal 21 29 3" xfId="30501" xr:uid="{00000000-0005-0000-0000-000030740000}"/>
    <cellStyle name="Normal 21 29 4" xfId="30502" xr:uid="{00000000-0005-0000-0000-000031740000}"/>
    <cellStyle name="Normal 21 29 5" xfId="30503" xr:uid="{00000000-0005-0000-0000-000032740000}"/>
    <cellStyle name="Normal 21 29 6" xfId="30504" xr:uid="{00000000-0005-0000-0000-000033740000}"/>
    <cellStyle name="Normal 21 3" xfId="30505" xr:uid="{00000000-0005-0000-0000-000034740000}"/>
    <cellStyle name="Normal 21 3 10" xfId="30506" xr:uid="{00000000-0005-0000-0000-000035740000}"/>
    <cellStyle name="Normal 21 3 11" xfId="30507" xr:uid="{00000000-0005-0000-0000-000036740000}"/>
    <cellStyle name="Normal 21 3 12" xfId="30508" xr:uid="{00000000-0005-0000-0000-000037740000}"/>
    <cellStyle name="Normal 21 3 13" xfId="30509" xr:uid="{00000000-0005-0000-0000-000038740000}"/>
    <cellStyle name="Normal 21 3 2" xfId="30510" xr:uid="{00000000-0005-0000-0000-000039740000}"/>
    <cellStyle name="Normal 21 3 2 2" xfId="30511" xr:uid="{00000000-0005-0000-0000-00003A740000}"/>
    <cellStyle name="Normal 21 3 2 3" xfId="30512" xr:uid="{00000000-0005-0000-0000-00003B740000}"/>
    <cellStyle name="Normal 21 3 2 4" xfId="30513" xr:uid="{00000000-0005-0000-0000-00003C740000}"/>
    <cellStyle name="Normal 21 3 2 5" xfId="30514" xr:uid="{00000000-0005-0000-0000-00003D740000}"/>
    <cellStyle name="Normal 21 3 2 6" xfId="30515" xr:uid="{00000000-0005-0000-0000-00003E740000}"/>
    <cellStyle name="Normal 21 3 3" xfId="30516" xr:uid="{00000000-0005-0000-0000-00003F740000}"/>
    <cellStyle name="Normal 21 3 3 2" xfId="30517" xr:uid="{00000000-0005-0000-0000-000040740000}"/>
    <cellStyle name="Normal 21 3 3 3" xfId="30518" xr:uid="{00000000-0005-0000-0000-000041740000}"/>
    <cellStyle name="Normal 21 3 3 4" xfId="30519" xr:uid="{00000000-0005-0000-0000-000042740000}"/>
    <cellStyle name="Normal 21 3 3 5" xfId="30520" xr:uid="{00000000-0005-0000-0000-000043740000}"/>
    <cellStyle name="Normal 21 3 3 6" xfId="30521" xr:uid="{00000000-0005-0000-0000-000044740000}"/>
    <cellStyle name="Normal 21 3 4" xfId="30522" xr:uid="{00000000-0005-0000-0000-000045740000}"/>
    <cellStyle name="Normal 21 3 4 2" xfId="30523" xr:uid="{00000000-0005-0000-0000-000046740000}"/>
    <cellStyle name="Normal 21 3 4 3" xfId="30524" xr:uid="{00000000-0005-0000-0000-000047740000}"/>
    <cellStyle name="Normal 21 3 4 4" xfId="30525" xr:uid="{00000000-0005-0000-0000-000048740000}"/>
    <cellStyle name="Normal 21 3 4 5" xfId="30526" xr:uid="{00000000-0005-0000-0000-000049740000}"/>
    <cellStyle name="Normal 21 3 4 6" xfId="30527" xr:uid="{00000000-0005-0000-0000-00004A740000}"/>
    <cellStyle name="Normal 21 3 5" xfId="30528" xr:uid="{00000000-0005-0000-0000-00004B740000}"/>
    <cellStyle name="Normal 21 3 5 2" xfId="30529" xr:uid="{00000000-0005-0000-0000-00004C740000}"/>
    <cellStyle name="Normal 21 3 5 3" xfId="30530" xr:uid="{00000000-0005-0000-0000-00004D740000}"/>
    <cellStyle name="Normal 21 3 5 4" xfId="30531" xr:uid="{00000000-0005-0000-0000-00004E740000}"/>
    <cellStyle name="Normal 21 3 5 5" xfId="30532" xr:uid="{00000000-0005-0000-0000-00004F740000}"/>
    <cellStyle name="Normal 21 3 5 6" xfId="30533" xr:uid="{00000000-0005-0000-0000-000050740000}"/>
    <cellStyle name="Normal 21 3 6" xfId="30534" xr:uid="{00000000-0005-0000-0000-000051740000}"/>
    <cellStyle name="Normal 21 3 6 2" xfId="30535" xr:uid="{00000000-0005-0000-0000-000052740000}"/>
    <cellStyle name="Normal 21 3 6 3" xfId="30536" xr:uid="{00000000-0005-0000-0000-000053740000}"/>
    <cellStyle name="Normal 21 3 6 4" xfId="30537" xr:uid="{00000000-0005-0000-0000-000054740000}"/>
    <cellStyle name="Normal 21 3 6 5" xfId="30538" xr:uid="{00000000-0005-0000-0000-000055740000}"/>
    <cellStyle name="Normal 21 3 6 6" xfId="30539" xr:uid="{00000000-0005-0000-0000-000056740000}"/>
    <cellStyle name="Normal 21 3 7" xfId="30540" xr:uid="{00000000-0005-0000-0000-000057740000}"/>
    <cellStyle name="Normal 21 3 7 2" xfId="30541" xr:uid="{00000000-0005-0000-0000-000058740000}"/>
    <cellStyle name="Normal 21 3 7 3" xfId="30542" xr:uid="{00000000-0005-0000-0000-000059740000}"/>
    <cellStyle name="Normal 21 3 7 4" xfId="30543" xr:uid="{00000000-0005-0000-0000-00005A740000}"/>
    <cellStyle name="Normal 21 3 7 5" xfId="30544" xr:uid="{00000000-0005-0000-0000-00005B740000}"/>
    <cellStyle name="Normal 21 3 7 6" xfId="30545" xr:uid="{00000000-0005-0000-0000-00005C740000}"/>
    <cellStyle name="Normal 21 3 8" xfId="30546" xr:uid="{00000000-0005-0000-0000-00005D740000}"/>
    <cellStyle name="Normal 21 3 8 2" xfId="30547" xr:uid="{00000000-0005-0000-0000-00005E740000}"/>
    <cellStyle name="Normal 21 3 8 3" xfId="30548" xr:uid="{00000000-0005-0000-0000-00005F740000}"/>
    <cellStyle name="Normal 21 3 8 4" xfId="30549" xr:uid="{00000000-0005-0000-0000-000060740000}"/>
    <cellStyle name="Normal 21 3 8 5" xfId="30550" xr:uid="{00000000-0005-0000-0000-000061740000}"/>
    <cellStyle name="Normal 21 3 8 6" xfId="30551" xr:uid="{00000000-0005-0000-0000-000062740000}"/>
    <cellStyle name="Normal 21 3 9" xfId="30552" xr:uid="{00000000-0005-0000-0000-000063740000}"/>
    <cellStyle name="Normal 21 30" xfId="30553" xr:uid="{00000000-0005-0000-0000-000064740000}"/>
    <cellStyle name="Normal 21 30 2" xfId="30554" xr:uid="{00000000-0005-0000-0000-000065740000}"/>
    <cellStyle name="Normal 21 30 3" xfId="30555" xr:uid="{00000000-0005-0000-0000-000066740000}"/>
    <cellStyle name="Normal 21 30 4" xfId="30556" xr:uid="{00000000-0005-0000-0000-000067740000}"/>
    <cellStyle name="Normal 21 30 5" xfId="30557" xr:uid="{00000000-0005-0000-0000-000068740000}"/>
    <cellStyle name="Normal 21 30 6" xfId="30558" xr:uid="{00000000-0005-0000-0000-000069740000}"/>
    <cellStyle name="Normal 21 31" xfId="30559" xr:uid="{00000000-0005-0000-0000-00006A740000}"/>
    <cellStyle name="Normal 21 31 2" xfId="30560" xr:uid="{00000000-0005-0000-0000-00006B740000}"/>
    <cellStyle name="Normal 21 31 3" xfId="30561" xr:uid="{00000000-0005-0000-0000-00006C740000}"/>
    <cellStyle name="Normal 21 31 4" xfId="30562" xr:uid="{00000000-0005-0000-0000-00006D740000}"/>
    <cellStyle name="Normal 21 31 5" xfId="30563" xr:uid="{00000000-0005-0000-0000-00006E740000}"/>
    <cellStyle name="Normal 21 31 6" xfId="30564" xr:uid="{00000000-0005-0000-0000-00006F740000}"/>
    <cellStyle name="Normal 21 32" xfId="30565" xr:uid="{00000000-0005-0000-0000-000070740000}"/>
    <cellStyle name="Normal 21 33" xfId="30566" xr:uid="{00000000-0005-0000-0000-000071740000}"/>
    <cellStyle name="Normal 21 34" xfId="30567" xr:uid="{00000000-0005-0000-0000-000072740000}"/>
    <cellStyle name="Normal 21 35" xfId="30568" xr:uid="{00000000-0005-0000-0000-000073740000}"/>
    <cellStyle name="Normal 21 36" xfId="30569" xr:uid="{00000000-0005-0000-0000-000074740000}"/>
    <cellStyle name="Normal 21 4" xfId="30570" xr:uid="{00000000-0005-0000-0000-000075740000}"/>
    <cellStyle name="Normal 21 4 10" xfId="30571" xr:uid="{00000000-0005-0000-0000-000076740000}"/>
    <cellStyle name="Normal 21 4 11" xfId="30572" xr:uid="{00000000-0005-0000-0000-000077740000}"/>
    <cellStyle name="Normal 21 4 12" xfId="30573" xr:uid="{00000000-0005-0000-0000-000078740000}"/>
    <cellStyle name="Normal 21 4 13" xfId="30574" xr:uid="{00000000-0005-0000-0000-000079740000}"/>
    <cellStyle name="Normal 21 4 2" xfId="30575" xr:uid="{00000000-0005-0000-0000-00007A740000}"/>
    <cellStyle name="Normal 21 4 2 2" xfId="30576" xr:uid="{00000000-0005-0000-0000-00007B740000}"/>
    <cellStyle name="Normal 21 4 2 3" xfId="30577" xr:uid="{00000000-0005-0000-0000-00007C740000}"/>
    <cellStyle name="Normal 21 4 2 4" xfId="30578" xr:uid="{00000000-0005-0000-0000-00007D740000}"/>
    <cellStyle name="Normal 21 4 2 5" xfId="30579" xr:uid="{00000000-0005-0000-0000-00007E740000}"/>
    <cellStyle name="Normal 21 4 2 6" xfId="30580" xr:uid="{00000000-0005-0000-0000-00007F740000}"/>
    <cellStyle name="Normal 21 4 3" xfId="30581" xr:uid="{00000000-0005-0000-0000-000080740000}"/>
    <cellStyle name="Normal 21 4 3 2" xfId="30582" xr:uid="{00000000-0005-0000-0000-000081740000}"/>
    <cellStyle name="Normal 21 4 3 3" xfId="30583" xr:uid="{00000000-0005-0000-0000-000082740000}"/>
    <cellStyle name="Normal 21 4 3 4" xfId="30584" xr:uid="{00000000-0005-0000-0000-000083740000}"/>
    <cellStyle name="Normal 21 4 3 5" xfId="30585" xr:uid="{00000000-0005-0000-0000-000084740000}"/>
    <cellStyle name="Normal 21 4 3 6" xfId="30586" xr:uid="{00000000-0005-0000-0000-000085740000}"/>
    <cellStyle name="Normal 21 4 4" xfId="30587" xr:uid="{00000000-0005-0000-0000-000086740000}"/>
    <cellStyle name="Normal 21 4 4 2" xfId="30588" xr:uid="{00000000-0005-0000-0000-000087740000}"/>
    <cellStyle name="Normal 21 4 4 3" xfId="30589" xr:uid="{00000000-0005-0000-0000-000088740000}"/>
    <cellStyle name="Normal 21 4 4 4" xfId="30590" xr:uid="{00000000-0005-0000-0000-000089740000}"/>
    <cellStyle name="Normal 21 4 4 5" xfId="30591" xr:uid="{00000000-0005-0000-0000-00008A740000}"/>
    <cellStyle name="Normal 21 4 4 6" xfId="30592" xr:uid="{00000000-0005-0000-0000-00008B740000}"/>
    <cellStyle name="Normal 21 4 5" xfId="30593" xr:uid="{00000000-0005-0000-0000-00008C740000}"/>
    <cellStyle name="Normal 21 4 5 2" xfId="30594" xr:uid="{00000000-0005-0000-0000-00008D740000}"/>
    <cellStyle name="Normal 21 4 5 3" xfId="30595" xr:uid="{00000000-0005-0000-0000-00008E740000}"/>
    <cellStyle name="Normal 21 4 5 4" xfId="30596" xr:uid="{00000000-0005-0000-0000-00008F740000}"/>
    <cellStyle name="Normal 21 4 5 5" xfId="30597" xr:uid="{00000000-0005-0000-0000-000090740000}"/>
    <cellStyle name="Normal 21 4 5 6" xfId="30598" xr:uid="{00000000-0005-0000-0000-000091740000}"/>
    <cellStyle name="Normal 21 4 6" xfId="30599" xr:uid="{00000000-0005-0000-0000-000092740000}"/>
    <cellStyle name="Normal 21 4 6 2" xfId="30600" xr:uid="{00000000-0005-0000-0000-000093740000}"/>
    <cellStyle name="Normal 21 4 6 3" xfId="30601" xr:uid="{00000000-0005-0000-0000-000094740000}"/>
    <cellStyle name="Normal 21 4 6 4" xfId="30602" xr:uid="{00000000-0005-0000-0000-000095740000}"/>
    <cellStyle name="Normal 21 4 6 5" xfId="30603" xr:uid="{00000000-0005-0000-0000-000096740000}"/>
    <cellStyle name="Normal 21 4 6 6" xfId="30604" xr:uid="{00000000-0005-0000-0000-000097740000}"/>
    <cellStyle name="Normal 21 4 7" xfId="30605" xr:uid="{00000000-0005-0000-0000-000098740000}"/>
    <cellStyle name="Normal 21 4 7 2" xfId="30606" xr:uid="{00000000-0005-0000-0000-000099740000}"/>
    <cellStyle name="Normal 21 4 7 3" xfId="30607" xr:uid="{00000000-0005-0000-0000-00009A740000}"/>
    <cellStyle name="Normal 21 4 7 4" xfId="30608" xr:uid="{00000000-0005-0000-0000-00009B740000}"/>
    <cellStyle name="Normal 21 4 7 5" xfId="30609" xr:uid="{00000000-0005-0000-0000-00009C740000}"/>
    <cellStyle name="Normal 21 4 7 6" xfId="30610" xr:uid="{00000000-0005-0000-0000-00009D740000}"/>
    <cellStyle name="Normal 21 4 8" xfId="30611" xr:uid="{00000000-0005-0000-0000-00009E740000}"/>
    <cellStyle name="Normal 21 4 8 2" xfId="30612" xr:uid="{00000000-0005-0000-0000-00009F740000}"/>
    <cellStyle name="Normal 21 4 8 3" xfId="30613" xr:uid="{00000000-0005-0000-0000-0000A0740000}"/>
    <cellStyle name="Normal 21 4 8 4" xfId="30614" xr:uid="{00000000-0005-0000-0000-0000A1740000}"/>
    <cellStyle name="Normal 21 4 8 5" xfId="30615" xr:uid="{00000000-0005-0000-0000-0000A2740000}"/>
    <cellStyle name="Normal 21 4 8 6" xfId="30616" xr:uid="{00000000-0005-0000-0000-0000A3740000}"/>
    <cellStyle name="Normal 21 4 9" xfId="30617" xr:uid="{00000000-0005-0000-0000-0000A4740000}"/>
    <cellStyle name="Normal 21 5" xfId="30618" xr:uid="{00000000-0005-0000-0000-0000A5740000}"/>
    <cellStyle name="Normal 21 5 10" xfId="30619" xr:uid="{00000000-0005-0000-0000-0000A6740000}"/>
    <cellStyle name="Normal 21 5 11" xfId="30620" xr:uid="{00000000-0005-0000-0000-0000A7740000}"/>
    <cellStyle name="Normal 21 5 12" xfId="30621" xr:uid="{00000000-0005-0000-0000-0000A8740000}"/>
    <cellStyle name="Normal 21 5 13" xfId="30622" xr:uid="{00000000-0005-0000-0000-0000A9740000}"/>
    <cellStyle name="Normal 21 5 2" xfId="30623" xr:uid="{00000000-0005-0000-0000-0000AA740000}"/>
    <cellStyle name="Normal 21 5 2 2" xfId="30624" xr:uid="{00000000-0005-0000-0000-0000AB740000}"/>
    <cellStyle name="Normal 21 5 2 3" xfId="30625" xr:uid="{00000000-0005-0000-0000-0000AC740000}"/>
    <cellStyle name="Normal 21 5 2 4" xfId="30626" xr:uid="{00000000-0005-0000-0000-0000AD740000}"/>
    <cellStyle name="Normal 21 5 2 5" xfId="30627" xr:uid="{00000000-0005-0000-0000-0000AE740000}"/>
    <cellStyle name="Normal 21 5 2 6" xfId="30628" xr:uid="{00000000-0005-0000-0000-0000AF740000}"/>
    <cellStyle name="Normal 21 5 3" xfId="30629" xr:uid="{00000000-0005-0000-0000-0000B0740000}"/>
    <cellStyle name="Normal 21 5 3 2" xfId="30630" xr:uid="{00000000-0005-0000-0000-0000B1740000}"/>
    <cellStyle name="Normal 21 5 3 3" xfId="30631" xr:uid="{00000000-0005-0000-0000-0000B2740000}"/>
    <cellStyle name="Normal 21 5 3 4" xfId="30632" xr:uid="{00000000-0005-0000-0000-0000B3740000}"/>
    <cellStyle name="Normal 21 5 3 5" xfId="30633" xr:uid="{00000000-0005-0000-0000-0000B4740000}"/>
    <cellStyle name="Normal 21 5 3 6" xfId="30634" xr:uid="{00000000-0005-0000-0000-0000B5740000}"/>
    <cellStyle name="Normal 21 5 4" xfId="30635" xr:uid="{00000000-0005-0000-0000-0000B6740000}"/>
    <cellStyle name="Normal 21 5 4 2" xfId="30636" xr:uid="{00000000-0005-0000-0000-0000B7740000}"/>
    <cellStyle name="Normal 21 5 4 3" xfId="30637" xr:uid="{00000000-0005-0000-0000-0000B8740000}"/>
    <cellStyle name="Normal 21 5 4 4" xfId="30638" xr:uid="{00000000-0005-0000-0000-0000B9740000}"/>
    <cellStyle name="Normal 21 5 4 5" xfId="30639" xr:uid="{00000000-0005-0000-0000-0000BA740000}"/>
    <cellStyle name="Normal 21 5 4 6" xfId="30640" xr:uid="{00000000-0005-0000-0000-0000BB740000}"/>
    <cellStyle name="Normal 21 5 5" xfId="30641" xr:uid="{00000000-0005-0000-0000-0000BC740000}"/>
    <cellStyle name="Normal 21 5 5 2" xfId="30642" xr:uid="{00000000-0005-0000-0000-0000BD740000}"/>
    <cellStyle name="Normal 21 5 5 3" xfId="30643" xr:uid="{00000000-0005-0000-0000-0000BE740000}"/>
    <cellStyle name="Normal 21 5 5 4" xfId="30644" xr:uid="{00000000-0005-0000-0000-0000BF740000}"/>
    <cellStyle name="Normal 21 5 5 5" xfId="30645" xr:uid="{00000000-0005-0000-0000-0000C0740000}"/>
    <cellStyle name="Normal 21 5 5 6" xfId="30646" xr:uid="{00000000-0005-0000-0000-0000C1740000}"/>
    <cellStyle name="Normal 21 5 6" xfId="30647" xr:uid="{00000000-0005-0000-0000-0000C2740000}"/>
    <cellStyle name="Normal 21 5 6 2" xfId="30648" xr:uid="{00000000-0005-0000-0000-0000C3740000}"/>
    <cellStyle name="Normal 21 5 6 3" xfId="30649" xr:uid="{00000000-0005-0000-0000-0000C4740000}"/>
    <cellStyle name="Normal 21 5 6 4" xfId="30650" xr:uid="{00000000-0005-0000-0000-0000C5740000}"/>
    <cellStyle name="Normal 21 5 6 5" xfId="30651" xr:uid="{00000000-0005-0000-0000-0000C6740000}"/>
    <cellStyle name="Normal 21 5 6 6" xfId="30652" xr:uid="{00000000-0005-0000-0000-0000C7740000}"/>
    <cellStyle name="Normal 21 5 7" xfId="30653" xr:uid="{00000000-0005-0000-0000-0000C8740000}"/>
    <cellStyle name="Normal 21 5 7 2" xfId="30654" xr:uid="{00000000-0005-0000-0000-0000C9740000}"/>
    <cellStyle name="Normal 21 5 7 3" xfId="30655" xr:uid="{00000000-0005-0000-0000-0000CA740000}"/>
    <cellStyle name="Normal 21 5 7 4" xfId="30656" xr:uid="{00000000-0005-0000-0000-0000CB740000}"/>
    <cellStyle name="Normal 21 5 7 5" xfId="30657" xr:uid="{00000000-0005-0000-0000-0000CC740000}"/>
    <cellStyle name="Normal 21 5 7 6" xfId="30658" xr:uid="{00000000-0005-0000-0000-0000CD740000}"/>
    <cellStyle name="Normal 21 5 8" xfId="30659" xr:uid="{00000000-0005-0000-0000-0000CE740000}"/>
    <cellStyle name="Normal 21 5 8 2" xfId="30660" xr:uid="{00000000-0005-0000-0000-0000CF740000}"/>
    <cellStyle name="Normal 21 5 8 3" xfId="30661" xr:uid="{00000000-0005-0000-0000-0000D0740000}"/>
    <cellStyle name="Normal 21 5 8 4" xfId="30662" xr:uid="{00000000-0005-0000-0000-0000D1740000}"/>
    <cellStyle name="Normal 21 5 8 5" xfId="30663" xr:uid="{00000000-0005-0000-0000-0000D2740000}"/>
    <cellStyle name="Normal 21 5 8 6" xfId="30664" xr:uid="{00000000-0005-0000-0000-0000D3740000}"/>
    <cellStyle name="Normal 21 5 9" xfId="30665" xr:uid="{00000000-0005-0000-0000-0000D4740000}"/>
    <cellStyle name="Normal 21 6" xfId="30666" xr:uid="{00000000-0005-0000-0000-0000D5740000}"/>
    <cellStyle name="Normal 21 6 10" xfId="30667" xr:uid="{00000000-0005-0000-0000-0000D6740000}"/>
    <cellStyle name="Normal 21 6 11" xfId="30668" xr:uid="{00000000-0005-0000-0000-0000D7740000}"/>
    <cellStyle name="Normal 21 6 12" xfId="30669" xr:uid="{00000000-0005-0000-0000-0000D8740000}"/>
    <cellStyle name="Normal 21 6 13" xfId="30670" xr:uid="{00000000-0005-0000-0000-0000D9740000}"/>
    <cellStyle name="Normal 21 6 2" xfId="30671" xr:uid="{00000000-0005-0000-0000-0000DA740000}"/>
    <cellStyle name="Normal 21 6 2 2" xfId="30672" xr:uid="{00000000-0005-0000-0000-0000DB740000}"/>
    <cellStyle name="Normal 21 6 2 3" xfId="30673" xr:uid="{00000000-0005-0000-0000-0000DC740000}"/>
    <cellStyle name="Normal 21 6 2 4" xfId="30674" xr:uid="{00000000-0005-0000-0000-0000DD740000}"/>
    <cellStyle name="Normal 21 6 2 5" xfId="30675" xr:uid="{00000000-0005-0000-0000-0000DE740000}"/>
    <cellStyle name="Normal 21 6 2 6" xfId="30676" xr:uid="{00000000-0005-0000-0000-0000DF740000}"/>
    <cellStyle name="Normal 21 6 3" xfId="30677" xr:uid="{00000000-0005-0000-0000-0000E0740000}"/>
    <cellStyle name="Normal 21 6 3 2" xfId="30678" xr:uid="{00000000-0005-0000-0000-0000E1740000}"/>
    <cellStyle name="Normal 21 6 3 3" xfId="30679" xr:uid="{00000000-0005-0000-0000-0000E2740000}"/>
    <cellStyle name="Normal 21 6 3 4" xfId="30680" xr:uid="{00000000-0005-0000-0000-0000E3740000}"/>
    <cellStyle name="Normal 21 6 3 5" xfId="30681" xr:uid="{00000000-0005-0000-0000-0000E4740000}"/>
    <cellStyle name="Normal 21 6 3 6" xfId="30682" xr:uid="{00000000-0005-0000-0000-0000E5740000}"/>
    <cellStyle name="Normal 21 6 4" xfId="30683" xr:uid="{00000000-0005-0000-0000-0000E6740000}"/>
    <cellStyle name="Normal 21 6 4 2" xfId="30684" xr:uid="{00000000-0005-0000-0000-0000E7740000}"/>
    <cellStyle name="Normal 21 6 4 3" xfId="30685" xr:uid="{00000000-0005-0000-0000-0000E8740000}"/>
    <cellStyle name="Normal 21 6 4 4" xfId="30686" xr:uid="{00000000-0005-0000-0000-0000E9740000}"/>
    <cellStyle name="Normal 21 6 4 5" xfId="30687" xr:uid="{00000000-0005-0000-0000-0000EA740000}"/>
    <cellStyle name="Normal 21 6 4 6" xfId="30688" xr:uid="{00000000-0005-0000-0000-0000EB740000}"/>
    <cellStyle name="Normal 21 6 5" xfId="30689" xr:uid="{00000000-0005-0000-0000-0000EC740000}"/>
    <cellStyle name="Normal 21 6 5 2" xfId="30690" xr:uid="{00000000-0005-0000-0000-0000ED740000}"/>
    <cellStyle name="Normal 21 6 5 3" xfId="30691" xr:uid="{00000000-0005-0000-0000-0000EE740000}"/>
    <cellStyle name="Normal 21 6 5 4" xfId="30692" xr:uid="{00000000-0005-0000-0000-0000EF740000}"/>
    <cellStyle name="Normal 21 6 5 5" xfId="30693" xr:uid="{00000000-0005-0000-0000-0000F0740000}"/>
    <cellStyle name="Normal 21 6 5 6" xfId="30694" xr:uid="{00000000-0005-0000-0000-0000F1740000}"/>
    <cellStyle name="Normal 21 6 6" xfId="30695" xr:uid="{00000000-0005-0000-0000-0000F2740000}"/>
    <cellStyle name="Normal 21 6 6 2" xfId="30696" xr:uid="{00000000-0005-0000-0000-0000F3740000}"/>
    <cellStyle name="Normal 21 6 6 3" xfId="30697" xr:uid="{00000000-0005-0000-0000-0000F4740000}"/>
    <cellStyle name="Normal 21 6 6 4" xfId="30698" xr:uid="{00000000-0005-0000-0000-0000F5740000}"/>
    <cellStyle name="Normal 21 6 6 5" xfId="30699" xr:uid="{00000000-0005-0000-0000-0000F6740000}"/>
    <cellStyle name="Normal 21 6 6 6" xfId="30700" xr:uid="{00000000-0005-0000-0000-0000F7740000}"/>
    <cellStyle name="Normal 21 6 7" xfId="30701" xr:uid="{00000000-0005-0000-0000-0000F8740000}"/>
    <cellStyle name="Normal 21 6 7 2" xfId="30702" xr:uid="{00000000-0005-0000-0000-0000F9740000}"/>
    <cellStyle name="Normal 21 6 7 3" xfId="30703" xr:uid="{00000000-0005-0000-0000-0000FA740000}"/>
    <cellStyle name="Normal 21 6 7 4" xfId="30704" xr:uid="{00000000-0005-0000-0000-0000FB740000}"/>
    <cellStyle name="Normal 21 6 7 5" xfId="30705" xr:uid="{00000000-0005-0000-0000-0000FC740000}"/>
    <cellStyle name="Normal 21 6 7 6" xfId="30706" xr:uid="{00000000-0005-0000-0000-0000FD740000}"/>
    <cellStyle name="Normal 21 6 8" xfId="30707" xr:uid="{00000000-0005-0000-0000-0000FE740000}"/>
    <cellStyle name="Normal 21 6 8 2" xfId="30708" xr:uid="{00000000-0005-0000-0000-0000FF740000}"/>
    <cellStyle name="Normal 21 6 8 3" xfId="30709" xr:uid="{00000000-0005-0000-0000-000000750000}"/>
    <cellStyle name="Normal 21 6 8 4" xfId="30710" xr:uid="{00000000-0005-0000-0000-000001750000}"/>
    <cellStyle name="Normal 21 6 8 5" xfId="30711" xr:uid="{00000000-0005-0000-0000-000002750000}"/>
    <cellStyle name="Normal 21 6 8 6" xfId="30712" xr:uid="{00000000-0005-0000-0000-000003750000}"/>
    <cellStyle name="Normal 21 6 9" xfId="30713" xr:uid="{00000000-0005-0000-0000-000004750000}"/>
    <cellStyle name="Normal 21 7" xfId="30714" xr:uid="{00000000-0005-0000-0000-000005750000}"/>
    <cellStyle name="Normal 21 7 10" xfId="30715" xr:uid="{00000000-0005-0000-0000-000006750000}"/>
    <cellStyle name="Normal 21 7 11" xfId="30716" xr:uid="{00000000-0005-0000-0000-000007750000}"/>
    <cellStyle name="Normal 21 7 12" xfId="30717" xr:uid="{00000000-0005-0000-0000-000008750000}"/>
    <cellStyle name="Normal 21 7 13" xfId="30718" xr:uid="{00000000-0005-0000-0000-000009750000}"/>
    <cellStyle name="Normal 21 7 2" xfId="30719" xr:uid="{00000000-0005-0000-0000-00000A750000}"/>
    <cellStyle name="Normal 21 7 2 2" xfId="30720" xr:uid="{00000000-0005-0000-0000-00000B750000}"/>
    <cellStyle name="Normal 21 7 2 3" xfId="30721" xr:uid="{00000000-0005-0000-0000-00000C750000}"/>
    <cellStyle name="Normal 21 7 2 4" xfId="30722" xr:uid="{00000000-0005-0000-0000-00000D750000}"/>
    <cellStyle name="Normal 21 7 2 5" xfId="30723" xr:uid="{00000000-0005-0000-0000-00000E750000}"/>
    <cellStyle name="Normal 21 7 2 6" xfId="30724" xr:uid="{00000000-0005-0000-0000-00000F750000}"/>
    <cellStyle name="Normal 21 7 3" xfId="30725" xr:uid="{00000000-0005-0000-0000-000010750000}"/>
    <cellStyle name="Normal 21 7 3 2" xfId="30726" xr:uid="{00000000-0005-0000-0000-000011750000}"/>
    <cellStyle name="Normal 21 7 3 3" xfId="30727" xr:uid="{00000000-0005-0000-0000-000012750000}"/>
    <cellStyle name="Normal 21 7 3 4" xfId="30728" xr:uid="{00000000-0005-0000-0000-000013750000}"/>
    <cellStyle name="Normal 21 7 3 5" xfId="30729" xr:uid="{00000000-0005-0000-0000-000014750000}"/>
    <cellStyle name="Normal 21 7 3 6" xfId="30730" xr:uid="{00000000-0005-0000-0000-000015750000}"/>
    <cellStyle name="Normal 21 7 4" xfId="30731" xr:uid="{00000000-0005-0000-0000-000016750000}"/>
    <cellStyle name="Normal 21 7 4 2" xfId="30732" xr:uid="{00000000-0005-0000-0000-000017750000}"/>
    <cellStyle name="Normal 21 7 4 3" xfId="30733" xr:uid="{00000000-0005-0000-0000-000018750000}"/>
    <cellStyle name="Normal 21 7 4 4" xfId="30734" xr:uid="{00000000-0005-0000-0000-000019750000}"/>
    <cellStyle name="Normal 21 7 4 5" xfId="30735" xr:uid="{00000000-0005-0000-0000-00001A750000}"/>
    <cellStyle name="Normal 21 7 4 6" xfId="30736" xr:uid="{00000000-0005-0000-0000-00001B750000}"/>
    <cellStyle name="Normal 21 7 5" xfId="30737" xr:uid="{00000000-0005-0000-0000-00001C750000}"/>
    <cellStyle name="Normal 21 7 5 2" xfId="30738" xr:uid="{00000000-0005-0000-0000-00001D750000}"/>
    <cellStyle name="Normal 21 7 5 3" xfId="30739" xr:uid="{00000000-0005-0000-0000-00001E750000}"/>
    <cellStyle name="Normal 21 7 5 4" xfId="30740" xr:uid="{00000000-0005-0000-0000-00001F750000}"/>
    <cellStyle name="Normal 21 7 5 5" xfId="30741" xr:uid="{00000000-0005-0000-0000-000020750000}"/>
    <cellStyle name="Normal 21 7 5 6" xfId="30742" xr:uid="{00000000-0005-0000-0000-000021750000}"/>
    <cellStyle name="Normal 21 7 6" xfId="30743" xr:uid="{00000000-0005-0000-0000-000022750000}"/>
    <cellStyle name="Normal 21 7 6 2" xfId="30744" xr:uid="{00000000-0005-0000-0000-000023750000}"/>
    <cellStyle name="Normal 21 7 6 3" xfId="30745" xr:uid="{00000000-0005-0000-0000-000024750000}"/>
    <cellStyle name="Normal 21 7 6 4" xfId="30746" xr:uid="{00000000-0005-0000-0000-000025750000}"/>
    <cellStyle name="Normal 21 7 6 5" xfId="30747" xr:uid="{00000000-0005-0000-0000-000026750000}"/>
    <cellStyle name="Normal 21 7 6 6" xfId="30748" xr:uid="{00000000-0005-0000-0000-000027750000}"/>
    <cellStyle name="Normal 21 7 7" xfId="30749" xr:uid="{00000000-0005-0000-0000-000028750000}"/>
    <cellStyle name="Normal 21 7 7 2" xfId="30750" xr:uid="{00000000-0005-0000-0000-000029750000}"/>
    <cellStyle name="Normal 21 7 7 3" xfId="30751" xr:uid="{00000000-0005-0000-0000-00002A750000}"/>
    <cellStyle name="Normal 21 7 7 4" xfId="30752" xr:uid="{00000000-0005-0000-0000-00002B750000}"/>
    <cellStyle name="Normal 21 7 7 5" xfId="30753" xr:uid="{00000000-0005-0000-0000-00002C750000}"/>
    <cellStyle name="Normal 21 7 7 6" xfId="30754" xr:uid="{00000000-0005-0000-0000-00002D750000}"/>
    <cellStyle name="Normal 21 7 8" xfId="30755" xr:uid="{00000000-0005-0000-0000-00002E750000}"/>
    <cellStyle name="Normal 21 7 8 2" xfId="30756" xr:uid="{00000000-0005-0000-0000-00002F750000}"/>
    <cellStyle name="Normal 21 7 8 3" xfId="30757" xr:uid="{00000000-0005-0000-0000-000030750000}"/>
    <cellStyle name="Normal 21 7 8 4" xfId="30758" xr:uid="{00000000-0005-0000-0000-000031750000}"/>
    <cellStyle name="Normal 21 7 8 5" xfId="30759" xr:uid="{00000000-0005-0000-0000-000032750000}"/>
    <cellStyle name="Normal 21 7 8 6" xfId="30760" xr:uid="{00000000-0005-0000-0000-000033750000}"/>
    <cellStyle name="Normal 21 7 9" xfId="30761" xr:uid="{00000000-0005-0000-0000-000034750000}"/>
    <cellStyle name="Normal 21 8" xfId="30762" xr:uid="{00000000-0005-0000-0000-000035750000}"/>
    <cellStyle name="Normal 21 8 10" xfId="30763" xr:uid="{00000000-0005-0000-0000-000036750000}"/>
    <cellStyle name="Normal 21 8 11" xfId="30764" xr:uid="{00000000-0005-0000-0000-000037750000}"/>
    <cellStyle name="Normal 21 8 12" xfId="30765" xr:uid="{00000000-0005-0000-0000-000038750000}"/>
    <cellStyle name="Normal 21 8 13" xfId="30766" xr:uid="{00000000-0005-0000-0000-000039750000}"/>
    <cellStyle name="Normal 21 8 2" xfId="30767" xr:uid="{00000000-0005-0000-0000-00003A750000}"/>
    <cellStyle name="Normal 21 8 2 2" xfId="30768" xr:uid="{00000000-0005-0000-0000-00003B750000}"/>
    <cellStyle name="Normal 21 8 2 3" xfId="30769" xr:uid="{00000000-0005-0000-0000-00003C750000}"/>
    <cellStyle name="Normal 21 8 2 4" xfId="30770" xr:uid="{00000000-0005-0000-0000-00003D750000}"/>
    <cellStyle name="Normal 21 8 2 5" xfId="30771" xr:uid="{00000000-0005-0000-0000-00003E750000}"/>
    <cellStyle name="Normal 21 8 2 6" xfId="30772" xr:uid="{00000000-0005-0000-0000-00003F750000}"/>
    <cellStyle name="Normal 21 8 3" xfId="30773" xr:uid="{00000000-0005-0000-0000-000040750000}"/>
    <cellStyle name="Normal 21 8 3 2" xfId="30774" xr:uid="{00000000-0005-0000-0000-000041750000}"/>
    <cellStyle name="Normal 21 8 3 3" xfId="30775" xr:uid="{00000000-0005-0000-0000-000042750000}"/>
    <cellStyle name="Normal 21 8 3 4" xfId="30776" xr:uid="{00000000-0005-0000-0000-000043750000}"/>
    <cellStyle name="Normal 21 8 3 5" xfId="30777" xr:uid="{00000000-0005-0000-0000-000044750000}"/>
    <cellStyle name="Normal 21 8 3 6" xfId="30778" xr:uid="{00000000-0005-0000-0000-000045750000}"/>
    <cellStyle name="Normal 21 8 4" xfId="30779" xr:uid="{00000000-0005-0000-0000-000046750000}"/>
    <cellStyle name="Normal 21 8 4 2" xfId="30780" xr:uid="{00000000-0005-0000-0000-000047750000}"/>
    <cellStyle name="Normal 21 8 4 3" xfId="30781" xr:uid="{00000000-0005-0000-0000-000048750000}"/>
    <cellStyle name="Normal 21 8 4 4" xfId="30782" xr:uid="{00000000-0005-0000-0000-000049750000}"/>
    <cellStyle name="Normal 21 8 4 5" xfId="30783" xr:uid="{00000000-0005-0000-0000-00004A750000}"/>
    <cellStyle name="Normal 21 8 4 6" xfId="30784" xr:uid="{00000000-0005-0000-0000-00004B750000}"/>
    <cellStyle name="Normal 21 8 5" xfId="30785" xr:uid="{00000000-0005-0000-0000-00004C750000}"/>
    <cellStyle name="Normal 21 8 5 2" xfId="30786" xr:uid="{00000000-0005-0000-0000-00004D750000}"/>
    <cellStyle name="Normal 21 8 5 3" xfId="30787" xr:uid="{00000000-0005-0000-0000-00004E750000}"/>
    <cellStyle name="Normal 21 8 5 4" xfId="30788" xr:uid="{00000000-0005-0000-0000-00004F750000}"/>
    <cellStyle name="Normal 21 8 5 5" xfId="30789" xr:uid="{00000000-0005-0000-0000-000050750000}"/>
    <cellStyle name="Normal 21 8 5 6" xfId="30790" xr:uid="{00000000-0005-0000-0000-000051750000}"/>
    <cellStyle name="Normal 21 8 6" xfId="30791" xr:uid="{00000000-0005-0000-0000-000052750000}"/>
    <cellStyle name="Normal 21 8 6 2" xfId="30792" xr:uid="{00000000-0005-0000-0000-000053750000}"/>
    <cellStyle name="Normal 21 8 6 3" xfId="30793" xr:uid="{00000000-0005-0000-0000-000054750000}"/>
    <cellStyle name="Normal 21 8 6 4" xfId="30794" xr:uid="{00000000-0005-0000-0000-000055750000}"/>
    <cellStyle name="Normal 21 8 6 5" xfId="30795" xr:uid="{00000000-0005-0000-0000-000056750000}"/>
    <cellStyle name="Normal 21 8 6 6" xfId="30796" xr:uid="{00000000-0005-0000-0000-000057750000}"/>
    <cellStyle name="Normal 21 8 7" xfId="30797" xr:uid="{00000000-0005-0000-0000-000058750000}"/>
    <cellStyle name="Normal 21 8 7 2" xfId="30798" xr:uid="{00000000-0005-0000-0000-000059750000}"/>
    <cellStyle name="Normal 21 8 7 3" xfId="30799" xr:uid="{00000000-0005-0000-0000-00005A750000}"/>
    <cellStyle name="Normal 21 8 7 4" xfId="30800" xr:uid="{00000000-0005-0000-0000-00005B750000}"/>
    <cellStyle name="Normal 21 8 7 5" xfId="30801" xr:uid="{00000000-0005-0000-0000-00005C750000}"/>
    <cellStyle name="Normal 21 8 7 6" xfId="30802" xr:uid="{00000000-0005-0000-0000-00005D750000}"/>
    <cellStyle name="Normal 21 8 8" xfId="30803" xr:uid="{00000000-0005-0000-0000-00005E750000}"/>
    <cellStyle name="Normal 21 8 8 2" xfId="30804" xr:uid="{00000000-0005-0000-0000-00005F750000}"/>
    <cellStyle name="Normal 21 8 8 3" xfId="30805" xr:uid="{00000000-0005-0000-0000-000060750000}"/>
    <cellStyle name="Normal 21 8 8 4" xfId="30806" xr:uid="{00000000-0005-0000-0000-000061750000}"/>
    <cellStyle name="Normal 21 8 8 5" xfId="30807" xr:uid="{00000000-0005-0000-0000-000062750000}"/>
    <cellStyle name="Normal 21 8 8 6" xfId="30808" xr:uid="{00000000-0005-0000-0000-000063750000}"/>
    <cellStyle name="Normal 21 8 9" xfId="30809" xr:uid="{00000000-0005-0000-0000-000064750000}"/>
    <cellStyle name="Normal 21 9" xfId="30810" xr:uid="{00000000-0005-0000-0000-000065750000}"/>
    <cellStyle name="Normal 21 9 10" xfId="30811" xr:uid="{00000000-0005-0000-0000-000066750000}"/>
    <cellStyle name="Normal 21 9 11" xfId="30812" xr:uid="{00000000-0005-0000-0000-000067750000}"/>
    <cellStyle name="Normal 21 9 12" xfId="30813" xr:uid="{00000000-0005-0000-0000-000068750000}"/>
    <cellStyle name="Normal 21 9 13" xfId="30814" xr:uid="{00000000-0005-0000-0000-000069750000}"/>
    <cellStyle name="Normal 21 9 2" xfId="30815" xr:uid="{00000000-0005-0000-0000-00006A750000}"/>
    <cellStyle name="Normal 21 9 2 2" xfId="30816" xr:uid="{00000000-0005-0000-0000-00006B750000}"/>
    <cellStyle name="Normal 21 9 2 3" xfId="30817" xr:uid="{00000000-0005-0000-0000-00006C750000}"/>
    <cellStyle name="Normal 21 9 2 4" xfId="30818" xr:uid="{00000000-0005-0000-0000-00006D750000}"/>
    <cellStyle name="Normal 21 9 2 5" xfId="30819" xr:uid="{00000000-0005-0000-0000-00006E750000}"/>
    <cellStyle name="Normal 21 9 2 6" xfId="30820" xr:uid="{00000000-0005-0000-0000-00006F750000}"/>
    <cellStyle name="Normal 21 9 3" xfId="30821" xr:uid="{00000000-0005-0000-0000-000070750000}"/>
    <cellStyle name="Normal 21 9 3 2" xfId="30822" xr:uid="{00000000-0005-0000-0000-000071750000}"/>
    <cellStyle name="Normal 21 9 3 3" xfId="30823" xr:uid="{00000000-0005-0000-0000-000072750000}"/>
    <cellStyle name="Normal 21 9 3 4" xfId="30824" xr:uid="{00000000-0005-0000-0000-000073750000}"/>
    <cellStyle name="Normal 21 9 3 5" xfId="30825" xr:uid="{00000000-0005-0000-0000-000074750000}"/>
    <cellStyle name="Normal 21 9 3 6" xfId="30826" xr:uid="{00000000-0005-0000-0000-000075750000}"/>
    <cellStyle name="Normal 21 9 4" xfId="30827" xr:uid="{00000000-0005-0000-0000-000076750000}"/>
    <cellStyle name="Normal 21 9 4 2" xfId="30828" xr:uid="{00000000-0005-0000-0000-000077750000}"/>
    <cellStyle name="Normal 21 9 4 3" xfId="30829" xr:uid="{00000000-0005-0000-0000-000078750000}"/>
    <cellStyle name="Normal 21 9 4 4" xfId="30830" xr:uid="{00000000-0005-0000-0000-000079750000}"/>
    <cellStyle name="Normal 21 9 4 5" xfId="30831" xr:uid="{00000000-0005-0000-0000-00007A750000}"/>
    <cellStyle name="Normal 21 9 4 6" xfId="30832" xr:uid="{00000000-0005-0000-0000-00007B750000}"/>
    <cellStyle name="Normal 21 9 5" xfId="30833" xr:uid="{00000000-0005-0000-0000-00007C750000}"/>
    <cellStyle name="Normal 21 9 5 2" xfId="30834" xr:uid="{00000000-0005-0000-0000-00007D750000}"/>
    <cellStyle name="Normal 21 9 5 3" xfId="30835" xr:uid="{00000000-0005-0000-0000-00007E750000}"/>
    <cellStyle name="Normal 21 9 5 4" xfId="30836" xr:uid="{00000000-0005-0000-0000-00007F750000}"/>
    <cellStyle name="Normal 21 9 5 5" xfId="30837" xr:uid="{00000000-0005-0000-0000-000080750000}"/>
    <cellStyle name="Normal 21 9 5 6" xfId="30838" xr:uid="{00000000-0005-0000-0000-000081750000}"/>
    <cellStyle name="Normal 21 9 6" xfId="30839" xr:uid="{00000000-0005-0000-0000-000082750000}"/>
    <cellStyle name="Normal 21 9 6 2" xfId="30840" xr:uid="{00000000-0005-0000-0000-000083750000}"/>
    <cellStyle name="Normal 21 9 6 3" xfId="30841" xr:uid="{00000000-0005-0000-0000-000084750000}"/>
    <cellStyle name="Normal 21 9 6 4" xfId="30842" xr:uid="{00000000-0005-0000-0000-000085750000}"/>
    <cellStyle name="Normal 21 9 6 5" xfId="30843" xr:uid="{00000000-0005-0000-0000-000086750000}"/>
    <cellStyle name="Normal 21 9 6 6" xfId="30844" xr:uid="{00000000-0005-0000-0000-000087750000}"/>
    <cellStyle name="Normal 21 9 7" xfId="30845" xr:uid="{00000000-0005-0000-0000-000088750000}"/>
    <cellStyle name="Normal 21 9 7 2" xfId="30846" xr:uid="{00000000-0005-0000-0000-000089750000}"/>
    <cellStyle name="Normal 21 9 7 3" xfId="30847" xr:uid="{00000000-0005-0000-0000-00008A750000}"/>
    <cellStyle name="Normal 21 9 7 4" xfId="30848" xr:uid="{00000000-0005-0000-0000-00008B750000}"/>
    <cellStyle name="Normal 21 9 7 5" xfId="30849" xr:uid="{00000000-0005-0000-0000-00008C750000}"/>
    <cellStyle name="Normal 21 9 7 6" xfId="30850" xr:uid="{00000000-0005-0000-0000-00008D750000}"/>
    <cellStyle name="Normal 21 9 8" xfId="30851" xr:uid="{00000000-0005-0000-0000-00008E750000}"/>
    <cellStyle name="Normal 21 9 8 2" xfId="30852" xr:uid="{00000000-0005-0000-0000-00008F750000}"/>
    <cellStyle name="Normal 21 9 8 3" xfId="30853" xr:uid="{00000000-0005-0000-0000-000090750000}"/>
    <cellStyle name="Normal 21 9 8 4" xfId="30854" xr:uid="{00000000-0005-0000-0000-000091750000}"/>
    <cellStyle name="Normal 21 9 8 5" xfId="30855" xr:uid="{00000000-0005-0000-0000-000092750000}"/>
    <cellStyle name="Normal 21 9 8 6" xfId="30856" xr:uid="{00000000-0005-0000-0000-000093750000}"/>
    <cellStyle name="Normal 21 9 9" xfId="30857" xr:uid="{00000000-0005-0000-0000-000094750000}"/>
    <cellStyle name="Normal 22" xfId="1063" xr:uid="{00000000-0005-0000-0000-000095750000}"/>
    <cellStyle name="Normal 22 10" xfId="30858" xr:uid="{00000000-0005-0000-0000-000096750000}"/>
    <cellStyle name="Normal 22 11" xfId="30859" xr:uid="{00000000-0005-0000-0000-000097750000}"/>
    <cellStyle name="Normal 22 12" xfId="30860" xr:uid="{00000000-0005-0000-0000-000098750000}"/>
    <cellStyle name="Normal 22 13" xfId="30861" xr:uid="{00000000-0005-0000-0000-000099750000}"/>
    <cellStyle name="Normal 22 14" xfId="30862" xr:uid="{00000000-0005-0000-0000-00009A750000}"/>
    <cellStyle name="Normal 22 15" xfId="30863" xr:uid="{00000000-0005-0000-0000-00009B750000}"/>
    <cellStyle name="Normal 22 16" xfId="30864" xr:uid="{00000000-0005-0000-0000-00009C750000}"/>
    <cellStyle name="Normal 22 17" xfId="30865" xr:uid="{00000000-0005-0000-0000-00009D750000}"/>
    <cellStyle name="Normal 22 18" xfId="30866" xr:uid="{00000000-0005-0000-0000-00009E750000}"/>
    <cellStyle name="Normal 22 19" xfId="30867" xr:uid="{00000000-0005-0000-0000-00009F750000}"/>
    <cellStyle name="Normal 22 2" xfId="30868" xr:uid="{00000000-0005-0000-0000-0000A0750000}"/>
    <cellStyle name="Normal 22 20" xfId="30869" xr:uid="{00000000-0005-0000-0000-0000A1750000}"/>
    <cellStyle name="Normal 22 21" xfId="30870" xr:uid="{00000000-0005-0000-0000-0000A2750000}"/>
    <cellStyle name="Normal 22 22" xfId="30871" xr:uid="{00000000-0005-0000-0000-0000A3750000}"/>
    <cellStyle name="Normal 22 23" xfId="30872" xr:uid="{00000000-0005-0000-0000-0000A4750000}"/>
    <cellStyle name="Normal 22 24" xfId="30873" xr:uid="{00000000-0005-0000-0000-0000A5750000}"/>
    <cellStyle name="Normal 22 25" xfId="30874" xr:uid="{00000000-0005-0000-0000-0000A6750000}"/>
    <cellStyle name="Normal 22 26" xfId="30875" xr:uid="{00000000-0005-0000-0000-0000A7750000}"/>
    <cellStyle name="Normal 22 27" xfId="30876" xr:uid="{00000000-0005-0000-0000-0000A8750000}"/>
    <cellStyle name="Normal 22 28" xfId="30877" xr:uid="{00000000-0005-0000-0000-0000A9750000}"/>
    <cellStyle name="Normal 22 29" xfId="30878" xr:uid="{00000000-0005-0000-0000-0000AA750000}"/>
    <cellStyle name="Normal 22 3" xfId="30879" xr:uid="{00000000-0005-0000-0000-0000AB750000}"/>
    <cellStyle name="Normal 22 30" xfId="30880" xr:uid="{00000000-0005-0000-0000-0000AC750000}"/>
    <cellStyle name="Normal 22 31" xfId="30881" xr:uid="{00000000-0005-0000-0000-0000AD750000}"/>
    <cellStyle name="Normal 22 32" xfId="30882" xr:uid="{00000000-0005-0000-0000-0000AE750000}"/>
    <cellStyle name="Normal 22 33" xfId="30883" xr:uid="{00000000-0005-0000-0000-0000AF750000}"/>
    <cellStyle name="Normal 22 34" xfId="30884" xr:uid="{00000000-0005-0000-0000-0000B0750000}"/>
    <cellStyle name="Normal 22 35" xfId="30885" xr:uid="{00000000-0005-0000-0000-0000B1750000}"/>
    <cellStyle name="Normal 22 36" xfId="30886" xr:uid="{00000000-0005-0000-0000-0000B2750000}"/>
    <cellStyle name="Normal 22 37" xfId="30887" xr:uid="{00000000-0005-0000-0000-0000B3750000}"/>
    <cellStyle name="Normal 22 38" xfId="30888" xr:uid="{00000000-0005-0000-0000-0000B4750000}"/>
    <cellStyle name="Normal 22 39" xfId="30889" xr:uid="{00000000-0005-0000-0000-0000B5750000}"/>
    <cellStyle name="Normal 22 4" xfId="30890" xr:uid="{00000000-0005-0000-0000-0000B6750000}"/>
    <cellStyle name="Normal 22 40" xfId="30891" xr:uid="{00000000-0005-0000-0000-0000B7750000}"/>
    <cellStyle name="Normal 22 41" xfId="30892" xr:uid="{00000000-0005-0000-0000-0000B8750000}"/>
    <cellStyle name="Normal 22 42" xfId="30893" xr:uid="{00000000-0005-0000-0000-0000B9750000}"/>
    <cellStyle name="Normal 22 43" xfId="30894" xr:uid="{00000000-0005-0000-0000-0000BA750000}"/>
    <cellStyle name="Normal 22 5" xfId="30895" xr:uid="{00000000-0005-0000-0000-0000BB750000}"/>
    <cellStyle name="Normal 22 6" xfId="30896" xr:uid="{00000000-0005-0000-0000-0000BC750000}"/>
    <cellStyle name="Normal 22 7" xfId="30897" xr:uid="{00000000-0005-0000-0000-0000BD750000}"/>
    <cellStyle name="Normal 22 8" xfId="30898" xr:uid="{00000000-0005-0000-0000-0000BE750000}"/>
    <cellStyle name="Normal 22 9" xfId="30899" xr:uid="{00000000-0005-0000-0000-0000BF750000}"/>
    <cellStyle name="Normal 23" xfId="1064" xr:uid="{00000000-0005-0000-0000-0000C0750000}"/>
    <cellStyle name="Normal 23 10" xfId="30900" xr:uid="{00000000-0005-0000-0000-0000C1750000}"/>
    <cellStyle name="Normal 23 11" xfId="30901" xr:uid="{00000000-0005-0000-0000-0000C2750000}"/>
    <cellStyle name="Normal 23 12" xfId="30902" xr:uid="{00000000-0005-0000-0000-0000C3750000}"/>
    <cellStyle name="Normal 23 13" xfId="30903" xr:uid="{00000000-0005-0000-0000-0000C4750000}"/>
    <cellStyle name="Normal 23 14" xfId="30904" xr:uid="{00000000-0005-0000-0000-0000C5750000}"/>
    <cellStyle name="Normal 23 15" xfId="30905" xr:uid="{00000000-0005-0000-0000-0000C6750000}"/>
    <cellStyle name="Normal 23 16" xfId="30906" xr:uid="{00000000-0005-0000-0000-0000C7750000}"/>
    <cellStyle name="Normal 23 17" xfId="30907" xr:uid="{00000000-0005-0000-0000-0000C8750000}"/>
    <cellStyle name="Normal 23 18" xfId="30908" xr:uid="{00000000-0005-0000-0000-0000C9750000}"/>
    <cellStyle name="Normal 23 19" xfId="30909" xr:uid="{00000000-0005-0000-0000-0000CA750000}"/>
    <cellStyle name="Normal 23 2" xfId="30910" xr:uid="{00000000-0005-0000-0000-0000CB750000}"/>
    <cellStyle name="Normal 23 20" xfId="30911" xr:uid="{00000000-0005-0000-0000-0000CC750000}"/>
    <cellStyle name="Normal 23 21" xfId="30912" xr:uid="{00000000-0005-0000-0000-0000CD750000}"/>
    <cellStyle name="Normal 23 22" xfId="30913" xr:uid="{00000000-0005-0000-0000-0000CE750000}"/>
    <cellStyle name="Normal 23 23" xfId="30914" xr:uid="{00000000-0005-0000-0000-0000CF750000}"/>
    <cellStyle name="Normal 23 24" xfId="30915" xr:uid="{00000000-0005-0000-0000-0000D0750000}"/>
    <cellStyle name="Normal 23 25" xfId="30916" xr:uid="{00000000-0005-0000-0000-0000D1750000}"/>
    <cellStyle name="Normal 23 26" xfId="30917" xr:uid="{00000000-0005-0000-0000-0000D2750000}"/>
    <cellStyle name="Normal 23 27" xfId="30918" xr:uid="{00000000-0005-0000-0000-0000D3750000}"/>
    <cellStyle name="Normal 23 28" xfId="30919" xr:uid="{00000000-0005-0000-0000-0000D4750000}"/>
    <cellStyle name="Normal 23 29" xfId="30920" xr:uid="{00000000-0005-0000-0000-0000D5750000}"/>
    <cellStyle name="Normal 23 3" xfId="30921" xr:uid="{00000000-0005-0000-0000-0000D6750000}"/>
    <cellStyle name="Normal 23 30" xfId="30922" xr:uid="{00000000-0005-0000-0000-0000D7750000}"/>
    <cellStyle name="Normal 23 31" xfId="30923" xr:uid="{00000000-0005-0000-0000-0000D8750000}"/>
    <cellStyle name="Normal 23 32" xfId="30924" xr:uid="{00000000-0005-0000-0000-0000D9750000}"/>
    <cellStyle name="Normal 23 33" xfId="30925" xr:uid="{00000000-0005-0000-0000-0000DA750000}"/>
    <cellStyle name="Normal 23 34" xfId="30926" xr:uid="{00000000-0005-0000-0000-0000DB750000}"/>
    <cellStyle name="Normal 23 35" xfId="30927" xr:uid="{00000000-0005-0000-0000-0000DC750000}"/>
    <cellStyle name="Normal 23 36" xfId="30928" xr:uid="{00000000-0005-0000-0000-0000DD750000}"/>
    <cellStyle name="Normal 23 37" xfId="30929" xr:uid="{00000000-0005-0000-0000-0000DE750000}"/>
    <cellStyle name="Normal 23 38" xfId="30930" xr:uid="{00000000-0005-0000-0000-0000DF750000}"/>
    <cellStyle name="Normal 23 39" xfId="30931" xr:uid="{00000000-0005-0000-0000-0000E0750000}"/>
    <cellStyle name="Normal 23 4" xfId="30932" xr:uid="{00000000-0005-0000-0000-0000E1750000}"/>
    <cellStyle name="Normal 23 40" xfId="30933" xr:uid="{00000000-0005-0000-0000-0000E2750000}"/>
    <cellStyle name="Normal 23 41" xfId="30934" xr:uid="{00000000-0005-0000-0000-0000E3750000}"/>
    <cellStyle name="Normal 23 42" xfId="30935" xr:uid="{00000000-0005-0000-0000-0000E4750000}"/>
    <cellStyle name="Normal 23 43" xfId="30936" xr:uid="{00000000-0005-0000-0000-0000E5750000}"/>
    <cellStyle name="Normal 23 5" xfId="30937" xr:uid="{00000000-0005-0000-0000-0000E6750000}"/>
    <cellStyle name="Normal 23 6" xfId="30938" xr:uid="{00000000-0005-0000-0000-0000E7750000}"/>
    <cellStyle name="Normal 23 7" xfId="30939" xr:uid="{00000000-0005-0000-0000-0000E8750000}"/>
    <cellStyle name="Normal 23 8" xfId="30940" xr:uid="{00000000-0005-0000-0000-0000E9750000}"/>
    <cellStyle name="Normal 23 9" xfId="30941" xr:uid="{00000000-0005-0000-0000-0000EA750000}"/>
    <cellStyle name="Normal 24" xfId="1065" xr:uid="{00000000-0005-0000-0000-0000EB750000}"/>
    <cellStyle name="Normal 24 10" xfId="30942" xr:uid="{00000000-0005-0000-0000-0000EC750000}"/>
    <cellStyle name="Normal 24 11" xfId="30943" xr:uid="{00000000-0005-0000-0000-0000ED750000}"/>
    <cellStyle name="Normal 24 12" xfId="30944" xr:uid="{00000000-0005-0000-0000-0000EE750000}"/>
    <cellStyle name="Normal 24 13" xfId="30945" xr:uid="{00000000-0005-0000-0000-0000EF750000}"/>
    <cellStyle name="Normal 24 14" xfId="30946" xr:uid="{00000000-0005-0000-0000-0000F0750000}"/>
    <cellStyle name="Normal 24 15" xfId="30947" xr:uid="{00000000-0005-0000-0000-0000F1750000}"/>
    <cellStyle name="Normal 24 16" xfId="30948" xr:uid="{00000000-0005-0000-0000-0000F2750000}"/>
    <cellStyle name="Normal 24 17" xfId="30949" xr:uid="{00000000-0005-0000-0000-0000F3750000}"/>
    <cellStyle name="Normal 24 18" xfId="30950" xr:uid="{00000000-0005-0000-0000-0000F4750000}"/>
    <cellStyle name="Normal 24 19" xfId="30951" xr:uid="{00000000-0005-0000-0000-0000F5750000}"/>
    <cellStyle name="Normal 24 2" xfId="30952" xr:uid="{00000000-0005-0000-0000-0000F6750000}"/>
    <cellStyle name="Normal 24 20" xfId="30953" xr:uid="{00000000-0005-0000-0000-0000F7750000}"/>
    <cellStyle name="Normal 24 21" xfId="30954" xr:uid="{00000000-0005-0000-0000-0000F8750000}"/>
    <cellStyle name="Normal 24 22" xfId="30955" xr:uid="{00000000-0005-0000-0000-0000F9750000}"/>
    <cellStyle name="Normal 24 23" xfId="30956" xr:uid="{00000000-0005-0000-0000-0000FA750000}"/>
    <cellStyle name="Normal 24 24" xfId="30957" xr:uid="{00000000-0005-0000-0000-0000FB750000}"/>
    <cellStyle name="Normal 24 25" xfId="30958" xr:uid="{00000000-0005-0000-0000-0000FC750000}"/>
    <cellStyle name="Normal 24 26" xfId="30959" xr:uid="{00000000-0005-0000-0000-0000FD750000}"/>
    <cellStyle name="Normal 24 27" xfId="30960" xr:uid="{00000000-0005-0000-0000-0000FE750000}"/>
    <cellStyle name="Normal 24 28" xfId="30961" xr:uid="{00000000-0005-0000-0000-0000FF750000}"/>
    <cellStyle name="Normal 24 29" xfId="30962" xr:uid="{00000000-0005-0000-0000-000000760000}"/>
    <cellStyle name="Normal 24 3" xfId="30963" xr:uid="{00000000-0005-0000-0000-000001760000}"/>
    <cellStyle name="Normal 24 30" xfId="30964" xr:uid="{00000000-0005-0000-0000-000002760000}"/>
    <cellStyle name="Normal 24 31" xfId="30965" xr:uid="{00000000-0005-0000-0000-000003760000}"/>
    <cellStyle name="Normal 24 32" xfId="30966" xr:uid="{00000000-0005-0000-0000-000004760000}"/>
    <cellStyle name="Normal 24 33" xfId="30967" xr:uid="{00000000-0005-0000-0000-000005760000}"/>
    <cellStyle name="Normal 24 34" xfId="30968" xr:uid="{00000000-0005-0000-0000-000006760000}"/>
    <cellStyle name="Normal 24 35" xfId="30969" xr:uid="{00000000-0005-0000-0000-000007760000}"/>
    <cellStyle name="Normal 24 36" xfId="30970" xr:uid="{00000000-0005-0000-0000-000008760000}"/>
    <cellStyle name="Normal 24 37" xfId="30971" xr:uid="{00000000-0005-0000-0000-000009760000}"/>
    <cellStyle name="Normal 24 38" xfId="30972" xr:uid="{00000000-0005-0000-0000-00000A760000}"/>
    <cellStyle name="Normal 24 39" xfId="30973" xr:uid="{00000000-0005-0000-0000-00000B760000}"/>
    <cellStyle name="Normal 24 4" xfId="30974" xr:uid="{00000000-0005-0000-0000-00000C760000}"/>
    <cellStyle name="Normal 24 40" xfId="30975" xr:uid="{00000000-0005-0000-0000-00000D760000}"/>
    <cellStyle name="Normal 24 41" xfId="30976" xr:uid="{00000000-0005-0000-0000-00000E760000}"/>
    <cellStyle name="Normal 24 42" xfId="30977" xr:uid="{00000000-0005-0000-0000-00000F760000}"/>
    <cellStyle name="Normal 24 43" xfId="30978" xr:uid="{00000000-0005-0000-0000-000010760000}"/>
    <cellStyle name="Normal 24 5" xfId="30979" xr:uid="{00000000-0005-0000-0000-000011760000}"/>
    <cellStyle name="Normal 24 6" xfId="30980" xr:uid="{00000000-0005-0000-0000-000012760000}"/>
    <cellStyle name="Normal 24 7" xfId="30981" xr:uid="{00000000-0005-0000-0000-000013760000}"/>
    <cellStyle name="Normal 24 8" xfId="30982" xr:uid="{00000000-0005-0000-0000-000014760000}"/>
    <cellStyle name="Normal 24 9" xfId="30983" xr:uid="{00000000-0005-0000-0000-000015760000}"/>
    <cellStyle name="Normal 25" xfId="1066" xr:uid="{00000000-0005-0000-0000-000016760000}"/>
    <cellStyle name="Normal 25 10" xfId="30984" xr:uid="{00000000-0005-0000-0000-000017760000}"/>
    <cellStyle name="Normal 25 11" xfId="30985" xr:uid="{00000000-0005-0000-0000-000018760000}"/>
    <cellStyle name="Normal 25 12" xfId="30986" xr:uid="{00000000-0005-0000-0000-000019760000}"/>
    <cellStyle name="Normal 25 13" xfId="30987" xr:uid="{00000000-0005-0000-0000-00001A760000}"/>
    <cellStyle name="Normal 25 14" xfId="30988" xr:uid="{00000000-0005-0000-0000-00001B760000}"/>
    <cellStyle name="Normal 25 15" xfId="30989" xr:uid="{00000000-0005-0000-0000-00001C760000}"/>
    <cellStyle name="Normal 25 16" xfId="30990" xr:uid="{00000000-0005-0000-0000-00001D760000}"/>
    <cellStyle name="Normal 25 17" xfId="30991" xr:uid="{00000000-0005-0000-0000-00001E760000}"/>
    <cellStyle name="Normal 25 18" xfId="30992" xr:uid="{00000000-0005-0000-0000-00001F760000}"/>
    <cellStyle name="Normal 25 19" xfId="30993" xr:uid="{00000000-0005-0000-0000-000020760000}"/>
    <cellStyle name="Normal 25 2" xfId="30994" xr:uid="{00000000-0005-0000-0000-000021760000}"/>
    <cellStyle name="Normal 25 20" xfId="30995" xr:uid="{00000000-0005-0000-0000-000022760000}"/>
    <cellStyle name="Normal 25 21" xfId="30996" xr:uid="{00000000-0005-0000-0000-000023760000}"/>
    <cellStyle name="Normal 25 22" xfId="30997" xr:uid="{00000000-0005-0000-0000-000024760000}"/>
    <cellStyle name="Normal 25 23" xfId="30998" xr:uid="{00000000-0005-0000-0000-000025760000}"/>
    <cellStyle name="Normal 25 24" xfId="30999" xr:uid="{00000000-0005-0000-0000-000026760000}"/>
    <cellStyle name="Normal 25 25" xfId="31000" xr:uid="{00000000-0005-0000-0000-000027760000}"/>
    <cellStyle name="Normal 25 26" xfId="31001" xr:uid="{00000000-0005-0000-0000-000028760000}"/>
    <cellStyle name="Normal 25 27" xfId="31002" xr:uid="{00000000-0005-0000-0000-000029760000}"/>
    <cellStyle name="Normal 25 28" xfId="31003" xr:uid="{00000000-0005-0000-0000-00002A760000}"/>
    <cellStyle name="Normal 25 29" xfId="31004" xr:uid="{00000000-0005-0000-0000-00002B760000}"/>
    <cellStyle name="Normal 25 3" xfId="31005" xr:uid="{00000000-0005-0000-0000-00002C760000}"/>
    <cellStyle name="Normal 25 30" xfId="31006" xr:uid="{00000000-0005-0000-0000-00002D760000}"/>
    <cellStyle name="Normal 25 31" xfId="31007" xr:uid="{00000000-0005-0000-0000-00002E760000}"/>
    <cellStyle name="Normal 25 32" xfId="31008" xr:uid="{00000000-0005-0000-0000-00002F760000}"/>
    <cellStyle name="Normal 25 33" xfId="31009" xr:uid="{00000000-0005-0000-0000-000030760000}"/>
    <cellStyle name="Normal 25 34" xfId="31010" xr:uid="{00000000-0005-0000-0000-000031760000}"/>
    <cellStyle name="Normal 25 35" xfId="31011" xr:uid="{00000000-0005-0000-0000-000032760000}"/>
    <cellStyle name="Normal 25 36" xfId="31012" xr:uid="{00000000-0005-0000-0000-000033760000}"/>
    <cellStyle name="Normal 25 37" xfId="31013" xr:uid="{00000000-0005-0000-0000-000034760000}"/>
    <cellStyle name="Normal 25 38" xfId="31014" xr:uid="{00000000-0005-0000-0000-000035760000}"/>
    <cellStyle name="Normal 25 39" xfId="31015" xr:uid="{00000000-0005-0000-0000-000036760000}"/>
    <cellStyle name="Normal 25 4" xfId="31016" xr:uid="{00000000-0005-0000-0000-000037760000}"/>
    <cellStyle name="Normal 25 40" xfId="31017" xr:uid="{00000000-0005-0000-0000-000038760000}"/>
    <cellStyle name="Normal 25 41" xfId="31018" xr:uid="{00000000-0005-0000-0000-000039760000}"/>
    <cellStyle name="Normal 25 42" xfId="31019" xr:uid="{00000000-0005-0000-0000-00003A760000}"/>
    <cellStyle name="Normal 25 43" xfId="31020" xr:uid="{00000000-0005-0000-0000-00003B760000}"/>
    <cellStyle name="Normal 25 5" xfId="31021" xr:uid="{00000000-0005-0000-0000-00003C760000}"/>
    <cellStyle name="Normal 25 6" xfId="31022" xr:uid="{00000000-0005-0000-0000-00003D760000}"/>
    <cellStyle name="Normal 25 7" xfId="31023" xr:uid="{00000000-0005-0000-0000-00003E760000}"/>
    <cellStyle name="Normal 25 8" xfId="31024" xr:uid="{00000000-0005-0000-0000-00003F760000}"/>
    <cellStyle name="Normal 25 9" xfId="31025" xr:uid="{00000000-0005-0000-0000-000040760000}"/>
    <cellStyle name="Normal 26" xfId="1470" xr:uid="{00000000-0005-0000-0000-000041760000}"/>
    <cellStyle name="Normal 26 10" xfId="31026" xr:uid="{00000000-0005-0000-0000-000042760000}"/>
    <cellStyle name="Normal 26 10 10" xfId="31027" xr:uid="{00000000-0005-0000-0000-000043760000}"/>
    <cellStyle name="Normal 26 10 11" xfId="31028" xr:uid="{00000000-0005-0000-0000-000044760000}"/>
    <cellStyle name="Normal 26 10 12" xfId="31029" xr:uid="{00000000-0005-0000-0000-000045760000}"/>
    <cellStyle name="Normal 26 10 13" xfId="31030" xr:uid="{00000000-0005-0000-0000-000046760000}"/>
    <cellStyle name="Normal 26 10 2" xfId="31031" xr:uid="{00000000-0005-0000-0000-000047760000}"/>
    <cellStyle name="Normal 26 10 2 2" xfId="31032" xr:uid="{00000000-0005-0000-0000-000048760000}"/>
    <cellStyle name="Normal 26 10 2 3" xfId="31033" xr:uid="{00000000-0005-0000-0000-000049760000}"/>
    <cellStyle name="Normal 26 10 2 4" xfId="31034" xr:uid="{00000000-0005-0000-0000-00004A760000}"/>
    <cellStyle name="Normal 26 10 2 5" xfId="31035" xr:uid="{00000000-0005-0000-0000-00004B760000}"/>
    <cellStyle name="Normal 26 10 2 6" xfId="31036" xr:uid="{00000000-0005-0000-0000-00004C760000}"/>
    <cellStyle name="Normal 26 10 3" xfId="31037" xr:uid="{00000000-0005-0000-0000-00004D760000}"/>
    <cellStyle name="Normal 26 10 3 2" xfId="31038" xr:uid="{00000000-0005-0000-0000-00004E760000}"/>
    <cellStyle name="Normal 26 10 3 3" xfId="31039" xr:uid="{00000000-0005-0000-0000-00004F760000}"/>
    <cellStyle name="Normal 26 10 3 4" xfId="31040" xr:uid="{00000000-0005-0000-0000-000050760000}"/>
    <cellStyle name="Normal 26 10 3 5" xfId="31041" xr:uid="{00000000-0005-0000-0000-000051760000}"/>
    <cellStyle name="Normal 26 10 3 6" xfId="31042" xr:uid="{00000000-0005-0000-0000-000052760000}"/>
    <cellStyle name="Normal 26 10 4" xfId="31043" xr:uid="{00000000-0005-0000-0000-000053760000}"/>
    <cellStyle name="Normal 26 10 4 2" xfId="31044" xr:uid="{00000000-0005-0000-0000-000054760000}"/>
    <cellStyle name="Normal 26 10 4 3" xfId="31045" xr:uid="{00000000-0005-0000-0000-000055760000}"/>
    <cellStyle name="Normal 26 10 4 4" xfId="31046" xr:uid="{00000000-0005-0000-0000-000056760000}"/>
    <cellStyle name="Normal 26 10 4 5" xfId="31047" xr:uid="{00000000-0005-0000-0000-000057760000}"/>
    <cellStyle name="Normal 26 10 4 6" xfId="31048" xr:uid="{00000000-0005-0000-0000-000058760000}"/>
    <cellStyle name="Normal 26 10 5" xfId="31049" xr:uid="{00000000-0005-0000-0000-000059760000}"/>
    <cellStyle name="Normal 26 10 5 2" xfId="31050" xr:uid="{00000000-0005-0000-0000-00005A760000}"/>
    <cellStyle name="Normal 26 10 5 3" xfId="31051" xr:uid="{00000000-0005-0000-0000-00005B760000}"/>
    <cellStyle name="Normal 26 10 5 4" xfId="31052" xr:uid="{00000000-0005-0000-0000-00005C760000}"/>
    <cellStyle name="Normal 26 10 5 5" xfId="31053" xr:uid="{00000000-0005-0000-0000-00005D760000}"/>
    <cellStyle name="Normal 26 10 5 6" xfId="31054" xr:uid="{00000000-0005-0000-0000-00005E760000}"/>
    <cellStyle name="Normal 26 10 6" xfId="31055" xr:uid="{00000000-0005-0000-0000-00005F760000}"/>
    <cellStyle name="Normal 26 10 6 2" xfId="31056" xr:uid="{00000000-0005-0000-0000-000060760000}"/>
    <cellStyle name="Normal 26 10 6 3" xfId="31057" xr:uid="{00000000-0005-0000-0000-000061760000}"/>
    <cellStyle name="Normal 26 10 6 4" xfId="31058" xr:uid="{00000000-0005-0000-0000-000062760000}"/>
    <cellStyle name="Normal 26 10 6 5" xfId="31059" xr:uid="{00000000-0005-0000-0000-000063760000}"/>
    <cellStyle name="Normal 26 10 6 6" xfId="31060" xr:uid="{00000000-0005-0000-0000-000064760000}"/>
    <cellStyle name="Normal 26 10 7" xfId="31061" xr:uid="{00000000-0005-0000-0000-000065760000}"/>
    <cellStyle name="Normal 26 10 7 2" xfId="31062" xr:uid="{00000000-0005-0000-0000-000066760000}"/>
    <cellStyle name="Normal 26 10 7 3" xfId="31063" xr:uid="{00000000-0005-0000-0000-000067760000}"/>
    <cellStyle name="Normal 26 10 7 4" xfId="31064" xr:uid="{00000000-0005-0000-0000-000068760000}"/>
    <cellStyle name="Normal 26 10 7 5" xfId="31065" xr:uid="{00000000-0005-0000-0000-000069760000}"/>
    <cellStyle name="Normal 26 10 7 6" xfId="31066" xr:uid="{00000000-0005-0000-0000-00006A760000}"/>
    <cellStyle name="Normal 26 10 8" xfId="31067" xr:uid="{00000000-0005-0000-0000-00006B760000}"/>
    <cellStyle name="Normal 26 10 8 2" xfId="31068" xr:uid="{00000000-0005-0000-0000-00006C760000}"/>
    <cellStyle name="Normal 26 10 8 3" xfId="31069" xr:uid="{00000000-0005-0000-0000-00006D760000}"/>
    <cellStyle name="Normal 26 10 8 4" xfId="31070" xr:uid="{00000000-0005-0000-0000-00006E760000}"/>
    <cellStyle name="Normal 26 10 8 5" xfId="31071" xr:uid="{00000000-0005-0000-0000-00006F760000}"/>
    <cellStyle name="Normal 26 10 8 6" xfId="31072" xr:uid="{00000000-0005-0000-0000-000070760000}"/>
    <cellStyle name="Normal 26 10 9" xfId="31073" xr:uid="{00000000-0005-0000-0000-000071760000}"/>
    <cellStyle name="Normal 26 11" xfId="31074" xr:uid="{00000000-0005-0000-0000-000072760000}"/>
    <cellStyle name="Normal 26 11 10" xfId="31075" xr:uid="{00000000-0005-0000-0000-000073760000}"/>
    <cellStyle name="Normal 26 11 11" xfId="31076" xr:uid="{00000000-0005-0000-0000-000074760000}"/>
    <cellStyle name="Normal 26 11 12" xfId="31077" xr:uid="{00000000-0005-0000-0000-000075760000}"/>
    <cellStyle name="Normal 26 11 13" xfId="31078" xr:uid="{00000000-0005-0000-0000-000076760000}"/>
    <cellStyle name="Normal 26 11 2" xfId="31079" xr:uid="{00000000-0005-0000-0000-000077760000}"/>
    <cellStyle name="Normal 26 11 2 2" xfId="31080" xr:uid="{00000000-0005-0000-0000-000078760000}"/>
    <cellStyle name="Normal 26 11 2 3" xfId="31081" xr:uid="{00000000-0005-0000-0000-000079760000}"/>
    <cellStyle name="Normal 26 11 2 4" xfId="31082" xr:uid="{00000000-0005-0000-0000-00007A760000}"/>
    <cellStyle name="Normal 26 11 2 5" xfId="31083" xr:uid="{00000000-0005-0000-0000-00007B760000}"/>
    <cellStyle name="Normal 26 11 2 6" xfId="31084" xr:uid="{00000000-0005-0000-0000-00007C760000}"/>
    <cellStyle name="Normal 26 11 3" xfId="31085" xr:uid="{00000000-0005-0000-0000-00007D760000}"/>
    <cellStyle name="Normal 26 11 3 2" xfId="31086" xr:uid="{00000000-0005-0000-0000-00007E760000}"/>
    <cellStyle name="Normal 26 11 3 3" xfId="31087" xr:uid="{00000000-0005-0000-0000-00007F760000}"/>
    <cellStyle name="Normal 26 11 3 4" xfId="31088" xr:uid="{00000000-0005-0000-0000-000080760000}"/>
    <cellStyle name="Normal 26 11 3 5" xfId="31089" xr:uid="{00000000-0005-0000-0000-000081760000}"/>
    <cellStyle name="Normal 26 11 3 6" xfId="31090" xr:uid="{00000000-0005-0000-0000-000082760000}"/>
    <cellStyle name="Normal 26 11 4" xfId="31091" xr:uid="{00000000-0005-0000-0000-000083760000}"/>
    <cellStyle name="Normal 26 11 4 2" xfId="31092" xr:uid="{00000000-0005-0000-0000-000084760000}"/>
    <cellStyle name="Normal 26 11 4 3" xfId="31093" xr:uid="{00000000-0005-0000-0000-000085760000}"/>
    <cellStyle name="Normal 26 11 4 4" xfId="31094" xr:uid="{00000000-0005-0000-0000-000086760000}"/>
    <cellStyle name="Normal 26 11 4 5" xfId="31095" xr:uid="{00000000-0005-0000-0000-000087760000}"/>
    <cellStyle name="Normal 26 11 4 6" xfId="31096" xr:uid="{00000000-0005-0000-0000-000088760000}"/>
    <cellStyle name="Normal 26 11 5" xfId="31097" xr:uid="{00000000-0005-0000-0000-000089760000}"/>
    <cellStyle name="Normal 26 11 5 2" xfId="31098" xr:uid="{00000000-0005-0000-0000-00008A760000}"/>
    <cellStyle name="Normal 26 11 5 3" xfId="31099" xr:uid="{00000000-0005-0000-0000-00008B760000}"/>
    <cellStyle name="Normal 26 11 5 4" xfId="31100" xr:uid="{00000000-0005-0000-0000-00008C760000}"/>
    <cellStyle name="Normal 26 11 5 5" xfId="31101" xr:uid="{00000000-0005-0000-0000-00008D760000}"/>
    <cellStyle name="Normal 26 11 5 6" xfId="31102" xr:uid="{00000000-0005-0000-0000-00008E760000}"/>
    <cellStyle name="Normal 26 11 6" xfId="31103" xr:uid="{00000000-0005-0000-0000-00008F760000}"/>
    <cellStyle name="Normal 26 11 6 2" xfId="31104" xr:uid="{00000000-0005-0000-0000-000090760000}"/>
    <cellStyle name="Normal 26 11 6 3" xfId="31105" xr:uid="{00000000-0005-0000-0000-000091760000}"/>
    <cellStyle name="Normal 26 11 6 4" xfId="31106" xr:uid="{00000000-0005-0000-0000-000092760000}"/>
    <cellStyle name="Normal 26 11 6 5" xfId="31107" xr:uid="{00000000-0005-0000-0000-000093760000}"/>
    <cellStyle name="Normal 26 11 6 6" xfId="31108" xr:uid="{00000000-0005-0000-0000-000094760000}"/>
    <cellStyle name="Normal 26 11 7" xfId="31109" xr:uid="{00000000-0005-0000-0000-000095760000}"/>
    <cellStyle name="Normal 26 11 7 2" xfId="31110" xr:uid="{00000000-0005-0000-0000-000096760000}"/>
    <cellStyle name="Normal 26 11 7 3" xfId="31111" xr:uid="{00000000-0005-0000-0000-000097760000}"/>
    <cellStyle name="Normal 26 11 7 4" xfId="31112" xr:uid="{00000000-0005-0000-0000-000098760000}"/>
    <cellStyle name="Normal 26 11 7 5" xfId="31113" xr:uid="{00000000-0005-0000-0000-000099760000}"/>
    <cellStyle name="Normal 26 11 7 6" xfId="31114" xr:uid="{00000000-0005-0000-0000-00009A760000}"/>
    <cellStyle name="Normal 26 11 8" xfId="31115" xr:uid="{00000000-0005-0000-0000-00009B760000}"/>
    <cellStyle name="Normal 26 11 8 2" xfId="31116" xr:uid="{00000000-0005-0000-0000-00009C760000}"/>
    <cellStyle name="Normal 26 11 8 3" xfId="31117" xr:uid="{00000000-0005-0000-0000-00009D760000}"/>
    <cellStyle name="Normal 26 11 8 4" xfId="31118" xr:uid="{00000000-0005-0000-0000-00009E760000}"/>
    <cellStyle name="Normal 26 11 8 5" xfId="31119" xr:uid="{00000000-0005-0000-0000-00009F760000}"/>
    <cellStyle name="Normal 26 11 8 6" xfId="31120" xr:uid="{00000000-0005-0000-0000-0000A0760000}"/>
    <cellStyle name="Normal 26 11 9" xfId="31121" xr:uid="{00000000-0005-0000-0000-0000A1760000}"/>
    <cellStyle name="Normal 26 12" xfId="31122" xr:uid="{00000000-0005-0000-0000-0000A2760000}"/>
    <cellStyle name="Normal 26 12 10" xfId="31123" xr:uid="{00000000-0005-0000-0000-0000A3760000}"/>
    <cellStyle name="Normal 26 12 11" xfId="31124" xr:uid="{00000000-0005-0000-0000-0000A4760000}"/>
    <cellStyle name="Normal 26 12 12" xfId="31125" xr:uid="{00000000-0005-0000-0000-0000A5760000}"/>
    <cellStyle name="Normal 26 12 13" xfId="31126" xr:uid="{00000000-0005-0000-0000-0000A6760000}"/>
    <cellStyle name="Normal 26 12 2" xfId="31127" xr:uid="{00000000-0005-0000-0000-0000A7760000}"/>
    <cellStyle name="Normal 26 12 2 2" xfId="31128" xr:uid="{00000000-0005-0000-0000-0000A8760000}"/>
    <cellStyle name="Normal 26 12 2 3" xfId="31129" xr:uid="{00000000-0005-0000-0000-0000A9760000}"/>
    <cellStyle name="Normal 26 12 2 4" xfId="31130" xr:uid="{00000000-0005-0000-0000-0000AA760000}"/>
    <cellStyle name="Normal 26 12 2 5" xfId="31131" xr:uid="{00000000-0005-0000-0000-0000AB760000}"/>
    <cellStyle name="Normal 26 12 2 6" xfId="31132" xr:uid="{00000000-0005-0000-0000-0000AC760000}"/>
    <cellStyle name="Normal 26 12 3" xfId="31133" xr:uid="{00000000-0005-0000-0000-0000AD760000}"/>
    <cellStyle name="Normal 26 12 3 2" xfId="31134" xr:uid="{00000000-0005-0000-0000-0000AE760000}"/>
    <cellStyle name="Normal 26 12 3 3" xfId="31135" xr:uid="{00000000-0005-0000-0000-0000AF760000}"/>
    <cellStyle name="Normal 26 12 3 4" xfId="31136" xr:uid="{00000000-0005-0000-0000-0000B0760000}"/>
    <cellStyle name="Normal 26 12 3 5" xfId="31137" xr:uid="{00000000-0005-0000-0000-0000B1760000}"/>
    <cellStyle name="Normal 26 12 3 6" xfId="31138" xr:uid="{00000000-0005-0000-0000-0000B2760000}"/>
    <cellStyle name="Normal 26 12 4" xfId="31139" xr:uid="{00000000-0005-0000-0000-0000B3760000}"/>
    <cellStyle name="Normal 26 12 4 2" xfId="31140" xr:uid="{00000000-0005-0000-0000-0000B4760000}"/>
    <cellStyle name="Normal 26 12 4 3" xfId="31141" xr:uid="{00000000-0005-0000-0000-0000B5760000}"/>
    <cellStyle name="Normal 26 12 4 4" xfId="31142" xr:uid="{00000000-0005-0000-0000-0000B6760000}"/>
    <cellStyle name="Normal 26 12 4 5" xfId="31143" xr:uid="{00000000-0005-0000-0000-0000B7760000}"/>
    <cellStyle name="Normal 26 12 4 6" xfId="31144" xr:uid="{00000000-0005-0000-0000-0000B8760000}"/>
    <cellStyle name="Normal 26 12 5" xfId="31145" xr:uid="{00000000-0005-0000-0000-0000B9760000}"/>
    <cellStyle name="Normal 26 12 5 2" xfId="31146" xr:uid="{00000000-0005-0000-0000-0000BA760000}"/>
    <cellStyle name="Normal 26 12 5 3" xfId="31147" xr:uid="{00000000-0005-0000-0000-0000BB760000}"/>
    <cellStyle name="Normal 26 12 5 4" xfId="31148" xr:uid="{00000000-0005-0000-0000-0000BC760000}"/>
    <cellStyle name="Normal 26 12 5 5" xfId="31149" xr:uid="{00000000-0005-0000-0000-0000BD760000}"/>
    <cellStyle name="Normal 26 12 5 6" xfId="31150" xr:uid="{00000000-0005-0000-0000-0000BE760000}"/>
    <cellStyle name="Normal 26 12 6" xfId="31151" xr:uid="{00000000-0005-0000-0000-0000BF760000}"/>
    <cellStyle name="Normal 26 12 6 2" xfId="31152" xr:uid="{00000000-0005-0000-0000-0000C0760000}"/>
    <cellStyle name="Normal 26 12 6 3" xfId="31153" xr:uid="{00000000-0005-0000-0000-0000C1760000}"/>
    <cellStyle name="Normal 26 12 6 4" xfId="31154" xr:uid="{00000000-0005-0000-0000-0000C2760000}"/>
    <cellStyle name="Normal 26 12 6 5" xfId="31155" xr:uid="{00000000-0005-0000-0000-0000C3760000}"/>
    <cellStyle name="Normal 26 12 6 6" xfId="31156" xr:uid="{00000000-0005-0000-0000-0000C4760000}"/>
    <cellStyle name="Normal 26 12 7" xfId="31157" xr:uid="{00000000-0005-0000-0000-0000C5760000}"/>
    <cellStyle name="Normal 26 12 7 2" xfId="31158" xr:uid="{00000000-0005-0000-0000-0000C6760000}"/>
    <cellStyle name="Normal 26 12 7 3" xfId="31159" xr:uid="{00000000-0005-0000-0000-0000C7760000}"/>
    <cellStyle name="Normal 26 12 7 4" xfId="31160" xr:uid="{00000000-0005-0000-0000-0000C8760000}"/>
    <cellStyle name="Normal 26 12 7 5" xfId="31161" xr:uid="{00000000-0005-0000-0000-0000C9760000}"/>
    <cellStyle name="Normal 26 12 7 6" xfId="31162" xr:uid="{00000000-0005-0000-0000-0000CA760000}"/>
    <cellStyle name="Normal 26 12 8" xfId="31163" xr:uid="{00000000-0005-0000-0000-0000CB760000}"/>
    <cellStyle name="Normal 26 12 8 2" xfId="31164" xr:uid="{00000000-0005-0000-0000-0000CC760000}"/>
    <cellStyle name="Normal 26 12 8 3" xfId="31165" xr:uid="{00000000-0005-0000-0000-0000CD760000}"/>
    <cellStyle name="Normal 26 12 8 4" xfId="31166" xr:uid="{00000000-0005-0000-0000-0000CE760000}"/>
    <cellStyle name="Normal 26 12 8 5" xfId="31167" xr:uid="{00000000-0005-0000-0000-0000CF760000}"/>
    <cellStyle name="Normal 26 12 8 6" xfId="31168" xr:uid="{00000000-0005-0000-0000-0000D0760000}"/>
    <cellStyle name="Normal 26 12 9" xfId="31169" xr:uid="{00000000-0005-0000-0000-0000D1760000}"/>
    <cellStyle name="Normal 26 13" xfId="31170" xr:uid="{00000000-0005-0000-0000-0000D2760000}"/>
    <cellStyle name="Normal 26 13 10" xfId="31171" xr:uid="{00000000-0005-0000-0000-0000D3760000}"/>
    <cellStyle name="Normal 26 13 11" xfId="31172" xr:uid="{00000000-0005-0000-0000-0000D4760000}"/>
    <cellStyle name="Normal 26 13 12" xfId="31173" xr:uid="{00000000-0005-0000-0000-0000D5760000}"/>
    <cellStyle name="Normal 26 13 13" xfId="31174" xr:uid="{00000000-0005-0000-0000-0000D6760000}"/>
    <cellStyle name="Normal 26 13 2" xfId="31175" xr:uid="{00000000-0005-0000-0000-0000D7760000}"/>
    <cellStyle name="Normal 26 13 2 2" xfId="31176" xr:uid="{00000000-0005-0000-0000-0000D8760000}"/>
    <cellStyle name="Normal 26 13 2 3" xfId="31177" xr:uid="{00000000-0005-0000-0000-0000D9760000}"/>
    <cellStyle name="Normal 26 13 2 4" xfId="31178" xr:uid="{00000000-0005-0000-0000-0000DA760000}"/>
    <cellStyle name="Normal 26 13 2 5" xfId="31179" xr:uid="{00000000-0005-0000-0000-0000DB760000}"/>
    <cellStyle name="Normal 26 13 2 6" xfId="31180" xr:uid="{00000000-0005-0000-0000-0000DC760000}"/>
    <cellStyle name="Normal 26 13 3" xfId="31181" xr:uid="{00000000-0005-0000-0000-0000DD760000}"/>
    <cellStyle name="Normal 26 13 3 2" xfId="31182" xr:uid="{00000000-0005-0000-0000-0000DE760000}"/>
    <cellStyle name="Normal 26 13 3 3" xfId="31183" xr:uid="{00000000-0005-0000-0000-0000DF760000}"/>
    <cellStyle name="Normal 26 13 3 4" xfId="31184" xr:uid="{00000000-0005-0000-0000-0000E0760000}"/>
    <cellStyle name="Normal 26 13 3 5" xfId="31185" xr:uid="{00000000-0005-0000-0000-0000E1760000}"/>
    <cellStyle name="Normal 26 13 3 6" xfId="31186" xr:uid="{00000000-0005-0000-0000-0000E2760000}"/>
    <cellStyle name="Normal 26 13 4" xfId="31187" xr:uid="{00000000-0005-0000-0000-0000E3760000}"/>
    <cellStyle name="Normal 26 13 4 2" xfId="31188" xr:uid="{00000000-0005-0000-0000-0000E4760000}"/>
    <cellStyle name="Normal 26 13 4 3" xfId="31189" xr:uid="{00000000-0005-0000-0000-0000E5760000}"/>
    <cellStyle name="Normal 26 13 4 4" xfId="31190" xr:uid="{00000000-0005-0000-0000-0000E6760000}"/>
    <cellStyle name="Normal 26 13 4 5" xfId="31191" xr:uid="{00000000-0005-0000-0000-0000E7760000}"/>
    <cellStyle name="Normal 26 13 4 6" xfId="31192" xr:uid="{00000000-0005-0000-0000-0000E8760000}"/>
    <cellStyle name="Normal 26 13 5" xfId="31193" xr:uid="{00000000-0005-0000-0000-0000E9760000}"/>
    <cellStyle name="Normal 26 13 5 2" xfId="31194" xr:uid="{00000000-0005-0000-0000-0000EA760000}"/>
    <cellStyle name="Normal 26 13 5 3" xfId="31195" xr:uid="{00000000-0005-0000-0000-0000EB760000}"/>
    <cellStyle name="Normal 26 13 5 4" xfId="31196" xr:uid="{00000000-0005-0000-0000-0000EC760000}"/>
    <cellStyle name="Normal 26 13 5 5" xfId="31197" xr:uid="{00000000-0005-0000-0000-0000ED760000}"/>
    <cellStyle name="Normal 26 13 5 6" xfId="31198" xr:uid="{00000000-0005-0000-0000-0000EE760000}"/>
    <cellStyle name="Normal 26 13 6" xfId="31199" xr:uid="{00000000-0005-0000-0000-0000EF760000}"/>
    <cellStyle name="Normal 26 13 6 2" xfId="31200" xr:uid="{00000000-0005-0000-0000-0000F0760000}"/>
    <cellStyle name="Normal 26 13 6 3" xfId="31201" xr:uid="{00000000-0005-0000-0000-0000F1760000}"/>
    <cellStyle name="Normal 26 13 6 4" xfId="31202" xr:uid="{00000000-0005-0000-0000-0000F2760000}"/>
    <cellStyle name="Normal 26 13 6 5" xfId="31203" xr:uid="{00000000-0005-0000-0000-0000F3760000}"/>
    <cellStyle name="Normal 26 13 6 6" xfId="31204" xr:uid="{00000000-0005-0000-0000-0000F4760000}"/>
    <cellStyle name="Normal 26 13 7" xfId="31205" xr:uid="{00000000-0005-0000-0000-0000F5760000}"/>
    <cellStyle name="Normal 26 13 7 2" xfId="31206" xr:uid="{00000000-0005-0000-0000-0000F6760000}"/>
    <cellStyle name="Normal 26 13 7 3" xfId="31207" xr:uid="{00000000-0005-0000-0000-0000F7760000}"/>
    <cellStyle name="Normal 26 13 7 4" xfId="31208" xr:uid="{00000000-0005-0000-0000-0000F8760000}"/>
    <cellStyle name="Normal 26 13 7 5" xfId="31209" xr:uid="{00000000-0005-0000-0000-0000F9760000}"/>
    <cellStyle name="Normal 26 13 7 6" xfId="31210" xr:uid="{00000000-0005-0000-0000-0000FA760000}"/>
    <cellStyle name="Normal 26 13 8" xfId="31211" xr:uid="{00000000-0005-0000-0000-0000FB760000}"/>
    <cellStyle name="Normal 26 13 8 2" xfId="31212" xr:uid="{00000000-0005-0000-0000-0000FC760000}"/>
    <cellStyle name="Normal 26 13 8 3" xfId="31213" xr:uid="{00000000-0005-0000-0000-0000FD760000}"/>
    <cellStyle name="Normal 26 13 8 4" xfId="31214" xr:uid="{00000000-0005-0000-0000-0000FE760000}"/>
    <cellStyle name="Normal 26 13 8 5" xfId="31215" xr:uid="{00000000-0005-0000-0000-0000FF760000}"/>
    <cellStyle name="Normal 26 13 8 6" xfId="31216" xr:uid="{00000000-0005-0000-0000-000000770000}"/>
    <cellStyle name="Normal 26 13 9" xfId="31217" xr:uid="{00000000-0005-0000-0000-000001770000}"/>
    <cellStyle name="Normal 26 14" xfId="31218" xr:uid="{00000000-0005-0000-0000-000002770000}"/>
    <cellStyle name="Normal 26 14 10" xfId="31219" xr:uid="{00000000-0005-0000-0000-000003770000}"/>
    <cellStyle name="Normal 26 14 11" xfId="31220" xr:uid="{00000000-0005-0000-0000-000004770000}"/>
    <cellStyle name="Normal 26 14 12" xfId="31221" xr:uid="{00000000-0005-0000-0000-000005770000}"/>
    <cellStyle name="Normal 26 14 13" xfId="31222" xr:uid="{00000000-0005-0000-0000-000006770000}"/>
    <cellStyle name="Normal 26 14 2" xfId="31223" xr:uid="{00000000-0005-0000-0000-000007770000}"/>
    <cellStyle name="Normal 26 14 2 2" xfId="31224" xr:uid="{00000000-0005-0000-0000-000008770000}"/>
    <cellStyle name="Normal 26 14 2 3" xfId="31225" xr:uid="{00000000-0005-0000-0000-000009770000}"/>
    <cellStyle name="Normal 26 14 2 4" xfId="31226" xr:uid="{00000000-0005-0000-0000-00000A770000}"/>
    <cellStyle name="Normal 26 14 2 5" xfId="31227" xr:uid="{00000000-0005-0000-0000-00000B770000}"/>
    <cellStyle name="Normal 26 14 2 6" xfId="31228" xr:uid="{00000000-0005-0000-0000-00000C770000}"/>
    <cellStyle name="Normal 26 14 3" xfId="31229" xr:uid="{00000000-0005-0000-0000-00000D770000}"/>
    <cellStyle name="Normal 26 14 3 2" xfId="31230" xr:uid="{00000000-0005-0000-0000-00000E770000}"/>
    <cellStyle name="Normal 26 14 3 3" xfId="31231" xr:uid="{00000000-0005-0000-0000-00000F770000}"/>
    <cellStyle name="Normal 26 14 3 4" xfId="31232" xr:uid="{00000000-0005-0000-0000-000010770000}"/>
    <cellStyle name="Normal 26 14 3 5" xfId="31233" xr:uid="{00000000-0005-0000-0000-000011770000}"/>
    <cellStyle name="Normal 26 14 3 6" xfId="31234" xr:uid="{00000000-0005-0000-0000-000012770000}"/>
    <cellStyle name="Normal 26 14 4" xfId="31235" xr:uid="{00000000-0005-0000-0000-000013770000}"/>
    <cellStyle name="Normal 26 14 4 2" xfId="31236" xr:uid="{00000000-0005-0000-0000-000014770000}"/>
    <cellStyle name="Normal 26 14 4 3" xfId="31237" xr:uid="{00000000-0005-0000-0000-000015770000}"/>
    <cellStyle name="Normal 26 14 4 4" xfId="31238" xr:uid="{00000000-0005-0000-0000-000016770000}"/>
    <cellStyle name="Normal 26 14 4 5" xfId="31239" xr:uid="{00000000-0005-0000-0000-000017770000}"/>
    <cellStyle name="Normal 26 14 4 6" xfId="31240" xr:uid="{00000000-0005-0000-0000-000018770000}"/>
    <cellStyle name="Normal 26 14 5" xfId="31241" xr:uid="{00000000-0005-0000-0000-000019770000}"/>
    <cellStyle name="Normal 26 14 5 2" xfId="31242" xr:uid="{00000000-0005-0000-0000-00001A770000}"/>
    <cellStyle name="Normal 26 14 5 3" xfId="31243" xr:uid="{00000000-0005-0000-0000-00001B770000}"/>
    <cellStyle name="Normal 26 14 5 4" xfId="31244" xr:uid="{00000000-0005-0000-0000-00001C770000}"/>
    <cellStyle name="Normal 26 14 5 5" xfId="31245" xr:uid="{00000000-0005-0000-0000-00001D770000}"/>
    <cellStyle name="Normal 26 14 5 6" xfId="31246" xr:uid="{00000000-0005-0000-0000-00001E770000}"/>
    <cellStyle name="Normal 26 14 6" xfId="31247" xr:uid="{00000000-0005-0000-0000-00001F770000}"/>
    <cellStyle name="Normal 26 14 6 2" xfId="31248" xr:uid="{00000000-0005-0000-0000-000020770000}"/>
    <cellStyle name="Normal 26 14 6 3" xfId="31249" xr:uid="{00000000-0005-0000-0000-000021770000}"/>
    <cellStyle name="Normal 26 14 6 4" xfId="31250" xr:uid="{00000000-0005-0000-0000-000022770000}"/>
    <cellStyle name="Normal 26 14 6 5" xfId="31251" xr:uid="{00000000-0005-0000-0000-000023770000}"/>
    <cellStyle name="Normal 26 14 6 6" xfId="31252" xr:uid="{00000000-0005-0000-0000-000024770000}"/>
    <cellStyle name="Normal 26 14 7" xfId="31253" xr:uid="{00000000-0005-0000-0000-000025770000}"/>
    <cellStyle name="Normal 26 14 7 2" xfId="31254" xr:uid="{00000000-0005-0000-0000-000026770000}"/>
    <cellStyle name="Normal 26 14 7 3" xfId="31255" xr:uid="{00000000-0005-0000-0000-000027770000}"/>
    <cellStyle name="Normal 26 14 7 4" xfId="31256" xr:uid="{00000000-0005-0000-0000-000028770000}"/>
    <cellStyle name="Normal 26 14 7 5" xfId="31257" xr:uid="{00000000-0005-0000-0000-000029770000}"/>
    <cellStyle name="Normal 26 14 7 6" xfId="31258" xr:uid="{00000000-0005-0000-0000-00002A770000}"/>
    <cellStyle name="Normal 26 14 8" xfId="31259" xr:uid="{00000000-0005-0000-0000-00002B770000}"/>
    <cellStyle name="Normal 26 14 8 2" xfId="31260" xr:uid="{00000000-0005-0000-0000-00002C770000}"/>
    <cellStyle name="Normal 26 14 8 3" xfId="31261" xr:uid="{00000000-0005-0000-0000-00002D770000}"/>
    <cellStyle name="Normal 26 14 8 4" xfId="31262" xr:uid="{00000000-0005-0000-0000-00002E770000}"/>
    <cellStyle name="Normal 26 14 8 5" xfId="31263" xr:uid="{00000000-0005-0000-0000-00002F770000}"/>
    <cellStyle name="Normal 26 14 8 6" xfId="31264" xr:uid="{00000000-0005-0000-0000-000030770000}"/>
    <cellStyle name="Normal 26 14 9" xfId="31265" xr:uid="{00000000-0005-0000-0000-000031770000}"/>
    <cellStyle name="Normal 26 15" xfId="31266" xr:uid="{00000000-0005-0000-0000-000032770000}"/>
    <cellStyle name="Normal 26 15 10" xfId="31267" xr:uid="{00000000-0005-0000-0000-000033770000}"/>
    <cellStyle name="Normal 26 15 11" xfId="31268" xr:uid="{00000000-0005-0000-0000-000034770000}"/>
    <cellStyle name="Normal 26 15 12" xfId="31269" xr:uid="{00000000-0005-0000-0000-000035770000}"/>
    <cellStyle name="Normal 26 15 13" xfId="31270" xr:uid="{00000000-0005-0000-0000-000036770000}"/>
    <cellStyle name="Normal 26 15 2" xfId="31271" xr:uid="{00000000-0005-0000-0000-000037770000}"/>
    <cellStyle name="Normal 26 15 2 2" xfId="31272" xr:uid="{00000000-0005-0000-0000-000038770000}"/>
    <cellStyle name="Normal 26 15 2 3" xfId="31273" xr:uid="{00000000-0005-0000-0000-000039770000}"/>
    <cellStyle name="Normal 26 15 2 4" xfId="31274" xr:uid="{00000000-0005-0000-0000-00003A770000}"/>
    <cellStyle name="Normal 26 15 2 5" xfId="31275" xr:uid="{00000000-0005-0000-0000-00003B770000}"/>
    <cellStyle name="Normal 26 15 2 6" xfId="31276" xr:uid="{00000000-0005-0000-0000-00003C770000}"/>
    <cellStyle name="Normal 26 15 3" xfId="31277" xr:uid="{00000000-0005-0000-0000-00003D770000}"/>
    <cellStyle name="Normal 26 15 3 2" xfId="31278" xr:uid="{00000000-0005-0000-0000-00003E770000}"/>
    <cellStyle name="Normal 26 15 3 3" xfId="31279" xr:uid="{00000000-0005-0000-0000-00003F770000}"/>
    <cellStyle name="Normal 26 15 3 4" xfId="31280" xr:uid="{00000000-0005-0000-0000-000040770000}"/>
    <cellStyle name="Normal 26 15 3 5" xfId="31281" xr:uid="{00000000-0005-0000-0000-000041770000}"/>
    <cellStyle name="Normal 26 15 3 6" xfId="31282" xr:uid="{00000000-0005-0000-0000-000042770000}"/>
    <cellStyle name="Normal 26 15 4" xfId="31283" xr:uid="{00000000-0005-0000-0000-000043770000}"/>
    <cellStyle name="Normal 26 15 4 2" xfId="31284" xr:uid="{00000000-0005-0000-0000-000044770000}"/>
    <cellStyle name="Normal 26 15 4 3" xfId="31285" xr:uid="{00000000-0005-0000-0000-000045770000}"/>
    <cellStyle name="Normal 26 15 4 4" xfId="31286" xr:uid="{00000000-0005-0000-0000-000046770000}"/>
    <cellStyle name="Normal 26 15 4 5" xfId="31287" xr:uid="{00000000-0005-0000-0000-000047770000}"/>
    <cellStyle name="Normal 26 15 4 6" xfId="31288" xr:uid="{00000000-0005-0000-0000-000048770000}"/>
    <cellStyle name="Normal 26 15 5" xfId="31289" xr:uid="{00000000-0005-0000-0000-000049770000}"/>
    <cellStyle name="Normal 26 15 5 2" xfId="31290" xr:uid="{00000000-0005-0000-0000-00004A770000}"/>
    <cellStyle name="Normal 26 15 5 3" xfId="31291" xr:uid="{00000000-0005-0000-0000-00004B770000}"/>
    <cellStyle name="Normal 26 15 5 4" xfId="31292" xr:uid="{00000000-0005-0000-0000-00004C770000}"/>
    <cellStyle name="Normal 26 15 5 5" xfId="31293" xr:uid="{00000000-0005-0000-0000-00004D770000}"/>
    <cellStyle name="Normal 26 15 5 6" xfId="31294" xr:uid="{00000000-0005-0000-0000-00004E770000}"/>
    <cellStyle name="Normal 26 15 6" xfId="31295" xr:uid="{00000000-0005-0000-0000-00004F770000}"/>
    <cellStyle name="Normal 26 15 6 2" xfId="31296" xr:uid="{00000000-0005-0000-0000-000050770000}"/>
    <cellStyle name="Normal 26 15 6 3" xfId="31297" xr:uid="{00000000-0005-0000-0000-000051770000}"/>
    <cellStyle name="Normal 26 15 6 4" xfId="31298" xr:uid="{00000000-0005-0000-0000-000052770000}"/>
    <cellStyle name="Normal 26 15 6 5" xfId="31299" xr:uid="{00000000-0005-0000-0000-000053770000}"/>
    <cellStyle name="Normal 26 15 6 6" xfId="31300" xr:uid="{00000000-0005-0000-0000-000054770000}"/>
    <cellStyle name="Normal 26 15 7" xfId="31301" xr:uid="{00000000-0005-0000-0000-000055770000}"/>
    <cellStyle name="Normal 26 15 7 2" xfId="31302" xr:uid="{00000000-0005-0000-0000-000056770000}"/>
    <cellStyle name="Normal 26 15 7 3" xfId="31303" xr:uid="{00000000-0005-0000-0000-000057770000}"/>
    <cellStyle name="Normal 26 15 7 4" xfId="31304" xr:uid="{00000000-0005-0000-0000-000058770000}"/>
    <cellStyle name="Normal 26 15 7 5" xfId="31305" xr:uid="{00000000-0005-0000-0000-000059770000}"/>
    <cellStyle name="Normal 26 15 7 6" xfId="31306" xr:uid="{00000000-0005-0000-0000-00005A770000}"/>
    <cellStyle name="Normal 26 15 8" xfId="31307" xr:uid="{00000000-0005-0000-0000-00005B770000}"/>
    <cellStyle name="Normal 26 15 8 2" xfId="31308" xr:uid="{00000000-0005-0000-0000-00005C770000}"/>
    <cellStyle name="Normal 26 15 8 3" xfId="31309" xr:uid="{00000000-0005-0000-0000-00005D770000}"/>
    <cellStyle name="Normal 26 15 8 4" xfId="31310" xr:uid="{00000000-0005-0000-0000-00005E770000}"/>
    <cellStyle name="Normal 26 15 8 5" xfId="31311" xr:uid="{00000000-0005-0000-0000-00005F770000}"/>
    <cellStyle name="Normal 26 15 8 6" xfId="31312" xr:uid="{00000000-0005-0000-0000-000060770000}"/>
    <cellStyle name="Normal 26 15 9" xfId="31313" xr:uid="{00000000-0005-0000-0000-000061770000}"/>
    <cellStyle name="Normal 26 16" xfId="31314" xr:uid="{00000000-0005-0000-0000-000062770000}"/>
    <cellStyle name="Normal 26 16 10" xfId="31315" xr:uid="{00000000-0005-0000-0000-000063770000}"/>
    <cellStyle name="Normal 26 16 11" xfId="31316" xr:uid="{00000000-0005-0000-0000-000064770000}"/>
    <cellStyle name="Normal 26 16 12" xfId="31317" xr:uid="{00000000-0005-0000-0000-000065770000}"/>
    <cellStyle name="Normal 26 16 13" xfId="31318" xr:uid="{00000000-0005-0000-0000-000066770000}"/>
    <cellStyle name="Normal 26 16 2" xfId="31319" xr:uid="{00000000-0005-0000-0000-000067770000}"/>
    <cellStyle name="Normal 26 16 2 2" xfId="31320" xr:uid="{00000000-0005-0000-0000-000068770000}"/>
    <cellStyle name="Normal 26 16 2 3" xfId="31321" xr:uid="{00000000-0005-0000-0000-000069770000}"/>
    <cellStyle name="Normal 26 16 2 4" xfId="31322" xr:uid="{00000000-0005-0000-0000-00006A770000}"/>
    <cellStyle name="Normal 26 16 2 5" xfId="31323" xr:uid="{00000000-0005-0000-0000-00006B770000}"/>
    <cellStyle name="Normal 26 16 2 6" xfId="31324" xr:uid="{00000000-0005-0000-0000-00006C770000}"/>
    <cellStyle name="Normal 26 16 3" xfId="31325" xr:uid="{00000000-0005-0000-0000-00006D770000}"/>
    <cellStyle name="Normal 26 16 3 2" xfId="31326" xr:uid="{00000000-0005-0000-0000-00006E770000}"/>
    <cellStyle name="Normal 26 16 3 3" xfId="31327" xr:uid="{00000000-0005-0000-0000-00006F770000}"/>
    <cellStyle name="Normal 26 16 3 4" xfId="31328" xr:uid="{00000000-0005-0000-0000-000070770000}"/>
    <cellStyle name="Normal 26 16 3 5" xfId="31329" xr:uid="{00000000-0005-0000-0000-000071770000}"/>
    <cellStyle name="Normal 26 16 3 6" xfId="31330" xr:uid="{00000000-0005-0000-0000-000072770000}"/>
    <cellStyle name="Normal 26 16 4" xfId="31331" xr:uid="{00000000-0005-0000-0000-000073770000}"/>
    <cellStyle name="Normal 26 16 4 2" xfId="31332" xr:uid="{00000000-0005-0000-0000-000074770000}"/>
    <cellStyle name="Normal 26 16 4 3" xfId="31333" xr:uid="{00000000-0005-0000-0000-000075770000}"/>
    <cellStyle name="Normal 26 16 4 4" xfId="31334" xr:uid="{00000000-0005-0000-0000-000076770000}"/>
    <cellStyle name="Normal 26 16 4 5" xfId="31335" xr:uid="{00000000-0005-0000-0000-000077770000}"/>
    <cellStyle name="Normal 26 16 4 6" xfId="31336" xr:uid="{00000000-0005-0000-0000-000078770000}"/>
    <cellStyle name="Normal 26 16 5" xfId="31337" xr:uid="{00000000-0005-0000-0000-000079770000}"/>
    <cellStyle name="Normal 26 16 5 2" xfId="31338" xr:uid="{00000000-0005-0000-0000-00007A770000}"/>
    <cellStyle name="Normal 26 16 5 3" xfId="31339" xr:uid="{00000000-0005-0000-0000-00007B770000}"/>
    <cellStyle name="Normal 26 16 5 4" xfId="31340" xr:uid="{00000000-0005-0000-0000-00007C770000}"/>
    <cellStyle name="Normal 26 16 5 5" xfId="31341" xr:uid="{00000000-0005-0000-0000-00007D770000}"/>
    <cellStyle name="Normal 26 16 5 6" xfId="31342" xr:uid="{00000000-0005-0000-0000-00007E770000}"/>
    <cellStyle name="Normal 26 16 6" xfId="31343" xr:uid="{00000000-0005-0000-0000-00007F770000}"/>
    <cellStyle name="Normal 26 16 6 2" xfId="31344" xr:uid="{00000000-0005-0000-0000-000080770000}"/>
    <cellStyle name="Normal 26 16 6 3" xfId="31345" xr:uid="{00000000-0005-0000-0000-000081770000}"/>
    <cellStyle name="Normal 26 16 6 4" xfId="31346" xr:uid="{00000000-0005-0000-0000-000082770000}"/>
    <cellStyle name="Normal 26 16 6 5" xfId="31347" xr:uid="{00000000-0005-0000-0000-000083770000}"/>
    <cellStyle name="Normal 26 16 6 6" xfId="31348" xr:uid="{00000000-0005-0000-0000-000084770000}"/>
    <cellStyle name="Normal 26 16 7" xfId="31349" xr:uid="{00000000-0005-0000-0000-000085770000}"/>
    <cellStyle name="Normal 26 16 7 2" xfId="31350" xr:uid="{00000000-0005-0000-0000-000086770000}"/>
    <cellStyle name="Normal 26 16 7 3" xfId="31351" xr:uid="{00000000-0005-0000-0000-000087770000}"/>
    <cellStyle name="Normal 26 16 7 4" xfId="31352" xr:uid="{00000000-0005-0000-0000-000088770000}"/>
    <cellStyle name="Normal 26 16 7 5" xfId="31353" xr:uid="{00000000-0005-0000-0000-000089770000}"/>
    <cellStyle name="Normal 26 16 7 6" xfId="31354" xr:uid="{00000000-0005-0000-0000-00008A770000}"/>
    <cellStyle name="Normal 26 16 8" xfId="31355" xr:uid="{00000000-0005-0000-0000-00008B770000}"/>
    <cellStyle name="Normal 26 16 8 2" xfId="31356" xr:uid="{00000000-0005-0000-0000-00008C770000}"/>
    <cellStyle name="Normal 26 16 8 3" xfId="31357" xr:uid="{00000000-0005-0000-0000-00008D770000}"/>
    <cellStyle name="Normal 26 16 8 4" xfId="31358" xr:uid="{00000000-0005-0000-0000-00008E770000}"/>
    <cellStyle name="Normal 26 16 8 5" xfId="31359" xr:uid="{00000000-0005-0000-0000-00008F770000}"/>
    <cellStyle name="Normal 26 16 8 6" xfId="31360" xr:uid="{00000000-0005-0000-0000-000090770000}"/>
    <cellStyle name="Normal 26 16 9" xfId="31361" xr:uid="{00000000-0005-0000-0000-000091770000}"/>
    <cellStyle name="Normal 26 17" xfId="31362" xr:uid="{00000000-0005-0000-0000-000092770000}"/>
    <cellStyle name="Normal 26 17 10" xfId="31363" xr:uid="{00000000-0005-0000-0000-000093770000}"/>
    <cellStyle name="Normal 26 17 11" xfId="31364" xr:uid="{00000000-0005-0000-0000-000094770000}"/>
    <cellStyle name="Normal 26 17 12" xfId="31365" xr:uid="{00000000-0005-0000-0000-000095770000}"/>
    <cellStyle name="Normal 26 17 13" xfId="31366" xr:uid="{00000000-0005-0000-0000-000096770000}"/>
    <cellStyle name="Normal 26 17 2" xfId="31367" xr:uid="{00000000-0005-0000-0000-000097770000}"/>
    <cellStyle name="Normal 26 17 2 2" xfId="31368" xr:uid="{00000000-0005-0000-0000-000098770000}"/>
    <cellStyle name="Normal 26 17 2 3" xfId="31369" xr:uid="{00000000-0005-0000-0000-000099770000}"/>
    <cellStyle name="Normal 26 17 2 4" xfId="31370" xr:uid="{00000000-0005-0000-0000-00009A770000}"/>
    <cellStyle name="Normal 26 17 2 5" xfId="31371" xr:uid="{00000000-0005-0000-0000-00009B770000}"/>
    <cellStyle name="Normal 26 17 2 6" xfId="31372" xr:uid="{00000000-0005-0000-0000-00009C770000}"/>
    <cellStyle name="Normal 26 17 3" xfId="31373" xr:uid="{00000000-0005-0000-0000-00009D770000}"/>
    <cellStyle name="Normal 26 17 3 2" xfId="31374" xr:uid="{00000000-0005-0000-0000-00009E770000}"/>
    <cellStyle name="Normal 26 17 3 3" xfId="31375" xr:uid="{00000000-0005-0000-0000-00009F770000}"/>
    <cellStyle name="Normal 26 17 3 4" xfId="31376" xr:uid="{00000000-0005-0000-0000-0000A0770000}"/>
    <cellStyle name="Normal 26 17 3 5" xfId="31377" xr:uid="{00000000-0005-0000-0000-0000A1770000}"/>
    <cellStyle name="Normal 26 17 3 6" xfId="31378" xr:uid="{00000000-0005-0000-0000-0000A2770000}"/>
    <cellStyle name="Normal 26 17 4" xfId="31379" xr:uid="{00000000-0005-0000-0000-0000A3770000}"/>
    <cellStyle name="Normal 26 17 4 2" xfId="31380" xr:uid="{00000000-0005-0000-0000-0000A4770000}"/>
    <cellStyle name="Normal 26 17 4 3" xfId="31381" xr:uid="{00000000-0005-0000-0000-0000A5770000}"/>
    <cellStyle name="Normal 26 17 4 4" xfId="31382" xr:uid="{00000000-0005-0000-0000-0000A6770000}"/>
    <cellStyle name="Normal 26 17 4 5" xfId="31383" xr:uid="{00000000-0005-0000-0000-0000A7770000}"/>
    <cellStyle name="Normal 26 17 4 6" xfId="31384" xr:uid="{00000000-0005-0000-0000-0000A8770000}"/>
    <cellStyle name="Normal 26 17 5" xfId="31385" xr:uid="{00000000-0005-0000-0000-0000A9770000}"/>
    <cellStyle name="Normal 26 17 5 2" xfId="31386" xr:uid="{00000000-0005-0000-0000-0000AA770000}"/>
    <cellStyle name="Normal 26 17 5 3" xfId="31387" xr:uid="{00000000-0005-0000-0000-0000AB770000}"/>
    <cellStyle name="Normal 26 17 5 4" xfId="31388" xr:uid="{00000000-0005-0000-0000-0000AC770000}"/>
    <cellStyle name="Normal 26 17 5 5" xfId="31389" xr:uid="{00000000-0005-0000-0000-0000AD770000}"/>
    <cellStyle name="Normal 26 17 5 6" xfId="31390" xr:uid="{00000000-0005-0000-0000-0000AE770000}"/>
    <cellStyle name="Normal 26 17 6" xfId="31391" xr:uid="{00000000-0005-0000-0000-0000AF770000}"/>
    <cellStyle name="Normal 26 17 6 2" xfId="31392" xr:uid="{00000000-0005-0000-0000-0000B0770000}"/>
    <cellStyle name="Normal 26 17 6 3" xfId="31393" xr:uid="{00000000-0005-0000-0000-0000B1770000}"/>
    <cellStyle name="Normal 26 17 6 4" xfId="31394" xr:uid="{00000000-0005-0000-0000-0000B2770000}"/>
    <cellStyle name="Normal 26 17 6 5" xfId="31395" xr:uid="{00000000-0005-0000-0000-0000B3770000}"/>
    <cellStyle name="Normal 26 17 6 6" xfId="31396" xr:uid="{00000000-0005-0000-0000-0000B4770000}"/>
    <cellStyle name="Normal 26 17 7" xfId="31397" xr:uid="{00000000-0005-0000-0000-0000B5770000}"/>
    <cellStyle name="Normal 26 17 7 2" xfId="31398" xr:uid="{00000000-0005-0000-0000-0000B6770000}"/>
    <cellStyle name="Normal 26 17 7 3" xfId="31399" xr:uid="{00000000-0005-0000-0000-0000B7770000}"/>
    <cellStyle name="Normal 26 17 7 4" xfId="31400" xr:uid="{00000000-0005-0000-0000-0000B8770000}"/>
    <cellStyle name="Normal 26 17 7 5" xfId="31401" xr:uid="{00000000-0005-0000-0000-0000B9770000}"/>
    <cellStyle name="Normal 26 17 7 6" xfId="31402" xr:uid="{00000000-0005-0000-0000-0000BA770000}"/>
    <cellStyle name="Normal 26 17 8" xfId="31403" xr:uid="{00000000-0005-0000-0000-0000BB770000}"/>
    <cellStyle name="Normal 26 17 8 2" xfId="31404" xr:uid="{00000000-0005-0000-0000-0000BC770000}"/>
    <cellStyle name="Normal 26 17 8 3" xfId="31405" xr:uid="{00000000-0005-0000-0000-0000BD770000}"/>
    <cellStyle name="Normal 26 17 8 4" xfId="31406" xr:uid="{00000000-0005-0000-0000-0000BE770000}"/>
    <cellStyle name="Normal 26 17 8 5" xfId="31407" xr:uid="{00000000-0005-0000-0000-0000BF770000}"/>
    <cellStyle name="Normal 26 17 8 6" xfId="31408" xr:uid="{00000000-0005-0000-0000-0000C0770000}"/>
    <cellStyle name="Normal 26 17 9" xfId="31409" xr:uid="{00000000-0005-0000-0000-0000C1770000}"/>
    <cellStyle name="Normal 26 18" xfId="31410" xr:uid="{00000000-0005-0000-0000-0000C2770000}"/>
    <cellStyle name="Normal 26 18 2" xfId="31411" xr:uid="{00000000-0005-0000-0000-0000C3770000}"/>
    <cellStyle name="Normal 26 18 3" xfId="31412" xr:uid="{00000000-0005-0000-0000-0000C4770000}"/>
    <cellStyle name="Normal 26 18 4" xfId="31413" xr:uid="{00000000-0005-0000-0000-0000C5770000}"/>
    <cellStyle name="Normal 26 18 5" xfId="31414" xr:uid="{00000000-0005-0000-0000-0000C6770000}"/>
    <cellStyle name="Normal 26 18 6" xfId="31415" xr:uid="{00000000-0005-0000-0000-0000C7770000}"/>
    <cellStyle name="Normal 26 19" xfId="31416" xr:uid="{00000000-0005-0000-0000-0000C8770000}"/>
    <cellStyle name="Normal 26 19 2" xfId="31417" xr:uid="{00000000-0005-0000-0000-0000C9770000}"/>
    <cellStyle name="Normal 26 19 3" xfId="31418" xr:uid="{00000000-0005-0000-0000-0000CA770000}"/>
    <cellStyle name="Normal 26 19 4" xfId="31419" xr:uid="{00000000-0005-0000-0000-0000CB770000}"/>
    <cellStyle name="Normal 26 19 5" xfId="31420" xr:uid="{00000000-0005-0000-0000-0000CC770000}"/>
    <cellStyle name="Normal 26 19 6" xfId="31421" xr:uid="{00000000-0005-0000-0000-0000CD770000}"/>
    <cellStyle name="Normal 26 2" xfId="1862" xr:uid="{00000000-0005-0000-0000-0000CE770000}"/>
    <cellStyle name="Normal 26 2 10" xfId="31422" xr:uid="{00000000-0005-0000-0000-0000CF770000}"/>
    <cellStyle name="Normal 26 2 11" xfId="31423" xr:uid="{00000000-0005-0000-0000-0000D0770000}"/>
    <cellStyle name="Normal 26 2 12" xfId="31424" xr:uid="{00000000-0005-0000-0000-0000D1770000}"/>
    <cellStyle name="Normal 26 2 13" xfId="31425" xr:uid="{00000000-0005-0000-0000-0000D2770000}"/>
    <cellStyle name="Normal 26 2 14" xfId="43244" xr:uid="{00000000-0005-0000-0000-0000D3770000}"/>
    <cellStyle name="Normal 26 2 2" xfId="2058" xr:uid="{00000000-0005-0000-0000-0000D4770000}"/>
    <cellStyle name="Normal 26 2 2 2" xfId="2517" xr:uid="{00000000-0005-0000-0000-0000D5770000}"/>
    <cellStyle name="Normal 26 2 2 3" xfId="31426" xr:uid="{00000000-0005-0000-0000-0000D6770000}"/>
    <cellStyle name="Normal 26 2 2 4" xfId="31427" xr:uid="{00000000-0005-0000-0000-0000D7770000}"/>
    <cellStyle name="Normal 26 2 2 5" xfId="31428" xr:uid="{00000000-0005-0000-0000-0000D8770000}"/>
    <cellStyle name="Normal 26 2 2 6" xfId="31429" xr:uid="{00000000-0005-0000-0000-0000D9770000}"/>
    <cellStyle name="Normal 26 2 2 7" xfId="43332" xr:uid="{00000000-0005-0000-0000-0000DA770000}"/>
    <cellStyle name="Normal 26 2 3" xfId="2518" xr:uid="{00000000-0005-0000-0000-0000DB770000}"/>
    <cellStyle name="Normal 26 2 3 2" xfId="31430" xr:uid="{00000000-0005-0000-0000-0000DC770000}"/>
    <cellStyle name="Normal 26 2 3 3" xfId="31431" xr:uid="{00000000-0005-0000-0000-0000DD770000}"/>
    <cellStyle name="Normal 26 2 3 4" xfId="31432" xr:uid="{00000000-0005-0000-0000-0000DE770000}"/>
    <cellStyle name="Normal 26 2 3 5" xfId="31433" xr:uid="{00000000-0005-0000-0000-0000DF770000}"/>
    <cellStyle name="Normal 26 2 3 6" xfId="31434" xr:uid="{00000000-0005-0000-0000-0000E0770000}"/>
    <cellStyle name="Normal 26 2 3 7" xfId="43333" xr:uid="{00000000-0005-0000-0000-0000E1770000}"/>
    <cellStyle name="Normal 26 2 4" xfId="2427" xr:uid="{00000000-0005-0000-0000-0000E2770000}"/>
    <cellStyle name="Normal 26 2 4 2" xfId="31435" xr:uid="{00000000-0005-0000-0000-0000E3770000}"/>
    <cellStyle name="Normal 26 2 4 3" xfId="31436" xr:uid="{00000000-0005-0000-0000-0000E4770000}"/>
    <cellStyle name="Normal 26 2 4 4" xfId="31437" xr:uid="{00000000-0005-0000-0000-0000E5770000}"/>
    <cellStyle name="Normal 26 2 4 5" xfId="31438" xr:uid="{00000000-0005-0000-0000-0000E6770000}"/>
    <cellStyle name="Normal 26 2 4 6" xfId="31439" xr:uid="{00000000-0005-0000-0000-0000E7770000}"/>
    <cellStyle name="Normal 26 2 5" xfId="2393" xr:uid="{00000000-0005-0000-0000-0000E8770000}"/>
    <cellStyle name="Normal 26 2 5 2" xfId="31440" xr:uid="{00000000-0005-0000-0000-0000E9770000}"/>
    <cellStyle name="Normal 26 2 5 3" xfId="31441" xr:uid="{00000000-0005-0000-0000-0000EA770000}"/>
    <cellStyle name="Normal 26 2 5 4" xfId="31442" xr:uid="{00000000-0005-0000-0000-0000EB770000}"/>
    <cellStyle name="Normal 26 2 5 5" xfId="31443" xr:uid="{00000000-0005-0000-0000-0000EC770000}"/>
    <cellStyle name="Normal 26 2 5 6" xfId="31444" xr:uid="{00000000-0005-0000-0000-0000ED770000}"/>
    <cellStyle name="Normal 26 2 6" xfId="31445" xr:uid="{00000000-0005-0000-0000-0000EE770000}"/>
    <cellStyle name="Normal 26 2 6 2" xfId="31446" xr:uid="{00000000-0005-0000-0000-0000EF770000}"/>
    <cellStyle name="Normal 26 2 6 3" xfId="31447" xr:uid="{00000000-0005-0000-0000-0000F0770000}"/>
    <cellStyle name="Normal 26 2 6 4" xfId="31448" xr:uid="{00000000-0005-0000-0000-0000F1770000}"/>
    <cellStyle name="Normal 26 2 6 5" xfId="31449" xr:uid="{00000000-0005-0000-0000-0000F2770000}"/>
    <cellStyle name="Normal 26 2 6 6" xfId="31450" xr:uid="{00000000-0005-0000-0000-0000F3770000}"/>
    <cellStyle name="Normal 26 2 7" xfId="31451" xr:uid="{00000000-0005-0000-0000-0000F4770000}"/>
    <cellStyle name="Normal 26 2 7 2" xfId="31452" xr:uid="{00000000-0005-0000-0000-0000F5770000}"/>
    <cellStyle name="Normal 26 2 7 3" xfId="31453" xr:uid="{00000000-0005-0000-0000-0000F6770000}"/>
    <cellStyle name="Normal 26 2 7 4" xfId="31454" xr:uid="{00000000-0005-0000-0000-0000F7770000}"/>
    <cellStyle name="Normal 26 2 7 5" xfId="31455" xr:uid="{00000000-0005-0000-0000-0000F8770000}"/>
    <cellStyle name="Normal 26 2 7 6" xfId="31456" xr:uid="{00000000-0005-0000-0000-0000F9770000}"/>
    <cellStyle name="Normal 26 2 8" xfId="31457" xr:uid="{00000000-0005-0000-0000-0000FA770000}"/>
    <cellStyle name="Normal 26 2 8 2" xfId="31458" xr:uid="{00000000-0005-0000-0000-0000FB770000}"/>
    <cellStyle name="Normal 26 2 8 3" xfId="31459" xr:uid="{00000000-0005-0000-0000-0000FC770000}"/>
    <cellStyle name="Normal 26 2 8 4" xfId="31460" xr:uid="{00000000-0005-0000-0000-0000FD770000}"/>
    <cellStyle name="Normal 26 2 8 5" xfId="31461" xr:uid="{00000000-0005-0000-0000-0000FE770000}"/>
    <cellStyle name="Normal 26 2 8 6" xfId="31462" xr:uid="{00000000-0005-0000-0000-0000FF770000}"/>
    <cellStyle name="Normal 26 2 9" xfId="31463" xr:uid="{00000000-0005-0000-0000-000000780000}"/>
    <cellStyle name="Normal 26 20" xfId="31464" xr:uid="{00000000-0005-0000-0000-000001780000}"/>
    <cellStyle name="Normal 26 20 2" xfId="31465" xr:uid="{00000000-0005-0000-0000-000002780000}"/>
    <cellStyle name="Normal 26 20 3" xfId="31466" xr:uid="{00000000-0005-0000-0000-000003780000}"/>
    <cellStyle name="Normal 26 20 4" xfId="31467" xr:uid="{00000000-0005-0000-0000-000004780000}"/>
    <cellStyle name="Normal 26 20 5" xfId="31468" xr:uid="{00000000-0005-0000-0000-000005780000}"/>
    <cellStyle name="Normal 26 20 6" xfId="31469" xr:uid="{00000000-0005-0000-0000-000006780000}"/>
    <cellStyle name="Normal 26 21" xfId="31470" xr:uid="{00000000-0005-0000-0000-000007780000}"/>
    <cellStyle name="Normal 26 21 2" xfId="31471" xr:uid="{00000000-0005-0000-0000-000008780000}"/>
    <cellStyle name="Normal 26 21 3" xfId="31472" xr:uid="{00000000-0005-0000-0000-000009780000}"/>
    <cellStyle name="Normal 26 21 4" xfId="31473" xr:uid="{00000000-0005-0000-0000-00000A780000}"/>
    <cellStyle name="Normal 26 21 5" xfId="31474" xr:uid="{00000000-0005-0000-0000-00000B780000}"/>
    <cellStyle name="Normal 26 21 6" xfId="31475" xr:uid="{00000000-0005-0000-0000-00000C780000}"/>
    <cellStyle name="Normal 26 22" xfId="31476" xr:uid="{00000000-0005-0000-0000-00000D780000}"/>
    <cellStyle name="Normal 26 22 2" xfId="31477" xr:uid="{00000000-0005-0000-0000-00000E780000}"/>
    <cellStyle name="Normal 26 22 3" xfId="31478" xr:uid="{00000000-0005-0000-0000-00000F780000}"/>
    <cellStyle name="Normal 26 22 4" xfId="31479" xr:uid="{00000000-0005-0000-0000-000010780000}"/>
    <cellStyle name="Normal 26 22 5" xfId="31480" xr:uid="{00000000-0005-0000-0000-000011780000}"/>
    <cellStyle name="Normal 26 22 6" xfId="31481" xr:uid="{00000000-0005-0000-0000-000012780000}"/>
    <cellStyle name="Normal 26 23" xfId="31482" xr:uid="{00000000-0005-0000-0000-000013780000}"/>
    <cellStyle name="Normal 26 23 2" xfId="31483" xr:uid="{00000000-0005-0000-0000-000014780000}"/>
    <cellStyle name="Normal 26 23 3" xfId="31484" xr:uid="{00000000-0005-0000-0000-000015780000}"/>
    <cellStyle name="Normal 26 23 4" xfId="31485" xr:uid="{00000000-0005-0000-0000-000016780000}"/>
    <cellStyle name="Normal 26 23 5" xfId="31486" xr:uid="{00000000-0005-0000-0000-000017780000}"/>
    <cellStyle name="Normal 26 23 6" xfId="31487" xr:uid="{00000000-0005-0000-0000-000018780000}"/>
    <cellStyle name="Normal 26 24" xfId="31488" xr:uid="{00000000-0005-0000-0000-000019780000}"/>
    <cellStyle name="Normal 26 24 2" xfId="31489" xr:uid="{00000000-0005-0000-0000-00001A780000}"/>
    <cellStyle name="Normal 26 24 3" xfId="31490" xr:uid="{00000000-0005-0000-0000-00001B780000}"/>
    <cellStyle name="Normal 26 24 4" xfId="31491" xr:uid="{00000000-0005-0000-0000-00001C780000}"/>
    <cellStyle name="Normal 26 24 5" xfId="31492" xr:uid="{00000000-0005-0000-0000-00001D780000}"/>
    <cellStyle name="Normal 26 24 6" xfId="31493" xr:uid="{00000000-0005-0000-0000-00001E780000}"/>
    <cellStyle name="Normal 26 25" xfId="31494" xr:uid="{00000000-0005-0000-0000-00001F780000}"/>
    <cellStyle name="Normal 26 26" xfId="31495" xr:uid="{00000000-0005-0000-0000-000020780000}"/>
    <cellStyle name="Normal 26 27" xfId="31496" xr:uid="{00000000-0005-0000-0000-000021780000}"/>
    <cellStyle name="Normal 26 28" xfId="31497" xr:uid="{00000000-0005-0000-0000-000022780000}"/>
    <cellStyle name="Normal 26 29" xfId="31498" xr:uid="{00000000-0005-0000-0000-000023780000}"/>
    <cellStyle name="Normal 26 3" xfId="1962" xr:uid="{00000000-0005-0000-0000-000024780000}"/>
    <cellStyle name="Normal 26 3 10" xfId="31499" xr:uid="{00000000-0005-0000-0000-000025780000}"/>
    <cellStyle name="Normal 26 3 11" xfId="31500" xr:uid="{00000000-0005-0000-0000-000026780000}"/>
    <cellStyle name="Normal 26 3 12" xfId="31501" xr:uid="{00000000-0005-0000-0000-000027780000}"/>
    <cellStyle name="Normal 26 3 13" xfId="31502" xr:uid="{00000000-0005-0000-0000-000028780000}"/>
    <cellStyle name="Normal 26 3 14" xfId="43334" xr:uid="{00000000-0005-0000-0000-000029780000}"/>
    <cellStyle name="Normal 26 3 2" xfId="2519" xr:uid="{00000000-0005-0000-0000-00002A780000}"/>
    <cellStyle name="Normal 26 3 2 2" xfId="31503" xr:uid="{00000000-0005-0000-0000-00002B780000}"/>
    <cellStyle name="Normal 26 3 2 3" xfId="31504" xr:uid="{00000000-0005-0000-0000-00002C780000}"/>
    <cellStyle name="Normal 26 3 2 4" xfId="31505" xr:uid="{00000000-0005-0000-0000-00002D780000}"/>
    <cellStyle name="Normal 26 3 2 5" xfId="31506" xr:uid="{00000000-0005-0000-0000-00002E780000}"/>
    <cellStyle name="Normal 26 3 2 6" xfId="31507" xr:uid="{00000000-0005-0000-0000-00002F780000}"/>
    <cellStyle name="Normal 26 3 3" xfId="31508" xr:uid="{00000000-0005-0000-0000-000030780000}"/>
    <cellStyle name="Normal 26 3 3 2" xfId="31509" xr:uid="{00000000-0005-0000-0000-000031780000}"/>
    <cellStyle name="Normal 26 3 3 3" xfId="31510" xr:uid="{00000000-0005-0000-0000-000032780000}"/>
    <cellStyle name="Normal 26 3 3 4" xfId="31511" xr:uid="{00000000-0005-0000-0000-000033780000}"/>
    <cellStyle name="Normal 26 3 3 5" xfId="31512" xr:uid="{00000000-0005-0000-0000-000034780000}"/>
    <cellStyle name="Normal 26 3 3 6" xfId="31513" xr:uid="{00000000-0005-0000-0000-000035780000}"/>
    <cellStyle name="Normal 26 3 4" xfId="31514" xr:uid="{00000000-0005-0000-0000-000036780000}"/>
    <cellStyle name="Normal 26 3 4 2" xfId="31515" xr:uid="{00000000-0005-0000-0000-000037780000}"/>
    <cellStyle name="Normal 26 3 4 3" xfId="31516" xr:uid="{00000000-0005-0000-0000-000038780000}"/>
    <cellStyle name="Normal 26 3 4 4" xfId="31517" xr:uid="{00000000-0005-0000-0000-000039780000}"/>
    <cellStyle name="Normal 26 3 4 5" xfId="31518" xr:uid="{00000000-0005-0000-0000-00003A780000}"/>
    <cellStyle name="Normal 26 3 4 6" xfId="31519" xr:uid="{00000000-0005-0000-0000-00003B780000}"/>
    <cellStyle name="Normal 26 3 5" xfId="31520" xr:uid="{00000000-0005-0000-0000-00003C780000}"/>
    <cellStyle name="Normal 26 3 5 2" xfId="31521" xr:uid="{00000000-0005-0000-0000-00003D780000}"/>
    <cellStyle name="Normal 26 3 5 3" xfId="31522" xr:uid="{00000000-0005-0000-0000-00003E780000}"/>
    <cellStyle name="Normal 26 3 5 4" xfId="31523" xr:uid="{00000000-0005-0000-0000-00003F780000}"/>
    <cellStyle name="Normal 26 3 5 5" xfId="31524" xr:uid="{00000000-0005-0000-0000-000040780000}"/>
    <cellStyle name="Normal 26 3 5 6" xfId="31525" xr:uid="{00000000-0005-0000-0000-000041780000}"/>
    <cellStyle name="Normal 26 3 6" xfId="31526" xr:uid="{00000000-0005-0000-0000-000042780000}"/>
    <cellStyle name="Normal 26 3 6 2" xfId="31527" xr:uid="{00000000-0005-0000-0000-000043780000}"/>
    <cellStyle name="Normal 26 3 6 3" xfId="31528" xr:uid="{00000000-0005-0000-0000-000044780000}"/>
    <cellStyle name="Normal 26 3 6 4" xfId="31529" xr:uid="{00000000-0005-0000-0000-000045780000}"/>
    <cellStyle name="Normal 26 3 6 5" xfId="31530" xr:uid="{00000000-0005-0000-0000-000046780000}"/>
    <cellStyle name="Normal 26 3 6 6" xfId="31531" xr:uid="{00000000-0005-0000-0000-000047780000}"/>
    <cellStyle name="Normal 26 3 7" xfId="31532" xr:uid="{00000000-0005-0000-0000-000048780000}"/>
    <cellStyle name="Normal 26 3 7 2" xfId="31533" xr:uid="{00000000-0005-0000-0000-000049780000}"/>
    <cellStyle name="Normal 26 3 7 3" xfId="31534" xr:uid="{00000000-0005-0000-0000-00004A780000}"/>
    <cellStyle name="Normal 26 3 7 4" xfId="31535" xr:uid="{00000000-0005-0000-0000-00004B780000}"/>
    <cellStyle name="Normal 26 3 7 5" xfId="31536" xr:uid="{00000000-0005-0000-0000-00004C780000}"/>
    <cellStyle name="Normal 26 3 7 6" xfId="31537" xr:uid="{00000000-0005-0000-0000-00004D780000}"/>
    <cellStyle name="Normal 26 3 8" xfId="31538" xr:uid="{00000000-0005-0000-0000-00004E780000}"/>
    <cellStyle name="Normal 26 3 8 2" xfId="31539" xr:uid="{00000000-0005-0000-0000-00004F780000}"/>
    <cellStyle name="Normal 26 3 8 3" xfId="31540" xr:uid="{00000000-0005-0000-0000-000050780000}"/>
    <cellStyle name="Normal 26 3 8 4" xfId="31541" xr:uid="{00000000-0005-0000-0000-000051780000}"/>
    <cellStyle name="Normal 26 3 8 5" xfId="31542" xr:uid="{00000000-0005-0000-0000-000052780000}"/>
    <cellStyle name="Normal 26 3 8 6" xfId="31543" xr:uid="{00000000-0005-0000-0000-000053780000}"/>
    <cellStyle name="Normal 26 3 9" xfId="31544" xr:uid="{00000000-0005-0000-0000-000054780000}"/>
    <cellStyle name="Normal 26 30" xfId="43243" xr:uid="{00000000-0005-0000-0000-000055780000}"/>
    <cellStyle name="Normal 26 4" xfId="2520" xr:uid="{00000000-0005-0000-0000-000056780000}"/>
    <cellStyle name="Normal 26 4 10" xfId="31545" xr:uid="{00000000-0005-0000-0000-000057780000}"/>
    <cellStyle name="Normal 26 4 11" xfId="31546" xr:uid="{00000000-0005-0000-0000-000058780000}"/>
    <cellStyle name="Normal 26 4 12" xfId="31547" xr:uid="{00000000-0005-0000-0000-000059780000}"/>
    <cellStyle name="Normal 26 4 13" xfId="31548" xr:uid="{00000000-0005-0000-0000-00005A780000}"/>
    <cellStyle name="Normal 26 4 14" xfId="43335" xr:uid="{00000000-0005-0000-0000-00005B780000}"/>
    <cellStyle name="Normal 26 4 2" xfId="31549" xr:uid="{00000000-0005-0000-0000-00005C780000}"/>
    <cellStyle name="Normal 26 4 2 2" xfId="31550" xr:uid="{00000000-0005-0000-0000-00005D780000}"/>
    <cellStyle name="Normal 26 4 2 3" xfId="31551" xr:uid="{00000000-0005-0000-0000-00005E780000}"/>
    <cellStyle name="Normal 26 4 2 4" xfId="31552" xr:uid="{00000000-0005-0000-0000-00005F780000}"/>
    <cellStyle name="Normal 26 4 2 5" xfId="31553" xr:uid="{00000000-0005-0000-0000-000060780000}"/>
    <cellStyle name="Normal 26 4 2 6" xfId="31554" xr:uid="{00000000-0005-0000-0000-000061780000}"/>
    <cellStyle name="Normal 26 4 3" xfId="31555" xr:uid="{00000000-0005-0000-0000-000062780000}"/>
    <cellStyle name="Normal 26 4 3 2" xfId="31556" xr:uid="{00000000-0005-0000-0000-000063780000}"/>
    <cellStyle name="Normal 26 4 3 3" xfId="31557" xr:uid="{00000000-0005-0000-0000-000064780000}"/>
    <cellStyle name="Normal 26 4 3 4" xfId="31558" xr:uid="{00000000-0005-0000-0000-000065780000}"/>
    <cellStyle name="Normal 26 4 3 5" xfId="31559" xr:uid="{00000000-0005-0000-0000-000066780000}"/>
    <cellStyle name="Normal 26 4 3 6" xfId="31560" xr:uid="{00000000-0005-0000-0000-000067780000}"/>
    <cellStyle name="Normal 26 4 4" xfId="31561" xr:uid="{00000000-0005-0000-0000-000068780000}"/>
    <cellStyle name="Normal 26 4 4 2" xfId="31562" xr:uid="{00000000-0005-0000-0000-000069780000}"/>
    <cellStyle name="Normal 26 4 4 3" xfId="31563" xr:uid="{00000000-0005-0000-0000-00006A780000}"/>
    <cellStyle name="Normal 26 4 4 4" xfId="31564" xr:uid="{00000000-0005-0000-0000-00006B780000}"/>
    <cellStyle name="Normal 26 4 4 5" xfId="31565" xr:uid="{00000000-0005-0000-0000-00006C780000}"/>
    <cellStyle name="Normal 26 4 4 6" xfId="31566" xr:uid="{00000000-0005-0000-0000-00006D780000}"/>
    <cellStyle name="Normal 26 4 5" xfId="31567" xr:uid="{00000000-0005-0000-0000-00006E780000}"/>
    <cellStyle name="Normal 26 4 5 2" xfId="31568" xr:uid="{00000000-0005-0000-0000-00006F780000}"/>
    <cellStyle name="Normal 26 4 5 3" xfId="31569" xr:uid="{00000000-0005-0000-0000-000070780000}"/>
    <cellStyle name="Normal 26 4 5 4" xfId="31570" xr:uid="{00000000-0005-0000-0000-000071780000}"/>
    <cellStyle name="Normal 26 4 5 5" xfId="31571" xr:uid="{00000000-0005-0000-0000-000072780000}"/>
    <cellStyle name="Normal 26 4 5 6" xfId="31572" xr:uid="{00000000-0005-0000-0000-000073780000}"/>
    <cellStyle name="Normal 26 4 6" xfId="31573" xr:uid="{00000000-0005-0000-0000-000074780000}"/>
    <cellStyle name="Normal 26 4 6 2" xfId="31574" xr:uid="{00000000-0005-0000-0000-000075780000}"/>
    <cellStyle name="Normal 26 4 6 3" xfId="31575" xr:uid="{00000000-0005-0000-0000-000076780000}"/>
    <cellStyle name="Normal 26 4 6 4" xfId="31576" xr:uid="{00000000-0005-0000-0000-000077780000}"/>
    <cellStyle name="Normal 26 4 6 5" xfId="31577" xr:uid="{00000000-0005-0000-0000-000078780000}"/>
    <cellStyle name="Normal 26 4 6 6" xfId="31578" xr:uid="{00000000-0005-0000-0000-000079780000}"/>
    <cellStyle name="Normal 26 4 7" xfId="31579" xr:uid="{00000000-0005-0000-0000-00007A780000}"/>
    <cellStyle name="Normal 26 4 7 2" xfId="31580" xr:uid="{00000000-0005-0000-0000-00007B780000}"/>
    <cellStyle name="Normal 26 4 7 3" xfId="31581" xr:uid="{00000000-0005-0000-0000-00007C780000}"/>
    <cellStyle name="Normal 26 4 7 4" xfId="31582" xr:uid="{00000000-0005-0000-0000-00007D780000}"/>
    <cellStyle name="Normal 26 4 7 5" xfId="31583" xr:uid="{00000000-0005-0000-0000-00007E780000}"/>
    <cellStyle name="Normal 26 4 7 6" xfId="31584" xr:uid="{00000000-0005-0000-0000-00007F780000}"/>
    <cellStyle name="Normal 26 4 8" xfId="31585" xr:uid="{00000000-0005-0000-0000-000080780000}"/>
    <cellStyle name="Normal 26 4 8 2" xfId="31586" xr:uid="{00000000-0005-0000-0000-000081780000}"/>
    <cellStyle name="Normal 26 4 8 3" xfId="31587" xr:uid="{00000000-0005-0000-0000-000082780000}"/>
    <cellStyle name="Normal 26 4 8 4" xfId="31588" xr:uid="{00000000-0005-0000-0000-000083780000}"/>
    <cellStyle name="Normal 26 4 8 5" xfId="31589" xr:uid="{00000000-0005-0000-0000-000084780000}"/>
    <cellStyle name="Normal 26 4 8 6" xfId="31590" xr:uid="{00000000-0005-0000-0000-000085780000}"/>
    <cellStyle name="Normal 26 4 9" xfId="31591" xr:uid="{00000000-0005-0000-0000-000086780000}"/>
    <cellStyle name="Normal 26 5" xfId="2426" xr:uid="{00000000-0005-0000-0000-000087780000}"/>
    <cellStyle name="Normal 26 5 10" xfId="31592" xr:uid="{00000000-0005-0000-0000-000088780000}"/>
    <cellStyle name="Normal 26 5 11" xfId="31593" xr:uid="{00000000-0005-0000-0000-000089780000}"/>
    <cellStyle name="Normal 26 5 12" xfId="31594" xr:uid="{00000000-0005-0000-0000-00008A780000}"/>
    <cellStyle name="Normal 26 5 13" xfId="31595" xr:uid="{00000000-0005-0000-0000-00008B780000}"/>
    <cellStyle name="Normal 26 5 2" xfId="31596" xr:uid="{00000000-0005-0000-0000-00008C780000}"/>
    <cellStyle name="Normal 26 5 2 2" xfId="31597" xr:uid="{00000000-0005-0000-0000-00008D780000}"/>
    <cellStyle name="Normal 26 5 2 3" xfId="31598" xr:uid="{00000000-0005-0000-0000-00008E780000}"/>
    <cellStyle name="Normal 26 5 2 4" xfId="31599" xr:uid="{00000000-0005-0000-0000-00008F780000}"/>
    <cellStyle name="Normal 26 5 2 5" xfId="31600" xr:uid="{00000000-0005-0000-0000-000090780000}"/>
    <cellStyle name="Normal 26 5 2 6" xfId="31601" xr:uid="{00000000-0005-0000-0000-000091780000}"/>
    <cellStyle name="Normal 26 5 3" xfId="31602" xr:uid="{00000000-0005-0000-0000-000092780000}"/>
    <cellStyle name="Normal 26 5 3 2" xfId="31603" xr:uid="{00000000-0005-0000-0000-000093780000}"/>
    <cellStyle name="Normal 26 5 3 3" xfId="31604" xr:uid="{00000000-0005-0000-0000-000094780000}"/>
    <cellStyle name="Normal 26 5 3 4" xfId="31605" xr:uid="{00000000-0005-0000-0000-000095780000}"/>
    <cellStyle name="Normal 26 5 3 5" xfId="31606" xr:uid="{00000000-0005-0000-0000-000096780000}"/>
    <cellStyle name="Normal 26 5 3 6" xfId="31607" xr:uid="{00000000-0005-0000-0000-000097780000}"/>
    <cellStyle name="Normal 26 5 4" xfId="31608" xr:uid="{00000000-0005-0000-0000-000098780000}"/>
    <cellStyle name="Normal 26 5 4 2" xfId="31609" xr:uid="{00000000-0005-0000-0000-000099780000}"/>
    <cellStyle name="Normal 26 5 4 3" xfId="31610" xr:uid="{00000000-0005-0000-0000-00009A780000}"/>
    <cellStyle name="Normal 26 5 4 4" xfId="31611" xr:uid="{00000000-0005-0000-0000-00009B780000}"/>
    <cellStyle name="Normal 26 5 4 5" xfId="31612" xr:uid="{00000000-0005-0000-0000-00009C780000}"/>
    <cellStyle name="Normal 26 5 4 6" xfId="31613" xr:uid="{00000000-0005-0000-0000-00009D780000}"/>
    <cellStyle name="Normal 26 5 5" xfId="31614" xr:uid="{00000000-0005-0000-0000-00009E780000}"/>
    <cellStyle name="Normal 26 5 5 2" xfId="31615" xr:uid="{00000000-0005-0000-0000-00009F780000}"/>
    <cellStyle name="Normal 26 5 5 3" xfId="31616" xr:uid="{00000000-0005-0000-0000-0000A0780000}"/>
    <cellStyle name="Normal 26 5 5 4" xfId="31617" xr:uid="{00000000-0005-0000-0000-0000A1780000}"/>
    <cellStyle name="Normal 26 5 5 5" xfId="31618" xr:uid="{00000000-0005-0000-0000-0000A2780000}"/>
    <cellStyle name="Normal 26 5 5 6" xfId="31619" xr:uid="{00000000-0005-0000-0000-0000A3780000}"/>
    <cellStyle name="Normal 26 5 6" xfId="31620" xr:uid="{00000000-0005-0000-0000-0000A4780000}"/>
    <cellStyle name="Normal 26 5 6 2" xfId="31621" xr:uid="{00000000-0005-0000-0000-0000A5780000}"/>
    <cellStyle name="Normal 26 5 6 3" xfId="31622" xr:uid="{00000000-0005-0000-0000-0000A6780000}"/>
    <cellStyle name="Normal 26 5 6 4" xfId="31623" xr:uid="{00000000-0005-0000-0000-0000A7780000}"/>
    <cellStyle name="Normal 26 5 6 5" xfId="31624" xr:uid="{00000000-0005-0000-0000-0000A8780000}"/>
    <cellStyle name="Normal 26 5 6 6" xfId="31625" xr:uid="{00000000-0005-0000-0000-0000A9780000}"/>
    <cellStyle name="Normal 26 5 7" xfId="31626" xr:uid="{00000000-0005-0000-0000-0000AA780000}"/>
    <cellStyle name="Normal 26 5 7 2" xfId="31627" xr:uid="{00000000-0005-0000-0000-0000AB780000}"/>
    <cellStyle name="Normal 26 5 7 3" xfId="31628" xr:uid="{00000000-0005-0000-0000-0000AC780000}"/>
    <cellStyle name="Normal 26 5 7 4" xfId="31629" xr:uid="{00000000-0005-0000-0000-0000AD780000}"/>
    <cellStyle name="Normal 26 5 7 5" xfId="31630" xr:uid="{00000000-0005-0000-0000-0000AE780000}"/>
    <cellStyle name="Normal 26 5 7 6" xfId="31631" xr:uid="{00000000-0005-0000-0000-0000AF780000}"/>
    <cellStyle name="Normal 26 5 8" xfId="31632" xr:uid="{00000000-0005-0000-0000-0000B0780000}"/>
    <cellStyle name="Normal 26 5 8 2" xfId="31633" xr:uid="{00000000-0005-0000-0000-0000B1780000}"/>
    <cellStyle name="Normal 26 5 8 3" xfId="31634" xr:uid="{00000000-0005-0000-0000-0000B2780000}"/>
    <cellStyle name="Normal 26 5 8 4" xfId="31635" xr:uid="{00000000-0005-0000-0000-0000B3780000}"/>
    <cellStyle name="Normal 26 5 8 5" xfId="31636" xr:uid="{00000000-0005-0000-0000-0000B4780000}"/>
    <cellStyle name="Normal 26 5 8 6" xfId="31637" xr:uid="{00000000-0005-0000-0000-0000B5780000}"/>
    <cellStyle name="Normal 26 5 9" xfId="31638" xr:uid="{00000000-0005-0000-0000-0000B6780000}"/>
    <cellStyle name="Normal 26 6" xfId="2305" xr:uid="{00000000-0005-0000-0000-0000B7780000}"/>
    <cellStyle name="Normal 26 6 10" xfId="31639" xr:uid="{00000000-0005-0000-0000-0000B8780000}"/>
    <cellStyle name="Normal 26 6 11" xfId="31640" xr:uid="{00000000-0005-0000-0000-0000B9780000}"/>
    <cellStyle name="Normal 26 6 12" xfId="31641" xr:uid="{00000000-0005-0000-0000-0000BA780000}"/>
    <cellStyle name="Normal 26 6 13" xfId="31642" xr:uid="{00000000-0005-0000-0000-0000BB780000}"/>
    <cellStyle name="Normal 26 6 2" xfId="31643" xr:uid="{00000000-0005-0000-0000-0000BC780000}"/>
    <cellStyle name="Normal 26 6 2 2" xfId="31644" xr:uid="{00000000-0005-0000-0000-0000BD780000}"/>
    <cellStyle name="Normal 26 6 2 3" xfId="31645" xr:uid="{00000000-0005-0000-0000-0000BE780000}"/>
    <cellStyle name="Normal 26 6 2 4" xfId="31646" xr:uid="{00000000-0005-0000-0000-0000BF780000}"/>
    <cellStyle name="Normal 26 6 2 5" xfId="31647" xr:uid="{00000000-0005-0000-0000-0000C0780000}"/>
    <cellStyle name="Normal 26 6 2 6" xfId="31648" xr:uid="{00000000-0005-0000-0000-0000C1780000}"/>
    <cellStyle name="Normal 26 6 3" xfId="31649" xr:uid="{00000000-0005-0000-0000-0000C2780000}"/>
    <cellStyle name="Normal 26 6 3 2" xfId="31650" xr:uid="{00000000-0005-0000-0000-0000C3780000}"/>
    <cellStyle name="Normal 26 6 3 3" xfId="31651" xr:uid="{00000000-0005-0000-0000-0000C4780000}"/>
    <cellStyle name="Normal 26 6 3 4" xfId="31652" xr:uid="{00000000-0005-0000-0000-0000C5780000}"/>
    <cellStyle name="Normal 26 6 3 5" xfId="31653" xr:uid="{00000000-0005-0000-0000-0000C6780000}"/>
    <cellStyle name="Normal 26 6 3 6" xfId="31654" xr:uid="{00000000-0005-0000-0000-0000C7780000}"/>
    <cellStyle name="Normal 26 6 4" xfId="31655" xr:uid="{00000000-0005-0000-0000-0000C8780000}"/>
    <cellStyle name="Normal 26 6 4 2" xfId="31656" xr:uid="{00000000-0005-0000-0000-0000C9780000}"/>
    <cellStyle name="Normal 26 6 4 3" xfId="31657" xr:uid="{00000000-0005-0000-0000-0000CA780000}"/>
    <cellStyle name="Normal 26 6 4 4" xfId="31658" xr:uid="{00000000-0005-0000-0000-0000CB780000}"/>
    <cellStyle name="Normal 26 6 4 5" xfId="31659" xr:uid="{00000000-0005-0000-0000-0000CC780000}"/>
    <cellStyle name="Normal 26 6 4 6" xfId="31660" xr:uid="{00000000-0005-0000-0000-0000CD780000}"/>
    <cellStyle name="Normal 26 6 5" xfId="31661" xr:uid="{00000000-0005-0000-0000-0000CE780000}"/>
    <cellStyle name="Normal 26 6 5 2" xfId="31662" xr:uid="{00000000-0005-0000-0000-0000CF780000}"/>
    <cellStyle name="Normal 26 6 5 3" xfId="31663" xr:uid="{00000000-0005-0000-0000-0000D0780000}"/>
    <cellStyle name="Normal 26 6 5 4" xfId="31664" xr:uid="{00000000-0005-0000-0000-0000D1780000}"/>
    <cellStyle name="Normal 26 6 5 5" xfId="31665" xr:uid="{00000000-0005-0000-0000-0000D2780000}"/>
    <cellStyle name="Normal 26 6 5 6" xfId="31666" xr:uid="{00000000-0005-0000-0000-0000D3780000}"/>
    <cellStyle name="Normal 26 6 6" xfId="31667" xr:uid="{00000000-0005-0000-0000-0000D4780000}"/>
    <cellStyle name="Normal 26 6 6 2" xfId="31668" xr:uid="{00000000-0005-0000-0000-0000D5780000}"/>
    <cellStyle name="Normal 26 6 6 3" xfId="31669" xr:uid="{00000000-0005-0000-0000-0000D6780000}"/>
    <cellStyle name="Normal 26 6 6 4" xfId="31670" xr:uid="{00000000-0005-0000-0000-0000D7780000}"/>
    <cellStyle name="Normal 26 6 6 5" xfId="31671" xr:uid="{00000000-0005-0000-0000-0000D8780000}"/>
    <cellStyle name="Normal 26 6 6 6" xfId="31672" xr:uid="{00000000-0005-0000-0000-0000D9780000}"/>
    <cellStyle name="Normal 26 6 7" xfId="31673" xr:uid="{00000000-0005-0000-0000-0000DA780000}"/>
    <cellStyle name="Normal 26 6 7 2" xfId="31674" xr:uid="{00000000-0005-0000-0000-0000DB780000}"/>
    <cellStyle name="Normal 26 6 7 3" xfId="31675" xr:uid="{00000000-0005-0000-0000-0000DC780000}"/>
    <cellStyle name="Normal 26 6 7 4" xfId="31676" xr:uid="{00000000-0005-0000-0000-0000DD780000}"/>
    <cellStyle name="Normal 26 6 7 5" xfId="31677" xr:uid="{00000000-0005-0000-0000-0000DE780000}"/>
    <cellStyle name="Normal 26 6 7 6" xfId="31678" xr:uid="{00000000-0005-0000-0000-0000DF780000}"/>
    <cellStyle name="Normal 26 6 8" xfId="31679" xr:uid="{00000000-0005-0000-0000-0000E0780000}"/>
    <cellStyle name="Normal 26 6 8 2" xfId="31680" xr:uid="{00000000-0005-0000-0000-0000E1780000}"/>
    <cellStyle name="Normal 26 6 8 3" xfId="31681" xr:uid="{00000000-0005-0000-0000-0000E2780000}"/>
    <cellStyle name="Normal 26 6 8 4" xfId="31682" xr:uid="{00000000-0005-0000-0000-0000E3780000}"/>
    <cellStyle name="Normal 26 6 8 5" xfId="31683" xr:uid="{00000000-0005-0000-0000-0000E4780000}"/>
    <cellStyle name="Normal 26 6 8 6" xfId="31684" xr:uid="{00000000-0005-0000-0000-0000E5780000}"/>
    <cellStyle name="Normal 26 6 9" xfId="31685" xr:uid="{00000000-0005-0000-0000-0000E6780000}"/>
    <cellStyle name="Normal 26 7" xfId="31686" xr:uid="{00000000-0005-0000-0000-0000E7780000}"/>
    <cellStyle name="Normal 26 7 10" xfId="31687" xr:uid="{00000000-0005-0000-0000-0000E8780000}"/>
    <cellStyle name="Normal 26 7 11" xfId="31688" xr:uid="{00000000-0005-0000-0000-0000E9780000}"/>
    <cellStyle name="Normal 26 7 12" xfId="31689" xr:uid="{00000000-0005-0000-0000-0000EA780000}"/>
    <cellStyle name="Normal 26 7 13" xfId="31690" xr:uid="{00000000-0005-0000-0000-0000EB780000}"/>
    <cellStyle name="Normal 26 7 2" xfId="31691" xr:uid="{00000000-0005-0000-0000-0000EC780000}"/>
    <cellStyle name="Normal 26 7 2 2" xfId="31692" xr:uid="{00000000-0005-0000-0000-0000ED780000}"/>
    <cellStyle name="Normal 26 7 2 3" xfId="31693" xr:uid="{00000000-0005-0000-0000-0000EE780000}"/>
    <cellStyle name="Normal 26 7 2 4" xfId="31694" xr:uid="{00000000-0005-0000-0000-0000EF780000}"/>
    <cellStyle name="Normal 26 7 2 5" xfId="31695" xr:uid="{00000000-0005-0000-0000-0000F0780000}"/>
    <cellStyle name="Normal 26 7 2 6" xfId="31696" xr:uid="{00000000-0005-0000-0000-0000F1780000}"/>
    <cellStyle name="Normal 26 7 3" xfId="31697" xr:uid="{00000000-0005-0000-0000-0000F2780000}"/>
    <cellStyle name="Normal 26 7 3 2" xfId="31698" xr:uid="{00000000-0005-0000-0000-0000F3780000}"/>
    <cellStyle name="Normal 26 7 3 3" xfId="31699" xr:uid="{00000000-0005-0000-0000-0000F4780000}"/>
    <cellStyle name="Normal 26 7 3 4" xfId="31700" xr:uid="{00000000-0005-0000-0000-0000F5780000}"/>
    <cellStyle name="Normal 26 7 3 5" xfId="31701" xr:uid="{00000000-0005-0000-0000-0000F6780000}"/>
    <cellStyle name="Normal 26 7 3 6" xfId="31702" xr:uid="{00000000-0005-0000-0000-0000F7780000}"/>
    <cellStyle name="Normal 26 7 4" xfId="31703" xr:uid="{00000000-0005-0000-0000-0000F8780000}"/>
    <cellStyle name="Normal 26 7 4 2" xfId="31704" xr:uid="{00000000-0005-0000-0000-0000F9780000}"/>
    <cellStyle name="Normal 26 7 4 3" xfId="31705" xr:uid="{00000000-0005-0000-0000-0000FA780000}"/>
    <cellStyle name="Normal 26 7 4 4" xfId="31706" xr:uid="{00000000-0005-0000-0000-0000FB780000}"/>
    <cellStyle name="Normal 26 7 4 5" xfId="31707" xr:uid="{00000000-0005-0000-0000-0000FC780000}"/>
    <cellStyle name="Normal 26 7 4 6" xfId="31708" xr:uid="{00000000-0005-0000-0000-0000FD780000}"/>
    <cellStyle name="Normal 26 7 5" xfId="31709" xr:uid="{00000000-0005-0000-0000-0000FE780000}"/>
    <cellStyle name="Normal 26 7 5 2" xfId="31710" xr:uid="{00000000-0005-0000-0000-0000FF780000}"/>
    <cellStyle name="Normal 26 7 5 3" xfId="31711" xr:uid="{00000000-0005-0000-0000-000000790000}"/>
    <cellStyle name="Normal 26 7 5 4" xfId="31712" xr:uid="{00000000-0005-0000-0000-000001790000}"/>
    <cellStyle name="Normal 26 7 5 5" xfId="31713" xr:uid="{00000000-0005-0000-0000-000002790000}"/>
    <cellStyle name="Normal 26 7 5 6" xfId="31714" xr:uid="{00000000-0005-0000-0000-000003790000}"/>
    <cellStyle name="Normal 26 7 6" xfId="31715" xr:uid="{00000000-0005-0000-0000-000004790000}"/>
    <cellStyle name="Normal 26 7 6 2" xfId="31716" xr:uid="{00000000-0005-0000-0000-000005790000}"/>
    <cellStyle name="Normal 26 7 6 3" xfId="31717" xr:uid="{00000000-0005-0000-0000-000006790000}"/>
    <cellStyle name="Normal 26 7 6 4" xfId="31718" xr:uid="{00000000-0005-0000-0000-000007790000}"/>
    <cellStyle name="Normal 26 7 6 5" xfId="31719" xr:uid="{00000000-0005-0000-0000-000008790000}"/>
    <cellStyle name="Normal 26 7 6 6" xfId="31720" xr:uid="{00000000-0005-0000-0000-000009790000}"/>
    <cellStyle name="Normal 26 7 7" xfId="31721" xr:uid="{00000000-0005-0000-0000-00000A790000}"/>
    <cellStyle name="Normal 26 7 7 2" xfId="31722" xr:uid="{00000000-0005-0000-0000-00000B790000}"/>
    <cellStyle name="Normal 26 7 7 3" xfId="31723" xr:uid="{00000000-0005-0000-0000-00000C790000}"/>
    <cellStyle name="Normal 26 7 7 4" xfId="31724" xr:uid="{00000000-0005-0000-0000-00000D790000}"/>
    <cellStyle name="Normal 26 7 7 5" xfId="31725" xr:uid="{00000000-0005-0000-0000-00000E790000}"/>
    <cellStyle name="Normal 26 7 7 6" xfId="31726" xr:uid="{00000000-0005-0000-0000-00000F790000}"/>
    <cellStyle name="Normal 26 7 8" xfId="31727" xr:uid="{00000000-0005-0000-0000-000010790000}"/>
    <cellStyle name="Normal 26 7 8 2" xfId="31728" xr:uid="{00000000-0005-0000-0000-000011790000}"/>
    <cellStyle name="Normal 26 7 8 3" xfId="31729" xr:uid="{00000000-0005-0000-0000-000012790000}"/>
    <cellStyle name="Normal 26 7 8 4" xfId="31730" xr:uid="{00000000-0005-0000-0000-000013790000}"/>
    <cellStyle name="Normal 26 7 8 5" xfId="31731" xr:uid="{00000000-0005-0000-0000-000014790000}"/>
    <cellStyle name="Normal 26 7 8 6" xfId="31732" xr:uid="{00000000-0005-0000-0000-000015790000}"/>
    <cellStyle name="Normal 26 7 9" xfId="31733" xr:uid="{00000000-0005-0000-0000-000016790000}"/>
    <cellStyle name="Normal 26 8" xfId="31734" xr:uid="{00000000-0005-0000-0000-000017790000}"/>
    <cellStyle name="Normal 26 8 10" xfId="31735" xr:uid="{00000000-0005-0000-0000-000018790000}"/>
    <cellStyle name="Normal 26 8 11" xfId="31736" xr:uid="{00000000-0005-0000-0000-000019790000}"/>
    <cellStyle name="Normal 26 8 12" xfId="31737" xr:uid="{00000000-0005-0000-0000-00001A790000}"/>
    <cellStyle name="Normal 26 8 13" xfId="31738" xr:uid="{00000000-0005-0000-0000-00001B790000}"/>
    <cellStyle name="Normal 26 8 2" xfId="31739" xr:uid="{00000000-0005-0000-0000-00001C790000}"/>
    <cellStyle name="Normal 26 8 2 2" xfId="31740" xr:uid="{00000000-0005-0000-0000-00001D790000}"/>
    <cellStyle name="Normal 26 8 2 3" xfId="31741" xr:uid="{00000000-0005-0000-0000-00001E790000}"/>
    <cellStyle name="Normal 26 8 2 4" xfId="31742" xr:uid="{00000000-0005-0000-0000-00001F790000}"/>
    <cellStyle name="Normal 26 8 2 5" xfId="31743" xr:uid="{00000000-0005-0000-0000-000020790000}"/>
    <cellStyle name="Normal 26 8 2 6" xfId="31744" xr:uid="{00000000-0005-0000-0000-000021790000}"/>
    <cellStyle name="Normal 26 8 3" xfId="31745" xr:uid="{00000000-0005-0000-0000-000022790000}"/>
    <cellStyle name="Normal 26 8 3 2" xfId="31746" xr:uid="{00000000-0005-0000-0000-000023790000}"/>
    <cellStyle name="Normal 26 8 3 3" xfId="31747" xr:uid="{00000000-0005-0000-0000-000024790000}"/>
    <cellStyle name="Normal 26 8 3 4" xfId="31748" xr:uid="{00000000-0005-0000-0000-000025790000}"/>
    <cellStyle name="Normal 26 8 3 5" xfId="31749" xr:uid="{00000000-0005-0000-0000-000026790000}"/>
    <cellStyle name="Normal 26 8 3 6" xfId="31750" xr:uid="{00000000-0005-0000-0000-000027790000}"/>
    <cellStyle name="Normal 26 8 4" xfId="31751" xr:uid="{00000000-0005-0000-0000-000028790000}"/>
    <cellStyle name="Normal 26 8 4 2" xfId="31752" xr:uid="{00000000-0005-0000-0000-000029790000}"/>
    <cellStyle name="Normal 26 8 4 3" xfId="31753" xr:uid="{00000000-0005-0000-0000-00002A790000}"/>
    <cellStyle name="Normal 26 8 4 4" xfId="31754" xr:uid="{00000000-0005-0000-0000-00002B790000}"/>
    <cellStyle name="Normal 26 8 4 5" xfId="31755" xr:uid="{00000000-0005-0000-0000-00002C790000}"/>
    <cellStyle name="Normal 26 8 4 6" xfId="31756" xr:uid="{00000000-0005-0000-0000-00002D790000}"/>
    <cellStyle name="Normal 26 8 5" xfId="31757" xr:uid="{00000000-0005-0000-0000-00002E790000}"/>
    <cellStyle name="Normal 26 8 5 2" xfId="31758" xr:uid="{00000000-0005-0000-0000-00002F790000}"/>
    <cellStyle name="Normal 26 8 5 3" xfId="31759" xr:uid="{00000000-0005-0000-0000-000030790000}"/>
    <cellStyle name="Normal 26 8 5 4" xfId="31760" xr:uid="{00000000-0005-0000-0000-000031790000}"/>
    <cellStyle name="Normal 26 8 5 5" xfId="31761" xr:uid="{00000000-0005-0000-0000-000032790000}"/>
    <cellStyle name="Normal 26 8 5 6" xfId="31762" xr:uid="{00000000-0005-0000-0000-000033790000}"/>
    <cellStyle name="Normal 26 8 6" xfId="31763" xr:uid="{00000000-0005-0000-0000-000034790000}"/>
    <cellStyle name="Normal 26 8 6 2" xfId="31764" xr:uid="{00000000-0005-0000-0000-000035790000}"/>
    <cellStyle name="Normal 26 8 6 3" xfId="31765" xr:uid="{00000000-0005-0000-0000-000036790000}"/>
    <cellStyle name="Normal 26 8 6 4" xfId="31766" xr:uid="{00000000-0005-0000-0000-000037790000}"/>
    <cellStyle name="Normal 26 8 6 5" xfId="31767" xr:uid="{00000000-0005-0000-0000-000038790000}"/>
    <cellStyle name="Normal 26 8 6 6" xfId="31768" xr:uid="{00000000-0005-0000-0000-000039790000}"/>
    <cellStyle name="Normal 26 8 7" xfId="31769" xr:uid="{00000000-0005-0000-0000-00003A790000}"/>
    <cellStyle name="Normal 26 8 7 2" xfId="31770" xr:uid="{00000000-0005-0000-0000-00003B790000}"/>
    <cellStyle name="Normal 26 8 7 3" xfId="31771" xr:uid="{00000000-0005-0000-0000-00003C790000}"/>
    <cellStyle name="Normal 26 8 7 4" xfId="31772" xr:uid="{00000000-0005-0000-0000-00003D790000}"/>
    <cellStyle name="Normal 26 8 7 5" xfId="31773" xr:uid="{00000000-0005-0000-0000-00003E790000}"/>
    <cellStyle name="Normal 26 8 7 6" xfId="31774" xr:uid="{00000000-0005-0000-0000-00003F790000}"/>
    <cellStyle name="Normal 26 8 8" xfId="31775" xr:uid="{00000000-0005-0000-0000-000040790000}"/>
    <cellStyle name="Normal 26 8 8 2" xfId="31776" xr:uid="{00000000-0005-0000-0000-000041790000}"/>
    <cellStyle name="Normal 26 8 8 3" xfId="31777" xr:uid="{00000000-0005-0000-0000-000042790000}"/>
    <cellStyle name="Normal 26 8 8 4" xfId="31778" xr:uid="{00000000-0005-0000-0000-000043790000}"/>
    <cellStyle name="Normal 26 8 8 5" xfId="31779" xr:uid="{00000000-0005-0000-0000-000044790000}"/>
    <cellStyle name="Normal 26 8 8 6" xfId="31780" xr:uid="{00000000-0005-0000-0000-000045790000}"/>
    <cellStyle name="Normal 26 8 9" xfId="31781" xr:uid="{00000000-0005-0000-0000-000046790000}"/>
    <cellStyle name="Normal 26 9" xfId="31782" xr:uid="{00000000-0005-0000-0000-000047790000}"/>
    <cellStyle name="Normal 26 9 10" xfId="31783" xr:uid="{00000000-0005-0000-0000-000048790000}"/>
    <cellStyle name="Normal 26 9 11" xfId="31784" xr:uid="{00000000-0005-0000-0000-000049790000}"/>
    <cellStyle name="Normal 26 9 12" xfId="31785" xr:uid="{00000000-0005-0000-0000-00004A790000}"/>
    <cellStyle name="Normal 26 9 13" xfId="31786" xr:uid="{00000000-0005-0000-0000-00004B790000}"/>
    <cellStyle name="Normal 26 9 2" xfId="31787" xr:uid="{00000000-0005-0000-0000-00004C790000}"/>
    <cellStyle name="Normal 26 9 2 2" xfId="31788" xr:uid="{00000000-0005-0000-0000-00004D790000}"/>
    <cellStyle name="Normal 26 9 2 3" xfId="31789" xr:uid="{00000000-0005-0000-0000-00004E790000}"/>
    <cellStyle name="Normal 26 9 2 4" xfId="31790" xr:uid="{00000000-0005-0000-0000-00004F790000}"/>
    <cellStyle name="Normal 26 9 2 5" xfId="31791" xr:uid="{00000000-0005-0000-0000-000050790000}"/>
    <cellStyle name="Normal 26 9 2 6" xfId="31792" xr:uid="{00000000-0005-0000-0000-000051790000}"/>
    <cellStyle name="Normal 26 9 3" xfId="31793" xr:uid="{00000000-0005-0000-0000-000052790000}"/>
    <cellStyle name="Normal 26 9 3 2" xfId="31794" xr:uid="{00000000-0005-0000-0000-000053790000}"/>
    <cellStyle name="Normal 26 9 3 3" xfId="31795" xr:uid="{00000000-0005-0000-0000-000054790000}"/>
    <cellStyle name="Normal 26 9 3 4" xfId="31796" xr:uid="{00000000-0005-0000-0000-000055790000}"/>
    <cellStyle name="Normal 26 9 3 5" xfId="31797" xr:uid="{00000000-0005-0000-0000-000056790000}"/>
    <cellStyle name="Normal 26 9 3 6" xfId="31798" xr:uid="{00000000-0005-0000-0000-000057790000}"/>
    <cellStyle name="Normal 26 9 4" xfId="31799" xr:uid="{00000000-0005-0000-0000-000058790000}"/>
    <cellStyle name="Normal 26 9 4 2" xfId="31800" xr:uid="{00000000-0005-0000-0000-000059790000}"/>
    <cellStyle name="Normal 26 9 4 3" xfId="31801" xr:uid="{00000000-0005-0000-0000-00005A790000}"/>
    <cellStyle name="Normal 26 9 4 4" xfId="31802" xr:uid="{00000000-0005-0000-0000-00005B790000}"/>
    <cellStyle name="Normal 26 9 4 5" xfId="31803" xr:uid="{00000000-0005-0000-0000-00005C790000}"/>
    <cellStyle name="Normal 26 9 4 6" xfId="31804" xr:uid="{00000000-0005-0000-0000-00005D790000}"/>
    <cellStyle name="Normal 26 9 5" xfId="31805" xr:uid="{00000000-0005-0000-0000-00005E790000}"/>
    <cellStyle name="Normal 26 9 5 2" xfId="31806" xr:uid="{00000000-0005-0000-0000-00005F790000}"/>
    <cellStyle name="Normal 26 9 5 3" xfId="31807" xr:uid="{00000000-0005-0000-0000-000060790000}"/>
    <cellStyle name="Normal 26 9 5 4" xfId="31808" xr:uid="{00000000-0005-0000-0000-000061790000}"/>
    <cellStyle name="Normal 26 9 5 5" xfId="31809" xr:uid="{00000000-0005-0000-0000-000062790000}"/>
    <cellStyle name="Normal 26 9 5 6" xfId="31810" xr:uid="{00000000-0005-0000-0000-000063790000}"/>
    <cellStyle name="Normal 26 9 6" xfId="31811" xr:uid="{00000000-0005-0000-0000-000064790000}"/>
    <cellStyle name="Normal 26 9 6 2" xfId="31812" xr:uid="{00000000-0005-0000-0000-000065790000}"/>
    <cellStyle name="Normal 26 9 6 3" xfId="31813" xr:uid="{00000000-0005-0000-0000-000066790000}"/>
    <cellStyle name="Normal 26 9 6 4" xfId="31814" xr:uid="{00000000-0005-0000-0000-000067790000}"/>
    <cellStyle name="Normal 26 9 6 5" xfId="31815" xr:uid="{00000000-0005-0000-0000-000068790000}"/>
    <cellStyle name="Normal 26 9 6 6" xfId="31816" xr:uid="{00000000-0005-0000-0000-000069790000}"/>
    <cellStyle name="Normal 26 9 7" xfId="31817" xr:uid="{00000000-0005-0000-0000-00006A790000}"/>
    <cellStyle name="Normal 26 9 7 2" xfId="31818" xr:uid="{00000000-0005-0000-0000-00006B790000}"/>
    <cellStyle name="Normal 26 9 7 3" xfId="31819" xr:uid="{00000000-0005-0000-0000-00006C790000}"/>
    <cellStyle name="Normal 26 9 7 4" xfId="31820" xr:uid="{00000000-0005-0000-0000-00006D790000}"/>
    <cellStyle name="Normal 26 9 7 5" xfId="31821" xr:uid="{00000000-0005-0000-0000-00006E790000}"/>
    <cellStyle name="Normal 26 9 7 6" xfId="31822" xr:uid="{00000000-0005-0000-0000-00006F790000}"/>
    <cellStyle name="Normal 26 9 8" xfId="31823" xr:uid="{00000000-0005-0000-0000-000070790000}"/>
    <cellStyle name="Normal 26 9 8 2" xfId="31824" xr:uid="{00000000-0005-0000-0000-000071790000}"/>
    <cellStyle name="Normal 26 9 8 3" xfId="31825" xr:uid="{00000000-0005-0000-0000-000072790000}"/>
    <cellStyle name="Normal 26 9 8 4" xfId="31826" xr:uid="{00000000-0005-0000-0000-000073790000}"/>
    <cellStyle name="Normal 26 9 8 5" xfId="31827" xr:uid="{00000000-0005-0000-0000-000074790000}"/>
    <cellStyle name="Normal 26 9 8 6" xfId="31828" xr:uid="{00000000-0005-0000-0000-000075790000}"/>
    <cellStyle name="Normal 26 9 9" xfId="31829" xr:uid="{00000000-0005-0000-0000-000076790000}"/>
    <cellStyle name="Normal 27" xfId="1716" xr:uid="{00000000-0005-0000-0000-000077790000}"/>
    <cellStyle name="Normal 27 10" xfId="31830" xr:uid="{00000000-0005-0000-0000-000078790000}"/>
    <cellStyle name="Normal 27 10 10" xfId="31831" xr:uid="{00000000-0005-0000-0000-000079790000}"/>
    <cellStyle name="Normal 27 10 11" xfId="31832" xr:uid="{00000000-0005-0000-0000-00007A790000}"/>
    <cellStyle name="Normal 27 10 12" xfId="31833" xr:uid="{00000000-0005-0000-0000-00007B790000}"/>
    <cellStyle name="Normal 27 10 13" xfId="31834" xr:uid="{00000000-0005-0000-0000-00007C790000}"/>
    <cellStyle name="Normal 27 10 2" xfId="31835" xr:uid="{00000000-0005-0000-0000-00007D790000}"/>
    <cellStyle name="Normal 27 10 2 2" xfId="31836" xr:uid="{00000000-0005-0000-0000-00007E790000}"/>
    <cellStyle name="Normal 27 10 2 3" xfId="31837" xr:uid="{00000000-0005-0000-0000-00007F790000}"/>
    <cellStyle name="Normal 27 10 2 4" xfId="31838" xr:uid="{00000000-0005-0000-0000-000080790000}"/>
    <cellStyle name="Normal 27 10 2 5" xfId="31839" xr:uid="{00000000-0005-0000-0000-000081790000}"/>
    <cellStyle name="Normal 27 10 2 6" xfId="31840" xr:uid="{00000000-0005-0000-0000-000082790000}"/>
    <cellStyle name="Normal 27 10 3" xfId="31841" xr:uid="{00000000-0005-0000-0000-000083790000}"/>
    <cellStyle name="Normal 27 10 3 2" xfId="31842" xr:uid="{00000000-0005-0000-0000-000084790000}"/>
    <cellStyle name="Normal 27 10 3 3" xfId="31843" xr:uid="{00000000-0005-0000-0000-000085790000}"/>
    <cellStyle name="Normal 27 10 3 4" xfId="31844" xr:uid="{00000000-0005-0000-0000-000086790000}"/>
    <cellStyle name="Normal 27 10 3 5" xfId="31845" xr:uid="{00000000-0005-0000-0000-000087790000}"/>
    <cellStyle name="Normal 27 10 3 6" xfId="31846" xr:uid="{00000000-0005-0000-0000-000088790000}"/>
    <cellStyle name="Normal 27 10 4" xfId="31847" xr:uid="{00000000-0005-0000-0000-000089790000}"/>
    <cellStyle name="Normal 27 10 4 2" xfId="31848" xr:uid="{00000000-0005-0000-0000-00008A790000}"/>
    <cellStyle name="Normal 27 10 4 3" xfId="31849" xr:uid="{00000000-0005-0000-0000-00008B790000}"/>
    <cellStyle name="Normal 27 10 4 4" xfId="31850" xr:uid="{00000000-0005-0000-0000-00008C790000}"/>
    <cellStyle name="Normal 27 10 4 5" xfId="31851" xr:uid="{00000000-0005-0000-0000-00008D790000}"/>
    <cellStyle name="Normal 27 10 4 6" xfId="31852" xr:uid="{00000000-0005-0000-0000-00008E790000}"/>
    <cellStyle name="Normal 27 10 5" xfId="31853" xr:uid="{00000000-0005-0000-0000-00008F790000}"/>
    <cellStyle name="Normal 27 10 5 2" xfId="31854" xr:uid="{00000000-0005-0000-0000-000090790000}"/>
    <cellStyle name="Normal 27 10 5 3" xfId="31855" xr:uid="{00000000-0005-0000-0000-000091790000}"/>
    <cellStyle name="Normal 27 10 5 4" xfId="31856" xr:uid="{00000000-0005-0000-0000-000092790000}"/>
    <cellStyle name="Normal 27 10 5 5" xfId="31857" xr:uid="{00000000-0005-0000-0000-000093790000}"/>
    <cellStyle name="Normal 27 10 5 6" xfId="31858" xr:uid="{00000000-0005-0000-0000-000094790000}"/>
    <cellStyle name="Normal 27 10 6" xfId="31859" xr:uid="{00000000-0005-0000-0000-000095790000}"/>
    <cellStyle name="Normal 27 10 6 2" xfId="31860" xr:uid="{00000000-0005-0000-0000-000096790000}"/>
    <cellStyle name="Normal 27 10 6 3" xfId="31861" xr:uid="{00000000-0005-0000-0000-000097790000}"/>
    <cellStyle name="Normal 27 10 6 4" xfId="31862" xr:uid="{00000000-0005-0000-0000-000098790000}"/>
    <cellStyle name="Normal 27 10 6 5" xfId="31863" xr:uid="{00000000-0005-0000-0000-000099790000}"/>
    <cellStyle name="Normal 27 10 6 6" xfId="31864" xr:uid="{00000000-0005-0000-0000-00009A790000}"/>
    <cellStyle name="Normal 27 10 7" xfId="31865" xr:uid="{00000000-0005-0000-0000-00009B790000}"/>
    <cellStyle name="Normal 27 10 7 2" xfId="31866" xr:uid="{00000000-0005-0000-0000-00009C790000}"/>
    <cellStyle name="Normal 27 10 7 3" xfId="31867" xr:uid="{00000000-0005-0000-0000-00009D790000}"/>
    <cellStyle name="Normal 27 10 7 4" xfId="31868" xr:uid="{00000000-0005-0000-0000-00009E790000}"/>
    <cellStyle name="Normal 27 10 7 5" xfId="31869" xr:uid="{00000000-0005-0000-0000-00009F790000}"/>
    <cellStyle name="Normal 27 10 7 6" xfId="31870" xr:uid="{00000000-0005-0000-0000-0000A0790000}"/>
    <cellStyle name="Normal 27 10 8" xfId="31871" xr:uid="{00000000-0005-0000-0000-0000A1790000}"/>
    <cellStyle name="Normal 27 10 8 2" xfId="31872" xr:uid="{00000000-0005-0000-0000-0000A2790000}"/>
    <cellStyle name="Normal 27 10 8 3" xfId="31873" xr:uid="{00000000-0005-0000-0000-0000A3790000}"/>
    <cellStyle name="Normal 27 10 8 4" xfId="31874" xr:uid="{00000000-0005-0000-0000-0000A4790000}"/>
    <cellStyle name="Normal 27 10 8 5" xfId="31875" xr:uid="{00000000-0005-0000-0000-0000A5790000}"/>
    <cellStyle name="Normal 27 10 8 6" xfId="31876" xr:uid="{00000000-0005-0000-0000-0000A6790000}"/>
    <cellStyle name="Normal 27 10 9" xfId="31877" xr:uid="{00000000-0005-0000-0000-0000A7790000}"/>
    <cellStyle name="Normal 27 11" xfId="31878" xr:uid="{00000000-0005-0000-0000-0000A8790000}"/>
    <cellStyle name="Normal 27 11 10" xfId="31879" xr:uid="{00000000-0005-0000-0000-0000A9790000}"/>
    <cellStyle name="Normal 27 11 11" xfId="31880" xr:uid="{00000000-0005-0000-0000-0000AA790000}"/>
    <cellStyle name="Normal 27 11 12" xfId="31881" xr:uid="{00000000-0005-0000-0000-0000AB790000}"/>
    <cellStyle name="Normal 27 11 13" xfId="31882" xr:uid="{00000000-0005-0000-0000-0000AC790000}"/>
    <cellStyle name="Normal 27 11 2" xfId="31883" xr:uid="{00000000-0005-0000-0000-0000AD790000}"/>
    <cellStyle name="Normal 27 11 2 2" xfId="31884" xr:uid="{00000000-0005-0000-0000-0000AE790000}"/>
    <cellStyle name="Normal 27 11 2 3" xfId="31885" xr:uid="{00000000-0005-0000-0000-0000AF790000}"/>
    <cellStyle name="Normal 27 11 2 4" xfId="31886" xr:uid="{00000000-0005-0000-0000-0000B0790000}"/>
    <cellStyle name="Normal 27 11 2 5" xfId="31887" xr:uid="{00000000-0005-0000-0000-0000B1790000}"/>
    <cellStyle name="Normal 27 11 2 6" xfId="31888" xr:uid="{00000000-0005-0000-0000-0000B2790000}"/>
    <cellStyle name="Normal 27 11 3" xfId="31889" xr:uid="{00000000-0005-0000-0000-0000B3790000}"/>
    <cellStyle name="Normal 27 11 3 2" xfId="31890" xr:uid="{00000000-0005-0000-0000-0000B4790000}"/>
    <cellStyle name="Normal 27 11 3 3" xfId="31891" xr:uid="{00000000-0005-0000-0000-0000B5790000}"/>
    <cellStyle name="Normal 27 11 3 4" xfId="31892" xr:uid="{00000000-0005-0000-0000-0000B6790000}"/>
    <cellStyle name="Normal 27 11 3 5" xfId="31893" xr:uid="{00000000-0005-0000-0000-0000B7790000}"/>
    <cellStyle name="Normal 27 11 3 6" xfId="31894" xr:uid="{00000000-0005-0000-0000-0000B8790000}"/>
    <cellStyle name="Normal 27 11 4" xfId="31895" xr:uid="{00000000-0005-0000-0000-0000B9790000}"/>
    <cellStyle name="Normal 27 11 4 2" xfId="31896" xr:uid="{00000000-0005-0000-0000-0000BA790000}"/>
    <cellStyle name="Normal 27 11 4 3" xfId="31897" xr:uid="{00000000-0005-0000-0000-0000BB790000}"/>
    <cellStyle name="Normal 27 11 4 4" xfId="31898" xr:uid="{00000000-0005-0000-0000-0000BC790000}"/>
    <cellStyle name="Normal 27 11 4 5" xfId="31899" xr:uid="{00000000-0005-0000-0000-0000BD790000}"/>
    <cellStyle name="Normal 27 11 4 6" xfId="31900" xr:uid="{00000000-0005-0000-0000-0000BE790000}"/>
    <cellStyle name="Normal 27 11 5" xfId="31901" xr:uid="{00000000-0005-0000-0000-0000BF790000}"/>
    <cellStyle name="Normal 27 11 5 2" xfId="31902" xr:uid="{00000000-0005-0000-0000-0000C0790000}"/>
    <cellStyle name="Normal 27 11 5 3" xfId="31903" xr:uid="{00000000-0005-0000-0000-0000C1790000}"/>
    <cellStyle name="Normal 27 11 5 4" xfId="31904" xr:uid="{00000000-0005-0000-0000-0000C2790000}"/>
    <cellStyle name="Normal 27 11 5 5" xfId="31905" xr:uid="{00000000-0005-0000-0000-0000C3790000}"/>
    <cellStyle name="Normal 27 11 5 6" xfId="31906" xr:uid="{00000000-0005-0000-0000-0000C4790000}"/>
    <cellStyle name="Normal 27 11 6" xfId="31907" xr:uid="{00000000-0005-0000-0000-0000C5790000}"/>
    <cellStyle name="Normal 27 11 6 2" xfId="31908" xr:uid="{00000000-0005-0000-0000-0000C6790000}"/>
    <cellStyle name="Normal 27 11 6 3" xfId="31909" xr:uid="{00000000-0005-0000-0000-0000C7790000}"/>
    <cellStyle name="Normal 27 11 6 4" xfId="31910" xr:uid="{00000000-0005-0000-0000-0000C8790000}"/>
    <cellStyle name="Normal 27 11 6 5" xfId="31911" xr:uid="{00000000-0005-0000-0000-0000C9790000}"/>
    <cellStyle name="Normal 27 11 6 6" xfId="31912" xr:uid="{00000000-0005-0000-0000-0000CA790000}"/>
    <cellStyle name="Normal 27 11 7" xfId="31913" xr:uid="{00000000-0005-0000-0000-0000CB790000}"/>
    <cellStyle name="Normal 27 11 7 2" xfId="31914" xr:uid="{00000000-0005-0000-0000-0000CC790000}"/>
    <cellStyle name="Normal 27 11 7 3" xfId="31915" xr:uid="{00000000-0005-0000-0000-0000CD790000}"/>
    <cellStyle name="Normal 27 11 7 4" xfId="31916" xr:uid="{00000000-0005-0000-0000-0000CE790000}"/>
    <cellStyle name="Normal 27 11 7 5" xfId="31917" xr:uid="{00000000-0005-0000-0000-0000CF790000}"/>
    <cellStyle name="Normal 27 11 7 6" xfId="31918" xr:uid="{00000000-0005-0000-0000-0000D0790000}"/>
    <cellStyle name="Normal 27 11 8" xfId="31919" xr:uid="{00000000-0005-0000-0000-0000D1790000}"/>
    <cellStyle name="Normal 27 11 8 2" xfId="31920" xr:uid="{00000000-0005-0000-0000-0000D2790000}"/>
    <cellStyle name="Normal 27 11 8 3" xfId="31921" xr:uid="{00000000-0005-0000-0000-0000D3790000}"/>
    <cellStyle name="Normal 27 11 8 4" xfId="31922" xr:uid="{00000000-0005-0000-0000-0000D4790000}"/>
    <cellStyle name="Normal 27 11 8 5" xfId="31923" xr:uid="{00000000-0005-0000-0000-0000D5790000}"/>
    <cellStyle name="Normal 27 11 8 6" xfId="31924" xr:uid="{00000000-0005-0000-0000-0000D6790000}"/>
    <cellStyle name="Normal 27 11 9" xfId="31925" xr:uid="{00000000-0005-0000-0000-0000D7790000}"/>
    <cellStyle name="Normal 27 12" xfId="31926" xr:uid="{00000000-0005-0000-0000-0000D8790000}"/>
    <cellStyle name="Normal 27 12 10" xfId="31927" xr:uid="{00000000-0005-0000-0000-0000D9790000}"/>
    <cellStyle name="Normal 27 12 11" xfId="31928" xr:uid="{00000000-0005-0000-0000-0000DA790000}"/>
    <cellStyle name="Normal 27 12 12" xfId="31929" xr:uid="{00000000-0005-0000-0000-0000DB790000}"/>
    <cellStyle name="Normal 27 12 13" xfId="31930" xr:uid="{00000000-0005-0000-0000-0000DC790000}"/>
    <cellStyle name="Normal 27 12 2" xfId="31931" xr:uid="{00000000-0005-0000-0000-0000DD790000}"/>
    <cellStyle name="Normal 27 12 2 2" xfId="31932" xr:uid="{00000000-0005-0000-0000-0000DE790000}"/>
    <cellStyle name="Normal 27 12 2 3" xfId="31933" xr:uid="{00000000-0005-0000-0000-0000DF790000}"/>
    <cellStyle name="Normal 27 12 2 4" xfId="31934" xr:uid="{00000000-0005-0000-0000-0000E0790000}"/>
    <cellStyle name="Normal 27 12 2 5" xfId="31935" xr:uid="{00000000-0005-0000-0000-0000E1790000}"/>
    <cellStyle name="Normal 27 12 2 6" xfId="31936" xr:uid="{00000000-0005-0000-0000-0000E2790000}"/>
    <cellStyle name="Normal 27 12 3" xfId="31937" xr:uid="{00000000-0005-0000-0000-0000E3790000}"/>
    <cellStyle name="Normal 27 12 3 2" xfId="31938" xr:uid="{00000000-0005-0000-0000-0000E4790000}"/>
    <cellStyle name="Normal 27 12 3 3" xfId="31939" xr:uid="{00000000-0005-0000-0000-0000E5790000}"/>
    <cellStyle name="Normal 27 12 3 4" xfId="31940" xr:uid="{00000000-0005-0000-0000-0000E6790000}"/>
    <cellStyle name="Normal 27 12 3 5" xfId="31941" xr:uid="{00000000-0005-0000-0000-0000E7790000}"/>
    <cellStyle name="Normal 27 12 3 6" xfId="31942" xr:uid="{00000000-0005-0000-0000-0000E8790000}"/>
    <cellStyle name="Normal 27 12 4" xfId="31943" xr:uid="{00000000-0005-0000-0000-0000E9790000}"/>
    <cellStyle name="Normal 27 12 4 2" xfId="31944" xr:uid="{00000000-0005-0000-0000-0000EA790000}"/>
    <cellStyle name="Normal 27 12 4 3" xfId="31945" xr:uid="{00000000-0005-0000-0000-0000EB790000}"/>
    <cellStyle name="Normal 27 12 4 4" xfId="31946" xr:uid="{00000000-0005-0000-0000-0000EC790000}"/>
    <cellStyle name="Normal 27 12 4 5" xfId="31947" xr:uid="{00000000-0005-0000-0000-0000ED790000}"/>
    <cellStyle name="Normal 27 12 4 6" xfId="31948" xr:uid="{00000000-0005-0000-0000-0000EE790000}"/>
    <cellStyle name="Normal 27 12 5" xfId="31949" xr:uid="{00000000-0005-0000-0000-0000EF790000}"/>
    <cellStyle name="Normal 27 12 5 2" xfId="31950" xr:uid="{00000000-0005-0000-0000-0000F0790000}"/>
    <cellStyle name="Normal 27 12 5 3" xfId="31951" xr:uid="{00000000-0005-0000-0000-0000F1790000}"/>
    <cellStyle name="Normal 27 12 5 4" xfId="31952" xr:uid="{00000000-0005-0000-0000-0000F2790000}"/>
    <cellStyle name="Normal 27 12 5 5" xfId="31953" xr:uid="{00000000-0005-0000-0000-0000F3790000}"/>
    <cellStyle name="Normal 27 12 5 6" xfId="31954" xr:uid="{00000000-0005-0000-0000-0000F4790000}"/>
    <cellStyle name="Normal 27 12 6" xfId="31955" xr:uid="{00000000-0005-0000-0000-0000F5790000}"/>
    <cellStyle name="Normal 27 12 6 2" xfId="31956" xr:uid="{00000000-0005-0000-0000-0000F6790000}"/>
    <cellStyle name="Normal 27 12 6 3" xfId="31957" xr:uid="{00000000-0005-0000-0000-0000F7790000}"/>
    <cellStyle name="Normal 27 12 6 4" xfId="31958" xr:uid="{00000000-0005-0000-0000-0000F8790000}"/>
    <cellStyle name="Normal 27 12 6 5" xfId="31959" xr:uid="{00000000-0005-0000-0000-0000F9790000}"/>
    <cellStyle name="Normal 27 12 6 6" xfId="31960" xr:uid="{00000000-0005-0000-0000-0000FA790000}"/>
    <cellStyle name="Normal 27 12 7" xfId="31961" xr:uid="{00000000-0005-0000-0000-0000FB790000}"/>
    <cellStyle name="Normal 27 12 7 2" xfId="31962" xr:uid="{00000000-0005-0000-0000-0000FC790000}"/>
    <cellStyle name="Normal 27 12 7 3" xfId="31963" xr:uid="{00000000-0005-0000-0000-0000FD790000}"/>
    <cellStyle name="Normal 27 12 7 4" xfId="31964" xr:uid="{00000000-0005-0000-0000-0000FE790000}"/>
    <cellStyle name="Normal 27 12 7 5" xfId="31965" xr:uid="{00000000-0005-0000-0000-0000FF790000}"/>
    <cellStyle name="Normal 27 12 7 6" xfId="31966" xr:uid="{00000000-0005-0000-0000-0000007A0000}"/>
    <cellStyle name="Normal 27 12 8" xfId="31967" xr:uid="{00000000-0005-0000-0000-0000017A0000}"/>
    <cellStyle name="Normal 27 12 8 2" xfId="31968" xr:uid="{00000000-0005-0000-0000-0000027A0000}"/>
    <cellStyle name="Normal 27 12 8 3" xfId="31969" xr:uid="{00000000-0005-0000-0000-0000037A0000}"/>
    <cellStyle name="Normal 27 12 8 4" xfId="31970" xr:uid="{00000000-0005-0000-0000-0000047A0000}"/>
    <cellStyle name="Normal 27 12 8 5" xfId="31971" xr:uid="{00000000-0005-0000-0000-0000057A0000}"/>
    <cellStyle name="Normal 27 12 8 6" xfId="31972" xr:uid="{00000000-0005-0000-0000-0000067A0000}"/>
    <cellStyle name="Normal 27 12 9" xfId="31973" xr:uid="{00000000-0005-0000-0000-0000077A0000}"/>
    <cellStyle name="Normal 27 13" xfId="31974" xr:uid="{00000000-0005-0000-0000-0000087A0000}"/>
    <cellStyle name="Normal 27 13 10" xfId="31975" xr:uid="{00000000-0005-0000-0000-0000097A0000}"/>
    <cellStyle name="Normal 27 13 11" xfId="31976" xr:uid="{00000000-0005-0000-0000-00000A7A0000}"/>
    <cellStyle name="Normal 27 13 12" xfId="31977" xr:uid="{00000000-0005-0000-0000-00000B7A0000}"/>
    <cellStyle name="Normal 27 13 13" xfId="31978" xr:uid="{00000000-0005-0000-0000-00000C7A0000}"/>
    <cellStyle name="Normal 27 13 2" xfId="31979" xr:uid="{00000000-0005-0000-0000-00000D7A0000}"/>
    <cellStyle name="Normal 27 13 2 2" xfId="31980" xr:uid="{00000000-0005-0000-0000-00000E7A0000}"/>
    <cellStyle name="Normal 27 13 2 3" xfId="31981" xr:uid="{00000000-0005-0000-0000-00000F7A0000}"/>
    <cellStyle name="Normal 27 13 2 4" xfId="31982" xr:uid="{00000000-0005-0000-0000-0000107A0000}"/>
    <cellStyle name="Normal 27 13 2 5" xfId="31983" xr:uid="{00000000-0005-0000-0000-0000117A0000}"/>
    <cellStyle name="Normal 27 13 2 6" xfId="31984" xr:uid="{00000000-0005-0000-0000-0000127A0000}"/>
    <cellStyle name="Normal 27 13 3" xfId="31985" xr:uid="{00000000-0005-0000-0000-0000137A0000}"/>
    <cellStyle name="Normal 27 13 3 2" xfId="31986" xr:uid="{00000000-0005-0000-0000-0000147A0000}"/>
    <cellStyle name="Normal 27 13 3 3" xfId="31987" xr:uid="{00000000-0005-0000-0000-0000157A0000}"/>
    <cellStyle name="Normal 27 13 3 4" xfId="31988" xr:uid="{00000000-0005-0000-0000-0000167A0000}"/>
    <cellStyle name="Normal 27 13 3 5" xfId="31989" xr:uid="{00000000-0005-0000-0000-0000177A0000}"/>
    <cellStyle name="Normal 27 13 3 6" xfId="31990" xr:uid="{00000000-0005-0000-0000-0000187A0000}"/>
    <cellStyle name="Normal 27 13 4" xfId="31991" xr:uid="{00000000-0005-0000-0000-0000197A0000}"/>
    <cellStyle name="Normal 27 13 4 2" xfId="31992" xr:uid="{00000000-0005-0000-0000-00001A7A0000}"/>
    <cellStyle name="Normal 27 13 4 3" xfId="31993" xr:uid="{00000000-0005-0000-0000-00001B7A0000}"/>
    <cellStyle name="Normal 27 13 4 4" xfId="31994" xr:uid="{00000000-0005-0000-0000-00001C7A0000}"/>
    <cellStyle name="Normal 27 13 4 5" xfId="31995" xr:uid="{00000000-0005-0000-0000-00001D7A0000}"/>
    <cellStyle name="Normal 27 13 4 6" xfId="31996" xr:uid="{00000000-0005-0000-0000-00001E7A0000}"/>
    <cellStyle name="Normal 27 13 5" xfId="31997" xr:uid="{00000000-0005-0000-0000-00001F7A0000}"/>
    <cellStyle name="Normal 27 13 5 2" xfId="31998" xr:uid="{00000000-0005-0000-0000-0000207A0000}"/>
    <cellStyle name="Normal 27 13 5 3" xfId="31999" xr:uid="{00000000-0005-0000-0000-0000217A0000}"/>
    <cellStyle name="Normal 27 13 5 4" xfId="32000" xr:uid="{00000000-0005-0000-0000-0000227A0000}"/>
    <cellStyle name="Normal 27 13 5 5" xfId="32001" xr:uid="{00000000-0005-0000-0000-0000237A0000}"/>
    <cellStyle name="Normal 27 13 5 6" xfId="32002" xr:uid="{00000000-0005-0000-0000-0000247A0000}"/>
    <cellStyle name="Normal 27 13 6" xfId="32003" xr:uid="{00000000-0005-0000-0000-0000257A0000}"/>
    <cellStyle name="Normal 27 13 6 2" xfId="32004" xr:uid="{00000000-0005-0000-0000-0000267A0000}"/>
    <cellStyle name="Normal 27 13 6 3" xfId="32005" xr:uid="{00000000-0005-0000-0000-0000277A0000}"/>
    <cellStyle name="Normal 27 13 6 4" xfId="32006" xr:uid="{00000000-0005-0000-0000-0000287A0000}"/>
    <cellStyle name="Normal 27 13 6 5" xfId="32007" xr:uid="{00000000-0005-0000-0000-0000297A0000}"/>
    <cellStyle name="Normal 27 13 6 6" xfId="32008" xr:uid="{00000000-0005-0000-0000-00002A7A0000}"/>
    <cellStyle name="Normal 27 13 7" xfId="32009" xr:uid="{00000000-0005-0000-0000-00002B7A0000}"/>
    <cellStyle name="Normal 27 13 7 2" xfId="32010" xr:uid="{00000000-0005-0000-0000-00002C7A0000}"/>
    <cellStyle name="Normal 27 13 7 3" xfId="32011" xr:uid="{00000000-0005-0000-0000-00002D7A0000}"/>
    <cellStyle name="Normal 27 13 7 4" xfId="32012" xr:uid="{00000000-0005-0000-0000-00002E7A0000}"/>
    <cellStyle name="Normal 27 13 7 5" xfId="32013" xr:uid="{00000000-0005-0000-0000-00002F7A0000}"/>
    <cellStyle name="Normal 27 13 7 6" xfId="32014" xr:uid="{00000000-0005-0000-0000-0000307A0000}"/>
    <cellStyle name="Normal 27 13 8" xfId="32015" xr:uid="{00000000-0005-0000-0000-0000317A0000}"/>
    <cellStyle name="Normal 27 13 8 2" xfId="32016" xr:uid="{00000000-0005-0000-0000-0000327A0000}"/>
    <cellStyle name="Normal 27 13 8 3" xfId="32017" xr:uid="{00000000-0005-0000-0000-0000337A0000}"/>
    <cellStyle name="Normal 27 13 8 4" xfId="32018" xr:uid="{00000000-0005-0000-0000-0000347A0000}"/>
    <cellStyle name="Normal 27 13 8 5" xfId="32019" xr:uid="{00000000-0005-0000-0000-0000357A0000}"/>
    <cellStyle name="Normal 27 13 8 6" xfId="32020" xr:uid="{00000000-0005-0000-0000-0000367A0000}"/>
    <cellStyle name="Normal 27 13 9" xfId="32021" xr:uid="{00000000-0005-0000-0000-0000377A0000}"/>
    <cellStyle name="Normal 27 14" xfId="32022" xr:uid="{00000000-0005-0000-0000-0000387A0000}"/>
    <cellStyle name="Normal 27 14 10" xfId="32023" xr:uid="{00000000-0005-0000-0000-0000397A0000}"/>
    <cellStyle name="Normal 27 14 11" xfId="32024" xr:uid="{00000000-0005-0000-0000-00003A7A0000}"/>
    <cellStyle name="Normal 27 14 12" xfId="32025" xr:uid="{00000000-0005-0000-0000-00003B7A0000}"/>
    <cellStyle name="Normal 27 14 13" xfId="32026" xr:uid="{00000000-0005-0000-0000-00003C7A0000}"/>
    <cellStyle name="Normal 27 14 2" xfId="32027" xr:uid="{00000000-0005-0000-0000-00003D7A0000}"/>
    <cellStyle name="Normal 27 14 2 2" xfId="32028" xr:uid="{00000000-0005-0000-0000-00003E7A0000}"/>
    <cellStyle name="Normal 27 14 2 3" xfId="32029" xr:uid="{00000000-0005-0000-0000-00003F7A0000}"/>
    <cellStyle name="Normal 27 14 2 4" xfId="32030" xr:uid="{00000000-0005-0000-0000-0000407A0000}"/>
    <cellStyle name="Normal 27 14 2 5" xfId="32031" xr:uid="{00000000-0005-0000-0000-0000417A0000}"/>
    <cellStyle name="Normal 27 14 2 6" xfId="32032" xr:uid="{00000000-0005-0000-0000-0000427A0000}"/>
    <cellStyle name="Normal 27 14 3" xfId="32033" xr:uid="{00000000-0005-0000-0000-0000437A0000}"/>
    <cellStyle name="Normal 27 14 3 2" xfId="32034" xr:uid="{00000000-0005-0000-0000-0000447A0000}"/>
    <cellStyle name="Normal 27 14 3 3" xfId="32035" xr:uid="{00000000-0005-0000-0000-0000457A0000}"/>
    <cellStyle name="Normal 27 14 3 4" xfId="32036" xr:uid="{00000000-0005-0000-0000-0000467A0000}"/>
    <cellStyle name="Normal 27 14 3 5" xfId="32037" xr:uid="{00000000-0005-0000-0000-0000477A0000}"/>
    <cellStyle name="Normal 27 14 3 6" xfId="32038" xr:uid="{00000000-0005-0000-0000-0000487A0000}"/>
    <cellStyle name="Normal 27 14 4" xfId="32039" xr:uid="{00000000-0005-0000-0000-0000497A0000}"/>
    <cellStyle name="Normal 27 14 4 2" xfId="32040" xr:uid="{00000000-0005-0000-0000-00004A7A0000}"/>
    <cellStyle name="Normal 27 14 4 3" xfId="32041" xr:uid="{00000000-0005-0000-0000-00004B7A0000}"/>
    <cellStyle name="Normal 27 14 4 4" xfId="32042" xr:uid="{00000000-0005-0000-0000-00004C7A0000}"/>
    <cellStyle name="Normal 27 14 4 5" xfId="32043" xr:uid="{00000000-0005-0000-0000-00004D7A0000}"/>
    <cellStyle name="Normal 27 14 4 6" xfId="32044" xr:uid="{00000000-0005-0000-0000-00004E7A0000}"/>
    <cellStyle name="Normal 27 14 5" xfId="32045" xr:uid="{00000000-0005-0000-0000-00004F7A0000}"/>
    <cellStyle name="Normal 27 14 5 2" xfId="32046" xr:uid="{00000000-0005-0000-0000-0000507A0000}"/>
    <cellStyle name="Normal 27 14 5 3" xfId="32047" xr:uid="{00000000-0005-0000-0000-0000517A0000}"/>
    <cellStyle name="Normal 27 14 5 4" xfId="32048" xr:uid="{00000000-0005-0000-0000-0000527A0000}"/>
    <cellStyle name="Normal 27 14 5 5" xfId="32049" xr:uid="{00000000-0005-0000-0000-0000537A0000}"/>
    <cellStyle name="Normal 27 14 5 6" xfId="32050" xr:uid="{00000000-0005-0000-0000-0000547A0000}"/>
    <cellStyle name="Normal 27 14 6" xfId="32051" xr:uid="{00000000-0005-0000-0000-0000557A0000}"/>
    <cellStyle name="Normal 27 14 6 2" xfId="32052" xr:uid="{00000000-0005-0000-0000-0000567A0000}"/>
    <cellStyle name="Normal 27 14 6 3" xfId="32053" xr:uid="{00000000-0005-0000-0000-0000577A0000}"/>
    <cellStyle name="Normal 27 14 6 4" xfId="32054" xr:uid="{00000000-0005-0000-0000-0000587A0000}"/>
    <cellStyle name="Normal 27 14 6 5" xfId="32055" xr:uid="{00000000-0005-0000-0000-0000597A0000}"/>
    <cellStyle name="Normal 27 14 6 6" xfId="32056" xr:uid="{00000000-0005-0000-0000-00005A7A0000}"/>
    <cellStyle name="Normal 27 14 7" xfId="32057" xr:uid="{00000000-0005-0000-0000-00005B7A0000}"/>
    <cellStyle name="Normal 27 14 7 2" xfId="32058" xr:uid="{00000000-0005-0000-0000-00005C7A0000}"/>
    <cellStyle name="Normal 27 14 7 3" xfId="32059" xr:uid="{00000000-0005-0000-0000-00005D7A0000}"/>
    <cellStyle name="Normal 27 14 7 4" xfId="32060" xr:uid="{00000000-0005-0000-0000-00005E7A0000}"/>
    <cellStyle name="Normal 27 14 7 5" xfId="32061" xr:uid="{00000000-0005-0000-0000-00005F7A0000}"/>
    <cellStyle name="Normal 27 14 7 6" xfId="32062" xr:uid="{00000000-0005-0000-0000-0000607A0000}"/>
    <cellStyle name="Normal 27 14 8" xfId="32063" xr:uid="{00000000-0005-0000-0000-0000617A0000}"/>
    <cellStyle name="Normal 27 14 8 2" xfId="32064" xr:uid="{00000000-0005-0000-0000-0000627A0000}"/>
    <cellStyle name="Normal 27 14 8 3" xfId="32065" xr:uid="{00000000-0005-0000-0000-0000637A0000}"/>
    <cellStyle name="Normal 27 14 8 4" xfId="32066" xr:uid="{00000000-0005-0000-0000-0000647A0000}"/>
    <cellStyle name="Normal 27 14 8 5" xfId="32067" xr:uid="{00000000-0005-0000-0000-0000657A0000}"/>
    <cellStyle name="Normal 27 14 8 6" xfId="32068" xr:uid="{00000000-0005-0000-0000-0000667A0000}"/>
    <cellStyle name="Normal 27 14 9" xfId="32069" xr:uid="{00000000-0005-0000-0000-0000677A0000}"/>
    <cellStyle name="Normal 27 15" xfId="32070" xr:uid="{00000000-0005-0000-0000-0000687A0000}"/>
    <cellStyle name="Normal 27 15 10" xfId="32071" xr:uid="{00000000-0005-0000-0000-0000697A0000}"/>
    <cellStyle name="Normal 27 15 11" xfId="32072" xr:uid="{00000000-0005-0000-0000-00006A7A0000}"/>
    <cellStyle name="Normal 27 15 12" xfId="32073" xr:uid="{00000000-0005-0000-0000-00006B7A0000}"/>
    <cellStyle name="Normal 27 15 13" xfId="32074" xr:uid="{00000000-0005-0000-0000-00006C7A0000}"/>
    <cellStyle name="Normal 27 15 2" xfId="32075" xr:uid="{00000000-0005-0000-0000-00006D7A0000}"/>
    <cellStyle name="Normal 27 15 2 2" xfId="32076" xr:uid="{00000000-0005-0000-0000-00006E7A0000}"/>
    <cellStyle name="Normal 27 15 2 3" xfId="32077" xr:uid="{00000000-0005-0000-0000-00006F7A0000}"/>
    <cellStyle name="Normal 27 15 2 4" xfId="32078" xr:uid="{00000000-0005-0000-0000-0000707A0000}"/>
    <cellStyle name="Normal 27 15 2 5" xfId="32079" xr:uid="{00000000-0005-0000-0000-0000717A0000}"/>
    <cellStyle name="Normal 27 15 2 6" xfId="32080" xr:uid="{00000000-0005-0000-0000-0000727A0000}"/>
    <cellStyle name="Normal 27 15 3" xfId="32081" xr:uid="{00000000-0005-0000-0000-0000737A0000}"/>
    <cellStyle name="Normal 27 15 3 2" xfId="32082" xr:uid="{00000000-0005-0000-0000-0000747A0000}"/>
    <cellStyle name="Normal 27 15 3 3" xfId="32083" xr:uid="{00000000-0005-0000-0000-0000757A0000}"/>
    <cellStyle name="Normal 27 15 3 4" xfId="32084" xr:uid="{00000000-0005-0000-0000-0000767A0000}"/>
    <cellStyle name="Normal 27 15 3 5" xfId="32085" xr:uid="{00000000-0005-0000-0000-0000777A0000}"/>
    <cellStyle name="Normal 27 15 3 6" xfId="32086" xr:uid="{00000000-0005-0000-0000-0000787A0000}"/>
    <cellStyle name="Normal 27 15 4" xfId="32087" xr:uid="{00000000-0005-0000-0000-0000797A0000}"/>
    <cellStyle name="Normal 27 15 4 2" xfId="32088" xr:uid="{00000000-0005-0000-0000-00007A7A0000}"/>
    <cellStyle name="Normal 27 15 4 3" xfId="32089" xr:uid="{00000000-0005-0000-0000-00007B7A0000}"/>
    <cellStyle name="Normal 27 15 4 4" xfId="32090" xr:uid="{00000000-0005-0000-0000-00007C7A0000}"/>
    <cellStyle name="Normal 27 15 4 5" xfId="32091" xr:uid="{00000000-0005-0000-0000-00007D7A0000}"/>
    <cellStyle name="Normal 27 15 4 6" xfId="32092" xr:uid="{00000000-0005-0000-0000-00007E7A0000}"/>
    <cellStyle name="Normal 27 15 5" xfId="32093" xr:uid="{00000000-0005-0000-0000-00007F7A0000}"/>
    <cellStyle name="Normal 27 15 5 2" xfId="32094" xr:uid="{00000000-0005-0000-0000-0000807A0000}"/>
    <cellStyle name="Normal 27 15 5 3" xfId="32095" xr:uid="{00000000-0005-0000-0000-0000817A0000}"/>
    <cellStyle name="Normal 27 15 5 4" xfId="32096" xr:uid="{00000000-0005-0000-0000-0000827A0000}"/>
    <cellStyle name="Normal 27 15 5 5" xfId="32097" xr:uid="{00000000-0005-0000-0000-0000837A0000}"/>
    <cellStyle name="Normal 27 15 5 6" xfId="32098" xr:uid="{00000000-0005-0000-0000-0000847A0000}"/>
    <cellStyle name="Normal 27 15 6" xfId="32099" xr:uid="{00000000-0005-0000-0000-0000857A0000}"/>
    <cellStyle name="Normal 27 15 6 2" xfId="32100" xr:uid="{00000000-0005-0000-0000-0000867A0000}"/>
    <cellStyle name="Normal 27 15 6 3" xfId="32101" xr:uid="{00000000-0005-0000-0000-0000877A0000}"/>
    <cellStyle name="Normal 27 15 6 4" xfId="32102" xr:uid="{00000000-0005-0000-0000-0000887A0000}"/>
    <cellStyle name="Normal 27 15 6 5" xfId="32103" xr:uid="{00000000-0005-0000-0000-0000897A0000}"/>
    <cellStyle name="Normal 27 15 6 6" xfId="32104" xr:uid="{00000000-0005-0000-0000-00008A7A0000}"/>
    <cellStyle name="Normal 27 15 7" xfId="32105" xr:uid="{00000000-0005-0000-0000-00008B7A0000}"/>
    <cellStyle name="Normal 27 15 7 2" xfId="32106" xr:uid="{00000000-0005-0000-0000-00008C7A0000}"/>
    <cellStyle name="Normal 27 15 7 3" xfId="32107" xr:uid="{00000000-0005-0000-0000-00008D7A0000}"/>
    <cellStyle name="Normal 27 15 7 4" xfId="32108" xr:uid="{00000000-0005-0000-0000-00008E7A0000}"/>
    <cellStyle name="Normal 27 15 7 5" xfId="32109" xr:uid="{00000000-0005-0000-0000-00008F7A0000}"/>
    <cellStyle name="Normal 27 15 7 6" xfId="32110" xr:uid="{00000000-0005-0000-0000-0000907A0000}"/>
    <cellStyle name="Normal 27 15 8" xfId="32111" xr:uid="{00000000-0005-0000-0000-0000917A0000}"/>
    <cellStyle name="Normal 27 15 8 2" xfId="32112" xr:uid="{00000000-0005-0000-0000-0000927A0000}"/>
    <cellStyle name="Normal 27 15 8 3" xfId="32113" xr:uid="{00000000-0005-0000-0000-0000937A0000}"/>
    <cellStyle name="Normal 27 15 8 4" xfId="32114" xr:uid="{00000000-0005-0000-0000-0000947A0000}"/>
    <cellStyle name="Normal 27 15 8 5" xfId="32115" xr:uid="{00000000-0005-0000-0000-0000957A0000}"/>
    <cellStyle name="Normal 27 15 8 6" xfId="32116" xr:uid="{00000000-0005-0000-0000-0000967A0000}"/>
    <cellStyle name="Normal 27 15 9" xfId="32117" xr:uid="{00000000-0005-0000-0000-0000977A0000}"/>
    <cellStyle name="Normal 27 16" xfId="32118" xr:uid="{00000000-0005-0000-0000-0000987A0000}"/>
    <cellStyle name="Normal 27 16 10" xfId="32119" xr:uid="{00000000-0005-0000-0000-0000997A0000}"/>
    <cellStyle name="Normal 27 16 11" xfId="32120" xr:uid="{00000000-0005-0000-0000-00009A7A0000}"/>
    <cellStyle name="Normal 27 16 12" xfId="32121" xr:uid="{00000000-0005-0000-0000-00009B7A0000}"/>
    <cellStyle name="Normal 27 16 13" xfId="32122" xr:uid="{00000000-0005-0000-0000-00009C7A0000}"/>
    <cellStyle name="Normal 27 16 2" xfId="32123" xr:uid="{00000000-0005-0000-0000-00009D7A0000}"/>
    <cellStyle name="Normal 27 16 2 2" xfId="32124" xr:uid="{00000000-0005-0000-0000-00009E7A0000}"/>
    <cellStyle name="Normal 27 16 2 3" xfId="32125" xr:uid="{00000000-0005-0000-0000-00009F7A0000}"/>
    <cellStyle name="Normal 27 16 2 4" xfId="32126" xr:uid="{00000000-0005-0000-0000-0000A07A0000}"/>
    <cellStyle name="Normal 27 16 2 5" xfId="32127" xr:uid="{00000000-0005-0000-0000-0000A17A0000}"/>
    <cellStyle name="Normal 27 16 2 6" xfId="32128" xr:uid="{00000000-0005-0000-0000-0000A27A0000}"/>
    <cellStyle name="Normal 27 16 3" xfId="32129" xr:uid="{00000000-0005-0000-0000-0000A37A0000}"/>
    <cellStyle name="Normal 27 16 3 2" xfId="32130" xr:uid="{00000000-0005-0000-0000-0000A47A0000}"/>
    <cellStyle name="Normal 27 16 3 3" xfId="32131" xr:uid="{00000000-0005-0000-0000-0000A57A0000}"/>
    <cellStyle name="Normal 27 16 3 4" xfId="32132" xr:uid="{00000000-0005-0000-0000-0000A67A0000}"/>
    <cellStyle name="Normal 27 16 3 5" xfId="32133" xr:uid="{00000000-0005-0000-0000-0000A77A0000}"/>
    <cellStyle name="Normal 27 16 3 6" xfId="32134" xr:uid="{00000000-0005-0000-0000-0000A87A0000}"/>
    <cellStyle name="Normal 27 16 4" xfId="32135" xr:uid="{00000000-0005-0000-0000-0000A97A0000}"/>
    <cellStyle name="Normal 27 16 4 2" xfId="32136" xr:uid="{00000000-0005-0000-0000-0000AA7A0000}"/>
    <cellStyle name="Normal 27 16 4 3" xfId="32137" xr:uid="{00000000-0005-0000-0000-0000AB7A0000}"/>
    <cellStyle name="Normal 27 16 4 4" xfId="32138" xr:uid="{00000000-0005-0000-0000-0000AC7A0000}"/>
    <cellStyle name="Normal 27 16 4 5" xfId="32139" xr:uid="{00000000-0005-0000-0000-0000AD7A0000}"/>
    <cellStyle name="Normal 27 16 4 6" xfId="32140" xr:uid="{00000000-0005-0000-0000-0000AE7A0000}"/>
    <cellStyle name="Normal 27 16 5" xfId="32141" xr:uid="{00000000-0005-0000-0000-0000AF7A0000}"/>
    <cellStyle name="Normal 27 16 5 2" xfId="32142" xr:uid="{00000000-0005-0000-0000-0000B07A0000}"/>
    <cellStyle name="Normal 27 16 5 3" xfId="32143" xr:uid="{00000000-0005-0000-0000-0000B17A0000}"/>
    <cellStyle name="Normal 27 16 5 4" xfId="32144" xr:uid="{00000000-0005-0000-0000-0000B27A0000}"/>
    <cellStyle name="Normal 27 16 5 5" xfId="32145" xr:uid="{00000000-0005-0000-0000-0000B37A0000}"/>
    <cellStyle name="Normal 27 16 5 6" xfId="32146" xr:uid="{00000000-0005-0000-0000-0000B47A0000}"/>
    <cellStyle name="Normal 27 16 6" xfId="32147" xr:uid="{00000000-0005-0000-0000-0000B57A0000}"/>
    <cellStyle name="Normal 27 16 6 2" xfId="32148" xr:uid="{00000000-0005-0000-0000-0000B67A0000}"/>
    <cellStyle name="Normal 27 16 6 3" xfId="32149" xr:uid="{00000000-0005-0000-0000-0000B77A0000}"/>
    <cellStyle name="Normal 27 16 6 4" xfId="32150" xr:uid="{00000000-0005-0000-0000-0000B87A0000}"/>
    <cellStyle name="Normal 27 16 6 5" xfId="32151" xr:uid="{00000000-0005-0000-0000-0000B97A0000}"/>
    <cellStyle name="Normal 27 16 6 6" xfId="32152" xr:uid="{00000000-0005-0000-0000-0000BA7A0000}"/>
    <cellStyle name="Normal 27 16 7" xfId="32153" xr:uid="{00000000-0005-0000-0000-0000BB7A0000}"/>
    <cellStyle name="Normal 27 16 7 2" xfId="32154" xr:uid="{00000000-0005-0000-0000-0000BC7A0000}"/>
    <cellStyle name="Normal 27 16 7 3" xfId="32155" xr:uid="{00000000-0005-0000-0000-0000BD7A0000}"/>
    <cellStyle name="Normal 27 16 7 4" xfId="32156" xr:uid="{00000000-0005-0000-0000-0000BE7A0000}"/>
    <cellStyle name="Normal 27 16 7 5" xfId="32157" xr:uid="{00000000-0005-0000-0000-0000BF7A0000}"/>
    <cellStyle name="Normal 27 16 7 6" xfId="32158" xr:uid="{00000000-0005-0000-0000-0000C07A0000}"/>
    <cellStyle name="Normal 27 16 8" xfId="32159" xr:uid="{00000000-0005-0000-0000-0000C17A0000}"/>
    <cellStyle name="Normal 27 16 8 2" xfId="32160" xr:uid="{00000000-0005-0000-0000-0000C27A0000}"/>
    <cellStyle name="Normal 27 16 8 3" xfId="32161" xr:uid="{00000000-0005-0000-0000-0000C37A0000}"/>
    <cellStyle name="Normal 27 16 8 4" xfId="32162" xr:uid="{00000000-0005-0000-0000-0000C47A0000}"/>
    <cellStyle name="Normal 27 16 8 5" xfId="32163" xr:uid="{00000000-0005-0000-0000-0000C57A0000}"/>
    <cellStyle name="Normal 27 16 8 6" xfId="32164" xr:uid="{00000000-0005-0000-0000-0000C67A0000}"/>
    <cellStyle name="Normal 27 16 9" xfId="32165" xr:uid="{00000000-0005-0000-0000-0000C77A0000}"/>
    <cellStyle name="Normal 27 17" xfId="32166" xr:uid="{00000000-0005-0000-0000-0000C87A0000}"/>
    <cellStyle name="Normal 27 17 10" xfId="32167" xr:uid="{00000000-0005-0000-0000-0000C97A0000}"/>
    <cellStyle name="Normal 27 17 11" xfId="32168" xr:uid="{00000000-0005-0000-0000-0000CA7A0000}"/>
    <cellStyle name="Normal 27 17 12" xfId="32169" xr:uid="{00000000-0005-0000-0000-0000CB7A0000}"/>
    <cellStyle name="Normal 27 17 13" xfId="32170" xr:uid="{00000000-0005-0000-0000-0000CC7A0000}"/>
    <cellStyle name="Normal 27 17 2" xfId="32171" xr:uid="{00000000-0005-0000-0000-0000CD7A0000}"/>
    <cellStyle name="Normal 27 17 2 2" xfId="32172" xr:uid="{00000000-0005-0000-0000-0000CE7A0000}"/>
    <cellStyle name="Normal 27 17 2 3" xfId="32173" xr:uid="{00000000-0005-0000-0000-0000CF7A0000}"/>
    <cellStyle name="Normal 27 17 2 4" xfId="32174" xr:uid="{00000000-0005-0000-0000-0000D07A0000}"/>
    <cellStyle name="Normal 27 17 2 5" xfId="32175" xr:uid="{00000000-0005-0000-0000-0000D17A0000}"/>
    <cellStyle name="Normal 27 17 2 6" xfId="32176" xr:uid="{00000000-0005-0000-0000-0000D27A0000}"/>
    <cellStyle name="Normal 27 17 3" xfId="32177" xr:uid="{00000000-0005-0000-0000-0000D37A0000}"/>
    <cellStyle name="Normal 27 17 3 2" xfId="32178" xr:uid="{00000000-0005-0000-0000-0000D47A0000}"/>
    <cellStyle name="Normal 27 17 3 3" xfId="32179" xr:uid="{00000000-0005-0000-0000-0000D57A0000}"/>
    <cellStyle name="Normal 27 17 3 4" xfId="32180" xr:uid="{00000000-0005-0000-0000-0000D67A0000}"/>
    <cellStyle name="Normal 27 17 3 5" xfId="32181" xr:uid="{00000000-0005-0000-0000-0000D77A0000}"/>
    <cellStyle name="Normal 27 17 3 6" xfId="32182" xr:uid="{00000000-0005-0000-0000-0000D87A0000}"/>
    <cellStyle name="Normal 27 17 4" xfId="32183" xr:uid="{00000000-0005-0000-0000-0000D97A0000}"/>
    <cellStyle name="Normal 27 17 4 2" xfId="32184" xr:uid="{00000000-0005-0000-0000-0000DA7A0000}"/>
    <cellStyle name="Normal 27 17 4 3" xfId="32185" xr:uid="{00000000-0005-0000-0000-0000DB7A0000}"/>
    <cellStyle name="Normal 27 17 4 4" xfId="32186" xr:uid="{00000000-0005-0000-0000-0000DC7A0000}"/>
    <cellStyle name="Normal 27 17 4 5" xfId="32187" xr:uid="{00000000-0005-0000-0000-0000DD7A0000}"/>
    <cellStyle name="Normal 27 17 4 6" xfId="32188" xr:uid="{00000000-0005-0000-0000-0000DE7A0000}"/>
    <cellStyle name="Normal 27 17 5" xfId="32189" xr:uid="{00000000-0005-0000-0000-0000DF7A0000}"/>
    <cellStyle name="Normal 27 17 5 2" xfId="32190" xr:uid="{00000000-0005-0000-0000-0000E07A0000}"/>
    <cellStyle name="Normal 27 17 5 3" xfId="32191" xr:uid="{00000000-0005-0000-0000-0000E17A0000}"/>
    <cellStyle name="Normal 27 17 5 4" xfId="32192" xr:uid="{00000000-0005-0000-0000-0000E27A0000}"/>
    <cellStyle name="Normal 27 17 5 5" xfId="32193" xr:uid="{00000000-0005-0000-0000-0000E37A0000}"/>
    <cellStyle name="Normal 27 17 5 6" xfId="32194" xr:uid="{00000000-0005-0000-0000-0000E47A0000}"/>
    <cellStyle name="Normal 27 17 6" xfId="32195" xr:uid="{00000000-0005-0000-0000-0000E57A0000}"/>
    <cellStyle name="Normal 27 17 6 2" xfId="32196" xr:uid="{00000000-0005-0000-0000-0000E67A0000}"/>
    <cellStyle name="Normal 27 17 6 3" xfId="32197" xr:uid="{00000000-0005-0000-0000-0000E77A0000}"/>
    <cellStyle name="Normal 27 17 6 4" xfId="32198" xr:uid="{00000000-0005-0000-0000-0000E87A0000}"/>
    <cellStyle name="Normal 27 17 6 5" xfId="32199" xr:uid="{00000000-0005-0000-0000-0000E97A0000}"/>
    <cellStyle name="Normal 27 17 6 6" xfId="32200" xr:uid="{00000000-0005-0000-0000-0000EA7A0000}"/>
    <cellStyle name="Normal 27 17 7" xfId="32201" xr:uid="{00000000-0005-0000-0000-0000EB7A0000}"/>
    <cellStyle name="Normal 27 17 7 2" xfId="32202" xr:uid="{00000000-0005-0000-0000-0000EC7A0000}"/>
    <cellStyle name="Normal 27 17 7 3" xfId="32203" xr:uid="{00000000-0005-0000-0000-0000ED7A0000}"/>
    <cellStyle name="Normal 27 17 7 4" xfId="32204" xr:uid="{00000000-0005-0000-0000-0000EE7A0000}"/>
    <cellStyle name="Normal 27 17 7 5" xfId="32205" xr:uid="{00000000-0005-0000-0000-0000EF7A0000}"/>
    <cellStyle name="Normal 27 17 7 6" xfId="32206" xr:uid="{00000000-0005-0000-0000-0000F07A0000}"/>
    <cellStyle name="Normal 27 17 8" xfId="32207" xr:uid="{00000000-0005-0000-0000-0000F17A0000}"/>
    <cellStyle name="Normal 27 17 8 2" xfId="32208" xr:uid="{00000000-0005-0000-0000-0000F27A0000}"/>
    <cellStyle name="Normal 27 17 8 3" xfId="32209" xr:uid="{00000000-0005-0000-0000-0000F37A0000}"/>
    <cellStyle name="Normal 27 17 8 4" xfId="32210" xr:uid="{00000000-0005-0000-0000-0000F47A0000}"/>
    <cellStyle name="Normal 27 17 8 5" xfId="32211" xr:uid="{00000000-0005-0000-0000-0000F57A0000}"/>
    <cellStyle name="Normal 27 17 8 6" xfId="32212" xr:uid="{00000000-0005-0000-0000-0000F67A0000}"/>
    <cellStyle name="Normal 27 17 9" xfId="32213" xr:uid="{00000000-0005-0000-0000-0000F77A0000}"/>
    <cellStyle name="Normal 27 18" xfId="32214" xr:uid="{00000000-0005-0000-0000-0000F87A0000}"/>
    <cellStyle name="Normal 27 18 2" xfId="32215" xr:uid="{00000000-0005-0000-0000-0000F97A0000}"/>
    <cellStyle name="Normal 27 18 3" xfId="32216" xr:uid="{00000000-0005-0000-0000-0000FA7A0000}"/>
    <cellStyle name="Normal 27 18 4" xfId="32217" xr:uid="{00000000-0005-0000-0000-0000FB7A0000}"/>
    <cellStyle name="Normal 27 18 5" xfId="32218" xr:uid="{00000000-0005-0000-0000-0000FC7A0000}"/>
    <cellStyle name="Normal 27 18 6" xfId="32219" xr:uid="{00000000-0005-0000-0000-0000FD7A0000}"/>
    <cellStyle name="Normal 27 19" xfId="32220" xr:uid="{00000000-0005-0000-0000-0000FE7A0000}"/>
    <cellStyle name="Normal 27 19 2" xfId="32221" xr:uid="{00000000-0005-0000-0000-0000FF7A0000}"/>
    <cellStyle name="Normal 27 19 3" xfId="32222" xr:uid="{00000000-0005-0000-0000-0000007B0000}"/>
    <cellStyle name="Normal 27 19 4" xfId="32223" xr:uid="{00000000-0005-0000-0000-0000017B0000}"/>
    <cellStyle name="Normal 27 19 5" xfId="32224" xr:uid="{00000000-0005-0000-0000-0000027B0000}"/>
    <cellStyle name="Normal 27 19 6" xfId="32225" xr:uid="{00000000-0005-0000-0000-0000037B0000}"/>
    <cellStyle name="Normal 27 2" xfId="1872" xr:uid="{00000000-0005-0000-0000-0000047B0000}"/>
    <cellStyle name="Normal 27 2 10" xfId="32226" xr:uid="{00000000-0005-0000-0000-0000057B0000}"/>
    <cellStyle name="Normal 27 2 11" xfId="32227" xr:uid="{00000000-0005-0000-0000-0000067B0000}"/>
    <cellStyle name="Normal 27 2 12" xfId="32228" xr:uid="{00000000-0005-0000-0000-0000077B0000}"/>
    <cellStyle name="Normal 27 2 13" xfId="32229" xr:uid="{00000000-0005-0000-0000-0000087B0000}"/>
    <cellStyle name="Normal 27 2 14" xfId="43246" xr:uid="{00000000-0005-0000-0000-0000097B0000}"/>
    <cellStyle name="Normal 27 2 2" xfId="2062" xr:uid="{00000000-0005-0000-0000-00000A7B0000}"/>
    <cellStyle name="Normal 27 2 2 2" xfId="2521" xr:uid="{00000000-0005-0000-0000-00000B7B0000}"/>
    <cellStyle name="Normal 27 2 2 3" xfId="32230" xr:uid="{00000000-0005-0000-0000-00000C7B0000}"/>
    <cellStyle name="Normal 27 2 2 4" xfId="32231" xr:uid="{00000000-0005-0000-0000-00000D7B0000}"/>
    <cellStyle name="Normal 27 2 2 5" xfId="32232" xr:uid="{00000000-0005-0000-0000-00000E7B0000}"/>
    <cellStyle name="Normal 27 2 2 6" xfId="32233" xr:uid="{00000000-0005-0000-0000-00000F7B0000}"/>
    <cellStyle name="Normal 27 2 2 7" xfId="43336" xr:uid="{00000000-0005-0000-0000-0000107B0000}"/>
    <cellStyle name="Normal 27 2 3" xfId="2522" xr:uid="{00000000-0005-0000-0000-0000117B0000}"/>
    <cellStyle name="Normal 27 2 3 2" xfId="32234" xr:uid="{00000000-0005-0000-0000-0000127B0000}"/>
    <cellStyle name="Normal 27 2 3 3" xfId="32235" xr:uid="{00000000-0005-0000-0000-0000137B0000}"/>
    <cellStyle name="Normal 27 2 3 4" xfId="32236" xr:uid="{00000000-0005-0000-0000-0000147B0000}"/>
    <cellStyle name="Normal 27 2 3 5" xfId="32237" xr:uid="{00000000-0005-0000-0000-0000157B0000}"/>
    <cellStyle name="Normal 27 2 3 6" xfId="32238" xr:uid="{00000000-0005-0000-0000-0000167B0000}"/>
    <cellStyle name="Normal 27 2 3 7" xfId="43337" xr:uid="{00000000-0005-0000-0000-0000177B0000}"/>
    <cellStyle name="Normal 27 2 4" xfId="2429" xr:uid="{00000000-0005-0000-0000-0000187B0000}"/>
    <cellStyle name="Normal 27 2 4 2" xfId="32239" xr:uid="{00000000-0005-0000-0000-0000197B0000}"/>
    <cellStyle name="Normal 27 2 4 3" xfId="32240" xr:uid="{00000000-0005-0000-0000-00001A7B0000}"/>
    <cellStyle name="Normal 27 2 4 4" xfId="32241" xr:uid="{00000000-0005-0000-0000-00001B7B0000}"/>
    <cellStyle name="Normal 27 2 4 5" xfId="32242" xr:uid="{00000000-0005-0000-0000-00001C7B0000}"/>
    <cellStyle name="Normal 27 2 4 6" xfId="32243" xr:uid="{00000000-0005-0000-0000-00001D7B0000}"/>
    <cellStyle name="Normal 27 2 5" xfId="2398" xr:uid="{00000000-0005-0000-0000-00001E7B0000}"/>
    <cellStyle name="Normal 27 2 5 2" xfId="32244" xr:uid="{00000000-0005-0000-0000-00001F7B0000}"/>
    <cellStyle name="Normal 27 2 5 3" xfId="32245" xr:uid="{00000000-0005-0000-0000-0000207B0000}"/>
    <cellStyle name="Normal 27 2 5 4" xfId="32246" xr:uid="{00000000-0005-0000-0000-0000217B0000}"/>
    <cellStyle name="Normal 27 2 5 5" xfId="32247" xr:uid="{00000000-0005-0000-0000-0000227B0000}"/>
    <cellStyle name="Normal 27 2 5 6" xfId="32248" xr:uid="{00000000-0005-0000-0000-0000237B0000}"/>
    <cellStyle name="Normal 27 2 6" xfId="32249" xr:uid="{00000000-0005-0000-0000-0000247B0000}"/>
    <cellStyle name="Normal 27 2 6 2" xfId="32250" xr:uid="{00000000-0005-0000-0000-0000257B0000}"/>
    <cellStyle name="Normal 27 2 6 3" xfId="32251" xr:uid="{00000000-0005-0000-0000-0000267B0000}"/>
    <cellStyle name="Normal 27 2 6 4" xfId="32252" xr:uid="{00000000-0005-0000-0000-0000277B0000}"/>
    <cellStyle name="Normal 27 2 6 5" xfId="32253" xr:uid="{00000000-0005-0000-0000-0000287B0000}"/>
    <cellStyle name="Normal 27 2 6 6" xfId="32254" xr:uid="{00000000-0005-0000-0000-0000297B0000}"/>
    <cellStyle name="Normal 27 2 7" xfId="32255" xr:uid="{00000000-0005-0000-0000-00002A7B0000}"/>
    <cellStyle name="Normal 27 2 7 2" xfId="32256" xr:uid="{00000000-0005-0000-0000-00002B7B0000}"/>
    <cellStyle name="Normal 27 2 7 3" xfId="32257" xr:uid="{00000000-0005-0000-0000-00002C7B0000}"/>
    <cellStyle name="Normal 27 2 7 4" xfId="32258" xr:uid="{00000000-0005-0000-0000-00002D7B0000}"/>
    <cellStyle name="Normal 27 2 7 5" xfId="32259" xr:uid="{00000000-0005-0000-0000-00002E7B0000}"/>
    <cellStyle name="Normal 27 2 7 6" xfId="32260" xr:uid="{00000000-0005-0000-0000-00002F7B0000}"/>
    <cellStyle name="Normal 27 2 8" xfId="32261" xr:uid="{00000000-0005-0000-0000-0000307B0000}"/>
    <cellStyle name="Normal 27 2 8 2" xfId="32262" xr:uid="{00000000-0005-0000-0000-0000317B0000}"/>
    <cellStyle name="Normal 27 2 8 3" xfId="32263" xr:uid="{00000000-0005-0000-0000-0000327B0000}"/>
    <cellStyle name="Normal 27 2 8 4" xfId="32264" xr:uid="{00000000-0005-0000-0000-0000337B0000}"/>
    <cellStyle name="Normal 27 2 8 5" xfId="32265" xr:uid="{00000000-0005-0000-0000-0000347B0000}"/>
    <cellStyle name="Normal 27 2 8 6" xfId="32266" xr:uid="{00000000-0005-0000-0000-0000357B0000}"/>
    <cellStyle name="Normal 27 2 9" xfId="32267" xr:uid="{00000000-0005-0000-0000-0000367B0000}"/>
    <cellStyle name="Normal 27 20" xfId="32268" xr:uid="{00000000-0005-0000-0000-0000377B0000}"/>
    <cellStyle name="Normal 27 20 2" xfId="32269" xr:uid="{00000000-0005-0000-0000-0000387B0000}"/>
    <cellStyle name="Normal 27 20 3" xfId="32270" xr:uid="{00000000-0005-0000-0000-0000397B0000}"/>
    <cellStyle name="Normal 27 20 4" xfId="32271" xr:uid="{00000000-0005-0000-0000-00003A7B0000}"/>
    <cellStyle name="Normal 27 20 5" xfId="32272" xr:uid="{00000000-0005-0000-0000-00003B7B0000}"/>
    <cellStyle name="Normal 27 20 6" xfId="32273" xr:uid="{00000000-0005-0000-0000-00003C7B0000}"/>
    <cellStyle name="Normal 27 21" xfId="32274" xr:uid="{00000000-0005-0000-0000-00003D7B0000}"/>
    <cellStyle name="Normal 27 21 2" xfId="32275" xr:uid="{00000000-0005-0000-0000-00003E7B0000}"/>
    <cellStyle name="Normal 27 21 3" xfId="32276" xr:uid="{00000000-0005-0000-0000-00003F7B0000}"/>
    <cellStyle name="Normal 27 21 4" xfId="32277" xr:uid="{00000000-0005-0000-0000-0000407B0000}"/>
    <cellStyle name="Normal 27 21 5" xfId="32278" xr:uid="{00000000-0005-0000-0000-0000417B0000}"/>
    <cellStyle name="Normal 27 21 6" xfId="32279" xr:uid="{00000000-0005-0000-0000-0000427B0000}"/>
    <cellStyle name="Normal 27 22" xfId="32280" xr:uid="{00000000-0005-0000-0000-0000437B0000}"/>
    <cellStyle name="Normal 27 22 2" xfId="32281" xr:uid="{00000000-0005-0000-0000-0000447B0000}"/>
    <cellStyle name="Normal 27 22 3" xfId="32282" xr:uid="{00000000-0005-0000-0000-0000457B0000}"/>
    <cellStyle name="Normal 27 22 4" xfId="32283" xr:uid="{00000000-0005-0000-0000-0000467B0000}"/>
    <cellStyle name="Normal 27 22 5" xfId="32284" xr:uid="{00000000-0005-0000-0000-0000477B0000}"/>
    <cellStyle name="Normal 27 22 6" xfId="32285" xr:uid="{00000000-0005-0000-0000-0000487B0000}"/>
    <cellStyle name="Normal 27 23" xfId="32286" xr:uid="{00000000-0005-0000-0000-0000497B0000}"/>
    <cellStyle name="Normal 27 23 2" xfId="32287" xr:uid="{00000000-0005-0000-0000-00004A7B0000}"/>
    <cellStyle name="Normal 27 23 3" xfId="32288" xr:uid="{00000000-0005-0000-0000-00004B7B0000}"/>
    <cellStyle name="Normal 27 23 4" xfId="32289" xr:uid="{00000000-0005-0000-0000-00004C7B0000}"/>
    <cellStyle name="Normal 27 23 5" xfId="32290" xr:uid="{00000000-0005-0000-0000-00004D7B0000}"/>
    <cellStyle name="Normal 27 23 6" xfId="32291" xr:uid="{00000000-0005-0000-0000-00004E7B0000}"/>
    <cellStyle name="Normal 27 24" xfId="32292" xr:uid="{00000000-0005-0000-0000-00004F7B0000}"/>
    <cellStyle name="Normal 27 24 2" xfId="32293" xr:uid="{00000000-0005-0000-0000-0000507B0000}"/>
    <cellStyle name="Normal 27 24 3" xfId="32294" xr:uid="{00000000-0005-0000-0000-0000517B0000}"/>
    <cellStyle name="Normal 27 24 4" xfId="32295" xr:uid="{00000000-0005-0000-0000-0000527B0000}"/>
    <cellStyle name="Normal 27 24 5" xfId="32296" xr:uid="{00000000-0005-0000-0000-0000537B0000}"/>
    <cellStyle name="Normal 27 24 6" xfId="32297" xr:uid="{00000000-0005-0000-0000-0000547B0000}"/>
    <cellStyle name="Normal 27 25" xfId="32298" xr:uid="{00000000-0005-0000-0000-0000557B0000}"/>
    <cellStyle name="Normal 27 26" xfId="32299" xr:uid="{00000000-0005-0000-0000-0000567B0000}"/>
    <cellStyle name="Normal 27 27" xfId="32300" xr:uid="{00000000-0005-0000-0000-0000577B0000}"/>
    <cellStyle name="Normal 27 28" xfId="32301" xr:uid="{00000000-0005-0000-0000-0000587B0000}"/>
    <cellStyle name="Normal 27 29" xfId="32302" xr:uid="{00000000-0005-0000-0000-0000597B0000}"/>
    <cellStyle name="Normal 27 3" xfId="2005" xr:uid="{00000000-0005-0000-0000-00005A7B0000}"/>
    <cellStyle name="Normal 27 3 10" xfId="32303" xr:uid="{00000000-0005-0000-0000-00005B7B0000}"/>
    <cellStyle name="Normal 27 3 11" xfId="32304" xr:uid="{00000000-0005-0000-0000-00005C7B0000}"/>
    <cellStyle name="Normal 27 3 12" xfId="32305" xr:uid="{00000000-0005-0000-0000-00005D7B0000}"/>
    <cellStyle name="Normal 27 3 13" xfId="32306" xr:uid="{00000000-0005-0000-0000-00005E7B0000}"/>
    <cellStyle name="Normal 27 3 14" xfId="43338" xr:uid="{00000000-0005-0000-0000-00005F7B0000}"/>
    <cellStyle name="Normal 27 3 2" xfId="2523" xr:uid="{00000000-0005-0000-0000-0000607B0000}"/>
    <cellStyle name="Normal 27 3 2 2" xfId="32307" xr:uid="{00000000-0005-0000-0000-0000617B0000}"/>
    <cellStyle name="Normal 27 3 2 3" xfId="32308" xr:uid="{00000000-0005-0000-0000-0000627B0000}"/>
    <cellStyle name="Normal 27 3 2 4" xfId="32309" xr:uid="{00000000-0005-0000-0000-0000637B0000}"/>
    <cellStyle name="Normal 27 3 2 5" xfId="32310" xr:uid="{00000000-0005-0000-0000-0000647B0000}"/>
    <cellStyle name="Normal 27 3 2 6" xfId="32311" xr:uid="{00000000-0005-0000-0000-0000657B0000}"/>
    <cellStyle name="Normal 27 3 3" xfId="32312" xr:uid="{00000000-0005-0000-0000-0000667B0000}"/>
    <cellStyle name="Normal 27 3 3 2" xfId="32313" xr:uid="{00000000-0005-0000-0000-0000677B0000}"/>
    <cellStyle name="Normal 27 3 3 3" xfId="32314" xr:uid="{00000000-0005-0000-0000-0000687B0000}"/>
    <cellStyle name="Normal 27 3 3 4" xfId="32315" xr:uid="{00000000-0005-0000-0000-0000697B0000}"/>
    <cellStyle name="Normal 27 3 3 5" xfId="32316" xr:uid="{00000000-0005-0000-0000-00006A7B0000}"/>
    <cellStyle name="Normal 27 3 3 6" xfId="32317" xr:uid="{00000000-0005-0000-0000-00006B7B0000}"/>
    <cellStyle name="Normal 27 3 4" xfId="32318" xr:uid="{00000000-0005-0000-0000-00006C7B0000}"/>
    <cellStyle name="Normal 27 3 4 2" xfId="32319" xr:uid="{00000000-0005-0000-0000-00006D7B0000}"/>
    <cellStyle name="Normal 27 3 4 3" xfId="32320" xr:uid="{00000000-0005-0000-0000-00006E7B0000}"/>
    <cellStyle name="Normal 27 3 4 4" xfId="32321" xr:uid="{00000000-0005-0000-0000-00006F7B0000}"/>
    <cellStyle name="Normal 27 3 4 5" xfId="32322" xr:uid="{00000000-0005-0000-0000-0000707B0000}"/>
    <cellStyle name="Normal 27 3 4 6" xfId="32323" xr:uid="{00000000-0005-0000-0000-0000717B0000}"/>
    <cellStyle name="Normal 27 3 5" xfId="32324" xr:uid="{00000000-0005-0000-0000-0000727B0000}"/>
    <cellStyle name="Normal 27 3 5 2" xfId="32325" xr:uid="{00000000-0005-0000-0000-0000737B0000}"/>
    <cellStyle name="Normal 27 3 5 3" xfId="32326" xr:uid="{00000000-0005-0000-0000-0000747B0000}"/>
    <cellStyle name="Normal 27 3 5 4" xfId="32327" xr:uid="{00000000-0005-0000-0000-0000757B0000}"/>
    <cellStyle name="Normal 27 3 5 5" xfId="32328" xr:uid="{00000000-0005-0000-0000-0000767B0000}"/>
    <cellStyle name="Normal 27 3 5 6" xfId="32329" xr:uid="{00000000-0005-0000-0000-0000777B0000}"/>
    <cellStyle name="Normal 27 3 6" xfId="32330" xr:uid="{00000000-0005-0000-0000-0000787B0000}"/>
    <cellStyle name="Normal 27 3 6 2" xfId="32331" xr:uid="{00000000-0005-0000-0000-0000797B0000}"/>
    <cellStyle name="Normal 27 3 6 3" xfId="32332" xr:uid="{00000000-0005-0000-0000-00007A7B0000}"/>
    <cellStyle name="Normal 27 3 6 4" xfId="32333" xr:uid="{00000000-0005-0000-0000-00007B7B0000}"/>
    <cellStyle name="Normal 27 3 6 5" xfId="32334" xr:uid="{00000000-0005-0000-0000-00007C7B0000}"/>
    <cellStyle name="Normal 27 3 6 6" xfId="32335" xr:uid="{00000000-0005-0000-0000-00007D7B0000}"/>
    <cellStyle name="Normal 27 3 7" xfId="32336" xr:uid="{00000000-0005-0000-0000-00007E7B0000}"/>
    <cellStyle name="Normal 27 3 7 2" xfId="32337" xr:uid="{00000000-0005-0000-0000-00007F7B0000}"/>
    <cellStyle name="Normal 27 3 7 3" xfId="32338" xr:uid="{00000000-0005-0000-0000-0000807B0000}"/>
    <cellStyle name="Normal 27 3 7 4" xfId="32339" xr:uid="{00000000-0005-0000-0000-0000817B0000}"/>
    <cellStyle name="Normal 27 3 7 5" xfId="32340" xr:uid="{00000000-0005-0000-0000-0000827B0000}"/>
    <cellStyle name="Normal 27 3 7 6" xfId="32341" xr:uid="{00000000-0005-0000-0000-0000837B0000}"/>
    <cellStyle name="Normal 27 3 8" xfId="32342" xr:uid="{00000000-0005-0000-0000-0000847B0000}"/>
    <cellStyle name="Normal 27 3 8 2" xfId="32343" xr:uid="{00000000-0005-0000-0000-0000857B0000}"/>
    <cellStyle name="Normal 27 3 8 3" xfId="32344" xr:uid="{00000000-0005-0000-0000-0000867B0000}"/>
    <cellStyle name="Normal 27 3 8 4" xfId="32345" xr:uid="{00000000-0005-0000-0000-0000877B0000}"/>
    <cellStyle name="Normal 27 3 8 5" xfId="32346" xr:uid="{00000000-0005-0000-0000-0000887B0000}"/>
    <cellStyle name="Normal 27 3 8 6" xfId="32347" xr:uid="{00000000-0005-0000-0000-0000897B0000}"/>
    <cellStyle name="Normal 27 3 9" xfId="32348" xr:uid="{00000000-0005-0000-0000-00008A7B0000}"/>
    <cellStyle name="Normal 27 30" xfId="43202" xr:uid="{00000000-0005-0000-0000-00008B7B0000}"/>
    <cellStyle name="Normal 27 31" xfId="43245" xr:uid="{00000000-0005-0000-0000-00008C7B0000}"/>
    <cellStyle name="Normal 27 32" xfId="43405" xr:uid="{00000000-0005-0000-0000-00008D7B0000}"/>
    <cellStyle name="Normal 27 4" xfId="2524" xr:uid="{00000000-0005-0000-0000-00008E7B0000}"/>
    <cellStyle name="Normal 27 4 10" xfId="32349" xr:uid="{00000000-0005-0000-0000-00008F7B0000}"/>
    <cellStyle name="Normal 27 4 11" xfId="32350" xr:uid="{00000000-0005-0000-0000-0000907B0000}"/>
    <cellStyle name="Normal 27 4 12" xfId="32351" xr:uid="{00000000-0005-0000-0000-0000917B0000}"/>
    <cellStyle name="Normal 27 4 13" xfId="32352" xr:uid="{00000000-0005-0000-0000-0000927B0000}"/>
    <cellStyle name="Normal 27 4 14" xfId="43339" xr:uid="{00000000-0005-0000-0000-0000937B0000}"/>
    <cellStyle name="Normal 27 4 2" xfId="32353" xr:uid="{00000000-0005-0000-0000-0000947B0000}"/>
    <cellStyle name="Normal 27 4 2 2" xfId="32354" xr:uid="{00000000-0005-0000-0000-0000957B0000}"/>
    <cellStyle name="Normal 27 4 2 3" xfId="32355" xr:uid="{00000000-0005-0000-0000-0000967B0000}"/>
    <cellStyle name="Normal 27 4 2 4" xfId="32356" xr:uid="{00000000-0005-0000-0000-0000977B0000}"/>
    <cellStyle name="Normal 27 4 2 5" xfId="32357" xr:uid="{00000000-0005-0000-0000-0000987B0000}"/>
    <cellStyle name="Normal 27 4 2 6" xfId="32358" xr:uid="{00000000-0005-0000-0000-0000997B0000}"/>
    <cellStyle name="Normal 27 4 3" xfId="32359" xr:uid="{00000000-0005-0000-0000-00009A7B0000}"/>
    <cellStyle name="Normal 27 4 3 2" xfId="32360" xr:uid="{00000000-0005-0000-0000-00009B7B0000}"/>
    <cellStyle name="Normal 27 4 3 3" xfId="32361" xr:uid="{00000000-0005-0000-0000-00009C7B0000}"/>
    <cellStyle name="Normal 27 4 3 4" xfId="32362" xr:uid="{00000000-0005-0000-0000-00009D7B0000}"/>
    <cellStyle name="Normal 27 4 3 5" xfId="32363" xr:uid="{00000000-0005-0000-0000-00009E7B0000}"/>
    <cellStyle name="Normal 27 4 3 6" xfId="32364" xr:uid="{00000000-0005-0000-0000-00009F7B0000}"/>
    <cellStyle name="Normal 27 4 4" xfId="32365" xr:uid="{00000000-0005-0000-0000-0000A07B0000}"/>
    <cellStyle name="Normal 27 4 4 2" xfId="32366" xr:uid="{00000000-0005-0000-0000-0000A17B0000}"/>
    <cellStyle name="Normal 27 4 4 3" xfId="32367" xr:uid="{00000000-0005-0000-0000-0000A27B0000}"/>
    <cellStyle name="Normal 27 4 4 4" xfId="32368" xr:uid="{00000000-0005-0000-0000-0000A37B0000}"/>
    <cellStyle name="Normal 27 4 4 5" xfId="32369" xr:uid="{00000000-0005-0000-0000-0000A47B0000}"/>
    <cellStyle name="Normal 27 4 4 6" xfId="32370" xr:uid="{00000000-0005-0000-0000-0000A57B0000}"/>
    <cellStyle name="Normal 27 4 5" xfId="32371" xr:uid="{00000000-0005-0000-0000-0000A67B0000}"/>
    <cellStyle name="Normal 27 4 5 2" xfId="32372" xr:uid="{00000000-0005-0000-0000-0000A77B0000}"/>
    <cellStyle name="Normal 27 4 5 3" xfId="32373" xr:uid="{00000000-0005-0000-0000-0000A87B0000}"/>
    <cellStyle name="Normal 27 4 5 4" xfId="32374" xr:uid="{00000000-0005-0000-0000-0000A97B0000}"/>
    <cellStyle name="Normal 27 4 5 5" xfId="32375" xr:uid="{00000000-0005-0000-0000-0000AA7B0000}"/>
    <cellStyle name="Normal 27 4 5 6" xfId="32376" xr:uid="{00000000-0005-0000-0000-0000AB7B0000}"/>
    <cellStyle name="Normal 27 4 6" xfId="32377" xr:uid="{00000000-0005-0000-0000-0000AC7B0000}"/>
    <cellStyle name="Normal 27 4 6 2" xfId="32378" xr:uid="{00000000-0005-0000-0000-0000AD7B0000}"/>
    <cellStyle name="Normal 27 4 6 3" xfId="32379" xr:uid="{00000000-0005-0000-0000-0000AE7B0000}"/>
    <cellStyle name="Normal 27 4 6 4" xfId="32380" xr:uid="{00000000-0005-0000-0000-0000AF7B0000}"/>
    <cellStyle name="Normal 27 4 6 5" xfId="32381" xr:uid="{00000000-0005-0000-0000-0000B07B0000}"/>
    <cellStyle name="Normal 27 4 6 6" xfId="32382" xr:uid="{00000000-0005-0000-0000-0000B17B0000}"/>
    <cellStyle name="Normal 27 4 7" xfId="32383" xr:uid="{00000000-0005-0000-0000-0000B27B0000}"/>
    <cellStyle name="Normal 27 4 7 2" xfId="32384" xr:uid="{00000000-0005-0000-0000-0000B37B0000}"/>
    <cellStyle name="Normal 27 4 7 3" xfId="32385" xr:uid="{00000000-0005-0000-0000-0000B47B0000}"/>
    <cellStyle name="Normal 27 4 7 4" xfId="32386" xr:uid="{00000000-0005-0000-0000-0000B57B0000}"/>
    <cellStyle name="Normal 27 4 7 5" xfId="32387" xr:uid="{00000000-0005-0000-0000-0000B67B0000}"/>
    <cellStyle name="Normal 27 4 7 6" xfId="32388" xr:uid="{00000000-0005-0000-0000-0000B77B0000}"/>
    <cellStyle name="Normal 27 4 8" xfId="32389" xr:uid="{00000000-0005-0000-0000-0000B87B0000}"/>
    <cellStyle name="Normal 27 4 8 2" xfId="32390" xr:uid="{00000000-0005-0000-0000-0000B97B0000}"/>
    <cellStyle name="Normal 27 4 8 3" xfId="32391" xr:uid="{00000000-0005-0000-0000-0000BA7B0000}"/>
    <cellStyle name="Normal 27 4 8 4" xfId="32392" xr:uid="{00000000-0005-0000-0000-0000BB7B0000}"/>
    <cellStyle name="Normal 27 4 8 5" xfId="32393" xr:uid="{00000000-0005-0000-0000-0000BC7B0000}"/>
    <cellStyle name="Normal 27 4 8 6" xfId="32394" xr:uid="{00000000-0005-0000-0000-0000BD7B0000}"/>
    <cellStyle name="Normal 27 4 9" xfId="32395" xr:uid="{00000000-0005-0000-0000-0000BE7B0000}"/>
    <cellStyle name="Normal 27 5" xfId="2428" xr:uid="{00000000-0005-0000-0000-0000BF7B0000}"/>
    <cellStyle name="Normal 27 5 10" xfId="32396" xr:uid="{00000000-0005-0000-0000-0000C07B0000}"/>
    <cellStyle name="Normal 27 5 11" xfId="32397" xr:uid="{00000000-0005-0000-0000-0000C17B0000}"/>
    <cellStyle name="Normal 27 5 12" xfId="32398" xr:uid="{00000000-0005-0000-0000-0000C27B0000}"/>
    <cellStyle name="Normal 27 5 13" xfId="32399" xr:uid="{00000000-0005-0000-0000-0000C37B0000}"/>
    <cellStyle name="Normal 27 5 2" xfId="32400" xr:uid="{00000000-0005-0000-0000-0000C47B0000}"/>
    <cellStyle name="Normal 27 5 2 2" xfId="32401" xr:uid="{00000000-0005-0000-0000-0000C57B0000}"/>
    <cellStyle name="Normal 27 5 2 3" xfId="32402" xr:uid="{00000000-0005-0000-0000-0000C67B0000}"/>
    <cellStyle name="Normal 27 5 2 4" xfId="32403" xr:uid="{00000000-0005-0000-0000-0000C77B0000}"/>
    <cellStyle name="Normal 27 5 2 5" xfId="32404" xr:uid="{00000000-0005-0000-0000-0000C87B0000}"/>
    <cellStyle name="Normal 27 5 2 6" xfId="32405" xr:uid="{00000000-0005-0000-0000-0000C97B0000}"/>
    <cellStyle name="Normal 27 5 3" xfId="32406" xr:uid="{00000000-0005-0000-0000-0000CA7B0000}"/>
    <cellStyle name="Normal 27 5 3 2" xfId="32407" xr:uid="{00000000-0005-0000-0000-0000CB7B0000}"/>
    <cellStyle name="Normal 27 5 3 3" xfId="32408" xr:uid="{00000000-0005-0000-0000-0000CC7B0000}"/>
    <cellStyle name="Normal 27 5 3 4" xfId="32409" xr:uid="{00000000-0005-0000-0000-0000CD7B0000}"/>
    <cellStyle name="Normal 27 5 3 5" xfId="32410" xr:uid="{00000000-0005-0000-0000-0000CE7B0000}"/>
    <cellStyle name="Normal 27 5 3 6" xfId="32411" xr:uid="{00000000-0005-0000-0000-0000CF7B0000}"/>
    <cellStyle name="Normal 27 5 4" xfId="32412" xr:uid="{00000000-0005-0000-0000-0000D07B0000}"/>
    <cellStyle name="Normal 27 5 4 2" xfId="32413" xr:uid="{00000000-0005-0000-0000-0000D17B0000}"/>
    <cellStyle name="Normal 27 5 4 3" xfId="32414" xr:uid="{00000000-0005-0000-0000-0000D27B0000}"/>
    <cellStyle name="Normal 27 5 4 4" xfId="32415" xr:uid="{00000000-0005-0000-0000-0000D37B0000}"/>
    <cellStyle name="Normal 27 5 4 5" xfId="32416" xr:uid="{00000000-0005-0000-0000-0000D47B0000}"/>
    <cellStyle name="Normal 27 5 4 6" xfId="32417" xr:uid="{00000000-0005-0000-0000-0000D57B0000}"/>
    <cellStyle name="Normal 27 5 5" xfId="32418" xr:uid="{00000000-0005-0000-0000-0000D67B0000}"/>
    <cellStyle name="Normal 27 5 5 2" xfId="32419" xr:uid="{00000000-0005-0000-0000-0000D77B0000}"/>
    <cellStyle name="Normal 27 5 5 3" xfId="32420" xr:uid="{00000000-0005-0000-0000-0000D87B0000}"/>
    <cellStyle name="Normal 27 5 5 4" xfId="32421" xr:uid="{00000000-0005-0000-0000-0000D97B0000}"/>
    <cellStyle name="Normal 27 5 5 5" xfId="32422" xr:uid="{00000000-0005-0000-0000-0000DA7B0000}"/>
    <cellStyle name="Normal 27 5 5 6" xfId="32423" xr:uid="{00000000-0005-0000-0000-0000DB7B0000}"/>
    <cellStyle name="Normal 27 5 6" xfId="32424" xr:uid="{00000000-0005-0000-0000-0000DC7B0000}"/>
    <cellStyle name="Normal 27 5 6 2" xfId="32425" xr:uid="{00000000-0005-0000-0000-0000DD7B0000}"/>
    <cellStyle name="Normal 27 5 6 3" xfId="32426" xr:uid="{00000000-0005-0000-0000-0000DE7B0000}"/>
    <cellStyle name="Normal 27 5 6 4" xfId="32427" xr:uid="{00000000-0005-0000-0000-0000DF7B0000}"/>
    <cellStyle name="Normal 27 5 6 5" xfId="32428" xr:uid="{00000000-0005-0000-0000-0000E07B0000}"/>
    <cellStyle name="Normal 27 5 6 6" xfId="32429" xr:uid="{00000000-0005-0000-0000-0000E17B0000}"/>
    <cellStyle name="Normal 27 5 7" xfId="32430" xr:uid="{00000000-0005-0000-0000-0000E27B0000}"/>
    <cellStyle name="Normal 27 5 7 2" xfId="32431" xr:uid="{00000000-0005-0000-0000-0000E37B0000}"/>
    <cellStyle name="Normal 27 5 7 3" xfId="32432" xr:uid="{00000000-0005-0000-0000-0000E47B0000}"/>
    <cellStyle name="Normal 27 5 7 4" xfId="32433" xr:uid="{00000000-0005-0000-0000-0000E57B0000}"/>
    <cellStyle name="Normal 27 5 7 5" xfId="32434" xr:uid="{00000000-0005-0000-0000-0000E67B0000}"/>
    <cellStyle name="Normal 27 5 7 6" xfId="32435" xr:uid="{00000000-0005-0000-0000-0000E77B0000}"/>
    <cellStyle name="Normal 27 5 8" xfId="32436" xr:uid="{00000000-0005-0000-0000-0000E87B0000}"/>
    <cellStyle name="Normal 27 5 8 2" xfId="32437" xr:uid="{00000000-0005-0000-0000-0000E97B0000}"/>
    <cellStyle name="Normal 27 5 8 3" xfId="32438" xr:uid="{00000000-0005-0000-0000-0000EA7B0000}"/>
    <cellStyle name="Normal 27 5 8 4" xfId="32439" xr:uid="{00000000-0005-0000-0000-0000EB7B0000}"/>
    <cellStyle name="Normal 27 5 8 5" xfId="32440" xr:uid="{00000000-0005-0000-0000-0000EC7B0000}"/>
    <cellStyle name="Normal 27 5 8 6" xfId="32441" xr:uid="{00000000-0005-0000-0000-0000ED7B0000}"/>
    <cellStyle name="Normal 27 5 9" xfId="32442" xr:uid="{00000000-0005-0000-0000-0000EE7B0000}"/>
    <cellStyle name="Normal 27 6" xfId="2344" xr:uid="{00000000-0005-0000-0000-0000EF7B0000}"/>
    <cellStyle name="Normal 27 6 10" xfId="32443" xr:uid="{00000000-0005-0000-0000-0000F07B0000}"/>
    <cellStyle name="Normal 27 6 11" xfId="32444" xr:uid="{00000000-0005-0000-0000-0000F17B0000}"/>
    <cellStyle name="Normal 27 6 12" xfId="32445" xr:uid="{00000000-0005-0000-0000-0000F27B0000}"/>
    <cellStyle name="Normal 27 6 13" xfId="32446" xr:uid="{00000000-0005-0000-0000-0000F37B0000}"/>
    <cellStyle name="Normal 27 6 2" xfId="32447" xr:uid="{00000000-0005-0000-0000-0000F47B0000}"/>
    <cellStyle name="Normal 27 6 2 2" xfId="32448" xr:uid="{00000000-0005-0000-0000-0000F57B0000}"/>
    <cellStyle name="Normal 27 6 2 3" xfId="32449" xr:uid="{00000000-0005-0000-0000-0000F67B0000}"/>
    <cellStyle name="Normal 27 6 2 4" xfId="32450" xr:uid="{00000000-0005-0000-0000-0000F77B0000}"/>
    <cellStyle name="Normal 27 6 2 5" xfId="32451" xr:uid="{00000000-0005-0000-0000-0000F87B0000}"/>
    <cellStyle name="Normal 27 6 2 6" xfId="32452" xr:uid="{00000000-0005-0000-0000-0000F97B0000}"/>
    <cellStyle name="Normal 27 6 3" xfId="32453" xr:uid="{00000000-0005-0000-0000-0000FA7B0000}"/>
    <cellStyle name="Normal 27 6 3 2" xfId="32454" xr:uid="{00000000-0005-0000-0000-0000FB7B0000}"/>
    <cellStyle name="Normal 27 6 3 3" xfId="32455" xr:uid="{00000000-0005-0000-0000-0000FC7B0000}"/>
    <cellStyle name="Normal 27 6 3 4" xfId="32456" xr:uid="{00000000-0005-0000-0000-0000FD7B0000}"/>
    <cellStyle name="Normal 27 6 3 5" xfId="32457" xr:uid="{00000000-0005-0000-0000-0000FE7B0000}"/>
    <cellStyle name="Normal 27 6 3 6" xfId="32458" xr:uid="{00000000-0005-0000-0000-0000FF7B0000}"/>
    <cellStyle name="Normal 27 6 4" xfId="32459" xr:uid="{00000000-0005-0000-0000-0000007C0000}"/>
    <cellStyle name="Normal 27 6 4 2" xfId="32460" xr:uid="{00000000-0005-0000-0000-0000017C0000}"/>
    <cellStyle name="Normal 27 6 4 3" xfId="32461" xr:uid="{00000000-0005-0000-0000-0000027C0000}"/>
    <cellStyle name="Normal 27 6 4 4" xfId="32462" xr:uid="{00000000-0005-0000-0000-0000037C0000}"/>
    <cellStyle name="Normal 27 6 4 5" xfId="32463" xr:uid="{00000000-0005-0000-0000-0000047C0000}"/>
    <cellStyle name="Normal 27 6 4 6" xfId="32464" xr:uid="{00000000-0005-0000-0000-0000057C0000}"/>
    <cellStyle name="Normal 27 6 5" xfId="32465" xr:uid="{00000000-0005-0000-0000-0000067C0000}"/>
    <cellStyle name="Normal 27 6 5 2" xfId="32466" xr:uid="{00000000-0005-0000-0000-0000077C0000}"/>
    <cellStyle name="Normal 27 6 5 3" xfId="32467" xr:uid="{00000000-0005-0000-0000-0000087C0000}"/>
    <cellStyle name="Normal 27 6 5 4" xfId="32468" xr:uid="{00000000-0005-0000-0000-0000097C0000}"/>
    <cellStyle name="Normal 27 6 5 5" xfId="32469" xr:uid="{00000000-0005-0000-0000-00000A7C0000}"/>
    <cellStyle name="Normal 27 6 5 6" xfId="32470" xr:uid="{00000000-0005-0000-0000-00000B7C0000}"/>
    <cellStyle name="Normal 27 6 6" xfId="32471" xr:uid="{00000000-0005-0000-0000-00000C7C0000}"/>
    <cellStyle name="Normal 27 6 6 2" xfId="32472" xr:uid="{00000000-0005-0000-0000-00000D7C0000}"/>
    <cellStyle name="Normal 27 6 6 3" xfId="32473" xr:uid="{00000000-0005-0000-0000-00000E7C0000}"/>
    <cellStyle name="Normal 27 6 6 4" xfId="32474" xr:uid="{00000000-0005-0000-0000-00000F7C0000}"/>
    <cellStyle name="Normal 27 6 6 5" xfId="32475" xr:uid="{00000000-0005-0000-0000-0000107C0000}"/>
    <cellStyle name="Normal 27 6 6 6" xfId="32476" xr:uid="{00000000-0005-0000-0000-0000117C0000}"/>
    <cellStyle name="Normal 27 6 7" xfId="32477" xr:uid="{00000000-0005-0000-0000-0000127C0000}"/>
    <cellStyle name="Normal 27 6 7 2" xfId="32478" xr:uid="{00000000-0005-0000-0000-0000137C0000}"/>
    <cellStyle name="Normal 27 6 7 3" xfId="32479" xr:uid="{00000000-0005-0000-0000-0000147C0000}"/>
    <cellStyle name="Normal 27 6 7 4" xfId="32480" xr:uid="{00000000-0005-0000-0000-0000157C0000}"/>
    <cellStyle name="Normal 27 6 7 5" xfId="32481" xr:uid="{00000000-0005-0000-0000-0000167C0000}"/>
    <cellStyle name="Normal 27 6 7 6" xfId="32482" xr:uid="{00000000-0005-0000-0000-0000177C0000}"/>
    <cellStyle name="Normal 27 6 8" xfId="32483" xr:uid="{00000000-0005-0000-0000-0000187C0000}"/>
    <cellStyle name="Normal 27 6 8 2" xfId="32484" xr:uid="{00000000-0005-0000-0000-0000197C0000}"/>
    <cellStyle name="Normal 27 6 8 3" xfId="32485" xr:uid="{00000000-0005-0000-0000-00001A7C0000}"/>
    <cellStyle name="Normal 27 6 8 4" xfId="32486" xr:uid="{00000000-0005-0000-0000-00001B7C0000}"/>
    <cellStyle name="Normal 27 6 8 5" xfId="32487" xr:uid="{00000000-0005-0000-0000-00001C7C0000}"/>
    <cellStyle name="Normal 27 6 8 6" xfId="32488" xr:uid="{00000000-0005-0000-0000-00001D7C0000}"/>
    <cellStyle name="Normal 27 6 9" xfId="32489" xr:uid="{00000000-0005-0000-0000-00001E7C0000}"/>
    <cellStyle name="Normal 27 7" xfId="32490" xr:uid="{00000000-0005-0000-0000-00001F7C0000}"/>
    <cellStyle name="Normal 27 7 10" xfId="32491" xr:uid="{00000000-0005-0000-0000-0000207C0000}"/>
    <cellStyle name="Normal 27 7 11" xfId="32492" xr:uid="{00000000-0005-0000-0000-0000217C0000}"/>
    <cellStyle name="Normal 27 7 12" xfId="32493" xr:uid="{00000000-0005-0000-0000-0000227C0000}"/>
    <cellStyle name="Normal 27 7 13" xfId="32494" xr:uid="{00000000-0005-0000-0000-0000237C0000}"/>
    <cellStyle name="Normal 27 7 2" xfId="32495" xr:uid="{00000000-0005-0000-0000-0000247C0000}"/>
    <cellStyle name="Normal 27 7 2 2" xfId="32496" xr:uid="{00000000-0005-0000-0000-0000257C0000}"/>
    <cellStyle name="Normal 27 7 2 3" xfId="32497" xr:uid="{00000000-0005-0000-0000-0000267C0000}"/>
    <cellStyle name="Normal 27 7 2 4" xfId="32498" xr:uid="{00000000-0005-0000-0000-0000277C0000}"/>
    <cellStyle name="Normal 27 7 2 5" xfId="32499" xr:uid="{00000000-0005-0000-0000-0000287C0000}"/>
    <cellStyle name="Normal 27 7 2 6" xfId="32500" xr:uid="{00000000-0005-0000-0000-0000297C0000}"/>
    <cellStyle name="Normal 27 7 3" xfId="32501" xr:uid="{00000000-0005-0000-0000-00002A7C0000}"/>
    <cellStyle name="Normal 27 7 3 2" xfId="32502" xr:uid="{00000000-0005-0000-0000-00002B7C0000}"/>
    <cellStyle name="Normal 27 7 3 3" xfId="32503" xr:uid="{00000000-0005-0000-0000-00002C7C0000}"/>
    <cellStyle name="Normal 27 7 3 4" xfId="32504" xr:uid="{00000000-0005-0000-0000-00002D7C0000}"/>
    <cellStyle name="Normal 27 7 3 5" xfId="32505" xr:uid="{00000000-0005-0000-0000-00002E7C0000}"/>
    <cellStyle name="Normal 27 7 3 6" xfId="32506" xr:uid="{00000000-0005-0000-0000-00002F7C0000}"/>
    <cellStyle name="Normal 27 7 4" xfId="32507" xr:uid="{00000000-0005-0000-0000-0000307C0000}"/>
    <cellStyle name="Normal 27 7 4 2" xfId="32508" xr:uid="{00000000-0005-0000-0000-0000317C0000}"/>
    <cellStyle name="Normal 27 7 4 3" xfId="32509" xr:uid="{00000000-0005-0000-0000-0000327C0000}"/>
    <cellStyle name="Normal 27 7 4 4" xfId="32510" xr:uid="{00000000-0005-0000-0000-0000337C0000}"/>
    <cellStyle name="Normal 27 7 4 5" xfId="32511" xr:uid="{00000000-0005-0000-0000-0000347C0000}"/>
    <cellStyle name="Normal 27 7 4 6" xfId="32512" xr:uid="{00000000-0005-0000-0000-0000357C0000}"/>
    <cellStyle name="Normal 27 7 5" xfId="32513" xr:uid="{00000000-0005-0000-0000-0000367C0000}"/>
    <cellStyle name="Normal 27 7 5 2" xfId="32514" xr:uid="{00000000-0005-0000-0000-0000377C0000}"/>
    <cellStyle name="Normal 27 7 5 3" xfId="32515" xr:uid="{00000000-0005-0000-0000-0000387C0000}"/>
    <cellStyle name="Normal 27 7 5 4" xfId="32516" xr:uid="{00000000-0005-0000-0000-0000397C0000}"/>
    <cellStyle name="Normal 27 7 5 5" xfId="32517" xr:uid="{00000000-0005-0000-0000-00003A7C0000}"/>
    <cellStyle name="Normal 27 7 5 6" xfId="32518" xr:uid="{00000000-0005-0000-0000-00003B7C0000}"/>
    <cellStyle name="Normal 27 7 6" xfId="32519" xr:uid="{00000000-0005-0000-0000-00003C7C0000}"/>
    <cellStyle name="Normal 27 7 6 2" xfId="32520" xr:uid="{00000000-0005-0000-0000-00003D7C0000}"/>
    <cellStyle name="Normal 27 7 6 3" xfId="32521" xr:uid="{00000000-0005-0000-0000-00003E7C0000}"/>
    <cellStyle name="Normal 27 7 6 4" xfId="32522" xr:uid="{00000000-0005-0000-0000-00003F7C0000}"/>
    <cellStyle name="Normal 27 7 6 5" xfId="32523" xr:uid="{00000000-0005-0000-0000-0000407C0000}"/>
    <cellStyle name="Normal 27 7 6 6" xfId="32524" xr:uid="{00000000-0005-0000-0000-0000417C0000}"/>
    <cellStyle name="Normal 27 7 7" xfId="32525" xr:uid="{00000000-0005-0000-0000-0000427C0000}"/>
    <cellStyle name="Normal 27 7 7 2" xfId="32526" xr:uid="{00000000-0005-0000-0000-0000437C0000}"/>
    <cellStyle name="Normal 27 7 7 3" xfId="32527" xr:uid="{00000000-0005-0000-0000-0000447C0000}"/>
    <cellStyle name="Normal 27 7 7 4" xfId="32528" xr:uid="{00000000-0005-0000-0000-0000457C0000}"/>
    <cellStyle name="Normal 27 7 7 5" xfId="32529" xr:uid="{00000000-0005-0000-0000-0000467C0000}"/>
    <cellStyle name="Normal 27 7 7 6" xfId="32530" xr:uid="{00000000-0005-0000-0000-0000477C0000}"/>
    <cellStyle name="Normal 27 7 8" xfId="32531" xr:uid="{00000000-0005-0000-0000-0000487C0000}"/>
    <cellStyle name="Normal 27 7 8 2" xfId="32532" xr:uid="{00000000-0005-0000-0000-0000497C0000}"/>
    <cellStyle name="Normal 27 7 8 3" xfId="32533" xr:uid="{00000000-0005-0000-0000-00004A7C0000}"/>
    <cellStyle name="Normal 27 7 8 4" xfId="32534" xr:uid="{00000000-0005-0000-0000-00004B7C0000}"/>
    <cellStyle name="Normal 27 7 8 5" xfId="32535" xr:uid="{00000000-0005-0000-0000-00004C7C0000}"/>
    <cellStyle name="Normal 27 7 8 6" xfId="32536" xr:uid="{00000000-0005-0000-0000-00004D7C0000}"/>
    <cellStyle name="Normal 27 7 9" xfId="32537" xr:uid="{00000000-0005-0000-0000-00004E7C0000}"/>
    <cellStyle name="Normal 27 8" xfId="32538" xr:uid="{00000000-0005-0000-0000-00004F7C0000}"/>
    <cellStyle name="Normal 27 8 10" xfId="32539" xr:uid="{00000000-0005-0000-0000-0000507C0000}"/>
    <cellStyle name="Normal 27 8 11" xfId="32540" xr:uid="{00000000-0005-0000-0000-0000517C0000}"/>
    <cellStyle name="Normal 27 8 12" xfId="32541" xr:uid="{00000000-0005-0000-0000-0000527C0000}"/>
    <cellStyle name="Normal 27 8 13" xfId="32542" xr:uid="{00000000-0005-0000-0000-0000537C0000}"/>
    <cellStyle name="Normal 27 8 2" xfId="32543" xr:uid="{00000000-0005-0000-0000-0000547C0000}"/>
    <cellStyle name="Normal 27 8 2 2" xfId="32544" xr:uid="{00000000-0005-0000-0000-0000557C0000}"/>
    <cellStyle name="Normal 27 8 2 3" xfId="32545" xr:uid="{00000000-0005-0000-0000-0000567C0000}"/>
    <cellStyle name="Normal 27 8 2 4" xfId="32546" xr:uid="{00000000-0005-0000-0000-0000577C0000}"/>
    <cellStyle name="Normal 27 8 2 5" xfId="32547" xr:uid="{00000000-0005-0000-0000-0000587C0000}"/>
    <cellStyle name="Normal 27 8 2 6" xfId="32548" xr:uid="{00000000-0005-0000-0000-0000597C0000}"/>
    <cellStyle name="Normal 27 8 3" xfId="32549" xr:uid="{00000000-0005-0000-0000-00005A7C0000}"/>
    <cellStyle name="Normal 27 8 3 2" xfId="32550" xr:uid="{00000000-0005-0000-0000-00005B7C0000}"/>
    <cellStyle name="Normal 27 8 3 3" xfId="32551" xr:uid="{00000000-0005-0000-0000-00005C7C0000}"/>
    <cellStyle name="Normal 27 8 3 4" xfId="32552" xr:uid="{00000000-0005-0000-0000-00005D7C0000}"/>
    <cellStyle name="Normal 27 8 3 5" xfId="32553" xr:uid="{00000000-0005-0000-0000-00005E7C0000}"/>
    <cellStyle name="Normal 27 8 3 6" xfId="32554" xr:uid="{00000000-0005-0000-0000-00005F7C0000}"/>
    <cellStyle name="Normal 27 8 4" xfId="32555" xr:uid="{00000000-0005-0000-0000-0000607C0000}"/>
    <cellStyle name="Normal 27 8 4 2" xfId="32556" xr:uid="{00000000-0005-0000-0000-0000617C0000}"/>
    <cellStyle name="Normal 27 8 4 3" xfId="32557" xr:uid="{00000000-0005-0000-0000-0000627C0000}"/>
    <cellStyle name="Normal 27 8 4 4" xfId="32558" xr:uid="{00000000-0005-0000-0000-0000637C0000}"/>
    <cellStyle name="Normal 27 8 4 5" xfId="32559" xr:uid="{00000000-0005-0000-0000-0000647C0000}"/>
    <cellStyle name="Normal 27 8 4 6" xfId="32560" xr:uid="{00000000-0005-0000-0000-0000657C0000}"/>
    <cellStyle name="Normal 27 8 5" xfId="32561" xr:uid="{00000000-0005-0000-0000-0000667C0000}"/>
    <cellStyle name="Normal 27 8 5 2" xfId="32562" xr:uid="{00000000-0005-0000-0000-0000677C0000}"/>
    <cellStyle name="Normal 27 8 5 3" xfId="32563" xr:uid="{00000000-0005-0000-0000-0000687C0000}"/>
    <cellStyle name="Normal 27 8 5 4" xfId="32564" xr:uid="{00000000-0005-0000-0000-0000697C0000}"/>
    <cellStyle name="Normal 27 8 5 5" xfId="32565" xr:uid="{00000000-0005-0000-0000-00006A7C0000}"/>
    <cellStyle name="Normal 27 8 5 6" xfId="32566" xr:uid="{00000000-0005-0000-0000-00006B7C0000}"/>
    <cellStyle name="Normal 27 8 6" xfId="32567" xr:uid="{00000000-0005-0000-0000-00006C7C0000}"/>
    <cellStyle name="Normal 27 8 6 2" xfId="32568" xr:uid="{00000000-0005-0000-0000-00006D7C0000}"/>
    <cellStyle name="Normal 27 8 6 3" xfId="32569" xr:uid="{00000000-0005-0000-0000-00006E7C0000}"/>
    <cellStyle name="Normal 27 8 6 4" xfId="32570" xr:uid="{00000000-0005-0000-0000-00006F7C0000}"/>
    <cellStyle name="Normal 27 8 6 5" xfId="32571" xr:uid="{00000000-0005-0000-0000-0000707C0000}"/>
    <cellStyle name="Normal 27 8 6 6" xfId="32572" xr:uid="{00000000-0005-0000-0000-0000717C0000}"/>
    <cellStyle name="Normal 27 8 7" xfId="32573" xr:uid="{00000000-0005-0000-0000-0000727C0000}"/>
    <cellStyle name="Normal 27 8 7 2" xfId="32574" xr:uid="{00000000-0005-0000-0000-0000737C0000}"/>
    <cellStyle name="Normal 27 8 7 3" xfId="32575" xr:uid="{00000000-0005-0000-0000-0000747C0000}"/>
    <cellStyle name="Normal 27 8 7 4" xfId="32576" xr:uid="{00000000-0005-0000-0000-0000757C0000}"/>
    <cellStyle name="Normal 27 8 7 5" xfId="32577" xr:uid="{00000000-0005-0000-0000-0000767C0000}"/>
    <cellStyle name="Normal 27 8 7 6" xfId="32578" xr:uid="{00000000-0005-0000-0000-0000777C0000}"/>
    <cellStyle name="Normal 27 8 8" xfId="32579" xr:uid="{00000000-0005-0000-0000-0000787C0000}"/>
    <cellStyle name="Normal 27 8 8 2" xfId="32580" xr:uid="{00000000-0005-0000-0000-0000797C0000}"/>
    <cellStyle name="Normal 27 8 8 3" xfId="32581" xr:uid="{00000000-0005-0000-0000-00007A7C0000}"/>
    <cellStyle name="Normal 27 8 8 4" xfId="32582" xr:uid="{00000000-0005-0000-0000-00007B7C0000}"/>
    <cellStyle name="Normal 27 8 8 5" xfId="32583" xr:uid="{00000000-0005-0000-0000-00007C7C0000}"/>
    <cellStyle name="Normal 27 8 8 6" xfId="32584" xr:uid="{00000000-0005-0000-0000-00007D7C0000}"/>
    <cellStyle name="Normal 27 8 9" xfId="32585" xr:uid="{00000000-0005-0000-0000-00007E7C0000}"/>
    <cellStyle name="Normal 27 9" xfId="32586" xr:uid="{00000000-0005-0000-0000-00007F7C0000}"/>
    <cellStyle name="Normal 27 9 10" xfId="32587" xr:uid="{00000000-0005-0000-0000-0000807C0000}"/>
    <cellStyle name="Normal 27 9 11" xfId="32588" xr:uid="{00000000-0005-0000-0000-0000817C0000}"/>
    <cellStyle name="Normal 27 9 12" xfId="32589" xr:uid="{00000000-0005-0000-0000-0000827C0000}"/>
    <cellStyle name="Normal 27 9 13" xfId="32590" xr:uid="{00000000-0005-0000-0000-0000837C0000}"/>
    <cellStyle name="Normal 27 9 2" xfId="32591" xr:uid="{00000000-0005-0000-0000-0000847C0000}"/>
    <cellStyle name="Normal 27 9 2 2" xfId="32592" xr:uid="{00000000-0005-0000-0000-0000857C0000}"/>
    <cellStyle name="Normal 27 9 2 3" xfId="32593" xr:uid="{00000000-0005-0000-0000-0000867C0000}"/>
    <cellStyle name="Normal 27 9 2 4" xfId="32594" xr:uid="{00000000-0005-0000-0000-0000877C0000}"/>
    <cellStyle name="Normal 27 9 2 5" xfId="32595" xr:uid="{00000000-0005-0000-0000-0000887C0000}"/>
    <cellStyle name="Normal 27 9 2 6" xfId="32596" xr:uid="{00000000-0005-0000-0000-0000897C0000}"/>
    <cellStyle name="Normal 27 9 3" xfId="32597" xr:uid="{00000000-0005-0000-0000-00008A7C0000}"/>
    <cellStyle name="Normal 27 9 3 2" xfId="32598" xr:uid="{00000000-0005-0000-0000-00008B7C0000}"/>
    <cellStyle name="Normal 27 9 3 3" xfId="32599" xr:uid="{00000000-0005-0000-0000-00008C7C0000}"/>
    <cellStyle name="Normal 27 9 3 4" xfId="32600" xr:uid="{00000000-0005-0000-0000-00008D7C0000}"/>
    <cellStyle name="Normal 27 9 3 5" xfId="32601" xr:uid="{00000000-0005-0000-0000-00008E7C0000}"/>
    <cellStyle name="Normal 27 9 3 6" xfId="32602" xr:uid="{00000000-0005-0000-0000-00008F7C0000}"/>
    <cellStyle name="Normal 27 9 4" xfId="32603" xr:uid="{00000000-0005-0000-0000-0000907C0000}"/>
    <cellStyle name="Normal 27 9 4 2" xfId="32604" xr:uid="{00000000-0005-0000-0000-0000917C0000}"/>
    <cellStyle name="Normal 27 9 4 3" xfId="32605" xr:uid="{00000000-0005-0000-0000-0000927C0000}"/>
    <cellStyle name="Normal 27 9 4 4" xfId="32606" xr:uid="{00000000-0005-0000-0000-0000937C0000}"/>
    <cellStyle name="Normal 27 9 4 5" xfId="32607" xr:uid="{00000000-0005-0000-0000-0000947C0000}"/>
    <cellStyle name="Normal 27 9 4 6" xfId="32608" xr:uid="{00000000-0005-0000-0000-0000957C0000}"/>
    <cellStyle name="Normal 27 9 5" xfId="32609" xr:uid="{00000000-0005-0000-0000-0000967C0000}"/>
    <cellStyle name="Normal 27 9 5 2" xfId="32610" xr:uid="{00000000-0005-0000-0000-0000977C0000}"/>
    <cellStyle name="Normal 27 9 5 3" xfId="32611" xr:uid="{00000000-0005-0000-0000-0000987C0000}"/>
    <cellStyle name="Normal 27 9 5 4" xfId="32612" xr:uid="{00000000-0005-0000-0000-0000997C0000}"/>
    <cellStyle name="Normal 27 9 5 5" xfId="32613" xr:uid="{00000000-0005-0000-0000-00009A7C0000}"/>
    <cellStyle name="Normal 27 9 5 6" xfId="32614" xr:uid="{00000000-0005-0000-0000-00009B7C0000}"/>
    <cellStyle name="Normal 27 9 6" xfId="32615" xr:uid="{00000000-0005-0000-0000-00009C7C0000}"/>
    <cellStyle name="Normal 27 9 6 2" xfId="32616" xr:uid="{00000000-0005-0000-0000-00009D7C0000}"/>
    <cellStyle name="Normal 27 9 6 3" xfId="32617" xr:uid="{00000000-0005-0000-0000-00009E7C0000}"/>
    <cellStyle name="Normal 27 9 6 4" xfId="32618" xr:uid="{00000000-0005-0000-0000-00009F7C0000}"/>
    <cellStyle name="Normal 27 9 6 5" xfId="32619" xr:uid="{00000000-0005-0000-0000-0000A07C0000}"/>
    <cellStyle name="Normal 27 9 6 6" xfId="32620" xr:uid="{00000000-0005-0000-0000-0000A17C0000}"/>
    <cellStyle name="Normal 27 9 7" xfId="32621" xr:uid="{00000000-0005-0000-0000-0000A27C0000}"/>
    <cellStyle name="Normal 27 9 7 2" xfId="32622" xr:uid="{00000000-0005-0000-0000-0000A37C0000}"/>
    <cellStyle name="Normal 27 9 7 3" xfId="32623" xr:uid="{00000000-0005-0000-0000-0000A47C0000}"/>
    <cellStyle name="Normal 27 9 7 4" xfId="32624" xr:uid="{00000000-0005-0000-0000-0000A57C0000}"/>
    <cellStyle name="Normal 27 9 7 5" xfId="32625" xr:uid="{00000000-0005-0000-0000-0000A67C0000}"/>
    <cellStyle name="Normal 27 9 7 6" xfId="32626" xr:uid="{00000000-0005-0000-0000-0000A77C0000}"/>
    <cellStyle name="Normal 27 9 8" xfId="32627" xr:uid="{00000000-0005-0000-0000-0000A87C0000}"/>
    <cellStyle name="Normal 27 9 8 2" xfId="32628" xr:uid="{00000000-0005-0000-0000-0000A97C0000}"/>
    <cellStyle name="Normal 27 9 8 3" xfId="32629" xr:uid="{00000000-0005-0000-0000-0000AA7C0000}"/>
    <cellStyle name="Normal 27 9 8 4" xfId="32630" xr:uid="{00000000-0005-0000-0000-0000AB7C0000}"/>
    <cellStyle name="Normal 27 9 8 5" xfId="32631" xr:uid="{00000000-0005-0000-0000-0000AC7C0000}"/>
    <cellStyle name="Normal 27 9 8 6" xfId="32632" xr:uid="{00000000-0005-0000-0000-0000AD7C0000}"/>
    <cellStyle name="Normal 27 9 9" xfId="32633" xr:uid="{00000000-0005-0000-0000-0000AE7C0000}"/>
    <cellStyle name="Normal 28" xfId="1793" xr:uid="{00000000-0005-0000-0000-0000AF7C0000}"/>
    <cellStyle name="Normal 28 10" xfId="32634" xr:uid="{00000000-0005-0000-0000-0000B07C0000}"/>
    <cellStyle name="Normal 28 10 10" xfId="32635" xr:uid="{00000000-0005-0000-0000-0000B17C0000}"/>
    <cellStyle name="Normal 28 10 11" xfId="32636" xr:uid="{00000000-0005-0000-0000-0000B27C0000}"/>
    <cellStyle name="Normal 28 10 12" xfId="32637" xr:uid="{00000000-0005-0000-0000-0000B37C0000}"/>
    <cellStyle name="Normal 28 10 13" xfId="32638" xr:uid="{00000000-0005-0000-0000-0000B47C0000}"/>
    <cellStyle name="Normal 28 10 2" xfId="32639" xr:uid="{00000000-0005-0000-0000-0000B57C0000}"/>
    <cellStyle name="Normal 28 10 2 2" xfId="32640" xr:uid="{00000000-0005-0000-0000-0000B67C0000}"/>
    <cellStyle name="Normal 28 10 2 3" xfId="32641" xr:uid="{00000000-0005-0000-0000-0000B77C0000}"/>
    <cellStyle name="Normal 28 10 2 4" xfId="32642" xr:uid="{00000000-0005-0000-0000-0000B87C0000}"/>
    <cellStyle name="Normal 28 10 2 5" xfId="32643" xr:uid="{00000000-0005-0000-0000-0000B97C0000}"/>
    <cellStyle name="Normal 28 10 2 6" xfId="32644" xr:uid="{00000000-0005-0000-0000-0000BA7C0000}"/>
    <cellStyle name="Normal 28 10 3" xfId="32645" xr:uid="{00000000-0005-0000-0000-0000BB7C0000}"/>
    <cellStyle name="Normal 28 10 3 2" xfId="32646" xr:uid="{00000000-0005-0000-0000-0000BC7C0000}"/>
    <cellStyle name="Normal 28 10 3 3" xfId="32647" xr:uid="{00000000-0005-0000-0000-0000BD7C0000}"/>
    <cellStyle name="Normal 28 10 3 4" xfId="32648" xr:uid="{00000000-0005-0000-0000-0000BE7C0000}"/>
    <cellStyle name="Normal 28 10 3 5" xfId="32649" xr:uid="{00000000-0005-0000-0000-0000BF7C0000}"/>
    <cellStyle name="Normal 28 10 3 6" xfId="32650" xr:uid="{00000000-0005-0000-0000-0000C07C0000}"/>
    <cellStyle name="Normal 28 10 4" xfId="32651" xr:uid="{00000000-0005-0000-0000-0000C17C0000}"/>
    <cellStyle name="Normal 28 10 4 2" xfId="32652" xr:uid="{00000000-0005-0000-0000-0000C27C0000}"/>
    <cellStyle name="Normal 28 10 4 3" xfId="32653" xr:uid="{00000000-0005-0000-0000-0000C37C0000}"/>
    <cellStyle name="Normal 28 10 4 4" xfId="32654" xr:uid="{00000000-0005-0000-0000-0000C47C0000}"/>
    <cellStyle name="Normal 28 10 4 5" xfId="32655" xr:uid="{00000000-0005-0000-0000-0000C57C0000}"/>
    <cellStyle name="Normal 28 10 4 6" xfId="32656" xr:uid="{00000000-0005-0000-0000-0000C67C0000}"/>
    <cellStyle name="Normal 28 10 5" xfId="32657" xr:uid="{00000000-0005-0000-0000-0000C77C0000}"/>
    <cellStyle name="Normal 28 10 5 2" xfId="32658" xr:uid="{00000000-0005-0000-0000-0000C87C0000}"/>
    <cellStyle name="Normal 28 10 5 3" xfId="32659" xr:uid="{00000000-0005-0000-0000-0000C97C0000}"/>
    <cellStyle name="Normal 28 10 5 4" xfId="32660" xr:uid="{00000000-0005-0000-0000-0000CA7C0000}"/>
    <cellStyle name="Normal 28 10 5 5" xfId="32661" xr:uid="{00000000-0005-0000-0000-0000CB7C0000}"/>
    <cellStyle name="Normal 28 10 5 6" xfId="32662" xr:uid="{00000000-0005-0000-0000-0000CC7C0000}"/>
    <cellStyle name="Normal 28 10 6" xfId="32663" xr:uid="{00000000-0005-0000-0000-0000CD7C0000}"/>
    <cellStyle name="Normal 28 10 6 2" xfId="32664" xr:uid="{00000000-0005-0000-0000-0000CE7C0000}"/>
    <cellStyle name="Normal 28 10 6 3" xfId="32665" xr:uid="{00000000-0005-0000-0000-0000CF7C0000}"/>
    <cellStyle name="Normal 28 10 6 4" xfId="32666" xr:uid="{00000000-0005-0000-0000-0000D07C0000}"/>
    <cellStyle name="Normal 28 10 6 5" xfId="32667" xr:uid="{00000000-0005-0000-0000-0000D17C0000}"/>
    <cellStyle name="Normal 28 10 6 6" xfId="32668" xr:uid="{00000000-0005-0000-0000-0000D27C0000}"/>
    <cellStyle name="Normal 28 10 7" xfId="32669" xr:uid="{00000000-0005-0000-0000-0000D37C0000}"/>
    <cellStyle name="Normal 28 10 7 2" xfId="32670" xr:uid="{00000000-0005-0000-0000-0000D47C0000}"/>
    <cellStyle name="Normal 28 10 7 3" xfId="32671" xr:uid="{00000000-0005-0000-0000-0000D57C0000}"/>
    <cellStyle name="Normal 28 10 7 4" xfId="32672" xr:uid="{00000000-0005-0000-0000-0000D67C0000}"/>
    <cellStyle name="Normal 28 10 7 5" xfId="32673" xr:uid="{00000000-0005-0000-0000-0000D77C0000}"/>
    <cellStyle name="Normal 28 10 7 6" xfId="32674" xr:uid="{00000000-0005-0000-0000-0000D87C0000}"/>
    <cellStyle name="Normal 28 10 8" xfId="32675" xr:uid="{00000000-0005-0000-0000-0000D97C0000}"/>
    <cellStyle name="Normal 28 10 8 2" xfId="32676" xr:uid="{00000000-0005-0000-0000-0000DA7C0000}"/>
    <cellStyle name="Normal 28 10 8 3" xfId="32677" xr:uid="{00000000-0005-0000-0000-0000DB7C0000}"/>
    <cellStyle name="Normal 28 10 8 4" xfId="32678" xr:uid="{00000000-0005-0000-0000-0000DC7C0000}"/>
    <cellStyle name="Normal 28 10 8 5" xfId="32679" xr:uid="{00000000-0005-0000-0000-0000DD7C0000}"/>
    <cellStyle name="Normal 28 10 8 6" xfId="32680" xr:uid="{00000000-0005-0000-0000-0000DE7C0000}"/>
    <cellStyle name="Normal 28 10 9" xfId="32681" xr:uid="{00000000-0005-0000-0000-0000DF7C0000}"/>
    <cellStyle name="Normal 28 11" xfId="32682" xr:uid="{00000000-0005-0000-0000-0000E07C0000}"/>
    <cellStyle name="Normal 28 11 10" xfId="32683" xr:uid="{00000000-0005-0000-0000-0000E17C0000}"/>
    <cellStyle name="Normal 28 11 11" xfId="32684" xr:uid="{00000000-0005-0000-0000-0000E27C0000}"/>
    <cellStyle name="Normal 28 11 12" xfId="32685" xr:uid="{00000000-0005-0000-0000-0000E37C0000}"/>
    <cellStyle name="Normal 28 11 13" xfId="32686" xr:uid="{00000000-0005-0000-0000-0000E47C0000}"/>
    <cellStyle name="Normal 28 11 2" xfId="32687" xr:uid="{00000000-0005-0000-0000-0000E57C0000}"/>
    <cellStyle name="Normal 28 11 2 2" xfId="32688" xr:uid="{00000000-0005-0000-0000-0000E67C0000}"/>
    <cellStyle name="Normal 28 11 2 3" xfId="32689" xr:uid="{00000000-0005-0000-0000-0000E77C0000}"/>
    <cellStyle name="Normal 28 11 2 4" xfId="32690" xr:uid="{00000000-0005-0000-0000-0000E87C0000}"/>
    <cellStyle name="Normal 28 11 2 5" xfId="32691" xr:uid="{00000000-0005-0000-0000-0000E97C0000}"/>
    <cellStyle name="Normal 28 11 2 6" xfId="32692" xr:uid="{00000000-0005-0000-0000-0000EA7C0000}"/>
    <cellStyle name="Normal 28 11 3" xfId="32693" xr:uid="{00000000-0005-0000-0000-0000EB7C0000}"/>
    <cellStyle name="Normal 28 11 3 2" xfId="32694" xr:uid="{00000000-0005-0000-0000-0000EC7C0000}"/>
    <cellStyle name="Normal 28 11 3 3" xfId="32695" xr:uid="{00000000-0005-0000-0000-0000ED7C0000}"/>
    <cellStyle name="Normal 28 11 3 4" xfId="32696" xr:uid="{00000000-0005-0000-0000-0000EE7C0000}"/>
    <cellStyle name="Normal 28 11 3 5" xfId="32697" xr:uid="{00000000-0005-0000-0000-0000EF7C0000}"/>
    <cellStyle name="Normal 28 11 3 6" xfId="32698" xr:uid="{00000000-0005-0000-0000-0000F07C0000}"/>
    <cellStyle name="Normal 28 11 4" xfId="32699" xr:uid="{00000000-0005-0000-0000-0000F17C0000}"/>
    <cellStyle name="Normal 28 11 4 2" xfId="32700" xr:uid="{00000000-0005-0000-0000-0000F27C0000}"/>
    <cellStyle name="Normal 28 11 4 3" xfId="32701" xr:uid="{00000000-0005-0000-0000-0000F37C0000}"/>
    <cellStyle name="Normal 28 11 4 4" xfId="32702" xr:uid="{00000000-0005-0000-0000-0000F47C0000}"/>
    <cellStyle name="Normal 28 11 4 5" xfId="32703" xr:uid="{00000000-0005-0000-0000-0000F57C0000}"/>
    <cellStyle name="Normal 28 11 4 6" xfId="32704" xr:uid="{00000000-0005-0000-0000-0000F67C0000}"/>
    <cellStyle name="Normal 28 11 5" xfId="32705" xr:uid="{00000000-0005-0000-0000-0000F77C0000}"/>
    <cellStyle name="Normal 28 11 5 2" xfId="32706" xr:uid="{00000000-0005-0000-0000-0000F87C0000}"/>
    <cellStyle name="Normal 28 11 5 3" xfId="32707" xr:uid="{00000000-0005-0000-0000-0000F97C0000}"/>
    <cellStyle name="Normal 28 11 5 4" xfId="32708" xr:uid="{00000000-0005-0000-0000-0000FA7C0000}"/>
    <cellStyle name="Normal 28 11 5 5" xfId="32709" xr:uid="{00000000-0005-0000-0000-0000FB7C0000}"/>
    <cellStyle name="Normal 28 11 5 6" xfId="32710" xr:uid="{00000000-0005-0000-0000-0000FC7C0000}"/>
    <cellStyle name="Normal 28 11 6" xfId="32711" xr:uid="{00000000-0005-0000-0000-0000FD7C0000}"/>
    <cellStyle name="Normal 28 11 6 2" xfId="32712" xr:uid="{00000000-0005-0000-0000-0000FE7C0000}"/>
    <cellStyle name="Normal 28 11 6 3" xfId="32713" xr:uid="{00000000-0005-0000-0000-0000FF7C0000}"/>
    <cellStyle name="Normal 28 11 6 4" xfId="32714" xr:uid="{00000000-0005-0000-0000-0000007D0000}"/>
    <cellStyle name="Normal 28 11 6 5" xfId="32715" xr:uid="{00000000-0005-0000-0000-0000017D0000}"/>
    <cellStyle name="Normal 28 11 6 6" xfId="32716" xr:uid="{00000000-0005-0000-0000-0000027D0000}"/>
    <cellStyle name="Normal 28 11 7" xfId="32717" xr:uid="{00000000-0005-0000-0000-0000037D0000}"/>
    <cellStyle name="Normal 28 11 7 2" xfId="32718" xr:uid="{00000000-0005-0000-0000-0000047D0000}"/>
    <cellStyle name="Normal 28 11 7 3" xfId="32719" xr:uid="{00000000-0005-0000-0000-0000057D0000}"/>
    <cellStyle name="Normal 28 11 7 4" xfId="32720" xr:uid="{00000000-0005-0000-0000-0000067D0000}"/>
    <cellStyle name="Normal 28 11 7 5" xfId="32721" xr:uid="{00000000-0005-0000-0000-0000077D0000}"/>
    <cellStyle name="Normal 28 11 7 6" xfId="32722" xr:uid="{00000000-0005-0000-0000-0000087D0000}"/>
    <cellStyle name="Normal 28 11 8" xfId="32723" xr:uid="{00000000-0005-0000-0000-0000097D0000}"/>
    <cellStyle name="Normal 28 11 8 2" xfId="32724" xr:uid="{00000000-0005-0000-0000-00000A7D0000}"/>
    <cellStyle name="Normal 28 11 8 3" xfId="32725" xr:uid="{00000000-0005-0000-0000-00000B7D0000}"/>
    <cellStyle name="Normal 28 11 8 4" xfId="32726" xr:uid="{00000000-0005-0000-0000-00000C7D0000}"/>
    <cellStyle name="Normal 28 11 8 5" xfId="32727" xr:uid="{00000000-0005-0000-0000-00000D7D0000}"/>
    <cellStyle name="Normal 28 11 8 6" xfId="32728" xr:uid="{00000000-0005-0000-0000-00000E7D0000}"/>
    <cellStyle name="Normal 28 11 9" xfId="32729" xr:uid="{00000000-0005-0000-0000-00000F7D0000}"/>
    <cellStyle name="Normal 28 12" xfId="32730" xr:uid="{00000000-0005-0000-0000-0000107D0000}"/>
    <cellStyle name="Normal 28 12 10" xfId="32731" xr:uid="{00000000-0005-0000-0000-0000117D0000}"/>
    <cellStyle name="Normal 28 12 11" xfId="32732" xr:uid="{00000000-0005-0000-0000-0000127D0000}"/>
    <cellStyle name="Normal 28 12 12" xfId="32733" xr:uid="{00000000-0005-0000-0000-0000137D0000}"/>
    <cellStyle name="Normal 28 12 13" xfId="32734" xr:uid="{00000000-0005-0000-0000-0000147D0000}"/>
    <cellStyle name="Normal 28 12 2" xfId="32735" xr:uid="{00000000-0005-0000-0000-0000157D0000}"/>
    <cellStyle name="Normal 28 12 2 2" xfId="32736" xr:uid="{00000000-0005-0000-0000-0000167D0000}"/>
    <cellStyle name="Normal 28 12 2 3" xfId="32737" xr:uid="{00000000-0005-0000-0000-0000177D0000}"/>
    <cellStyle name="Normal 28 12 2 4" xfId="32738" xr:uid="{00000000-0005-0000-0000-0000187D0000}"/>
    <cellStyle name="Normal 28 12 2 5" xfId="32739" xr:uid="{00000000-0005-0000-0000-0000197D0000}"/>
    <cellStyle name="Normal 28 12 2 6" xfId="32740" xr:uid="{00000000-0005-0000-0000-00001A7D0000}"/>
    <cellStyle name="Normal 28 12 3" xfId="32741" xr:uid="{00000000-0005-0000-0000-00001B7D0000}"/>
    <cellStyle name="Normal 28 12 3 2" xfId="32742" xr:uid="{00000000-0005-0000-0000-00001C7D0000}"/>
    <cellStyle name="Normal 28 12 3 3" xfId="32743" xr:uid="{00000000-0005-0000-0000-00001D7D0000}"/>
    <cellStyle name="Normal 28 12 3 4" xfId="32744" xr:uid="{00000000-0005-0000-0000-00001E7D0000}"/>
    <cellStyle name="Normal 28 12 3 5" xfId="32745" xr:uid="{00000000-0005-0000-0000-00001F7D0000}"/>
    <cellStyle name="Normal 28 12 3 6" xfId="32746" xr:uid="{00000000-0005-0000-0000-0000207D0000}"/>
    <cellStyle name="Normal 28 12 4" xfId="32747" xr:uid="{00000000-0005-0000-0000-0000217D0000}"/>
    <cellStyle name="Normal 28 12 4 2" xfId="32748" xr:uid="{00000000-0005-0000-0000-0000227D0000}"/>
    <cellStyle name="Normal 28 12 4 3" xfId="32749" xr:uid="{00000000-0005-0000-0000-0000237D0000}"/>
    <cellStyle name="Normal 28 12 4 4" xfId="32750" xr:uid="{00000000-0005-0000-0000-0000247D0000}"/>
    <cellStyle name="Normal 28 12 4 5" xfId="32751" xr:uid="{00000000-0005-0000-0000-0000257D0000}"/>
    <cellStyle name="Normal 28 12 4 6" xfId="32752" xr:uid="{00000000-0005-0000-0000-0000267D0000}"/>
    <cellStyle name="Normal 28 12 5" xfId="32753" xr:uid="{00000000-0005-0000-0000-0000277D0000}"/>
    <cellStyle name="Normal 28 12 5 2" xfId="32754" xr:uid="{00000000-0005-0000-0000-0000287D0000}"/>
    <cellStyle name="Normal 28 12 5 3" xfId="32755" xr:uid="{00000000-0005-0000-0000-0000297D0000}"/>
    <cellStyle name="Normal 28 12 5 4" xfId="32756" xr:uid="{00000000-0005-0000-0000-00002A7D0000}"/>
    <cellStyle name="Normal 28 12 5 5" xfId="32757" xr:uid="{00000000-0005-0000-0000-00002B7D0000}"/>
    <cellStyle name="Normal 28 12 5 6" xfId="32758" xr:uid="{00000000-0005-0000-0000-00002C7D0000}"/>
    <cellStyle name="Normal 28 12 6" xfId="32759" xr:uid="{00000000-0005-0000-0000-00002D7D0000}"/>
    <cellStyle name="Normal 28 12 6 2" xfId="32760" xr:uid="{00000000-0005-0000-0000-00002E7D0000}"/>
    <cellStyle name="Normal 28 12 6 3" xfId="32761" xr:uid="{00000000-0005-0000-0000-00002F7D0000}"/>
    <cellStyle name="Normal 28 12 6 4" xfId="32762" xr:uid="{00000000-0005-0000-0000-0000307D0000}"/>
    <cellStyle name="Normal 28 12 6 5" xfId="32763" xr:uid="{00000000-0005-0000-0000-0000317D0000}"/>
    <cellStyle name="Normal 28 12 6 6" xfId="32764" xr:uid="{00000000-0005-0000-0000-0000327D0000}"/>
    <cellStyle name="Normal 28 12 7" xfId="32765" xr:uid="{00000000-0005-0000-0000-0000337D0000}"/>
    <cellStyle name="Normal 28 12 7 2" xfId="32766" xr:uid="{00000000-0005-0000-0000-0000347D0000}"/>
    <cellStyle name="Normal 28 12 7 3" xfId="32767" xr:uid="{00000000-0005-0000-0000-0000357D0000}"/>
    <cellStyle name="Normal 28 12 7 4" xfId="32768" xr:uid="{00000000-0005-0000-0000-0000367D0000}"/>
    <cellStyle name="Normal 28 12 7 5" xfId="32769" xr:uid="{00000000-0005-0000-0000-0000377D0000}"/>
    <cellStyle name="Normal 28 12 7 6" xfId="32770" xr:uid="{00000000-0005-0000-0000-0000387D0000}"/>
    <cellStyle name="Normal 28 12 8" xfId="32771" xr:uid="{00000000-0005-0000-0000-0000397D0000}"/>
    <cellStyle name="Normal 28 12 8 2" xfId="32772" xr:uid="{00000000-0005-0000-0000-00003A7D0000}"/>
    <cellStyle name="Normal 28 12 8 3" xfId="32773" xr:uid="{00000000-0005-0000-0000-00003B7D0000}"/>
    <cellStyle name="Normal 28 12 8 4" xfId="32774" xr:uid="{00000000-0005-0000-0000-00003C7D0000}"/>
    <cellStyle name="Normal 28 12 8 5" xfId="32775" xr:uid="{00000000-0005-0000-0000-00003D7D0000}"/>
    <cellStyle name="Normal 28 12 8 6" xfId="32776" xr:uid="{00000000-0005-0000-0000-00003E7D0000}"/>
    <cellStyle name="Normal 28 12 9" xfId="32777" xr:uid="{00000000-0005-0000-0000-00003F7D0000}"/>
    <cellStyle name="Normal 28 13" xfId="32778" xr:uid="{00000000-0005-0000-0000-0000407D0000}"/>
    <cellStyle name="Normal 28 13 10" xfId="32779" xr:uid="{00000000-0005-0000-0000-0000417D0000}"/>
    <cellStyle name="Normal 28 13 11" xfId="32780" xr:uid="{00000000-0005-0000-0000-0000427D0000}"/>
    <cellStyle name="Normal 28 13 12" xfId="32781" xr:uid="{00000000-0005-0000-0000-0000437D0000}"/>
    <cellStyle name="Normal 28 13 13" xfId="32782" xr:uid="{00000000-0005-0000-0000-0000447D0000}"/>
    <cellStyle name="Normal 28 13 2" xfId="32783" xr:uid="{00000000-0005-0000-0000-0000457D0000}"/>
    <cellStyle name="Normal 28 13 2 2" xfId="32784" xr:uid="{00000000-0005-0000-0000-0000467D0000}"/>
    <cellStyle name="Normal 28 13 2 3" xfId="32785" xr:uid="{00000000-0005-0000-0000-0000477D0000}"/>
    <cellStyle name="Normal 28 13 2 4" xfId="32786" xr:uid="{00000000-0005-0000-0000-0000487D0000}"/>
    <cellStyle name="Normal 28 13 2 5" xfId="32787" xr:uid="{00000000-0005-0000-0000-0000497D0000}"/>
    <cellStyle name="Normal 28 13 2 6" xfId="32788" xr:uid="{00000000-0005-0000-0000-00004A7D0000}"/>
    <cellStyle name="Normal 28 13 3" xfId="32789" xr:uid="{00000000-0005-0000-0000-00004B7D0000}"/>
    <cellStyle name="Normal 28 13 3 2" xfId="32790" xr:uid="{00000000-0005-0000-0000-00004C7D0000}"/>
    <cellStyle name="Normal 28 13 3 3" xfId="32791" xr:uid="{00000000-0005-0000-0000-00004D7D0000}"/>
    <cellStyle name="Normal 28 13 3 4" xfId="32792" xr:uid="{00000000-0005-0000-0000-00004E7D0000}"/>
    <cellStyle name="Normal 28 13 3 5" xfId="32793" xr:uid="{00000000-0005-0000-0000-00004F7D0000}"/>
    <cellStyle name="Normal 28 13 3 6" xfId="32794" xr:uid="{00000000-0005-0000-0000-0000507D0000}"/>
    <cellStyle name="Normal 28 13 4" xfId="32795" xr:uid="{00000000-0005-0000-0000-0000517D0000}"/>
    <cellStyle name="Normal 28 13 4 2" xfId="32796" xr:uid="{00000000-0005-0000-0000-0000527D0000}"/>
    <cellStyle name="Normal 28 13 4 3" xfId="32797" xr:uid="{00000000-0005-0000-0000-0000537D0000}"/>
    <cellStyle name="Normal 28 13 4 4" xfId="32798" xr:uid="{00000000-0005-0000-0000-0000547D0000}"/>
    <cellStyle name="Normal 28 13 4 5" xfId="32799" xr:uid="{00000000-0005-0000-0000-0000557D0000}"/>
    <cellStyle name="Normal 28 13 4 6" xfId="32800" xr:uid="{00000000-0005-0000-0000-0000567D0000}"/>
    <cellStyle name="Normal 28 13 5" xfId="32801" xr:uid="{00000000-0005-0000-0000-0000577D0000}"/>
    <cellStyle name="Normal 28 13 5 2" xfId="32802" xr:uid="{00000000-0005-0000-0000-0000587D0000}"/>
    <cellStyle name="Normal 28 13 5 3" xfId="32803" xr:uid="{00000000-0005-0000-0000-0000597D0000}"/>
    <cellStyle name="Normal 28 13 5 4" xfId="32804" xr:uid="{00000000-0005-0000-0000-00005A7D0000}"/>
    <cellStyle name="Normal 28 13 5 5" xfId="32805" xr:uid="{00000000-0005-0000-0000-00005B7D0000}"/>
    <cellStyle name="Normal 28 13 5 6" xfId="32806" xr:uid="{00000000-0005-0000-0000-00005C7D0000}"/>
    <cellStyle name="Normal 28 13 6" xfId="32807" xr:uid="{00000000-0005-0000-0000-00005D7D0000}"/>
    <cellStyle name="Normal 28 13 6 2" xfId="32808" xr:uid="{00000000-0005-0000-0000-00005E7D0000}"/>
    <cellStyle name="Normal 28 13 6 3" xfId="32809" xr:uid="{00000000-0005-0000-0000-00005F7D0000}"/>
    <cellStyle name="Normal 28 13 6 4" xfId="32810" xr:uid="{00000000-0005-0000-0000-0000607D0000}"/>
    <cellStyle name="Normal 28 13 6 5" xfId="32811" xr:uid="{00000000-0005-0000-0000-0000617D0000}"/>
    <cellStyle name="Normal 28 13 6 6" xfId="32812" xr:uid="{00000000-0005-0000-0000-0000627D0000}"/>
    <cellStyle name="Normal 28 13 7" xfId="32813" xr:uid="{00000000-0005-0000-0000-0000637D0000}"/>
    <cellStyle name="Normal 28 13 7 2" xfId="32814" xr:uid="{00000000-0005-0000-0000-0000647D0000}"/>
    <cellStyle name="Normal 28 13 7 3" xfId="32815" xr:uid="{00000000-0005-0000-0000-0000657D0000}"/>
    <cellStyle name="Normal 28 13 7 4" xfId="32816" xr:uid="{00000000-0005-0000-0000-0000667D0000}"/>
    <cellStyle name="Normal 28 13 7 5" xfId="32817" xr:uid="{00000000-0005-0000-0000-0000677D0000}"/>
    <cellStyle name="Normal 28 13 7 6" xfId="32818" xr:uid="{00000000-0005-0000-0000-0000687D0000}"/>
    <cellStyle name="Normal 28 13 8" xfId="32819" xr:uid="{00000000-0005-0000-0000-0000697D0000}"/>
    <cellStyle name="Normal 28 13 8 2" xfId="32820" xr:uid="{00000000-0005-0000-0000-00006A7D0000}"/>
    <cellStyle name="Normal 28 13 8 3" xfId="32821" xr:uid="{00000000-0005-0000-0000-00006B7D0000}"/>
    <cellStyle name="Normal 28 13 8 4" xfId="32822" xr:uid="{00000000-0005-0000-0000-00006C7D0000}"/>
    <cellStyle name="Normal 28 13 8 5" xfId="32823" xr:uid="{00000000-0005-0000-0000-00006D7D0000}"/>
    <cellStyle name="Normal 28 13 8 6" xfId="32824" xr:uid="{00000000-0005-0000-0000-00006E7D0000}"/>
    <cellStyle name="Normal 28 13 9" xfId="32825" xr:uid="{00000000-0005-0000-0000-00006F7D0000}"/>
    <cellStyle name="Normal 28 14" xfId="32826" xr:uid="{00000000-0005-0000-0000-0000707D0000}"/>
    <cellStyle name="Normal 28 14 10" xfId="32827" xr:uid="{00000000-0005-0000-0000-0000717D0000}"/>
    <cellStyle name="Normal 28 14 11" xfId="32828" xr:uid="{00000000-0005-0000-0000-0000727D0000}"/>
    <cellStyle name="Normal 28 14 12" xfId="32829" xr:uid="{00000000-0005-0000-0000-0000737D0000}"/>
    <cellStyle name="Normal 28 14 13" xfId="32830" xr:uid="{00000000-0005-0000-0000-0000747D0000}"/>
    <cellStyle name="Normal 28 14 2" xfId="32831" xr:uid="{00000000-0005-0000-0000-0000757D0000}"/>
    <cellStyle name="Normal 28 14 2 2" xfId="32832" xr:uid="{00000000-0005-0000-0000-0000767D0000}"/>
    <cellStyle name="Normal 28 14 2 3" xfId="32833" xr:uid="{00000000-0005-0000-0000-0000777D0000}"/>
    <cellStyle name="Normal 28 14 2 4" xfId="32834" xr:uid="{00000000-0005-0000-0000-0000787D0000}"/>
    <cellStyle name="Normal 28 14 2 5" xfId="32835" xr:uid="{00000000-0005-0000-0000-0000797D0000}"/>
    <cellStyle name="Normal 28 14 2 6" xfId="32836" xr:uid="{00000000-0005-0000-0000-00007A7D0000}"/>
    <cellStyle name="Normal 28 14 3" xfId="32837" xr:uid="{00000000-0005-0000-0000-00007B7D0000}"/>
    <cellStyle name="Normal 28 14 3 2" xfId="32838" xr:uid="{00000000-0005-0000-0000-00007C7D0000}"/>
    <cellStyle name="Normal 28 14 3 3" xfId="32839" xr:uid="{00000000-0005-0000-0000-00007D7D0000}"/>
    <cellStyle name="Normal 28 14 3 4" xfId="32840" xr:uid="{00000000-0005-0000-0000-00007E7D0000}"/>
    <cellStyle name="Normal 28 14 3 5" xfId="32841" xr:uid="{00000000-0005-0000-0000-00007F7D0000}"/>
    <cellStyle name="Normal 28 14 3 6" xfId="32842" xr:uid="{00000000-0005-0000-0000-0000807D0000}"/>
    <cellStyle name="Normal 28 14 4" xfId="32843" xr:uid="{00000000-0005-0000-0000-0000817D0000}"/>
    <cellStyle name="Normal 28 14 4 2" xfId="32844" xr:uid="{00000000-0005-0000-0000-0000827D0000}"/>
    <cellStyle name="Normal 28 14 4 3" xfId="32845" xr:uid="{00000000-0005-0000-0000-0000837D0000}"/>
    <cellStyle name="Normal 28 14 4 4" xfId="32846" xr:uid="{00000000-0005-0000-0000-0000847D0000}"/>
    <cellStyle name="Normal 28 14 4 5" xfId="32847" xr:uid="{00000000-0005-0000-0000-0000857D0000}"/>
    <cellStyle name="Normal 28 14 4 6" xfId="32848" xr:uid="{00000000-0005-0000-0000-0000867D0000}"/>
    <cellStyle name="Normal 28 14 5" xfId="32849" xr:uid="{00000000-0005-0000-0000-0000877D0000}"/>
    <cellStyle name="Normal 28 14 5 2" xfId="32850" xr:uid="{00000000-0005-0000-0000-0000887D0000}"/>
    <cellStyle name="Normal 28 14 5 3" xfId="32851" xr:uid="{00000000-0005-0000-0000-0000897D0000}"/>
    <cellStyle name="Normal 28 14 5 4" xfId="32852" xr:uid="{00000000-0005-0000-0000-00008A7D0000}"/>
    <cellStyle name="Normal 28 14 5 5" xfId="32853" xr:uid="{00000000-0005-0000-0000-00008B7D0000}"/>
    <cellStyle name="Normal 28 14 5 6" xfId="32854" xr:uid="{00000000-0005-0000-0000-00008C7D0000}"/>
    <cellStyle name="Normal 28 14 6" xfId="32855" xr:uid="{00000000-0005-0000-0000-00008D7D0000}"/>
    <cellStyle name="Normal 28 14 6 2" xfId="32856" xr:uid="{00000000-0005-0000-0000-00008E7D0000}"/>
    <cellStyle name="Normal 28 14 6 3" xfId="32857" xr:uid="{00000000-0005-0000-0000-00008F7D0000}"/>
    <cellStyle name="Normal 28 14 6 4" xfId="32858" xr:uid="{00000000-0005-0000-0000-0000907D0000}"/>
    <cellStyle name="Normal 28 14 6 5" xfId="32859" xr:uid="{00000000-0005-0000-0000-0000917D0000}"/>
    <cellStyle name="Normal 28 14 6 6" xfId="32860" xr:uid="{00000000-0005-0000-0000-0000927D0000}"/>
    <cellStyle name="Normal 28 14 7" xfId="32861" xr:uid="{00000000-0005-0000-0000-0000937D0000}"/>
    <cellStyle name="Normal 28 14 7 2" xfId="32862" xr:uid="{00000000-0005-0000-0000-0000947D0000}"/>
    <cellStyle name="Normal 28 14 7 3" xfId="32863" xr:uid="{00000000-0005-0000-0000-0000957D0000}"/>
    <cellStyle name="Normal 28 14 7 4" xfId="32864" xr:uid="{00000000-0005-0000-0000-0000967D0000}"/>
    <cellStyle name="Normal 28 14 7 5" xfId="32865" xr:uid="{00000000-0005-0000-0000-0000977D0000}"/>
    <cellStyle name="Normal 28 14 7 6" xfId="32866" xr:uid="{00000000-0005-0000-0000-0000987D0000}"/>
    <cellStyle name="Normal 28 14 8" xfId="32867" xr:uid="{00000000-0005-0000-0000-0000997D0000}"/>
    <cellStyle name="Normal 28 14 8 2" xfId="32868" xr:uid="{00000000-0005-0000-0000-00009A7D0000}"/>
    <cellStyle name="Normal 28 14 8 3" xfId="32869" xr:uid="{00000000-0005-0000-0000-00009B7D0000}"/>
    <cellStyle name="Normal 28 14 8 4" xfId="32870" xr:uid="{00000000-0005-0000-0000-00009C7D0000}"/>
    <cellStyle name="Normal 28 14 8 5" xfId="32871" xr:uid="{00000000-0005-0000-0000-00009D7D0000}"/>
    <cellStyle name="Normal 28 14 8 6" xfId="32872" xr:uid="{00000000-0005-0000-0000-00009E7D0000}"/>
    <cellStyle name="Normal 28 14 9" xfId="32873" xr:uid="{00000000-0005-0000-0000-00009F7D0000}"/>
    <cellStyle name="Normal 28 15" xfId="32874" xr:uid="{00000000-0005-0000-0000-0000A07D0000}"/>
    <cellStyle name="Normal 28 15 10" xfId="32875" xr:uid="{00000000-0005-0000-0000-0000A17D0000}"/>
    <cellStyle name="Normal 28 15 11" xfId="32876" xr:uid="{00000000-0005-0000-0000-0000A27D0000}"/>
    <cellStyle name="Normal 28 15 12" xfId="32877" xr:uid="{00000000-0005-0000-0000-0000A37D0000}"/>
    <cellStyle name="Normal 28 15 13" xfId="32878" xr:uid="{00000000-0005-0000-0000-0000A47D0000}"/>
    <cellStyle name="Normal 28 15 2" xfId="32879" xr:uid="{00000000-0005-0000-0000-0000A57D0000}"/>
    <cellStyle name="Normal 28 15 2 2" xfId="32880" xr:uid="{00000000-0005-0000-0000-0000A67D0000}"/>
    <cellStyle name="Normal 28 15 2 3" xfId="32881" xr:uid="{00000000-0005-0000-0000-0000A77D0000}"/>
    <cellStyle name="Normal 28 15 2 4" xfId="32882" xr:uid="{00000000-0005-0000-0000-0000A87D0000}"/>
    <cellStyle name="Normal 28 15 2 5" xfId="32883" xr:uid="{00000000-0005-0000-0000-0000A97D0000}"/>
    <cellStyle name="Normal 28 15 2 6" xfId="32884" xr:uid="{00000000-0005-0000-0000-0000AA7D0000}"/>
    <cellStyle name="Normal 28 15 3" xfId="32885" xr:uid="{00000000-0005-0000-0000-0000AB7D0000}"/>
    <cellStyle name="Normal 28 15 3 2" xfId="32886" xr:uid="{00000000-0005-0000-0000-0000AC7D0000}"/>
    <cellStyle name="Normal 28 15 3 3" xfId="32887" xr:uid="{00000000-0005-0000-0000-0000AD7D0000}"/>
    <cellStyle name="Normal 28 15 3 4" xfId="32888" xr:uid="{00000000-0005-0000-0000-0000AE7D0000}"/>
    <cellStyle name="Normal 28 15 3 5" xfId="32889" xr:uid="{00000000-0005-0000-0000-0000AF7D0000}"/>
    <cellStyle name="Normal 28 15 3 6" xfId="32890" xr:uid="{00000000-0005-0000-0000-0000B07D0000}"/>
    <cellStyle name="Normal 28 15 4" xfId="32891" xr:uid="{00000000-0005-0000-0000-0000B17D0000}"/>
    <cellStyle name="Normal 28 15 4 2" xfId="32892" xr:uid="{00000000-0005-0000-0000-0000B27D0000}"/>
    <cellStyle name="Normal 28 15 4 3" xfId="32893" xr:uid="{00000000-0005-0000-0000-0000B37D0000}"/>
    <cellStyle name="Normal 28 15 4 4" xfId="32894" xr:uid="{00000000-0005-0000-0000-0000B47D0000}"/>
    <cellStyle name="Normal 28 15 4 5" xfId="32895" xr:uid="{00000000-0005-0000-0000-0000B57D0000}"/>
    <cellStyle name="Normal 28 15 4 6" xfId="32896" xr:uid="{00000000-0005-0000-0000-0000B67D0000}"/>
    <cellStyle name="Normal 28 15 5" xfId="32897" xr:uid="{00000000-0005-0000-0000-0000B77D0000}"/>
    <cellStyle name="Normal 28 15 5 2" xfId="32898" xr:uid="{00000000-0005-0000-0000-0000B87D0000}"/>
    <cellStyle name="Normal 28 15 5 3" xfId="32899" xr:uid="{00000000-0005-0000-0000-0000B97D0000}"/>
    <cellStyle name="Normal 28 15 5 4" xfId="32900" xr:uid="{00000000-0005-0000-0000-0000BA7D0000}"/>
    <cellStyle name="Normal 28 15 5 5" xfId="32901" xr:uid="{00000000-0005-0000-0000-0000BB7D0000}"/>
    <cellStyle name="Normal 28 15 5 6" xfId="32902" xr:uid="{00000000-0005-0000-0000-0000BC7D0000}"/>
    <cellStyle name="Normal 28 15 6" xfId="32903" xr:uid="{00000000-0005-0000-0000-0000BD7D0000}"/>
    <cellStyle name="Normal 28 15 6 2" xfId="32904" xr:uid="{00000000-0005-0000-0000-0000BE7D0000}"/>
    <cellStyle name="Normal 28 15 6 3" xfId="32905" xr:uid="{00000000-0005-0000-0000-0000BF7D0000}"/>
    <cellStyle name="Normal 28 15 6 4" xfId="32906" xr:uid="{00000000-0005-0000-0000-0000C07D0000}"/>
    <cellStyle name="Normal 28 15 6 5" xfId="32907" xr:uid="{00000000-0005-0000-0000-0000C17D0000}"/>
    <cellStyle name="Normal 28 15 6 6" xfId="32908" xr:uid="{00000000-0005-0000-0000-0000C27D0000}"/>
    <cellStyle name="Normal 28 15 7" xfId="32909" xr:uid="{00000000-0005-0000-0000-0000C37D0000}"/>
    <cellStyle name="Normal 28 15 7 2" xfId="32910" xr:uid="{00000000-0005-0000-0000-0000C47D0000}"/>
    <cellStyle name="Normal 28 15 7 3" xfId="32911" xr:uid="{00000000-0005-0000-0000-0000C57D0000}"/>
    <cellStyle name="Normal 28 15 7 4" xfId="32912" xr:uid="{00000000-0005-0000-0000-0000C67D0000}"/>
    <cellStyle name="Normal 28 15 7 5" xfId="32913" xr:uid="{00000000-0005-0000-0000-0000C77D0000}"/>
    <cellStyle name="Normal 28 15 7 6" xfId="32914" xr:uid="{00000000-0005-0000-0000-0000C87D0000}"/>
    <cellStyle name="Normal 28 15 8" xfId="32915" xr:uid="{00000000-0005-0000-0000-0000C97D0000}"/>
    <cellStyle name="Normal 28 15 8 2" xfId="32916" xr:uid="{00000000-0005-0000-0000-0000CA7D0000}"/>
    <cellStyle name="Normal 28 15 8 3" xfId="32917" xr:uid="{00000000-0005-0000-0000-0000CB7D0000}"/>
    <cellStyle name="Normal 28 15 8 4" xfId="32918" xr:uid="{00000000-0005-0000-0000-0000CC7D0000}"/>
    <cellStyle name="Normal 28 15 8 5" xfId="32919" xr:uid="{00000000-0005-0000-0000-0000CD7D0000}"/>
    <cellStyle name="Normal 28 15 8 6" xfId="32920" xr:uid="{00000000-0005-0000-0000-0000CE7D0000}"/>
    <cellStyle name="Normal 28 15 9" xfId="32921" xr:uid="{00000000-0005-0000-0000-0000CF7D0000}"/>
    <cellStyle name="Normal 28 16" xfId="32922" xr:uid="{00000000-0005-0000-0000-0000D07D0000}"/>
    <cellStyle name="Normal 28 16 10" xfId="32923" xr:uid="{00000000-0005-0000-0000-0000D17D0000}"/>
    <cellStyle name="Normal 28 16 11" xfId="32924" xr:uid="{00000000-0005-0000-0000-0000D27D0000}"/>
    <cellStyle name="Normal 28 16 12" xfId="32925" xr:uid="{00000000-0005-0000-0000-0000D37D0000}"/>
    <cellStyle name="Normal 28 16 13" xfId="32926" xr:uid="{00000000-0005-0000-0000-0000D47D0000}"/>
    <cellStyle name="Normal 28 16 2" xfId="32927" xr:uid="{00000000-0005-0000-0000-0000D57D0000}"/>
    <cellStyle name="Normal 28 16 2 2" xfId="32928" xr:uid="{00000000-0005-0000-0000-0000D67D0000}"/>
    <cellStyle name="Normal 28 16 2 3" xfId="32929" xr:uid="{00000000-0005-0000-0000-0000D77D0000}"/>
    <cellStyle name="Normal 28 16 2 4" xfId="32930" xr:uid="{00000000-0005-0000-0000-0000D87D0000}"/>
    <cellStyle name="Normal 28 16 2 5" xfId="32931" xr:uid="{00000000-0005-0000-0000-0000D97D0000}"/>
    <cellStyle name="Normal 28 16 2 6" xfId="32932" xr:uid="{00000000-0005-0000-0000-0000DA7D0000}"/>
    <cellStyle name="Normal 28 16 3" xfId="32933" xr:uid="{00000000-0005-0000-0000-0000DB7D0000}"/>
    <cellStyle name="Normal 28 16 3 2" xfId="32934" xr:uid="{00000000-0005-0000-0000-0000DC7D0000}"/>
    <cellStyle name="Normal 28 16 3 3" xfId="32935" xr:uid="{00000000-0005-0000-0000-0000DD7D0000}"/>
    <cellStyle name="Normal 28 16 3 4" xfId="32936" xr:uid="{00000000-0005-0000-0000-0000DE7D0000}"/>
    <cellStyle name="Normal 28 16 3 5" xfId="32937" xr:uid="{00000000-0005-0000-0000-0000DF7D0000}"/>
    <cellStyle name="Normal 28 16 3 6" xfId="32938" xr:uid="{00000000-0005-0000-0000-0000E07D0000}"/>
    <cellStyle name="Normal 28 16 4" xfId="32939" xr:uid="{00000000-0005-0000-0000-0000E17D0000}"/>
    <cellStyle name="Normal 28 16 4 2" xfId="32940" xr:uid="{00000000-0005-0000-0000-0000E27D0000}"/>
    <cellStyle name="Normal 28 16 4 3" xfId="32941" xr:uid="{00000000-0005-0000-0000-0000E37D0000}"/>
    <cellStyle name="Normal 28 16 4 4" xfId="32942" xr:uid="{00000000-0005-0000-0000-0000E47D0000}"/>
    <cellStyle name="Normal 28 16 4 5" xfId="32943" xr:uid="{00000000-0005-0000-0000-0000E57D0000}"/>
    <cellStyle name="Normal 28 16 4 6" xfId="32944" xr:uid="{00000000-0005-0000-0000-0000E67D0000}"/>
    <cellStyle name="Normal 28 16 5" xfId="32945" xr:uid="{00000000-0005-0000-0000-0000E77D0000}"/>
    <cellStyle name="Normal 28 16 5 2" xfId="32946" xr:uid="{00000000-0005-0000-0000-0000E87D0000}"/>
    <cellStyle name="Normal 28 16 5 3" xfId="32947" xr:uid="{00000000-0005-0000-0000-0000E97D0000}"/>
    <cellStyle name="Normal 28 16 5 4" xfId="32948" xr:uid="{00000000-0005-0000-0000-0000EA7D0000}"/>
    <cellStyle name="Normal 28 16 5 5" xfId="32949" xr:uid="{00000000-0005-0000-0000-0000EB7D0000}"/>
    <cellStyle name="Normal 28 16 5 6" xfId="32950" xr:uid="{00000000-0005-0000-0000-0000EC7D0000}"/>
    <cellStyle name="Normal 28 16 6" xfId="32951" xr:uid="{00000000-0005-0000-0000-0000ED7D0000}"/>
    <cellStyle name="Normal 28 16 6 2" xfId="32952" xr:uid="{00000000-0005-0000-0000-0000EE7D0000}"/>
    <cellStyle name="Normal 28 16 6 3" xfId="32953" xr:uid="{00000000-0005-0000-0000-0000EF7D0000}"/>
    <cellStyle name="Normal 28 16 6 4" xfId="32954" xr:uid="{00000000-0005-0000-0000-0000F07D0000}"/>
    <cellStyle name="Normal 28 16 6 5" xfId="32955" xr:uid="{00000000-0005-0000-0000-0000F17D0000}"/>
    <cellStyle name="Normal 28 16 6 6" xfId="32956" xr:uid="{00000000-0005-0000-0000-0000F27D0000}"/>
    <cellStyle name="Normal 28 16 7" xfId="32957" xr:uid="{00000000-0005-0000-0000-0000F37D0000}"/>
    <cellStyle name="Normal 28 16 7 2" xfId="32958" xr:uid="{00000000-0005-0000-0000-0000F47D0000}"/>
    <cellStyle name="Normal 28 16 7 3" xfId="32959" xr:uid="{00000000-0005-0000-0000-0000F57D0000}"/>
    <cellStyle name="Normal 28 16 7 4" xfId="32960" xr:uid="{00000000-0005-0000-0000-0000F67D0000}"/>
    <cellStyle name="Normal 28 16 7 5" xfId="32961" xr:uid="{00000000-0005-0000-0000-0000F77D0000}"/>
    <cellStyle name="Normal 28 16 7 6" xfId="32962" xr:uid="{00000000-0005-0000-0000-0000F87D0000}"/>
    <cellStyle name="Normal 28 16 8" xfId="32963" xr:uid="{00000000-0005-0000-0000-0000F97D0000}"/>
    <cellStyle name="Normal 28 16 8 2" xfId="32964" xr:uid="{00000000-0005-0000-0000-0000FA7D0000}"/>
    <cellStyle name="Normal 28 16 8 3" xfId="32965" xr:uid="{00000000-0005-0000-0000-0000FB7D0000}"/>
    <cellStyle name="Normal 28 16 8 4" xfId="32966" xr:uid="{00000000-0005-0000-0000-0000FC7D0000}"/>
    <cellStyle name="Normal 28 16 8 5" xfId="32967" xr:uid="{00000000-0005-0000-0000-0000FD7D0000}"/>
    <cellStyle name="Normal 28 16 8 6" xfId="32968" xr:uid="{00000000-0005-0000-0000-0000FE7D0000}"/>
    <cellStyle name="Normal 28 16 9" xfId="32969" xr:uid="{00000000-0005-0000-0000-0000FF7D0000}"/>
    <cellStyle name="Normal 28 17" xfId="32970" xr:uid="{00000000-0005-0000-0000-0000007E0000}"/>
    <cellStyle name="Normal 28 17 10" xfId="32971" xr:uid="{00000000-0005-0000-0000-0000017E0000}"/>
    <cellStyle name="Normal 28 17 11" xfId="32972" xr:uid="{00000000-0005-0000-0000-0000027E0000}"/>
    <cellStyle name="Normal 28 17 12" xfId="32973" xr:uid="{00000000-0005-0000-0000-0000037E0000}"/>
    <cellStyle name="Normal 28 17 13" xfId="32974" xr:uid="{00000000-0005-0000-0000-0000047E0000}"/>
    <cellStyle name="Normal 28 17 2" xfId="32975" xr:uid="{00000000-0005-0000-0000-0000057E0000}"/>
    <cellStyle name="Normal 28 17 2 2" xfId="32976" xr:uid="{00000000-0005-0000-0000-0000067E0000}"/>
    <cellStyle name="Normal 28 17 2 3" xfId="32977" xr:uid="{00000000-0005-0000-0000-0000077E0000}"/>
    <cellStyle name="Normal 28 17 2 4" xfId="32978" xr:uid="{00000000-0005-0000-0000-0000087E0000}"/>
    <cellStyle name="Normal 28 17 2 5" xfId="32979" xr:uid="{00000000-0005-0000-0000-0000097E0000}"/>
    <cellStyle name="Normal 28 17 2 6" xfId="32980" xr:uid="{00000000-0005-0000-0000-00000A7E0000}"/>
    <cellStyle name="Normal 28 17 3" xfId="32981" xr:uid="{00000000-0005-0000-0000-00000B7E0000}"/>
    <cellStyle name="Normal 28 17 3 2" xfId="32982" xr:uid="{00000000-0005-0000-0000-00000C7E0000}"/>
    <cellStyle name="Normal 28 17 3 3" xfId="32983" xr:uid="{00000000-0005-0000-0000-00000D7E0000}"/>
    <cellStyle name="Normal 28 17 3 4" xfId="32984" xr:uid="{00000000-0005-0000-0000-00000E7E0000}"/>
    <cellStyle name="Normal 28 17 3 5" xfId="32985" xr:uid="{00000000-0005-0000-0000-00000F7E0000}"/>
    <cellStyle name="Normal 28 17 3 6" xfId="32986" xr:uid="{00000000-0005-0000-0000-0000107E0000}"/>
    <cellStyle name="Normal 28 17 4" xfId="32987" xr:uid="{00000000-0005-0000-0000-0000117E0000}"/>
    <cellStyle name="Normal 28 17 4 2" xfId="32988" xr:uid="{00000000-0005-0000-0000-0000127E0000}"/>
    <cellStyle name="Normal 28 17 4 3" xfId="32989" xr:uid="{00000000-0005-0000-0000-0000137E0000}"/>
    <cellStyle name="Normal 28 17 4 4" xfId="32990" xr:uid="{00000000-0005-0000-0000-0000147E0000}"/>
    <cellStyle name="Normal 28 17 4 5" xfId="32991" xr:uid="{00000000-0005-0000-0000-0000157E0000}"/>
    <cellStyle name="Normal 28 17 4 6" xfId="32992" xr:uid="{00000000-0005-0000-0000-0000167E0000}"/>
    <cellStyle name="Normal 28 17 5" xfId="32993" xr:uid="{00000000-0005-0000-0000-0000177E0000}"/>
    <cellStyle name="Normal 28 17 5 2" xfId="32994" xr:uid="{00000000-0005-0000-0000-0000187E0000}"/>
    <cellStyle name="Normal 28 17 5 3" xfId="32995" xr:uid="{00000000-0005-0000-0000-0000197E0000}"/>
    <cellStyle name="Normal 28 17 5 4" xfId="32996" xr:uid="{00000000-0005-0000-0000-00001A7E0000}"/>
    <cellStyle name="Normal 28 17 5 5" xfId="32997" xr:uid="{00000000-0005-0000-0000-00001B7E0000}"/>
    <cellStyle name="Normal 28 17 5 6" xfId="32998" xr:uid="{00000000-0005-0000-0000-00001C7E0000}"/>
    <cellStyle name="Normal 28 17 6" xfId="32999" xr:uid="{00000000-0005-0000-0000-00001D7E0000}"/>
    <cellStyle name="Normal 28 17 6 2" xfId="33000" xr:uid="{00000000-0005-0000-0000-00001E7E0000}"/>
    <cellStyle name="Normal 28 17 6 3" xfId="33001" xr:uid="{00000000-0005-0000-0000-00001F7E0000}"/>
    <cellStyle name="Normal 28 17 6 4" xfId="33002" xr:uid="{00000000-0005-0000-0000-0000207E0000}"/>
    <cellStyle name="Normal 28 17 6 5" xfId="33003" xr:uid="{00000000-0005-0000-0000-0000217E0000}"/>
    <cellStyle name="Normal 28 17 6 6" xfId="33004" xr:uid="{00000000-0005-0000-0000-0000227E0000}"/>
    <cellStyle name="Normal 28 17 7" xfId="33005" xr:uid="{00000000-0005-0000-0000-0000237E0000}"/>
    <cellStyle name="Normal 28 17 7 2" xfId="33006" xr:uid="{00000000-0005-0000-0000-0000247E0000}"/>
    <cellStyle name="Normal 28 17 7 3" xfId="33007" xr:uid="{00000000-0005-0000-0000-0000257E0000}"/>
    <cellStyle name="Normal 28 17 7 4" xfId="33008" xr:uid="{00000000-0005-0000-0000-0000267E0000}"/>
    <cellStyle name="Normal 28 17 7 5" xfId="33009" xr:uid="{00000000-0005-0000-0000-0000277E0000}"/>
    <cellStyle name="Normal 28 17 7 6" xfId="33010" xr:uid="{00000000-0005-0000-0000-0000287E0000}"/>
    <cellStyle name="Normal 28 17 8" xfId="33011" xr:uid="{00000000-0005-0000-0000-0000297E0000}"/>
    <cellStyle name="Normal 28 17 8 2" xfId="33012" xr:uid="{00000000-0005-0000-0000-00002A7E0000}"/>
    <cellStyle name="Normal 28 17 8 3" xfId="33013" xr:uid="{00000000-0005-0000-0000-00002B7E0000}"/>
    <cellStyle name="Normal 28 17 8 4" xfId="33014" xr:uid="{00000000-0005-0000-0000-00002C7E0000}"/>
    <cellStyle name="Normal 28 17 8 5" xfId="33015" xr:uid="{00000000-0005-0000-0000-00002D7E0000}"/>
    <cellStyle name="Normal 28 17 8 6" xfId="33016" xr:uid="{00000000-0005-0000-0000-00002E7E0000}"/>
    <cellStyle name="Normal 28 17 9" xfId="33017" xr:uid="{00000000-0005-0000-0000-00002F7E0000}"/>
    <cellStyle name="Normal 28 18" xfId="33018" xr:uid="{00000000-0005-0000-0000-0000307E0000}"/>
    <cellStyle name="Normal 28 18 2" xfId="33019" xr:uid="{00000000-0005-0000-0000-0000317E0000}"/>
    <cellStyle name="Normal 28 18 3" xfId="33020" xr:uid="{00000000-0005-0000-0000-0000327E0000}"/>
    <cellStyle name="Normal 28 18 4" xfId="33021" xr:uid="{00000000-0005-0000-0000-0000337E0000}"/>
    <cellStyle name="Normal 28 18 5" xfId="33022" xr:uid="{00000000-0005-0000-0000-0000347E0000}"/>
    <cellStyle name="Normal 28 18 6" xfId="33023" xr:uid="{00000000-0005-0000-0000-0000357E0000}"/>
    <cellStyle name="Normal 28 19" xfId="33024" xr:uid="{00000000-0005-0000-0000-0000367E0000}"/>
    <cellStyle name="Normal 28 19 2" xfId="33025" xr:uid="{00000000-0005-0000-0000-0000377E0000}"/>
    <cellStyle name="Normal 28 19 3" xfId="33026" xr:uid="{00000000-0005-0000-0000-0000387E0000}"/>
    <cellStyle name="Normal 28 19 4" xfId="33027" xr:uid="{00000000-0005-0000-0000-0000397E0000}"/>
    <cellStyle name="Normal 28 19 5" xfId="33028" xr:uid="{00000000-0005-0000-0000-00003A7E0000}"/>
    <cellStyle name="Normal 28 19 6" xfId="33029" xr:uid="{00000000-0005-0000-0000-00003B7E0000}"/>
    <cellStyle name="Normal 28 2" xfId="1664" xr:uid="{00000000-0005-0000-0000-00003C7E0000}"/>
    <cellStyle name="Normal 28 2 10" xfId="33030" xr:uid="{00000000-0005-0000-0000-00003D7E0000}"/>
    <cellStyle name="Normal 28 2 11" xfId="33031" xr:uid="{00000000-0005-0000-0000-00003E7E0000}"/>
    <cellStyle name="Normal 28 2 12" xfId="33032" xr:uid="{00000000-0005-0000-0000-00003F7E0000}"/>
    <cellStyle name="Normal 28 2 13" xfId="33033" xr:uid="{00000000-0005-0000-0000-0000407E0000}"/>
    <cellStyle name="Normal 28 2 2" xfId="33034" xr:uid="{00000000-0005-0000-0000-0000417E0000}"/>
    <cellStyle name="Normal 28 2 2 2" xfId="33035" xr:uid="{00000000-0005-0000-0000-0000427E0000}"/>
    <cellStyle name="Normal 28 2 2 3" xfId="33036" xr:uid="{00000000-0005-0000-0000-0000437E0000}"/>
    <cellStyle name="Normal 28 2 2 4" xfId="33037" xr:uid="{00000000-0005-0000-0000-0000447E0000}"/>
    <cellStyle name="Normal 28 2 2 5" xfId="33038" xr:uid="{00000000-0005-0000-0000-0000457E0000}"/>
    <cellStyle name="Normal 28 2 2 6" xfId="33039" xr:uid="{00000000-0005-0000-0000-0000467E0000}"/>
    <cellStyle name="Normal 28 2 3" xfId="33040" xr:uid="{00000000-0005-0000-0000-0000477E0000}"/>
    <cellStyle name="Normal 28 2 3 2" xfId="33041" xr:uid="{00000000-0005-0000-0000-0000487E0000}"/>
    <cellStyle name="Normal 28 2 3 3" xfId="33042" xr:uid="{00000000-0005-0000-0000-0000497E0000}"/>
    <cellStyle name="Normal 28 2 3 4" xfId="33043" xr:uid="{00000000-0005-0000-0000-00004A7E0000}"/>
    <cellStyle name="Normal 28 2 3 5" xfId="33044" xr:uid="{00000000-0005-0000-0000-00004B7E0000}"/>
    <cellStyle name="Normal 28 2 3 6" xfId="33045" xr:uid="{00000000-0005-0000-0000-00004C7E0000}"/>
    <cellStyle name="Normal 28 2 4" xfId="33046" xr:uid="{00000000-0005-0000-0000-00004D7E0000}"/>
    <cellStyle name="Normal 28 2 4 2" xfId="33047" xr:uid="{00000000-0005-0000-0000-00004E7E0000}"/>
    <cellStyle name="Normal 28 2 4 3" xfId="33048" xr:uid="{00000000-0005-0000-0000-00004F7E0000}"/>
    <cellStyle name="Normal 28 2 4 4" xfId="33049" xr:uid="{00000000-0005-0000-0000-0000507E0000}"/>
    <cellStyle name="Normal 28 2 4 5" xfId="33050" xr:uid="{00000000-0005-0000-0000-0000517E0000}"/>
    <cellStyle name="Normal 28 2 4 6" xfId="33051" xr:uid="{00000000-0005-0000-0000-0000527E0000}"/>
    <cellStyle name="Normal 28 2 5" xfId="33052" xr:uid="{00000000-0005-0000-0000-0000537E0000}"/>
    <cellStyle name="Normal 28 2 5 2" xfId="33053" xr:uid="{00000000-0005-0000-0000-0000547E0000}"/>
    <cellStyle name="Normal 28 2 5 3" xfId="33054" xr:uid="{00000000-0005-0000-0000-0000557E0000}"/>
    <cellStyle name="Normal 28 2 5 4" xfId="33055" xr:uid="{00000000-0005-0000-0000-0000567E0000}"/>
    <cellStyle name="Normal 28 2 5 5" xfId="33056" xr:uid="{00000000-0005-0000-0000-0000577E0000}"/>
    <cellStyle name="Normal 28 2 5 6" xfId="33057" xr:uid="{00000000-0005-0000-0000-0000587E0000}"/>
    <cellStyle name="Normal 28 2 6" xfId="33058" xr:uid="{00000000-0005-0000-0000-0000597E0000}"/>
    <cellStyle name="Normal 28 2 6 2" xfId="33059" xr:uid="{00000000-0005-0000-0000-00005A7E0000}"/>
    <cellStyle name="Normal 28 2 6 3" xfId="33060" xr:uid="{00000000-0005-0000-0000-00005B7E0000}"/>
    <cellStyle name="Normal 28 2 6 4" xfId="33061" xr:uid="{00000000-0005-0000-0000-00005C7E0000}"/>
    <cellStyle name="Normal 28 2 6 5" xfId="33062" xr:uid="{00000000-0005-0000-0000-00005D7E0000}"/>
    <cellStyle name="Normal 28 2 6 6" xfId="33063" xr:uid="{00000000-0005-0000-0000-00005E7E0000}"/>
    <cellStyle name="Normal 28 2 7" xfId="33064" xr:uid="{00000000-0005-0000-0000-00005F7E0000}"/>
    <cellStyle name="Normal 28 2 7 2" xfId="33065" xr:uid="{00000000-0005-0000-0000-0000607E0000}"/>
    <cellStyle name="Normal 28 2 7 3" xfId="33066" xr:uid="{00000000-0005-0000-0000-0000617E0000}"/>
    <cellStyle name="Normal 28 2 7 4" xfId="33067" xr:uid="{00000000-0005-0000-0000-0000627E0000}"/>
    <cellStyle name="Normal 28 2 7 5" xfId="33068" xr:uid="{00000000-0005-0000-0000-0000637E0000}"/>
    <cellStyle name="Normal 28 2 7 6" xfId="33069" xr:uid="{00000000-0005-0000-0000-0000647E0000}"/>
    <cellStyle name="Normal 28 2 8" xfId="33070" xr:uid="{00000000-0005-0000-0000-0000657E0000}"/>
    <cellStyle name="Normal 28 2 8 2" xfId="33071" xr:uid="{00000000-0005-0000-0000-0000667E0000}"/>
    <cellStyle name="Normal 28 2 8 3" xfId="33072" xr:uid="{00000000-0005-0000-0000-0000677E0000}"/>
    <cellStyle name="Normal 28 2 8 4" xfId="33073" xr:uid="{00000000-0005-0000-0000-0000687E0000}"/>
    <cellStyle name="Normal 28 2 8 5" xfId="33074" xr:uid="{00000000-0005-0000-0000-0000697E0000}"/>
    <cellStyle name="Normal 28 2 8 6" xfId="33075" xr:uid="{00000000-0005-0000-0000-00006A7E0000}"/>
    <cellStyle name="Normal 28 2 9" xfId="33076" xr:uid="{00000000-0005-0000-0000-00006B7E0000}"/>
    <cellStyle name="Normal 28 20" xfId="33077" xr:uid="{00000000-0005-0000-0000-00006C7E0000}"/>
    <cellStyle name="Normal 28 20 2" xfId="33078" xr:uid="{00000000-0005-0000-0000-00006D7E0000}"/>
    <cellStyle name="Normal 28 20 3" xfId="33079" xr:uid="{00000000-0005-0000-0000-00006E7E0000}"/>
    <cellStyle name="Normal 28 20 4" xfId="33080" xr:uid="{00000000-0005-0000-0000-00006F7E0000}"/>
    <cellStyle name="Normal 28 20 5" xfId="33081" xr:uid="{00000000-0005-0000-0000-0000707E0000}"/>
    <cellStyle name="Normal 28 20 6" xfId="33082" xr:uid="{00000000-0005-0000-0000-0000717E0000}"/>
    <cellStyle name="Normal 28 21" xfId="33083" xr:uid="{00000000-0005-0000-0000-0000727E0000}"/>
    <cellStyle name="Normal 28 21 2" xfId="33084" xr:uid="{00000000-0005-0000-0000-0000737E0000}"/>
    <cellStyle name="Normal 28 21 3" xfId="33085" xr:uid="{00000000-0005-0000-0000-0000747E0000}"/>
    <cellStyle name="Normal 28 21 4" xfId="33086" xr:uid="{00000000-0005-0000-0000-0000757E0000}"/>
    <cellStyle name="Normal 28 21 5" xfId="33087" xr:uid="{00000000-0005-0000-0000-0000767E0000}"/>
    <cellStyle name="Normal 28 21 6" xfId="33088" xr:uid="{00000000-0005-0000-0000-0000777E0000}"/>
    <cellStyle name="Normal 28 22" xfId="33089" xr:uid="{00000000-0005-0000-0000-0000787E0000}"/>
    <cellStyle name="Normal 28 22 2" xfId="33090" xr:uid="{00000000-0005-0000-0000-0000797E0000}"/>
    <cellStyle name="Normal 28 22 3" xfId="33091" xr:uid="{00000000-0005-0000-0000-00007A7E0000}"/>
    <cellStyle name="Normal 28 22 4" xfId="33092" xr:uid="{00000000-0005-0000-0000-00007B7E0000}"/>
    <cellStyle name="Normal 28 22 5" xfId="33093" xr:uid="{00000000-0005-0000-0000-00007C7E0000}"/>
    <cellStyle name="Normal 28 22 6" xfId="33094" xr:uid="{00000000-0005-0000-0000-00007D7E0000}"/>
    <cellStyle name="Normal 28 23" xfId="33095" xr:uid="{00000000-0005-0000-0000-00007E7E0000}"/>
    <cellStyle name="Normal 28 23 2" xfId="33096" xr:uid="{00000000-0005-0000-0000-00007F7E0000}"/>
    <cellStyle name="Normal 28 23 3" xfId="33097" xr:uid="{00000000-0005-0000-0000-0000807E0000}"/>
    <cellStyle name="Normal 28 23 4" xfId="33098" xr:uid="{00000000-0005-0000-0000-0000817E0000}"/>
    <cellStyle name="Normal 28 23 5" xfId="33099" xr:uid="{00000000-0005-0000-0000-0000827E0000}"/>
    <cellStyle name="Normal 28 23 6" xfId="33100" xr:uid="{00000000-0005-0000-0000-0000837E0000}"/>
    <cellStyle name="Normal 28 24" xfId="33101" xr:uid="{00000000-0005-0000-0000-0000847E0000}"/>
    <cellStyle name="Normal 28 24 2" xfId="33102" xr:uid="{00000000-0005-0000-0000-0000857E0000}"/>
    <cellStyle name="Normal 28 24 3" xfId="33103" xr:uid="{00000000-0005-0000-0000-0000867E0000}"/>
    <cellStyle name="Normal 28 24 4" xfId="33104" xr:uid="{00000000-0005-0000-0000-0000877E0000}"/>
    <cellStyle name="Normal 28 24 5" xfId="33105" xr:uid="{00000000-0005-0000-0000-0000887E0000}"/>
    <cellStyle name="Normal 28 24 6" xfId="33106" xr:uid="{00000000-0005-0000-0000-0000897E0000}"/>
    <cellStyle name="Normal 28 25" xfId="33107" xr:uid="{00000000-0005-0000-0000-00008A7E0000}"/>
    <cellStyle name="Normal 28 26" xfId="33108" xr:uid="{00000000-0005-0000-0000-00008B7E0000}"/>
    <cellStyle name="Normal 28 27" xfId="33109" xr:uid="{00000000-0005-0000-0000-00008C7E0000}"/>
    <cellStyle name="Normal 28 28" xfId="33110" xr:uid="{00000000-0005-0000-0000-00008D7E0000}"/>
    <cellStyle name="Normal 28 29" xfId="33111" xr:uid="{00000000-0005-0000-0000-00008E7E0000}"/>
    <cellStyle name="Normal 28 3" xfId="1876" xr:uid="{00000000-0005-0000-0000-00008F7E0000}"/>
    <cellStyle name="Normal 28 3 10" xfId="33112" xr:uid="{00000000-0005-0000-0000-0000907E0000}"/>
    <cellStyle name="Normal 28 3 11" xfId="33113" xr:uid="{00000000-0005-0000-0000-0000917E0000}"/>
    <cellStyle name="Normal 28 3 12" xfId="33114" xr:uid="{00000000-0005-0000-0000-0000927E0000}"/>
    <cellStyle name="Normal 28 3 13" xfId="33115" xr:uid="{00000000-0005-0000-0000-0000937E0000}"/>
    <cellStyle name="Normal 28 3 14" xfId="43248" xr:uid="{00000000-0005-0000-0000-0000947E0000}"/>
    <cellStyle name="Normal 28 3 2" xfId="2065" xr:uid="{00000000-0005-0000-0000-0000957E0000}"/>
    <cellStyle name="Normal 28 3 2 2" xfId="2525" xr:uid="{00000000-0005-0000-0000-0000967E0000}"/>
    <cellStyle name="Normal 28 3 2 3" xfId="33116" xr:uid="{00000000-0005-0000-0000-0000977E0000}"/>
    <cellStyle name="Normal 28 3 2 4" xfId="33117" xr:uid="{00000000-0005-0000-0000-0000987E0000}"/>
    <cellStyle name="Normal 28 3 2 5" xfId="33118" xr:uid="{00000000-0005-0000-0000-0000997E0000}"/>
    <cellStyle name="Normal 28 3 2 6" xfId="33119" xr:uid="{00000000-0005-0000-0000-00009A7E0000}"/>
    <cellStyle name="Normal 28 3 2 7" xfId="43340" xr:uid="{00000000-0005-0000-0000-00009B7E0000}"/>
    <cellStyle name="Normal 28 3 3" xfId="2526" xr:uid="{00000000-0005-0000-0000-00009C7E0000}"/>
    <cellStyle name="Normal 28 3 3 2" xfId="33120" xr:uid="{00000000-0005-0000-0000-00009D7E0000}"/>
    <cellStyle name="Normal 28 3 3 3" xfId="33121" xr:uid="{00000000-0005-0000-0000-00009E7E0000}"/>
    <cellStyle name="Normal 28 3 3 4" xfId="33122" xr:uid="{00000000-0005-0000-0000-00009F7E0000}"/>
    <cellStyle name="Normal 28 3 3 5" xfId="33123" xr:uid="{00000000-0005-0000-0000-0000A07E0000}"/>
    <cellStyle name="Normal 28 3 3 6" xfId="33124" xr:uid="{00000000-0005-0000-0000-0000A17E0000}"/>
    <cellStyle name="Normal 28 3 3 7" xfId="43341" xr:uid="{00000000-0005-0000-0000-0000A27E0000}"/>
    <cellStyle name="Normal 28 3 4" xfId="2431" xr:uid="{00000000-0005-0000-0000-0000A37E0000}"/>
    <cellStyle name="Normal 28 3 4 2" xfId="33125" xr:uid="{00000000-0005-0000-0000-0000A47E0000}"/>
    <cellStyle name="Normal 28 3 4 3" xfId="33126" xr:uid="{00000000-0005-0000-0000-0000A57E0000}"/>
    <cellStyle name="Normal 28 3 4 4" xfId="33127" xr:uid="{00000000-0005-0000-0000-0000A67E0000}"/>
    <cellStyle name="Normal 28 3 4 5" xfId="33128" xr:uid="{00000000-0005-0000-0000-0000A77E0000}"/>
    <cellStyle name="Normal 28 3 4 6" xfId="33129" xr:uid="{00000000-0005-0000-0000-0000A87E0000}"/>
    <cellStyle name="Normal 28 3 5" xfId="2401" xr:uid="{00000000-0005-0000-0000-0000A97E0000}"/>
    <cellStyle name="Normal 28 3 5 2" xfId="33130" xr:uid="{00000000-0005-0000-0000-0000AA7E0000}"/>
    <cellStyle name="Normal 28 3 5 3" xfId="33131" xr:uid="{00000000-0005-0000-0000-0000AB7E0000}"/>
    <cellStyle name="Normal 28 3 5 4" xfId="33132" xr:uid="{00000000-0005-0000-0000-0000AC7E0000}"/>
    <cellStyle name="Normal 28 3 5 5" xfId="33133" xr:uid="{00000000-0005-0000-0000-0000AD7E0000}"/>
    <cellStyle name="Normal 28 3 5 6" xfId="33134" xr:uid="{00000000-0005-0000-0000-0000AE7E0000}"/>
    <cellStyle name="Normal 28 3 6" xfId="33135" xr:uid="{00000000-0005-0000-0000-0000AF7E0000}"/>
    <cellStyle name="Normal 28 3 6 2" xfId="33136" xr:uid="{00000000-0005-0000-0000-0000B07E0000}"/>
    <cellStyle name="Normal 28 3 6 3" xfId="33137" xr:uid="{00000000-0005-0000-0000-0000B17E0000}"/>
    <cellStyle name="Normal 28 3 6 4" xfId="33138" xr:uid="{00000000-0005-0000-0000-0000B27E0000}"/>
    <cellStyle name="Normal 28 3 6 5" xfId="33139" xr:uid="{00000000-0005-0000-0000-0000B37E0000}"/>
    <cellStyle name="Normal 28 3 6 6" xfId="33140" xr:uid="{00000000-0005-0000-0000-0000B47E0000}"/>
    <cellStyle name="Normal 28 3 7" xfId="33141" xr:uid="{00000000-0005-0000-0000-0000B57E0000}"/>
    <cellStyle name="Normal 28 3 7 2" xfId="33142" xr:uid="{00000000-0005-0000-0000-0000B67E0000}"/>
    <cellStyle name="Normal 28 3 7 3" xfId="33143" xr:uid="{00000000-0005-0000-0000-0000B77E0000}"/>
    <cellStyle name="Normal 28 3 7 4" xfId="33144" xr:uid="{00000000-0005-0000-0000-0000B87E0000}"/>
    <cellStyle name="Normal 28 3 7 5" xfId="33145" xr:uid="{00000000-0005-0000-0000-0000B97E0000}"/>
    <cellStyle name="Normal 28 3 7 6" xfId="33146" xr:uid="{00000000-0005-0000-0000-0000BA7E0000}"/>
    <cellStyle name="Normal 28 3 8" xfId="33147" xr:uid="{00000000-0005-0000-0000-0000BB7E0000}"/>
    <cellStyle name="Normal 28 3 8 2" xfId="33148" xr:uid="{00000000-0005-0000-0000-0000BC7E0000}"/>
    <cellStyle name="Normal 28 3 8 3" xfId="33149" xr:uid="{00000000-0005-0000-0000-0000BD7E0000}"/>
    <cellStyle name="Normal 28 3 8 4" xfId="33150" xr:uid="{00000000-0005-0000-0000-0000BE7E0000}"/>
    <cellStyle name="Normal 28 3 8 5" xfId="33151" xr:uid="{00000000-0005-0000-0000-0000BF7E0000}"/>
    <cellStyle name="Normal 28 3 8 6" xfId="33152" xr:uid="{00000000-0005-0000-0000-0000C07E0000}"/>
    <cellStyle name="Normal 28 3 9" xfId="33153" xr:uid="{00000000-0005-0000-0000-0000C17E0000}"/>
    <cellStyle name="Normal 28 30" xfId="43247" xr:uid="{00000000-0005-0000-0000-0000C27E0000}"/>
    <cellStyle name="Normal 28 4" xfId="2014" xr:uid="{00000000-0005-0000-0000-0000C37E0000}"/>
    <cellStyle name="Normal 28 4 10" xfId="33154" xr:uid="{00000000-0005-0000-0000-0000C47E0000}"/>
    <cellStyle name="Normal 28 4 11" xfId="33155" xr:uid="{00000000-0005-0000-0000-0000C57E0000}"/>
    <cellStyle name="Normal 28 4 12" xfId="33156" xr:uid="{00000000-0005-0000-0000-0000C67E0000}"/>
    <cellStyle name="Normal 28 4 13" xfId="33157" xr:uid="{00000000-0005-0000-0000-0000C77E0000}"/>
    <cellStyle name="Normal 28 4 14" xfId="43342" xr:uid="{00000000-0005-0000-0000-0000C87E0000}"/>
    <cellStyle name="Normal 28 4 2" xfId="2527" xr:uid="{00000000-0005-0000-0000-0000C97E0000}"/>
    <cellStyle name="Normal 28 4 2 2" xfId="33158" xr:uid="{00000000-0005-0000-0000-0000CA7E0000}"/>
    <cellStyle name="Normal 28 4 2 3" xfId="33159" xr:uid="{00000000-0005-0000-0000-0000CB7E0000}"/>
    <cellStyle name="Normal 28 4 2 4" xfId="33160" xr:uid="{00000000-0005-0000-0000-0000CC7E0000}"/>
    <cellStyle name="Normal 28 4 2 5" xfId="33161" xr:uid="{00000000-0005-0000-0000-0000CD7E0000}"/>
    <cellStyle name="Normal 28 4 2 6" xfId="33162" xr:uid="{00000000-0005-0000-0000-0000CE7E0000}"/>
    <cellStyle name="Normal 28 4 3" xfId="33163" xr:uid="{00000000-0005-0000-0000-0000CF7E0000}"/>
    <cellStyle name="Normal 28 4 3 2" xfId="33164" xr:uid="{00000000-0005-0000-0000-0000D07E0000}"/>
    <cellStyle name="Normal 28 4 3 3" xfId="33165" xr:uid="{00000000-0005-0000-0000-0000D17E0000}"/>
    <cellStyle name="Normal 28 4 3 4" xfId="33166" xr:uid="{00000000-0005-0000-0000-0000D27E0000}"/>
    <cellStyle name="Normal 28 4 3 5" xfId="33167" xr:uid="{00000000-0005-0000-0000-0000D37E0000}"/>
    <cellStyle name="Normal 28 4 3 6" xfId="33168" xr:uid="{00000000-0005-0000-0000-0000D47E0000}"/>
    <cellStyle name="Normal 28 4 4" xfId="33169" xr:uid="{00000000-0005-0000-0000-0000D57E0000}"/>
    <cellStyle name="Normal 28 4 4 2" xfId="33170" xr:uid="{00000000-0005-0000-0000-0000D67E0000}"/>
    <cellStyle name="Normal 28 4 4 3" xfId="33171" xr:uid="{00000000-0005-0000-0000-0000D77E0000}"/>
    <cellStyle name="Normal 28 4 4 4" xfId="33172" xr:uid="{00000000-0005-0000-0000-0000D87E0000}"/>
    <cellStyle name="Normal 28 4 4 5" xfId="33173" xr:uid="{00000000-0005-0000-0000-0000D97E0000}"/>
    <cellStyle name="Normal 28 4 4 6" xfId="33174" xr:uid="{00000000-0005-0000-0000-0000DA7E0000}"/>
    <cellStyle name="Normal 28 4 5" xfId="33175" xr:uid="{00000000-0005-0000-0000-0000DB7E0000}"/>
    <cellStyle name="Normal 28 4 5 2" xfId="33176" xr:uid="{00000000-0005-0000-0000-0000DC7E0000}"/>
    <cellStyle name="Normal 28 4 5 3" xfId="33177" xr:uid="{00000000-0005-0000-0000-0000DD7E0000}"/>
    <cellStyle name="Normal 28 4 5 4" xfId="33178" xr:uid="{00000000-0005-0000-0000-0000DE7E0000}"/>
    <cellStyle name="Normal 28 4 5 5" xfId="33179" xr:uid="{00000000-0005-0000-0000-0000DF7E0000}"/>
    <cellStyle name="Normal 28 4 5 6" xfId="33180" xr:uid="{00000000-0005-0000-0000-0000E07E0000}"/>
    <cellStyle name="Normal 28 4 6" xfId="33181" xr:uid="{00000000-0005-0000-0000-0000E17E0000}"/>
    <cellStyle name="Normal 28 4 6 2" xfId="33182" xr:uid="{00000000-0005-0000-0000-0000E27E0000}"/>
    <cellStyle name="Normal 28 4 6 3" xfId="33183" xr:uid="{00000000-0005-0000-0000-0000E37E0000}"/>
    <cellStyle name="Normal 28 4 6 4" xfId="33184" xr:uid="{00000000-0005-0000-0000-0000E47E0000}"/>
    <cellStyle name="Normal 28 4 6 5" xfId="33185" xr:uid="{00000000-0005-0000-0000-0000E57E0000}"/>
    <cellStyle name="Normal 28 4 6 6" xfId="33186" xr:uid="{00000000-0005-0000-0000-0000E67E0000}"/>
    <cellStyle name="Normal 28 4 7" xfId="33187" xr:uid="{00000000-0005-0000-0000-0000E77E0000}"/>
    <cellStyle name="Normal 28 4 7 2" xfId="33188" xr:uid="{00000000-0005-0000-0000-0000E87E0000}"/>
    <cellStyle name="Normal 28 4 7 3" xfId="33189" xr:uid="{00000000-0005-0000-0000-0000E97E0000}"/>
    <cellStyle name="Normal 28 4 7 4" xfId="33190" xr:uid="{00000000-0005-0000-0000-0000EA7E0000}"/>
    <cellStyle name="Normal 28 4 7 5" xfId="33191" xr:uid="{00000000-0005-0000-0000-0000EB7E0000}"/>
    <cellStyle name="Normal 28 4 7 6" xfId="33192" xr:uid="{00000000-0005-0000-0000-0000EC7E0000}"/>
    <cellStyle name="Normal 28 4 8" xfId="33193" xr:uid="{00000000-0005-0000-0000-0000ED7E0000}"/>
    <cellStyle name="Normal 28 4 8 2" xfId="33194" xr:uid="{00000000-0005-0000-0000-0000EE7E0000}"/>
    <cellStyle name="Normal 28 4 8 3" xfId="33195" xr:uid="{00000000-0005-0000-0000-0000EF7E0000}"/>
    <cellStyle name="Normal 28 4 8 4" xfId="33196" xr:uid="{00000000-0005-0000-0000-0000F07E0000}"/>
    <cellStyle name="Normal 28 4 8 5" xfId="33197" xr:uid="{00000000-0005-0000-0000-0000F17E0000}"/>
    <cellStyle name="Normal 28 4 8 6" xfId="33198" xr:uid="{00000000-0005-0000-0000-0000F27E0000}"/>
    <cellStyle name="Normal 28 4 9" xfId="33199" xr:uid="{00000000-0005-0000-0000-0000F37E0000}"/>
    <cellStyle name="Normal 28 5" xfId="2528" xr:uid="{00000000-0005-0000-0000-0000F47E0000}"/>
    <cellStyle name="Normal 28 5 10" xfId="33200" xr:uid="{00000000-0005-0000-0000-0000F57E0000}"/>
    <cellStyle name="Normal 28 5 11" xfId="33201" xr:uid="{00000000-0005-0000-0000-0000F67E0000}"/>
    <cellStyle name="Normal 28 5 12" xfId="33202" xr:uid="{00000000-0005-0000-0000-0000F77E0000}"/>
    <cellStyle name="Normal 28 5 13" xfId="33203" xr:uid="{00000000-0005-0000-0000-0000F87E0000}"/>
    <cellStyle name="Normal 28 5 14" xfId="43343" xr:uid="{00000000-0005-0000-0000-0000F97E0000}"/>
    <cellStyle name="Normal 28 5 2" xfId="33204" xr:uid="{00000000-0005-0000-0000-0000FA7E0000}"/>
    <cellStyle name="Normal 28 5 2 2" xfId="33205" xr:uid="{00000000-0005-0000-0000-0000FB7E0000}"/>
    <cellStyle name="Normal 28 5 2 3" xfId="33206" xr:uid="{00000000-0005-0000-0000-0000FC7E0000}"/>
    <cellStyle name="Normal 28 5 2 4" xfId="33207" xr:uid="{00000000-0005-0000-0000-0000FD7E0000}"/>
    <cellStyle name="Normal 28 5 2 5" xfId="33208" xr:uid="{00000000-0005-0000-0000-0000FE7E0000}"/>
    <cellStyle name="Normal 28 5 2 6" xfId="33209" xr:uid="{00000000-0005-0000-0000-0000FF7E0000}"/>
    <cellStyle name="Normal 28 5 3" xfId="33210" xr:uid="{00000000-0005-0000-0000-0000007F0000}"/>
    <cellStyle name="Normal 28 5 3 2" xfId="33211" xr:uid="{00000000-0005-0000-0000-0000017F0000}"/>
    <cellStyle name="Normal 28 5 3 3" xfId="33212" xr:uid="{00000000-0005-0000-0000-0000027F0000}"/>
    <cellStyle name="Normal 28 5 3 4" xfId="33213" xr:uid="{00000000-0005-0000-0000-0000037F0000}"/>
    <cellStyle name="Normal 28 5 3 5" xfId="33214" xr:uid="{00000000-0005-0000-0000-0000047F0000}"/>
    <cellStyle name="Normal 28 5 3 6" xfId="33215" xr:uid="{00000000-0005-0000-0000-0000057F0000}"/>
    <cellStyle name="Normal 28 5 4" xfId="33216" xr:uid="{00000000-0005-0000-0000-0000067F0000}"/>
    <cellStyle name="Normal 28 5 4 2" xfId="33217" xr:uid="{00000000-0005-0000-0000-0000077F0000}"/>
    <cellStyle name="Normal 28 5 4 3" xfId="33218" xr:uid="{00000000-0005-0000-0000-0000087F0000}"/>
    <cellStyle name="Normal 28 5 4 4" xfId="33219" xr:uid="{00000000-0005-0000-0000-0000097F0000}"/>
    <cellStyle name="Normal 28 5 4 5" xfId="33220" xr:uid="{00000000-0005-0000-0000-00000A7F0000}"/>
    <cellStyle name="Normal 28 5 4 6" xfId="33221" xr:uid="{00000000-0005-0000-0000-00000B7F0000}"/>
    <cellStyle name="Normal 28 5 5" xfId="33222" xr:uid="{00000000-0005-0000-0000-00000C7F0000}"/>
    <cellStyle name="Normal 28 5 5 2" xfId="33223" xr:uid="{00000000-0005-0000-0000-00000D7F0000}"/>
    <cellStyle name="Normal 28 5 5 3" xfId="33224" xr:uid="{00000000-0005-0000-0000-00000E7F0000}"/>
    <cellStyle name="Normal 28 5 5 4" xfId="33225" xr:uid="{00000000-0005-0000-0000-00000F7F0000}"/>
    <cellStyle name="Normal 28 5 5 5" xfId="33226" xr:uid="{00000000-0005-0000-0000-0000107F0000}"/>
    <cellStyle name="Normal 28 5 5 6" xfId="33227" xr:uid="{00000000-0005-0000-0000-0000117F0000}"/>
    <cellStyle name="Normal 28 5 6" xfId="33228" xr:uid="{00000000-0005-0000-0000-0000127F0000}"/>
    <cellStyle name="Normal 28 5 6 2" xfId="33229" xr:uid="{00000000-0005-0000-0000-0000137F0000}"/>
    <cellStyle name="Normal 28 5 6 3" xfId="33230" xr:uid="{00000000-0005-0000-0000-0000147F0000}"/>
    <cellStyle name="Normal 28 5 6 4" xfId="33231" xr:uid="{00000000-0005-0000-0000-0000157F0000}"/>
    <cellStyle name="Normal 28 5 6 5" xfId="33232" xr:uid="{00000000-0005-0000-0000-0000167F0000}"/>
    <cellStyle name="Normal 28 5 6 6" xfId="33233" xr:uid="{00000000-0005-0000-0000-0000177F0000}"/>
    <cellStyle name="Normal 28 5 7" xfId="33234" xr:uid="{00000000-0005-0000-0000-0000187F0000}"/>
    <cellStyle name="Normal 28 5 7 2" xfId="33235" xr:uid="{00000000-0005-0000-0000-0000197F0000}"/>
    <cellStyle name="Normal 28 5 7 3" xfId="33236" xr:uid="{00000000-0005-0000-0000-00001A7F0000}"/>
    <cellStyle name="Normal 28 5 7 4" xfId="33237" xr:uid="{00000000-0005-0000-0000-00001B7F0000}"/>
    <cellStyle name="Normal 28 5 7 5" xfId="33238" xr:uid="{00000000-0005-0000-0000-00001C7F0000}"/>
    <cellStyle name="Normal 28 5 7 6" xfId="33239" xr:uid="{00000000-0005-0000-0000-00001D7F0000}"/>
    <cellStyle name="Normal 28 5 8" xfId="33240" xr:uid="{00000000-0005-0000-0000-00001E7F0000}"/>
    <cellStyle name="Normal 28 5 8 2" xfId="33241" xr:uid="{00000000-0005-0000-0000-00001F7F0000}"/>
    <cellStyle name="Normal 28 5 8 3" xfId="33242" xr:uid="{00000000-0005-0000-0000-0000207F0000}"/>
    <cellStyle name="Normal 28 5 8 4" xfId="33243" xr:uid="{00000000-0005-0000-0000-0000217F0000}"/>
    <cellStyle name="Normal 28 5 8 5" xfId="33244" xr:uid="{00000000-0005-0000-0000-0000227F0000}"/>
    <cellStyle name="Normal 28 5 8 6" xfId="33245" xr:uid="{00000000-0005-0000-0000-0000237F0000}"/>
    <cellStyle name="Normal 28 5 9" xfId="33246" xr:uid="{00000000-0005-0000-0000-0000247F0000}"/>
    <cellStyle name="Normal 28 6" xfId="2430" xr:uid="{00000000-0005-0000-0000-0000257F0000}"/>
    <cellStyle name="Normal 28 6 10" xfId="33247" xr:uid="{00000000-0005-0000-0000-0000267F0000}"/>
    <cellStyle name="Normal 28 6 11" xfId="33248" xr:uid="{00000000-0005-0000-0000-0000277F0000}"/>
    <cellStyle name="Normal 28 6 12" xfId="33249" xr:uid="{00000000-0005-0000-0000-0000287F0000}"/>
    <cellStyle name="Normal 28 6 13" xfId="33250" xr:uid="{00000000-0005-0000-0000-0000297F0000}"/>
    <cellStyle name="Normal 28 6 2" xfId="33251" xr:uid="{00000000-0005-0000-0000-00002A7F0000}"/>
    <cellStyle name="Normal 28 6 2 2" xfId="33252" xr:uid="{00000000-0005-0000-0000-00002B7F0000}"/>
    <cellStyle name="Normal 28 6 2 3" xfId="33253" xr:uid="{00000000-0005-0000-0000-00002C7F0000}"/>
    <cellStyle name="Normal 28 6 2 4" xfId="33254" xr:uid="{00000000-0005-0000-0000-00002D7F0000}"/>
    <cellStyle name="Normal 28 6 2 5" xfId="33255" xr:uid="{00000000-0005-0000-0000-00002E7F0000}"/>
    <cellStyle name="Normal 28 6 2 6" xfId="33256" xr:uid="{00000000-0005-0000-0000-00002F7F0000}"/>
    <cellStyle name="Normal 28 6 3" xfId="33257" xr:uid="{00000000-0005-0000-0000-0000307F0000}"/>
    <cellStyle name="Normal 28 6 3 2" xfId="33258" xr:uid="{00000000-0005-0000-0000-0000317F0000}"/>
    <cellStyle name="Normal 28 6 3 3" xfId="33259" xr:uid="{00000000-0005-0000-0000-0000327F0000}"/>
    <cellStyle name="Normal 28 6 3 4" xfId="33260" xr:uid="{00000000-0005-0000-0000-0000337F0000}"/>
    <cellStyle name="Normal 28 6 3 5" xfId="33261" xr:uid="{00000000-0005-0000-0000-0000347F0000}"/>
    <cellStyle name="Normal 28 6 3 6" xfId="33262" xr:uid="{00000000-0005-0000-0000-0000357F0000}"/>
    <cellStyle name="Normal 28 6 4" xfId="33263" xr:uid="{00000000-0005-0000-0000-0000367F0000}"/>
    <cellStyle name="Normal 28 6 4 2" xfId="33264" xr:uid="{00000000-0005-0000-0000-0000377F0000}"/>
    <cellStyle name="Normal 28 6 4 3" xfId="33265" xr:uid="{00000000-0005-0000-0000-0000387F0000}"/>
    <cellStyle name="Normal 28 6 4 4" xfId="33266" xr:uid="{00000000-0005-0000-0000-0000397F0000}"/>
    <cellStyle name="Normal 28 6 4 5" xfId="33267" xr:uid="{00000000-0005-0000-0000-00003A7F0000}"/>
    <cellStyle name="Normal 28 6 4 6" xfId="33268" xr:uid="{00000000-0005-0000-0000-00003B7F0000}"/>
    <cellStyle name="Normal 28 6 5" xfId="33269" xr:uid="{00000000-0005-0000-0000-00003C7F0000}"/>
    <cellStyle name="Normal 28 6 5 2" xfId="33270" xr:uid="{00000000-0005-0000-0000-00003D7F0000}"/>
    <cellStyle name="Normal 28 6 5 3" xfId="33271" xr:uid="{00000000-0005-0000-0000-00003E7F0000}"/>
    <cellStyle name="Normal 28 6 5 4" xfId="33272" xr:uid="{00000000-0005-0000-0000-00003F7F0000}"/>
    <cellStyle name="Normal 28 6 5 5" xfId="33273" xr:uid="{00000000-0005-0000-0000-0000407F0000}"/>
    <cellStyle name="Normal 28 6 5 6" xfId="33274" xr:uid="{00000000-0005-0000-0000-0000417F0000}"/>
    <cellStyle name="Normal 28 6 6" xfId="33275" xr:uid="{00000000-0005-0000-0000-0000427F0000}"/>
    <cellStyle name="Normal 28 6 6 2" xfId="33276" xr:uid="{00000000-0005-0000-0000-0000437F0000}"/>
    <cellStyle name="Normal 28 6 6 3" xfId="33277" xr:uid="{00000000-0005-0000-0000-0000447F0000}"/>
    <cellStyle name="Normal 28 6 6 4" xfId="33278" xr:uid="{00000000-0005-0000-0000-0000457F0000}"/>
    <cellStyle name="Normal 28 6 6 5" xfId="33279" xr:uid="{00000000-0005-0000-0000-0000467F0000}"/>
    <cellStyle name="Normal 28 6 6 6" xfId="33280" xr:uid="{00000000-0005-0000-0000-0000477F0000}"/>
    <cellStyle name="Normal 28 6 7" xfId="33281" xr:uid="{00000000-0005-0000-0000-0000487F0000}"/>
    <cellStyle name="Normal 28 6 7 2" xfId="33282" xr:uid="{00000000-0005-0000-0000-0000497F0000}"/>
    <cellStyle name="Normal 28 6 7 3" xfId="33283" xr:uid="{00000000-0005-0000-0000-00004A7F0000}"/>
    <cellStyle name="Normal 28 6 7 4" xfId="33284" xr:uid="{00000000-0005-0000-0000-00004B7F0000}"/>
    <cellStyle name="Normal 28 6 7 5" xfId="33285" xr:uid="{00000000-0005-0000-0000-00004C7F0000}"/>
    <cellStyle name="Normal 28 6 7 6" xfId="33286" xr:uid="{00000000-0005-0000-0000-00004D7F0000}"/>
    <cellStyle name="Normal 28 6 8" xfId="33287" xr:uid="{00000000-0005-0000-0000-00004E7F0000}"/>
    <cellStyle name="Normal 28 6 8 2" xfId="33288" xr:uid="{00000000-0005-0000-0000-00004F7F0000}"/>
    <cellStyle name="Normal 28 6 8 3" xfId="33289" xr:uid="{00000000-0005-0000-0000-0000507F0000}"/>
    <cellStyle name="Normal 28 6 8 4" xfId="33290" xr:uid="{00000000-0005-0000-0000-0000517F0000}"/>
    <cellStyle name="Normal 28 6 8 5" xfId="33291" xr:uid="{00000000-0005-0000-0000-0000527F0000}"/>
    <cellStyle name="Normal 28 6 8 6" xfId="33292" xr:uid="{00000000-0005-0000-0000-0000537F0000}"/>
    <cellStyle name="Normal 28 6 9" xfId="33293" xr:uid="{00000000-0005-0000-0000-0000547F0000}"/>
    <cellStyle name="Normal 28 7" xfId="2369" xr:uid="{00000000-0005-0000-0000-0000557F0000}"/>
    <cellStyle name="Normal 28 7 10" xfId="33294" xr:uid="{00000000-0005-0000-0000-0000567F0000}"/>
    <cellStyle name="Normal 28 7 11" xfId="33295" xr:uid="{00000000-0005-0000-0000-0000577F0000}"/>
    <cellStyle name="Normal 28 7 12" xfId="33296" xr:uid="{00000000-0005-0000-0000-0000587F0000}"/>
    <cellStyle name="Normal 28 7 13" xfId="33297" xr:uid="{00000000-0005-0000-0000-0000597F0000}"/>
    <cellStyle name="Normal 28 7 2" xfId="33298" xr:uid="{00000000-0005-0000-0000-00005A7F0000}"/>
    <cellStyle name="Normal 28 7 2 2" xfId="33299" xr:uid="{00000000-0005-0000-0000-00005B7F0000}"/>
    <cellStyle name="Normal 28 7 2 3" xfId="33300" xr:uid="{00000000-0005-0000-0000-00005C7F0000}"/>
    <cellStyle name="Normal 28 7 2 4" xfId="33301" xr:uid="{00000000-0005-0000-0000-00005D7F0000}"/>
    <cellStyle name="Normal 28 7 2 5" xfId="33302" xr:uid="{00000000-0005-0000-0000-00005E7F0000}"/>
    <cellStyle name="Normal 28 7 2 6" xfId="33303" xr:uid="{00000000-0005-0000-0000-00005F7F0000}"/>
    <cellStyle name="Normal 28 7 3" xfId="33304" xr:uid="{00000000-0005-0000-0000-0000607F0000}"/>
    <cellStyle name="Normal 28 7 3 2" xfId="33305" xr:uid="{00000000-0005-0000-0000-0000617F0000}"/>
    <cellStyle name="Normal 28 7 3 3" xfId="33306" xr:uid="{00000000-0005-0000-0000-0000627F0000}"/>
    <cellStyle name="Normal 28 7 3 4" xfId="33307" xr:uid="{00000000-0005-0000-0000-0000637F0000}"/>
    <cellStyle name="Normal 28 7 3 5" xfId="33308" xr:uid="{00000000-0005-0000-0000-0000647F0000}"/>
    <cellStyle name="Normal 28 7 3 6" xfId="33309" xr:uid="{00000000-0005-0000-0000-0000657F0000}"/>
    <cellStyle name="Normal 28 7 4" xfId="33310" xr:uid="{00000000-0005-0000-0000-0000667F0000}"/>
    <cellStyle name="Normal 28 7 4 2" xfId="33311" xr:uid="{00000000-0005-0000-0000-0000677F0000}"/>
    <cellStyle name="Normal 28 7 4 3" xfId="33312" xr:uid="{00000000-0005-0000-0000-0000687F0000}"/>
    <cellStyle name="Normal 28 7 4 4" xfId="33313" xr:uid="{00000000-0005-0000-0000-0000697F0000}"/>
    <cellStyle name="Normal 28 7 4 5" xfId="33314" xr:uid="{00000000-0005-0000-0000-00006A7F0000}"/>
    <cellStyle name="Normal 28 7 4 6" xfId="33315" xr:uid="{00000000-0005-0000-0000-00006B7F0000}"/>
    <cellStyle name="Normal 28 7 5" xfId="33316" xr:uid="{00000000-0005-0000-0000-00006C7F0000}"/>
    <cellStyle name="Normal 28 7 5 2" xfId="33317" xr:uid="{00000000-0005-0000-0000-00006D7F0000}"/>
    <cellStyle name="Normal 28 7 5 3" xfId="33318" xr:uid="{00000000-0005-0000-0000-00006E7F0000}"/>
    <cellStyle name="Normal 28 7 5 4" xfId="33319" xr:uid="{00000000-0005-0000-0000-00006F7F0000}"/>
    <cellStyle name="Normal 28 7 5 5" xfId="33320" xr:uid="{00000000-0005-0000-0000-0000707F0000}"/>
    <cellStyle name="Normal 28 7 5 6" xfId="33321" xr:uid="{00000000-0005-0000-0000-0000717F0000}"/>
    <cellStyle name="Normal 28 7 6" xfId="33322" xr:uid="{00000000-0005-0000-0000-0000727F0000}"/>
    <cellStyle name="Normal 28 7 6 2" xfId="33323" xr:uid="{00000000-0005-0000-0000-0000737F0000}"/>
    <cellStyle name="Normal 28 7 6 3" xfId="33324" xr:uid="{00000000-0005-0000-0000-0000747F0000}"/>
    <cellStyle name="Normal 28 7 6 4" xfId="33325" xr:uid="{00000000-0005-0000-0000-0000757F0000}"/>
    <cellStyle name="Normal 28 7 6 5" xfId="33326" xr:uid="{00000000-0005-0000-0000-0000767F0000}"/>
    <cellStyle name="Normal 28 7 6 6" xfId="33327" xr:uid="{00000000-0005-0000-0000-0000777F0000}"/>
    <cellStyle name="Normal 28 7 7" xfId="33328" xr:uid="{00000000-0005-0000-0000-0000787F0000}"/>
    <cellStyle name="Normal 28 7 7 2" xfId="33329" xr:uid="{00000000-0005-0000-0000-0000797F0000}"/>
    <cellStyle name="Normal 28 7 7 3" xfId="33330" xr:uid="{00000000-0005-0000-0000-00007A7F0000}"/>
    <cellStyle name="Normal 28 7 7 4" xfId="33331" xr:uid="{00000000-0005-0000-0000-00007B7F0000}"/>
    <cellStyle name="Normal 28 7 7 5" xfId="33332" xr:uid="{00000000-0005-0000-0000-00007C7F0000}"/>
    <cellStyle name="Normal 28 7 7 6" xfId="33333" xr:uid="{00000000-0005-0000-0000-00007D7F0000}"/>
    <cellStyle name="Normal 28 7 8" xfId="33334" xr:uid="{00000000-0005-0000-0000-00007E7F0000}"/>
    <cellStyle name="Normal 28 7 8 2" xfId="33335" xr:uid="{00000000-0005-0000-0000-00007F7F0000}"/>
    <cellStyle name="Normal 28 7 8 3" xfId="33336" xr:uid="{00000000-0005-0000-0000-0000807F0000}"/>
    <cellStyle name="Normal 28 7 8 4" xfId="33337" xr:uid="{00000000-0005-0000-0000-0000817F0000}"/>
    <cellStyle name="Normal 28 7 8 5" xfId="33338" xr:uid="{00000000-0005-0000-0000-0000827F0000}"/>
    <cellStyle name="Normal 28 7 8 6" xfId="33339" xr:uid="{00000000-0005-0000-0000-0000837F0000}"/>
    <cellStyle name="Normal 28 7 9" xfId="33340" xr:uid="{00000000-0005-0000-0000-0000847F0000}"/>
    <cellStyle name="Normal 28 8" xfId="33341" xr:uid="{00000000-0005-0000-0000-0000857F0000}"/>
    <cellStyle name="Normal 28 8 10" xfId="33342" xr:uid="{00000000-0005-0000-0000-0000867F0000}"/>
    <cellStyle name="Normal 28 8 11" xfId="33343" xr:uid="{00000000-0005-0000-0000-0000877F0000}"/>
    <cellStyle name="Normal 28 8 12" xfId="33344" xr:uid="{00000000-0005-0000-0000-0000887F0000}"/>
    <cellStyle name="Normal 28 8 13" xfId="33345" xr:uid="{00000000-0005-0000-0000-0000897F0000}"/>
    <cellStyle name="Normal 28 8 2" xfId="33346" xr:uid="{00000000-0005-0000-0000-00008A7F0000}"/>
    <cellStyle name="Normal 28 8 2 2" xfId="33347" xr:uid="{00000000-0005-0000-0000-00008B7F0000}"/>
    <cellStyle name="Normal 28 8 2 3" xfId="33348" xr:uid="{00000000-0005-0000-0000-00008C7F0000}"/>
    <cellStyle name="Normal 28 8 2 4" xfId="33349" xr:uid="{00000000-0005-0000-0000-00008D7F0000}"/>
    <cellStyle name="Normal 28 8 2 5" xfId="33350" xr:uid="{00000000-0005-0000-0000-00008E7F0000}"/>
    <cellStyle name="Normal 28 8 2 6" xfId="33351" xr:uid="{00000000-0005-0000-0000-00008F7F0000}"/>
    <cellStyle name="Normal 28 8 3" xfId="33352" xr:uid="{00000000-0005-0000-0000-0000907F0000}"/>
    <cellStyle name="Normal 28 8 3 2" xfId="33353" xr:uid="{00000000-0005-0000-0000-0000917F0000}"/>
    <cellStyle name="Normal 28 8 3 3" xfId="33354" xr:uid="{00000000-0005-0000-0000-0000927F0000}"/>
    <cellStyle name="Normal 28 8 3 4" xfId="33355" xr:uid="{00000000-0005-0000-0000-0000937F0000}"/>
    <cellStyle name="Normal 28 8 3 5" xfId="33356" xr:uid="{00000000-0005-0000-0000-0000947F0000}"/>
    <cellStyle name="Normal 28 8 3 6" xfId="33357" xr:uid="{00000000-0005-0000-0000-0000957F0000}"/>
    <cellStyle name="Normal 28 8 4" xfId="33358" xr:uid="{00000000-0005-0000-0000-0000967F0000}"/>
    <cellStyle name="Normal 28 8 4 2" xfId="33359" xr:uid="{00000000-0005-0000-0000-0000977F0000}"/>
    <cellStyle name="Normal 28 8 4 3" xfId="33360" xr:uid="{00000000-0005-0000-0000-0000987F0000}"/>
    <cellStyle name="Normal 28 8 4 4" xfId="33361" xr:uid="{00000000-0005-0000-0000-0000997F0000}"/>
    <cellStyle name="Normal 28 8 4 5" xfId="33362" xr:uid="{00000000-0005-0000-0000-00009A7F0000}"/>
    <cellStyle name="Normal 28 8 4 6" xfId="33363" xr:uid="{00000000-0005-0000-0000-00009B7F0000}"/>
    <cellStyle name="Normal 28 8 5" xfId="33364" xr:uid="{00000000-0005-0000-0000-00009C7F0000}"/>
    <cellStyle name="Normal 28 8 5 2" xfId="33365" xr:uid="{00000000-0005-0000-0000-00009D7F0000}"/>
    <cellStyle name="Normal 28 8 5 3" xfId="33366" xr:uid="{00000000-0005-0000-0000-00009E7F0000}"/>
    <cellStyle name="Normal 28 8 5 4" xfId="33367" xr:uid="{00000000-0005-0000-0000-00009F7F0000}"/>
    <cellStyle name="Normal 28 8 5 5" xfId="33368" xr:uid="{00000000-0005-0000-0000-0000A07F0000}"/>
    <cellStyle name="Normal 28 8 5 6" xfId="33369" xr:uid="{00000000-0005-0000-0000-0000A17F0000}"/>
    <cellStyle name="Normal 28 8 6" xfId="33370" xr:uid="{00000000-0005-0000-0000-0000A27F0000}"/>
    <cellStyle name="Normal 28 8 6 2" xfId="33371" xr:uid="{00000000-0005-0000-0000-0000A37F0000}"/>
    <cellStyle name="Normal 28 8 6 3" xfId="33372" xr:uid="{00000000-0005-0000-0000-0000A47F0000}"/>
    <cellStyle name="Normal 28 8 6 4" xfId="33373" xr:uid="{00000000-0005-0000-0000-0000A57F0000}"/>
    <cellStyle name="Normal 28 8 6 5" xfId="33374" xr:uid="{00000000-0005-0000-0000-0000A67F0000}"/>
    <cellStyle name="Normal 28 8 6 6" xfId="33375" xr:uid="{00000000-0005-0000-0000-0000A77F0000}"/>
    <cellStyle name="Normal 28 8 7" xfId="33376" xr:uid="{00000000-0005-0000-0000-0000A87F0000}"/>
    <cellStyle name="Normal 28 8 7 2" xfId="33377" xr:uid="{00000000-0005-0000-0000-0000A97F0000}"/>
    <cellStyle name="Normal 28 8 7 3" xfId="33378" xr:uid="{00000000-0005-0000-0000-0000AA7F0000}"/>
    <cellStyle name="Normal 28 8 7 4" xfId="33379" xr:uid="{00000000-0005-0000-0000-0000AB7F0000}"/>
    <cellStyle name="Normal 28 8 7 5" xfId="33380" xr:uid="{00000000-0005-0000-0000-0000AC7F0000}"/>
    <cellStyle name="Normal 28 8 7 6" xfId="33381" xr:uid="{00000000-0005-0000-0000-0000AD7F0000}"/>
    <cellStyle name="Normal 28 8 8" xfId="33382" xr:uid="{00000000-0005-0000-0000-0000AE7F0000}"/>
    <cellStyle name="Normal 28 8 8 2" xfId="33383" xr:uid="{00000000-0005-0000-0000-0000AF7F0000}"/>
    <cellStyle name="Normal 28 8 8 3" xfId="33384" xr:uid="{00000000-0005-0000-0000-0000B07F0000}"/>
    <cellStyle name="Normal 28 8 8 4" xfId="33385" xr:uid="{00000000-0005-0000-0000-0000B17F0000}"/>
    <cellStyle name="Normal 28 8 8 5" xfId="33386" xr:uid="{00000000-0005-0000-0000-0000B27F0000}"/>
    <cellStyle name="Normal 28 8 8 6" xfId="33387" xr:uid="{00000000-0005-0000-0000-0000B37F0000}"/>
    <cellStyle name="Normal 28 8 9" xfId="33388" xr:uid="{00000000-0005-0000-0000-0000B47F0000}"/>
    <cellStyle name="Normal 28 9" xfId="33389" xr:uid="{00000000-0005-0000-0000-0000B57F0000}"/>
    <cellStyle name="Normal 28 9 10" xfId="33390" xr:uid="{00000000-0005-0000-0000-0000B67F0000}"/>
    <cellStyle name="Normal 28 9 11" xfId="33391" xr:uid="{00000000-0005-0000-0000-0000B77F0000}"/>
    <cellStyle name="Normal 28 9 12" xfId="33392" xr:uid="{00000000-0005-0000-0000-0000B87F0000}"/>
    <cellStyle name="Normal 28 9 13" xfId="33393" xr:uid="{00000000-0005-0000-0000-0000B97F0000}"/>
    <cellStyle name="Normal 28 9 2" xfId="33394" xr:uid="{00000000-0005-0000-0000-0000BA7F0000}"/>
    <cellStyle name="Normal 28 9 2 2" xfId="33395" xr:uid="{00000000-0005-0000-0000-0000BB7F0000}"/>
    <cellStyle name="Normal 28 9 2 3" xfId="33396" xr:uid="{00000000-0005-0000-0000-0000BC7F0000}"/>
    <cellStyle name="Normal 28 9 2 4" xfId="33397" xr:uid="{00000000-0005-0000-0000-0000BD7F0000}"/>
    <cellStyle name="Normal 28 9 2 5" xfId="33398" xr:uid="{00000000-0005-0000-0000-0000BE7F0000}"/>
    <cellStyle name="Normal 28 9 2 6" xfId="33399" xr:uid="{00000000-0005-0000-0000-0000BF7F0000}"/>
    <cellStyle name="Normal 28 9 3" xfId="33400" xr:uid="{00000000-0005-0000-0000-0000C07F0000}"/>
    <cellStyle name="Normal 28 9 3 2" xfId="33401" xr:uid="{00000000-0005-0000-0000-0000C17F0000}"/>
    <cellStyle name="Normal 28 9 3 3" xfId="33402" xr:uid="{00000000-0005-0000-0000-0000C27F0000}"/>
    <cellStyle name="Normal 28 9 3 4" xfId="33403" xr:uid="{00000000-0005-0000-0000-0000C37F0000}"/>
    <cellStyle name="Normal 28 9 3 5" xfId="33404" xr:uid="{00000000-0005-0000-0000-0000C47F0000}"/>
    <cellStyle name="Normal 28 9 3 6" xfId="33405" xr:uid="{00000000-0005-0000-0000-0000C57F0000}"/>
    <cellStyle name="Normal 28 9 4" xfId="33406" xr:uid="{00000000-0005-0000-0000-0000C67F0000}"/>
    <cellStyle name="Normal 28 9 4 2" xfId="33407" xr:uid="{00000000-0005-0000-0000-0000C77F0000}"/>
    <cellStyle name="Normal 28 9 4 3" xfId="33408" xr:uid="{00000000-0005-0000-0000-0000C87F0000}"/>
    <cellStyle name="Normal 28 9 4 4" xfId="33409" xr:uid="{00000000-0005-0000-0000-0000C97F0000}"/>
    <cellStyle name="Normal 28 9 4 5" xfId="33410" xr:uid="{00000000-0005-0000-0000-0000CA7F0000}"/>
    <cellStyle name="Normal 28 9 4 6" xfId="33411" xr:uid="{00000000-0005-0000-0000-0000CB7F0000}"/>
    <cellStyle name="Normal 28 9 5" xfId="33412" xr:uid="{00000000-0005-0000-0000-0000CC7F0000}"/>
    <cellStyle name="Normal 28 9 5 2" xfId="33413" xr:uid="{00000000-0005-0000-0000-0000CD7F0000}"/>
    <cellStyle name="Normal 28 9 5 3" xfId="33414" xr:uid="{00000000-0005-0000-0000-0000CE7F0000}"/>
    <cellStyle name="Normal 28 9 5 4" xfId="33415" xr:uid="{00000000-0005-0000-0000-0000CF7F0000}"/>
    <cellStyle name="Normal 28 9 5 5" xfId="33416" xr:uid="{00000000-0005-0000-0000-0000D07F0000}"/>
    <cellStyle name="Normal 28 9 5 6" xfId="33417" xr:uid="{00000000-0005-0000-0000-0000D17F0000}"/>
    <cellStyle name="Normal 28 9 6" xfId="33418" xr:uid="{00000000-0005-0000-0000-0000D27F0000}"/>
    <cellStyle name="Normal 28 9 6 2" xfId="33419" xr:uid="{00000000-0005-0000-0000-0000D37F0000}"/>
    <cellStyle name="Normal 28 9 6 3" xfId="33420" xr:uid="{00000000-0005-0000-0000-0000D47F0000}"/>
    <cellStyle name="Normal 28 9 6 4" xfId="33421" xr:uid="{00000000-0005-0000-0000-0000D57F0000}"/>
    <cellStyle name="Normal 28 9 6 5" xfId="33422" xr:uid="{00000000-0005-0000-0000-0000D67F0000}"/>
    <cellStyle name="Normal 28 9 6 6" xfId="33423" xr:uid="{00000000-0005-0000-0000-0000D77F0000}"/>
    <cellStyle name="Normal 28 9 7" xfId="33424" xr:uid="{00000000-0005-0000-0000-0000D87F0000}"/>
    <cellStyle name="Normal 28 9 7 2" xfId="33425" xr:uid="{00000000-0005-0000-0000-0000D97F0000}"/>
    <cellStyle name="Normal 28 9 7 3" xfId="33426" xr:uid="{00000000-0005-0000-0000-0000DA7F0000}"/>
    <cellStyle name="Normal 28 9 7 4" xfId="33427" xr:uid="{00000000-0005-0000-0000-0000DB7F0000}"/>
    <cellStyle name="Normal 28 9 7 5" xfId="33428" xr:uid="{00000000-0005-0000-0000-0000DC7F0000}"/>
    <cellStyle name="Normal 28 9 7 6" xfId="33429" xr:uid="{00000000-0005-0000-0000-0000DD7F0000}"/>
    <cellStyle name="Normal 28 9 8" xfId="33430" xr:uid="{00000000-0005-0000-0000-0000DE7F0000}"/>
    <cellStyle name="Normal 28 9 8 2" xfId="33431" xr:uid="{00000000-0005-0000-0000-0000DF7F0000}"/>
    <cellStyle name="Normal 28 9 8 3" xfId="33432" xr:uid="{00000000-0005-0000-0000-0000E07F0000}"/>
    <cellStyle name="Normal 28 9 8 4" xfId="33433" xr:uid="{00000000-0005-0000-0000-0000E17F0000}"/>
    <cellStyle name="Normal 28 9 8 5" xfId="33434" xr:uid="{00000000-0005-0000-0000-0000E27F0000}"/>
    <cellStyle name="Normal 28 9 8 6" xfId="33435" xr:uid="{00000000-0005-0000-0000-0000E37F0000}"/>
    <cellStyle name="Normal 28 9 9" xfId="33436" xr:uid="{00000000-0005-0000-0000-0000E47F0000}"/>
    <cellStyle name="Normal 29" xfId="1809" xr:uid="{00000000-0005-0000-0000-0000E57F0000}"/>
    <cellStyle name="Normal 29 10" xfId="33437" xr:uid="{00000000-0005-0000-0000-0000E67F0000}"/>
    <cellStyle name="Normal 29 11" xfId="33438" xr:uid="{00000000-0005-0000-0000-0000E77F0000}"/>
    <cellStyle name="Normal 29 12" xfId="33439" xr:uid="{00000000-0005-0000-0000-0000E87F0000}"/>
    <cellStyle name="Normal 29 13" xfId="33440" xr:uid="{00000000-0005-0000-0000-0000E97F0000}"/>
    <cellStyle name="Normal 29 14" xfId="33441" xr:uid="{00000000-0005-0000-0000-0000EA7F0000}"/>
    <cellStyle name="Normal 29 15" xfId="33442" xr:uid="{00000000-0005-0000-0000-0000EB7F0000}"/>
    <cellStyle name="Normal 29 16" xfId="33443" xr:uid="{00000000-0005-0000-0000-0000EC7F0000}"/>
    <cellStyle name="Normal 29 17" xfId="33444" xr:uid="{00000000-0005-0000-0000-0000ED7F0000}"/>
    <cellStyle name="Normal 29 18" xfId="33445" xr:uid="{00000000-0005-0000-0000-0000EE7F0000}"/>
    <cellStyle name="Normal 29 19" xfId="33446" xr:uid="{00000000-0005-0000-0000-0000EF7F0000}"/>
    <cellStyle name="Normal 29 2" xfId="1883" xr:uid="{00000000-0005-0000-0000-0000F07F0000}"/>
    <cellStyle name="Normal 29 2 2" xfId="2071" xr:uid="{00000000-0005-0000-0000-0000F17F0000}"/>
    <cellStyle name="Normal 29 2 2 2" xfId="2529" xr:uid="{00000000-0005-0000-0000-0000F27F0000}"/>
    <cellStyle name="Normal 29 2 2 3" xfId="43344" xr:uid="{00000000-0005-0000-0000-0000F37F0000}"/>
    <cellStyle name="Normal 29 2 3" xfId="2530" xr:uid="{00000000-0005-0000-0000-0000F47F0000}"/>
    <cellStyle name="Normal 29 2 3 2" xfId="43345" xr:uid="{00000000-0005-0000-0000-0000F57F0000}"/>
    <cellStyle name="Normal 29 2 4" xfId="2433" xr:uid="{00000000-0005-0000-0000-0000F67F0000}"/>
    <cellStyle name="Normal 29 2 5" xfId="2405" xr:uid="{00000000-0005-0000-0000-0000F77F0000}"/>
    <cellStyle name="Normal 29 2 6" xfId="43250" xr:uid="{00000000-0005-0000-0000-0000F87F0000}"/>
    <cellStyle name="Normal 29 20" xfId="33447" xr:uid="{00000000-0005-0000-0000-0000F97F0000}"/>
    <cellStyle name="Normal 29 21" xfId="33448" xr:uid="{00000000-0005-0000-0000-0000FA7F0000}"/>
    <cellStyle name="Normal 29 22" xfId="33449" xr:uid="{00000000-0005-0000-0000-0000FB7F0000}"/>
    <cellStyle name="Normal 29 23" xfId="33450" xr:uid="{00000000-0005-0000-0000-0000FC7F0000}"/>
    <cellStyle name="Normal 29 24" xfId="33451" xr:uid="{00000000-0005-0000-0000-0000FD7F0000}"/>
    <cellStyle name="Normal 29 25" xfId="33452" xr:uid="{00000000-0005-0000-0000-0000FE7F0000}"/>
    <cellStyle name="Normal 29 26" xfId="33453" xr:uid="{00000000-0005-0000-0000-0000FF7F0000}"/>
    <cellStyle name="Normal 29 27" xfId="33454" xr:uid="{00000000-0005-0000-0000-000000800000}"/>
    <cellStyle name="Normal 29 28" xfId="33455" xr:uid="{00000000-0005-0000-0000-000001800000}"/>
    <cellStyle name="Normal 29 29" xfId="33456" xr:uid="{00000000-0005-0000-0000-000002800000}"/>
    <cellStyle name="Normal 29 3" xfId="2022" xr:uid="{00000000-0005-0000-0000-000003800000}"/>
    <cellStyle name="Normal 29 3 2" xfId="2531" xr:uid="{00000000-0005-0000-0000-000004800000}"/>
    <cellStyle name="Normal 29 3 3" xfId="43346" xr:uid="{00000000-0005-0000-0000-000005800000}"/>
    <cellStyle name="Normal 29 30" xfId="33457" xr:uid="{00000000-0005-0000-0000-000006800000}"/>
    <cellStyle name="Normal 29 31" xfId="33458" xr:uid="{00000000-0005-0000-0000-000007800000}"/>
    <cellStyle name="Normal 29 32" xfId="33459" xr:uid="{00000000-0005-0000-0000-000008800000}"/>
    <cellStyle name="Normal 29 33" xfId="33460" xr:uid="{00000000-0005-0000-0000-000009800000}"/>
    <cellStyle name="Normal 29 34" xfId="33461" xr:uid="{00000000-0005-0000-0000-00000A800000}"/>
    <cellStyle name="Normal 29 35" xfId="33462" xr:uid="{00000000-0005-0000-0000-00000B800000}"/>
    <cellStyle name="Normal 29 36" xfId="33463" xr:uid="{00000000-0005-0000-0000-00000C800000}"/>
    <cellStyle name="Normal 29 37" xfId="33464" xr:uid="{00000000-0005-0000-0000-00000D800000}"/>
    <cellStyle name="Normal 29 38" xfId="33465" xr:uid="{00000000-0005-0000-0000-00000E800000}"/>
    <cellStyle name="Normal 29 39" xfId="33466" xr:uid="{00000000-0005-0000-0000-00000F800000}"/>
    <cellStyle name="Normal 29 4" xfId="2532" xr:uid="{00000000-0005-0000-0000-000010800000}"/>
    <cellStyle name="Normal 29 4 2" xfId="43347" xr:uid="{00000000-0005-0000-0000-000011800000}"/>
    <cellStyle name="Normal 29 40" xfId="33467" xr:uid="{00000000-0005-0000-0000-000012800000}"/>
    <cellStyle name="Normal 29 41" xfId="33468" xr:uid="{00000000-0005-0000-0000-000013800000}"/>
    <cellStyle name="Normal 29 42" xfId="33469" xr:uid="{00000000-0005-0000-0000-000014800000}"/>
    <cellStyle name="Normal 29 43" xfId="33470" xr:uid="{00000000-0005-0000-0000-000015800000}"/>
    <cellStyle name="Normal 29 44" xfId="43249" xr:uid="{00000000-0005-0000-0000-000016800000}"/>
    <cellStyle name="Normal 29 5" xfId="2432" xr:uid="{00000000-0005-0000-0000-000017800000}"/>
    <cellStyle name="Normal 29 6" xfId="2373" xr:uid="{00000000-0005-0000-0000-000018800000}"/>
    <cellStyle name="Normal 29 7" xfId="33471" xr:uid="{00000000-0005-0000-0000-000019800000}"/>
    <cellStyle name="Normal 29 8" xfId="33472" xr:uid="{00000000-0005-0000-0000-00001A800000}"/>
    <cellStyle name="Normal 29 9" xfId="33473" xr:uid="{00000000-0005-0000-0000-00001B800000}"/>
    <cellStyle name="Normal 3" xfId="827" xr:uid="{00000000-0005-0000-0000-00001C800000}"/>
    <cellStyle name="Normal 3 10" xfId="33474" xr:uid="{00000000-0005-0000-0000-00001D800000}"/>
    <cellStyle name="Normal 3 11" xfId="33475" xr:uid="{00000000-0005-0000-0000-00001E800000}"/>
    <cellStyle name="Normal 3 12" xfId="33476" xr:uid="{00000000-0005-0000-0000-00001F800000}"/>
    <cellStyle name="Normal 3 13" xfId="33477" xr:uid="{00000000-0005-0000-0000-000020800000}"/>
    <cellStyle name="Normal 3 14" xfId="33478" xr:uid="{00000000-0005-0000-0000-000021800000}"/>
    <cellStyle name="Normal 3 15" xfId="33479" xr:uid="{00000000-0005-0000-0000-000022800000}"/>
    <cellStyle name="Normal 3 16" xfId="33480" xr:uid="{00000000-0005-0000-0000-000023800000}"/>
    <cellStyle name="Normal 3 17" xfId="33481" xr:uid="{00000000-0005-0000-0000-000024800000}"/>
    <cellStyle name="Normal 3 18" xfId="33482" xr:uid="{00000000-0005-0000-0000-000025800000}"/>
    <cellStyle name="Normal 3 19" xfId="33483" xr:uid="{00000000-0005-0000-0000-000026800000}"/>
    <cellStyle name="Normal 3 2" xfId="1067" xr:uid="{00000000-0005-0000-0000-000027800000}"/>
    <cellStyle name="Normal 3 2 10" xfId="33484" xr:uid="{00000000-0005-0000-0000-000028800000}"/>
    <cellStyle name="Normal 3 2 11" xfId="33485" xr:uid="{00000000-0005-0000-0000-000029800000}"/>
    <cellStyle name="Normal 3 2 12" xfId="33486" xr:uid="{00000000-0005-0000-0000-00002A800000}"/>
    <cellStyle name="Normal 3 2 13" xfId="33487" xr:uid="{00000000-0005-0000-0000-00002B800000}"/>
    <cellStyle name="Normal 3 2 14" xfId="33488" xr:uid="{00000000-0005-0000-0000-00002C800000}"/>
    <cellStyle name="Normal 3 2 15" xfId="33489" xr:uid="{00000000-0005-0000-0000-00002D800000}"/>
    <cellStyle name="Normal 3 2 16" xfId="33490" xr:uid="{00000000-0005-0000-0000-00002E800000}"/>
    <cellStyle name="Normal 3 2 17" xfId="33491" xr:uid="{00000000-0005-0000-0000-00002F800000}"/>
    <cellStyle name="Normal 3 2 18" xfId="33492" xr:uid="{00000000-0005-0000-0000-000030800000}"/>
    <cellStyle name="Normal 3 2 19" xfId="33493" xr:uid="{00000000-0005-0000-0000-000031800000}"/>
    <cellStyle name="Normal 3 2 2" xfId="33494" xr:uid="{00000000-0005-0000-0000-000032800000}"/>
    <cellStyle name="Normal 3 2 20" xfId="33495" xr:uid="{00000000-0005-0000-0000-000033800000}"/>
    <cellStyle name="Normal 3 2 21" xfId="33496" xr:uid="{00000000-0005-0000-0000-000034800000}"/>
    <cellStyle name="Normal 3 2 22" xfId="33497" xr:uid="{00000000-0005-0000-0000-000035800000}"/>
    <cellStyle name="Normal 3 2 23" xfId="33498" xr:uid="{00000000-0005-0000-0000-000036800000}"/>
    <cellStyle name="Normal 3 2 24" xfId="33499" xr:uid="{00000000-0005-0000-0000-000037800000}"/>
    <cellStyle name="Normal 3 2 25" xfId="33500" xr:uid="{00000000-0005-0000-0000-000038800000}"/>
    <cellStyle name="Normal 3 2 26" xfId="33501" xr:uid="{00000000-0005-0000-0000-000039800000}"/>
    <cellStyle name="Normal 3 2 27" xfId="33502" xr:uid="{00000000-0005-0000-0000-00003A800000}"/>
    <cellStyle name="Normal 3 2 28" xfId="33503" xr:uid="{00000000-0005-0000-0000-00003B800000}"/>
    <cellStyle name="Normal 3 2 29" xfId="33504" xr:uid="{00000000-0005-0000-0000-00003C800000}"/>
    <cellStyle name="Normal 3 2 3" xfId="33505" xr:uid="{00000000-0005-0000-0000-00003D800000}"/>
    <cellStyle name="Normal 3 2 30" xfId="33506" xr:uid="{00000000-0005-0000-0000-00003E800000}"/>
    <cellStyle name="Normal 3 2 31" xfId="33507" xr:uid="{00000000-0005-0000-0000-00003F800000}"/>
    <cellStyle name="Normal 3 2 32" xfId="33508" xr:uid="{00000000-0005-0000-0000-000040800000}"/>
    <cellStyle name="Normal 3 2 33" xfId="33509" xr:uid="{00000000-0005-0000-0000-000041800000}"/>
    <cellStyle name="Normal 3 2 34" xfId="33510" xr:uid="{00000000-0005-0000-0000-000042800000}"/>
    <cellStyle name="Normal 3 2 35" xfId="33511" xr:uid="{00000000-0005-0000-0000-000043800000}"/>
    <cellStyle name="Normal 3 2 36" xfId="33512" xr:uid="{00000000-0005-0000-0000-000044800000}"/>
    <cellStyle name="Normal 3 2 37" xfId="33513" xr:uid="{00000000-0005-0000-0000-000045800000}"/>
    <cellStyle name="Normal 3 2 38" xfId="33514" xr:uid="{00000000-0005-0000-0000-000046800000}"/>
    <cellStyle name="Normal 3 2 39" xfId="33515" xr:uid="{00000000-0005-0000-0000-000047800000}"/>
    <cellStyle name="Normal 3 2 4" xfId="33516" xr:uid="{00000000-0005-0000-0000-000048800000}"/>
    <cellStyle name="Normal 3 2 40" xfId="33517" xr:uid="{00000000-0005-0000-0000-000049800000}"/>
    <cellStyle name="Normal 3 2 41" xfId="33518" xr:uid="{00000000-0005-0000-0000-00004A800000}"/>
    <cellStyle name="Normal 3 2 42" xfId="33519" xr:uid="{00000000-0005-0000-0000-00004B800000}"/>
    <cellStyle name="Normal 3 2 43" xfId="33520" xr:uid="{00000000-0005-0000-0000-00004C800000}"/>
    <cellStyle name="Normal 3 2 44" xfId="33521" xr:uid="{00000000-0005-0000-0000-00004D800000}"/>
    <cellStyle name="Normal 3 2 45" xfId="33522" xr:uid="{00000000-0005-0000-0000-00004E800000}"/>
    <cellStyle name="Normal 3 2 46" xfId="33523" xr:uid="{00000000-0005-0000-0000-00004F800000}"/>
    <cellStyle name="Normal 3 2 5" xfId="33524" xr:uid="{00000000-0005-0000-0000-000050800000}"/>
    <cellStyle name="Normal 3 2 6" xfId="33525" xr:uid="{00000000-0005-0000-0000-000051800000}"/>
    <cellStyle name="Normal 3 2 7" xfId="33526" xr:uid="{00000000-0005-0000-0000-000052800000}"/>
    <cellStyle name="Normal 3 2 8" xfId="33527" xr:uid="{00000000-0005-0000-0000-000053800000}"/>
    <cellStyle name="Normal 3 2 9" xfId="33528" xr:uid="{00000000-0005-0000-0000-000054800000}"/>
    <cellStyle name="Normal 3 20" xfId="33529" xr:uid="{00000000-0005-0000-0000-000055800000}"/>
    <cellStyle name="Normal 3 21" xfId="33530" xr:uid="{00000000-0005-0000-0000-000056800000}"/>
    <cellStyle name="Normal 3 22" xfId="33531" xr:uid="{00000000-0005-0000-0000-000057800000}"/>
    <cellStyle name="Normal 3 23" xfId="33532" xr:uid="{00000000-0005-0000-0000-000058800000}"/>
    <cellStyle name="Normal 3 24" xfId="33533" xr:uid="{00000000-0005-0000-0000-000059800000}"/>
    <cellStyle name="Normal 3 25" xfId="33534" xr:uid="{00000000-0005-0000-0000-00005A800000}"/>
    <cellStyle name="Normal 3 26" xfId="33535" xr:uid="{00000000-0005-0000-0000-00005B800000}"/>
    <cellStyle name="Normal 3 27" xfId="33536" xr:uid="{00000000-0005-0000-0000-00005C800000}"/>
    <cellStyle name="Normal 3 28" xfId="33537" xr:uid="{00000000-0005-0000-0000-00005D800000}"/>
    <cellStyle name="Normal 3 29" xfId="33538" xr:uid="{00000000-0005-0000-0000-00005E800000}"/>
    <cellStyle name="Normal 3 3" xfId="1068" xr:uid="{00000000-0005-0000-0000-00005F800000}"/>
    <cellStyle name="Normal 3 3 2" xfId="33539" xr:uid="{00000000-0005-0000-0000-000060800000}"/>
    <cellStyle name="Normal 3 30" xfId="33540" xr:uid="{00000000-0005-0000-0000-000061800000}"/>
    <cellStyle name="Normal 3 31" xfId="33541" xr:uid="{00000000-0005-0000-0000-000062800000}"/>
    <cellStyle name="Normal 3 32" xfId="33542" xr:uid="{00000000-0005-0000-0000-000063800000}"/>
    <cellStyle name="Normal 3 33" xfId="33543" xr:uid="{00000000-0005-0000-0000-000064800000}"/>
    <cellStyle name="Normal 3 34" xfId="33544" xr:uid="{00000000-0005-0000-0000-000065800000}"/>
    <cellStyle name="Normal 3 35" xfId="33545" xr:uid="{00000000-0005-0000-0000-000066800000}"/>
    <cellStyle name="Normal 3 36" xfId="33546" xr:uid="{00000000-0005-0000-0000-000067800000}"/>
    <cellStyle name="Normal 3 37" xfId="33547" xr:uid="{00000000-0005-0000-0000-000068800000}"/>
    <cellStyle name="Normal 3 38" xfId="33548" xr:uid="{00000000-0005-0000-0000-000069800000}"/>
    <cellStyle name="Normal 3 39" xfId="33549" xr:uid="{00000000-0005-0000-0000-00006A800000}"/>
    <cellStyle name="Normal 3 4" xfId="1771" xr:uid="{00000000-0005-0000-0000-00006B800000}"/>
    <cellStyle name="Normal 3 4 2" xfId="33550" xr:uid="{00000000-0005-0000-0000-00006C800000}"/>
    <cellStyle name="Normal 3 40" xfId="33551" xr:uid="{00000000-0005-0000-0000-00006D800000}"/>
    <cellStyle name="Normal 3 41" xfId="33552" xr:uid="{00000000-0005-0000-0000-00006E800000}"/>
    <cellStyle name="Normal 3 42" xfId="33553" xr:uid="{00000000-0005-0000-0000-00006F800000}"/>
    <cellStyle name="Normal 3 43" xfId="33554" xr:uid="{00000000-0005-0000-0000-000070800000}"/>
    <cellStyle name="Normal 3 44" xfId="33555" xr:uid="{00000000-0005-0000-0000-000071800000}"/>
    <cellStyle name="Normal 3 45" xfId="33556" xr:uid="{00000000-0005-0000-0000-000072800000}"/>
    <cellStyle name="Normal 3 46" xfId="33557" xr:uid="{00000000-0005-0000-0000-000073800000}"/>
    <cellStyle name="Normal 3 47" xfId="33558" xr:uid="{00000000-0005-0000-0000-000074800000}"/>
    <cellStyle name="Normal 3 48" xfId="33559" xr:uid="{00000000-0005-0000-0000-000075800000}"/>
    <cellStyle name="Normal 3 49" xfId="33560" xr:uid="{00000000-0005-0000-0000-000076800000}"/>
    <cellStyle name="Normal 3 5" xfId="33561" xr:uid="{00000000-0005-0000-0000-000077800000}"/>
    <cellStyle name="Normal 3 5 2" xfId="33562" xr:uid="{00000000-0005-0000-0000-000078800000}"/>
    <cellStyle name="Normal 3 5 3" xfId="33563" xr:uid="{00000000-0005-0000-0000-000079800000}"/>
    <cellStyle name="Normal 3 50" xfId="33564" xr:uid="{00000000-0005-0000-0000-00007A800000}"/>
    <cellStyle name="Normal 3 51" xfId="33565" xr:uid="{00000000-0005-0000-0000-00007B800000}"/>
    <cellStyle name="Normal 3 6" xfId="33566" xr:uid="{00000000-0005-0000-0000-00007C800000}"/>
    <cellStyle name="Normal 3 6 2" xfId="33567" xr:uid="{00000000-0005-0000-0000-00007D800000}"/>
    <cellStyle name="Normal 3 7" xfId="33568" xr:uid="{00000000-0005-0000-0000-00007E800000}"/>
    <cellStyle name="Normal 3 7 2" xfId="33569" xr:uid="{00000000-0005-0000-0000-00007F800000}"/>
    <cellStyle name="Normal 3 7 2 2" xfId="33570" xr:uid="{00000000-0005-0000-0000-000080800000}"/>
    <cellStyle name="Normal 3 7 2 2 2" xfId="33571" xr:uid="{00000000-0005-0000-0000-000081800000}"/>
    <cellStyle name="Normal 3 7 2 2 2 2" xfId="33572" xr:uid="{00000000-0005-0000-0000-000082800000}"/>
    <cellStyle name="Normal 3 7 2 2 3" xfId="33573" xr:uid="{00000000-0005-0000-0000-000083800000}"/>
    <cellStyle name="Normal 3 7 2 3" xfId="33574" xr:uid="{00000000-0005-0000-0000-000084800000}"/>
    <cellStyle name="Normal 3 7 2 3 2" xfId="33575" xr:uid="{00000000-0005-0000-0000-000085800000}"/>
    <cellStyle name="Normal 3 7 3" xfId="33576" xr:uid="{00000000-0005-0000-0000-000086800000}"/>
    <cellStyle name="Normal 3 7 4" xfId="33577" xr:uid="{00000000-0005-0000-0000-000087800000}"/>
    <cellStyle name="Normal 3 7 4 2" xfId="33578" xr:uid="{00000000-0005-0000-0000-000088800000}"/>
    <cellStyle name="Normal 3 7 5" xfId="33579" xr:uid="{00000000-0005-0000-0000-000089800000}"/>
    <cellStyle name="Normal 3 8" xfId="33580" xr:uid="{00000000-0005-0000-0000-00008A800000}"/>
    <cellStyle name="Normal 3 9" xfId="33581" xr:uid="{00000000-0005-0000-0000-00008B800000}"/>
    <cellStyle name="Normal 3_IRT_Planilha Básica_ v2010_CERRP" xfId="1772" xr:uid="{00000000-0005-0000-0000-00008C800000}"/>
    <cellStyle name="Normal 30" xfId="1812" xr:uid="{00000000-0005-0000-0000-00008D800000}"/>
    <cellStyle name="Normal 30 10" xfId="33582" xr:uid="{00000000-0005-0000-0000-00008E800000}"/>
    <cellStyle name="Normal 30 10 10" xfId="33583" xr:uid="{00000000-0005-0000-0000-00008F800000}"/>
    <cellStyle name="Normal 30 10 11" xfId="33584" xr:uid="{00000000-0005-0000-0000-000090800000}"/>
    <cellStyle name="Normal 30 10 12" xfId="33585" xr:uid="{00000000-0005-0000-0000-000091800000}"/>
    <cellStyle name="Normal 30 10 13" xfId="33586" xr:uid="{00000000-0005-0000-0000-000092800000}"/>
    <cellStyle name="Normal 30 10 2" xfId="33587" xr:uid="{00000000-0005-0000-0000-000093800000}"/>
    <cellStyle name="Normal 30 10 2 2" xfId="33588" xr:uid="{00000000-0005-0000-0000-000094800000}"/>
    <cellStyle name="Normal 30 10 2 3" xfId="33589" xr:uid="{00000000-0005-0000-0000-000095800000}"/>
    <cellStyle name="Normal 30 10 2 4" xfId="33590" xr:uid="{00000000-0005-0000-0000-000096800000}"/>
    <cellStyle name="Normal 30 10 2 5" xfId="33591" xr:uid="{00000000-0005-0000-0000-000097800000}"/>
    <cellStyle name="Normal 30 10 2 6" xfId="33592" xr:uid="{00000000-0005-0000-0000-000098800000}"/>
    <cellStyle name="Normal 30 10 3" xfId="33593" xr:uid="{00000000-0005-0000-0000-000099800000}"/>
    <cellStyle name="Normal 30 10 3 2" xfId="33594" xr:uid="{00000000-0005-0000-0000-00009A800000}"/>
    <cellStyle name="Normal 30 10 3 3" xfId="33595" xr:uid="{00000000-0005-0000-0000-00009B800000}"/>
    <cellStyle name="Normal 30 10 3 4" xfId="33596" xr:uid="{00000000-0005-0000-0000-00009C800000}"/>
    <cellStyle name="Normal 30 10 3 5" xfId="33597" xr:uid="{00000000-0005-0000-0000-00009D800000}"/>
    <cellStyle name="Normal 30 10 3 6" xfId="33598" xr:uid="{00000000-0005-0000-0000-00009E800000}"/>
    <cellStyle name="Normal 30 10 4" xfId="33599" xr:uid="{00000000-0005-0000-0000-00009F800000}"/>
    <cellStyle name="Normal 30 10 4 2" xfId="33600" xr:uid="{00000000-0005-0000-0000-0000A0800000}"/>
    <cellStyle name="Normal 30 10 4 3" xfId="33601" xr:uid="{00000000-0005-0000-0000-0000A1800000}"/>
    <cellStyle name="Normal 30 10 4 4" xfId="33602" xr:uid="{00000000-0005-0000-0000-0000A2800000}"/>
    <cellStyle name="Normal 30 10 4 5" xfId="33603" xr:uid="{00000000-0005-0000-0000-0000A3800000}"/>
    <cellStyle name="Normal 30 10 4 6" xfId="33604" xr:uid="{00000000-0005-0000-0000-0000A4800000}"/>
    <cellStyle name="Normal 30 10 5" xfId="33605" xr:uid="{00000000-0005-0000-0000-0000A5800000}"/>
    <cellStyle name="Normal 30 10 5 2" xfId="33606" xr:uid="{00000000-0005-0000-0000-0000A6800000}"/>
    <cellStyle name="Normal 30 10 5 3" xfId="33607" xr:uid="{00000000-0005-0000-0000-0000A7800000}"/>
    <cellStyle name="Normal 30 10 5 4" xfId="33608" xr:uid="{00000000-0005-0000-0000-0000A8800000}"/>
    <cellStyle name="Normal 30 10 5 5" xfId="33609" xr:uid="{00000000-0005-0000-0000-0000A9800000}"/>
    <cellStyle name="Normal 30 10 5 6" xfId="33610" xr:uid="{00000000-0005-0000-0000-0000AA800000}"/>
    <cellStyle name="Normal 30 10 6" xfId="33611" xr:uid="{00000000-0005-0000-0000-0000AB800000}"/>
    <cellStyle name="Normal 30 10 6 2" xfId="33612" xr:uid="{00000000-0005-0000-0000-0000AC800000}"/>
    <cellStyle name="Normal 30 10 6 3" xfId="33613" xr:uid="{00000000-0005-0000-0000-0000AD800000}"/>
    <cellStyle name="Normal 30 10 6 4" xfId="33614" xr:uid="{00000000-0005-0000-0000-0000AE800000}"/>
    <cellStyle name="Normal 30 10 6 5" xfId="33615" xr:uid="{00000000-0005-0000-0000-0000AF800000}"/>
    <cellStyle name="Normal 30 10 6 6" xfId="33616" xr:uid="{00000000-0005-0000-0000-0000B0800000}"/>
    <cellStyle name="Normal 30 10 7" xfId="33617" xr:uid="{00000000-0005-0000-0000-0000B1800000}"/>
    <cellStyle name="Normal 30 10 7 2" xfId="33618" xr:uid="{00000000-0005-0000-0000-0000B2800000}"/>
    <cellStyle name="Normal 30 10 7 3" xfId="33619" xr:uid="{00000000-0005-0000-0000-0000B3800000}"/>
    <cellStyle name="Normal 30 10 7 4" xfId="33620" xr:uid="{00000000-0005-0000-0000-0000B4800000}"/>
    <cellStyle name="Normal 30 10 7 5" xfId="33621" xr:uid="{00000000-0005-0000-0000-0000B5800000}"/>
    <cellStyle name="Normal 30 10 7 6" xfId="33622" xr:uid="{00000000-0005-0000-0000-0000B6800000}"/>
    <cellStyle name="Normal 30 10 8" xfId="33623" xr:uid="{00000000-0005-0000-0000-0000B7800000}"/>
    <cellStyle name="Normal 30 10 8 2" xfId="33624" xr:uid="{00000000-0005-0000-0000-0000B8800000}"/>
    <cellStyle name="Normal 30 10 8 3" xfId="33625" xr:uid="{00000000-0005-0000-0000-0000B9800000}"/>
    <cellStyle name="Normal 30 10 8 4" xfId="33626" xr:uid="{00000000-0005-0000-0000-0000BA800000}"/>
    <cellStyle name="Normal 30 10 8 5" xfId="33627" xr:uid="{00000000-0005-0000-0000-0000BB800000}"/>
    <cellStyle name="Normal 30 10 8 6" xfId="33628" xr:uid="{00000000-0005-0000-0000-0000BC800000}"/>
    <cellStyle name="Normal 30 10 9" xfId="33629" xr:uid="{00000000-0005-0000-0000-0000BD800000}"/>
    <cellStyle name="Normal 30 11" xfId="33630" xr:uid="{00000000-0005-0000-0000-0000BE800000}"/>
    <cellStyle name="Normal 30 11 10" xfId="33631" xr:uid="{00000000-0005-0000-0000-0000BF800000}"/>
    <cellStyle name="Normal 30 11 11" xfId="33632" xr:uid="{00000000-0005-0000-0000-0000C0800000}"/>
    <cellStyle name="Normal 30 11 12" xfId="33633" xr:uid="{00000000-0005-0000-0000-0000C1800000}"/>
    <cellStyle name="Normal 30 11 13" xfId="33634" xr:uid="{00000000-0005-0000-0000-0000C2800000}"/>
    <cellStyle name="Normal 30 11 2" xfId="33635" xr:uid="{00000000-0005-0000-0000-0000C3800000}"/>
    <cellStyle name="Normal 30 11 2 2" xfId="33636" xr:uid="{00000000-0005-0000-0000-0000C4800000}"/>
    <cellStyle name="Normal 30 11 2 3" xfId="33637" xr:uid="{00000000-0005-0000-0000-0000C5800000}"/>
    <cellStyle name="Normal 30 11 2 4" xfId="33638" xr:uid="{00000000-0005-0000-0000-0000C6800000}"/>
    <cellStyle name="Normal 30 11 2 5" xfId="33639" xr:uid="{00000000-0005-0000-0000-0000C7800000}"/>
    <cellStyle name="Normal 30 11 2 6" xfId="33640" xr:uid="{00000000-0005-0000-0000-0000C8800000}"/>
    <cellStyle name="Normal 30 11 3" xfId="33641" xr:uid="{00000000-0005-0000-0000-0000C9800000}"/>
    <cellStyle name="Normal 30 11 3 2" xfId="33642" xr:uid="{00000000-0005-0000-0000-0000CA800000}"/>
    <cellStyle name="Normal 30 11 3 3" xfId="33643" xr:uid="{00000000-0005-0000-0000-0000CB800000}"/>
    <cellStyle name="Normal 30 11 3 4" xfId="33644" xr:uid="{00000000-0005-0000-0000-0000CC800000}"/>
    <cellStyle name="Normal 30 11 3 5" xfId="33645" xr:uid="{00000000-0005-0000-0000-0000CD800000}"/>
    <cellStyle name="Normal 30 11 3 6" xfId="33646" xr:uid="{00000000-0005-0000-0000-0000CE800000}"/>
    <cellStyle name="Normal 30 11 4" xfId="33647" xr:uid="{00000000-0005-0000-0000-0000CF800000}"/>
    <cellStyle name="Normal 30 11 4 2" xfId="33648" xr:uid="{00000000-0005-0000-0000-0000D0800000}"/>
    <cellStyle name="Normal 30 11 4 3" xfId="33649" xr:uid="{00000000-0005-0000-0000-0000D1800000}"/>
    <cellStyle name="Normal 30 11 4 4" xfId="33650" xr:uid="{00000000-0005-0000-0000-0000D2800000}"/>
    <cellStyle name="Normal 30 11 4 5" xfId="33651" xr:uid="{00000000-0005-0000-0000-0000D3800000}"/>
    <cellStyle name="Normal 30 11 4 6" xfId="33652" xr:uid="{00000000-0005-0000-0000-0000D4800000}"/>
    <cellStyle name="Normal 30 11 5" xfId="33653" xr:uid="{00000000-0005-0000-0000-0000D5800000}"/>
    <cellStyle name="Normal 30 11 5 2" xfId="33654" xr:uid="{00000000-0005-0000-0000-0000D6800000}"/>
    <cellStyle name="Normal 30 11 5 3" xfId="33655" xr:uid="{00000000-0005-0000-0000-0000D7800000}"/>
    <cellStyle name="Normal 30 11 5 4" xfId="33656" xr:uid="{00000000-0005-0000-0000-0000D8800000}"/>
    <cellStyle name="Normal 30 11 5 5" xfId="33657" xr:uid="{00000000-0005-0000-0000-0000D9800000}"/>
    <cellStyle name="Normal 30 11 5 6" xfId="33658" xr:uid="{00000000-0005-0000-0000-0000DA800000}"/>
    <cellStyle name="Normal 30 11 6" xfId="33659" xr:uid="{00000000-0005-0000-0000-0000DB800000}"/>
    <cellStyle name="Normal 30 11 6 2" xfId="33660" xr:uid="{00000000-0005-0000-0000-0000DC800000}"/>
    <cellStyle name="Normal 30 11 6 3" xfId="33661" xr:uid="{00000000-0005-0000-0000-0000DD800000}"/>
    <cellStyle name="Normal 30 11 6 4" xfId="33662" xr:uid="{00000000-0005-0000-0000-0000DE800000}"/>
    <cellStyle name="Normal 30 11 6 5" xfId="33663" xr:uid="{00000000-0005-0000-0000-0000DF800000}"/>
    <cellStyle name="Normal 30 11 6 6" xfId="33664" xr:uid="{00000000-0005-0000-0000-0000E0800000}"/>
    <cellStyle name="Normal 30 11 7" xfId="33665" xr:uid="{00000000-0005-0000-0000-0000E1800000}"/>
    <cellStyle name="Normal 30 11 7 2" xfId="33666" xr:uid="{00000000-0005-0000-0000-0000E2800000}"/>
    <cellStyle name="Normal 30 11 7 3" xfId="33667" xr:uid="{00000000-0005-0000-0000-0000E3800000}"/>
    <cellStyle name="Normal 30 11 7 4" xfId="33668" xr:uid="{00000000-0005-0000-0000-0000E4800000}"/>
    <cellStyle name="Normal 30 11 7 5" xfId="33669" xr:uid="{00000000-0005-0000-0000-0000E5800000}"/>
    <cellStyle name="Normal 30 11 7 6" xfId="33670" xr:uid="{00000000-0005-0000-0000-0000E6800000}"/>
    <cellStyle name="Normal 30 11 8" xfId="33671" xr:uid="{00000000-0005-0000-0000-0000E7800000}"/>
    <cellStyle name="Normal 30 11 8 2" xfId="33672" xr:uid="{00000000-0005-0000-0000-0000E8800000}"/>
    <cellStyle name="Normal 30 11 8 3" xfId="33673" xr:uid="{00000000-0005-0000-0000-0000E9800000}"/>
    <cellStyle name="Normal 30 11 8 4" xfId="33674" xr:uid="{00000000-0005-0000-0000-0000EA800000}"/>
    <cellStyle name="Normal 30 11 8 5" xfId="33675" xr:uid="{00000000-0005-0000-0000-0000EB800000}"/>
    <cellStyle name="Normal 30 11 8 6" xfId="33676" xr:uid="{00000000-0005-0000-0000-0000EC800000}"/>
    <cellStyle name="Normal 30 11 9" xfId="33677" xr:uid="{00000000-0005-0000-0000-0000ED800000}"/>
    <cellStyle name="Normal 30 12" xfId="33678" xr:uid="{00000000-0005-0000-0000-0000EE800000}"/>
    <cellStyle name="Normal 30 12 2" xfId="33679" xr:uid="{00000000-0005-0000-0000-0000EF800000}"/>
    <cellStyle name="Normal 30 12 3" xfId="33680" xr:uid="{00000000-0005-0000-0000-0000F0800000}"/>
    <cellStyle name="Normal 30 12 4" xfId="33681" xr:uid="{00000000-0005-0000-0000-0000F1800000}"/>
    <cellStyle name="Normal 30 12 5" xfId="33682" xr:uid="{00000000-0005-0000-0000-0000F2800000}"/>
    <cellStyle name="Normal 30 12 6" xfId="33683" xr:uid="{00000000-0005-0000-0000-0000F3800000}"/>
    <cellStyle name="Normal 30 13" xfId="33684" xr:uid="{00000000-0005-0000-0000-0000F4800000}"/>
    <cellStyle name="Normal 30 13 2" xfId="33685" xr:uid="{00000000-0005-0000-0000-0000F5800000}"/>
    <cellStyle name="Normal 30 13 3" xfId="33686" xr:uid="{00000000-0005-0000-0000-0000F6800000}"/>
    <cellStyle name="Normal 30 13 4" xfId="33687" xr:uid="{00000000-0005-0000-0000-0000F7800000}"/>
    <cellStyle name="Normal 30 13 5" xfId="33688" xr:uid="{00000000-0005-0000-0000-0000F8800000}"/>
    <cellStyle name="Normal 30 13 6" xfId="33689" xr:uid="{00000000-0005-0000-0000-0000F9800000}"/>
    <cellStyle name="Normal 30 14" xfId="33690" xr:uid="{00000000-0005-0000-0000-0000FA800000}"/>
    <cellStyle name="Normal 30 14 2" xfId="33691" xr:uid="{00000000-0005-0000-0000-0000FB800000}"/>
    <cellStyle name="Normal 30 14 3" xfId="33692" xr:uid="{00000000-0005-0000-0000-0000FC800000}"/>
    <cellStyle name="Normal 30 14 4" xfId="33693" xr:uid="{00000000-0005-0000-0000-0000FD800000}"/>
    <cellStyle name="Normal 30 14 5" xfId="33694" xr:uid="{00000000-0005-0000-0000-0000FE800000}"/>
    <cellStyle name="Normal 30 14 6" xfId="33695" xr:uid="{00000000-0005-0000-0000-0000FF800000}"/>
    <cellStyle name="Normal 30 15" xfId="33696" xr:uid="{00000000-0005-0000-0000-000000810000}"/>
    <cellStyle name="Normal 30 15 2" xfId="33697" xr:uid="{00000000-0005-0000-0000-000001810000}"/>
    <cellStyle name="Normal 30 15 3" xfId="33698" xr:uid="{00000000-0005-0000-0000-000002810000}"/>
    <cellStyle name="Normal 30 15 4" xfId="33699" xr:uid="{00000000-0005-0000-0000-000003810000}"/>
    <cellStyle name="Normal 30 15 5" xfId="33700" xr:uid="{00000000-0005-0000-0000-000004810000}"/>
    <cellStyle name="Normal 30 15 6" xfId="33701" xr:uid="{00000000-0005-0000-0000-000005810000}"/>
    <cellStyle name="Normal 30 16" xfId="33702" xr:uid="{00000000-0005-0000-0000-000006810000}"/>
    <cellStyle name="Normal 30 16 2" xfId="33703" xr:uid="{00000000-0005-0000-0000-000007810000}"/>
    <cellStyle name="Normal 30 16 3" xfId="33704" xr:uid="{00000000-0005-0000-0000-000008810000}"/>
    <cellStyle name="Normal 30 16 4" xfId="33705" xr:uid="{00000000-0005-0000-0000-000009810000}"/>
    <cellStyle name="Normal 30 16 5" xfId="33706" xr:uid="{00000000-0005-0000-0000-00000A810000}"/>
    <cellStyle name="Normal 30 16 6" xfId="33707" xr:uid="{00000000-0005-0000-0000-00000B810000}"/>
    <cellStyle name="Normal 30 17" xfId="33708" xr:uid="{00000000-0005-0000-0000-00000C810000}"/>
    <cellStyle name="Normal 30 17 2" xfId="33709" xr:uid="{00000000-0005-0000-0000-00000D810000}"/>
    <cellStyle name="Normal 30 17 3" xfId="33710" xr:uid="{00000000-0005-0000-0000-00000E810000}"/>
    <cellStyle name="Normal 30 17 4" xfId="33711" xr:uid="{00000000-0005-0000-0000-00000F810000}"/>
    <cellStyle name="Normal 30 17 5" xfId="33712" xr:uid="{00000000-0005-0000-0000-000010810000}"/>
    <cellStyle name="Normal 30 17 6" xfId="33713" xr:uid="{00000000-0005-0000-0000-000011810000}"/>
    <cellStyle name="Normal 30 18" xfId="33714" xr:uid="{00000000-0005-0000-0000-000012810000}"/>
    <cellStyle name="Normal 30 18 2" xfId="33715" xr:uid="{00000000-0005-0000-0000-000013810000}"/>
    <cellStyle name="Normal 30 18 3" xfId="33716" xr:uid="{00000000-0005-0000-0000-000014810000}"/>
    <cellStyle name="Normal 30 18 4" xfId="33717" xr:uid="{00000000-0005-0000-0000-000015810000}"/>
    <cellStyle name="Normal 30 18 5" xfId="33718" xr:uid="{00000000-0005-0000-0000-000016810000}"/>
    <cellStyle name="Normal 30 18 6" xfId="33719" xr:uid="{00000000-0005-0000-0000-000017810000}"/>
    <cellStyle name="Normal 30 19" xfId="33720" xr:uid="{00000000-0005-0000-0000-000018810000}"/>
    <cellStyle name="Normal 30 2" xfId="1886" xr:uid="{00000000-0005-0000-0000-000019810000}"/>
    <cellStyle name="Normal 30 2 10" xfId="33721" xr:uid="{00000000-0005-0000-0000-00001A810000}"/>
    <cellStyle name="Normal 30 2 11" xfId="33722" xr:uid="{00000000-0005-0000-0000-00001B810000}"/>
    <cellStyle name="Normal 30 2 12" xfId="33723" xr:uid="{00000000-0005-0000-0000-00001C810000}"/>
    <cellStyle name="Normal 30 2 13" xfId="33724" xr:uid="{00000000-0005-0000-0000-00001D810000}"/>
    <cellStyle name="Normal 30 2 14" xfId="43252" xr:uid="{00000000-0005-0000-0000-00001E810000}"/>
    <cellStyle name="Normal 30 2 2" xfId="2074" xr:uid="{00000000-0005-0000-0000-00001F810000}"/>
    <cellStyle name="Normal 30 2 2 2" xfId="2533" xr:uid="{00000000-0005-0000-0000-000020810000}"/>
    <cellStyle name="Normal 30 2 2 3" xfId="33725" xr:uid="{00000000-0005-0000-0000-000021810000}"/>
    <cellStyle name="Normal 30 2 2 4" xfId="33726" xr:uid="{00000000-0005-0000-0000-000022810000}"/>
    <cellStyle name="Normal 30 2 2 5" xfId="33727" xr:uid="{00000000-0005-0000-0000-000023810000}"/>
    <cellStyle name="Normal 30 2 2 6" xfId="33728" xr:uid="{00000000-0005-0000-0000-000024810000}"/>
    <cellStyle name="Normal 30 2 2 7" xfId="43348" xr:uid="{00000000-0005-0000-0000-000025810000}"/>
    <cellStyle name="Normal 30 2 3" xfId="2534" xr:uid="{00000000-0005-0000-0000-000026810000}"/>
    <cellStyle name="Normal 30 2 3 2" xfId="33729" xr:uid="{00000000-0005-0000-0000-000027810000}"/>
    <cellStyle name="Normal 30 2 3 3" xfId="33730" xr:uid="{00000000-0005-0000-0000-000028810000}"/>
    <cellStyle name="Normal 30 2 3 4" xfId="33731" xr:uid="{00000000-0005-0000-0000-000029810000}"/>
    <cellStyle name="Normal 30 2 3 5" xfId="33732" xr:uid="{00000000-0005-0000-0000-00002A810000}"/>
    <cellStyle name="Normal 30 2 3 6" xfId="33733" xr:uid="{00000000-0005-0000-0000-00002B810000}"/>
    <cellStyle name="Normal 30 2 3 7" xfId="43349" xr:uid="{00000000-0005-0000-0000-00002C810000}"/>
    <cellStyle name="Normal 30 2 4" xfId="2435" xr:uid="{00000000-0005-0000-0000-00002D810000}"/>
    <cellStyle name="Normal 30 2 4 2" xfId="33734" xr:uid="{00000000-0005-0000-0000-00002E810000}"/>
    <cellStyle name="Normal 30 2 4 3" xfId="33735" xr:uid="{00000000-0005-0000-0000-00002F810000}"/>
    <cellStyle name="Normal 30 2 4 4" xfId="33736" xr:uid="{00000000-0005-0000-0000-000030810000}"/>
    <cellStyle name="Normal 30 2 4 5" xfId="33737" xr:uid="{00000000-0005-0000-0000-000031810000}"/>
    <cellStyle name="Normal 30 2 4 6" xfId="33738" xr:uid="{00000000-0005-0000-0000-000032810000}"/>
    <cellStyle name="Normal 30 2 5" xfId="2406" xr:uid="{00000000-0005-0000-0000-000033810000}"/>
    <cellStyle name="Normal 30 2 5 2" xfId="33739" xr:uid="{00000000-0005-0000-0000-000034810000}"/>
    <cellStyle name="Normal 30 2 5 3" xfId="33740" xr:uid="{00000000-0005-0000-0000-000035810000}"/>
    <cellStyle name="Normal 30 2 5 4" xfId="33741" xr:uid="{00000000-0005-0000-0000-000036810000}"/>
    <cellStyle name="Normal 30 2 5 5" xfId="33742" xr:uid="{00000000-0005-0000-0000-000037810000}"/>
    <cellStyle name="Normal 30 2 5 6" xfId="33743" xr:uid="{00000000-0005-0000-0000-000038810000}"/>
    <cellStyle name="Normal 30 2 6" xfId="33744" xr:uid="{00000000-0005-0000-0000-000039810000}"/>
    <cellStyle name="Normal 30 2 6 2" xfId="33745" xr:uid="{00000000-0005-0000-0000-00003A810000}"/>
    <cellStyle name="Normal 30 2 6 3" xfId="33746" xr:uid="{00000000-0005-0000-0000-00003B810000}"/>
    <cellStyle name="Normal 30 2 6 4" xfId="33747" xr:uid="{00000000-0005-0000-0000-00003C810000}"/>
    <cellStyle name="Normal 30 2 6 5" xfId="33748" xr:uid="{00000000-0005-0000-0000-00003D810000}"/>
    <cellStyle name="Normal 30 2 6 6" xfId="33749" xr:uid="{00000000-0005-0000-0000-00003E810000}"/>
    <cellStyle name="Normal 30 2 7" xfId="33750" xr:uid="{00000000-0005-0000-0000-00003F810000}"/>
    <cellStyle name="Normal 30 2 7 2" xfId="33751" xr:uid="{00000000-0005-0000-0000-000040810000}"/>
    <cellStyle name="Normal 30 2 7 3" xfId="33752" xr:uid="{00000000-0005-0000-0000-000041810000}"/>
    <cellStyle name="Normal 30 2 7 4" xfId="33753" xr:uid="{00000000-0005-0000-0000-000042810000}"/>
    <cellStyle name="Normal 30 2 7 5" xfId="33754" xr:uid="{00000000-0005-0000-0000-000043810000}"/>
    <cellStyle name="Normal 30 2 7 6" xfId="33755" xr:uid="{00000000-0005-0000-0000-000044810000}"/>
    <cellStyle name="Normal 30 2 8" xfId="33756" xr:uid="{00000000-0005-0000-0000-000045810000}"/>
    <cellStyle name="Normal 30 2 8 2" xfId="33757" xr:uid="{00000000-0005-0000-0000-000046810000}"/>
    <cellStyle name="Normal 30 2 8 3" xfId="33758" xr:uid="{00000000-0005-0000-0000-000047810000}"/>
    <cellStyle name="Normal 30 2 8 4" xfId="33759" xr:uid="{00000000-0005-0000-0000-000048810000}"/>
    <cellStyle name="Normal 30 2 8 5" xfId="33760" xr:uid="{00000000-0005-0000-0000-000049810000}"/>
    <cellStyle name="Normal 30 2 8 6" xfId="33761" xr:uid="{00000000-0005-0000-0000-00004A810000}"/>
    <cellStyle name="Normal 30 2 9" xfId="33762" xr:uid="{00000000-0005-0000-0000-00004B810000}"/>
    <cellStyle name="Normal 30 20" xfId="33763" xr:uid="{00000000-0005-0000-0000-00004C810000}"/>
    <cellStyle name="Normal 30 21" xfId="33764" xr:uid="{00000000-0005-0000-0000-00004D810000}"/>
    <cellStyle name="Normal 30 22" xfId="33765" xr:uid="{00000000-0005-0000-0000-00004E810000}"/>
    <cellStyle name="Normal 30 23" xfId="33766" xr:uid="{00000000-0005-0000-0000-00004F810000}"/>
    <cellStyle name="Normal 30 24" xfId="43251" xr:uid="{00000000-0005-0000-0000-000050810000}"/>
    <cellStyle name="Normal 30 3" xfId="2025" xr:uid="{00000000-0005-0000-0000-000051810000}"/>
    <cellStyle name="Normal 30 3 10" xfId="33767" xr:uid="{00000000-0005-0000-0000-000052810000}"/>
    <cellStyle name="Normal 30 3 11" xfId="33768" xr:uid="{00000000-0005-0000-0000-000053810000}"/>
    <cellStyle name="Normal 30 3 12" xfId="33769" xr:uid="{00000000-0005-0000-0000-000054810000}"/>
    <cellStyle name="Normal 30 3 13" xfId="33770" xr:uid="{00000000-0005-0000-0000-000055810000}"/>
    <cellStyle name="Normal 30 3 14" xfId="43350" xr:uid="{00000000-0005-0000-0000-000056810000}"/>
    <cellStyle name="Normal 30 3 2" xfId="2535" xr:uid="{00000000-0005-0000-0000-000057810000}"/>
    <cellStyle name="Normal 30 3 2 2" xfId="33771" xr:uid="{00000000-0005-0000-0000-000058810000}"/>
    <cellStyle name="Normal 30 3 2 3" xfId="33772" xr:uid="{00000000-0005-0000-0000-000059810000}"/>
    <cellStyle name="Normal 30 3 2 4" xfId="33773" xr:uid="{00000000-0005-0000-0000-00005A810000}"/>
    <cellStyle name="Normal 30 3 2 5" xfId="33774" xr:uid="{00000000-0005-0000-0000-00005B810000}"/>
    <cellStyle name="Normal 30 3 2 6" xfId="33775" xr:uid="{00000000-0005-0000-0000-00005C810000}"/>
    <cellStyle name="Normal 30 3 3" xfId="33776" xr:uid="{00000000-0005-0000-0000-00005D810000}"/>
    <cellStyle name="Normal 30 3 3 2" xfId="33777" xr:uid="{00000000-0005-0000-0000-00005E810000}"/>
    <cellStyle name="Normal 30 3 3 3" xfId="33778" xr:uid="{00000000-0005-0000-0000-00005F810000}"/>
    <cellStyle name="Normal 30 3 3 4" xfId="33779" xr:uid="{00000000-0005-0000-0000-000060810000}"/>
    <cellStyle name="Normal 30 3 3 5" xfId="33780" xr:uid="{00000000-0005-0000-0000-000061810000}"/>
    <cellStyle name="Normal 30 3 3 6" xfId="33781" xr:uid="{00000000-0005-0000-0000-000062810000}"/>
    <cellStyle name="Normal 30 3 4" xfId="33782" xr:uid="{00000000-0005-0000-0000-000063810000}"/>
    <cellStyle name="Normal 30 3 4 2" xfId="33783" xr:uid="{00000000-0005-0000-0000-000064810000}"/>
    <cellStyle name="Normal 30 3 4 3" xfId="33784" xr:uid="{00000000-0005-0000-0000-000065810000}"/>
    <cellStyle name="Normal 30 3 4 4" xfId="33785" xr:uid="{00000000-0005-0000-0000-000066810000}"/>
    <cellStyle name="Normal 30 3 4 5" xfId="33786" xr:uid="{00000000-0005-0000-0000-000067810000}"/>
    <cellStyle name="Normal 30 3 4 6" xfId="33787" xr:uid="{00000000-0005-0000-0000-000068810000}"/>
    <cellStyle name="Normal 30 3 5" xfId="33788" xr:uid="{00000000-0005-0000-0000-000069810000}"/>
    <cellStyle name="Normal 30 3 5 2" xfId="33789" xr:uid="{00000000-0005-0000-0000-00006A810000}"/>
    <cellStyle name="Normal 30 3 5 3" xfId="33790" xr:uid="{00000000-0005-0000-0000-00006B810000}"/>
    <cellStyle name="Normal 30 3 5 4" xfId="33791" xr:uid="{00000000-0005-0000-0000-00006C810000}"/>
    <cellStyle name="Normal 30 3 5 5" xfId="33792" xr:uid="{00000000-0005-0000-0000-00006D810000}"/>
    <cellStyle name="Normal 30 3 5 6" xfId="33793" xr:uid="{00000000-0005-0000-0000-00006E810000}"/>
    <cellStyle name="Normal 30 3 6" xfId="33794" xr:uid="{00000000-0005-0000-0000-00006F810000}"/>
    <cellStyle name="Normal 30 3 6 2" xfId="33795" xr:uid="{00000000-0005-0000-0000-000070810000}"/>
    <cellStyle name="Normal 30 3 6 3" xfId="33796" xr:uid="{00000000-0005-0000-0000-000071810000}"/>
    <cellStyle name="Normal 30 3 6 4" xfId="33797" xr:uid="{00000000-0005-0000-0000-000072810000}"/>
    <cellStyle name="Normal 30 3 6 5" xfId="33798" xr:uid="{00000000-0005-0000-0000-000073810000}"/>
    <cellStyle name="Normal 30 3 6 6" xfId="33799" xr:uid="{00000000-0005-0000-0000-000074810000}"/>
    <cellStyle name="Normal 30 3 7" xfId="33800" xr:uid="{00000000-0005-0000-0000-000075810000}"/>
    <cellStyle name="Normal 30 3 7 2" xfId="33801" xr:uid="{00000000-0005-0000-0000-000076810000}"/>
    <cellStyle name="Normal 30 3 7 3" xfId="33802" xr:uid="{00000000-0005-0000-0000-000077810000}"/>
    <cellStyle name="Normal 30 3 7 4" xfId="33803" xr:uid="{00000000-0005-0000-0000-000078810000}"/>
    <cellStyle name="Normal 30 3 7 5" xfId="33804" xr:uid="{00000000-0005-0000-0000-000079810000}"/>
    <cellStyle name="Normal 30 3 7 6" xfId="33805" xr:uid="{00000000-0005-0000-0000-00007A810000}"/>
    <cellStyle name="Normal 30 3 8" xfId="33806" xr:uid="{00000000-0005-0000-0000-00007B810000}"/>
    <cellStyle name="Normal 30 3 8 2" xfId="33807" xr:uid="{00000000-0005-0000-0000-00007C810000}"/>
    <cellStyle name="Normal 30 3 8 3" xfId="33808" xr:uid="{00000000-0005-0000-0000-00007D810000}"/>
    <cellStyle name="Normal 30 3 8 4" xfId="33809" xr:uid="{00000000-0005-0000-0000-00007E810000}"/>
    <cellStyle name="Normal 30 3 8 5" xfId="33810" xr:uid="{00000000-0005-0000-0000-00007F810000}"/>
    <cellStyle name="Normal 30 3 8 6" xfId="33811" xr:uid="{00000000-0005-0000-0000-000080810000}"/>
    <cellStyle name="Normal 30 3 9" xfId="33812" xr:uid="{00000000-0005-0000-0000-000081810000}"/>
    <cellStyle name="Normal 30 4" xfId="2536" xr:uid="{00000000-0005-0000-0000-000082810000}"/>
    <cellStyle name="Normal 30 4 10" xfId="33813" xr:uid="{00000000-0005-0000-0000-000083810000}"/>
    <cellStyle name="Normal 30 4 11" xfId="33814" xr:uid="{00000000-0005-0000-0000-000084810000}"/>
    <cellStyle name="Normal 30 4 12" xfId="33815" xr:uid="{00000000-0005-0000-0000-000085810000}"/>
    <cellStyle name="Normal 30 4 13" xfId="33816" xr:uid="{00000000-0005-0000-0000-000086810000}"/>
    <cellStyle name="Normal 30 4 14" xfId="43351" xr:uid="{00000000-0005-0000-0000-000087810000}"/>
    <cellStyle name="Normal 30 4 2" xfId="33817" xr:uid="{00000000-0005-0000-0000-000088810000}"/>
    <cellStyle name="Normal 30 4 2 2" xfId="33818" xr:uid="{00000000-0005-0000-0000-000089810000}"/>
    <cellStyle name="Normal 30 4 2 3" xfId="33819" xr:uid="{00000000-0005-0000-0000-00008A810000}"/>
    <cellStyle name="Normal 30 4 2 4" xfId="33820" xr:uid="{00000000-0005-0000-0000-00008B810000}"/>
    <cellStyle name="Normal 30 4 2 5" xfId="33821" xr:uid="{00000000-0005-0000-0000-00008C810000}"/>
    <cellStyle name="Normal 30 4 2 6" xfId="33822" xr:uid="{00000000-0005-0000-0000-00008D810000}"/>
    <cellStyle name="Normal 30 4 3" xfId="33823" xr:uid="{00000000-0005-0000-0000-00008E810000}"/>
    <cellStyle name="Normal 30 4 3 2" xfId="33824" xr:uid="{00000000-0005-0000-0000-00008F810000}"/>
    <cellStyle name="Normal 30 4 3 3" xfId="33825" xr:uid="{00000000-0005-0000-0000-000090810000}"/>
    <cellStyle name="Normal 30 4 3 4" xfId="33826" xr:uid="{00000000-0005-0000-0000-000091810000}"/>
    <cellStyle name="Normal 30 4 3 5" xfId="33827" xr:uid="{00000000-0005-0000-0000-000092810000}"/>
    <cellStyle name="Normal 30 4 3 6" xfId="33828" xr:uid="{00000000-0005-0000-0000-000093810000}"/>
    <cellStyle name="Normal 30 4 4" xfId="33829" xr:uid="{00000000-0005-0000-0000-000094810000}"/>
    <cellStyle name="Normal 30 4 4 2" xfId="33830" xr:uid="{00000000-0005-0000-0000-000095810000}"/>
    <cellStyle name="Normal 30 4 4 3" xfId="33831" xr:uid="{00000000-0005-0000-0000-000096810000}"/>
    <cellStyle name="Normal 30 4 4 4" xfId="33832" xr:uid="{00000000-0005-0000-0000-000097810000}"/>
    <cellStyle name="Normal 30 4 4 5" xfId="33833" xr:uid="{00000000-0005-0000-0000-000098810000}"/>
    <cellStyle name="Normal 30 4 4 6" xfId="33834" xr:uid="{00000000-0005-0000-0000-000099810000}"/>
    <cellStyle name="Normal 30 4 5" xfId="33835" xr:uid="{00000000-0005-0000-0000-00009A810000}"/>
    <cellStyle name="Normal 30 4 5 2" xfId="33836" xr:uid="{00000000-0005-0000-0000-00009B810000}"/>
    <cellStyle name="Normal 30 4 5 3" xfId="33837" xr:uid="{00000000-0005-0000-0000-00009C810000}"/>
    <cellStyle name="Normal 30 4 5 4" xfId="33838" xr:uid="{00000000-0005-0000-0000-00009D810000}"/>
    <cellStyle name="Normal 30 4 5 5" xfId="33839" xr:uid="{00000000-0005-0000-0000-00009E810000}"/>
    <cellStyle name="Normal 30 4 5 6" xfId="33840" xr:uid="{00000000-0005-0000-0000-00009F810000}"/>
    <cellStyle name="Normal 30 4 6" xfId="33841" xr:uid="{00000000-0005-0000-0000-0000A0810000}"/>
    <cellStyle name="Normal 30 4 6 2" xfId="33842" xr:uid="{00000000-0005-0000-0000-0000A1810000}"/>
    <cellStyle name="Normal 30 4 6 3" xfId="33843" xr:uid="{00000000-0005-0000-0000-0000A2810000}"/>
    <cellStyle name="Normal 30 4 6 4" xfId="33844" xr:uid="{00000000-0005-0000-0000-0000A3810000}"/>
    <cellStyle name="Normal 30 4 6 5" xfId="33845" xr:uid="{00000000-0005-0000-0000-0000A4810000}"/>
    <cellStyle name="Normal 30 4 6 6" xfId="33846" xr:uid="{00000000-0005-0000-0000-0000A5810000}"/>
    <cellStyle name="Normal 30 4 7" xfId="33847" xr:uid="{00000000-0005-0000-0000-0000A6810000}"/>
    <cellStyle name="Normal 30 4 7 2" xfId="33848" xr:uid="{00000000-0005-0000-0000-0000A7810000}"/>
    <cellStyle name="Normal 30 4 7 3" xfId="33849" xr:uid="{00000000-0005-0000-0000-0000A8810000}"/>
    <cellStyle name="Normal 30 4 7 4" xfId="33850" xr:uid="{00000000-0005-0000-0000-0000A9810000}"/>
    <cellStyle name="Normal 30 4 7 5" xfId="33851" xr:uid="{00000000-0005-0000-0000-0000AA810000}"/>
    <cellStyle name="Normal 30 4 7 6" xfId="33852" xr:uid="{00000000-0005-0000-0000-0000AB810000}"/>
    <cellStyle name="Normal 30 4 8" xfId="33853" xr:uid="{00000000-0005-0000-0000-0000AC810000}"/>
    <cellStyle name="Normal 30 4 8 2" xfId="33854" xr:uid="{00000000-0005-0000-0000-0000AD810000}"/>
    <cellStyle name="Normal 30 4 8 3" xfId="33855" xr:uid="{00000000-0005-0000-0000-0000AE810000}"/>
    <cellStyle name="Normal 30 4 8 4" xfId="33856" xr:uid="{00000000-0005-0000-0000-0000AF810000}"/>
    <cellStyle name="Normal 30 4 8 5" xfId="33857" xr:uid="{00000000-0005-0000-0000-0000B0810000}"/>
    <cellStyle name="Normal 30 4 8 6" xfId="33858" xr:uid="{00000000-0005-0000-0000-0000B1810000}"/>
    <cellStyle name="Normal 30 4 9" xfId="33859" xr:uid="{00000000-0005-0000-0000-0000B2810000}"/>
    <cellStyle name="Normal 30 5" xfId="2434" xr:uid="{00000000-0005-0000-0000-0000B3810000}"/>
    <cellStyle name="Normal 30 5 10" xfId="33860" xr:uid="{00000000-0005-0000-0000-0000B4810000}"/>
    <cellStyle name="Normal 30 5 11" xfId="33861" xr:uid="{00000000-0005-0000-0000-0000B5810000}"/>
    <cellStyle name="Normal 30 5 12" xfId="33862" xr:uid="{00000000-0005-0000-0000-0000B6810000}"/>
    <cellStyle name="Normal 30 5 13" xfId="33863" xr:uid="{00000000-0005-0000-0000-0000B7810000}"/>
    <cellStyle name="Normal 30 5 2" xfId="33864" xr:uid="{00000000-0005-0000-0000-0000B8810000}"/>
    <cellStyle name="Normal 30 5 2 2" xfId="33865" xr:uid="{00000000-0005-0000-0000-0000B9810000}"/>
    <cellStyle name="Normal 30 5 2 3" xfId="33866" xr:uid="{00000000-0005-0000-0000-0000BA810000}"/>
    <cellStyle name="Normal 30 5 2 4" xfId="33867" xr:uid="{00000000-0005-0000-0000-0000BB810000}"/>
    <cellStyle name="Normal 30 5 2 5" xfId="33868" xr:uid="{00000000-0005-0000-0000-0000BC810000}"/>
    <cellStyle name="Normal 30 5 2 6" xfId="33869" xr:uid="{00000000-0005-0000-0000-0000BD810000}"/>
    <cellStyle name="Normal 30 5 3" xfId="33870" xr:uid="{00000000-0005-0000-0000-0000BE810000}"/>
    <cellStyle name="Normal 30 5 3 2" xfId="33871" xr:uid="{00000000-0005-0000-0000-0000BF810000}"/>
    <cellStyle name="Normal 30 5 3 3" xfId="33872" xr:uid="{00000000-0005-0000-0000-0000C0810000}"/>
    <cellStyle name="Normal 30 5 3 4" xfId="33873" xr:uid="{00000000-0005-0000-0000-0000C1810000}"/>
    <cellStyle name="Normal 30 5 3 5" xfId="33874" xr:uid="{00000000-0005-0000-0000-0000C2810000}"/>
    <cellStyle name="Normal 30 5 3 6" xfId="33875" xr:uid="{00000000-0005-0000-0000-0000C3810000}"/>
    <cellStyle name="Normal 30 5 4" xfId="33876" xr:uid="{00000000-0005-0000-0000-0000C4810000}"/>
    <cellStyle name="Normal 30 5 4 2" xfId="33877" xr:uid="{00000000-0005-0000-0000-0000C5810000}"/>
    <cellStyle name="Normal 30 5 4 3" xfId="33878" xr:uid="{00000000-0005-0000-0000-0000C6810000}"/>
    <cellStyle name="Normal 30 5 4 4" xfId="33879" xr:uid="{00000000-0005-0000-0000-0000C7810000}"/>
    <cellStyle name="Normal 30 5 4 5" xfId="33880" xr:uid="{00000000-0005-0000-0000-0000C8810000}"/>
    <cellStyle name="Normal 30 5 4 6" xfId="33881" xr:uid="{00000000-0005-0000-0000-0000C9810000}"/>
    <cellStyle name="Normal 30 5 5" xfId="33882" xr:uid="{00000000-0005-0000-0000-0000CA810000}"/>
    <cellStyle name="Normal 30 5 5 2" xfId="33883" xr:uid="{00000000-0005-0000-0000-0000CB810000}"/>
    <cellStyle name="Normal 30 5 5 3" xfId="33884" xr:uid="{00000000-0005-0000-0000-0000CC810000}"/>
    <cellStyle name="Normal 30 5 5 4" xfId="33885" xr:uid="{00000000-0005-0000-0000-0000CD810000}"/>
    <cellStyle name="Normal 30 5 5 5" xfId="33886" xr:uid="{00000000-0005-0000-0000-0000CE810000}"/>
    <cellStyle name="Normal 30 5 5 6" xfId="33887" xr:uid="{00000000-0005-0000-0000-0000CF810000}"/>
    <cellStyle name="Normal 30 5 6" xfId="33888" xr:uid="{00000000-0005-0000-0000-0000D0810000}"/>
    <cellStyle name="Normal 30 5 6 2" xfId="33889" xr:uid="{00000000-0005-0000-0000-0000D1810000}"/>
    <cellStyle name="Normal 30 5 6 3" xfId="33890" xr:uid="{00000000-0005-0000-0000-0000D2810000}"/>
    <cellStyle name="Normal 30 5 6 4" xfId="33891" xr:uid="{00000000-0005-0000-0000-0000D3810000}"/>
    <cellStyle name="Normal 30 5 6 5" xfId="33892" xr:uid="{00000000-0005-0000-0000-0000D4810000}"/>
    <cellStyle name="Normal 30 5 6 6" xfId="33893" xr:uid="{00000000-0005-0000-0000-0000D5810000}"/>
    <cellStyle name="Normal 30 5 7" xfId="33894" xr:uid="{00000000-0005-0000-0000-0000D6810000}"/>
    <cellStyle name="Normal 30 5 7 2" xfId="33895" xr:uid="{00000000-0005-0000-0000-0000D7810000}"/>
    <cellStyle name="Normal 30 5 7 3" xfId="33896" xr:uid="{00000000-0005-0000-0000-0000D8810000}"/>
    <cellStyle name="Normal 30 5 7 4" xfId="33897" xr:uid="{00000000-0005-0000-0000-0000D9810000}"/>
    <cellStyle name="Normal 30 5 7 5" xfId="33898" xr:uid="{00000000-0005-0000-0000-0000DA810000}"/>
    <cellStyle name="Normal 30 5 7 6" xfId="33899" xr:uid="{00000000-0005-0000-0000-0000DB810000}"/>
    <cellStyle name="Normal 30 5 8" xfId="33900" xr:uid="{00000000-0005-0000-0000-0000DC810000}"/>
    <cellStyle name="Normal 30 5 8 2" xfId="33901" xr:uid="{00000000-0005-0000-0000-0000DD810000}"/>
    <cellStyle name="Normal 30 5 8 3" xfId="33902" xr:uid="{00000000-0005-0000-0000-0000DE810000}"/>
    <cellStyle name="Normal 30 5 8 4" xfId="33903" xr:uid="{00000000-0005-0000-0000-0000DF810000}"/>
    <cellStyle name="Normal 30 5 8 5" xfId="33904" xr:uid="{00000000-0005-0000-0000-0000E0810000}"/>
    <cellStyle name="Normal 30 5 8 6" xfId="33905" xr:uid="{00000000-0005-0000-0000-0000E1810000}"/>
    <cellStyle name="Normal 30 5 9" xfId="33906" xr:uid="{00000000-0005-0000-0000-0000E2810000}"/>
    <cellStyle name="Normal 30 6" xfId="2374" xr:uid="{00000000-0005-0000-0000-0000E3810000}"/>
    <cellStyle name="Normal 30 6 10" xfId="33907" xr:uid="{00000000-0005-0000-0000-0000E4810000}"/>
    <cellStyle name="Normal 30 6 11" xfId="33908" xr:uid="{00000000-0005-0000-0000-0000E5810000}"/>
    <cellStyle name="Normal 30 6 12" xfId="33909" xr:uid="{00000000-0005-0000-0000-0000E6810000}"/>
    <cellStyle name="Normal 30 6 13" xfId="33910" xr:uid="{00000000-0005-0000-0000-0000E7810000}"/>
    <cellStyle name="Normal 30 6 2" xfId="33911" xr:uid="{00000000-0005-0000-0000-0000E8810000}"/>
    <cellStyle name="Normal 30 6 2 2" xfId="33912" xr:uid="{00000000-0005-0000-0000-0000E9810000}"/>
    <cellStyle name="Normal 30 6 2 3" xfId="33913" xr:uid="{00000000-0005-0000-0000-0000EA810000}"/>
    <cellStyle name="Normal 30 6 2 4" xfId="33914" xr:uid="{00000000-0005-0000-0000-0000EB810000}"/>
    <cellStyle name="Normal 30 6 2 5" xfId="33915" xr:uid="{00000000-0005-0000-0000-0000EC810000}"/>
    <cellStyle name="Normal 30 6 2 6" xfId="33916" xr:uid="{00000000-0005-0000-0000-0000ED810000}"/>
    <cellStyle name="Normal 30 6 3" xfId="33917" xr:uid="{00000000-0005-0000-0000-0000EE810000}"/>
    <cellStyle name="Normal 30 6 3 2" xfId="33918" xr:uid="{00000000-0005-0000-0000-0000EF810000}"/>
    <cellStyle name="Normal 30 6 3 3" xfId="33919" xr:uid="{00000000-0005-0000-0000-0000F0810000}"/>
    <cellStyle name="Normal 30 6 3 4" xfId="33920" xr:uid="{00000000-0005-0000-0000-0000F1810000}"/>
    <cellStyle name="Normal 30 6 3 5" xfId="33921" xr:uid="{00000000-0005-0000-0000-0000F2810000}"/>
    <cellStyle name="Normal 30 6 3 6" xfId="33922" xr:uid="{00000000-0005-0000-0000-0000F3810000}"/>
    <cellStyle name="Normal 30 6 4" xfId="33923" xr:uid="{00000000-0005-0000-0000-0000F4810000}"/>
    <cellStyle name="Normal 30 6 4 2" xfId="33924" xr:uid="{00000000-0005-0000-0000-0000F5810000}"/>
    <cellStyle name="Normal 30 6 4 3" xfId="33925" xr:uid="{00000000-0005-0000-0000-0000F6810000}"/>
    <cellStyle name="Normal 30 6 4 4" xfId="33926" xr:uid="{00000000-0005-0000-0000-0000F7810000}"/>
    <cellStyle name="Normal 30 6 4 5" xfId="33927" xr:uid="{00000000-0005-0000-0000-0000F8810000}"/>
    <cellStyle name="Normal 30 6 4 6" xfId="33928" xr:uid="{00000000-0005-0000-0000-0000F9810000}"/>
    <cellStyle name="Normal 30 6 5" xfId="33929" xr:uid="{00000000-0005-0000-0000-0000FA810000}"/>
    <cellStyle name="Normal 30 6 5 2" xfId="33930" xr:uid="{00000000-0005-0000-0000-0000FB810000}"/>
    <cellStyle name="Normal 30 6 5 3" xfId="33931" xr:uid="{00000000-0005-0000-0000-0000FC810000}"/>
    <cellStyle name="Normal 30 6 5 4" xfId="33932" xr:uid="{00000000-0005-0000-0000-0000FD810000}"/>
    <cellStyle name="Normal 30 6 5 5" xfId="33933" xr:uid="{00000000-0005-0000-0000-0000FE810000}"/>
    <cellStyle name="Normal 30 6 5 6" xfId="33934" xr:uid="{00000000-0005-0000-0000-0000FF810000}"/>
    <cellStyle name="Normal 30 6 6" xfId="33935" xr:uid="{00000000-0005-0000-0000-000000820000}"/>
    <cellStyle name="Normal 30 6 6 2" xfId="33936" xr:uid="{00000000-0005-0000-0000-000001820000}"/>
    <cellStyle name="Normal 30 6 6 3" xfId="33937" xr:uid="{00000000-0005-0000-0000-000002820000}"/>
    <cellStyle name="Normal 30 6 6 4" xfId="33938" xr:uid="{00000000-0005-0000-0000-000003820000}"/>
    <cellStyle name="Normal 30 6 6 5" xfId="33939" xr:uid="{00000000-0005-0000-0000-000004820000}"/>
    <cellStyle name="Normal 30 6 6 6" xfId="33940" xr:uid="{00000000-0005-0000-0000-000005820000}"/>
    <cellStyle name="Normal 30 6 7" xfId="33941" xr:uid="{00000000-0005-0000-0000-000006820000}"/>
    <cellStyle name="Normal 30 6 7 2" xfId="33942" xr:uid="{00000000-0005-0000-0000-000007820000}"/>
    <cellStyle name="Normal 30 6 7 3" xfId="33943" xr:uid="{00000000-0005-0000-0000-000008820000}"/>
    <cellStyle name="Normal 30 6 7 4" xfId="33944" xr:uid="{00000000-0005-0000-0000-000009820000}"/>
    <cellStyle name="Normal 30 6 7 5" xfId="33945" xr:uid="{00000000-0005-0000-0000-00000A820000}"/>
    <cellStyle name="Normal 30 6 7 6" xfId="33946" xr:uid="{00000000-0005-0000-0000-00000B820000}"/>
    <cellStyle name="Normal 30 6 8" xfId="33947" xr:uid="{00000000-0005-0000-0000-00000C820000}"/>
    <cellStyle name="Normal 30 6 8 2" xfId="33948" xr:uid="{00000000-0005-0000-0000-00000D820000}"/>
    <cellStyle name="Normal 30 6 8 3" xfId="33949" xr:uid="{00000000-0005-0000-0000-00000E820000}"/>
    <cellStyle name="Normal 30 6 8 4" xfId="33950" xr:uid="{00000000-0005-0000-0000-00000F820000}"/>
    <cellStyle name="Normal 30 6 8 5" xfId="33951" xr:uid="{00000000-0005-0000-0000-000010820000}"/>
    <cellStyle name="Normal 30 6 8 6" xfId="33952" xr:uid="{00000000-0005-0000-0000-000011820000}"/>
    <cellStyle name="Normal 30 6 9" xfId="33953" xr:uid="{00000000-0005-0000-0000-000012820000}"/>
    <cellStyle name="Normal 30 7" xfId="33954" xr:uid="{00000000-0005-0000-0000-000013820000}"/>
    <cellStyle name="Normal 30 7 10" xfId="33955" xr:uid="{00000000-0005-0000-0000-000014820000}"/>
    <cellStyle name="Normal 30 7 11" xfId="33956" xr:uid="{00000000-0005-0000-0000-000015820000}"/>
    <cellStyle name="Normal 30 7 12" xfId="33957" xr:uid="{00000000-0005-0000-0000-000016820000}"/>
    <cellStyle name="Normal 30 7 13" xfId="33958" xr:uid="{00000000-0005-0000-0000-000017820000}"/>
    <cellStyle name="Normal 30 7 2" xfId="33959" xr:uid="{00000000-0005-0000-0000-000018820000}"/>
    <cellStyle name="Normal 30 7 2 2" xfId="33960" xr:uid="{00000000-0005-0000-0000-000019820000}"/>
    <cellStyle name="Normal 30 7 2 3" xfId="33961" xr:uid="{00000000-0005-0000-0000-00001A820000}"/>
    <cellStyle name="Normal 30 7 2 4" xfId="33962" xr:uid="{00000000-0005-0000-0000-00001B820000}"/>
    <cellStyle name="Normal 30 7 2 5" xfId="33963" xr:uid="{00000000-0005-0000-0000-00001C820000}"/>
    <cellStyle name="Normal 30 7 2 6" xfId="33964" xr:uid="{00000000-0005-0000-0000-00001D820000}"/>
    <cellStyle name="Normal 30 7 3" xfId="33965" xr:uid="{00000000-0005-0000-0000-00001E820000}"/>
    <cellStyle name="Normal 30 7 3 2" xfId="33966" xr:uid="{00000000-0005-0000-0000-00001F820000}"/>
    <cellStyle name="Normal 30 7 3 3" xfId="33967" xr:uid="{00000000-0005-0000-0000-000020820000}"/>
    <cellStyle name="Normal 30 7 3 4" xfId="33968" xr:uid="{00000000-0005-0000-0000-000021820000}"/>
    <cellStyle name="Normal 30 7 3 5" xfId="33969" xr:uid="{00000000-0005-0000-0000-000022820000}"/>
    <cellStyle name="Normal 30 7 3 6" xfId="33970" xr:uid="{00000000-0005-0000-0000-000023820000}"/>
    <cellStyle name="Normal 30 7 4" xfId="33971" xr:uid="{00000000-0005-0000-0000-000024820000}"/>
    <cellStyle name="Normal 30 7 4 2" xfId="33972" xr:uid="{00000000-0005-0000-0000-000025820000}"/>
    <cellStyle name="Normal 30 7 4 3" xfId="33973" xr:uid="{00000000-0005-0000-0000-000026820000}"/>
    <cellStyle name="Normal 30 7 4 4" xfId="33974" xr:uid="{00000000-0005-0000-0000-000027820000}"/>
    <cellStyle name="Normal 30 7 4 5" xfId="33975" xr:uid="{00000000-0005-0000-0000-000028820000}"/>
    <cellStyle name="Normal 30 7 4 6" xfId="33976" xr:uid="{00000000-0005-0000-0000-000029820000}"/>
    <cellStyle name="Normal 30 7 5" xfId="33977" xr:uid="{00000000-0005-0000-0000-00002A820000}"/>
    <cellStyle name="Normal 30 7 5 2" xfId="33978" xr:uid="{00000000-0005-0000-0000-00002B820000}"/>
    <cellStyle name="Normal 30 7 5 3" xfId="33979" xr:uid="{00000000-0005-0000-0000-00002C820000}"/>
    <cellStyle name="Normal 30 7 5 4" xfId="33980" xr:uid="{00000000-0005-0000-0000-00002D820000}"/>
    <cellStyle name="Normal 30 7 5 5" xfId="33981" xr:uid="{00000000-0005-0000-0000-00002E820000}"/>
    <cellStyle name="Normal 30 7 5 6" xfId="33982" xr:uid="{00000000-0005-0000-0000-00002F820000}"/>
    <cellStyle name="Normal 30 7 6" xfId="33983" xr:uid="{00000000-0005-0000-0000-000030820000}"/>
    <cellStyle name="Normal 30 7 6 2" xfId="33984" xr:uid="{00000000-0005-0000-0000-000031820000}"/>
    <cellStyle name="Normal 30 7 6 3" xfId="33985" xr:uid="{00000000-0005-0000-0000-000032820000}"/>
    <cellStyle name="Normal 30 7 6 4" xfId="33986" xr:uid="{00000000-0005-0000-0000-000033820000}"/>
    <cellStyle name="Normal 30 7 6 5" xfId="33987" xr:uid="{00000000-0005-0000-0000-000034820000}"/>
    <cellStyle name="Normal 30 7 6 6" xfId="33988" xr:uid="{00000000-0005-0000-0000-000035820000}"/>
    <cellStyle name="Normal 30 7 7" xfId="33989" xr:uid="{00000000-0005-0000-0000-000036820000}"/>
    <cellStyle name="Normal 30 7 7 2" xfId="33990" xr:uid="{00000000-0005-0000-0000-000037820000}"/>
    <cellStyle name="Normal 30 7 7 3" xfId="33991" xr:uid="{00000000-0005-0000-0000-000038820000}"/>
    <cellStyle name="Normal 30 7 7 4" xfId="33992" xr:uid="{00000000-0005-0000-0000-000039820000}"/>
    <cellStyle name="Normal 30 7 7 5" xfId="33993" xr:uid="{00000000-0005-0000-0000-00003A820000}"/>
    <cellStyle name="Normal 30 7 7 6" xfId="33994" xr:uid="{00000000-0005-0000-0000-00003B820000}"/>
    <cellStyle name="Normal 30 7 8" xfId="33995" xr:uid="{00000000-0005-0000-0000-00003C820000}"/>
    <cellStyle name="Normal 30 7 8 2" xfId="33996" xr:uid="{00000000-0005-0000-0000-00003D820000}"/>
    <cellStyle name="Normal 30 7 8 3" xfId="33997" xr:uid="{00000000-0005-0000-0000-00003E820000}"/>
    <cellStyle name="Normal 30 7 8 4" xfId="33998" xr:uid="{00000000-0005-0000-0000-00003F820000}"/>
    <cellStyle name="Normal 30 7 8 5" xfId="33999" xr:uid="{00000000-0005-0000-0000-000040820000}"/>
    <cellStyle name="Normal 30 7 8 6" xfId="34000" xr:uid="{00000000-0005-0000-0000-000041820000}"/>
    <cellStyle name="Normal 30 7 9" xfId="34001" xr:uid="{00000000-0005-0000-0000-000042820000}"/>
    <cellStyle name="Normal 30 8" xfId="34002" xr:uid="{00000000-0005-0000-0000-000043820000}"/>
    <cellStyle name="Normal 30 8 10" xfId="34003" xr:uid="{00000000-0005-0000-0000-000044820000}"/>
    <cellStyle name="Normal 30 8 11" xfId="34004" xr:uid="{00000000-0005-0000-0000-000045820000}"/>
    <cellStyle name="Normal 30 8 12" xfId="34005" xr:uid="{00000000-0005-0000-0000-000046820000}"/>
    <cellStyle name="Normal 30 8 13" xfId="34006" xr:uid="{00000000-0005-0000-0000-000047820000}"/>
    <cellStyle name="Normal 30 8 2" xfId="34007" xr:uid="{00000000-0005-0000-0000-000048820000}"/>
    <cellStyle name="Normal 30 8 2 2" xfId="34008" xr:uid="{00000000-0005-0000-0000-000049820000}"/>
    <cellStyle name="Normal 30 8 2 3" xfId="34009" xr:uid="{00000000-0005-0000-0000-00004A820000}"/>
    <cellStyle name="Normal 30 8 2 4" xfId="34010" xr:uid="{00000000-0005-0000-0000-00004B820000}"/>
    <cellStyle name="Normal 30 8 2 5" xfId="34011" xr:uid="{00000000-0005-0000-0000-00004C820000}"/>
    <cellStyle name="Normal 30 8 2 6" xfId="34012" xr:uid="{00000000-0005-0000-0000-00004D820000}"/>
    <cellStyle name="Normal 30 8 3" xfId="34013" xr:uid="{00000000-0005-0000-0000-00004E820000}"/>
    <cellStyle name="Normal 30 8 3 2" xfId="34014" xr:uid="{00000000-0005-0000-0000-00004F820000}"/>
    <cellStyle name="Normal 30 8 3 3" xfId="34015" xr:uid="{00000000-0005-0000-0000-000050820000}"/>
    <cellStyle name="Normal 30 8 3 4" xfId="34016" xr:uid="{00000000-0005-0000-0000-000051820000}"/>
    <cellStyle name="Normal 30 8 3 5" xfId="34017" xr:uid="{00000000-0005-0000-0000-000052820000}"/>
    <cellStyle name="Normal 30 8 3 6" xfId="34018" xr:uid="{00000000-0005-0000-0000-000053820000}"/>
    <cellStyle name="Normal 30 8 4" xfId="34019" xr:uid="{00000000-0005-0000-0000-000054820000}"/>
    <cellStyle name="Normal 30 8 4 2" xfId="34020" xr:uid="{00000000-0005-0000-0000-000055820000}"/>
    <cellStyle name="Normal 30 8 4 3" xfId="34021" xr:uid="{00000000-0005-0000-0000-000056820000}"/>
    <cellStyle name="Normal 30 8 4 4" xfId="34022" xr:uid="{00000000-0005-0000-0000-000057820000}"/>
    <cellStyle name="Normal 30 8 4 5" xfId="34023" xr:uid="{00000000-0005-0000-0000-000058820000}"/>
    <cellStyle name="Normal 30 8 4 6" xfId="34024" xr:uid="{00000000-0005-0000-0000-000059820000}"/>
    <cellStyle name="Normal 30 8 5" xfId="34025" xr:uid="{00000000-0005-0000-0000-00005A820000}"/>
    <cellStyle name="Normal 30 8 5 2" xfId="34026" xr:uid="{00000000-0005-0000-0000-00005B820000}"/>
    <cellStyle name="Normal 30 8 5 3" xfId="34027" xr:uid="{00000000-0005-0000-0000-00005C820000}"/>
    <cellStyle name="Normal 30 8 5 4" xfId="34028" xr:uid="{00000000-0005-0000-0000-00005D820000}"/>
    <cellStyle name="Normal 30 8 5 5" xfId="34029" xr:uid="{00000000-0005-0000-0000-00005E820000}"/>
    <cellStyle name="Normal 30 8 5 6" xfId="34030" xr:uid="{00000000-0005-0000-0000-00005F820000}"/>
    <cellStyle name="Normal 30 8 6" xfId="34031" xr:uid="{00000000-0005-0000-0000-000060820000}"/>
    <cellStyle name="Normal 30 8 6 2" xfId="34032" xr:uid="{00000000-0005-0000-0000-000061820000}"/>
    <cellStyle name="Normal 30 8 6 3" xfId="34033" xr:uid="{00000000-0005-0000-0000-000062820000}"/>
    <cellStyle name="Normal 30 8 6 4" xfId="34034" xr:uid="{00000000-0005-0000-0000-000063820000}"/>
    <cellStyle name="Normal 30 8 6 5" xfId="34035" xr:uid="{00000000-0005-0000-0000-000064820000}"/>
    <cellStyle name="Normal 30 8 6 6" xfId="34036" xr:uid="{00000000-0005-0000-0000-000065820000}"/>
    <cellStyle name="Normal 30 8 7" xfId="34037" xr:uid="{00000000-0005-0000-0000-000066820000}"/>
    <cellStyle name="Normal 30 8 7 2" xfId="34038" xr:uid="{00000000-0005-0000-0000-000067820000}"/>
    <cellStyle name="Normal 30 8 7 3" xfId="34039" xr:uid="{00000000-0005-0000-0000-000068820000}"/>
    <cellStyle name="Normal 30 8 7 4" xfId="34040" xr:uid="{00000000-0005-0000-0000-000069820000}"/>
    <cellStyle name="Normal 30 8 7 5" xfId="34041" xr:uid="{00000000-0005-0000-0000-00006A820000}"/>
    <cellStyle name="Normal 30 8 7 6" xfId="34042" xr:uid="{00000000-0005-0000-0000-00006B820000}"/>
    <cellStyle name="Normal 30 8 8" xfId="34043" xr:uid="{00000000-0005-0000-0000-00006C820000}"/>
    <cellStyle name="Normal 30 8 8 2" xfId="34044" xr:uid="{00000000-0005-0000-0000-00006D820000}"/>
    <cellStyle name="Normal 30 8 8 3" xfId="34045" xr:uid="{00000000-0005-0000-0000-00006E820000}"/>
    <cellStyle name="Normal 30 8 8 4" xfId="34046" xr:uid="{00000000-0005-0000-0000-00006F820000}"/>
    <cellStyle name="Normal 30 8 8 5" xfId="34047" xr:uid="{00000000-0005-0000-0000-000070820000}"/>
    <cellStyle name="Normal 30 8 8 6" xfId="34048" xr:uid="{00000000-0005-0000-0000-000071820000}"/>
    <cellStyle name="Normal 30 8 9" xfId="34049" xr:uid="{00000000-0005-0000-0000-000072820000}"/>
    <cellStyle name="Normal 30 9" xfId="34050" xr:uid="{00000000-0005-0000-0000-000073820000}"/>
    <cellStyle name="Normal 30 9 10" xfId="34051" xr:uid="{00000000-0005-0000-0000-000074820000}"/>
    <cellStyle name="Normal 30 9 11" xfId="34052" xr:uid="{00000000-0005-0000-0000-000075820000}"/>
    <cellStyle name="Normal 30 9 12" xfId="34053" xr:uid="{00000000-0005-0000-0000-000076820000}"/>
    <cellStyle name="Normal 30 9 13" xfId="34054" xr:uid="{00000000-0005-0000-0000-000077820000}"/>
    <cellStyle name="Normal 30 9 2" xfId="34055" xr:uid="{00000000-0005-0000-0000-000078820000}"/>
    <cellStyle name="Normal 30 9 2 2" xfId="34056" xr:uid="{00000000-0005-0000-0000-000079820000}"/>
    <cellStyle name="Normal 30 9 2 3" xfId="34057" xr:uid="{00000000-0005-0000-0000-00007A820000}"/>
    <cellStyle name="Normal 30 9 2 4" xfId="34058" xr:uid="{00000000-0005-0000-0000-00007B820000}"/>
    <cellStyle name="Normal 30 9 2 5" xfId="34059" xr:uid="{00000000-0005-0000-0000-00007C820000}"/>
    <cellStyle name="Normal 30 9 2 6" xfId="34060" xr:uid="{00000000-0005-0000-0000-00007D820000}"/>
    <cellStyle name="Normal 30 9 3" xfId="34061" xr:uid="{00000000-0005-0000-0000-00007E820000}"/>
    <cellStyle name="Normal 30 9 3 2" xfId="34062" xr:uid="{00000000-0005-0000-0000-00007F820000}"/>
    <cellStyle name="Normal 30 9 3 3" xfId="34063" xr:uid="{00000000-0005-0000-0000-000080820000}"/>
    <cellStyle name="Normal 30 9 3 4" xfId="34064" xr:uid="{00000000-0005-0000-0000-000081820000}"/>
    <cellStyle name="Normal 30 9 3 5" xfId="34065" xr:uid="{00000000-0005-0000-0000-000082820000}"/>
    <cellStyle name="Normal 30 9 3 6" xfId="34066" xr:uid="{00000000-0005-0000-0000-000083820000}"/>
    <cellStyle name="Normal 30 9 4" xfId="34067" xr:uid="{00000000-0005-0000-0000-000084820000}"/>
    <cellStyle name="Normal 30 9 4 2" xfId="34068" xr:uid="{00000000-0005-0000-0000-000085820000}"/>
    <cellStyle name="Normal 30 9 4 3" xfId="34069" xr:uid="{00000000-0005-0000-0000-000086820000}"/>
    <cellStyle name="Normal 30 9 4 4" xfId="34070" xr:uid="{00000000-0005-0000-0000-000087820000}"/>
    <cellStyle name="Normal 30 9 4 5" xfId="34071" xr:uid="{00000000-0005-0000-0000-000088820000}"/>
    <cellStyle name="Normal 30 9 4 6" xfId="34072" xr:uid="{00000000-0005-0000-0000-000089820000}"/>
    <cellStyle name="Normal 30 9 5" xfId="34073" xr:uid="{00000000-0005-0000-0000-00008A820000}"/>
    <cellStyle name="Normal 30 9 5 2" xfId="34074" xr:uid="{00000000-0005-0000-0000-00008B820000}"/>
    <cellStyle name="Normal 30 9 5 3" xfId="34075" xr:uid="{00000000-0005-0000-0000-00008C820000}"/>
    <cellStyle name="Normal 30 9 5 4" xfId="34076" xr:uid="{00000000-0005-0000-0000-00008D820000}"/>
    <cellStyle name="Normal 30 9 5 5" xfId="34077" xr:uid="{00000000-0005-0000-0000-00008E820000}"/>
    <cellStyle name="Normal 30 9 5 6" xfId="34078" xr:uid="{00000000-0005-0000-0000-00008F820000}"/>
    <cellStyle name="Normal 30 9 6" xfId="34079" xr:uid="{00000000-0005-0000-0000-000090820000}"/>
    <cellStyle name="Normal 30 9 6 2" xfId="34080" xr:uid="{00000000-0005-0000-0000-000091820000}"/>
    <cellStyle name="Normal 30 9 6 3" xfId="34081" xr:uid="{00000000-0005-0000-0000-000092820000}"/>
    <cellStyle name="Normal 30 9 6 4" xfId="34082" xr:uid="{00000000-0005-0000-0000-000093820000}"/>
    <cellStyle name="Normal 30 9 6 5" xfId="34083" xr:uid="{00000000-0005-0000-0000-000094820000}"/>
    <cellStyle name="Normal 30 9 6 6" xfId="34084" xr:uid="{00000000-0005-0000-0000-000095820000}"/>
    <cellStyle name="Normal 30 9 7" xfId="34085" xr:uid="{00000000-0005-0000-0000-000096820000}"/>
    <cellStyle name="Normal 30 9 7 2" xfId="34086" xr:uid="{00000000-0005-0000-0000-000097820000}"/>
    <cellStyle name="Normal 30 9 7 3" xfId="34087" xr:uid="{00000000-0005-0000-0000-000098820000}"/>
    <cellStyle name="Normal 30 9 7 4" xfId="34088" xr:uid="{00000000-0005-0000-0000-000099820000}"/>
    <cellStyle name="Normal 30 9 7 5" xfId="34089" xr:uid="{00000000-0005-0000-0000-00009A820000}"/>
    <cellStyle name="Normal 30 9 7 6" xfId="34090" xr:uid="{00000000-0005-0000-0000-00009B820000}"/>
    <cellStyle name="Normal 30 9 8" xfId="34091" xr:uid="{00000000-0005-0000-0000-00009C820000}"/>
    <cellStyle name="Normal 30 9 8 2" xfId="34092" xr:uid="{00000000-0005-0000-0000-00009D820000}"/>
    <cellStyle name="Normal 30 9 8 3" xfId="34093" xr:uid="{00000000-0005-0000-0000-00009E820000}"/>
    <cellStyle name="Normal 30 9 8 4" xfId="34094" xr:uid="{00000000-0005-0000-0000-00009F820000}"/>
    <cellStyle name="Normal 30 9 8 5" xfId="34095" xr:uid="{00000000-0005-0000-0000-0000A0820000}"/>
    <cellStyle name="Normal 30 9 8 6" xfId="34096" xr:uid="{00000000-0005-0000-0000-0000A1820000}"/>
    <cellStyle name="Normal 30 9 9" xfId="34097" xr:uid="{00000000-0005-0000-0000-0000A2820000}"/>
    <cellStyle name="Normal 31" xfId="1813" xr:uid="{00000000-0005-0000-0000-0000A3820000}"/>
    <cellStyle name="Normal 31 10" xfId="34098" xr:uid="{00000000-0005-0000-0000-0000A4820000}"/>
    <cellStyle name="Normal 31 10 10" xfId="34099" xr:uid="{00000000-0005-0000-0000-0000A5820000}"/>
    <cellStyle name="Normal 31 10 11" xfId="34100" xr:uid="{00000000-0005-0000-0000-0000A6820000}"/>
    <cellStyle name="Normal 31 10 12" xfId="34101" xr:uid="{00000000-0005-0000-0000-0000A7820000}"/>
    <cellStyle name="Normal 31 10 13" xfId="34102" xr:uid="{00000000-0005-0000-0000-0000A8820000}"/>
    <cellStyle name="Normal 31 10 2" xfId="34103" xr:uid="{00000000-0005-0000-0000-0000A9820000}"/>
    <cellStyle name="Normal 31 10 2 2" xfId="34104" xr:uid="{00000000-0005-0000-0000-0000AA820000}"/>
    <cellStyle name="Normal 31 10 2 3" xfId="34105" xr:uid="{00000000-0005-0000-0000-0000AB820000}"/>
    <cellStyle name="Normal 31 10 2 4" xfId="34106" xr:uid="{00000000-0005-0000-0000-0000AC820000}"/>
    <cellStyle name="Normal 31 10 2 5" xfId="34107" xr:uid="{00000000-0005-0000-0000-0000AD820000}"/>
    <cellStyle name="Normal 31 10 2 6" xfId="34108" xr:uid="{00000000-0005-0000-0000-0000AE820000}"/>
    <cellStyle name="Normal 31 10 3" xfId="34109" xr:uid="{00000000-0005-0000-0000-0000AF820000}"/>
    <cellStyle name="Normal 31 10 3 2" xfId="34110" xr:uid="{00000000-0005-0000-0000-0000B0820000}"/>
    <cellStyle name="Normal 31 10 3 3" xfId="34111" xr:uid="{00000000-0005-0000-0000-0000B1820000}"/>
    <cellStyle name="Normal 31 10 3 4" xfId="34112" xr:uid="{00000000-0005-0000-0000-0000B2820000}"/>
    <cellStyle name="Normal 31 10 3 5" xfId="34113" xr:uid="{00000000-0005-0000-0000-0000B3820000}"/>
    <cellStyle name="Normal 31 10 3 6" xfId="34114" xr:uid="{00000000-0005-0000-0000-0000B4820000}"/>
    <cellStyle name="Normal 31 10 4" xfId="34115" xr:uid="{00000000-0005-0000-0000-0000B5820000}"/>
    <cellStyle name="Normal 31 10 4 2" xfId="34116" xr:uid="{00000000-0005-0000-0000-0000B6820000}"/>
    <cellStyle name="Normal 31 10 4 3" xfId="34117" xr:uid="{00000000-0005-0000-0000-0000B7820000}"/>
    <cellStyle name="Normal 31 10 4 4" xfId="34118" xr:uid="{00000000-0005-0000-0000-0000B8820000}"/>
    <cellStyle name="Normal 31 10 4 5" xfId="34119" xr:uid="{00000000-0005-0000-0000-0000B9820000}"/>
    <cellStyle name="Normal 31 10 4 6" xfId="34120" xr:uid="{00000000-0005-0000-0000-0000BA820000}"/>
    <cellStyle name="Normal 31 10 5" xfId="34121" xr:uid="{00000000-0005-0000-0000-0000BB820000}"/>
    <cellStyle name="Normal 31 10 5 2" xfId="34122" xr:uid="{00000000-0005-0000-0000-0000BC820000}"/>
    <cellStyle name="Normal 31 10 5 3" xfId="34123" xr:uid="{00000000-0005-0000-0000-0000BD820000}"/>
    <cellStyle name="Normal 31 10 5 4" xfId="34124" xr:uid="{00000000-0005-0000-0000-0000BE820000}"/>
    <cellStyle name="Normal 31 10 5 5" xfId="34125" xr:uid="{00000000-0005-0000-0000-0000BF820000}"/>
    <cellStyle name="Normal 31 10 5 6" xfId="34126" xr:uid="{00000000-0005-0000-0000-0000C0820000}"/>
    <cellStyle name="Normal 31 10 6" xfId="34127" xr:uid="{00000000-0005-0000-0000-0000C1820000}"/>
    <cellStyle name="Normal 31 10 6 2" xfId="34128" xr:uid="{00000000-0005-0000-0000-0000C2820000}"/>
    <cellStyle name="Normal 31 10 6 3" xfId="34129" xr:uid="{00000000-0005-0000-0000-0000C3820000}"/>
    <cellStyle name="Normal 31 10 6 4" xfId="34130" xr:uid="{00000000-0005-0000-0000-0000C4820000}"/>
    <cellStyle name="Normal 31 10 6 5" xfId="34131" xr:uid="{00000000-0005-0000-0000-0000C5820000}"/>
    <cellStyle name="Normal 31 10 6 6" xfId="34132" xr:uid="{00000000-0005-0000-0000-0000C6820000}"/>
    <cellStyle name="Normal 31 10 7" xfId="34133" xr:uid="{00000000-0005-0000-0000-0000C7820000}"/>
    <cellStyle name="Normal 31 10 7 2" xfId="34134" xr:uid="{00000000-0005-0000-0000-0000C8820000}"/>
    <cellStyle name="Normal 31 10 7 3" xfId="34135" xr:uid="{00000000-0005-0000-0000-0000C9820000}"/>
    <cellStyle name="Normal 31 10 7 4" xfId="34136" xr:uid="{00000000-0005-0000-0000-0000CA820000}"/>
    <cellStyle name="Normal 31 10 7 5" xfId="34137" xr:uid="{00000000-0005-0000-0000-0000CB820000}"/>
    <cellStyle name="Normal 31 10 7 6" xfId="34138" xr:uid="{00000000-0005-0000-0000-0000CC820000}"/>
    <cellStyle name="Normal 31 10 8" xfId="34139" xr:uid="{00000000-0005-0000-0000-0000CD820000}"/>
    <cellStyle name="Normal 31 10 8 2" xfId="34140" xr:uid="{00000000-0005-0000-0000-0000CE820000}"/>
    <cellStyle name="Normal 31 10 8 3" xfId="34141" xr:uid="{00000000-0005-0000-0000-0000CF820000}"/>
    <cellStyle name="Normal 31 10 8 4" xfId="34142" xr:uid="{00000000-0005-0000-0000-0000D0820000}"/>
    <cellStyle name="Normal 31 10 8 5" xfId="34143" xr:uid="{00000000-0005-0000-0000-0000D1820000}"/>
    <cellStyle name="Normal 31 10 8 6" xfId="34144" xr:uid="{00000000-0005-0000-0000-0000D2820000}"/>
    <cellStyle name="Normal 31 10 9" xfId="34145" xr:uid="{00000000-0005-0000-0000-0000D3820000}"/>
    <cellStyle name="Normal 31 11" xfId="34146" xr:uid="{00000000-0005-0000-0000-0000D4820000}"/>
    <cellStyle name="Normal 31 11 10" xfId="34147" xr:uid="{00000000-0005-0000-0000-0000D5820000}"/>
    <cellStyle name="Normal 31 11 11" xfId="34148" xr:uid="{00000000-0005-0000-0000-0000D6820000}"/>
    <cellStyle name="Normal 31 11 12" xfId="34149" xr:uid="{00000000-0005-0000-0000-0000D7820000}"/>
    <cellStyle name="Normal 31 11 13" xfId="34150" xr:uid="{00000000-0005-0000-0000-0000D8820000}"/>
    <cellStyle name="Normal 31 11 2" xfId="34151" xr:uid="{00000000-0005-0000-0000-0000D9820000}"/>
    <cellStyle name="Normal 31 11 2 2" xfId="34152" xr:uid="{00000000-0005-0000-0000-0000DA820000}"/>
    <cellStyle name="Normal 31 11 2 3" xfId="34153" xr:uid="{00000000-0005-0000-0000-0000DB820000}"/>
    <cellStyle name="Normal 31 11 2 4" xfId="34154" xr:uid="{00000000-0005-0000-0000-0000DC820000}"/>
    <cellStyle name="Normal 31 11 2 5" xfId="34155" xr:uid="{00000000-0005-0000-0000-0000DD820000}"/>
    <cellStyle name="Normal 31 11 2 6" xfId="34156" xr:uid="{00000000-0005-0000-0000-0000DE820000}"/>
    <cellStyle name="Normal 31 11 3" xfId="34157" xr:uid="{00000000-0005-0000-0000-0000DF820000}"/>
    <cellStyle name="Normal 31 11 3 2" xfId="34158" xr:uid="{00000000-0005-0000-0000-0000E0820000}"/>
    <cellStyle name="Normal 31 11 3 3" xfId="34159" xr:uid="{00000000-0005-0000-0000-0000E1820000}"/>
    <cellStyle name="Normal 31 11 3 4" xfId="34160" xr:uid="{00000000-0005-0000-0000-0000E2820000}"/>
    <cellStyle name="Normal 31 11 3 5" xfId="34161" xr:uid="{00000000-0005-0000-0000-0000E3820000}"/>
    <cellStyle name="Normal 31 11 3 6" xfId="34162" xr:uid="{00000000-0005-0000-0000-0000E4820000}"/>
    <cellStyle name="Normal 31 11 4" xfId="34163" xr:uid="{00000000-0005-0000-0000-0000E5820000}"/>
    <cellStyle name="Normal 31 11 4 2" xfId="34164" xr:uid="{00000000-0005-0000-0000-0000E6820000}"/>
    <cellStyle name="Normal 31 11 4 3" xfId="34165" xr:uid="{00000000-0005-0000-0000-0000E7820000}"/>
    <cellStyle name="Normal 31 11 4 4" xfId="34166" xr:uid="{00000000-0005-0000-0000-0000E8820000}"/>
    <cellStyle name="Normal 31 11 4 5" xfId="34167" xr:uid="{00000000-0005-0000-0000-0000E9820000}"/>
    <cellStyle name="Normal 31 11 4 6" xfId="34168" xr:uid="{00000000-0005-0000-0000-0000EA820000}"/>
    <cellStyle name="Normal 31 11 5" xfId="34169" xr:uid="{00000000-0005-0000-0000-0000EB820000}"/>
    <cellStyle name="Normal 31 11 5 2" xfId="34170" xr:uid="{00000000-0005-0000-0000-0000EC820000}"/>
    <cellStyle name="Normal 31 11 5 3" xfId="34171" xr:uid="{00000000-0005-0000-0000-0000ED820000}"/>
    <cellStyle name="Normal 31 11 5 4" xfId="34172" xr:uid="{00000000-0005-0000-0000-0000EE820000}"/>
    <cellStyle name="Normal 31 11 5 5" xfId="34173" xr:uid="{00000000-0005-0000-0000-0000EF820000}"/>
    <cellStyle name="Normal 31 11 5 6" xfId="34174" xr:uid="{00000000-0005-0000-0000-0000F0820000}"/>
    <cellStyle name="Normal 31 11 6" xfId="34175" xr:uid="{00000000-0005-0000-0000-0000F1820000}"/>
    <cellStyle name="Normal 31 11 6 2" xfId="34176" xr:uid="{00000000-0005-0000-0000-0000F2820000}"/>
    <cellStyle name="Normal 31 11 6 3" xfId="34177" xr:uid="{00000000-0005-0000-0000-0000F3820000}"/>
    <cellStyle name="Normal 31 11 6 4" xfId="34178" xr:uid="{00000000-0005-0000-0000-0000F4820000}"/>
    <cellStyle name="Normal 31 11 6 5" xfId="34179" xr:uid="{00000000-0005-0000-0000-0000F5820000}"/>
    <cellStyle name="Normal 31 11 6 6" xfId="34180" xr:uid="{00000000-0005-0000-0000-0000F6820000}"/>
    <cellStyle name="Normal 31 11 7" xfId="34181" xr:uid="{00000000-0005-0000-0000-0000F7820000}"/>
    <cellStyle name="Normal 31 11 7 2" xfId="34182" xr:uid="{00000000-0005-0000-0000-0000F8820000}"/>
    <cellStyle name="Normal 31 11 7 3" xfId="34183" xr:uid="{00000000-0005-0000-0000-0000F9820000}"/>
    <cellStyle name="Normal 31 11 7 4" xfId="34184" xr:uid="{00000000-0005-0000-0000-0000FA820000}"/>
    <cellStyle name="Normal 31 11 7 5" xfId="34185" xr:uid="{00000000-0005-0000-0000-0000FB820000}"/>
    <cellStyle name="Normal 31 11 7 6" xfId="34186" xr:uid="{00000000-0005-0000-0000-0000FC820000}"/>
    <cellStyle name="Normal 31 11 8" xfId="34187" xr:uid="{00000000-0005-0000-0000-0000FD820000}"/>
    <cellStyle name="Normal 31 11 8 2" xfId="34188" xr:uid="{00000000-0005-0000-0000-0000FE820000}"/>
    <cellStyle name="Normal 31 11 8 3" xfId="34189" xr:uid="{00000000-0005-0000-0000-0000FF820000}"/>
    <cellStyle name="Normal 31 11 8 4" xfId="34190" xr:uid="{00000000-0005-0000-0000-000000830000}"/>
    <cellStyle name="Normal 31 11 8 5" xfId="34191" xr:uid="{00000000-0005-0000-0000-000001830000}"/>
    <cellStyle name="Normal 31 11 8 6" xfId="34192" xr:uid="{00000000-0005-0000-0000-000002830000}"/>
    <cellStyle name="Normal 31 11 9" xfId="34193" xr:uid="{00000000-0005-0000-0000-000003830000}"/>
    <cellStyle name="Normal 31 12" xfId="34194" xr:uid="{00000000-0005-0000-0000-000004830000}"/>
    <cellStyle name="Normal 31 12 2" xfId="34195" xr:uid="{00000000-0005-0000-0000-000005830000}"/>
    <cellStyle name="Normal 31 12 3" xfId="34196" xr:uid="{00000000-0005-0000-0000-000006830000}"/>
    <cellStyle name="Normal 31 12 4" xfId="34197" xr:uid="{00000000-0005-0000-0000-000007830000}"/>
    <cellStyle name="Normal 31 12 5" xfId="34198" xr:uid="{00000000-0005-0000-0000-000008830000}"/>
    <cellStyle name="Normal 31 12 6" xfId="34199" xr:uid="{00000000-0005-0000-0000-000009830000}"/>
    <cellStyle name="Normal 31 13" xfId="34200" xr:uid="{00000000-0005-0000-0000-00000A830000}"/>
    <cellStyle name="Normal 31 13 2" xfId="34201" xr:uid="{00000000-0005-0000-0000-00000B830000}"/>
    <cellStyle name="Normal 31 13 3" xfId="34202" xr:uid="{00000000-0005-0000-0000-00000C830000}"/>
    <cellStyle name="Normal 31 13 4" xfId="34203" xr:uid="{00000000-0005-0000-0000-00000D830000}"/>
    <cellStyle name="Normal 31 13 5" xfId="34204" xr:uid="{00000000-0005-0000-0000-00000E830000}"/>
    <cellStyle name="Normal 31 13 6" xfId="34205" xr:uid="{00000000-0005-0000-0000-00000F830000}"/>
    <cellStyle name="Normal 31 14" xfId="34206" xr:uid="{00000000-0005-0000-0000-000010830000}"/>
    <cellStyle name="Normal 31 14 2" xfId="34207" xr:uid="{00000000-0005-0000-0000-000011830000}"/>
    <cellStyle name="Normal 31 14 3" xfId="34208" xr:uid="{00000000-0005-0000-0000-000012830000}"/>
    <cellStyle name="Normal 31 14 4" xfId="34209" xr:uid="{00000000-0005-0000-0000-000013830000}"/>
    <cellStyle name="Normal 31 14 5" xfId="34210" xr:uid="{00000000-0005-0000-0000-000014830000}"/>
    <cellStyle name="Normal 31 14 6" xfId="34211" xr:uid="{00000000-0005-0000-0000-000015830000}"/>
    <cellStyle name="Normal 31 15" xfId="34212" xr:uid="{00000000-0005-0000-0000-000016830000}"/>
    <cellStyle name="Normal 31 15 2" xfId="34213" xr:uid="{00000000-0005-0000-0000-000017830000}"/>
    <cellStyle name="Normal 31 15 3" xfId="34214" xr:uid="{00000000-0005-0000-0000-000018830000}"/>
    <cellStyle name="Normal 31 15 4" xfId="34215" xr:uid="{00000000-0005-0000-0000-000019830000}"/>
    <cellStyle name="Normal 31 15 5" xfId="34216" xr:uid="{00000000-0005-0000-0000-00001A830000}"/>
    <cellStyle name="Normal 31 15 6" xfId="34217" xr:uid="{00000000-0005-0000-0000-00001B830000}"/>
    <cellStyle name="Normal 31 16" xfId="34218" xr:uid="{00000000-0005-0000-0000-00001C830000}"/>
    <cellStyle name="Normal 31 16 2" xfId="34219" xr:uid="{00000000-0005-0000-0000-00001D830000}"/>
    <cellStyle name="Normal 31 16 3" xfId="34220" xr:uid="{00000000-0005-0000-0000-00001E830000}"/>
    <cellStyle name="Normal 31 16 4" xfId="34221" xr:uid="{00000000-0005-0000-0000-00001F830000}"/>
    <cellStyle name="Normal 31 16 5" xfId="34222" xr:uid="{00000000-0005-0000-0000-000020830000}"/>
    <cellStyle name="Normal 31 16 6" xfId="34223" xr:uid="{00000000-0005-0000-0000-000021830000}"/>
    <cellStyle name="Normal 31 17" xfId="34224" xr:uid="{00000000-0005-0000-0000-000022830000}"/>
    <cellStyle name="Normal 31 17 2" xfId="34225" xr:uid="{00000000-0005-0000-0000-000023830000}"/>
    <cellStyle name="Normal 31 17 3" xfId="34226" xr:uid="{00000000-0005-0000-0000-000024830000}"/>
    <cellStyle name="Normal 31 17 4" xfId="34227" xr:uid="{00000000-0005-0000-0000-000025830000}"/>
    <cellStyle name="Normal 31 17 5" xfId="34228" xr:uid="{00000000-0005-0000-0000-000026830000}"/>
    <cellStyle name="Normal 31 17 6" xfId="34229" xr:uid="{00000000-0005-0000-0000-000027830000}"/>
    <cellStyle name="Normal 31 18" xfId="34230" xr:uid="{00000000-0005-0000-0000-000028830000}"/>
    <cellStyle name="Normal 31 18 2" xfId="34231" xr:uid="{00000000-0005-0000-0000-000029830000}"/>
    <cellStyle name="Normal 31 18 3" xfId="34232" xr:uid="{00000000-0005-0000-0000-00002A830000}"/>
    <cellStyle name="Normal 31 18 4" xfId="34233" xr:uid="{00000000-0005-0000-0000-00002B830000}"/>
    <cellStyle name="Normal 31 18 5" xfId="34234" xr:uid="{00000000-0005-0000-0000-00002C830000}"/>
    <cellStyle name="Normal 31 18 6" xfId="34235" xr:uid="{00000000-0005-0000-0000-00002D830000}"/>
    <cellStyle name="Normal 31 19" xfId="34236" xr:uid="{00000000-0005-0000-0000-00002E830000}"/>
    <cellStyle name="Normal 31 2" xfId="1887" xr:uid="{00000000-0005-0000-0000-00002F830000}"/>
    <cellStyle name="Normal 31 2 10" xfId="34237" xr:uid="{00000000-0005-0000-0000-000030830000}"/>
    <cellStyle name="Normal 31 2 11" xfId="34238" xr:uid="{00000000-0005-0000-0000-000031830000}"/>
    <cellStyle name="Normal 31 2 12" xfId="34239" xr:uid="{00000000-0005-0000-0000-000032830000}"/>
    <cellStyle name="Normal 31 2 13" xfId="34240" xr:uid="{00000000-0005-0000-0000-000033830000}"/>
    <cellStyle name="Normal 31 2 14" xfId="43254" xr:uid="{00000000-0005-0000-0000-000034830000}"/>
    <cellStyle name="Normal 31 2 2" xfId="2075" xr:uid="{00000000-0005-0000-0000-000035830000}"/>
    <cellStyle name="Normal 31 2 2 2" xfId="2537" xr:uid="{00000000-0005-0000-0000-000036830000}"/>
    <cellStyle name="Normal 31 2 2 3" xfId="34241" xr:uid="{00000000-0005-0000-0000-000037830000}"/>
    <cellStyle name="Normal 31 2 2 4" xfId="34242" xr:uid="{00000000-0005-0000-0000-000038830000}"/>
    <cellStyle name="Normal 31 2 2 5" xfId="34243" xr:uid="{00000000-0005-0000-0000-000039830000}"/>
    <cellStyle name="Normal 31 2 2 6" xfId="34244" xr:uid="{00000000-0005-0000-0000-00003A830000}"/>
    <cellStyle name="Normal 31 2 2 7" xfId="43352" xr:uid="{00000000-0005-0000-0000-00003B830000}"/>
    <cellStyle name="Normal 31 2 3" xfId="2538" xr:uid="{00000000-0005-0000-0000-00003C830000}"/>
    <cellStyle name="Normal 31 2 3 2" xfId="34245" xr:uid="{00000000-0005-0000-0000-00003D830000}"/>
    <cellStyle name="Normal 31 2 3 3" xfId="34246" xr:uid="{00000000-0005-0000-0000-00003E830000}"/>
    <cellStyle name="Normal 31 2 3 4" xfId="34247" xr:uid="{00000000-0005-0000-0000-00003F830000}"/>
    <cellStyle name="Normal 31 2 3 5" xfId="34248" xr:uid="{00000000-0005-0000-0000-000040830000}"/>
    <cellStyle name="Normal 31 2 3 6" xfId="34249" xr:uid="{00000000-0005-0000-0000-000041830000}"/>
    <cellStyle name="Normal 31 2 3 7" xfId="43353" xr:uid="{00000000-0005-0000-0000-000042830000}"/>
    <cellStyle name="Normal 31 2 4" xfId="2437" xr:uid="{00000000-0005-0000-0000-000043830000}"/>
    <cellStyle name="Normal 31 2 4 2" xfId="34250" xr:uid="{00000000-0005-0000-0000-000044830000}"/>
    <cellStyle name="Normal 31 2 4 3" xfId="34251" xr:uid="{00000000-0005-0000-0000-000045830000}"/>
    <cellStyle name="Normal 31 2 4 4" xfId="34252" xr:uid="{00000000-0005-0000-0000-000046830000}"/>
    <cellStyle name="Normal 31 2 4 5" xfId="34253" xr:uid="{00000000-0005-0000-0000-000047830000}"/>
    <cellStyle name="Normal 31 2 4 6" xfId="34254" xr:uid="{00000000-0005-0000-0000-000048830000}"/>
    <cellStyle name="Normal 31 2 5" xfId="2407" xr:uid="{00000000-0005-0000-0000-000049830000}"/>
    <cellStyle name="Normal 31 2 5 2" xfId="34255" xr:uid="{00000000-0005-0000-0000-00004A830000}"/>
    <cellStyle name="Normal 31 2 5 3" xfId="34256" xr:uid="{00000000-0005-0000-0000-00004B830000}"/>
    <cellStyle name="Normal 31 2 5 4" xfId="34257" xr:uid="{00000000-0005-0000-0000-00004C830000}"/>
    <cellStyle name="Normal 31 2 5 5" xfId="34258" xr:uid="{00000000-0005-0000-0000-00004D830000}"/>
    <cellStyle name="Normal 31 2 5 6" xfId="34259" xr:uid="{00000000-0005-0000-0000-00004E830000}"/>
    <cellStyle name="Normal 31 2 6" xfId="34260" xr:uid="{00000000-0005-0000-0000-00004F830000}"/>
    <cellStyle name="Normal 31 2 6 2" xfId="34261" xr:uid="{00000000-0005-0000-0000-000050830000}"/>
    <cellStyle name="Normal 31 2 6 3" xfId="34262" xr:uid="{00000000-0005-0000-0000-000051830000}"/>
    <cellStyle name="Normal 31 2 6 4" xfId="34263" xr:uid="{00000000-0005-0000-0000-000052830000}"/>
    <cellStyle name="Normal 31 2 6 5" xfId="34264" xr:uid="{00000000-0005-0000-0000-000053830000}"/>
    <cellStyle name="Normal 31 2 6 6" xfId="34265" xr:uid="{00000000-0005-0000-0000-000054830000}"/>
    <cellStyle name="Normal 31 2 7" xfId="34266" xr:uid="{00000000-0005-0000-0000-000055830000}"/>
    <cellStyle name="Normal 31 2 7 2" xfId="34267" xr:uid="{00000000-0005-0000-0000-000056830000}"/>
    <cellStyle name="Normal 31 2 7 3" xfId="34268" xr:uid="{00000000-0005-0000-0000-000057830000}"/>
    <cellStyle name="Normal 31 2 7 4" xfId="34269" xr:uid="{00000000-0005-0000-0000-000058830000}"/>
    <cellStyle name="Normal 31 2 7 5" xfId="34270" xr:uid="{00000000-0005-0000-0000-000059830000}"/>
    <cellStyle name="Normal 31 2 7 6" xfId="34271" xr:uid="{00000000-0005-0000-0000-00005A830000}"/>
    <cellStyle name="Normal 31 2 8" xfId="34272" xr:uid="{00000000-0005-0000-0000-00005B830000}"/>
    <cellStyle name="Normal 31 2 8 2" xfId="34273" xr:uid="{00000000-0005-0000-0000-00005C830000}"/>
    <cellStyle name="Normal 31 2 8 3" xfId="34274" xr:uid="{00000000-0005-0000-0000-00005D830000}"/>
    <cellStyle name="Normal 31 2 8 4" xfId="34275" xr:uid="{00000000-0005-0000-0000-00005E830000}"/>
    <cellStyle name="Normal 31 2 8 5" xfId="34276" xr:uid="{00000000-0005-0000-0000-00005F830000}"/>
    <cellStyle name="Normal 31 2 8 6" xfId="34277" xr:uid="{00000000-0005-0000-0000-000060830000}"/>
    <cellStyle name="Normal 31 2 9" xfId="34278" xr:uid="{00000000-0005-0000-0000-000061830000}"/>
    <cellStyle name="Normal 31 20" xfId="34279" xr:uid="{00000000-0005-0000-0000-000062830000}"/>
    <cellStyle name="Normal 31 21" xfId="34280" xr:uid="{00000000-0005-0000-0000-000063830000}"/>
    <cellStyle name="Normal 31 22" xfId="34281" xr:uid="{00000000-0005-0000-0000-000064830000}"/>
    <cellStyle name="Normal 31 23" xfId="34282" xr:uid="{00000000-0005-0000-0000-000065830000}"/>
    <cellStyle name="Normal 31 24" xfId="43253" xr:uid="{00000000-0005-0000-0000-000066830000}"/>
    <cellStyle name="Normal 31 3" xfId="2026" xr:uid="{00000000-0005-0000-0000-000067830000}"/>
    <cellStyle name="Normal 31 3 10" xfId="34283" xr:uid="{00000000-0005-0000-0000-000068830000}"/>
    <cellStyle name="Normal 31 3 11" xfId="34284" xr:uid="{00000000-0005-0000-0000-000069830000}"/>
    <cellStyle name="Normal 31 3 12" xfId="34285" xr:uid="{00000000-0005-0000-0000-00006A830000}"/>
    <cellStyle name="Normal 31 3 13" xfId="34286" xr:uid="{00000000-0005-0000-0000-00006B830000}"/>
    <cellStyle name="Normal 31 3 14" xfId="43354" xr:uid="{00000000-0005-0000-0000-00006C830000}"/>
    <cellStyle name="Normal 31 3 2" xfId="2539" xr:uid="{00000000-0005-0000-0000-00006D830000}"/>
    <cellStyle name="Normal 31 3 2 2" xfId="34287" xr:uid="{00000000-0005-0000-0000-00006E830000}"/>
    <cellStyle name="Normal 31 3 2 3" xfId="34288" xr:uid="{00000000-0005-0000-0000-00006F830000}"/>
    <cellStyle name="Normal 31 3 2 4" xfId="34289" xr:uid="{00000000-0005-0000-0000-000070830000}"/>
    <cellStyle name="Normal 31 3 2 5" xfId="34290" xr:uid="{00000000-0005-0000-0000-000071830000}"/>
    <cellStyle name="Normal 31 3 2 6" xfId="34291" xr:uid="{00000000-0005-0000-0000-000072830000}"/>
    <cellStyle name="Normal 31 3 3" xfId="34292" xr:uid="{00000000-0005-0000-0000-000073830000}"/>
    <cellStyle name="Normal 31 3 3 2" xfId="34293" xr:uid="{00000000-0005-0000-0000-000074830000}"/>
    <cellStyle name="Normal 31 3 3 3" xfId="34294" xr:uid="{00000000-0005-0000-0000-000075830000}"/>
    <cellStyle name="Normal 31 3 3 4" xfId="34295" xr:uid="{00000000-0005-0000-0000-000076830000}"/>
    <cellStyle name="Normal 31 3 3 5" xfId="34296" xr:uid="{00000000-0005-0000-0000-000077830000}"/>
    <cellStyle name="Normal 31 3 3 6" xfId="34297" xr:uid="{00000000-0005-0000-0000-000078830000}"/>
    <cellStyle name="Normal 31 3 4" xfId="34298" xr:uid="{00000000-0005-0000-0000-000079830000}"/>
    <cellStyle name="Normal 31 3 4 2" xfId="34299" xr:uid="{00000000-0005-0000-0000-00007A830000}"/>
    <cellStyle name="Normal 31 3 4 3" xfId="34300" xr:uid="{00000000-0005-0000-0000-00007B830000}"/>
    <cellStyle name="Normal 31 3 4 4" xfId="34301" xr:uid="{00000000-0005-0000-0000-00007C830000}"/>
    <cellStyle name="Normal 31 3 4 5" xfId="34302" xr:uid="{00000000-0005-0000-0000-00007D830000}"/>
    <cellStyle name="Normal 31 3 4 6" xfId="34303" xr:uid="{00000000-0005-0000-0000-00007E830000}"/>
    <cellStyle name="Normal 31 3 5" xfId="34304" xr:uid="{00000000-0005-0000-0000-00007F830000}"/>
    <cellStyle name="Normal 31 3 5 2" xfId="34305" xr:uid="{00000000-0005-0000-0000-000080830000}"/>
    <cellStyle name="Normal 31 3 5 3" xfId="34306" xr:uid="{00000000-0005-0000-0000-000081830000}"/>
    <cellStyle name="Normal 31 3 5 4" xfId="34307" xr:uid="{00000000-0005-0000-0000-000082830000}"/>
    <cellStyle name="Normal 31 3 5 5" xfId="34308" xr:uid="{00000000-0005-0000-0000-000083830000}"/>
    <cellStyle name="Normal 31 3 5 6" xfId="34309" xr:uid="{00000000-0005-0000-0000-000084830000}"/>
    <cellStyle name="Normal 31 3 6" xfId="34310" xr:uid="{00000000-0005-0000-0000-000085830000}"/>
    <cellStyle name="Normal 31 3 6 2" xfId="34311" xr:uid="{00000000-0005-0000-0000-000086830000}"/>
    <cellStyle name="Normal 31 3 6 3" xfId="34312" xr:uid="{00000000-0005-0000-0000-000087830000}"/>
    <cellStyle name="Normal 31 3 6 4" xfId="34313" xr:uid="{00000000-0005-0000-0000-000088830000}"/>
    <cellStyle name="Normal 31 3 6 5" xfId="34314" xr:uid="{00000000-0005-0000-0000-000089830000}"/>
    <cellStyle name="Normal 31 3 6 6" xfId="34315" xr:uid="{00000000-0005-0000-0000-00008A830000}"/>
    <cellStyle name="Normal 31 3 7" xfId="34316" xr:uid="{00000000-0005-0000-0000-00008B830000}"/>
    <cellStyle name="Normal 31 3 7 2" xfId="34317" xr:uid="{00000000-0005-0000-0000-00008C830000}"/>
    <cellStyle name="Normal 31 3 7 3" xfId="34318" xr:uid="{00000000-0005-0000-0000-00008D830000}"/>
    <cellStyle name="Normal 31 3 7 4" xfId="34319" xr:uid="{00000000-0005-0000-0000-00008E830000}"/>
    <cellStyle name="Normal 31 3 7 5" xfId="34320" xr:uid="{00000000-0005-0000-0000-00008F830000}"/>
    <cellStyle name="Normal 31 3 7 6" xfId="34321" xr:uid="{00000000-0005-0000-0000-000090830000}"/>
    <cellStyle name="Normal 31 3 8" xfId="34322" xr:uid="{00000000-0005-0000-0000-000091830000}"/>
    <cellStyle name="Normal 31 3 8 2" xfId="34323" xr:uid="{00000000-0005-0000-0000-000092830000}"/>
    <cellStyle name="Normal 31 3 8 3" xfId="34324" xr:uid="{00000000-0005-0000-0000-000093830000}"/>
    <cellStyle name="Normal 31 3 8 4" xfId="34325" xr:uid="{00000000-0005-0000-0000-000094830000}"/>
    <cellStyle name="Normal 31 3 8 5" xfId="34326" xr:uid="{00000000-0005-0000-0000-000095830000}"/>
    <cellStyle name="Normal 31 3 8 6" xfId="34327" xr:uid="{00000000-0005-0000-0000-000096830000}"/>
    <cellStyle name="Normal 31 3 9" xfId="34328" xr:uid="{00000000-0005-0000-0000-000097830000}"/>
    <cellStyle name="Normal 31 4" xfId="2540" xr:uid="{00000000-0005-0000-0000-000098830000}"/>
    <cellStyle name="Normal 31 4 10" xfId="34329" xr:uid="{00000000-0005-0000-0000-000099830000}"/>
    <cellStyle name="Normal 31 4 11" xfId="34330" xr:uid="{00000000-0005-0000-0000-00009A830000}"/>
    <cellStyle name="Normal 31 4 12" xfId="34331" xr:uid="{00000000-0005-0000-0000-00009B830000}"/>
    <cellStyle name="Normal 31 4 13" xfId="34332" xr:uid="{00000000-0005-0000-0000-00009C830000}"/>
    <cellStyle name="Normal 31 4 14" xfId="43355" xr:uid="{00000000-0005-0000-0000-00009D830000}"/>
    <cellStyle name="Normal 31 4 2" xfId="34333" xr:uid="{00000000-0005-0000-0000-00009E830000}"/>
    <cellStyle name="Normal 31 4 2 2" xfId="34334" xr:uid="{00000000-0005-0000-0000-00009F830000}"/>
    <cellStyle name="Normal 31 4 2 3" xfId="34335" xr:uid="{00000000-0005-0000-0000-0000A0830000}"/>
    <cellStyle name="Normal 31 4 2 4" xfId="34336" xr:uid="{00000000-0005-0000-0000-0000A1830000}"/>
    <cellStyle name="Normal 31 4 2 5" xfId="34337" xr:uid="{00000000-0005-0000-0000-0000A2830000}"/>
    <cellStyle name="Normal 31 4 2 6" xfId="34338" xr:uid="{00000000-0005-0000-0000-0000A3830000}"/>
    <cellStyle name="Normal 31 4 3" xfId="34339" xr:uid="{00000000-0005-0000-0000-0000A4830000}"/>
    <cellStyle name="Normal 31 4 3 2" xfId="34340" xr:uid="{00000000-0005-0000-0000-0000A5830000}"/>
    <cellStyle name="Normal 31 4 3 3" xfId="34341" xr:uid="{00000000-0005-0000-0000-0000A6830000}"/>
    <cellStyle name="Normal 31 4 3 4" xfId="34342" xr:uid="{00000000-0005-0000-0000-0000A7830000}"/>
    <cellStyle name="Normal 31 4 3 5" xfId="34343" xr:uid="{00000000-0005-0000-0000-0000A8830000}"/>
    <cellStyle name="Normal 31 4 3 6" xfId="34344" xr:uid="{00000000-0005-0000-0000-0000A9830000}"/>
    <cellStyle name="Normal 31 4 4" xfId="34345" xr:uid="{00000000-0005-0000-0000-0000AA830000}"/>
    <cellStyle name="Normal 31 4 4 2" xfId="34346" xr:uid="{00000000-0005-0000-0000-0000AB830000}"/>
    <cellStyle name="Normal 31 4 4 3" xfId="34347" xr:uid="{00000000-0005-0000-0000-0000AC830000}"/>
    <cellStyle name="Normal 31 4 4 4" xfId="34348" xr:uid="{00000000-0005-0000-0000-0000AD830000}"/>
    <cellStyle name="Normal 31 4 4 5" xfId="34349" xr:uid="{00000000-0005-0000-0000-0000AE830000}"/>
    <cellStyle name="Normal 31 4 4 6" xfId="34350" xr:uid="{00000000-0005-0000-0000-0000AF830000}"/>
    <cellStyle name="Normal 31 4 5" xfId="34351" xr:uid="{00000000-0005-0000-0000-0000B0830000}"/>
    <cellStyle name="Normal 31 4 5 2" xfId="34352" xr:uid="{00000000-0005-0000-0000-0000B1830000}"/>
    <cellStyle name="Normal 31 4 5 3" xfId="34353" xr:uid="{00000000-0005-0000-0000-0000B2830000}"/>
    <cellStyle name="Normal 31 4 5 4" xfId="34354" xr:uid="{00000000-0005-0000-0000-0000B3830000}"/>
    <cellStyle name="Normal 31 4 5 5" xfId="34355" xr:uid="{00000000-0005-0000-0000-0000B4830000}"/>
    <cellStyle name="Normal 31 4 5 6" xfId="34356" xr:uid="{00000000-0005-0000-0000-0000B5830000}"/>
    <cellStyle name="Normal 31 4 6" xfId="34357" xr:uid="{00000000-0005-0000-0000-0000B6830000}"/>
    <cellStyle name="Normal 31 4 6 2" xfId="34358" xr:uid="{00000000-0005-0000-0000-0000B7830000}"/>
    <cellStyle name="Normal 31 4 6 3" xfId="34359" xr:uid="{00000000-0005-0000-0000-0000B8830000}"/>
    <cellStyle name="Normal 31 4 6 4" xfId="34360" xr:uid="{00000000-0005-0000-0000-0000B9830000}"/>
    <cellStyle name="Normal 31 4 6 5" xfId="34361" xr:uid="{00000000-0005-0000-0000-0000BA830000}"/>
    <cellStyle name="Normal 31 4 6 6" xfId="34362" xr:uid="{00000000-0005-0000-0000-0000BB830000}"/>
    <cellStyle name="Normal 31 4 7" xfId="34363" xr:uid="{00000000-0005-0000-0000-0000BC830000}"/>
    <cellStyle name="Normal 31 4 7 2" xfId="34364" xr:uid="{00000000-0005-0000-0000-0000BD830000}"/>
    <cellStyle name="Normal 31 4 7 3" xfId="34365" xr:uid="{00000000-0005-0000-0000-0000BE830000}"/>
    <cellStyle name="Normal 31 4 7 4" xfId="34366" xr:uid="{00000000-0005-0000-0000-0000BF830000}"/>
    <cellStyle name="Normal 31 4 7 5" xfId="34367" xr:uid="{00000000-0005-0000-0000-0000C0830000}"/>
    <cellStyle name="Normal 31 4 7 6" xfId="34368" xr:uid="{00000000-0005-0000-0000-0000C1830000}"/>
    <cellStyle name="Normal 31 4 8" xfId="34369" xr:uid="{00000000-0005-0000-0000-0000C2830000}"/>
    <cellStyle name="Normal 31 4 8 2" xfId="34370" xr:uid="{00000000-0005-0000-0000-0000C3830000}"/>
    <cellStyle name="Normal 31 4 8 3" xfId="34371" xr:uid="{00000000-0005-0000-0000-0000C4830000}"/>
    <cellStyle name="Normal 31 4 8 4" xfId="34372" xr:uid="{00000000-0005-0000-0000-0000C5830000}"/>
    <cellStyle name="Normal 31 4 8 5" xfId="34373" xr:uid="{00000000-0005-0000-0000-0000C6830000}"/>
    <cellStyle name="Normal 31 4 8 6" xfId="34374" xr:uid="{00000000-0005-0000-0000-0000C7830000}"/>
    <cellStyle name="Normal 31 4 9" xfId="34375" xr:uid="{00000000-0005-0000-0000-0000C8830000}"/>
    <cellStyle name="Normal 31 5" xfId="2436" xr:uid="{00000000-0005-0000-0000-0000C9830000}"/>
    <cellStyle name="Normal 31 5 10" xfId="34376" xr:uid="{00000000-0005-0000-0000-0000CA830000}"/>
    <cellStyle name="Normal 31 5 11" xfId="34377" xr:uid="{00000000-0005-0000-0000-0000CB830000}"/>
    <cellStyle name="Normal 31 5 12" xfId="34378" xr:uid="{00000000-0005-0000-0000-0000CC830000}"/>
    <cellStyle name="Normal 31 5 13" xfId="34379" xr:uid="{00000000-0005-0000-0000-0000CD830000}"/>
    <cellStyle name="Normal 31 5 2" xfId="34380" xr:uid="{00000000-0005-0000-0000-0000CE830000}"/>
    <cellStyle name="Normal 31 5 2 2" xfId="34381" xr:uid="{00000000-0005-0000-0000-0000CF830000}"/>
    <cellStyle name="Normal 31 5 2 3" xfId="34382" xr:uid="{00000000-0005-0000-0000-0000D0830000}"/>
    <cellStyle name="Normal 31 5 2 4" xfId="34383" xr:uid="{00000000-0005-0000-0000-0000D1830000}"/>
    <cellStyle name="Normal 31 5 2 5" xfId="34384" xr:uid="{00000000-0005-0000-0000-0000D2830000}"/>
    <cellStyle name="Normal 31 5 2 6" xfId="34385" xr:uid="{00000000-0005-0000-0000-0000D3830000}"/>
    <cellStyle name="Normal 31 5 3" xfId="34386" xr:uid="{00000000-0005-0000-0000-0000D4830000}"/>
    <cellStyle name="Normal 31 5 3 2" xfId="34387" xr:uid="{00000000-0005-0000-0000-0000D5830000}"/>
    <cellStyle name="Normal 31 5 3 3" xfId="34388" xr:uid="{00000000-0005-0000-0000-0000D6830000}"/>
    <cellStyle name="Normal 31 5 3 4" xfId="34389" xr:uid="{00000000-0005-0000-0000-0000D7830000}"/>
    <cellStyle name="Normal 31 5 3 5" xfId="34390" xr:uid="{00000000-0005-0000-0000-0000D8830000}"/>
    <cellStyle name="Normal 31 5 3 6" xfId="34391" xr:uid="{00000000-0005-0000-0000-0000D9830000}"/>
    <cellStyle name="Normal 31 5 4" xfId="34392" xr:uid="{00000000-0005-0000-0000-0000DA830000}"/>
    <cellStyle name="Normal 31 5 4 2" xfId="34393" xr:uid="{00000000-0005-0000-0000-0000DB830000}"/>
    <cellStyle name="Normal 31 5 4 3" xfId="34394" xr:uid="{00000000-0005-0000-0000-0000DC830000}"/>
    <cellStyle name="Normal 31 5 4 4" xfId="34395" xr:uid="{00000000-0005-0000-0000-0000DD830000}"/>
    <cellStyle name="Normal 31 5 4 5" xfId="34396" xr:uid="{00000000-0005-0000-0000-0000DE830000}"/>
    <cellStyle name="Normal 31 5 4 6" xfId="34397" xr:uid="{00000000-0005-0000-0000-0000DF830000}"/>
    <cellStyle name="Normal 31 5 5" xfId="34398" xr:uid="{00000000-0005-0000-0000-0000E0830000}"/>
    <cellStyle name="Normal 31 5 5 2" xfId="34399" xr:uid="{00000000-0005-0000-0000-0000E1830000}"/>
    <cellStyle name="Normal 31 5 5 3" xfId="34400" xr:uid="{00000000-0005-0000-0000-0000E2830000}"/>
    <cellStyle name="Normal 31 5 5 4" xfId="34401" xr:uid="{00000000-0005-0000-0000-0000E3830000}"/>
    <cellStyle name="Normal 31 5 5 5" xfId="34402" xr:uid="{00000000-0005-0000-0000-0000E4830000}"/>
    <cellStyle name="Normal 31 5 5 6" xfId="34403" xr:uid="{00000000-0005-0000-0000-0000E5830000}"/>
    <cellStyle name="Normal 31 5 6" xfId="34404" xr:uid="{00000000-0005-0000-0000-0000E6830000}"/>
    <cellStyle name="Normal 31 5 6 2" xfId="34405" xr:uid="{00000000-0005-0000-0000-0000E7830000}"/>
    <cellStyle name="Normal 31 5 6 3" xfId="34406" xr:uid="{00000000-0005-0000-0000-0000E8830000}"/>
    <cellStyle name="Normal 31 5 6 4" xfId="34407" xr:uid="{00000000-0005-0000-0000-0000E9830000}"/>
    <cellStyle name="Normal 31 5 6 5" xfId="34408" xr:uid="{00000000-0005-0000-0000-0000EA830000}"/>
    <cellStyle name="Normal 31 5 6 6" xfId="34409" xr:uid="{00000000-0005-0000-0000-0000EB830000}"/>
    <cellStyle name="Normal 31 5 7" xfId="34410" xr:uid="{00000000-0005-0000-0000-0000EC830000}"/>
    <cellStyle name="Normal 31 5 7 2" xfId="34411" xr:uid="{00000000-0005-0000-0000-0000ED830000}"/>
    <cellStyle name="Normal 31 5 7 3" xfId="34412" xr:uid="{00000000-0005-0000-0000-0000EE830000}"/>
    <cellStyle name="Normal 31 5 7 4" xfId="34413" xr:uid="{00000000-0005-0000-0000-0000EF830000}"/>
    <cellStyle name="Normal 31 5 7 5" xfId="34414" xr:uid="{00000000-0005-0000-0000-0000F0830000}"/>
    <cellStyle name="Normal 31 5 7 6" xfId="34415" xr:uid="{00000000-0005-0000-0000-0000F1830000}"/>
    <cellStyle name="Normal 31 5 8" xfId="34416" xr:uid="{00000000-0005-0000-0000-0000F2830000}"/>
    <cellStyle name="Normal 31 5 8 2" xfId="34417" xr:uid="{00000000-0005-0000-0000-0000F3830000}"/>
    <cellStyle name="Normal 31 5 8 3" xfId="34418" xr:uid="{00000000-0005-0000-0000-0000F4830000}"/>
    <cellStyle name="Normal 31 5 8 4" xfId="34419" xr:uid="{00000000-0005-0000-0000-0000F5830000}"/>
    <cellStyle name="Normal 31 5 8 5" xfId="34420" xr:uid="{00000000-0005-0000-0000-0000F6830000}"/>
    <cellStyle name="Normal 31 5 8 6" xfId="34421" xr:uid="{00000000-0005-0000-0000-0000F7830000}"/>
    <cellStyle name="Normal 31 5 9" xfId="34422" xr:uid="{00000000-0005-0000-0000-0000F8830000}"/>
    <cellStyle name="Normal 31 6" xfId="2375" xr:uid="{00000000-0005-0000-0000-0000F9830000}"/>
    <cellStyle name="Normal 31 6 10" xfId="34423" xr:uid="{00000000-0005-0000-0000-0000FA830000}"/>
    <cellStyle name="Normal 31 6 11" xfId="34424" xr:uid="{00000000-0005-0000-0000-0000FB830000}"/>
    <cellStyle name="Normal 31 6 12" xfId="34425" xr:uid="{00000000-0005-0000-0000-0000FC830000}"/>
    <cellStyle name="Normal 31 6 13" xfId="34426" xr:uid="{00000000-0005-0000-0000-0000FD830000}"/>
    <cellStyle name="Normal 31 6 2" xfId="34427" xr:uid="{00000000-0005-0000-0000-0000FE830000}"/>
    <cellStyle name="Normal 31 6 2 2" xfId="34428" xr:uid="{00000000-0005-0000-0000-0000FF830000}"/>
    <cellStyle name="Normal 31 6 2 3" xfId="34429" xr:uid="{00000000-0005-0000-0000-000000840000}"/>
    <cellStyle name="Normal 31 6 2 4" xfId="34430" xr:uid="{00000000-0005-0000-0000-000001840000}"/>
    <cellStyle name="Normal 31 6 2 5" xfId="34431" xr:uid="{00000000-0005-0000-0000-000002840000}"/>
    <cellStyle name="Normal 31 6 2 6" xfId="34432" xr:uid="{00000000-0005-0000-0000-000003840000}"/>
    <cellStyle name="Normal 31 6 3" xfId="34433" xr:uid="{00000000-0005-0000-0000-000004840000}"/>
    <cellStyle name="Normal 31 6 3 2" xfId="34434" xr:uid="{00000000-0005-0000-0000-000005840000}"/>
    <cellStyle name="Normal 31 6 3 3" xfId="34435" xr:uid="{00000000-0005-0000-0000-000006840000}"/>
    <cellStyle name="Normal 31 6 3 4" xfId="34436" xr:uid="{00000000-0005-0000-0000-000007840000}"/>
    <cellStyle name="Normal 31 6 3 5" xfId="34437" xr:uid="{00000000-0005-0000-0000-000008840000}"/>
    <cellStyle name="Normal 31 6 3 6" xfId="34438" xr:uid="{00000000-0005-0000-0000-000009840000}"/>
    <cellStyle name="Normal 31 6 4" xfId="34439" xr:uid="{00000000-0005-0000-0000-00000A840000}"/>
    <cellStyle name="Normal 31 6 4 2" xfId="34440" xr:uid="{00000000-0005-0000-0000-00000B840000}"/>
    <cellStyle name="Normal 31 6 4 3" xfId="34441" xr:uid="{00000000-0005-0000-0000-00000C840000}"/>
    <cellStyle name="Normal 31 6 4 4" xfId="34442" xr:uid="{00000000-0005-0000-0000-00000D840000}"/>
    <cellStyle name="Normal 31 6 4 5" xfId="34443" xr:uid="{00000000-0005-0000-0000-00000E840000}"/>
    <cellStyle name="Normal 31 6 4 6" xfId="34444" xr:uid="{00000000-0005-0000-0000-00000F840000}"/>
    <cellStyle name="Normal 31 6 5" xfId="34445" xr:uid="{00000000-0005-0000-0000-000010840000}"/>
    <cellStyle name="Normal 31 6 5 2" xfId="34446" xr:uid="{00000000-0005-0000-0000-000011840000}"/>
    <cellStyle name="Normal 31 6 5 3" xfId="34447" xr:uid="{00000000-0005-0000-0000-000012840000}"/>
    <cellStyle name="Normal 31 6 5 4" xfId="34448" xr:uid="{00000000-0005-0000-0000-000013840000}"/>
    <cellStyle name="Normal 31 6 5 5" xfId="34449" xr:uid="{00000000-0005-0000-0000-000014840000}"/>
    <cellStyle name="Normal 31 6 5 6" xfId="34450" xr:uid="{00000000-0005-0000-0000-000015840000}"/>
    <cellStyle name="Normal 31 6 6" xfId="34451" xr:uid="{00000000-0005-0000-0000-000016840000}"/>
    <cellStyle name="Normal 31 6 6 2" xfId="34452" xr:uid="{00000000-0005-0000-0000-000017840000}"/>
    <cellStyle name="Normal 31 6 6 3" xfId="34453" xr:uid="{00000000-0005-0000-0000-000018840000}"/>
    <cellStyle name="Normal 31 6 6 4" xfId="34454" xr:uid="{00000000-0005-0000-0000-000019840000}"/>
    <cellStyle name="Normal 31 6 6 5" xfId="34455" xr:uid="{00000000-0005-0000-0000-00001A840000}"/>
    <cellStyle name="Normal 31 6 6 6" xfId="34456" xr:uid="{00000000-0005-0000-0000-00001B840000}"/>
    <cellStyle name="Normal 31 6 7" xfId="34457" xr:uid="{00000000-0005-0000-0000-00001C840000}"/>
    <cellStyle name="Normal 31 6 7 2" xfId="34458" xr:uid="{00000000-0005-0000-0000-00001D840000}"/>
    <cellStyle name="Normal 31 6 7 3" xfId="34459" xr:uid="{00000000-0005-0000-0000-00001E840000}"/>
    <cellStyle name="Normal 31 6 7 4" xfId="34460" xr:uid="{00000000-0005-0000-0000-00001F840000}"/>
    <cellStyle name="Normal 31 6 7 5" xfId="34461" xr:uid="{00000000-0005-0000-0000-000020840000}"/>
    <cellStyle name="Normal 31 6 7 6" xfId="34462" xr:uid="{00000000-0005-0000-0000-000021840000}"/>
    <cellStyle name="Normal 31 6 8" xfId="34463" xr:uid="{00000000-0005-0000-0000-000022840000}"/>
    <cellStyle name="Normal 31 6 8 2" xfId="34464" xr:uid="{00000000-0005-0000-0000-000023840000}"/>
    <cellStyle name="Normal 31 6 8 3" xfId="34465" xr:uid="{00000000-0005-0000-0000-000024840000}"/>
    <cellStyle name="Normal 31 6 8 4" xfId="34466" xr:uid="{00000000-0005-0000-0000-000025840000}"/>
    <cellStyle name="Normal 31 6 8 5" xfId="34467" xr:uid="{00000000-0005-0000-0000-000026840000}"/>
    <cellStyle name="Normal 31 6 8 6" xfId="34468" xr:uid="{00000000-0005-0000-0000-000027840000}"/>
    <cellStyle name="Normal 31 6 9" xfId="34469" xr:uid="{00000000-0005-0000-0000-000028840000}"/>
    <cellStyle name="Normal 31 7" xfId="34470" xr:uid="{00000000-0005-0000-0000-000029840000}"/>
    <cellStyle name="Normal 31 7 10" xfId="34471" xr:uid="{00000000-0005-0000-0000-00002A840000}"/>
    <cellStyle name="Normal 31 7 11" xfId="34472" xr:uid="{00000000-0005-0000-0000-00002B840000}"/>
    <cellStyle name="Normal 31 7 12" xfId="34473" xr:uid="{00000000-0005-0000-0000-00002C840000}"/>
    <cellStyle name="Normal 31 7 13" xfId="34474" xr:uid="{00000000-0005-0000-0000-00002D840000}"/>
    <cellStyle name="Normal 31 7 2" xfId="34475" xr:uid="{00000000-0005-0000-0000-00002E840000}"/>
    <cellStyle name="Normal 31 7 2 2" xfId="34476" xr:uid="{00000000-0005-0000-0000-00002F840000}"/>
    <cellStyle name="Normal 31 7 2 3" xfId="34477" xr:uid="{00000000-0005-0000-0000-000030840000}"/>
    <cellStyle name="Normal 31 7 2 4" xfId="34478" xr:uid="{00000000-0005-0000-0000-000031840000}"/>
    <cellStyle name="Normal 31 7 2 5" xfId="34479" xr:uid="{00000000-0005-0000-0000-000032840000}"/>
    <cellStyle name="Normal 31 7 2 6" xfId="34480" xr:uid="{00000000-0005-0000-0000-000033840000}"/>
    <cellStyle name="Normal 31 7 3" xfId="34481" xr:uid="{00000000-0005-0000-0000-000034840000}"/>
    <cellStyle name="Normal 31 7 3 2" xfId="34482" xr:uid="{00000000-0005-0000-0000-000035840000}"/>
    <cellStyle name="Normal 31 7 3 3" xfId="34483" xr:uid="{00000000-0005-0000-0000-000036840000}"/>
    <cellStyle name="Normal 31 7 3 4" xfId="34484" xr:uid="{00000000-0005-0000-0000-000037840000}"/>
    <cellStyle name="Normal 31 7 3 5" xfId="34485" xr:uid="{00000000-0005-0000-0000-000038840000}"/>
    <cellStyle name="Normal 31 7 3 6" xfId="34486" xr:uid="{00000000-0005-0000-0000-000039840000}"/>
    <cellStyle name="Normal 31 7 4" xfId="34487" xr:uid="{00000000-0005-0000-0000-00003A840000}"/>
    <cellStyle name="Normal 31 7 4 2" xfId="34488" xr:uid="{00000000-0005-0000-0000-00003B840000}"/>
    <cellStyle name="Normal 31 7 4 3" xfId="34489" xr:uid="{00000000-0005-0000-0000-00003C840000}"/>
    <cellStyle name="Normal 31 7 4 4" xfId="34490" xr:uid="{00000000-0005-0000-0000-00003D840000}"/>
    <cellStyle name="Normal 31 7 4 5" xfId="34491" xr:uid="{00000000-0005-0000-0000-00003E840000}"/>
    <cellStyle name="Normal 31 7 4 6" xfId="34492" xr:uid="{00000000-0005-0000-0000-00003F840000}"/>
    <cellStyle name="Normal 31 7 5" xfId="34493" xr:uid="{00000000-0005-0000-0000-000040840000}"/>
    <cellStyle name="Normal 31 7 5 2" xfId="34494" xr:uid="{00000000-0005-0000-0000-000041840000}"/>
    <cellStyle name="Normal 31 7 5 3" xfId="34495" xr:uid="{00000000-0005-0000-0000-000042840000}"/>
    <cellStyle name="Normal 31 7 5 4" xfId="34496" xr:uid="{00000000-0005-0000-0000-000043840000}"/>
    <cellStyle name="Normal 31 7 5 5" xfId="34497" xr:uid="{00000000-0005-0000-0000-000044840000}"/>
    <cellStyle name="Normal 31 7 5 6" xfId="34498" xr:uid="{00000000-0005-0000-0000-000045840000}"/>
    <cellStyle name="Normal 31 7 6" xfId="34499" xr:uid="{00000000-0005-0000-0000-000046840000}"/>
    <cellStyle name="Normal 31 7 6 2" xfId="34500" xr:uid="{00000000-0005-0000-0000-000047840000}"/>
    <cellStyle name="Normal 31 7 6 3" xfId="34501" xr:uid="{00000000-0005-0000-0000-000048840000}"/>
    <cellStyle name="Normal 31 7 6 4" xfId="34502" xr:uid="{00000000-0005-0000-0000-000049840000}"/>
    <cellStyle name="Normal 31 7 6 5" xfId="34503" xr:uid="{00000000-0005-0000-0000-00004A840000}"/>
    <cellStyle name="Normal 31 7 6 6" xfId="34504" xr:uid="{00000000-0005-0000-0000-00004B840000}"/>
    <cellStyle name="Normal 31 7 7" xfId="34505" xr:uid="{00000000-0005-0000-0000-00004C840000}"/>
    <cellStyle name="Normal 31 7 7 2" xfId="34506" xr:uid="{00000000-0005-0000-0000-00004D840000}"/>
    <cellStyle name="Normal 31 7 7 3" xfId="34507" xr:uid="{00000000-0005-0000-0000-00004E840000}"/>
    <cellStyle name="Normal 31 7 7 4" xfId="34508" xr:uid="{00000000-0005-0000-0000-00004F840000}"/>
    <cellStyle name="Normal 31 7 7 5" xfId="34509" xr:uid="{00000000-0005-0000-0000-000050840000}"/>
    <cellStyle name="Normal 31 7 7 6" xfId="34510" xr:uid="{00000000-0005-0000-0000-000051840000}"/>
    <cellStyle name="Normal 31 7 8" xfId="34511" xr:uid="{00000000-0005-0000-0000-000052840000}"/>
    <cellStyle name="Normal 31 7 8 2" xfId="34512" xr:uid="{00000000-0005-0000-0000-000053840000}"/>
    <cellStyle name="Normal 31 7 8 3" xfId="34513" xr:uid="{00000000-0005-0000-0000-000054840000}"/>
    <cellStyle name="Normal 31 7 8 4" xfId="34514" xr:uid="{00000000-0005-0000-0000-000055840000}"/>
    <cellStyle name="Normal 31 7 8 5" xfId="34515" xr:uid="{00000000-0005-0000-0000-000056840000}"/>
    <cellStyle name="Normal 31 7 8 6" xfId="34516" xr:uid="{00000000-0005-0000-0000-000057840000}"/>
    <cellStyle name="Normal 31 7 9" xfId="34517" xr:uid="{00000000-0005-0000-0000-000058840000}"/>
    <cellStyle name="Normal 31 8" xfId="34518" xr:uid="{00000000-0005-0000-0000-000059840000}"/>
    <cellStyle name="Normal 31 8 10" xfId="34519" xr:uid="{00000000-0005-0000-0000-00005A840000}"/>
    <cellStyle name="Normal 31 8 11" xfId="34520" xr:uid="{00000000-0005-0000-0000-00005B840000}"/>
    <cellStyle name="Normal 31 8 12" xfId="34521" xr:uid="{00000000-0005-0000-0000-00005C840000}"/>
    <cellStyle name="Normal 31 8 13" xfId="34522" xr:uid="{00000000-0005-0000-0000-00005D840000}"/>
    <cellStyle name="Normal 31 8 2" xfId="34523" xr:uid="{00000000-0005-0000-0000-00005E840000}"/>
    <cellStyle name="Normal 31 8 2 2" xfId="34524" xr:uid="{00000000-0005-0000-0000-00005F840000}"/>
    <cellStyle name="Normal 31 8 2 3" xfId="34525" xr:uid="{00000000-0005-0000-0000-000060840000}"/>
    <cellStyle name="Normal 31 8 2 4" xfId="34526" xr:uid="{00000000-0005-0000-0000-000061840000}"/>
    <cellStyle name="Normal 31 8 2 5" xfId="34527" xr:uid="{00000000-0005-0000-0000-000062840000}"/>
    <cellStyle name="Normal 31 8 2 6" xfId="34528" xr:uid="{00000000-0005-0000-0000-000063840000}"/>
    <cellStyle name="Normal 31 8 3" xfId="34529" xr:uid="{00000000-0005-0000-0000-000064840000}"/>
    <cellStyle name="Normal 31 8 3 2" xfId="34530" xr:uid="{00000000-0005-0000-0000-000065840000}"/>
    <cellStyle name="Normal 31 8 3 3" xfId="34531" xr:uid="{00000000-0005-0000-0000-000066840000}"/>
    <cellStyle name="Normal 31 8 3 4" xfId="34532" xr:uid="{00000000-0005-0000-0000-000067840000}"/>
    <cellStyle name="Normal 31 8 3 5" xfId="34533" xr:uid="{00000000-0005-0000-0000-000068840000}"/>
    <cellStyle name="Normal 31 8 3 6" xfId="34534" xr:uid="{00000000-0005-0000-0000-000069840000}"/>
    <cellStyle name="Normal 31 8 4" xfId="34535" xr:uid="{00000000-0005-0000-0000-00006A840000}"/>
    <cellStyle name="Normal 31 8 4 2" xfId="34536" xr:uid="{00000000-0005-0000-0000-00006B840000}"/>
    <cellStyle name="Normal 31 8 4 3" xfId="34537" xr:uid="{00000000-0005-0000-0000-00006C840000}"/>
    <cellStyle name="Normal 31 8 4 4" xfId="34538" xr:uid="{00000000-0005-0000-0000-00006D840000}"/>
    <cellStyle name="Normal 31 8 4 5" xfId="34539" xr:uid="{00000000-0005-0000-0000-00006E840000}"/>
    <cellStyle name="Normal 31 8 4 6" xfId="34540" xr:uid="{00000000-0005-0000-0000-00006F840000}"/>
    <cellStyle name="Normal 31 8 5" xfId="34541" xr:uid="{00000000-0005-0000-0000-000070840000}"/>
    <cellStyle name="Normal 31 8 5 2" xfId="34542" xr:uid="{00000000-0005-0000-0000-000071840000}"/>
    <cellStyle name="Normal 31 8 5 3" xfId="34543" xr:uid="{00000000-0005-0000-0000-000072840000}"/>
    <cellStyle name="Normal 31 8 5 4" xfId="34544" xr:uid="{00000000-0005-0000-0000-000073840000}"/>
    <cellStyle name="Normal 31 8 5 5" xfId="34545" xr:uid="{00000000-0005-0000-0000-000074840000}"/>
    <cellStyle name="Normal 31 8 5 6" xfId="34546" xr:uid="{00000000-0005-0000-0000-000075840000}"/>
    <cellStyle name="Normal 31 8 6" xfId="34547" xr:uid="{00000000-0005-0000-0000-000076840000}"/>
    <cellStyle name="Normal 31 8 6 2" xfId="34548" xr:uid="{00000000-0005-0000-0000-000077840000}"/>
    <cellStyle name="Normal 31 8 6 3" xfId="34549" xr:uid="{00000000-0005-0000-0000-000078840000}"/>
    <cellStyle name="Normal 31 8 6 4" xfId="34550" xr:uid="{00000000-0005-0000-0000-000079840000}"/>
    <cellStyle name="Normal 31 8 6 5" xfId="34551" xr:uid="{00000000-0005-0000-0000-00007A840000}"/>
    <cellStyle name="Normal 31 8 6 6" xfId="34552" xr:uid="{00000000-0005-0000-0000-00007B840000}"/>
    <cellStyle name="Normal 31 8 7" xfId="34553" xr:uid="{00000000-0005-0000-0000-00007C840000}"/>
    <cellStyle name="Normal 31 8 7 2" xfId="34554" xr:uid="{00000000-0005-0000-0000-00007D840000}"/>
    <cellStyle name="Normal 31 8 7 3" xfId="34555" xr:uid="{00000000-0005-0000-0000-00007E840000}"/>
    <cellStyle name="Normal 31 8 7 4" xfId="34556" xr:uid="{00000000-0005-0000-0000-00007F840000}"/>
    <cellStyle name="Normal 31 8 7 5" xfId="34557" xr:uid="{00000000-0005-0000-0000-000080840000}"/>
    <cellStyle name="Normal 31 8 7 6" xfId="34558" xr:uid="{00000000-0005-0000-0000-000081840000}"/>
    <cellStyle name="Normal 31 8 8" xfId="34559" xr:uid="{00000000-0005-0000-0000-000082840000}"/>
    <cellStyle name="Normal 31 8 8 2" xfId="34560" xr:uid="{00000000-0005-0000-0000-000083840000}"/>
    <cellStyle name="Normal 31 8 8 3" xfId="34561" xr:uid="{00000000-0005-0000-0000-000084840000}"/>
    <cellStyle name="Normal 31 8 8 4" xfId="34562" xr:uid="{00000000-0005-0000-0000-000085840000}"/>
    <cellStyle name="Normal 31 8 8 5" xfId="34563" xr:uid="{00000000-0005-0000-0000-000086840000}"/>
    <cellStyle name="Normal 31 8 8 6" xfId="34564" xr:uid="{00000000-0005-0000-0000-000087840000}"/>
    <cellStyle name="Normal 31 8 9" xfId="34565" xr:uid="{00000000-0005-0000-0000-000088840000}"/>
    <cellStyle name="Normal 31 9" xfId="34566" xr:uid="{00000000-0005-0000-0000-000089840000}"/>
    <cellStyle name="Normal 31 9 10" xfId="34567" xr:uid="{00000000-0005-0000-0000-00008A840000}"/>
    <cellStyle name="Normal 31 9 11" xfId="34568" xr:uid="{00000000-0005-0000-0000-00008B840000}"/>
    <cellStyle name="Normal 31 9 12" xfId="34569" xr:uid="{00000000-0005-0000-0000-00008C840000}"/>
    <cellStyle name="Normal 31 9 13" xfId="34570" xr:uid="{00000000-0005-0000-0000-00008D840000}"/>
    <cellStyle name="Normal 31 9 2" xfId="34571" xr:uid="{00000000-0005-0000-0000-00008E840000}"/>
    <cellStyle name="Normal 31 9 2 2" xfId="34572" xr:uid="{00000000-0005-0000-0000-00008F840000}"/>
    <cellStyle name="Normal 31 9 2 3" xfId="34573" xr:uid="{00000000-0005-0000-0000-000090840000}"/>
    <cellStyle name="Normal 31 9 2 4" xfId="34574" xr:uid="{00000000-0005-0000-0000-000091840000}"/>
    <cellStyle name="Normal 31 9 2 5" xfId="34575" xr:uid="{00000000-0005-0000-0000-000092840000}"/>
    <cellStyle name="Normal 31 9 2 6" xfId="34576" xr:uid="{00000000-0005-0000-0000-000093840000}"/>
    <cellStyle name="Normal 31 9 3" xfId="34577" xr:uid="{00000000-0005-0000-0000-000094840000}"/>
    <cellStyle name="Normal 31 9 3 2" xfId="34578" xr:uid="{00000000-0005-0000-0000-000095840000}"/>
    <cellStyle name="Normal 31 9 3 3" xfId="34579" xr:uid="{00000000-0005-0000-0000-000096840000}"/>
    <cellStyle name="Normal 31 9 3 4" xfId="34580" xr:uid="{00000000-0005-0000-0000-000097840000}"/>
    <cellStyle name="Normal 31 9 3 5" xfId="34581" xr:uid="{00000000-0005-0000-0000-000098840000}"/>
    <cellStyle name="Normal 31 9 3 6" xfId="34582" xr:uid="{00000000-0005-0000-0000-000099840000}"/>
    <cellStyle name="Normal 31 9 4" xfId="34583" xr:uid="{00000000-0005-0000-0000-00009A840000}"/>
    <cellStyle name="Normal 31 9 4 2" xfId="34584" xr:uid="{00000000-0005-0000-0000-00009B840000}"/>
    <cellStyle name="Normal 31 9 4 3" xfId="34585" xr:uid="{00000000-0005-0000-0000-00009C840000}"/>
    <cellStyle name="Normal 31 9 4 4" xfId="34586" xr:uid="{00000000-0005-0000-0000-00009D840000}"/>
    <cellStyle name="Normal 31 9 4 5" xfId="34587" xr:uid="{00000000-0005-0000-0000-00009E840000}"/>
    <cellStyle name="Normal 31 9 4 6" xfId="34588" xr:uid="{00000000-0005-0000-0000-00009F840000}"/>
    <cellStyle name="Normal 31 9 5" xfId="34589" xr:uid="{00000000-0005-0000-0000-0000A0840000}"/>
    <cellStyle name="Normal 31 9 5 2" xfId="34590" xr:uid="{00000000-0005-0000-0000-0000A1840000}"/>
    <cellStyle name="Normal 31 9 5 3" xfId="34591" xr:uid="{00000000-0005-0000-0000-0000A2840000}"/>
    <cellStyle name="Normal 31 9 5 4" xfId="34592" xr:uid="{00000000-0005-0000-0000-0000A3840000}"/>
    <cellStyle name="Normal 31 9 5 5" xfId="34593" xr:uid="{00000000-0005-0000-0000-0000A4840000}"/>
    <cellStyle name="Normal 31 9 5 6" xfId="34594" xr:uid="{00000000-0005-0000-0000-0000A5840000}"/>
    <cellStyle name="Normal 31 9 6" xfId="34595" xr:uid="{00000000-0005-0000-0000-0000A6840000}"/>
    <cellStyle name="Normal 31 9 6 2" xfId="34596" xr:uid="{00000000-0005-0000-0000-0000A7840000}"/>
    <cellStyle name="Normal 31 9 6 3" xfId="34597" xr:uid="{00000000-0005-0000-0000-0000A8840000}"/>
    <cellStyle name="Normal 31 9 6 4" xfId="34598" xr:uid="{00000000-0005-0000-0000-0000A9840000}"/>
    <cellStyle name="Normal 31 9 6 5" xfId="34599" xr:uid="{00000000-0005-0000-0000-0000AA840000}"/>
    <cellStyle name="Normal 31 9 6 6" xfId="34600" xr:uid="{00000000-0005-0000-0000-0000AB840000}"/>
    <cellStyle name="Normal 31 9 7" xfId="34601" xr:uid="{00000000-0005-0000-0000-0000AC840000}"/>
    <cellStyle name="Normal 31 9 7 2" xfId="34602" xr:uid="{00000000-0005-0000-0000-0000AD840000}"/>
    <cellStyle name="Normal 31 9 7 3" xfId="34603" xr:uid="{00000000-0005-0000-0000-0000AE840000}"/>
    <cellStyle name="Normal 31 9 7 4" xfId="34604" xr:uid="{00000000-0005-0000-0000-0000AF840000}"/>
    <cellStyle name="Normal 31 9 7 5" xfId="34605" xr:uid="{00000000-0005-0000-0000-0000B0840000}"/>
    <cellStyle name="Normal 31 9 7 6" xfId="34606" xr:uid="{00000000-0005-0000-0000-0000B1840000}"/>
    <cellStyle name="Normal 31 9 8" xfId="34607" xr:uid="{00000000-0005-0000-0000-0000B2840000}"/>
    <cellStyle name="Normal 31 9 8 2" xfId="34608" xr:uid="{00000000-0005-0000-0000-0000B3840000}"/>
    <cellStyle name="Normal 31 9 8 3" xfId="34609" xr:uid="{00000000-0005-0000-0000-0000B4840000}"/>
    <cellStyle name="Normal 31 9 8 4" xfId="34610" xr:uid="{00000000-0005-0000-0000-0000B5840000}"/>
    <cellStyle name="Normal 31 9 8 5" xfId="34611" xr:uid="{00000000-0005-0000-0000-0000B6840000}"/>
    <cellStyle name="Normal 31 9 8 6" xfId="34612" xr:uid="{00000000-0005-0000-0000-0000B7840000}"/>
    <cellStyle name="Normal 31 9 9" xfId="34613" xr:uid="{00000000-0005-0000-0000-0000B8840000}"/>
    <cellStyle name="Normal 32" xfId="1814" xr:uid="{00000000-0005-0000-0000-0000B9840000}"/>
    <cellStyle name="Normal 32 10" xfId="34614" xr:uid="{00000000-0005-0000-0000-0000BA840000}"/>
    <cellStyle name="Normal 32 10 10" xfId="34615" xr:uid="{00000000-0005-0000-0000-0000BB840000}"/>
    <cellStyle name="Normal 32 10 11" xfId="34616" xr:uid="{00000000-0005-0000-0000-0000BC840000}"/>
    <cellStyle name="Normal 32 10 12" xfId="34617" xr:uid="{00000000-0005-0000-0000-0000BD840000}"/>
    <cellStyle name="Normal 32 10 13" xfId="34618" xr:uid="{00000000-0005-0000-0000-0000BE840000}"/>
    <cellStyle name="Normal 32 10 2" xfId="34619" xr:uid="{00000000-0005-0000-0000-0000BF840000}"/>
    <cellStyle name="Normal 32 10 2 2" xfId="34620" xr:uid="{00000000-0005-0000-0000-0000C0840000}"/>
    <cellStyle name="Normal 32 10 2 3" xfId="34621" xr:uid="{00000000-0005-0000-0000-0000C1840000}"/>
    <cellStyle name="Normal 32 10 2 4" xfId="34622" xr:uid="{00000000-0005-0000-0000-0000C2840000}"/>
    <cellStyle name="Normal 32 10 2 5" xfId="34623" xr:uid="{00000000-0005-0000-0000-0000C3840000}"/>
    <cellStyle name="Normal 32 10 2 6" xfId="34624" xr:uid="{00000000-0005-0000-0000-0000C4840000}"/>
    <cellStyle name="Normal 32 10 3" xfId="34625" xr:uid="{00000000-0005-0000-0000-0000C5840000}"/>
    <cellStyle name="Normal 32 10 3 2" xfId="34626" xr:uid="{00000000-0005-0000-0000-0000C6840000}"/>
    <cellStyle name="Normal 32 10 3 3" xfId="34627" xr:uid="{00000000-0005-0000-0000-0000C7840000}"/>
    <cellStyle name="Normal 32 10 3 4" xfId="34628" xr:uid="{00000000-0005-0000-0000-0000C8840000}"/>
    <cellStyle name="Normal 32 10 3 5" xfId="34629" xr:uid="{00000000-0005-0000-0000-0000C9840000}"/>
    <cellStyle name="Normal 32 10 3 6" xfId="34630" xr:uid="{00000000-0005-0000-0000-0000CA840000}"/>
    <cellStyle name="Normal 32 10 4" xfId="34631" xr:uid="{00000000-0005-0000-0000-0000CB840000}"/>
    <cellStyle name="Normal 32 10 4 2" xfId="34632" xr:uid="{00000000-0005-0000-0000-0000CC840000}"/>
    <cellStyle name="Normal 32 10 4 3" xfId="34633" xr:uid="{00000000-0005-0000-0000-0000CD840000}"/>
    <cellStyle name="Normal 32 10 4 4" xfId="34634" xr:uid="{00000000-0005-0000-0000-0000CE840000}"/>
    <cellStyle name="Normal 32 10 4 5" xfId="34635" xr:uid="{00000000-0005-0000-0000-0000CF840000}"/>
    <cellStyle name="Normal 32 10 4 6" xfId="34636" xr:uid="{00000000-0005-0000-0000-0000D0840000}"/>
    <cellStyle name="Normal 32 10 5" xfId="34637" xr:uid="{00000000-0005-0000-0000-0000D1840000}"/>
    <cellStyle name="Normal 32 10 5 2" xfId="34638" xr:uid="{00000000-0005-0000-0000-0000D2840000}"/>
    <cellStyle name="Normal 32 10 5 3" xfId="34639" xr:uid="{00000000-0005-0000-0000-0000D3840000}"/>
    <cellStyle name="Normal 32 10 5 4" xfId="34640" xr:uid="{00000000-0005-0000-0000-0000D4840000}"/>
    <cellStyle name="Normal 32 10 5 5" xfId="34641" xr:uid="{00000000-0005-0000-0000-0000D5840000}"/>
    <cellStyle name="Normal 32 10 5 6" xfId="34642" xr:uid="{00000000-0005-0000-0000-0000D6840000}"/>
    <cellStyle name="Normal 32 10 6" xfId="34643" xr:uid="{00000000-0005-0000-0000-0000D7840000}"/>
    <cellStyle name="Normal 32 10 6 2" xfId="34644" xr:uid="{00000000-0005-0000-0000-0000D8840000}"/>
    <cellStyle name="Normal 32 10 6 3" xfId="34645" xr:uid="{00000000-0005-0000-0000-0000D9840000}"/>
    <cellStyle name="Normal 32 10 6 4" xfId="34646" xr:uid="{00000000-0005-0000-0000-0000DA840000}"/>
    <cellStyle name="Normal 32 10 6 5" xfId="34647" xr:uid="{00000000-0005-0000-0000-0000DB840000}"/>
    <cellStyle name="Normal 32 10 6 6" xfId="34648" xr:uid="{00000000-0005-0000-0000-0000DC840000}"/>
    <cellStyle name="Normal 32 10 7" xfId="34649" xr:uid="{00000000-0005-0000-0000-0000DD840000}"/>
    <cellStyle name="Normal 32 10 7 2" xfId="34650" xr:uid="{00000000-0005-0000-0000-0000DE840000}"/>
    <cellStyle name="Normal 32 10 7 3" xfId="34651" xr:uid="{00000000-0005-0000-0000-0000DF840000}"/>
    <cellStyle name="Normal 32 10 7 4" xfId="34652" xr:uid="{00000000-0005-0000-0000-0000E0840000}"/>
    <cellStyle name="Normal 32 10 7 5" xfId="34653" xr:uid="{00000000-0005-0000-0000-0000E1840000}"/>
    <cellStyle name="Normal 32 10 7 6" xfId="34654" xr:uid="{00000000-0005-0000-0000-0000E2840000}"/>
    <cellStyle name="Normal 32 10 8" xfId="34655" xr:uid="{00000000-0005-0000-0000-0000E3840000}"/>
    <cellStyle name="Normal 32 10 8 2" xfId="34656" xr:uid="{00000000-0005-0000-0000-0000E4840000}"/>
    <cellStyle name="Normal 32 10 8 3" xfId="34657" xr:uid="{00000000-0005-0000-0000-0000E5840000}"/>
    <cellStyle name="Normal 32 10 8 4" xfId="34658" xr:uid="{00000000-0005-0000-0000-0000E6840000}"/>
    <cellStyle name="Normal 32 10 8 5" xfId="34659" xr:uid="{00000000-0005-0000-0000-0000E7840000}"/>
    <cellStyle name="Normal 32 10 8 6" xfId="34660" xr:uid="{00000000-0005-0000-0000-0000E8840000}"/>
    <cellStyle name="Normal 32 10 9" xfId="34661" xr:uid="{00000000-0005-0000-0000-0000E9840000}"/>
    <cellStyle name="Normal 32 11" xfId="34662" xr:uid="{00000000-0005-0000-0000-0000EA840000}"/>
    <cellStyle name="Normal 32 11 10" xfId="34663" xr:uid="{00000000-0005-0000-0000-0000EB840000}"/>
    <cellStyle name="Normal 32 11 11" xfId="34664" xr:uid="{00000000-0005-0000-0000-0000EC840000}"/>
    <cellStyle name="Normal 32 11 12" xfId="34665" xr:uid="{00000000-0005-0000-0000-0000ED840000}"/>
    <cellStyle name="Normal 32 11 13" xfId="34666" xr:uid="{00000000-0005-0000-0000-0000EE840000}"/>
    <cellStyle name="Normal 32 11 2" xfId="34667" xr:uid="{00000000-0005-0000-0000-0000EF840000}"/>
    <cellStyle name="Normal 32 11 2 2" xfId="34668" xr:uid="{00000000-0005-0000-0000-0000F0840000}"/>
    <cellStyle name="Normal 32 11 2 3" xfId="34669" xr:uid="{00000000-0005-0000-0000-0000F1840000}"/>
    <cellStyle name="Normal 32 11 2 4" xfId="34670" xr:uid="{00000000-0005-0000-0000-0000F2840000}"/>
    <cellStyle name="Normal 32 11 2 5" xfId="34671" xr:uid="{00000000-0005-0000-0000-0000F3840000}"/>
    <cellStyle name="Normal 32 11 2 6" xfId="34672" xr:uid="{00000000-0005-0000-0000-0000F4840000}"/>
    <cellStyle name="Normal 32 11 3" xfId="34673" xr:uid="{00000000-0005-0000-0000-0000F5840000}"/>
    <cellStyle name="Normal 32 11 3 2" xfId="34674" xr:uid="{00000000-0005-0000-0000-0000F6840000}"/>
    <cellStyle name="Normal 32 11 3 3" xfId="34675" xr:uid="{00000000-0005-0000-0000-0000F7840000}"/>
    <cellStyle name="Normal 32 11 3 4" xfId="34676" xr:uid="{00000000-0005-0000-0000-0000F8840000}"/>
    <cellStyle name="Normal 32 11 3 5" xfId="34677" xr:uid="{00000000-0005-0000-0000-0000F9840000}"/>
    <cellStyle name="Normal 32 11 3 6" xfId="34678" xr:uid="{00000000-0005-0000-0000-0000FA840000}"/>
    <cellStyle name="Normal 32 11 4" xfId="34679" xr:uid="{00000000-0005-0000-0000-0000FB840000}"/>
    <cellStyle name="Normal 32 11 4 2" xfId="34680" xr:uid="{00000000-0005-0000-0000-0000FC840000}"/>
    <cellStyle name="Normal 32 11 4 3" xfId="34681" xr:uid="{00000000-0005-0000-0000-0000FD840000}"/>
    <cellStyle name="Normal 32 11 4 4" xfId="34682" xr:uid="{00000000-0005-0000-0000-0000FE840000}"/>
    <cellStyle name="Normal 32 11 4 5" xfId="34683" xr:uid="{00000000-0005-0000-0000-0000FF840000}"/>
    <cellStyle name="Normal 32 11 4 6" xfId="34684" xr:uid="{00000000-0005-0000-0000-000000850000}"/>
    <cellStyle name="Normal 32 11 5" xfId="34685" xr:uid="{00000000-0005-0000-0000-000001850000}"/>
    <cellStyle name="Normal 32 11 5 2" xfId="34686" xr:uid="{00000000-0005-0000-0000-000002850000}"/>
    <cellStyle name="Normal 32 11 5 3" xfId="34687" xr:uid="{00000000-0005-0000-0000-000003850000}"/>
    <cellStyle name="Normal 32 11 5 4" xfId="34688" xr:uid="{00000000-0005-0000-0000-000004850000}"/>
    <cellStyle name="Normal 32 11 5 5" xfId="34689" xr:uid="{00000000-0005-0000-0000-000005850000}"/>
    <cellStyle name="Normal 32 11 5 6" xfId="34690" xr:uid="{00000000-0005-0000-0000-000006850000}"/>
    <cellStyle name="Normal 32 11 6" xfId="34691" xr:uid="{00000000-0005-0000-0000-000007850000}"/>
    <cellStyle name="Normal 32 11 6 2" xfId="34692" xr:uid="{00000000-0005-0000-0000-000008850000}"/>
    <cellStyle name="Normal 32 11 6 3" xfId="34693" xr:uid="{00000000-0005-0000-0000-000009850000}"/>
    <cellStyle name="Normal 32 11 6 4" xfId="34694" xr:uid="{00000000-0005-0000-0000-00000A850000}"/>
    <cellStyle name="Normal 32 11 6 5" xfId="34695" xr:uid="{00000000-0005-0000-0000-00000B850000}"/>
    <cellStyle name="Normal 32 11 6 6" xfId="34696" xr:uid="{00000000-0005-0000-0000-00000C850000}"/>
    <cellStyle name="Normal 32 11 7" xfId="34697" xr:uid="{00000000-0005-0000-0000-00000D850000}"/>
    <cellStyle name="Normal 32 11 7 2" xfId="34698" xr:uid="{00000000-0005-0000-0000-00000E850000}"/>
    <cellStyle name="Normal 32 11 7 3" xfId="34699" xr:uid="{00000000-0005-0000-0000-00000F850000}"/>
    <cellStyle name="Normal 32 11 7 4" xfId="34700" xr:uid="{00000000-0005-0000-0000-000010850000}"/>
    <cellStyle name="Normal 32 11 7 5" xfId="34701" xr:uid="{00000000-0005-0000-0000-000011850000}"/>
    <cellStyle name="Normal 32 11 7 6" xfId="34702" xr:uid="{00000000-0005-0000-0000-000012850000}"/>
    <cellStyle name="Normal 32 11 8" xfId="34703" xr:uid="{00000000-0005-0000-0000-000013850000}"/>
    <cellStyle name="Normal 32 11 8 2" xfId="34704" xr:uid="{00000000-0005-0000-0000-000014850000}"/>
    <cellStyle name="Normal 32 11 8 3" xfId="34705" xr:uid="{00000000-0005-0000-0000-000015850000}"/>
    <cellStyle name="Normal 32 11 8 4" xfId="34706" xr:uid="{00000000-0005-0000-0000-000016850000}"/>
    <cellStyle name="Normal 32 11 8 5" xfId="34707" xr:uid="{00000000-0005-0000-0000-000017850000}"/>
    <cellStyle name="Normal 32 11 8 6" xfId="34708" xr:uid="{00000000-0005-0000-0000-000018850000}"/>
    <cellStyle name="Normal 32 11 9" xfId="34709" xr:uid="{00000000-0005-0000-0000-000019850000}"/>
    <cellStyle name="Normal 32 12" xfId="34710" xr:uid="{00000000-0005-0000-0000-00001A850000}"/>
    <cellStyle name="Normal 32 12 2" xfId="34711" xr:uid="{00000000-0005-0000-0000-00001B850000}"/>
    <cellStyle name="Normal 32 12 3" xfId="34712" xr:uid="{00000000-0005-0000-0000-00001C850000}"/>
    <cellStyle name="Normal 32 12 4" xfId="34713" xr:uid="{00000000-0005-0000-0000-00001D850000}"/>
    <cellStyle name="Normal 32 12 5" xfId="34714" xr:uid="{00000000-0005-0000-0000-00001E850000}"/>
    <cellStyle name="Normal 32 12 6" xfId="34715" xr:uid="{00000000-0005-0000-0000-00001F850000}"/>
    <cellStyle name="Normal 32 13" xfId="34716" xr:uid="{00000000-0005-0000-0000-000020850000}"/>
    <cellStyle name="Normal 32 13 2" xfId="34717" xr:uid="{00000000-0005-0000-0000-000021850000}"/>
    <cellStyle name="Normal 32 13 3" xfId="34718" xr:uid="{00000000-0005-0000-0000-000022850000}"/>
    <cellStyle name="Normal 32 13 4" xfId="34719" xr:uid="{00000000-0005-0000-0000-000023850000}"/>
    <cellStyle name="Normal 32 13 5" xfId="34720" xr:uid="{00000000-0005-0000-0000-000024850000}"/>
    <cellStyle name="Normal 32 13 6" xfId="34721" xr:uid="{00000000-0005-0000-0000-000025850000}"/>
    <cellStyle name="Normal 32 14" xfId="34722" xr:uid="{00000000-0005-0000-0000-000026850000}"/>
    <cellStyle name="Normal 32 14 2" xfId="34723" xr:uid="{00000000-0005-0000-0000-000027850000}"/>
    <cellStyle name="Normal 32 14 3" xfId="34724" xr:uid="{00000000-0005-0000-0000-000028850000}"/>
    <cellStyle name="Normal 32 14 4" xfId="34725" xr:uid="{00000000-0005-0000-0000-000029850000}"/>
    <cellStyle name="Normal 32 14 5" xfId="34726" xr:uid="{00000000-0005-0000-0000-00002A850000}"/>
    <cellStyle name="Normal 32 14 6" xfId="34727" xr:uid="{00000000-0005-0000-0000-00002B850000}"/>
    <cellStyle name="Normal 32 15" xfId="34728" xr:uid="{00000000-0005-0000-0000-00002C850000}"/>
    <cellStyle name="Normal 32 15 2" xfId="34729" xr:uid="{00000000-0005-0000-0000-00002D850000}"/>
    <cellStyle name="Normal 32 15 3" xfId="34730" xr:uid="{00000000-0005-0000-0000-00002E850000}"/>
    <cellStyle name="Normal 32 15 4" xfId="34731" xr:uid="{00000000-0005-0000-0000-00002F850000}"/>
    <cellStyle name="Normal 32 15 5" xfId="34732" xr:uid="{00000000-0005-0000-0000-000030850000}"/>
    <cellStyle name="Normal 32 15 6" xfId="34733" xr:uid="{00000000-0005-0000-0000-000031850000}"/>
    <cellStyle name="Normal 32 16" xfId="34734" xr:uid="{00000000-0005-0000-0000-000032850000}"/>
    <cellStyle name="Normal 32 16 2" xfId="34735" xr:uid="{00000000-0005-0000-0000-000033850000}"/>
    <cellStyle name="Normal 32 16 3" xfId="34736" xr:uid="{00000000-0005-0000-0000-000034850000}"/>
    <cellStyle name="Normal 32 16 4" xfId="34737" xr:uid="{00000000-0005-0000-0000-000035850000}"/>
    <cellStyle name="Normal 32 16 5" xfId="34738" xr:uid="{00000000-0005-0000-0000-000036850000}"/>
    <cellStyle name="Normal 32 16 6" xfId="34739" xr:uid="{00000000-0005-0000-0000-000037850000}"/>
    <cellStyle name="Normal 32 17" xfId="34740" xr:uid="{00000000-0005-0000-0000-000038850000}"/>
    <cellStyle name="Normal 32 17 2" xfId="34741" xr:uid="{00000000-0005-0000-0000-000039850000}"/>
    <cellStyle name="Normal 32 17 3" xfId="34742" xr:uid="{00000000-0005-0000-0000-00003A850000}"/>
    <cellStyle name="Normal 32 17 4" xfId="34743" xr:uid="{00000000-0005-0000-0000-00003B850000}"/>
    <cellStyle name="Normal 32 17 5" xfId="34744" xr:uid="{00000000-0005-0000-0000-00003C850000}"/>
    <cellStyle name="Normal 32 17 6" xfId="34745" xr:uid="{00000000-0005-0000-0000-00003D850000}"/>
    <cellStyle name="Normal 32 18" xfId="34746" xr:uid="{00000000-0005-0000-0000-00003E850000}"/>
    <cellStyle name="Normal 32 18 2" xfId="34747" xr:uid="{00000000-0005-0000-0000-00003F850000}"/>
    <cellStyle name="Normal 32 18 3" xfId="34748" xr:uid="{00000000-0005-0000-0000-000040850000}"/>
    <cellStyle name="Normal 32 18 4" xfId="34749" xr:uid="{00000000-0005-0000-0000-000041850000}"/>
    <cellStyle name="Normal 32 18 5" xfId="34750" xr:uid="{00000000-0005-0000-0000-000042850000}"/>
    <cellStyle name="Normal 32 18 6" xfId="34751" xr:uid="{00000000-0005-0000-0000-000043850000}"/>
    <cellStyle name="Normal 32 19" xfId="34752" xr:uid="{00000000-0005-0000-0000-000044850000}"/>
    <cellStyle name="Normal 32 2" xfId="1665" xr:uid="{00000000-0005-0000-0000-000045850000}"/>
    <cellStyle name="Normal 32 2 10" xfId="34753" xr:uid="{00000000-0005-0000-0000-000046850000}"/>
    <cellStyle name="Normal 32 2 11" xfId="34754" xr:uid="{00000000-0005-0000-0000-000047850000}"/>
    <cellStyle name="Normal 32 2 12" xfId="34755" xr:uid="{00000000-0005-0000-0000-000048850000}"/>
    <cellStyle name="Normal 32 2 13" xfId="34756" xr:uid="{00000000-0005-0000-0000-000049850000}"/>
    <cellStyle name="Normal 32 2 2" xfId="34757" xr:uid="{00000000-0005-0000-0000-00004A850000}"/>
    <cellStyle name="Normal 32 2 2 2" xfId="34758" xr:uid="{00000000-0005-0000-0000-00004B850000}"/>
    <cellStyle name="Normal 32 2 2 3" xfId="34759" xr:uid="{00000000-0005-0000-0000-00004C850000}"/>
    <cellStyle name="Normal 32 2 2 4" xfId="34760" xr:uid="{00000000-0005-0000-0000-00004D850000}"/>
    <cellStyle name="Normal 32 2 2 5" xfId="34761" xr:uid="{00000000-0005-0000-0000-00004E850000}"/>
    <cellStyle name="Normal 32 2 2 6" xfId="34762" xr:uid="{00000000-0005-0000-0000-00004F850000}"/>
    <cellStyle name="Normal 32 2 3" xfId="34763" xr:uid="{00000000-0005-0000-0000-000050850000}"/>
    <cellStyle name="Normal 32 2 3 2" xfId="34764" xr:uid="{00000000-0005-0000-0000-000051850000}"/>
    <cellStyle name="Normal 32 2 3 3" xfId="34765" xr:uid="{00000000-0005-0000-0000-000052850000}"/>
    <cellStyle name="Normal 32 2 3 4" xfId="34766" xr:uid="{00000000-0005-0000-0000-000053850000}"/>
    <cellStyle name="Normal 32 2 3 5" xfId="34767" xr:uid="{00000000-0005-0000-0000-000054850000}"/>
    <cellStyle name="Normal 32 2 3 6" xfId="34768" xr:uid="{00000000-0005-0000-0000-000055850000}"/>
    <cellStyle name="Normal 32 2 4" xfId="34769" xr:uid="{00000000-0005-0000-0000-000056850000}"/>
    <cellStyle name="Normal 32 2 4 2" xfId="34770" xr:uid="{00000000-0005-0000-0000-000057850000}"/>
    <cellStyle name="Normal 32 2 4 3" xfId="34771" xr:uid="{00000000-0005-0000-0000-000058850000}"/>
    <cellStyle name="Normal 32 2 4 4" xfId="34772" xr:uid="{00000000-0005-0000-0000-000059850000}"/>
    <cellStyle name="Normal 32 2 4 5" xfId="34773" xr:uid="{00000000-0005-0000-0000-00005A850000}"/>
    <cellStyle name="Normal 32 2 4 6" xfId="34774" xr:uid="{00000000-0005-0000-0000-00005B850000}"/>
    <cellStyle name="Normal 32 2 5" xfId="34775" xr:uid="{00000000-0005-0000-0000-00005C850000}"/>
    <cellStyle name="Normal 32 2 5 2" xfId="34776" xr:uid="{00000000-0005-0000-0000-00005D850000}"/>
    <cellStyle name="Normal 32 2 5 3" xfId="34777" xr:uid="{00000000-0005-0000-0000-00005E850000}"/>
    <cellStyle name="Normal 32 2 5 4" xfId="34778" xr:uid="{00000000-0005-0000-0000-00005F850000}"/>
    <cellStyle name="Normal 32 2 5 5" xfId="34779" xr:uid="{00000000-0005-0000-0000-000060850000}"/>
    <cellStyle name="Normal 32 2 5 6" xfId="34780" xr:uid="{00000000-0005-0000-0000-000061850000}"/>
    <cellStyle name="Normal 32 2 6" xfId="34781" xr:uid="{00000000-0005-0000-0000-000062850000}"/>
    <cellStyle name="Normal 32 2 6 2" xfId="34782" xr:uid="{00000000-0005-0000-0000-000063850000}"/>
    <cellStyle name="Normal 32 2 6 3" xfId="34783" xr:uid="{00000000-0005-0000-0000-000064850000}"/>
    <cellStyle name="Normal 32 2 6 4" xfId="34784" xr:uid="{00000000-0005-0000-0000-000065850000}"/>
    <cellStyle name="Normal 32 2 6 5" xfId="34785" xr:uid="{00000000-0005-0000-0000-000066850000}"/>
    <cellStyle name="Normal 32 2 6 6" xfId="34786" xr:uid="{00000000-0005-0000-0000-000067850000}"/>
    <cellStyle name="Normal 32 2 7" xfId="34787" xr:uid="{00000000-0005-0000-0000-000068850000}"/>
    <cellStyle name="Normal 32 2 7 2" xfId="34788" xr:uid="{00000000-0005-0000-0000-000069850000}"/>
    <cellStyle name="Normal 32 2 7 3" xfId="34789" xr:uid="{00000000-0005-0000-0000-00006A850000}"/>
    <cellStyle name="Normal 32 2 7 4" xfId="34790" xr:uid="{00000000-0005-0000-0000-00006B850000}"/>
    <cellStyle name="Normal 32 2 7 5" xfId="34791" xr:uid="{00000000-0005-0000-0000-00006C850000}"/>
    <cellStyle name="Normal 32 2 7 6" xfId="34792" xr:uid="{00000000-0005-0000-0000-00006D850000}"/>
    <cellStyle name="Normal 32 2 8" xfId="34793" xr:uid="{00000000-0005-0000-0000-00006E850000}"/>
    <cellStyle name="Normal 32 2 8 2" xfId="34794" xr:uid="{00000000-0005-0000-0000-00006F850000}"/>
    <cellStyle name="Normal 32 2 8 3" xfId="34795" xr:uid="{00000000-0005-0000-0000-000070850000}"/>
    <cellStyle name="Normal 32 2 8 4" xfId="34796" xr:uid="{00000000-0005-0000-0000-000071850000}"/>
    <cellStyle name="Normal 32 2 8 5" xfId="34797" xr:uid="{00000000-0005-0000-0000-000072850000}"/>
    <cellStyle name="Normal 32 2 8 6" xfId="34798" xr:uid="{00000000-0005-0000-0000-000073850000}"/>
    <cellStyle name="Normal 32 2 9" xfId="34799" xr:uid="{00000000-0005-0000-0000-000074850000}"/>
    <cellStyle name="Normal 32 20" xfId="34800" xr:uid="{00000000-0005-0000-0000-000075850000}"/>
    <cellStyle name="Normal 32 21" xfId="34801" xr:uid="{00000000-0005-0000-0000-000076850000}"/>
    <cellStyle name="Normal 32 22" xfId="34802" xr:uid="{00000000-0005-0000-0000-000077850000}"/>
    <cellStyle name="Normal 32 23" xfId="34803" xr:uid="{00000000-0005-0000-0000-000078850000}"/>
    <cellStyle name="Normal 32 3" xfId="34804" xr:uid="{00000000-0005-0000-0000-000079850000}"/>
    <cellStyle name="Normal 32 3 10" xfId="34805" xr:uid="{00000000-0005-0000-0000-00007A850000}"/>
    <cellStyle name="Normal 32 3 11" xfId="34806" xr:uid="{00000000-0005-0000-0000-00007B850000}"/>
    <cellStyle name="Normal 32 3 12" xfId="34807" xr:uid="{00000000-0005-0000-0000-00007C850000}"/>
    <cellStyle name="Normal 32 3 13" xfId="34808" xr:uid="{00000000-0005-0000-0000-00007D850000}"/>
    <cellStyle name="Normal 32 3 2" xfId="34809" xr:uid="{00000000-0005-0000-0000-00007E850000}"/>
    <cellStyle name="Normal 32 3 2 2" xfId="34810" xr:uid="{00000000-0005-0000-0000-00007F850000}"/>
    <cellStyle name="Normal 32 3 2 3" xfId="34811" xr:uid="{00000000-0005-0000-0000-000080850000}"/>
    <cellStyle name="Normal 32 3 2 4" xfId="34812" xr:uid="{00000000-0005-0000-0000-000081850000}"/>
    <cellStyle name="Normal 32 3 2 5" xfId="34813" xr:uid="{00000000-0005-0000-0000-000082850000}"/>
    <cellStyle name="Normal 32 3 2 6" xfId="34814" xr:uid="{00000000-0005-0000-0000-000083850000}"/>
    <cellStyle name="Normal 32 3 3" xfId="34815" xr:uid="{00000000-0005-0000-0000-000084850000}"/>
    <cellStyle name="Normal 32 3 3 2" xfId="34816" xr:uid="{00000000-0005-0000-0000-000085850000}"/>
    <cellStyle name="Normal 32 3 3 3" xfId="34817" xr:uid="{00000000-0005-0000-0000-000086850000}"/>
    <cellStyle name="Normal 32 3 3 4" xfId="34818" xr:uid="{00000000-0005-0000-0000-000087850000}"/>
    <cellStyle name="Normal 32 3 3 5" xfId="34819" xr:uid="{00000000-0005-0000-0000-000088850000}"/>
    <cellStyle name="Normal 32 3 3 6" xfId="34820" xr:uid="{00000000-0005-0000-0000-000089850000}"/>
    <cellStyle name="Normal 32 3 4" xfId="34821" xr:uid="{00000000-0005-0000-0000-00008A850000}"/>
    <cellStyle name="Normal 32 3 4 2" xfId="34822" xr:uid="{00000000-0005-0000-0000-00008B850000}"/>
    <cellStyle name="Normal 32 3 4 3" xfId="34823" xr:uid="{00000000-0005-0000-0000-00008C850000}"/>
    <cellStyle name="Normal 32 3 4 4" xfId="34824" xr:uid="{00000000-0005-0000-0000-00008D850000}"/>
    <cellStyle name="Normal 32 3 4 5" xfId="34825" xr:uid="{00000000-0005-0000-0000-00008E850000}"/>
    <cellStyle name="Normal 32 3 4 6" xfId="34826" xr:uid="{00000000-0005-0000-0000-00008F850000}"/>
    <cellStyle name="Normal 32 3 5" xfId="34827" xr:uid="{00000000-0005-0000-0000-000090850000}"/>
    <cellStyle name="Normal 32 3 5 2" xfId="34828" xr:uid="{00000000-0005-0000-0000-000091850000}"/>
    <cellStyle name="Normal 32 3 5 3" xfId="34829" xr:uid="{00000000-0005-0000-0000-000092850000}"/>
    <cellStyle name="Normal 32 3 5 4" xfId="34830" xr:uid="{00000000-0005-0000-0000-000093850000}"/>
    <cellStyle name="Normal 32 3 5 5" xfId="34831" xr:uid="{00000000-0005-0000-0000-000094850000}"/>
    <cellStyle name="Normal 32 3 5 6" xfId="34832" xr:uid="{00000000-0005-0000-0000-000095850000}"/>
    <cellStyle name="Normal 32 3 6" xfId="34833" xr:uid="{00000000-0005-0000-0000-000096850000}"/>
    <cellStyle name="Normal 32 3 6 2" xfId="34834" xr:uid="{00000000-0005-0000-0000-000097850000}"/>
    <cellStyle name="Normal 32 3 6 3" xfId="34835" xr:uid="{00000000-0005-0000-0000-000098850000}"/>
    <cellStyle name="Normal 32 3 6 4" xfId="34836" xr:uid="{00000000-0005-0000-0000-000099850000}"/>
    <cellStyle name="Normal 32 3 6 5" xfId="34837" xr:uid="{00000000-0005-0000-0000-00009A850000}"/>
    <cellStyle name="Normal 32 3 6 6" xfId="34838" xr:uid="{00000000-0005-0000-0000-00009B850000}"/>
    <cellStyle name="Normal 32 3 7" xfId="34839" xr:uid="{00000000-0005-0000-0000-00009C850000}"/>
    <cellStyle name="Normal 32 3 7 2" xfId="34840" xr:uid="{00000000-0005-0000-0000-00009D850000}"/>
    <cellStyle name="Normal 32 3 7 3" xfId="34841" xr:uid="{00000000-0005-0000-0000-00009E850000}"/>
    <cellStyle name="Normal 32 3 7 4" xfId="34842" xr:uid="{00000000-0005-0000-0000-00009F850000}"/>
    <cellStyle name="Normal 32 3 7 5" xfId="34843" xr:uid="{00000000-0005-0000-0000-0000A0850000}"/>
    <cellStyle name="Normal 32 3 7 6" xfId="34844" xr:uid="{00000000-0005-0000-0000-0000A1850000}"/>
    <cellStyle name="Normal 32 3 8" xfId="34845" xr:uid="{00000000-0005-0000-0000-0000A2850000}"/>
    <cellStyle name="Normal 32 3 8 2" xfId="34846" xr:uid="{00000000-0005-0000-0000-0000A3850000}"/>
    <cellStyle name="Normal 32 3 8 3" xfId="34847" xr:uid="{00000000-0005-0000-0000-0000A4850000}"/>
    <cellStyle name="Normal 32 3 8 4" xfId="34848" xr:uid="{00000000-0005-0000-0000-0000A5850000}"/>
    <cellStyle name="Normal 32 3 8 5" xfId="34849" xr:uid="{00000000-0005-0000-0000-0000A6850000}"/>
    <cellStyle name="Normal 32 3 8 6" xfId="34850" xr:uid="{00000000-0005-0000-0000-0000A7850000}"/>
    <cellStyle name="Normal 32 3 9" xfId="34851" xr:uid="{00000000-0005-0000-0000-0000A8850000}"/>
    <cellStyle name="Normal 32 4" xfId="34852" xr:uid="{00000000-0005-0000-0000-0000A9850000}"/>
    <cellStyle name="Normal 32 4 10" xfId="34853" xr:uid="{00000000-0005-0000-0000-0000AA850000}"/>
    <cellStyle name="Normal 32 4 11" xfId="34854" xr:uid="{00000000-0005-0000-0000-0000AB850000}"/>
    <cellStyle name="Normal 32 4 12" xfId="34855" xr:uid="{00000000-0005-0000-0000-0000AC850000}"/>
    <cellStyle name="Normal 32 4 13" xfId="34856" xr:uid="{00000000-0005-0000-0000-0000AD850000}"/>
    <cellStyle name="Normal 32 4 2" xfId="34857" xr:uid="{00000000-0005-0000-0000-0000AE850000}"/>
    <cellStyle name="Normal 32 4 2 2" xfId="34858" xr:uid="{00000000-0005-0000-0000-0000AF850000}"/>
    <cellStyle name="Normal 32 4 2 3" xfId="34859" xr:uid="{00000000-0005-0000-0000-0000B0850000}"/>
    <cellStyle name="Normal 32 4 2 4" xfId="34860" xr:uid="{00000000-0005-0000-0000-0000B1850000}"/>
    <cellStyle name="Normal 32 4 2 5" xfId="34861" xr:uid="{00000000-0005-0000-0000-0000B2850000}"/>
    <cellStyle name="Normal 32 4 2 6" xfId="34862" xr:uid="{00000000-0005-0000-0000-0000B3850000}"/>
    <cellStyle name="Normal 32 4 3" xfId="34863" xr:uid="{00000000-0005-0000-0000-0000B4850000}"/>
    <cellStyle name="Normal 32 4 3 2" xfId="34864" xr:uid="{00000000-0005-0000-0000-0000B5850000}"/>
    <cellStyle name="Normal 32 4 3 3" xfId="34865" xr:uid="{00000000-0005-0000-0000-0000B6850000}"/>
    <cellStyle name="Normal 32 4 3 4" xfId="34866" xr:uid="{00000000-0005-0000-0000-0000B7850000}"/>
    <cellStyle name="Normal 32 4 3 5" xfId="34867" xr:uid="{00000000-0005-0000-0000-0000B8850000}"/>
    <cellStyle name="Normal 32 4 3 6" xfId="34868" xr:uid="{00000000-0005-0000-0000-0000B9850000}"/>
    <cellStyle name="Normal 32 4 4" xfId="34869" xr:uid="{00000000-0005-0000-0000-0000BA850000}"/>
    <cellStyle name="Normal 32 4 4 2" xfId="34870" xr:uid="{00000000-0005-0000-0000-0000BB850000}"/>
    <cellStyle name="Normal 32 4 4 3" xfId="34871" xr:uid="{00000000-0005-0000-0000-0000BC850000}"/>
    <cellStyle name="Normal 32 4 4 4" xfId="34872" xr:uid="{00000000-0005-0000-0000-0000BD850000}"/>
    <cellStyle name="Normal 32 4 4 5" xfId="34873" xr:uid="{00000000-0005-0000-0000-0000BE850000}"/>
    <cellStyle name="Normal 32 4 4 6" xfId="34874" xr:uid="{00000000-0005-0000-0000-0000BF850000}"/>
    <cellStyle name="Normal 32 4 5" xfId="34875" xr:uid="{00000000-0005-0000-0000-0000C0850000}"/>
    <cellStyle name="Normal 32 4 5 2" xfId="34876" xr:uid="{00000000-0005-0000-0000-0000C1850000}"/>
    <cellStyle name="Normal 32 4 5 3" xfId="34877" xr:uid="{00000000-0005-0000-0000-0000C2850000}"/>
    <cellStyle name="Normal 32 4 5 4" xfId="34878" xr:uid="{00000000-0005-0000-0000-0000C3850000}"/>
    <cellStyle name="Normal 32 4 5 5" xfId="34879" xr:uid="{00000000-0005-0000-0000-0000C4850000}"/>
    <cellStyle name="Normal 32 4 5 6" xfId="34880" xr:uid="{00000000-0005-0000-0000-0000C5850000}"/>
    <cellStyle name="Normal 32 4 6" xfId="34881" xr:uid="{00000000-0005-0000-0000-0000C6850000}"/>
    <cellStyle name="Normal 32 4 6 2" xfId="34882" xr:uid="{00000000-0005-0000-0000-0000C7850000}"/>
    <cellStyle name="Normal 32 4 6 3" xfId="34883" xr:uid="{00000000-0005-0000-0000-0000C8850000}"/>
    <cellStyle name="Normal 32 4 6 4" xfId="34884" xr:uid="{00000000-0005-0000-0000-0000C9850000}"/>
    <cellStyle name="Normal 32 4 6 5" xfId="34885" xr:uid="{00000000-0005-0000-0000-0000CA850000}"/>
    <cellStyle name="Normal 32 4 6 6" xfId="34886" xr:uid="{00000000-0005-0000-0000-0000CB850000}"/>
    <cellStyle name="Normal 32 4 7" xfId="34887" xr:uid="{00000000-0005-0000-0000-0000CC850000}"/>
    <cellStyle name="Normal 32 4 7 2" xfId="34888" xr:uid="{00000000-0005-0000-0000-0000CD850000}"/>
    <cellStyle name="Normal 32 4 7 3" xfId="34889" xr:uid="{00000000-0005-0000-0000-0000CE850000}"/>
    <cellStyle name="Normal 32 4 7 4" xfId="34890" xr:uid="{00000000-0005-0000-0000-0000CF850000}"/>
    <cellStyle name="Normal 32 4 7 5" xfId="34891" xr:uid="{00000000-0005-0000-0000-0000D0850000}"/>
    <cellStyle name="Normal 32 4 7 6" xfId="34892" xr:uid="{00000000-0005-0000-0000-0000D1850000}"/>
    <cellStyle name="Normal 32 4 8" xfId="34893" xr:uid="{00000000-0005-0000-0000-0000D2850000}"/>
    <cellStyle name="Normal 32 4 8 2" xfId="34894" xr:uid="{00000000-0005-0000-0000-0000D3850000}"/>
    <cellStyle name="Normal 32 4 8 3" xfId="34895" xr:uid="{00000000-0005-0000-0000-0000D4850000}"/>
    <cellStyle name="Normal 32 4 8 4" xfId="34896" xr:uid="{00000000-0005-0000-0000-0000D5850000}"/>
    <cellStyle name="Normal 32 4 8 5" xfId="34897" xr:uid="{00000000-0005-0000-0000-0000D6850000}"/>
    <cellStyle name="Normal 32 4 8 6" xfId="34898" xr:uid="{00000000-0005-0000-0000-0000D7850000}"/>
    <cellStyle name="Normal 32 4 9" xfId="34899" xr:uid="{00000000-0005-0000-0000-0000D8850000}"/>
    <cellStyle name="Normal 32 5" xfId="34900" xr:uid="{00000000-0005-0000-0000-0000D9850000}"/>
    <cellStyle name="Normal 32 5 10" xfId="34901" xr:uid="{00000000-0005-0000-0000-0000DA850000}"/>
    <cellStyle name="Normal 32 5 11" xfId="34902" xr:uid="{00000000-0005-0000-0000-0000DB850000}"/>
    <cellStyle name="Normal 32 5 12" xfId="34903" xr:uid="{00000000-0005-0000-0000-0000DC850000}"/>
    <cellStyle name="Normal 32 5 13" xfId="34904" xr:uid="{00000000-0005-0000-0000-0000DD850000}"/>
    <cellStyle name="Normal 32 5 2" xfId="34905" xr:uid="{00000000-0005-0000-0000-0000DE850000}"/>
    <cellStyle name="Normal 32 5 2 2" xfId="34906" xr:uid="{00000000-0005-0000-0000-0000DF850000}"/>
    <cellStyle name="Normal 32 5 2 3" xfId="34907" xr:uid="{00000000-0005-0000-0000-0000E0850000}"/>
    <cellStyle name="Normal 32 5 2 4" xfId="34908" xr:uid="{00000000-0005-0000-0000-0000E1850000}"/>
    <cellStyle name="Normal 32 5 2 5" xfId="34909" xr:uid="{00000000-0005-0000-0000-0000E2850000}"/>
    <cellStyle name="Normal 32 5 2 6" xfId="34910" xr:uid="{00000000-0005-0000-0000-0000E3850000}"/>
    <cellStyle name="Normal 32 5 3" xfId="34911" xr:uid="{00000000-0005-0000-0000-0000E4850000}"/>
    <cellStyle name="Normal 32 5 3 2" xfId="34912" xr:uid="{00000000-0005-0000-0000-0000E5850000}"/>
    <cellStyle name="Normal 32 5 3 3" xfId="34913" xr:uid="{00000000-0005-0000-0000-0000E6850000}"/>
    <cellStyle name="Normal 32 5 3 4" xfId="34914" xr:uid="{00000000-0005-0000-0000-0000E7850000}"/>
    <cellStyle name="Normal 32 5 3 5" xfId="34915" xr:uid="{00000000-0005-0000-0000-0000E8850000}"/>
    <cellStyle name="Normal 32 5 3 6" xfId="34916" xr:uid="{00000000-0005-0000-0000-0000E9850000}"/>
    <cellStyle name="Normal 32 5 4" xfId="34917" xr:uid="{00000000-0005-0000-0000-0000EA850000}"/>
    <cellStyle name="Normal 32 5 4 2" xfId="34918" xr:uid="{00000000-0005-0000-0000-0000EB850000}"/>
    <cellStyle name="Normal 32 5 4 3" xfId="34919" xr:uid="{00000000-0005-0000-0000-0000EC850000}"/>
    <cellStyle name="Normal 32 5 4 4" xfId="34920" xr:uid="{00000000-0005-0000-0000-0000ED850000}"/>
    <cellStyle name="Normal 32 5 4 5" xfId="34921" xr:uid="{00000000-0005-0000-0000-0000EE850000}"/>
    <cellStyle name="Normal 32 5 4 6" xfId="34922" xr:uid="{00000000-0005-0000-0000-0000EF850000}"/>
    <cellStyle name="Normal 32 5 5" xfId="34923" xr:uid="{00000000-0005-0000-0000-0000F0850000}"/>
    <cellStyle name="Normal 32 5 5 2" xfId="34924" xr:uid="{00000000-0005-0000-0000-0000F1850000}"/>
    <cellStyle name="Normal 32 5 5 3" xfId="34925" xr:uid="{00000000-0005-0000-0000-0000F2850000}"/>
    <cellStyle name="Normal 32 5 5 4" xfId="34926" xr:uid="{00000000-0005-0000-0000-0000F3850000}"/>
    <cellStyle name="Normal 32 5 5 5" xfId="34927" xr:uid="{00000000-0005-0000-0000-0000F4850000}"/>
    <cellStyle name="Normal 32 5 5 6" xfId="34928" xr:uid="{00000000-0005-0000-0000-0000F5850000}"/>
    <cellStyle name="Normal 32 5 6" xfId="34929" xr:uid="{00000000-0005-0000-0000-0000F6850000}"/>
    <cellStyle name="Normal 32 5 6 2" xfId="34930" xr:uid="{00000000-0005-0000-0000-0000F7850000}"/>
    <cellStyle name="Normal 32 5 6 3" xfId="34931" xr:uid="{00000000-0005-0000-0000-0000F8850000}"/>
    <cellStyle name="Normal 32 5 6 4" xfId="34932" xr:uid="{00000000-0005-0000-0000-0000F9850000}"/>
    <cellStyle name="Normal 32 5 6 5" xfId="34933" xr:uid="{00000000-0005-0000-0000-0000FA850000}"/>
    <cellStyle name="Normal 32 5 6 6" xfId="34934" xr:uid="{00000000-0005-0000-0000-0000FB850000}"/>
    <cellStyle name="Normal 32 5 7" xfId="34935" xr:uid="{00000000-0005-0000-0000-0000FC850000}"/>
    <cellStyle name="Normal 32 5 7 2" xfId="34936" xr:uid="{00000000-0005-0000-0000-0000FD850000}"/>
    <cellStyle name="Normal 32 5 7 3" xfId="34937" xr:uid="{00000000-0005-0000-0000-0000FE850000}"/>
    <cellStyle name="Normal 32 5 7 4" xfId="34938" xr:uid="{00000000-0005-0000-0000-0000FF850000}"/>
    <cellStyle name="Normal 32 5 7 5" xfId="34939" xr:uid="{00000000-0005-0000-0000-000000860000}"/>
    <cellStyle name="Normal 32 5 7 6" xfId="34940" xr:uid="{00000000-0005-0000-0000-000001860000}"/>
    <cellStyle name="Normal 32 5 8" xfId="34941" xr:uid="{00000000-0005-0000-0000-000002860000}"/>
    <cellStyle name="Normal 32 5 8 2" xfId="34942" xr:uid="{00000000-0005-0000-0000-000003860000}"/>
    <cellStyle name="Normal 32 5 8 3" xfId="34943" xr:uid="{00000000-0005-0000-0000-000004860000}"/>
    <cellStyle name="Normal 32 5 8 4" xfId="34944" xr:uid="{00000000-0005-0000-0000-000005860000}"/>
    <cellStyle name="Normal 32 5 8 5" xfId="34945" xr:uid="{00000000-0005-0000-0000-000006860000}"/>
    <cellStyle name="Normal 32 5 8 6" xfId="34946" xr:uid="{00000000-0005-0000-0000-000007860000}"/>
    <cellStyle name="Normal 32 5 9" xfId="34947" xr:uid="{00000000-0005-0000-0000-000008860000}"/>
    <cellStyle name="Normal 32 6" xfId="34948" xr:uid="{00000000-0005-0000-0000-000009860000}"/>
    <cellStyle name="Normal 32 6 10" xfId="34949" xr:uid="{00000000-0005-0000-0000-00000A860000}"/>
    <cellStyle name="Normal 32 6 11" xfId="34950" xr:uid="{00000000-0005-0000-0000-00000B860000}"/>
    <cellStyle name="Normal 32 6 12" xfId="34951" xr:uid="{00000000-0005-0000-0000-00000C860000}"/>
    <cellStyle name="Normal 32 6 13" xfId="34952" xr:uid="{00000000-0005-0000-0000-00000D860000}"/>
    <cellStyle name="Normal 32 6 2" xfId="34953" xr:uid="{00000000-0005-0000-0000-00000E860000}"/>
    <cellStyle name="Normal 32 6 2 2" xfId="34954" xr:uid="{00000000-0005-0000-0000-00000F860000}"/>
    <cellStyle name="Normal 32 6 2 3" xfId="34955" xr:uid="{00000000-0005-0000-0000-000010860000}"/>
    <cellStyle name="Normal 32 6 2 4" xfId="34956" xr:uid="{00000000-0005-0000-0000-000011860000}"/>
    <cellStyle name="Normal 32 6 2 5" xfId="34957" xr:uid="{00000000-0005-0000-0000-000012860000}"/>
    <cellStyle name="Normal 32 6 2 6" xfId="34958" xr:uid="{00000000-0005-0000-0000-000013860000}"/>
    <cellStyle name="Normal 32 6 3" xfId="34959" xr:uid="{00000000-0005-0000-0000-000014860000}"/>
    <cellStyle name="Normal 32 6 3 2" xfId="34960" xr:uid="{00000000-0005-0000-0000-000015860000}"/>
    <cellStyle name="Normal 32 6 3 3" xfId="34961" xr:uid="{00000000-0005-0000-0000-000016860000}"/>
    <cellStyle name="Normal 32 6 3 4" xfId="34962" xr:uid="{00000000-0005-0000-0000-000017860000}"/>
    <cellStyle name="Normal 32 6 3 5" xfId="34963" xr:uid="{00000000-0005-0000-0000-000018860000}"/>
    <cellStyle name="Normal 32 6 3 6" xfId="34964" xr:uid="{00000000-0005-0000-0000-000019860000}"/>
    <cellStyle name="Normal 32 6 4" xfId="34965" xr:uid="{00000000-0005-0000-0000-00001A860000}"/>
    <cellStyle name="Normal 32 6 4 2" xfId="34966" xr:uid="{00000000-0005-0000-0000-00001B860000}"/>
    <cellStyle name="Normal 32 6 4 3" xfId="34967" xr:uid="{00000000-0005-0000-0000-00001C860000}"/>
    <cellStyle name="Normal 32 6 4 4" xfId="34968" xr:uid="{00000000-0005-0000-0000-00001D860000}"/>
    <cellStyle name="Normal 32 6 4 5" xfId="34969" xr:uid="{00000000-0005-0000-0000-00001E860000}"/>
    <cellStyle name="Normal 32 6 4 6" xfId="34970" xr:uid="{00000000-0005-0000-0000-00001F860000}"/>
    <cellStyle name="Normal 32 6 5" xfId="34971" xr:uid="{00000000-0005-0000-0000-000020860000}"/>
    <cellStyle name="Normal 32 6 5 2" xfId="34972" xr:uid="{00000000-0005-0000-0000-000021860000}"/>
    <cellStyle name="Normal 32 6 5 3" xfId="34973" xr:uid="{00000000-0005-0000-0000-000022860000}"/>
    <cellStyle name="Normal 32 6 5 4" xfId="34974" xr:uid="{00000000-0005-0000-0000-000023860000}"/>
    <cellStyle name="Normal 32 6 5 5" xfId="34975" xr:uid="{00000000-0005-0000-0000-000024860000}"/>
    <cellStyle name="Normal 32 6 5 6" xfId="34976" xr:uid="{00000000-0005-0000-0000-000025860000}"/>
    <cellStyle name="Normal 32 6 6" xfId="34977" xr:uid="{00000000-0005-0000-0000-000026860000}"/>
    <cellStyle name="Normal 32 6 6 2" xfId="34978" xr:uid="{00000000-0005-0000-0000-000027860000}"/>
    <cellStyle name="Normal 32 6 6 3" xfId="34979" xr:uid="{00000000-0005-0000-0000-000028860000}"/>
    <cellStyle name="Normal 32 6 6 4" xfId="34980" xr:uid="{00000000-0005-0000-0000-000029860000}"/>
    <cellStyle name="Normal 32 6 6 5" xfId="34981" xr:uid="{00000000-0005-0000-0000-00002A860000}"/>
    <cellStyle name="Normal 32 6 6 6" xfId="34982" xr:uid="{00000000-0005-0000-0000-00002B860000}"/>
    <cellStyle name="Normal 32 6 7" xfId="34983" xr:uid="{00000000-0005-0000-0000-00002C860000}"/>
    <cellStyle name="Normal 32 6 7 2" xfId="34984" xr:uid="{00000000-0005-0000-0000-00002D860000}"/>
    <cellStyle name="Normal 32 6 7 3" xfId="34985" xr:uid="{00000000-0005-0000-0000-00002E860000}"/>
    <cellStyle name="Normal 32 6 7 4" xfId="34986" xr:uid="{00000000-0005-0000-0000-00002F860000}"/>
    <cellStyle name="Normal 32 6 7 5" xfId="34987" xr:uid="{00000000-0005-0000-0000-000030860000}"/>
    <cellStyle name="Normal 32 6 7 6" xfId="34988" xr:uid="{00000000-0005-0000-0000-000031860000}"/>
    <cellStyle name="Normal 32 6 8" xfId="34989" xr:uid="{00000000-0005-0000-0000-000032860000}"/>
    <cellStyle name="Normal 32 6 8 2" xfId="34990" xr:uid="{00000000-0005-0000-0000-000033860000}"/>
    <cellStyle name="Normal 32 6 8 3" xfId="34991" xr:uid="{00000000-0005-0000-0000-000034860000}"/>
    <cellStyle name="Normal 32 6 8 4" xfId="34992" xr:uid="{00000000-0005-0000-0000-000035860000}"/>
    <cellStyle name="Normal 32 6 8 5" xfId="34993" xr:uid="{00000000-0005-0000-0000-000036860000}"/>
    <cellStyle name="Normal 32 6 8 6" xfId="34994" xr:uid="{00000000-0005-0000-0000-000037860000}"/>
    <cellStyle name="Normal 32 6 9" xfId="34995" xr:uid="{00000000-0005-0000-0000-000038860000}"/>
    <cellStyle name="Normal 32 7" xfId="34996" xr:uid="{00000000-0005-0000-0000-000039860000}"/>
    <cellStyle name="Normal 32 7 10" xfId="34997" xr:uid="{00000000-0005-0000-0000-00003A860000}"/>
    <cellStyle name="Normal 32 7 11" xfId="34998" xr:uid="{00000000-0005-0000-0000-00003B860000}"/>
    <cellStyle name="Normal 32 7 12" xfId="34999" xr:uid="{00000000-0005-0000-0000-00003C860000}"/>
    <cellStyle name="Normal 32 7 13" xfId="35000" xr:uid="{00000000-0005-0000-0000-00003D860000}"/>
    <cellStyle name="Normal 32 7 2" xfId="35001" xr:uid="{00000000-0005-0000-0000-00003E860000}"/>
    <cellStyle name="Normal 32 7 2 2" xfId="35002" xr:uid="{00000000-0005-0000-0000-00003F860000}"/>
    <cellStyle name="Normal 32 7 2 3" xfId="35003" xr:uid="{00000000-0005-0000-0000-000040860000}"/>
    <cellStyle name="Normal 32 7 2 4" xfId="35004" xr:uid="{00000000-0005-0000-0000-000041860000}"/>
    <cellStyle name="Normal 32 7 2 5" xfId="35005" xr:uid="{00000000-0005-0000-0000-000042860000}"/>
    <cellStyle name="Normal 32 7 2 6" xfId="35006" xr:uid="{00000000-0005-0000-0000-000043860000}"/>
    <cellStyle name="Normal 32 7 3" xfId="35007" xr:uid="{00000000-0005-0000-0000-000044860000}"/>
    <cellStyle name="Normal 32 7 3 2" xfId="35008" xr:uid="{00000000-0005-0000-0000-000045860000}"/>
    <cellStyle name="Normal 32 7 3 3" xfId="35009" xr:uid="{00000000-0005-0000-0000-000046860000}"/>
    <cellStyle name="Normal 32 7 3 4" xfId="35010" xr:uid="{00000000-0005-0000-0000-000047860000}"/>
    <cellStyle name="Normal 32 7 3 5" xfId="35011" xr:uid="{00000000-0005-0000-0000-000048860000}"/>
    <cellStyle name="Normal 32 7 3 6" xfId="35012" xr:uid="{00000000-0005-0000-0000-000049860000}"/>
    <cellStyle name="Normal 32 7 4" xfId="35013" xr:uid="{00000000-0005-0000-0000-00004A860000}"/>
    <cellStyle name="Normal 32 7 4 2" xfId="35014" xr:uid="{00000000-0005-0000-0000-00004B860000}"/>
    <cellStyle name="Normal 32 7 4 3" xfId="35015" xr:uid="{00000000-0005-0000-0000-00004C860000}"/>
    <cellStyle name="Normal 32 7 4 4" xfId="35016" xr:uid="{00000000-0005-0000-0000-00004D860000}"/>
    <cellStyle name="Normal 32 7 4 5" xfId="35017" xr:uid="{00000000-0005-0000-0000-00004E860000}"/>
    <cellStyle name="Normal 32 7 4 6" xfId="35018" xr:uid="{00000000-0005-0000-0000-00004F860000}"/>
    <cellStyle name="Normal 32 7 5" xfId="35019" xr:uid="{00000000-0005-0000-0000-000050860000}"/>
    <cellStyle name="Normal 32 7 5 2" xfId="35020" xr:uid="{00000000-0005-0000-0000-000051860000}"/>
    <cellStyle name="Normal 32 7 5 3" xfId="35021" xr:uid="{00000000-0005-0000-0000-000052860000}"/>
    <cellStyle name="Normal 32 7 5 4" xfId="35022" xr:uid="{00000000-0005-0000-0000-000053860000}"/>
    <cellStyle name="Normal 32 7 5 5" xfId="35023" xr:uid="{00000000-0005-0000-0000-000054860000}"/>
    <cellStyle name="Normal 32 7 5 6" xfId="35024" xr:uid="{00000000-0005-0000-0000-000055860000}"/>
    <cellStyle name="Normal 32 7 6" xfId="35025" xr:uid="{00000000-0005-0000-0000-000056860000}"/>
    <cellStyle name="Normal 32 7 6 2" xfId="35026" xr:uid="{00000000-0005-0000-0000-000057860000}"/>
    <cellStyle name="Normal 32 7 6 3" xfId="35027" xr:uid="{00000000-0005-0000-0000-000058860000}"/>
    <cellStyle name="Normal 32 7 6 4" xfId="35028" xr:uid="{00000000-0005-0000-0000-000059860000}"/>
    <cellStyle name="Normal 32 7 6 5" xfId="35029" xr:uid="{00000000-0005-0000-0000-00005A860000}"/>
    <cellStyle name="Normal 32 7 6 6" xfId="35030" xr:uid="{00000000-0005-0000-0000-00005B860000}"/>
    <cellStyle name="Normal 32 7 7" xfId="35031" xr:uid="{00000000-0005-0000-0000-00005C860000}"/>
    <cellStyle name="Normal 32 7 7 2" xfId="35032" xr:uid="{00000000-0005-0000-0000-00005D860000}"/>
    <cellStyle name="Normal 32 7 7 3" xfId="35033" xr:uid="{00000000-0005-0000-0000-00005E860000}"/>
    <cellStyle name="Normal 32 7 7 4" xfId="35034" xr:uid="{00000000-0005-0000-0000-00005F860000}"/>
    <cellStyle name="Normal 32 7 7 5" xfId="35035" xr:uid="{00000000-0005-0000-0000-000060860000}"/>
    <cellStyle name="Normal 32 7 7 6" xfId="35036" xr:uid="{00000000-0005-0000-0000-000061860000}"/>
    <cellStyle name="Normal 32 7 8" xfId="35037" xr:uid="{00000000-0005-0000-0000-000062860000}"/>
    <cellStyle name="Normal 32 7 8 2" xfId="35038" xr:uid="{00000000-0005-0000-0000-000063860000}"/>
    <cellStyle name="Normal 32 7 8 3" xfId="35039" xr:uid="{00000000-0005-0000-0000-000064860000}"/>
    <cellStyle name="Normal 32 7 8 4" xfId="35040" xr:uid="{00000000-0005-0000-0000-000065860000}"/>
    <cellStyle name="Normal 32 7 8 5" xfId="35041" xr:uid="{00000000-0005-0000-0000-000066860000}"/>
    <cellStyle name="Normal 32 7 8 6" xfId="35042" xr:uid="{00000000-0005-0000-0000-000067860000}"/>
    <cellStyle name="Normal 32 7 9" xfId="35043" xr:uid="{00000000-0005-0000-0000-000068860000}"/>
    <cellStyle name="Normal 32 8" xfId="35044" xr:uid="{00000000-0005-0000-0000-000069860000}"/>
    <cellStyle name="Normal 32 8 10" xfId="35045" xr:uid="{00000000-0005-0000-0000-00006A860000}"/>
    <cellStyle name="Normal 32 8 11" xfId="35046" xr:uid="{00000000-0005-0000-0000-00006B860000}"/>
    <cellStyle name="Normal 32 8 12" xfId="35047" xr:uid="{00000000-0005-0000-0000-00006C860000}"/>
    <cellStyle name="Normal 32 8 13" xfId="35048" xr:uid="{00000000-0005-0000-0000-00006D860000}"/>
    <cellStyle name="Normal 32 8 2" xfId="35049" xr:uid="{00000000-0005-0000-0000-00006E860000}"/>
    <cellStyle name="Normal 32 8 2 2" xfId="35050" xr:uid="{00000000-0005-0000-0000-00006F860000}"/>
    <cellStyle name="Normal 32 8 2 3" xfId="35051" xr:uid="{00000000-0005-0000-0000-000070860000}"/>
    <cellStyle name="Normal 32 8 2 4" xfId="35052" xr:uid="{00000000-0005-0000-0000-000071860000}"/>
    <cellStyle name="Normal 32 8 2 5" xfId="35053" xr:uid="{00000000-0005-0000-0000-000072860000}"/>
    <cellStyle name="Normal 32 8 2 6" xfId="35054" xr:uid="{00000000-0005-0000-0000-000073860000}"/>
    <cellStyle name="Normal 32 8 3" xfId="35055" xr:uid="{00000000-0005-0000-0000-000074860000}"/>
    <cellStyle name="Normal 32 8 3 2" xfId="35056" xr:uid="{00000000-0005-0000-0000-000075860000}"/>
    <cellStyle name="Normal 32 8 3 3" xfId="35057" xr:uid="{00000000-0005-0000-0000-000076860000}"/>
    <cellStyle name="Normal 32 8 3 4" xfId="35058" xr:uid="{00000000-0005-0000-0000-000077860000}"/>
    <cellStyle name="Normal 32 8 3 5" xfId="35059" xr:uid="{00000000-0005-0000-0000-000078860000}"/>
    <cellStyle name="Normal 32 8 3 6" xfId="35060" xr:uid="{00000000-0005-0000-0000-000079860000}"/>
    <cellStyle name="Normal 32 8 4" xfId="35061" xr:uid="{00000000-0005-0000-0000-00007A860000}"/>
    <cellStyle name="Normal 32 8 4 2" xfId="35062" xr:uid="{00000000-0005-0000-0000-00007B860000}"/>
    <cellStyle name="Normal 32 8 4 3" xfId="35063" xr:uid="{00000000-0005-0000-0000-00007C860000}"/>
    <cellStyle name="Normal 32 8 4 4" xfId="35064" xr:uid="{00000000-0005-0000-0000-00007D860000}"/>
    <cellStyle name="Normal 32 8 4 5" xfId="35065" xr:uid="{00000000-0005-0000-0000-00007E860000}"/>
    <cellStyle name="Normal 32 8 4 6" xfId="35066" xr:uid="{00000000-0005-0000-0000-00007F860000}"/>
    <cellStyle name="Normal 32 8 5" xfId="35067" xr:uid="{00000000-0005-0000-0000-000080860000}"/>
    <cellStyle name="Normal 32 8 5 2" xfId="35068" xr:uid="{00000000-0005-0000-0000-000081860000}"/>
    <cellStyle name="Normal 32 8 5 3" xfId="35069" xr:uid="{00000000-0005-0000-0000-000082860000}"/>
    <cellStyle name="Normal 32 8 5 4" xfId="35070" xr:uid="{00000000-0005-0000-0000-000083860000}"/>
    <cellStyle name="Normal 32 8 5 5" xfId="35071" xr:uid="{00000000-0005-0000-0000-000084860000}"/>
    <cellStyle name="Normal 32 8 5 6" xfId="35072" xr:uid="{00000000-0005-0000-0000-000085860000}"/>
    <cellStyle name="Normal 32 8 6" xfId="35073" xr:uid="{00000000-0005-0000-0000-000086860000}"/>
    <cellStyle name="Normal 32 8 6 2" xfId="35074" xr:uid="{00000000-0005-0000-0000-000087860000}"/>
    <cellStyle name="Normal 32 8 6 3" xfId="35075" xr:uid="{00000000-0005-0000-0000-000088860000}"/>
    <cellStyle name="Normal 32 8 6 4" xfId="35076" xr:uid="{00000000-0005-0000-0000-000089860000}"/>
    <cellStyle name="Normal 32 8 6 5" xfId="35077" xr:uid="{00000000-0005-0000-0000-00008A860000}"/>
    <cellStyle name="Normal 32 8 6 6" xfId="35078" xr:uid="{00000000-0005-0000-0000-00008B860000}"/>
    <cellStyle name="Normal 32 8 7" xfId="35079" xr:uid="{00000000-0005-0000-0000-00008C860000}"/>
    <cellStyle name="Normal 32 8 7 2" xfId="35080" xr:uid="{00000000-0005-0000-0000-00008D860000}"/>
    <cellStyle name="Normal 32 8 7 3" xfId="35081" xr:uid="{00000000-0005-0000-0000-00008E860000}"/>
    <cellStyle name="Normal 32 8 7 4" xfId="35082" xr:uid="{00000000-0005-0000-0000-00008F860000}"/>
    <cellStyle name="Normal 32 8 7 5" xfId="35083" xr:uid="{00000000-0005-0000-0000-000090860000}"/>
    <cellStyle name="Normal 32 8 7 6" xfId="35084" xr:uid="{00000000-0005-0000-0000-000091860000}"/>
    <cellStyle name="Normal 32 8 8" xfId="35085" xr:uid="{00000000-0005-0000-0000-000092860000}"/>
    <cellStyle name="Normal 32 8 8 2" xfId="35086" xr:uid="{00000000-0005-0000-0000-000093860000}"/>
    <cellStyle name="Normal 32 8 8 3" xfId="35087" xr:uid="{00000000-0005-0000-0000-000094860000}"/>
    <cellStyle name="Normal 32 8 8 4" xfId="35088" xr:uid="{00000000-0005-0000-0000-000095860000}"/>
    <cellStyle name="Normal 32 8 8 5" xfId="35089" xr:uid="{00000000-0005-0000-0000-000096860000}"/>
    <cellStyle name="Normal 32 8 8 6" xfId="35090" xr:uid="{00000000-0005-0000-0000-000097860000}"/>
    <cellStyle name="Normal 32 8 9" xfId="35091" xr:uid="{00000000-0005-0000-0000-000098860000}"/>
    <cellStyle name="Normal 32 9" xfId="35092" xr:uid="{00000000-0005-0000-0000-000099860000}"/>
    <cellStyle name="Normal 32 9 10" xfId="35093" xr:uid="{00000000-0005-0000-0000-00009A860000}"/>
    <cellStyle name="Normal 32 9 11" xfId="35094" xr:uid="{00000000-0005-0000-0000-00009B860000}"/>
    <cellStyle name="Normal 32 9 12" xfId="35095" xr:uid="{00000000-0005-0000-0000-00009C860000}"/>
    <cellStyle name="Normal 32 9 13" xfId="35096" xr:uid="{00000000-0005-0000-0000-00009D860000}"/>
    <cellStyle name="Normal 32 9 2" xfId="35097" xr:uid="{00000000-0005-0000-0000-00009E860000}"/>
    <cellStyle name="Normal 32 9 2 2" xfId="35098" xr:uid="{00000000-0005-0000-0000-00009F860000}"/>
    <cellStyle name="Normal 32 9 2 3" xfId="35099" xr:uid="{00000000-0005-0000-0000-0000A0860000}"/>
    <cellStyle name="Normal 32 9 2 4" xfId="35100" xr:uid="{00000000-0005-0000-0000-0000A1860000}"/>
    <cellStyle name="Normal 32 9 2 5" xfId="35101" xr:uid="{00000000-0005-0000-0000-0000A2860000}"/>
    <cellStyle name="Normal 32 9 2 6" xfId="35102" xr:uid="{00000000-0005-0000-0000-0000A3860000}"/>
    <cellStyle name="Normal 32 9 3" xfId="35103" xr:uid="{00000000-0005-0000-0000-0000A4860000}"/>
    <cellStyle name="Normal 32 9 3 2" xfId="35104" xr:uid="{00000000-0005-0000-0000-0000A5860000}"/>
    <cellStyle name="Normal 32 9 3 3" xfId="35105" xr:uid="{00000000-0005-0000-0000-0000A6860000}"/>
    <cellStyle name="Normal 32 9 3 4" xfId="35106" xr:uid="{00000000-0005-0000-0000-0000A7860000}"/>
    <cellStyle name="Normal 32 9 3 5" xfId="35107" xr:uid="{00000000-0005-0000-0000-0000A8860000}"/>
    <cellStyle name="Normal 32 9 3 6" xfId="35108" xr:uid="{00000000-0005-0000-0000-0000A9860000}"/>
    <cellStyle name="Normal 32 9 4" xfId="35109" xr:uid="{00000000-0005-0000-0000-0000AA860000}"/>
    <cellStyle name="Normal 32 9 4 2" xfId="35110" xr:uid="{00000000-0005-0000-0000-0000AB860000}"/>
    <cellStyle name="Normal 32 9 4 3" xfId="35111" xr:uid="{00000000-0005-0000-0000-0000AC860000}"/>
    <cellStyle name="Normal 32 9 4 4" xfId="35112" xr:uid="{00000000-0005-0000-0000-0000AD860000}"/>
    <cellStyle name="Normal 32 9 4 5" xfId="35113" xr:uid="{00000000-0005-0000-0000-0000AE860000}"/>
    <cellStyle name="Normal 32 9 4 6" xfId="35114" xr:uid="{00000000-0005-0000-0000-0000AF860000}"/>
    <cellStyle name="Normal 32 9 5" xfId="35115" xr:uid="{00000000-0005-0000-0000-0000B0860000}"/>
    <cellStyle name="Normal 32 9 5 2" xfId="35116" xr:uid="{00000000-0005-0000-0000-0000B1860000}"/>
    <cellStyle name="Normal 32 9 5 3" xfId="35117" xr:uid="{00000000-0005-0000-0000-0000B2860000}"/>
    <cellStyle name="Normal 32 9 5 4" xfId="35118" xr:uid="{00000000-0005-0000-0000-0000B3860000}"/>
    <cellStyle name="Normal 32 9 5 5" xfId="35119" xr:uid="{00000000-0005-0000-0000-0000B4860000}"/>
    <cellStyle name="Normal 32 9 5 6" xfId="35120" xr:uid="{00000000-0005-0000-0000-0000B5860000}"/>
    <cellStyle name="Normal 32 9 6" xfId="35121" xr:uid="{00000000-0005-0000-0000-0000B6860000}"/>
    <cellStyle name="Normal 32 9 6 2" xfId="35122" xr:uid="{00000000-0005-0000-0000-0000B7860000}"/>
    <cellStyle name="Normal 32 9 6 3" xfId="35123" xr:uid="{00000000-0005-0000-0000-0000B8860000}"/>
    <cellStyle name="Normal 32 9 6 4" xfId="35124" xr:uid="{00000000-0005-0000-0000-0000B9860000}"/>
    <cellStyle name="Normal 32 9 6 5" xfId="35125" xr:uid="{00000000-0005-0000-0000-0000BA860000}"/>
    <cellStyle name="Normal 32 9 6 6" xfId="35126" xr:uid="{00000000-0005-0000-0000-0000BB860000}"/>
    <cellStyle name="Normal 32 9 7" xfId="35127" xr:uid="{00000000-0005-0000-0000-0000BC860000}"/>
    <cellStyle name="Normal 32 9 7 2" xfId="35128" xr:uid="{00000000-0005-0000-0000-0000BD860000}"/>
    <cellStyle name="Normal 32 9 7 3" xfId="35129" xr:uid="{00000000-0005-0000-0000-0000BE860000}"/>
    <cellStyle name="Normal 32 9 7 4" xfId="35130" xr:uid="{00000000-0005-0000-0000-0000BF860000}"/>
    <cellStyle name="Normal 32 9 7 5" xfId="35131" xr:uid="{00000000-0005-0000-0000-0000C0860000}"/>
    <cellStyle name="Normal 32 9 7 6" xfId="35132" xr:uid="{00000000-0005-0000-0000-0000C1860000}"/>
    <cellStyle name="Normal 32 9 8" xfId="35133" xr:uid="{00000000-0005-0000-0000-0000C2860000}"/>
    <cellStyle name="Normal 32 9 8 2" xfId="35134" xr:uid="{00000000-0005-0000-0000-0000C3860000}"/>
    <cellStyle name="Normal 32 9 8 3" xfId="35135" xr:uid="{00000000-0005-0000-0000-0000C4860000}"/>
    <cellStyle name="Normal 32 9 8 4" xfId="35136" xr:uid="{00000000-0005-0000-0000-0000C5860000}"/>
    <cellStyle name="Normal 32 9 8 5" xfId="35137" xr:uid="{00000000-0005-0000-0000-0000C6860000}"/>
    <cellStyle name="Normal 32 9 8 6" xfId="35138" xr:uid="{00000000-0005-0000-0000-0000C7860000}"/>
    <cellStyle name="Normal 32 9 9" xfId="35139" xr:uid="{00000000-0005-0000-0000-0000C8860000}"/>
    <cellStyle name="Normal 33" xfId="1892" xr:uid="{00000000-0005-0000-0000-0000C9860000}"/>
    <cellStyle name="Normal 33 10" xfId="35140" xr:uid="{00000000-0005-0000-0000-0000CA860000}"/>
    <cellStyle name="Normal 33 10 10" xfId="35141" xr:uid="{00000000-0005-0000-0000-0000CB860000}"/>
    <cellStyle name="Normal 33 10 11" xfId="35142" xr:uid="{00000000-0005-0000-0000-0000CC860000}"/>
    <cellStyle name="Normal 33 10 12" xfId="35143" xr:uid="{00000000-0005-0000-0000-0000CD860000}"/>
    <cellStyle name="Normal 33 10 13" xfId="35144" xr:uid="{00000000-0005-0000-0000-0000CE860000}"/>
    <cellStyle name="Normal 33 10 2" xfId="35145" xr:uid="{00000000-0005-0000-0000-0000CF860000}"/>
    <cellStyle name="Normal 33 10 2 2" xfId="35146" xr:uid="{00000000-0005-0000-0000-0000D0860000}"/>
    <cellStyle name="Normal 33 10 2 3" xfId="35147" xr:uid="{00000000-0005-0000-0000-0000D1860000}"/>
    <cellStyle name="Normal 33 10 2 4" xfId="35148" xr:uid="{00000000-0005-0000-0000-0000D2860000}"/>
    <cellStyle name="Normal 33 10 2 5" xfId="35149" xr:uid="{00000000-0005-0000-0000-0000D3860000}"/>
    <cellStyle name="Normal 33 10 2 6" xfId="35150" xr:uid="{00000000-0005-0000-0000-0000D4860000}"/>
    <cellStyle name="Normal 33 10 3" xfId="35151" xr:uid="{00000000-0005-0000-0000-0000D5860000}"/>
    <cellStyle name="Normal 33 10 3 2" xfId="35152" xr:uid="{00000000-0005-0000-0000-0000D6860000}"/>
    <cellStyle name="Normal 33 10 3 3" xfId="35153" xr:uid="{00000000-0005-0000-0000-0000D7860000}"/>
    <cellStyle name="Normal 33 10 3 4" xfId="35154" xr:uid="{00000000-0005-0000-0000-0000D8860000}"/>
    <cellStyle name="Normal 33 10 3 5" xfId="35155" xr:uid="{00000000-0005-0000-0000-0000D9860000}"/>
    <cellStyle name="Normal 33 10 3 6" xfId="35156" xr:uid="{00000000-0005-0000-0000-0000DA860000}"/>
    <cellStyle name="Normal 33 10 4" xfId="35157" xr:uid="{00000000-0005-0000-0000-0000DB860000}"/>
    <cellStyle name="Normal 33 10 4 2" xfId="35158" xr:uid="{00000000-0005-0000-0000-0000DC860000}"/>
    <cellStyle name="Normal 33 10 4 3" xfId="35159" xr:uid="{00000000-0005-0000-0000-0000DD860000}"/>
    <cellStyle name="Normal 33 10 4 4" xfId="35160" xr:uid="{00000000-0005-0000-0000-0000DE860000}"/>
    <cellStyle name="Normal 33 10 4 5" xfId="35161" xr:uid="{00000000-0005-0000-0000-0000DF860000}"/>
    <cellStyle name="Normal 33 10 4 6" xfId="35162" xr:uid="{00000000-0005-0000-0000-0000E0860000}"/>
    <cellStyle name="Normal 33 10 5" xfId="35163" xr:uid="{00000000-0005-0000-0000-0000E1860000}"/>
    <cellStyle name="Normal 33 10 5 2" xfId="35164" xr:uid="{00000000-0005-0000-0000-0000E2860000}"/>
    <cellStyle name="Normal 33 10 5 3" xfId="35165" xr:uid="{00000000-0005-0000-0000-0000E3860000}"/>
    <cellStyle name="Normal 33 10 5 4" xfId="35166" xr:uid="{00000000-0005-0000-0000-0000E4860000}"/>
    <cellStyle name="Normal 33 10 5 5" xfId="35167" xr:uid="{00000000-0005-0000-0000-0000E5860000}"/>
    <cellStyle name="Normal 33 10 5 6" xfId="35168" xr:uid="{00000000-0005-0000-0000-0000E6860000}"/>
    <cellStyle name="Normal 33 10 6" xfId="35169" xr:uid="{00000000-0005-0000-0000-0000E7860000}"/>
    <cellStyle name="Normal 33 10 6 2" xfId="35170" xr:uid="{00000000-0005-0000-0000-0000E8860000}"/>
    <cellStyle name="Normal 33 10 6 3" xfId="35171" xr:uid="{00000000-0005-0000-0000-0000E9860000}"/>
    <cellStyle name="Normal 33 10 6 4" xfId="35172" xr:uid="{00000000-0005-0000-0000-0000EA860000}"/>
    <cellStyle name="Normal 33 10 6 5" xfId="35173" xr:uid="{00000000-0005-0000-0000-0000EB860000}"/>
    <cellStyle name="Normal 33 10 6 6" xfId="35174" xr:uid="{00000000-0005-0000-0000-0000EC860000}"/>
    <cellStyle name="Normal 33 10 7" xfId="35175" xr:uid="{00000000-0005-0000-0000-0000ED860000}"/>
    <cellStyle name="Normal 33 10 7 2" xfId="35176" xr:uid="{00000000-0005-0000-0000-0000EE860000}"/>
    <cellStyle name="Normal 33 10 7 3" xfId="35177" xr:uid="{00000000-0005-0000-0000-0000EF860000}"/>
    <cellStyle name="Normal 33 10 7 4" xfId="35178" xr:uid="{00000000-0005-0000-0000-0000F0860000}"/>
    <cellStyle name="Normal 33 10 7 5" xfId="35179" xr:uid="{00000000-0005-0000-0000-0000F1860000}"/>
    <cellStyle name="Normal 33 10 7 6" xfId="35180" xr:uid="{00000000-0005-0000-0000-0000F2860000}"/>
    <cellStyle name="Normal 33 10 8" xfId="35181" xr:uid="{00000000-0005-0000-0000-0000F3860000}"/>
    <cellStyle name="Normal 33 10 8 2" xfId="35182" xr:uid="{00000000-0005-0000-0000-0000F4860000}"/>
    <cellStyle name="Normal 33 10 8 3" xfId="35183" xr:uid="{00000000-0005-0000-0000-0000F5860000}"/>
    <cellStyle name="Normal 33 10 8 4" xfId="35184" xr:uid="{00000000-0005-0000-0000-0000F6860000}"/>
    <cellStyle name="Normal 33 10 8 5" xfId="35185" xr:uid="{00000000-0005-0000-0000-0000F7860000}"/>
    <cellStyle name="Normal 33 10 8 6" xfId="35186" xr:uid="{00000000-0005-0000-0000-0000F8860000}"/>
    <cellStyle name="Normal 33 10 9" xfId="35187" xr:uid="{00000000-0005-0000-0000-0000F9860000}"/>
    <cellStyle name="Normal 33 11" xfId="35188" xr:uid="{00000000-0005-0000-0000-0000FA860000}"/>
    <cellStyle name="Normal 33 11 10" xfId="35189" xr:uid="{00000000-0005-0000-0000-0000FB860000}"/>
    <cellStyle name="Normal 33 11 11" xfId="35190" xr:uid="{00000000-0005-0000-0000-0000FC860000}"/>
    <cellStyle name="Normal 33 11 12" xfId="35191" xr:uid="{00000000-0005-0000-0000-0000FD860000}"/>
    <cellStyle name="Normal 33 11 13" xfId="35192" xr:uid="{00000000-0005-0000-0000-0000FE860000}"/>
    <cellStyle name="Normal 33 11 2" xfId="35193" xr:uid="{00000000-0005-0000-0000-0000FF860000}"/>
    <cellStyle name="Normal 33 11 2 2" xfId="35194" xr:uid="{00000000-0005-0000-0000-000000870000}"/>
    <cellStyle name="Normal 33 11 2 3" xfId="35195" xr:uid="{00000000-0005-0000-0000-000001870000}"/>
    <cellStyle name="Normal 33 11 2 4" xfId="35196" xr:uid="{00000000-0005-0000-0000-000002870000}"/>
    <cellStyle name="Normal 33 11 2 5" xfId="35197" xr:uid="{00000000-0005-0000-0000-000003870000}"/>
    <cellStyle name="Normal 33 11 2 6" xfId="35198" xr:uid="{00000000-0005-0000-0000-000004870000}"/>
    <cellStyle name="Normal 33 11 3" xfId="35199" xr:uid="{00000000-0005-0000-0000-000005870000}"/>
    <cellStyle name="Normal 33 11 3 2" xfId="35200" xr:uid="{00000000-0005-0000-0000-000006870000}"/>
    <cellStyle name="Normal 33 11 3 3" xfId="35201" xr:uid="{00000000-0005-0000-0000-000007870000}"/>
    <cellStyle name="Normal 33 11 3 4" xfId="35202" xr:uid="{00000000-0005-0000-0000-000008870000}"/>
    <cellStyle name="Normal 33 11 3 5" xfId="35203" xr:uid="{00000000-0005-0000-0000-000009870000}"/>
    <cellStyle name="Normal 33 11 3 6" xfId="35204" xr:uid="{00000000-0005-0000-0000-00000A870000}"/>
    <cellStyle name="Normal 33 11 4" xfId="35205" xr:uid="{00000000-0005-0000-0000-00000B870000}"/>
    <cellStyle name="Normal 33 11 4 2" xfId="35206" xr:uid="{00000000-0005-0000-0000-00000C870000}"/>
    <cellStyle name="Normal 33 11 4 3" xfId="35207" xr:uid="{00000000-0005-0000-0000-00000D870000}"/>
    <cellStyle name="Normal 33 11 4 4" xfId="35208" xr:uid="{00000000-0005-0000-0000-00000E870000}"/>
    <cellStyle name="Normal 33 11 4 5" xfId="35209" xr:uid="{00000000-0005-0000-0000-00000F870000}"/>
    <cellStyle name="Normal 33 11 4 6" xfId="35210" xr:uid="{00000000-0005-0000-0000-000010870000}"/>
    <cellStyle name="Normal 33 11 5" xfId="35211" xr:uid="{00000000-0005-0000-0000-000011870000}"/>
    <cellStyle name="Normal 33 11 5 2" xfId="35212" xr:uid="{00000000-0005-0000-0000-000012870000}"/>
    <cellStyle name="Normal 33 11 5 3" xfId="35213" xr:uid="{00000000-0005-0000-0000-000013870000}"/>
    <cellStyle name="Normal 33 11 5 4" xfId="35214" xr:uid="{00000000-0005-0000-0000-000014870000}"/>
    <cellStyle name="Normal 33 11 5 5" xfId="35215" xr:uid="{00000000-0005-0000-0000-000015870000}"/>
    <cellStyle name="Normal 33 11 5 6" xfId="35216" xr:uid="{00000000-0005-0000-0000-000016870000}"/>
    <cellStyle name="Normal 33 11 6" xfId="35217" xr:uid="{00000000-0005-0000-0000-000017870000}"/>
    <cellStyle name="Normal 33 11 6 2" xfId="35218" xr:uid="{00000000-0005-0000-0000-000018870000}"/>
    <cellStyle name="Normal 33 11 6 3" xfId="35219" xr:uid="{00000000-0005-0000-0000-000019870000}"/>
    <cellStyle name="Normal 33 11 6 4" xfId="35220" xr:uid="{00000000-0005-0000-0000-00001A870000}"/>
    <cellStyle name="Normal 33 11 6 5" xfId="35221" xr:uid="{00000000-0005-0000-0000-00001B870000}"/>
    <cellStyle name="Normal 33 11 6 6" xfId="35222" xr:uid="{00000000-0005-0000-0000-00001C870000}"/>
    <cellStyle name="Normal 33 11 7" xfId="35223" xr:uid="{00000000-0005-0000-0000-00001D870000}"/>
    <cellStyle name="Normal 33 11 7 2" xfId="35224" xr:uid="{00000000-0005-0000-0000-00001E870000}"/>
    <cellStyle name="Normal 33 11 7 3" xfId="35225" xr:uid="{00000000-0005-0000-0000-00001F870000}"/>
    <cellStyle name="Normal 33 11 7 4" xfId="35226" xr:uid="{00000000-0005-0000-0000-000020870000}"/>
    <cellStyle name="Normal 33 11 7 5" xfId="35227" xr:uid="{00000000-0005-0000-0000-000021870000}"/>
    <cellStyle name="Normal 33 11 7 6" xfId="35228" xr:uid="{00000000-0005-0000-0000-000022870000}"/>
    <cellStyle name="Normal 33 11 8" xfId="35229" xr:uid="{00000000-0005-0000-0000-000023870000}"/>
    <cellStyle name="Normal 33 11 8 2" xfId="35230" xr:uid="{00000000-0005-0000-0000-000024870000}"/>
    <cellStyle name="Normal 33 11 8 3" xfId="35231" xr:uid="{00000000-0005-0000-0000-000025870000}"/>
    <cellStyle name="Normal 33 11 8 4" xfId="35232" xr:uid="{00000000-0005-0000-0000-000026870000}"/>
    <cellStyle name="Normal 33 11 8 5" xfId="35233" xr:uid="{00000000-0005-0000-0000-000027870000}"/>
    <cellStyle name="Normal 33 11 8 6" xfId="35234" xr:uid="{00000000-0005-0000-0000-000028870000}"/>
    <cellStyle name="Normal 33 11 9" xfId="35235" xr:uid="{00000000-0005-0000-0000-000029870000}"/>
    <cellStyle name="Normal 33 12" xfId="35236" xr:uid="{00000000-0005-0000-0000-00002A870000}"/>
    <cellStyle name="Normal 33 12 2" xfId="35237" xr:uid="{00000000-0005-0000-0000-00002B870000}"/>
    <cellStyle name="Normal 33 12 3" xfId="35238" xr:uid="{00000000-0005-0000-0000-00002C870000}"/>
    <cellStyle name="Normal 33 12 4" xfId="35239" xr:uid="{00000000-0005-0000-0000-00002D870000}"/>
    <cellStyle name="Normal 33 12 5" xfId="35240" xr:uid="{00000000-0005-0000-0000-00002E870000}"/>
    <cellStyle name="Normal 33 12 6" xfId="35241" xr:uid="{00000000-0005-0000-0000-00002F870000}"/>
    <cellStyle name="Normal 33 13" xfId="35242" xr:uid="{00000000-0005-0000-0000-000030870000}"/>
    <cellStyle name="Normal 33 13 2" xfId="35243" xr:uid="{00000000-0005-0000-0000-000031870000}"/>
    <cellStyle name="Normal 33 13 3" xfId="35244" xr:uid="{00000000-0005-0000-0000-000032870000}"/>
    <cellStyle name="Normal 33 13 4" xfId="35245" xr:uid="{00000000-0005-0000-0000-000033870000}"/>
    <cellStyle name="Normal 33 13 5" xfId="35246" xr:uid="{00000000-0005-0000-0000-000034870000}"/>
    <cellStyle name="Normal 33 13 6" xfId="35247" xr:uid="{00000000-0005-0000-0000-000035870000}"/>
    <cellStyle name="Normal 33 14" xfId="35248" xr:uid="{00000000-0005-0000-0000-000036870000}"/>
    <cellStyle name="Normal 33 14 2" xfId="35249" xr:uid="{00000000-0005-0000-0000-000037870000}"/>
    <cellStyle name="Normal 33 14 3" xfId="35250" xr:uid="{00000000-0005-0000-0000-000038870000}"/>
    <cellStyle name="Normal 33 14 4" xfId="35251" xr:uid="{00000000-0005-0000-0000-000039870000}"/>
    <cellStyle name="Normal 33 14 5" xfId="35252" xr:uid="{00000000-0005-0000-0000-00003A870000}"/>
    <cellStyle name="Normal 33 14 6" xfId="35253" xr:uid="{00000000-0005-0000-0000-00003B870000}"/>
    <cellStyle name="Normal 33 15" xfId="35254" xr:uid="{00000000-0005-0000-0000-00003C870000}"/>
    <cellStyle name="Normal 33 15 2" xfId="35255" xr:uid="{00000000-0005-0000-0000-00003D870000}"/>
    <cellStyle name="Normal 33 15 3" xfId="35256" xr:uid="{00000000-0005-0000-0000-00003E870000}"/>
    <cellStyle name="Normal 33 15 4" xfId="35257" xr:uid="{00000000-0005-0000-0000-00003F870000}"/>
    <cellStyle name="Normal 33 15 5" xfId="35258" xr:uid="{00000000-0005-0000-0000-000040870000}"/>
    <cellStyle name="Normal 33 15 6" xfId="35259" xr:uid="{00000000-0005-0000-0000-000041870000}"/>
    <cellStyle name="Normal 33 16" xfId="35260" xr:uid="{00000000-0005-0000-0000-000042870000}"/>
    <cellStyle name="Normal 33 16 2" xfId="35261" xr:uid="{00000000-0005-0000-0000-000043870000}"/>
    <cellStyle name="Normal 33 16 3" xfId="35262" xr:uid="{00000000-0005-0000-0000-000044870000}"/>
    <cellStyle name="Normal 33 16 4" xfId="35263" xr:uid="{00000000-0005-0000-0000-000045870000}"/>
    <cellStyle name="Normal 33 16 5" xfId="35264" xr:uid="{00000000-0005-0000-0000-000046870000}"/>
    <cellStyle name="Normal 33 16 6" xfId="35265" xr:uid="{00000000-0005-0000-0000-000047870000}"/>
    <cellStyle name="Normal 33 17" xfId="35266" xr:uid="{00000000-0005-0000-0000-000048870000}"/>
    <cellStyle name="Normal 33 17 2" xfId="35267" xr:uid="{00000000-0005-0000-0000-000049870000}"/>
    <cellStyle name="Normal 33 17 3" xfId="35268" xr:uid="{00000000-0005-0000-0000-00004A870000}"/>
    <cellStyle name="Normal 33 17 4" xfId="35269" xr:uid="{00000000-0005-0000-0000-00004B870000}"/>
    <cellStyle name="Normal 33 17 5" xfId="35270" xr:uid="{00000000-0005-0000-0000-00004C870000}"/>
    <cellStyle name="Normal 33 17 6" xfId="35271" xr:uid="{00000000-0005-0000-0000-00004D870000}"/>
    <cellStyle name="Normal 33 18" xfId="35272" xr:uid="{00000000-0005-0000-0000-00004E870000}"/>
    <cellStyle name="Normal 33 18 2" xfId="35273" xr:uid="{00000000-0005-0000-0000-00004F870000}"/>
    <cellStyle name="Normal 33 18 3" xfId="35274" xr:uid="{00000000-0005-0000-0000-000050870000}"/>
    <cellStyle name="Normal 33 18 4" xfId="35275" xr:uid="{00000000-0005-0000-0000-000051870000}"/>
    <cellStyle name="Normal 33 18 5" xfId="35276" xr:uid="{00000000-0005-0000-0000-000052870000}"/>
    <cellStyle name="Normal 33 18 6" xfId="35277" xr:uid="{00000000-0005-0000-0000-000053870000}"/>
    <cellStyle name="Normal 33 19" xfId="35278" xr:uid="{00000000-0005-0000-0000-000054870000}"/>
    <cellStyle name="Normal 33 2" xfId="2541" xr:uid="{00000000-0005-0000-0000-000055870000}"/>
    <cellStyle name="Normal 33 2 10" xfId="35279" xr:uid="{00000000-0005-0000-0000-000056870000}"/>
    <cellStyle name="Normal 33 2 11" xfId="35280" xr:uid="{00000000-0005-0000-0000-000057870000}"/>
    <cellStyle name="Normal 33 2 12" xfId="35281" xr:uid="{00000000-0005-0000-0000-000058870000}"/>
    <cellStyle name="Normal 33 2 13" xfId="35282" xr:uid="{00000000-0005-0000-0000-000059870000}"/>
    <cellStyle name="Normal 33 2 2" xfId="35283" xr:uid="{00000000-0005-0000-0000-00005A870000}"/>
    <cellStyle name="Normal 33 2 2 2" xfId="35284" xr:uid="{00000000-0005-0000-0000-00005B870000}"/>
    <cellStyle name="Normal 33 2 2 3" xfId="35285" xr:uid="{00000000-0005-0000-0000-00005C870000}"/>
    <cellStyle name="Normal 33 2 2 4" xfId="35286" xr:uid="{00000000-0005-0000-0000-00005D870000}"/>
    <cellStyle name="Normal 33 2 2 5" xfId="35287" xr:uid="{00000000-0005-0000-0000-00005E870000}"/>
    <cellStyle name="Normal 33 2 2 6" xfId="35288" xr:uid="{00000000-0005-0000-0000-00005F870000}"/>
    <cellStyle name="Normal 33 2 3" xfId="35289" xr:uid="{00000000-0005-0000-0000-000060870000}"/>
    <cellStyle name="Normal 33 2 3 2" xfId="35290" xr:uid="{00000000-0005-0000-0000-000061870000}"/>
    <cellStyle name="Normal 33 2 3 3" xfId="35291" xr:uid="{00000000-0005-0000-0000-000062870000}"/>
    <cellStyle name="Normal 33 2 3 4" xfId="35292" xr:uid="{00000000-0005-0000-0000-000063870000}"/>
    <cellStyle name="Normal 33 2 3 5" xfId="35293" xr:uid="{00000000-0005-0000-0000-000064870000}"/>
    <cellStyle name="Normal 33 2 3 6" xfId="35294" xr:uid="{00000000-0005-0000-0000-000065870000}"/>
    <cellStyle name="Normal 33 2 4" xfId="35295" xr:uid="{00000000-0005-0000-0000-000066870000}"/>
    <cellStyle name="Normal 33 2 4 2" xfId="35296" xr:uid="{00000000-0005-0000-0000-000067870000}"/>
    <cellStyle name="Normal 33 2 4 3" xfId="35297" xr:uid="{00000000-0005-0000-0000-000068870000}"/>
    <cellStyle name="Normal 33 2 4 4" xfId="35298" xr:uid="{00000000-0005-0000-0000-000069870000}"/>
    <cellStyle name="Normal 33 2 4 5" xfId="35299" xr:uid="{00000000-0005-0000-0000-00006A870000}"/>
    <cellStyle name="Normal 33 2 4 6" xfId="35300" xr:uid="{00000000-0005-0000-0000-00006B870000}"/>
    <cellStyle name="Normal 33 2 5" xfId="35301" xr:uid="{00000000-0005-0000-0000-00006C870000}"/>
    <cellStyle name="Normal 33 2 5 2" xfId="35302" xr:uid="{00000000-0005-0000-0000-00006D870000}"/>
    <cellStyle name="Normal 33 2 5 3" xfId="35303" xr:uid="{00000000-0005-0000-0000-00006E870000}"/>
    <cellStyle name="Normal 33 2 5 4" xfId="35304" xr:uid="{00000000-0005-0000-0000-00006F870000}"/>
    <cellStyle name="Normal 33 2 5 5" xfId="35305" xr:uid="{00000000-0005-0000-0000-000070870000}"/>
    <cellStyle name="Normal 33 2 5 6" xfId="35306" xr:uid="{00000000-0005-0000-0000-000071870000}"/>
    <cellStyle name="Normal 33 2 6" xfId="35307" xr:uid="{00000000-0005-0000-0000-000072870000}"/>
    <cellStyle name="Normal 33 2 6 2" xfId="35308" xr:uid="{00000000-0005-0000-0000-000073870000}"/>
    <cellStyle name="Normal 33 2 6 3" xfId="35309" xr:uid="{00000000-0005-0000-0000-000074870000}"/>
    <cellStyle name="Normal 33 2 6 4" xfId="35310" xr:uid="{00000000-0005-0000-0000-000075870000}"/>
    <cellStyle name="Normal 33 2 6 5" xfId="35311" xr:uid="{00000000-0005-0000-0000-000076870000}"/>
    <cellStyle name="Normal 33 2 6 6" xfId="35312" xr:uid="{00000000-0005-0000-0000-000077870000}"/>
    <cellStyle name="Normal 33 2 7" xfId="35313" xr:uid="{00000000-0005-0000-0000-000078870000}"/>
    <cellStyle name="Normal 33 2 7 2" xfId="35314" xr:uid="{00000000-0005-0000-0000-000079870000}"/>
    <cellStyle name="Normal 33 2 7 3" xfId="35315" xr:uid="{00000000-0005-0000-0000-00007A870000}"/>
    <cellStyle name="Normal 33 2 7 4" xfId="35316" xr:uid="{00000000-0005-0000-0000-00007B870000}"/>
    <cellStyle name="Normal 33 2 7 5" xfId="35317" xr:uid="{00000000-0005-0000-0000-00007C870000}"/>
    <cellStyle name="Normal 33 2 7 6" xfId="35318" xr:uid="{00000000-0005-0000-0000-00007D870000}"/>
    <cellStyle name="Normal 33 2 8" xfId="35319" xr:uid="{00000000-0005-0000-0000-00007E870000}"/>
    <cellStyle name="Normal 33 2 8 2" xfId="35320" xr:uid="{00000000-0005-0000-0000-00007F870000}"/>
    <cellStyle name="Normal 33 2 8 3" xfId="35321" xr:uid="{00000000-0005-0000-0000-000080870000}"/>
    <cellStyle name="Normal 33 2 8 4" xfId="35322" xr:uid="{00000000-0005-0000-0000-000081870000}"/>
    <cellStyle name="Normal 33 2 8 5" xfId="35323" xr:uid="{00000000-0005-0000-0000-000082870000}"/>
    <cellStyle name="Normal 33 2 8 6" xfId="35324" xr:uid="{00000000-0005-0000-0000-000083870000}"/>
    <cellStyle name="Normal 33 2 9" xfId="35325" xr:uid="{00000000-0005-0000-0000-000084870000}"/>
    <cellStyle name="Normal 33 20" xfId="35326" xr:uid="{00000000-0005-0000-0000-000085870000}"/>
    <cellStyle name="Normal 33 21" xfId="35327" xr:uid="{00000000-0005-0000-0000-000086870000}"/>
    <cellStyle name="Normal 33 22" xfId="35328" xr:uid="{00000000-0005-0000-0000-000087870000}"/>
    <cellStyle name="Normal 33 23" xfId="35329" xr:uid="{00000000-0005-0000-0000-000088870000}"/>
    <cellStyle name="Normal 33 24" xfId="43356" xr:uid="{00000000-0005-0000-0000-000089870000}"/>
    <cellStyle name="Normal 33 3" xfId="35330" xr:uid="{00000000-0005-0000-0000-00008A870000}"/>
    <cellStyle name="Normal 33 3 10" xfId="35331" xr:uid="{00000000-0005-0000-0000-00008B870000}"/>
    <cellStyle name="Normal 33 3 11" xfId="35332" xr:uid="{00000000-0005-0000-0000-00008C870000}"/>
    <cellStyle name="Normal 33 3 12" xfId="35333" xr:uid="{00000000-0005-0000-0000-00008D870000}"/>
    <cellStyle name="Normal 33 3 13" xfId="35334" xr:uid="{00000000-0005-0000-0000-00008E870000}"/>
    <cellStyle name="Normal 33 3 2" xfId="35335" xr:uid="{00000000-0005-0000-0000-00008F870000}"/>
    <cellStyle name="Normal 33 3 2 2" xfId="35336" xr:uid="{00000000-0005-0000-0000-000090870000}"/>
    <cellStyle name="Normal 33 3 2 3" xfId="35337" xr:uid="{00000000-0005-0000-0000-000091870000}"/>
    <cellStyle name="Normal 33 3 2 4" xfId="35338" xr:uid="{00000000-0005-0000-0000-000092870000}"/>
    <cellStyle name="Normal 33 3 2 5" xfId="35339" xr:uid="{00000000-0005-0000-0000-000093870000}"/>
    <cellStyle name="Normal 33 3 2 6" xfId="35340" xr:uid="{00000000-0005-0000-0000-000094870000}"/>
    <cellStyle name="Normal 33 3 3" xfId="35341" xr:uid="{00000000-0005-0000-0000-000095870000}"/>
    <cellStyle name="Normal 33 3 3 2" xfId="35342" xr:uid="{00000000-0005-0000-0000-000096870000}"/>
    <cellStyle name="Normal 33 3 3 3" xfId="35343" xr:uid="{00000000-0005-0000-0000-000097870000}"/>
    <cellStyle name="Normal 33 3 3 4" xfId="35344" xr:uid="{00000000-0005-0000-0000-000098870000}"/>
    <cellStyle name="Normal 33 3 3 5" xfId="35345" xr:uid="{00000000-0005-0000-0000-000099870000}"/>
    <cellStyle name="Normal 33 3 3 6" xfId="35346" xr:uid="{00000000-0005-0000-0000-00009A870000}"/>
    <cellStyle name="Normal 33 3 4" xfId="35347" xr:uid="{00000000-0005-0000-0000-00009B870000}"/>
    <cellStyle name="Normal 33 3 4 2" xfId="35348" xr:uid="{00000000-0005-0000-0000-00009C870000}"/>
    <cellStyle name="Normal 33 3 4 3" xfId="35349" xr:uid="{00000000-0005-0000-0000-00009D870000}"/>
    <cellStyle name="Normal 33 3 4 4" xfId="35350" xr:uid="{00000000-0005-0000-0000-00009E870000}"/>
    <cellStyle name="Normal 33 3 4 5" xfId="35351" xr:uid="{00000000-0005-0000-0000-00009F870000}"/>
    <cellStyle name="Normal 33 3 4 6" xfId="35352" xr:uid="{00000000-0005-0000-0000-0000A0870000}"/>
    <cellStyle name="Normal 33 3 5" xfId="35353" xr:uid="{00000000-0005-0000-0000-0000A1870000}"/>
    <cellStyle name="Normal 33 3 5 2" xfId="35354" xr:uid="{00000000-0005-0000-0000-0000A2870000}"/>
    <cellStyle name="Normal 33 3 5 3" xfId="35355" xr:uid="{00000000-0005-0000-0000-0000A3870000}"/>
    <cellStyle name="Normal 33 3 5 4" xfId="35356" xr:uid="{00000000-0005-0000-0000-0000A4870000}"/>
    <cellStyle name="Normal 33 3 5 5" xfId="35357" xr:uid="{00000000-0005-0000-0000-0000A5870000}"/>
    <cellStyle name="Normal 33 3 5 6" xfId="35358" xr:uid="{00000000-0005-0000-0000-0000A6870000}"/>
    <cellStyle name="Normal 33 3 6" xfId="35359" xr:uid="{00000000-0005-0000-0000-0000A7870000}"/>
    <cellStyle name="Normal 33 3 6 2" xfId="35360" xr:uid="{00000000-0005-0000-0000-0000A8870000}"/>
    <cellStyle name="Normal 33 3 6 3" xfId="35361" xr:uid="{00000000-0005-0000-0000-0000A9870000}"/>
    <cellStyle name="Normal 33 3 6 4" xfId="35362" xr:uid="{00000000-0005-0000-0000-0000AA870000}"/>
    <cellStyle name="Normal 33 3 6 5" xfId="35363" xr:uid="{00000000-0005-0000-0000-0000AB870000}"/>
    <cellStyle name="Normal 33 3 6 6" xfId="35364" xr:uid="{00000000-0005-0000-0000-0000AC870000}"/>
    <cellStyle name="Normal 33 3 7" xfId="35365" xr:uid="{00000000-0005-0000-0000-0000AD870000}"/>
    <cellStyle name="Normal 33 3 7 2" xfId="35366" xr:uid="{00000000-0005-0000-0000-0000AE870000}"/>
    <cellStyle name="Normal 33 3 7 3" xfId="35367" xr:uid="{00000000-0005-0000-0000-0000AF870000}"/>
    <cellStyle name="Normal 33 3 7 4" xfId="35368" xr:uid="{00000000-0005-0000-0000-0000B0870000}"/>
    <cellStyle name="Normal 33 3 7 5" xfId="35369" xr:uid="{00000000-0005-0000-0000-0000B1870000}"/>
    <cellStyle name="Normal 33 3 7 6" xfId="35370" xr:uid="{00000000-0005-0000-0000-0000B2870000}"/>
    <cellStyle name="Normal 33 3 8" xfId="35371" xr:uid="{00000000-0005-0000-0000-0000B3870000}"/>
    <cellStyle name="Normal 33 3 8 2" xfId="35372" xr:uid="{00000000-0005-0000-0000-0000B4870000}"/>
    <cellStyle name="Normal 33 3 8 3" xfId="35373" xr:uid="{00000000-0005-0000-0000-0000B5870000}"/>
    <cellStyle name="Normal 33 3 8 4" xfId="35374" xr:uid="{00000000-0005-0000-0000-0000B6870000}"/>
    <cellStyle name="Normal 33 3 8 5" xfId="35375" xr:uid="{00000000-0005-0000-0000-0000B7870000}"/>
    <cellStyle name="Normal 33 3 8 6" xfId="35376" xr:uid="{00000000-0005-0000-0000-0000B8870000}"/>
    <cellStyle name="Normal 33 3 9" xfId="35377" xr:uid="{00000000-0005-0000-0000-0000B9870000}"/>
    <cellStyle name="Normal 33 4" xfId="35378" xr:uid="{00000000-0005-0000-0000-0000BA870000}"/>
    <cellStyle name="Normal 33 4 10" xfId="35379" xr:uid="{00000000-0005-0000-0000-0000BB870000}"/>
    <cellStyle name="Normal 33 4 11" xfId="35380" xr:uid="{00000000-0005-0000-0000-0000BC870000}"/>
    <cellStyle name="Normal 33 4 12" xfId="35381" xr:uid="{00000000-0005-0000-0000-0000BD870000}"/>
    <cellStyle name="Normal 33 4 13" xfId="35382" xr:uid="{00000000-0005-0000-0000-0000BE870000}"/>
    <cellStyle name="Normal 33 4 2" xfId="35383" xr:uid="{00000000-0005-0000-0000-0000BF870000}"/>
    <cellStyle name="Normal 33 4 2 2" xfId="35384" xr:uid="{00000000-0005-0000-0000-0000C0870000}"/>
    <cellStyle name="Normal 33 4 2 3" xfId="35385" xr:uid="{00000000-0005-0000-0000-0000C1870000}"/>
    <cellStyle name="Normal 33 4 2 4" xfId="35386" xr:uid="{00000000-0005-0000-0000-0000C2870000}"/>
    <cellStyle name="Normal 33 4 2 5" xfId="35387" xr:uid="{00000000-0005-0000-0000-0000C3870000}"/>
    <cellStyle name="Normal 33 4 2 6" xfId="35388" xr:uid="{00000000-0005-0000-0000-0000C4870000}"/>
    <cellStyle name="Normal 33 4 3" xfId="35389" xr:uid="{00000000-0005-0000-0000-0000C5870000}"/>
    <cellStyle name="Normal 33 4 3 2" xfId="35390" xr:uid="{00000000-0005-0000-0000-0000C6870000}"/>
    <cellStyle name="Normal 33 4 3 3" xfId="35391" xr:uid="{00000000-0005-0000-0000-0000C7870000}"/>
    <cellStyle name="Normal 33 4 3 4" xfId="35392" xr:uid="{00000000-0005-0000-0000-0000C8870000}"/>
    <cellStyle name="Normal 33 4 3 5" xfId="35393" xr:uid="{00000000-0005-0000-0000-0000C9870000}"/>
    <cellStyle name="Normal 33 4 3 6" xfId="35394" xr:uid="{00000000-0005-0000-0000-0000CA870000}"/>
    <cellStyle name="Normal 33 4 4" xfId="35395" xr:uid="{00000000-0005-0000-0000-0000CB870000}"/>
    <cellStyle name="Normal 33 4 4 2" xfId="35396" xr:uid="{00000000-0005-0000-0000-0000CC870000}"/>
    <cellStyle name="Normal 33 4 4 3" xfId="35397" xr:uid="{00000000-0005-0000-0000-0000CD870000}"/>
    <cellStyle name="Normal 33 4 4 4" xfId="35398" xr:uid="{00000000-0005-0000-0000-0000CE870000}"/>
    <cellStyle name="Normal 33 4 4 5" xfId="35399" xr:uid="{00000000-0005-0000-0000-0000CF870000}"/>
    <cellStyle name="Normal 33 4 4 6" xfId="35400" xr:uid="{00000000-0005-0000-0000-0000D0870000}"/>
    <cellStyle name="Normal 33 4 5" xfId="35401" xr:uid="{00000000-0005-0000-0000-0000D1870000}"/>
    <cellStyle name="Normal 33 4 5 2" xfId="35402" xr:uid="{00000000-0005-0000-0000-0000D2870000}"/>
    <cellStyle name="Normal 33 4 5 3" xfId="35403" xr:uid="{00000000-0005-0000-0000-0000D3870000}"/>
    <cellStyle name="Normal 33 4 5 4" xfId="35404" xr:uid="{00000000-0005-0000-0000-0000D4870000}"/>
    <cellStyle name="Normal 33 4 5 5" xfId="35405" xr:uid="{00000000-0005-0000-0000-0000D5870000}"/>
    <cellStyle name="Normal 33 4 5 6" xfId="35406" xr:uid="{00000000-0005-0000-0000-0000D6870000}"/>
    <cellStyle name="Normal 33 4 6" xfId="35407" xr:uid="{00000000-0005-0000-0000-0000D7870000}"/>
    <cellStyle name="Normal 33 4 6 2" xfId="35408" xr:uid="{00000000-0005-0000-0000-0000D8870000}"/>
    <cellStyle name="Normal 33 4 6 3" xfId="35409" xr:uid="{00000000-0005-0000-0000-0000D9870000}"/>
    <cellStyle name="Normal 33 4 6 4" xfId="35410" xr:uid="{00000000-0005-0000-0000-0000DA870000}"/>
    <cellStyle name="Normal 33 4 6 5" xfId="35411" xr:uid="{00000000-0005-0000-0000-0000DB870000}"/>
    <cellStyle name="Normal 33 4 6 6" xfId="35412" xr:uid="{00000000-0005-0000-0000-0000DC870000}"/>
    <cellStyle name="Normal 33 4 7" xfId="35413" xr:uid="{00000000-0005-0000-0000-0000DD870000}"/>
    <cellStyle name="Normal 33 4 7 2" xfId="35414" xr:uid="{00000000-0005-0000-0000-0000DE870000}"/>
    <cellStyle name="Normal 33 4 7 3" xfId="35415" xr:uid="{00000000-0005-0000-0000-0000DF870000}"/>
    <cellStyle name="Normal 33 4 7 4" xfId="35416" xr:uid="{00000000-0005-0000-0000-0000E0870000}"/>
    <cellStyle name="Normal 33 4 7 5" xfId="35417" xr:uid="{00000000-0005-0000-0000-0000E1870000}"/>
    <cellStyle name="Normal 33 4 7 6" xfId="35418" xr:uid="{00000000-0005-0000-0000-0000E2870000}"/>
    <cellStyle name="Normal 33 4 8" xfId="35419" xr:uid="{00000000-0005-0000-0000-0000E3870000}"/>
    <cellStyle name="Normal 33 4 8 2" xfId="35420" xr:uid="{00000000-0005-0000-0000-0000E4870000}"/>
    <cellStyle name="Normal 33 4 8 3" xfId="35421" xr:uid="{00000000-0005-0000-0000-0000E5870000}"/>
    <cellStyle name="Normal 33 4 8 4" xfId="35422" xr:uid="{00000000-0005-0000-0000-0000E6870000}"/>
    <cellStyle name="Normal 33 4 8 5" xfId="35423" xr:uid="{00000000-0005-0000-0000-0000E7870000}"/>
    <cellStyle name="Normal 33 4 8 6" xfId="35424" xr:uid="{00000000-0005-0000-0000-0000E8870000}"/>
    <cellStyle name="Normal 33 4 9" xfId="35425" xr:uid="{00000000-0005-0000-0000-0000E9870000}"/>
    <cellStyle name="Normal 33 5" xfId="35426" xr:uid="{00000000-0005-0000-0000-0000EA870000}"/>
    <cellStyle name="Normal 33 5 10" xfId="35427" xr:uid="{00000000-0005-0000-0000-0000EB870000}"/>
    <cellStyle name="Normal 33 5 11" xfId="35428" xr:uid="{00000000-0005-0000-0000-0000EC870000}"/>
    <cellStyle name="Normal 33 5 12" xfId="35429" xr:uid="{00000000-0005-0000-0000-0000ED870000}"/>
    <cellStyle name="Normal 33 5 13" xfId="35430" xr:uid="{00000000-0005-0000-0000-0000EE870000}"/>
    <cellStyle name="Normal 33 5 2" xfId="35431" xr:uid="{00000000-0005-0000-0000-0000EF870000}"/>
    <cellStyle name="Normal 33 5 2 2" xfId="35432" xr:uid="{00000000-0005-0000-0000-0000F0870000}"/>
    <cellStyle name="Normal 33 5 2 3" xfId="35433" xr:uid="{00000000-0005-0000-0000-0000F1870000}"/>
    <cellStyle name="Normal 33 5 2 4" xfId="35434" xr:uid="{00000000-0005-0000-0000-0000F2870000}"/>
    <cellStyle name="Normal 33 5 2 5" xfId="35435" xr:uid="{00000000-0005-0000-0000-0000F3870000}"/>
    <cellStyle name="Normal 33 5 2 6" xfId="35436" xr:uid="{00000000-0005-0000-0000-0000F4870000}"/>
    <cellStyle name="Normal 33 5 3" xfId="35437" xr:uid="{00000000-0005-0000-0000-0000F5870000}"/>
    <cellStyle name="Normal 33 5 3 2" xfId="35438" xr:uid="{00000000-0005-0000-0000-0000F6870000}"/>
    <cellStyle name="Normal 33 5 3 3" xfId="35439" xr:uid="{00000000-0005-0000-0000-0000F7870000}"/>
    <cellStyle name="Normal 33 5 3 4" xfId="35440" xr:uid="{00000000-0005-0000-0000-0000F8870000}"/>
    <cellStyle name="Normal 33 5 3 5" xfId="35441" xr:uid="{00000000-0005-0000-0000-0000F9870000}"/>
    <cellStyle name="Normal 33 5 3 6" xfId="35442" xr:uid="{00000000-0005-0000-0000-0000FA870000}"/>
    <cellStyle name="Normal 33 5 4" xfId="35443" xr:uid="{00000000-0005-0000-0000-0000FB870000}"/>
    <cellStyle name="Normal 33 5 4 2" xfId="35444" xr:uid="{00000000-0005-0000-0000-0000FC870000}"/>
    <cellStyle name="Normal 33 5 4 3" xfId="35445" xr:uid="{00000000-0005-0000-0000-0000FD870000}"/>
    <cellStyle name="Normal 33 5 4 4" xfId="35446" xr:uid="{00000000-0005-0000-0000-0000FE870000}"/>
    <cellStyle name="Normal 33 5 4 5" xfId="35447" xr:uid="{00000000-0005-0000-0000-0000FF870000}"/>
    <cellStyle name="Normal 33 5 4 6" xfId="35448" xr:uid="{00000000-0005-0000-0000-000000880000}"/>
    <cellStyle name="Normal 33 5 5" xfId="35449" xr:uid="{00000000-0005-0000-0000-000001880000}"/>
    <cellStyle name="Normal 33 5 5 2" xfId="35450" xr:uid="{00000000-0005-0000-0000-000002880000}"/>
    <cellStyle name="Normal 33 5 5 3" xfId="35451" xr:uid="{00000000-0005-0000-0000-000003880000}"/>
    <cellStyle name="Normal 33 5 5 4" xfId="35452" xr:uid="{00000000-0005-0000-0000-000004880000}"/>
    <cellStyle name="Normal 33 5 5 5" xfId="35453" xr:uid="{00000000-0005-0000-0000-000005880000}"/>
    <cellStyle name="Normal 33 5 5 6" xfId="35454" xr:uid="{00000000-0005-0000-0000-000006880000}"/>
    <cellStyle name="Normal 33 5 6" xfId="35455" xr:uid="{00000000-0005-0000-0000-000007880000}"/>
    <cellStyle name="Normal 33 5 6 2" xfId="35456" xr:uid="{00000000-0005-0000-0000-000008880000}"/>
    <cellStyle name="Normal 33 5 6 3" xfId="35457" xr:uid="{00000000-0005-0000-0000-000009880000}"/>
    <cellStyle name="Normal 33 5 6 4" xfId="35458" xr:uid="{00000000-0005-0000-0000-00000A880000}"/>
    <cellStyle name="Normal 33 5 6 5" xfId="35459" xr:uid="{00000000-0005-0000-0000-00000B880000}"/>
    <cellStyle name="Normal 33 5 6 6" xfId="35460" xr:uid="{00000000-0005-0000-0000-00000C880000}"/>
    <cellStyle name="Normal 33 5 7" xfId="35461" xr:uid="{00000000-0005-0000-0000-00000D880000}"/>
    <cellStyle name="Normal 33 5 7 2" xfId="35462" xr:uid="{00000000-0005-0000-0000-00000E880000}"/>
    <cellStyle name="Normal 33 5 7 3" xfId="35463" xr:uid="{00000000-0005-0000-0000-00000F880000}"/>
    <cellStyle name="Normal 33 5 7 4" xfId="35464" xr:uid="{00000000-0005-0000-0000-000010880000}"/>
    <cellStyle name="Normal 33 5 7 5" xfId="35465" xr:uid="{00000000-0005-0000-0000-000011880000}"/>
    <cellStyle name="Normal 33 5 7 6" xfId="35466" xr:uid="{00000000-0005-0000-0000-000012880000}"/>
    <cellStyle name="Normal 33 5 8" xfId="35467" xr:uid="{00000000-0005-0000-0000-000013880000}"/>
    <cellStyle name="Normal 33 5 8 2" xfId="35468" xr:uid="{00000000-0005-0000-0000-000014880000}"/>
    <cellStyle name="Normal 33 5 8 3" xfId="35469" xr:uid="{00000000-0005-0000-0000-000015880000}"/>
    <cellStyle name="Normal 33 5 8 4" xfId="35470" xr:uid="{00000000-0005-0000-0000-000016880000}"/>
    <cellStyle name="Normal 33 5 8 5" xfId="35471" xr:uid="{00000000-0005-0000-0000-000017880000}"/>
    <cellStyle name="Normal 33 5 8 6" xfId="35472" xr:uid="{00000000-0005-0000-0000-000018880000}"/>
    <cellStyle name="Normal 33 5 9" xfId="35473" xr:uid="{00000000-0005-0000-0000-000019880000}"/>
    <cellStyle name="Normal 33 6" xfId="35474" xr:uid="{00000000-0005-0000-0000-00001A880000}"/>
    <cellStyle name="Normal 33 6 10" xfId="35475" xr:uid="{00000000-0005-0000-0000-00001B880000}"/>
    <cellStyle name="Normal 33 6 11" xfId="35476" xr:uid="{00000000-0005-0000-0000-00001C880000}"/>
    <cellStyle name="Normal 33 6 12" xfId="35477" xr:uid="{00000000-0005-0000-0000-00001D880000}"/>
    <cellStyle name="Normal 33 6 13" xfId="35478" xr:uid="{00000000-0005-0000-0000-00001E880000}"/>
    <cellStyle name="Normal 33 6 2" xfId="35479" xr:uid="{00000000-0005-0000-0000-00001F880000}"/>
    <cellStyle name="Normal 33 6 2 2" xfId="35480" xr:uid="{00000000-0005-0000-0000-000020880000}"/>
    <cellStyle name="Normal 33 6 2 3" xfId="35481" xr:uid="{00000000-0005-0000-0000-000021880000}"/>
    <cellStyle name="Normal 33 6 2 4" xfId="35482" xr:uid="{00000000-0005-0000-0000-000022880000}"/>
    <cellStyle name="Normal 33 6 2 5" xfId="35483" xr:uid="{00000000-0005-0000-0000-000023880000}"/>
    <cellStyle name="Normal 33 6 2 6" xfId="35484" xr:uid="{00000000-0005-0000-0000-000024880000}"/>
    <cellStyle name="Normal 33 6 3" xfId="35485" xr:uid="{00000000-0005-0000-0000-000025880000}"/>
    <cellStyle name="Normal 33 6 3 2" xfId="35486" xr:uid="{00000000-0005-0000-0000-000026880000}"/>
    <cellStyle name="Normal 33 6 3 3" xfId="35487" xr:uid="{00000000-0005-0000-0000-000027880000}"/>
    <cellStyle name="Normal 33 6 3 4" xfId="35488" xr:uid="{00000000-0005-0000-0000-000028880000}"/>
    <cellStyle name="Normal 33 6 3 5" xfId="35489" xr:uid="{00000000-0005-0000-0000-000029880000}"/>
    <cellStyle name="Normal 33 6 3 6" xfId="35490" xr:uid="{00000000-0005-0000-0000-00002A880000}"/>
    <cellStyle name="Normal 33 6 4" xfId="35491" xr:uid="{00000000-0005-0000-0000-00002B880000}"/>
    <cellStyle name="Normal 33 6 4 2" xfId="35492" xr:uid="{00000000-0005-0000-0000-00002C880000}"/>
    <cellStyle name="Normal 33 6 4 3" xfId="35493" xr:uid="{00000000-0005-0000-0000-00002D880000}"/>
    <cellStyle name="Normal 33 6 4 4" xfId="35494" xr:uid="{00000000-0005-0000-0000-00002E880000}"/>
    <cellStyle name="Normal 33 6 4 5" xfId="35495" xr:uid="{00000000-0005-0000-0000-00002F880000}"/>
    <cellStyle name="Normal 33 6 4 6" xfId="35496" xr:uid="{00000000-0005-0000-0000-000030880000}"/>
    <cellStyle name="Normal 33 6 5" xfId="35497" xr:uid="{00000000-0005-0000-0000-000031880000}"/>
    <cellStyle name="Normal 33 6 5 2" xfId="35498" xr:uid="{00000000-0005-0000-0000-000032880000}"/>
    <cellStyle name="Normal 33 6 5 3" xfId="35499" xr:uid="{00000000-0005-0000-0000-000033880000}"/>
    <cellStyle name="Normal 33 6 5 4" xfId="35500" xr:uid="{00000000-0005-0000-0000-000034880000}"/>
    <cellStyle name="Normal 33 6 5 5" xfId="35501" xr:uid="{00000000-0005-0000-0000-000035880000}"/>
    <cellStyle name="Normal 33 6 5 6" xfId="35502" xr:uid="{00000000-0005-0000-0000-000036880000}"/>
    <cellStyle name="Normal 33 6 6" xfId="35503" xr:uid="{00000000-0005-0000-0000-000037880000}"/>
    <cellStyle name="Normal 33 6 6 2" xfId="35504" xr:uid="{00000000-0005-0000-0000-000038880000}"/>
    <cellStyle name="Normal 33 6 6 3" xfId="35505" xr:uid="{00000000-0005-0000-0000-000039880000}"/>
    <cellStyle name="Normal 33 6 6 4" xfId="35506" xr:uid="{00000000-0005-0000-0000-00003A880000}"/>
    <cellStyle name="Normal 33 6 6 5" xfId="35507" xr:uid="{00000000-0005-0000-0000-00003B880000}"/>
    <cellStyle name="Normal 33 6 6 6" xfId="35508" xr:uid="{00000000-0005-0000-0000-00003C880000}"/>
    <cellStyle name="Normal 33 6 7" xfId="35509" xr:uid="{00000000-0005-0000-0000-00003D880000}"/>
    <cellStyle name="Normal 33 6 7 2" xfId="35510" xr:uid="{00000000-0005-0000-0000-00003E880000}"/>
    <cellStyle name="Normal 33 6 7 3" xfId="35511" xr:uid="{00000000-0005-0000-0000-00003F880000}"/>
    <cellStyle name="Normal 33 6 7 4" xfId="35512" xr:uid="{00000000-0005-0000-0000-000040880000}"/>
    <cellStyle name="Normal 33 6 7 5" xfId="35513" xr:uid="{00000000-0005-0000-0000-000041880000}"/>
    <cellStyle name="Normal 33 6 7 6" xfId="35514" xr:uid="{00000000-0005-0000-0000-000042880000}"/>
    <cellStyle name="Normal 33 6 8" xfId="35515" xr:uid="{00000000-0005-0000-0000-000043880000}"/>
    <cellStyle name="Normal 33 6 8 2" xfId="35516" xr:uid="{00000000-0005-0000-0000-000044880000}"/>
    <cellStyle name="Normal 33 6 8 3" xfId="35517" xr:uid="{00000000-0005-0000-0000-000045880000}"/>
    <cellStyle name="Normal 33 6 8 4" xfId="35518" xr:uid="{00000000-0005-0000-0000-000046880000}"/>
    <cellStyle name="Normal 33 6 8 5" xfId="35519" xr:uid="{00000000-0005-0000-0000-000047880000}"/>
    <cellStyle name="Normal 33 6 8 6" xfId="35520" xr:uid="{00000000-0005-0000-0000-000048880000}"/>
    <cellStyle name="Normal 33 6 9" xfId="35521" xr:uid="{00000000-0005-0000-0000-000049880000}"/>
    <cellStyle name="Normal 33 7" xfId="35522" xr:uid="{00000000-0005-0000-0000-00004A880000}"/>
    <cellStyle name="Normal 33 7 10" xfId="35523" xr:uid="{00000000-0005-0000-0000-00004B880000}"/>
    <cellStyle name="Normal 33 7 11" xfId="35524" xr:uid="{00000000-0005-0000-0000-00004C880000}"/>
    <cellStyle name="Normal 33 7 12" xfId="35525" xr:uid="{00000000-0005-0000-0000-00004D880000}"/>
    <cellStyle name="Normal 33 7 13" xfId="35526" xr:uid="{00000000-0005-0000-0000-00004E880000}"/>
    <cellStyle name="Normal 33 7 2" xfId="35527" xr:uid="{00000000-0005-0000-0000-00004F880000}"/>
    <cellStyle name="Normal 33 7 2 2" xfId="35528" xr:uid="{00000000-0005-0000-0000-000050880000}"/>
    <cellStyle name="Normal 33 7 2 3" xfId="35529" xr:uid="{00000000-0005-0000-0000-000051880000}"/>
    <cellStyle name="Normal 33 7 2 4" xfId="35530" xr:uid="{00000000-0005-0000-0000-000052880000}"/>
    <cellStyle name="Normal 33 7 2 5" xfId="35531" xr:uid="{00000000-0005-0000-0000-000053880000}"/>
    <cellStyle name="Normal 33 7 2 6" xfId="35532" xr:uid="{00000000-0005-0000-0000-000054880000}"/>
    <cellStyle name="Normal 33 7 3" xfId="35533" xr:uid="{00000000-0005-0000-0000-000055880000}"/>
    <cellStyle name="Normal 33 7 3 2" xfId="35534" xr:uid="{00000000-0005-0000-0000-000056880000}"/>
    <cellStyle name="Normal 33 7 3 3" xfId="35535" xr:uid="{00000000-0005-0000-0000-000057880000}"/>
    <cellStyle name="Normal 33 7 3 4" xfId="35536" xr:uid="{00000000-0005-0000-0000-000058880000}"/>
    <cellStyle name="Normal 33 7 3 5" xfId="35537" xr:uid="{00000000-0005-0000-0000-000059880000}"/>
    <cellStyle name="Normal 33 7 3 6" xfId="35538" xr:uid="{00000000-0005-0000-0000-00005A880000}"/>
    <cellStyle name="Normal 33 7 4" xfId="35539" xr:uid="{00000000-0005-0000-0000-00005B880000}"/>
    <cellStyle name="Normal 33 7 4 2" xfId="35540" xr:uid="{00000000-0005-0000-0000-00005C880000}"/>
    <cellStyle name="Normal 33 7 4 3" xfId="35541" xr:uid="{00000000-0005-0000-0000-00005D880000}"/>
    <cellStyle name="Normal 33 7 4 4" xfId="35542" xr:uid="{00000000-0005-0000-0000-00005E880000}"/>
    <cellStyle name="Normal 33 7 4 5" xfId="35543" xr:uid="{00000000-0005-0000-0000-00005F880000}"/>
    <cellStyle name="Normal 33 7 4 6" xfId="35544" xr:uid="{00000000-0005-0000-0000-000060880000}"/>
    <cellStyle name="Normal 33 7 5" xfId="35545" xr:uid="{00000000-0005-0000-0000-000061880000}"/>
    <cellStyle name="Normal 33 7 5 2" xfId="35546" xr:uid="{00000000-0005-0000-0000-000062880000}"/>
    <cellStyle name="Normal 33 7 5 3" xfId="35547" xr:uid="{00000000-0005-0000-0000-000063880000}"/>
    <cellStyle name="Normal 33 7 5 4" xfId="35548" xr:uid="{00000000-0005-0000-0000-000064880000}"/>
    <cellStyle name="Normal 33 7 5 5" xfId="35549" xr:uid="{00000000-0005-0000-0000-000065880000}"/>
    <cellStyle name="Normal 33 7 5 6" xfId="35550" xr:uid="{00000000-0005-0000-0000-000066880000}"/>
    <cellStyle name="Normal 33 7 6" xfId="35551" xr:uid="{00000000-0005-0000-0000-000067880000}"/>
    <cellStyle name="Normal 33 7 6 2" xfId="35552" xr:uid="{00000000-0005-0000-0000-000068880000}"/>
    <cellStyle name="Normal 33 7 6 3" xfId="35553" xr:uid="{00000000-0005-0000-0000-000069880000}"/>
    <cellStyle name="Normal 33 7 6 4" xfId="35554" xr:uid="{00000000-0005-0000-0000-00006A880000}"/>
    <cellStyle name="Normal 33 7 6 5" xfId="35555" xr:uid="{00000000-0005-0000-0000-00006B880000}"/>
    <cellStyle name="Normal 33 7 6 6" xfId="35556" xr:uid="{00000000-0005-0000-0000-00006C880000}"/>
    <cellStyle name="Normal 33 7 7" xfId="35557" xr:uid="{00000000-0005-0000-0000-00006D880000}"/>
    <cellStyle name="Normal 33 7 7 2" xfId="35558" xr:uid="{00000000-0005-0000-0000-00006E880000}"/>
    <cellStyle name="Normal 33 7 7 3" xfId="35559" xr:uid="{00000000-0005-0000-0000-00006F880000}"/>
    <cellStyle name="Normal 33 7 7 4" xfId="35560" xr:uid="{00000000-0005-0000-0000-000070880000}"/>
    <cellStyle name="Normal 33 7 7 5" xfId="35561" xr:uid="{00000000-0005-0000-0000-000071880000}"/>
    <cellStyle name="Normal 33 7 7 6" xfId="35562" xr:uid="{00000000-0005-0000-0000-000072880000}"/>
    <cellStyle name="Normal 33 7 8" xfId="35563" xr:uid="{00000000-0005-0000-0000-000073880000}"/>
    <cellStyle name="Normal 33 7 8 2" xfId="35564" xr:uid="{00000000-0005-0000-0000-000074880000}"/>
    <cellStyle name="Normal 33 7 8 3" xfId="35565" xr:uid="{00000000-0005-0000-0000-000075880000}"/>
    <cellStyle name="Normal 33 7 8 4" xfId="35566" xr:uid="{00000000-0005-0000-0000-000076880000}"/>
    <cellStyle name="Normal 33 7 8 5" xfId="35567" xr:uid="{00000000-0005-0000-0000-000077880000}"/>
    <cellStyle name="Normal 33 7 8 6" xfId="35568" xr:uid="{00000000-0005-0000-0000-000078880000}"/>
    <cellStyle name="Normal 33 7 9" xfId="35569" xr:uid="{00000000-0005-0000-0000-000079880000}"/>
    <cellStyle name="Normal 33 8" xfId="35570" xr:uid="{00000000-0005-0000-0000-00007A880000}"/>
    <cellStyle name="Normal 33 8 10" xfId="35571" xr:uid="{00000000-0005-0000-0000-00007B880000}"/>
    <cellStyle name="Normal 33 8 11" xfId="35572" xr:uid="{00000000-0005-0000-0000-00007C880000}"/>
    <cellStyle name="Normal 33 8 12" xfId="35573" xr:uid="{00000000-0005-0000-0000-00007D880000}"/>
    <cellStyle name="Normal 33 8 13" xfId="35574" xr:uid="{00000000-0005-0000-0000-00007E880000}"/>
    <cellStyle name="Normal 33 8 2" xfId="35575" xr:uid="{00000000-0005-0000-0000-00007F880000}"/>
    <cellStyle name="Normal 33 8 2 2" xfId="35576" xr:uid="{00000000-0005-0000-0000-000080880000}"/>
    <cellStyle name="Normal 33 8 2 3" xfId="35577" xr:uid="{00000000-0005-0000-0000-000081880000}"/>
    <cellStyle name="Normal 33 8 2 4" xfId="35578" xr:uid="{00000000-0005-0000-0000-000082880000}"/>
    <cellStyle name="Normal 33 8 2 5" xfId="35579" xr:uid="{00000000-0005-0000-0000-000083880000}"/>
    <cellStyle name="Normal 33 8 2 6" xfId="35580" xr:uid="{00000000-0005-0000-0000-000084880000}"/>
    <cellStyle name="Normal 33 8 3" xfId="35581" xr:uid="{00000000-0005-0000-0000-000085880000}"/>
    <cellStyle name="Normal 33 8 3 2" xfId="35582" xr:uid="{00000000-0005-0000-0000-000086880000}"/>
    <cellStyle name="Normal 33 8 3 3" xfId="35583" xr:uid="{00000000-0005-0000-0000-000087880000}"/>
    <cellStyle name="Normal 33 8 3 4" xfId="35584" xr:uid="{00000000-0005-0000-0000-000088880000}"/>
    <cellStyle name="Normal 33 8 3 5" xfId="35585" xr:uid="{00000000-0005-0000-0000-000089880000}"/>
    <cellStyle name="Normal 33 8 3 6" xfId="35586" xr:uid="{00000000-0005-0000-0000-00008A880000}"/>
    <cellStyle name="Normal 33 8 4" xfId="35587" xr:uid="{00000000-0005-0000-0000-00008B880000}"/>
    <cellStyle name="Normal 33 8 4 2" xfId="35588" xr:uid="{00000000-0005-0000-0000-00008C880000}"/>
    <cellStyle name="Normal 33 8 4 3" xfId="35589" xr:uid="{00000000-0005-0000-0000-00008D880000}"/>
    <cellStyle name="Normal 33 8 4 4" xfId="35590" xr:uid="{00000000-0005-0000-0000-00008E880000}"/>
    <cellStyle name="Normal 33 8 4 5" xfId="35591" xr:uid="{00000000-0005-0000-0000-00008F880000}"/>
    <cellStyle name="Normal 33 8 4 6" xfId="35592" xr:uid="{00000000-0005-0000-0000-000090880000}"/>
    <cellStyle name="Normal 33 8 5" xfId="35593" xr:uid="{00000000-0005-0000-0000-000091880000}"/>
    <cellStyle name="Normal 33 8 5 2" xfId="35594" xr:uid="{00000000-0005-0000-0000-000092880000}"/>
    <cellStyle name="Normal 33 8 5 3" xfId="35595" xr:uid="{00000000-0005-0000-0000-000093880000}"/>
    <cellStyle name="Normal 33 8 5 4" xfId="35596" xr:uid="{00000000-0005-0000-0000-000094880000}"/>
    <cellStyle name="Normal 33 8 5 5" xfId="35597" xr:uid="{00000000-0005-0000-0000-000095880000}"/>
    <cellStyle name="Normal 33 8 5 6" xfId="35598" xr:uid="{00000000-0005-0000-0000-000096880000}"/>
    <cellStyle name="Normal 33 8 6" xfId="35599" xr:uid="{00000000-0005-0000-0000-000097880000}"/>
    <cellStyle name="Normal 33 8 6 2" xfId="35600" xr:uid="{00000000-0005-0000-0000-000098880000}"/>
    <cellStyle name="Normal 33 8 6 3" xfId="35601" xr:uid="{00000000-0005-0000-0000-000099880000}"/>
    <cellStyle name="Normal 33 8 6 4" xfId="35602" xr:uid="{00000000-0005-0000-0000-00009A880000}"/>
    <cellStyle name="Normal 33 8 6 5" xfId="35603" xr:uid="{00000000-0005-0000-0000-00009B880000}"/>
    <cellStyle name="Normal 33 8 6 6" xfId="35604" xr:uid="{00000000-0005-0000-0000-00009C880000}"/>
    <cellStyle name="Normal 33 8 7" xfId="35605" xr:uid="{00000000-0005-0000-0000-00009D880000}"/>
    <cellStyle name="Normal 33 8 7 2" xfId="35606" xr:uid="{00000000-0005-0000-0000-00009E880000}"/>
    <cellStyle name="Normal 33 8 7 3" xfId="35607" xr:uid="{00000000-0005-0000-0000-00009F880000}"/>
    <cellStyle name="Normal 33 8 7 4" xfId="35608" xr:uid="{00000000-0005-0000-0000-0000A0880000}"/>
    <cellStyle name="Normal 33 8 7 5" xfId="35609" xr:uid="{00000000-0005-0000-0000-0000A1880000}"/>
    <cellStyle name="Normal 33 8 7 6" xfId="35610" xr:uid="{00000000-0005-0000-0000-0000A2880000}"/>
    <cellStyle name="Normal 33 8 8" xfId="35611" xr:uid="{00000000-0005-0000-0000-0000A3880000}"/>
    <cellStyle name="Normal 33 8 8 2" xfId="35612" xr:uid="{00000000-0005-0000-0000-0000A4880000}"/>
    <cellStyle name="Normal 33 8 8 3" xfId="35613" xr:uid="{00000000-0005-0000-0000-0000A5880000}"/>
    <cellStyle name="Normal 33 8 8 4" xfId="35614" xr:uid="{00000000-0005-0000-0000-0000A6880000}"/>
    <cellStyle name="Normal 33 8 8 5" xfId="35615" xr:uid="{00000000-0005-0000-0000-0000A7880000}"/>
    <cellStyle name="Normal 33 8 8 6" xfId="35616" xr:uid="{00000000-0005-0000-0000-0000A8880000}"/>
    <cellStyle name="Normal 33 8 9" xfId="35617" xr:uid="{00000000-0005-0000-0000-0000A9880000}"/>
    <cellStyle name="Normal 33 9" xfId="35618" xr:uid="{00000000-0005-0000-0000-0000AA880000}"/>
    <cellStyle name="Normal 33 9 10" xfId="35619" xr:uid="{00000000-0005-0000-0000-0000AB880000}"/>
    <cellStyle name="Normal 33 9 11" xfId="35620" xr:uid="{00000000-0005-0000-0000-0000AC880000}"/>
    <cellStyle name="Normal 33 9 12" xfId="35621" xr:uid="{00000000-0005-0000-0000-0000AD880000}"/>
    <cellStyle name="Normal 33 9 13" xfId="35622" xr:uid="{00000000-0005-0000-0000-0000AE880000}"/>
    <cellStyle name="Normal 33 9 2" xfId="35623" xr:uid="{00000000-0005-0000-0000-0000AF880000}"/>
    <cellStyle name="Normal 33 9 2 2" xfId="35624" xr:uid="{00000000-0005-0000-0000-0000B0880000}"/>
    <cellStyle name="Normal 33 9 2 3" xfId="35625" xr:uid="{00000000-0005-0000-0000-0000B1880000}"/>
    <cellStyle name="Normal 33 9 2 4" xfId="35626" xr:uid="{00000000-0005-0000-0000-0000B2880000}"/>
    <cellStyle name="Normal 33 9 2 5" xfId="35627" xr:uid="{00000000-0005-0000-0000-0000B3880000}"/>
    <cellStyle name="Normal 33 9 2 6" xfId="35628" xr:uid="{00000000-0005-0000-0000-0000B4880000}"/>
    <cellStyle name="Normal 33 9 3" xfId="35629" xr:uid="{00000000-0005-0000-0000-0000B5880000}"/>
    <cellStyle name="Normal 33 9 3 2" xfId="35630" xr:uid="{00000000-0005-0000-0000-0000B6880000}"/>
    <cellStyle name="Normal 33 9 3 3" xfId="35631" xr:uid="{00000000-0005-0000-0000-0000B7880000}"/>
    <cellStyle name="Normal 33 9 3 4" xfId="35632" xr:uid="{00000000-0005-0000-0000-0000B8880000}"/>
    <cellStyle name="Normal 33 9 3 5" xfId="35633" xr:uid="{00000000-0005-0000-0000-0000B9880000}"/>
    <cellStyle name="Normal 33 9 3 6" xfId="35634" xr:uid="{00000000-0005-0000-0000-0000BA880000}"/>
    <cellStyle name="Normal 33 9 4" xfId="35635" xr:uid="{00000000-0005-0000-0000-0000BB880000}"/>
    <cellStyle name="Normal 33 9 4 2" xfId="35636" xr:uid="{00000000-0005-0000-0000-0000BC880000}"/>
    <cellStyle name="Normal 33 9 4 3" xfId="35637" xr:uid="{00000000-0005-0000-0000-0000BD880000}"/>
    <cellStyle name="Normal 33 9 4 4" xfId="35638" xr:uid="{00000000-0005-0000-0000-0000BE880000}"/>
    <cellStyle name="Normal 33 9 4 5" xfId="35639" xr:uid="{00000000-0005-0000-0000-0000BF880000}"/>
    <cellStyle name="Normal 33 9 4 6" xfId="35640" xr:uid="{00000000-0005-0000-0000-0000C0880000}"/>
    <cellStyle name="Normal 33 9 5" xfId="35641" xr:uid="{00000000-0005-0000-0000-0000C1880000}"/>
    <cellStyle name="Normal 33 9 5 2" xfId="35642" xr:uid="{00000000-0005-0000-0000-0000C2880000}"/>
    <cellStyle name="Normal 33 9 5 3" xfId="35643" xr:uid="{00000000-0005-0000-0000-0000C3880000}"/>
    <cellStyle name="Normal 33 9 5 4" xfId="35644" xr:uid="{00000000-0005-0000-0000-0000C4880000}"/>
    <cellStyle name="Normal 33 9 5 5" xfId="35645" xr:uid="{00000000-0005-0000-0000-0000C5880000}"/>
    <cellStyle name="Normal 33 9 5 6" xfId="35646" xr:uid="{00000000-0005-0000-0000-0000C6880000}"/>
    <cellStyle name="Normal 33 9 6" xfId="35647" xr:uid="{00000000-0005-0000-0000-0000C7880000}"/>
    <cellStyle name="Normal 33 9 6 2" xfId="35648" xr:uid="{00000000-0005-0000-0000-0000C8880000}"/>
    <cellStyle name="Normal 33 9 6 3" xfId="35649" xr:uid="{00000000-0005-0000-0000-0000C9880000}"/>
    <cellStyle name="Normal 33 9 6 4" xfId="35650" xr:uid="{00000000-0005-0000-0000-0000CA880000}"/>
    <cellStyle name="Normal 33 9 6 5" xfId="35651" xr:uid="{00000000-0005-0000-0000-0000CB880000}"/>
    <cellStyle name="Normal 33 9 6 6" xfId="35652" xr:uid="{00000000-0005-0000-0000-0000CC880000}"/>
    <cellStyle name="Normal 33 9 7" xfId="35653" xr:uid="{00000000-0005-0000-0000-0000CD880000}"/>
    <cellStyle name="Normal 33 9 7 2" xfId="35654" xr:uid="{00000000-0005-0000-0000-0000CE880000}"/>
    <cellStyle name="Normal 33 9 7 3" xfId="35655" xr:uid="{00000000-0005-0000-0000-0000CF880000}"/>
    <cellStyle name="Normal 33 9 7 4" xfId="35656" xr:uid="{00000000-0005-0000-0000-0000D0880000}"/>
    <cellStyle name="Normal 33 9 7 5" xfId="35657" xr:uid="{00000000-0005-0000-0000-0000D1880000}"/>
    <cellStyle name="Normal 33 9 7 6" xfId="35658" xr:uid="{00000000-0005-0000-0000-0000D2880000}"/>
    <cellStyle name="Normal 33 9 8" xfId="35659" xr:uid="{00000000-0005-0000-0000-0000D3880000}"/>
    <cellStyle name="Normal 33 9 8 2" xfId="35660" xr:uid="{00000000-0005-0000-0000-0000D4880000}"/>
    <cellStyle name="Normal 33 9 8 3" xfId="35661" xr:uid="{00000000-0005-0000-0000-0000D5880000}"/>
    <cellStyle name="Normal 33 9 8 4" xfId="35662" xr:uid="{00000000-0005-0000-0000-0000D6880000}"/>
    <cellStyle name="Normal 33 9 8 5" xfId="35663" xr:uid="{00000000-0005-0000-0000-0000D7880000}"/>
    <cellStyle name="Normal 33 9 8 6" xfId="35664" xr:uid="{00000000-0005-0000-0000-0000D8880000}"/>
    <cellStyle name="Normal 33 9 9" xfId="35665" xr:uid="{00000000-0005-0000-0000-0000D9880000}"/>
    <cellStyle name="Normal 34" xfId="1917" xr:uid="{00000000-0005-0000-0000-0000DA880000}"/>
    <cellStyle name="Normal 34 10" xfId="35666" xr:uid="{00000000-0005-0000-0000-0000DB880000}"/>
    <cellStyle name="Normal 34 10 10" xfId="35667" xr:uid="{00000000-0005-0000-0000-0000DC880000}"/>
    <cellStyle name="Normal 34 10 11" xfId="35668" xr:uid="{00000000-0005-0000-0000-0000DD880000}"/>
    <cellStyle name="Normal 34 10 12" xfId="35669" xr:uid="{00000000-0005-0000-0000-0000DE880000}"/>
    <cellStyle name="Normal 34 10 13" xfId="35670" xr:uid="{00000000-0005-0000-0000-0000DF880000}"/>
    <cellStyle name="Normal 34 10 2" xfId="35671" xr:uid="{00000000-0005-0000-0000-0000E0880000}"/>
    <cellStyle name="Normal 34 10 2 2" xfId="35672" xr:uid="{00000000-0005-0000-0000-0000E1880000}"/>
    <cellStyle name="Normal 34 10 2 3" xfId="35673" xr:uid="{00000000-0005-0000-0000-0000E2880000}"/>
    <cellStyle name="Normal 34 10 2 4" xfId="35674" xr:uid="{00000000-0005-0000-0000-0000E3880000}"/>
    <cellStyle name="Normal 34 10 2 5" xfId="35675" xr:uid="{00000000-0005-0000-0000-0000E4880000}"/>
    <cellStyle name="Normal 34 10 2 6" xfId="35676" xr:uid="{00000000-0005-0000-0000-0000E5880000}"/>
    <cellStyle name="Normal 34 10 3" xfId="35677" xr:uid="{00000000-0005-0000-0000-0000E6880000}"/>
    <cellStyle name="Normal 34 10 3 2" xfId="35678" xr:uid="{00000000-0005-0000-0000-0000E7880000}"/>
    <cellStyle name="Normal 34 10 3 3" xfId="35679" xr:uid="{00000000-0005-0000-0000-0000E8880000}"/>
    <cellStyle name="Normal 34 10 3 4" xfId="35680" xr:uid="{00000000-0005-0000-0000-0000E9880000}"/>
    <cellStyle name="Normal 34 10 3 5" xfId="35681" xr:uid="{00000000-0005-0000-0000-0000EA880000}"/>
    <cellStyle name="Normal 34 10 3 6" xfId="35682" xr:uid="{00000000-0005-0000-0000-0000EB880000}"/>
    <cellStyle name="Normal 34 10 4" xfId="35683" xr:uid="{00000000-0005-0000-0000-0000EC880000}"/>
    <cellStyle name="Normal 34 10 4 2" xfId="35684" xr:uid="{00000000-0005-0000-0000-0000ED880000}"/>
    <cellStyle name="Normal 34 10 4 3" xfId="35685" xr:uid="{00000000-0005-0000-0000-0000EE880000}"/>
    <cellStyle name="Normal 34 10 4 4" xfId="35686" xr:uid="{00000000-0005-0000-0000-0000EF880000}"/>
    <cellStyle name="Normal 34 10 4 5" xfId="35687" xr:uid="{00000000-0005-0000-0000-0000F0880000}"/>
    <cellStyle name="Normal 34 10 4 6" xfId="35688" xr:uid="{00000000-0005-0000-0000-0000F1880000}"/>
    <cellStyle name="Normal 34 10 5" xfId="35689" xr:uid="{00000000-0005-0000-0000-0000F2880000}"/>
    <cellStyle name="Normal 34 10 5 2" xfId="35690" xr:uid="{00000000-0005-0000-0000-0000F3880000}"/>
    <cellStyle name="Normal 34 10 5 3" xfId="35691" xr:uid="{00000000-0005-0000-0000-0000F4880000}"/>
    <cellStyle name="Normal 34 10 5 4" xfId="35692" xr:uid="{00000000-0005-0000-0000-0000F5880000}"/>
    <cellStyle name="Normal 34 10 5 5" xfId="35693" xr:uid="{00000000-0005-0000-0000-0000F6880000}"/>
    <cellStyle name="Normal 34 10 5 6" xfId="35694" xr:uid="{00000000-0005-0000-0000-0000F7880000}"/>
    <cellStyle name="Normal 34 10 6" xfId="35695" xr:uid="{00000000-0005-0000-0000-0000F8880000}"/>
    <cellStyle name="Normal 34 10 6 2" xfId="35696" xr:uid="{00000000-0005-0000-0000-0000F9880000}"/>
    <cellStyle name="Normal 34 10 6 3" xfId="35697" xr:uid="{00000000-0005-0000-0000-0000FA880000}"/>
    <cellStyle name="Normal 34 10 6 4" xfId="35698" xr:uid="{00000000-0005-0000-0000-0000FB880000}"/>
    <cellStyle name="Normal 34 10 6 5" xfId="35699" xr:uid="{00000000-0005-0000-0000-0000FC880000}"/>
    <cellStyle name="Normal 34 10 6 6" xfId="35700" xr:uid="{00000000-0005-0000-0000-0000FD880000}"/>
    <cellStyle name="Normal 34 10 7" xfId="35701" xr:uid="{00000000-0005-0000-0000-0000FE880000}"/>
    <cellStyle name="Normal 34 10 7 2" xfId="35702" xr:uid="{00000000-0005-0000-0000-0000FF880000}"/>
    <cellStyle name="Normal 34 10 7 3" xfId="35703" xr:uid="{00000000-0005-0000-0000-000000890000}"/>
    <cellStyle name="Normal 34 10 7 4" xfId="35704" xr:uid="{00000000-0005-0000-0000-000001890000}"/>
    <cellStyle name="Normal 34 10 7 5" xfId="35705" xr:uid="{00000000-0005-0000-0000-000002890000}"/>
    <cellStyle name="Normal 34 10 7 6" xfId="35706" xr:uid="{00000000-0005-0000-0000-000003890000}"/>
    <cellStyle name="Normal 34 10 8" xfId="35707" xr:uid="{00000000-0005-0000-0000-000004890000}"/>
    <cellStyle name="Normal 34 10 8 2" xfId="35708" xr:uid="{00000000-0005-0000-0000-000005890000}"/>
    <cellStyle name="Normal 34 10 8 3" xfId="35709" xr:uid="{00000000-0005-0000-0000-000006890000}"/>
    <cellStyle name="Normal 34 10 8 4" xfId="35710" xr:uid="{00000000-0005-0000-0000-000007890000}"/>
    <cellStyle name="Normal 34 10 8 5" xfId="35711" xr:uid="{00000000-0005-0000-0000-000008890000}"/>
    <cellStyle name="Normal 34 10 8 6" xfId="35712" xr:uid="{00000000-0005-0000-0000-000009890000}"/>
    <cellStyle name="Normal 34 10 9" xfId="35713" xr:uid="{00000000-0005-0000-0000-00000A890000}"/>
    <cellStyle name="Normal 34 11" xfId="35714" xr:uid="{00000000-0005-0000-0000-00000B890000}"/>
    <cellStyle name="Normal 34 11 10" xfId="35715" xr:uid="{00000000-0005-0000-0000-00000C890000}"/>
    <cellStyle name="Normal 34 11 11" xfId="35716" xr:uid="{00000000-0005-0000-0000-00000D890000}"/>
    <cellStyle name="Normal 34 11 12" xfId="35717" xr:uid="{00000000-0005-0000-0000-00000E890000}"/>
    <cellStyle name="Normal 34 11 13" xfId="35718" xr:uid="{00000000-0005-0000-0000-00000F890000}"/>
    <cellStyle name="Normal 34 11 2" xfId="35719" xr:uid="{00000000-0005-0000-0000-000010890000}"/>
    <cellStyle name="Normal 34 11 2 2" xfId="35720" xr:uid="{00000000-0005-0000-0000-000011890000}"/>
    <cellStyle name="Normal 34 11 2 3" xfId="35721" xr:uid="{00000000-0005-0000-0000-000012890000}"/>
    <cellStyle name="Normal 34 11 2 4" xfId="35722" xr:uid="{00000000-0005-0000-0000-000013890000}"/>
    <cellStyle name="Normal 34 11 2 5" xfId="35723" xr:uid="{00000000-0005-0000-0000-000014890000}"/>
    <cellStyle name="Normal 34 11 2 6" xfId="35724" xr:uid="{00000000-0005-0000-0000-000015890000}"/>
    <cellStyle name="Normal 34 11 3" xfId="35725" xr:uid="{00000000-0005-0000-0000-000016890000}"/>
    <cellStyle name="Normal 34 11 3 2" xfId="35726" xr:uid="{00000000-0005-0000-0000-000017890000}"/>
    <cellStyle name="Normal 34 11 3 3" xfId="35727" xr:uid="{00000000-0005-0000-0000-000018890000}"/>
    <cellStyle name="Normal 34 11 3 4" xfId="35728" xr:uid="{00000000-0005-0000-0000-000019890000}"/>
    <cellStyle name="Normal 34 11 3 5" xfId="35729" xr:uid="{00000000-0005-0000-0000-00001A890000}"/>
    <cellStyle name="Normal 34 11 3 6" xfId="35730" xr:uid="{00000000-0005-0000-0000-00001B890000}"/>
    <cellStyle name="Normal 34 11 4" xfId="35731" xr:uid="{00000000-0005-0000-0000-00001C890000}"/>
    <cellStyle name="Normal 34 11 4 2" xfId="35732" xr:uid="{00000000-0005-0000-0000-00001D890000}"/>
    <cellStyle name="Normal 34 11 4 3" xfId="35733" xr:uid="{00000000-0005-0000-0000-00001E890000}"/>
    <cellStyle name="Normal 34 11 4 4" xfId="35734" xr:uid="{00000000-0005-0000-0000-00001F890000}"/>
    <cellStyle name="Normal 34 11 4 5" xfId="35735" xr:uid="{00000000-0005-0000-0000-000020890000}"/>
    <cellStyle name="Normal 34 11 4 6" xfId="35736" xr:uid="{00000000-0005-0000-0000-000021890000}"/>
    <cellStyle name="Normal 34 11 5" xfId="35737" xr:uid="{00000000-0005-0000-0000-000022890000}"/>
    <cellStyle name="Normal 34 11 5 2" xfId="35738" xr:uid="{00000000-0005-0000-0000-000023890000}"/>
    <cellStyle name="Normal 34 11 5 3" xfId="35739" xr:uid="{00000000-0005-0000-0000-000024890000}"/>
    <cellStyle name="Normal 34 11 5 4" xfId="35740" xr:uid="{00000000-0005-0000-0000-000025890000}"/>
    <cellStyle name="Normal 34 11 5 5" xfId="35741" xr:uid="{00000000-0005-0000-0000-000026890000}"/>
    <cellStyle name="Normal 34 11 5 6" xfId="35742" xr:uid="{00000000-0005-0000-0000-000027890000}"/>
    <cellStyle name="Normal 34 11 6" xfId="35743" xr:uid="{00000000-0005-0000-0000-000028890000}"/>
    <cellStyle name="Normal 34 11 6 2" xfId="35744" xr:uid="{00000000-0005-0000-0000-000029890000}"/>
    <cellStyle name="Normal 34 11 6 3" xfId="35745" xr:uid="{00000000-0005-0000-0000-00002A890000}"/>
    <cellStyle name="Normal 34 11 6 4" xfId="35746" xr:uid="{00000000-0005-0000-0000-00002B890000}"/>
    <cellStyle name="Normal 34 11 6 5" xfId="35747" xr:uid="{00000000-0005-0000-0000-00002C890000}"/>
    <cellStyle name="Normal 34 11 6 6" xfId="35748" xr:uid="{00000000-0005-0000-0000-00002D890000}"/>
    <cellStyle name="Normal 34 11 7" xfId="35749" xr:uid="{00000000-0005-0000-0000-00002E890000}"/>
    <cellStyle name="Normal 34 11 7 2" xfId="35750" xr:uid="{00000000-0005-0000-0000-00002F890000}"/>
    <cellStyle name="Normal 34 11 7 3" xfId="35751" xr:uid="{00000000-0005-0000-0000-000030890000}"/>
    <cellStyle name="Normal 34 11 7 4" xfId="35752" xr:uid="{00000000-0005-0000-0000-000031890000}"/>
    <cellStyle name="Normal 34 11 7 5" xfId="35753" xr:uid="{00000000-0005-0000-0000-000032890000}"/>
    <cellStyle name="Normal 34 11 7 6" xfId="35754" xr:uid="{00000000-0005-0000-0000-000033890000}"/>
    <cellStyle name="Normal 34 11 8" xfId="35755" xr:uid="{00000000-0005-0000-0000-000034890000}"/>
    <cellStyle name="Normal 34 11 8 2" xfId="35756" xr:uid="{00000000-0005-0000-0000-000035890000}"/>
    <cellStyle name="Normal 34 11 8 3" xfId="35757" xr:uid="{00000000-0005-0000-0000-000036890000}"/>
    <cellStyle name="Normal 34 11 8 4" xfId="35758" xr:uid="{00000000-0005-0000-0000-000037890000}"/>
    <cellStyle name="Normal 34 11 8 5" xfId="35759" xr:uid="{00000000-0005-0000-0000-000038890000}"/>
    <cellStyle name="Normal 34 11 8 6" xfId="35760" xr:uid="{00000000-0005-0000-0000-000039890000}"/>
    <cellStyle name="Normal 34 11 9" xfId="35761" xr:uid="{00000000-0005-0000-0000-00003A890000}"/>
    <cellStyle name="Normal 34 12" xfId="35762" xr:uid="{00000000-0005-0000-0000-00003B890000}"/>
    <cellStyle name="Normal 34 12 2" xfId="35763" xr:uid="{00000000-0005-0000-0000-00003C890000}"/>
    <cellStyle name="Normal 34 12 3" xfId="35764" xr:uid="{00000000-0005-0000-0000-00003D890000}"/>
    <cellStyle name="Normal 34 12 4" xfId="35765" xr:uid="{00000000-0005-0000-0000-00003E890000}"/>
    <cellStyle name="Normal 34 12 5" xfId="35766" xr:uid="{00000000-0005-0000-0000-00003F890000}"/>
    <cellStyle name="Normal 34 12 6" xfId="35767" xr:uid="{00000000-0005-0000-0000-000040890000}"/>
    <cellStyle name="Normal 34 13" xfId="35768" xr:uid="{00000000-0005-0000-0000-000041890000}"/>
    <cellStyle name="Normal 34 13 2" xfId="35769" xr:uid="{00000000-0005-0000-0000-000042890000}"/>
    <cellStyle name="Normal 34 13 3" xfId="35770" xr:uid="{00000000-0005-0000-0000-000043890000}"/>
    <cellStyle name="Normal 34 13 4" xfId="35771" xr:uid="{00000000-0005-0000-0000-000044890000}"/>
    <cellStyle name="Normal 34 13 5" xfId="35772" xr:uid="{00000000-0005-0000-0000-000045890000}"/>
    <cellStyle name="Normal 34 13 6" xfId="35773" xr:uid="{00000000-0005-0000-0000-000046890000}"/>
    <cellStyle name="Normal 34 14" xfId="35774" xr:uid="{00000000-0005-0000-0000-000047890000}"/>
    <cellStyle name="Normal 34 14 2" xfId="35775" xr:uid="{00000000-0005-0000-0000-000048890000}"/>
    <cellStyle name="Normal 34 14 3" xfId="35776" xr:uid="{00000000-0005-0000-0000-000049890000}"/>
    <cellStyle name="Normal 34 14 4" xfId="35777" xr:uid="{00000000-0005-0000-0000-00004A890000}"/>
    <cellStyle name="Normal 34 14 5" xfId="35778" xr:uid="{00000000-0005-0000-0000-00004B890000}"/>
    <cellStyle name="Normal 34 14 6" xfId="35779" xr:uid="{00000000-0005-0000-0000-00004C890000}"/>
    <cellStyle name="Normal 34 15" xfId="35780" xr:uid="{00000000-0005-0000-0000-00004D890000}"/>
    <cellStyle name="Normal 34 15 2" xfId="35781" xr:uid="{00000000-0005-0000-0000-00004E890000}"/>
    <cellStyle name="Normal 34 15 3" xfId="35782" xr:uid="{00000000-0005-0000-0000-00004F890000}"/>
    <cellStyle name="Normal 34 15 4" xfId="35783" xr:uid="{00000000-0005-0000-0000-000050890000}"/>
    <cellStyle name="Normal 34 15 5" xfId="35784" xr:uid="{00000000-0005-0000-0000-000051890000}"/>
    <cellStyle name="Normal 34 15 6" xfId="35785" xr:uid="{00000000-0005-0000-0000-000052890000}"/>
    <cellStyle name="Normal 34 16" xfId="35786" xr:uid="{00000000-0005-0000-0000-000053890000}"/>
    <cellStyle name="Normal 34 16 2" xfId="35787" xr:uid="{00000000-0005-0000-0000-000054890000}"/>
    <cellStyle name="Normal 34 16 3" xfId="35788" xr:uid="{00000000-0005-0000-0000-000055890000}"/>
    <cellStyle name="Normal 34 16 4" xfId="35789" xr:uid="{00000000-0005-0000-0000-000056890000}"/>
    <cellStyle name="Normal 34 16 5" xfId="35790" xr:uid="{00000000-0005-0000-0000-000057890000}"/>
    <cellStyle name="Normal 34 16 6" xfId="35791" xr:uid="{00000000-0005-0000-0000-000058890000}"/>
    <cellStyle name="Normal 34 17" xfId="35792" xr:uid="{00000000-0005-0000-0000-000059890000}"/>
    <cellStyle name="Normal 34 17 2" xfId="35793" xr:uid="{00000000-0005-0000-0000-00005A890000}"/>
    <cellStyle name="Normal 34 17 3" xfId="35794" xr:uid="{00000000-0005-0000-0000-00005B890000}"/>
    <cellStyle name="Normal 34 17 4" xfId="35795" xr:uid="{00000000-0005-0000-0000-00005C890000}"/>
    <cellStyle name="Normal 34 17 5" xfId="35796" xr:uid="{00000000-0005-0000-0000-00005D890000}"/>
    <cellStyle name="Normal 34 17 6" xfId="35797" xr:uid="{00000000-0005-0000-0000-00005E890000}"/>
    <cellStyle name="Normal 34 18" xfId="35798" xr:uid="{00000000-0005-0000-0000-00005F890000}"/>
    <cellStyle name="Normal 34 18 2" xfId="35799" xr:uid="{00000000-0005-0000-0000-000060890000}"/>
    <cellStyle name="Normal 34 18 3" xfId="35800" xr:uid="{00000000-0005-0000-0000-000061890000}"/>
    <cellStyle name="Normal 34 18 4" xfId="35801" xr:uid="{00000000-0005-0000-0000-000062890000}"/>
    <cellStyle name="Normal 34 18 5" xfId="35802" xr:uid="{00000000-0005-0000-0000-000063890000}"/>
    <cellStyle name="Normal 34 18 6" xfId="35803" xr:uid="{00000000-0005-0000-0000-000064890000}"/>
    <cellStyle name="Normal 34 19" xfId="35804" xr:uid="{00000000-0005-0000-0000-000065890000}"/>
    <cellStyle name="Normal 34 2" xfId="35805" xr:uid="{00000000-0005-0000-0000-000066890000}"/>
    <cellStyle name="Normal 34 2 10" xfId="35806" xr:uid="{00000000-0005-0000-0000-000067890000}"/>
    <cellStyle name="Normal 34 2 11" xfId="35807" xr:uid="{00000000-0005-0000-0000-000068890000}"/>
    <cellStyle name="Normal 34 2 12" xfId="35808" xr:uid="{00000000-0005-0000-0000-000069890000}"/>
    <cellStyle name="Normal 34 2 13" xfId="35809" xr:uid="{00000000-0005-0000-0000-00006A890000}"/>
    <cellStyle name="Normal 34 2 2" xfId="35810" xr:uid="{00000000-0005-0000-0000-00006B890000}"/>
    <cellStyle name="Normal 34 2 2 2" xfId="35811" xr:uid="{00000000-0005-0000-0000-00006C890000}"/>
    <cellStyle name="Normal 34 2 2 3" xfId="35812" xr:uid="{00000000-0005-0000-0000-00006D890000}"/>
    <cellStyle name="Normal 34 2 2 4" xfId="35813" xr:uid="{00000000-0005-0000-0000-00006E890000}"/>
    <cellStyle name="Normal 34 2 2 5" xfId="35814" xr:uid="{00000000-0005-0000-0000-00006F890000}"/>
    <cellStyle name="Normal 34 2 2 6" xfId="35815" xr:uid="{00000000-0005-0000-0000-000070890000}"/>
    <cellStyle name="Normal 34 2 3" xfId="35816" xr:uid="{00000000-0005-0000-0000-000071890000}"/>
    <cellStyle name="Normal 34 2 3 2" xfId="35817" xr:uid="{00000000-0005-0000-0000-000072890000}"/>
    <cellStyle name="Normal 34 2 3 3" xfId="35818" xr:uid="{00000000-0005-0000-0000-000073890000}"/>
    <cellStyle name="Normal 34 2 3 4" xfId="35819" xr:uid="{00000000-0005-0000-0000-000074890000}"/>
    <cellStyle name="Normal 34 2 3 5" xfId="35820" xr:uid="{00000000-0005-0000-0000-000075890000}"/>
    <cellStyle name="Normal 34 2 3 6" xfId="35821" xr:uid="{00000000-0005-0000-0000-000076890000}"/>
    <cellStyle name="Normal 34 2 4" xfId="35822" xr:uid="{00000000-0005-0000-0000-000077890000}"/>
    <cellStyle name="Normal 34 2 4 2" xfId="35823" xr:uid="{00000000-0005-0000-0000-000078890000}"/>
    <cellStyle name="Normal 34 2 4 3" xfId="35824" xr:uid="{00000000-0005-0000-0000-000079890000}"/>
    <cellStyle name="Normal 34 2 4 4" xfId="35825" xr:uid="{00000000-0005-0000-0000-00007A890000}"/>
    <cellStyle name="Normal 34 2 4 5" xfId="35826" xr:uid="{00000000-0005-0000-0000-00007B890000}"/>
    <cellStyle name="Normal 34 2 4 6" xfId="35827" xr:uid="{00000000-0005-0000-0000-00007C890000}"/>
    <cellStyle name="Normal 34 2 5" xfId="35828" xr:uid="{00000000-0005-0000-0000-00007D890000}"/>
    <cellStyle name="Normal 34 2 5 2" xfId="35829" xr:uid="{00000000-0005-0000-0000-00007E890000}"/>
    <cellStyle name="Normal 34 2 5 3" xfId="35830" xr:uid="{00000000-0005-0000-0000-00007F890000}"/>
    <cellStyle name="Normal 34 2 5 4" xfId="35831" xr:uid="{00000000-0005-0000-0000-000080890000}"/>
    <cellStyle name="Normal 34 2 5 5" xfId="35832" xr:uid="{00000000-0005-0000-0000-000081890000}"/>
    <cellStyle name="Normal 34 2 5 6" xfId="35833" xr:uid="{00000000-0005-0000-0000-000082890000}"/>
    <cellStyle name="Normal 34 2 6" xfId="35834" xr:uid="{00000000-0005-0000-0000-000083890000}"/>
    <cellStyle name="Normal 34 2 6 2" xfId="35835" xr:uid="{00000000-0005-0000-0000-000084890000}"/>
    <cellStyle name="Normal 34 2 6 3" xfId="35836" xr:uid="{00000000-0005-0000-0000-000085890000}"/>
    <cellStyle name="Normal 34 2 6 4" xfId="35837" xr:uid="{00000000-0005-0000-0000-000086890000}"/>
    <cellStyle name="Normal 34 2 6 5" xfId="35838" xr:uid="{00000000-0005-0000-0000-000087890000}"/>
    <cellStyle name="Normal 34 2 6 6" xfId="35839" xr:uid="{00000000-0005-0000-0000-000088890000}"/>
    <cellStyle name="Normal 34 2 7" xfId="35840" xr:uid="{00000000-0005-0000-0000-000089890000}"/>
    <cellStyle name="Normal 34 2 7 2" xfId="35841" xr:uid="{00000000-0005-0000-0000-00008A890000}"/>
    <cellStyle name="Normal 34 2 7 3" xfId="35842" xr:uid="{00000000-0005-0000-0000-00008B890000}"/>
    <cellStyle name="Normal 34 2 7 4" xfId="35843" xr:uid="{00000000-0005-0000-0000-00008C890000}"/>
    <cellStyle name="Normal 34 2 7 5" xfId="35844" xr:uid="{00000000-0005-0000-0000-00008D890000}"/>
    <cellStyle name="Normal 34 2 7 6" xfId="35845" xr:uid="{00000000-0005-0000-0000-00008E890000}"/>
    <cellStyle name="Normal 34 2 8" xfId="35846" xr:uid="{00000000-0005-0000-0000-00008F890000}"/>
    <cellStyle name="Normal 34 2 8 2" xfId="35847" xr:uid="{00000000-0005-0000-0000-000090890000}"/>
    <cellStyle name="Normal 34 2 8 3" xfId="35848" xr:uid="{00000000-0005-0000-0000-000091890000}"/>
    <cellStyle name="Normal 34 2 8 4" xfId="35849" xr:uid="{00000000-0005-0000-0000-000092890000}"/>
    <cellStyle name="Normal 34 2 8 5" xfId="35850" xr:uid="{00000000-0005-0000-0000-000093890000}"/>
    <cellStyle name="Normal 34 2 8 6" xfId="35851" xr:uid="{00000000-0005-0000-0000-000094890000}"/>
    <cellStyle name="Normal 34 2 9" xfId="35852" xr:uid="{00000000-0005-0000-0000-000095890000}"/>
    <cellStyle name="Normal 34 20" xfId="35853" xr:uid="{00000000-0005-0000-0000-000096890000}"/>
    <cellStyle name="Normal 34 21" xfId="35854" xr:uid="{00000000-0005-0000-0000-000097890000}"/>
    <cellStyle name="Normal 34 22" xfId="35855" xr:uid="{00000000-0005-0000-0000-000098890000}"/>
    <cellStyle name="Normal 34 23" xfId="35856" xr:uid="{00000000-0005-0000-0000-000099890000}"/>
    <cellStyle name="Normal 34 3" xfId="35857" xr:uid="{00000000-0005-0000-0000-00009A890000}"/>
    <cellStyle name="Normal 34 3 10" xfId="35858" xr:uid="{00000000-0005-0000-0000-00009B890000}"/>
    <cellStyle name="Normal 34 3 11" xfId="35859" xr:uid="{00000000-0005-0000-0000-00009C890000}"/>
    <cellStyle name="Normal 34 3 12" xfId="35860" xr:uid="{00000000-0005-0000-0000-00009D890000}"/>
    <cellStyle name="Normal 34 3 13" xfId="35861" xr:uid="{00000000-0005-0000-0000-00009E890000}"/>
    <cellStyle name="Normal 34 3 2" xfId="35862" xr:uid="{00000000-0005-0000-0000-00009F890000}"/>
    <cellStyle name="Normal 34 3 2 2" xfId="35863" xr:uid="{00000000-0005-0000-0000-0000A0890000}"/>
    <cellStyle name="Normal 34 3 2 3" xfId="35864" xr:uid="{00000000-0005-0000-0000-0000A1890000}"/>
    <cellStyle name="Normal 34 3 2 4" xfId="35865" xr:uid="{00000000-0005-0000-0000-0000A2890000}"/>
    <cellStyle name="Normal 34 3 2 5" xfId="35866" xr:uid="{00000000-0005-0000-0000-0000A3890000}"/>
    <cellStyle name="Normal 34 3 2 6" xfId="35867" xr:uid="{00000000-0005-0000-0000-0000A4890000}"/>
    <cellStyle name="Normal 34 3 3" xfId="35868" xr:uid="{00000000-0005-0000-0000-0000A5890000}"/>
    <cellStyle name="Normal 34 3 3 2" xfId="35869" xr:uid="{00000000-0005-0000-0000-0000A6890000}"/>
    <cellStyle name="Normal 34 3 3 3" xfId="35870" xr:uid="{00000000-0005-0000-0000-0000A7890000}"/>
    <cellStyle name="Normal 34 3 3 4" xfId="35871" xr:uid="{00000000-0005-0000-0000-0000A8890000}"/>
    <cellStyle name="Normal 34 3 3 5" xfId="35872" xr:uid="{00000000-0005-0000-0000-0000A9890000}"/>
    <cellStyle name="Normal 34 3 3 6" xfId="35873" xr:uid="{00000000-0005-0000-0000-0000AA890000}"/>
    <cellStyle name="Normal 34 3 4" xfId="35874" xr:uid="{00000000-0005-0000-0000-0000AB890000}"/>
    <cellStyle name="Normal 34 3 4 2" xfId="35875" xr:uid="{00000000-0005-0000-0000-0000AC890000}"/>
    <cellStyle name="Normal 34 3 4 3" xfId="35876" xr:uid="{00000000-0005-0000-0000-0000AD890000}"/>
    <cellStyle name="Normal 34 3 4 4" xfId="35877" xr:uid="{00000000-0005-0000-0000-0000AE890000}"/>
    <cellStyle name="Normal 34 3 4 5" xfId="35878" xr:uid="{00000000-0005-0000-0000-0000AF890000}"/>
    <cellStyle name="Normal 34 3 4 6" xfId="35879" xr:uid="{00000000-0005-0000-0000-0000B0890000}"/>
    <cellStyle name="Normal 34 3 5" xfId="35880" xr:uid="{00000000-0005-0000-0000-0000B1890000}"/>
    <cellStyle name="Normal 34 3 5 2" xfId="35881" xr:uid="{00000000-0005-0000-0000-0000B2890000}"/>
    <cellStyle name="Normal 34 3 5 3" xfId="35882" xr:uid="{00000000-0005-0000-0000-0000B3890000}"/>
    <cellStyle name="Normal 34 3 5 4" xfId="35883" xr:uid="{00000000-0005-0000-0000-0000B4890000}"/>
    <cellStyle name="Normal 34 3 5 5" xfId="35884" xr:uid="{00000000-0005-0000-0000-0000B5890000}"/>
    <cellStyle name="Normal 34 3 5 6" xfId="35885" xr:uid="{00000000-0005-0000-0000-0000B6890000}"/>
    <cellStyle name="Normal 34 3 6" xfId="35886" xr:uid="{00000000-0005-0000-0000-0000B7890000}"/>
    <cellStyle name="Normal 34 3 6 2" xfId="35887" xr:uid="{00000000-0005-0000-0000-0000B8890000}"/>
    <cellStyle name="Normal 34 3 6 3" xfId="35888" xr:uid="{00000000-0005-0000-0000-0000B9890000}"/>
    <cellStyle name="Normal 34 3 6 4" xfId="35889" xr:uid="{00000000-0005-0000-0000-0000BA890000}"/>
    <cellStyle name="Normal 34 3 6 5" xfId="35890" xr:uid="{00000000-0005-0000-0000-0000BB890000}"/>
    <cellStyle name="Normal 34 3 6 6" xfId="35891" xr:uid="{00000000-0005-0000-0000-0000BC890000}"/>
    <cellStyle name="Normal 34 3 7" xfId="35892" xr:uid="{00000000-0005-0000-0000-0000BD890000}"/>
    <cellStyle name="Normal 34 3 7 2" xfId="35893" xr:uid="{00000000-0005-0000-0000-0000BE890000}"/>
    <cellStyle name="Normal 34 3 7 3" xfId="35894" xr:uid="{00000000-0005-0000-0000-0000BF890000}"/>
    <cellStyle name="Normal 34 3 7 4" xfId="35895" xr:uid="{00000000-0005-0000-0000-0000C0890000}"/>
    <cellStyle name="Normal 34 3 7 5" xfId="35896" xr:uid="{00000000-0005-0000-0000-0000C1890000}"/>
    <cellStyle name="Normal 34 3 7 6" xfId="35897" xr:uid="{00000000-0005-0000-0000-0000C2890000}"/>
    <cellStyle name="Normal 34 3 8" xfId="35898" xr:uid="{00000000-0005-0000-0000-0000C3890000}"/>
    <cellStyle name="Normal 34 3 8 2" xfId="35899" xr:uid="{00000000-0005-0000-0000-0000C4890000}"/>
    <cellStyle name="Normal 34 3 8 3" xfId="35900" xr:uid="{00000000-0005-0000-0000-0000C5890000}"/>
    <cellStyle name="Normal 34 3 8 4" xfId="35901" xr:uid="{00000000-0005-0000-0000-0000C6890000}"/>
    <cellStyle name="Normal 34 3 8 5" xfId="35902" xr:uid="{00000000-0005-0000-0000-0000C7890000}"/>
    <cellStyle name="Normal 34 3 8 6" xfId="35903" xr:uid="{00000000-0005-0000-0000-0000C8890000}"/>
    <cellStyle name="Normal 34 3 9" xfId="35904" xr:uid="{00000000-0005-0000-0000-0000C9890000}"/>
    <cellStyle name="Normal 34 4" xfId="35905" xr:uid="{00000000-0005-0000-0000-0000CA890000}"/>
    <cellStyle name="Normal 34 4 10" xfId="35906" xr:uid="{00000000-0005-0000-0000-0000CB890000}"/>
    <cellStyle name="Normal 34 4 11" xfId="35907" xr:uid="{00000000-0005-0000-0000-0000CC890000}"/>
    <cellStyle name="Normal 34 4 12" xfId="35908" xr:uid="{00000000-0005-0000-0000-0000CD890000}"/>
    <cellStyle name="Normal 34 4 13" xfId="35909" xr:uid="{00000000-0005-0000-0000-0000CE890000}"/>
    <cellStyle name="Normal 34 4 2" xfId="35910" xr:uid="{00000000-0005-0000-0000-0000CF890000}"/>
    <cellStyle name="Normal 34 4 2 2" xfId="35911" xr:uid="{00000000-0005-0000-0000-0000D0890000}"/>
    <cellStyle name="Normal 34 4 2 3" xfId="35912" xr:uid="{00000000-0005-0000-0000-0000D1890000}"/>
    <cellStyle name="Normal 34 4 2 4" xfId="35913" xr:uid="{00000000-0005-0000-0000-0000D2890000}"/>
    <cellStyle name="Normal 34 4 2 5" xfId="35914" xr:uid="{00000000-0005-0000-0000-0000D3890000}"/>
    <cellStyle name="Normal 34 4 2 6" xfId="35915" xr:uid="{00000000-0005-0000-0000-0000D4890000}"/>
    <cellStyle name="Normal 34 4 3" xfId="35916" xr:uid="{00000000-0005-0000-0000-0000D5890000}"/>
    <cellStyle name="Normal 34 4 3 2" xfId="35917" xr:uid="{00000000-0005-0000-0000-0000D6890000}"/>
    <cellStyle name="Normal 34 4 3 3" xfId="35918" xr:uid="{00000000-0005-0000-0000-0000D7890000}"/>
    <cellStyle name="Normal 34 4 3 4" xfId="35919" xr:uid="{00000000-0005-0000-0000-0000D8890000}"/>
    <cellStyle name="Normal 34 4 3 5" xfId="35920" xr:uid="{00000000-0005-0000-0000-0000D9890000}"/>
    <cellStyle name="Normal 34 4 3 6" xfId="35921" xr:uid="{00000000-0005-0000-0000-0000DA890000}"/>
    <cellStyle name="Normal 34 4 4" xfId="35922" xr:uid="{00000000-0005-0000-0000-0000DB890000}"/>
    <cellStyle name="Normal 34 4 4 2" xfId="35923" xr:uid="{00000000-0005-0000-0000-0000DC890000}"/>
    <cellStyle name="Normal 34 4 4 3" xfId="35924" xr:uid="{00000000-0005-0000-0000-0000DD890000}"/>
    <cellStyle name="Normal 34 4 4 4" xfId="35925" xr:uid="{00000000-0005-0000-0000-0000DE890000}"/>
    <cellStyle name="Normal 34 4 4 5" xfId="35926" xr:uid="{00000000-0005-0000-0000-0000DF890000}"/>
    <cellStyle name="Normal 34 4 4 6" xfId="35927" xr:uid="{00000000-0005-0000-0000-0000E0890000}"/>
    <cellStyle name="Normal 34 4 5" xfId="35928" xr:uid="{00000000-0005-0000-0000-0000E1890000}"/>
    <cellStyle name="Normal 34 4 5 2" xfId="35929" xr:uid="{00000000-0005-0000-0000-0000E2890000}"/>
    <cellStyle name="Normal 34 4 5 3" xfId="35930" xr:uid="{00000000-0005-0000-0000-0000E3890000}"/>
    <cellStyle name="Normal 34 4 5 4" xfId="35931" xr:uid="{00000000-0005-0000-0000-0000E4890000}"/>
    <cellStyle name="Normal 34 4 5 5" xfId="35932" xr:uid="{00000000-0005-0000-0000-0000E5890000}"/>
    <cellStyle name="Normal 34 4 5 6" xfId="35933" xr:uid="{00000000-0005-0000-0000-0000E6890000}"/>
    <cellStyle name="Normal 34 4 6" xfId="35934" xr:uid="{00000000-0005-0000-0000-0000E7890000}"/>
    <cellStyle name="Normal 34 4 6 2" xfId="35935" xr:uid="{00000000-0005-0000-0000-0000E8890000}"/>
    <cellStyle name="Normal 34 4 6 3" xfId="35936" xr:uid="{00000000-0005-0000-0000-0000E9890000}"/>
    <cellStyle name="Normal 34 4 6 4" xfId="35937" xr:uid="{00000000-0005-0000-0000-0000EA890000}"/>
    <cellStyle name="Normal 34 4 6 5" xfId="35938" xr:uid="{00000000-0005-0000-0000-0000EB890000}"/>
    <cellStyle name="Normal 34 4 6 6" xfId="35939" xr:uid="{00000000-0005-0000-0000-0000EC890000}"/>
    <cellStyle name="Normal 34 4 7" xfId="35940" xr:uid="{00000000-0005-0000-0000-0000ED890000}"/>
    <cellStyle name="Normal 34 4 7 2" xfId="35941" xr:uid="{00000000-0005-0000-0000-0000EE890000}"/>
    <cellStyle name="Normal 34 4 7 3" xfId="35942" xr:uid="{00000000-0005-0000-0000-0000EF890000}"/>
    <cellStyle name="Normal 34 4 7 4" xfId="35943" xr:uid="{00000000-0005-0000-0000-0000F0890000}"/>
    <cellStyle name="Normal 34 4 7 5" xfId="35944" xr:uid="{00000000-0005-0000-0000-0000F1890000}"/>
    <cellStyle name="Normal 34 4 7 6" xfId="35945" xr:uid="{00000000-0005-0000-0000-0000F2890000}"/>
    <cellStyle name="Normal 34 4 8" xfId="35946" xr:uid="{00000000-0005-0000-0000-0000F3890000}"/>
    <cellStyle name="Normal 34 4 8 2" xfId="35947" xr:uid="{00000000-0005-0000-0000-0000F4890000}"/>
    <cellStyle name="Normal 34 4 8 3" xfId="35948" xr:uid="{00000000-0005-0000-0000-0000F5890000}"/>
    <cellStyle name="Normal 34 4 8 4" xfId="35949" xr:uid="{00000000-0005-0000-0000-0000F6890000}"/>
    <cellStyle name="Normal 34 4 8 5" xfId="35950" xr:uid="{00000000-0005-0000-0000-0000F7890000}"/>
    <cellStyle name="Normal 34 4 8 6" xfId="35951" xr:uid="{00000000-0005-0000-0000-0000F8890000}"/>
    <cellStyle name="Normal 34 4 9" xfId="35952" xr:uid="{00000000-0005-0000-0000-0000F9890000}"/>
    <cellStyle name="Normal 34 5" xfId="35953" xr:uid="{00000000-0005-0000-0000-0000FA890000}"/>
    <cellStyle name="Normal 34 5 10" xfId="35954" xr:uid="{00000000-0005-0000-0000-0000FB890000}"/>
    <cellStyle name="Normal 34 5 11" xfId="35955" xr:uid="{00000000-0005-0000-0000-0000FC890000}"/>
    <cellStyle name="Normal 34 5 12" xfId="35956" xr:uid="{00000000-0005-0000-0000-0000FD890000}"/>
    <cellStyle name="Normal 34 5 13" xfId="35957" xr:uid="{00000000-0005-0000-0000-0000FE890000}"/>
    <cellStyle name="Normal 34 5 2" xfId="35958" xr:uid="{00000000-0005-0000-0000-0000FF890000}"/>
    <cellStyle name="Normal 34 5 2 2" xfId="35959" xr:uid="{00000000-0005-0000-0000-0000008A0000}"/>
    <cellStyle name="Normal 34 5 2 3" xfId="35960" xr:uid="{00000000-0005-0000-0000-0000018A0000}"/>
    <cellStyle name="Normal 34 5 2 4" xfId="35961" xr:uid="{00000000-0005-0000-0000-0000028A0000}"/>
    <cellStyle name="Normal 34 5 2 5" xfId="35962" xr:uid="{00000000-0005-0000-0000-0000038A0000}"/>
    <cellStyle name="Normal 34 5 2 6" xfId="35963" xr:uid="{00000000-0005-0000-0000-0000048A0000}"/>
    <cellStyle name="Normal 34 5 3" xfId="35964" xr:uid="{00000000-0005-0000-0000-0000058A0000}"/>
    <cellStyle name="Normal 34 5 3 2" xfId="35965" xr:uid="{00000000-0005-0000-0000-0000068A0000}"/>
    <cellStyle name="Normal 34 5 3 3" xfId="35966" xr:uid="{00000000-0005-0000-0000-0000078A0000}"/>
    <cellStyle name="Normal 34 5 3 4" xfId="35967" xr:uid="{00000000-0005-0000-0000-0000088A0000}"/>
    <cellStyle name="Normal 34 5 3 5" xfId="35968" xr:uid="{00000000-0005-0000-0000-0000098A0000}"/>
    <cellStyle name="Normal 34 5 3 6" xfId="35969" xr:uid="{00000000-0005-0000-0000-00000A8A0000}"/>
    <cellStyle name="Normal 34 5 4" xfId="35970" xr:uid="{00000000-0005-0000-0000-00000B8A0000}"/>
    <cellStyle name="Normal 34 5 4 2" xfId="35971" xr:uid="{00000000-0005-0000-0000-00000C8A0000}"/>
    <cellStyle name="Normal 34 5 4 3" xfId="35972" xr:uid="{00000000-0005-0000-0000-00000D8A0000}"/>
    <cellStyle name="Normal 34 5 4 4" xfId="35973" xr:uid="{00000000-0005-0000-0000-00000E8A0000}"/>
    <cellStyle name="Normal 34 5 4 5" xfId="35974" xr:uid="{00000000-0005-0000-0000-00000F8A0000}"/>
    <cellStyle name="Normal 34 5 4 6" xfId="35975" xr:uid="{00000000-0005-0000-0000-0000108A0000}"/>
    <cellStyle name="Normal 34 5 5" xfId="35976" xr:uid="{00000000-0005-0000-0000-0000118A0000}"/>
    <cellStyle name="Normal 34 5 5 2" xfId="35977" xr:uid="{00000000-0005-0000-0000-0000128A0000}"/>
    <cellStyle name="Normal 34 5 5 3" xfId="35978" xr:uid="{00000000-0005-0000-0000-0000138A0000}"/>
    <cellStyle name="Normal 34 5 5 4" xfId="35979" xr:uid="{00000000-0005-0000-0000-0000148A0000}"/>
    <cellStyle name="Normal 34 5 5 5" xfId="35980" xr:uid="{00000000-0005-0000-0000-0000158A0000}"/>
    <cellStyle name="Normal 34 5 5 6" xfId="35981" xr:uid="{00000000-0005-0000-0000-0000168A0000}"/>
    <cellStyle name="Normal 34 5 6" xfId="35982" xr:uid="{00000000-0005-0000-0000-0000178A0000}"/>
    <cellStyle name="Normal 34 5 6 2" xfId="35983" xr:uid="{00000000-0005-0000-0000-0000188A0000}"/>
    <cellStyle name="Normal 34 5 6 3" xfId="35984" xr:uid="{00000000-0005-0000-0000-0000198A0000}"/>
    <cellStyle name="Normal 34 5 6 4" xfId="35985" xr:uid="{00000000-0005-0000-0000-00001A8A0000}"/>
    <cellStyle name="Normal 34 5 6 5" xfId="35986" xr:uid="{00000000-0005-0000-0000-00001B8A0000}"/>
    <cellStyle name="Normal 34 5 6 6" xfId="35987" xr:uid="{00000000-0005-0000-0000-00001C8A0000}"/>
    <cellStyle name="Normal 34 5 7" xfId="35988" xr:uid="{00000000-0005-0000-0000-00001D8A0000}"/>
    <cellStyle name="Normal 34 5 7 2" xfId="35989" xr:uid="{00000000-0005-0000-0000-00001E8A0000}"/>
    <cellStyle name="Normal 34 5 7 3" xfId="35990" xr:uid="{00000000-0005-0000-0000-00001F8A0000}"/>
    <cellStyle name="Normal 34 5 7 4" xfId="35991" xr:uid="{00000000-0005-0000-0000-0000208A0000}"/>
    <cellStyle name="Normal 34 5 7 5" xfId="35992" xr:uid="{00000000-0005-0000-0000-0000218A0000}"/>
    <cellStyle name="Normal 34 5 7 6" xfId="35993" xr:uid="{00000000-0005-0000-0000-0000228A0000}"/>
    <cellStyle name="Normal 34 5 8" xfId="35994" xr:uid="{00000000-0005-0000-0000-0000238A0000}"/>
    <cellStyle name="Normal 34 5 8 2" xfId="35995" xr:uid="{00000000-0005-0000-0000-0000248A0000}"/>
    <cellStyle name="Normal 34 5 8 3" xfId="35996" xr:uid="{00000000-0005-0000-0000-0000258A0000}"/>
    <cellStyle name="Normal 34 5 8 4" xfId="35997" xr:uid="{00000000-0005-0000-0000-0000268A0000}"/>
    <cellStyle name="Normal 34 5 8 5" xfId="35998" xr:uid="{00000000-0005-0000-0000-0000278A0000}"/>
    <cellStyle name="Normal 34 5 8 6" xfId="35999" xr:uid="{00000000-0005-0000-0000-0000288A0000}"/>
    <cellStyle name="Normal 34 5 9" xfId="36000" xr:uid="{00000000-0005-0000-0000-0000298A0000}"/>
    <cellStyle name="Normal 34 6" xfId="36001" xr:uid="{00000000-0005-0000-0000-00002A8A0000}"/>
    <cellStyle name="Normal 34 6 10" xfId="36002" xr:uid="{00000000-0005-0000-0000-00002B8A0000}"/>
    <cellStyle name="Normal 34 6 11" xfId="36003" xr:uid="{00000000-0005-0000-0000-00002C8A0000}"/>
    <cellStyle name="Normal 34 6 12" xfId="36004" xr:uid="{00000000-0005-0000-0000-00002D8A0000}"/>
    <cellStyle name="Normal 34 6 13" xfId="36005" xr:uid="{00000000-0005-0000-0000-00002E8A0000}"/>
    <cellStyle name="Normal 34 6 2" xfId="36006" xr:uid="{00000000-0005-0000-0000-00002F8A0000}"/>
    <cellStyle name="Normal 34 6 2 2" xfId="36007" xr:uid="{00000000-0005-0000-0000-0000308A0000}"/>
    <cellStyle name="Normal 34 6 2 3" xfId="36008" xr:uid="{00000000-0005-0000-0000-0000318A0000}"/>
    <cellStyle name="Normal 34 6 2 4" xfId="36009" xr:uid="{00000000-0005-0000-0000-0000328A0000}"/>
    <cellStyle name="Normal 34 6 2 5" xfId="36010" xr:uid="{00000000-0005-0000-0000-0000338A0000}"/>
    <cellStyle name="Normal 34 6 2 6" xfId="36011" xr:uid="{00000000-0005-0000-0000-0000348A0000}"/>
    <cellStyle name="Normal 34 6 3" xfId="36012" xr:uid="{00000000-0005-0000-0000-0000358A0000}"/>
    <cellStyle name="Normal 34 6 3 2" xfId="36013" xr:uid="{00000000-0005-0000-0000-0000368A0000}"/>
    <cellStyle name="Normal 34 6 3 3" xfId="36014" xr:uid="{00000000-0005-0000-0000-0000378A0000}"/>
    <cellStyle name="Normal 34 6 3 4" xfId="36015" xr:uid="{00000000-0005-0000-0000-0000388A0000}"/>
    <cellStyle name="Normal 34 6 3 5" xfId="36016" xr:uid="{00000000-0005-0000-0000-0000398A0000}"/>
    <cellStyle name="Normal 34 6 3 6" xfId="36017" xr:uid="{00000000-0005-0000-0000-00003A8A0000}"/>
    <cellStyle name="Normal 34 6 4" xfId="36018" xr:uid="{00000000-0005-0000-0000-00003B8A0000}"/>
    <cellStyle name="Normal 34 6 4 2" xfId="36019" xr:uid="{00000000-0005-0000-0000-00003C8A0000}"/>
    <cellStyle name="Normal 34 6 4 3" xfId="36020" xr:uid="{00000000-0005-0000-0000-00003D8A0000}"/>
    <cellStyle name="Normal 34 6 4 4" xfId="36021" xr:uid="{00000000-0005-0000-0000-00003E8A0000}"/>
    <cellStyle name="Normal 34 6 4 5" xfId="36022" xr:uid="{00000000-0005-0000-0000-00003F8A0000}"/>
    <cellStyle name="Normal 34 6 4 6" xfId="36023" xr:uid="{00000000-0005-0000-0000-0000408A0000}"/>
    <cellStyle name="Normal 34 6 5" xfId="36024" xr:uid="{00000000-0005-0000-0000-0000418A0000}"/>
    <cellStyle name="Normal 34 6 5 2" xfId="36025" xr:uid="{00000000-0005-0000-0000-0000428A0000}"/>
    <cellStyle name="Normal 34 6 5 3" xfId="36026" xr:uid="{00000000-0005-0000-0000-0000438A0000}"/>
    <cellStyle name="Normal 34 6 5 4" xfId="36027" xr:uid="{00000000-0005-0000-0000-0000448A0000}"/>
    <cellStyle name="Normal 34 6 5 5" xfId="36028" xr:uid="{00000000-0005-0000-0000-0000458A0000}"/>
    <cellStyle name="Normal 34 6 5 6" xfId="36029" xr:uid="{00000000-0005-0000-0000-0000468A0000}"/>
    <cellStyle name="Normal 34 6 6" xfId="36030" xr:uid="{00000000-0005-0000-0000-0000478A0000}"/>
    <cellStyle name="Normal 34 6 6 2" xfId="36031" xr:uid="{00000000-0005-0000-0000-0000488A0000}"/>
    <cellStyle name="Normal 34 6 6 3" xfId="36032" xr:uid="{00000000-0005-0000-0000-0000498A0000}"/>
    <cellStyle name="Normal 34 6 6 4" xfId="36033" xr:uid="{00000000-0005-0000-0000-00004A8A0000}"/>
    <cellStyle name="Normal 34 6 6 5" xfId="36034" xr:uid="{00000000-0005-0000-0000-00004B8A0000}"/>
    <cellStyle name="Normal 34 6 6 6" xfId="36035" xr:uid="{00000000-0005-0000-0000-00004C8A0000}"/>
    <cellStyle name="Normal 34 6 7" xfId="36036" xr:uid="{00000000-0005-0000-0000-00004D8A0000}"/>
    <cellStyle name="Normal 34 6 7 2" xfId="36037" xr:uid="{00000000-0005-0000-0000-00004E8A0000}"/>
    <cellStyle name="Normal 34 6 7 3" xfId="36038" xr:uid="{00000000-0005-0000-0000-00004F8A0000}"/>
    <cellStyle name="Normal 34 6 7 4" xfId="36039" xr:uid="{00000000-0005-0000-0000-0000508A0000}"/>
    <cellStyle name="Normal 34 6 7 5" xfId="36040" xr:uid="{00000000-0005-0000-0000-0000518A0000}"/>
    <cellStyle name="Normal 34 6 7 6" xfId="36041" xr:uid="{00000000-0005-0000-0000-0000528A0000}"/>
    <cellStyle name="Normal 34 6 8" xfId="36042" xr:uid="{00000000-0005-0000-0000-0000538A0000}"/>
    <cellStyle name="Normal 34 6 8 2" xfId="36043" xr:uid="{00000000-0005-0000-0000-0000548A0000}"/>
    <cellStyle name="Normal 34 6 8 3" xfId="36044" xr:uid="{00000000-0005-0000-0000-0000558A0000}"/>
    <cellStyle name="Normal 34 6 8 4" xfId="36045" xr:uid="{00000000-0005-0000-0000-0000568A0000}"/>
    <cellStyle name="Normal 34 6 8 5" xfId="36046" xr:uid="{00000000-0005-0000-0000-0000578A0000}"/>
    <cellStyle name="Normal 34 6 8 6" xfId="36047" xr:uid="{00000000-0005-0000-0000-0000588A0000}"/>
    <cellStyle name="Normal 34 6 9" xfId="36048" xr:uid="{00000000-0005-0000-0000-0000598A0000}"/>
    <cellStyle name="Normal 34 7" xfId="36049" xr:uid="{00000000-0005-0000-0000-00005A8A0000}"/>
    <cellStyle name="Normal 34 7 10" xfId="36050" xr:uid="{00000000-0005-0000-0000-00005B8A0000}"/>
    <cellStyle name="Normal 34 7 11" xfId="36051" xr:uid="{00000000-0005-0000-0000-00005C8A0000}"/>
    <cellStyle name="Normal 34 7 12" xfId="36052" xr:uid="{00000000-0005-0000-0000-00005D8A0000}"/>
    <cellStyle name="Normal 34 7 13" xfId="36053" xr:uid="{00000000-0005-0000-0000-00005E8A0000}"/>
    <cellStyle name="Normal 34 7 2" xfId="36054" xr:uid="{00000000-0005-0000-0000-00005F8A0000}"/>
    <cellStyle name="Normal 34 7 2 2" xfId="36055" xr:uid="{00000000-0005-0000-0000-0000608A0000}"/>
    <cellStyle name="Normal 34 7 2 3" xfId="36056" xr:uid="{00000000-0005-0000-0000-0000618A0000}"/>
    <cellStyle name="Normal 34 7 2 4" xfId="36057" xr:uid="{00000000-0005-0000-0000-0000628A0000}"/>
    <cellStyle name="Normal 34 7 2 5" xfId="36058" xr:uid="{00000000-0005-0000-0000-0000638A0000}"/>
    <cellStyle name="Normal 34 7 2 6" xfId="36059" xr:uid="{00000000-0005-0000-0000-0000648A0000}"/>
    <cellStyle name="Normal 34 7 3" xfId="36060" xr:uid="{00000000-0005-0000-0000-0000658A0000}"/>
    <cellStyle name="Normal 34 7 3 2" xfId="36061" xr:uid="{00000000-0005-0000-0000-0000668A0000}"/>
    <cellStyle name="Normal 34 7 3 3" xfId="36062" xr:uid="{00000000-0005-0000-0000-0000678A0000}"/>
    <cellStyle name="Normal 34 7 3 4" xfId="36063" xr:uid="{00000000-0005-0000-0000-0000688A0000}"/>
    <cellStyle name="Normal 34 7 3 5" xfId="36064" xr:uid="{00000000-0005-0000-0000-0000698A0000}"/>
    <cellStyle name="Normal 34 7 3 6" xfId="36065" xr:uid="{00000000-0005-0000-0000-00006A8A0000}"/>
    <cellStyle name="Normal 34 7 4" xfId="36066" xr:uid="{00000000-0005-0000-0000-00006B8A0000}"/>
    <cellStyle name="Normal 34 7 4 2" xfId="36067" xr:uid="{00000000-0005-0000-0000-00006C8A0000}"/>
    <cellStyle name="Normal 34 7 4 3" xfId="36068" xr:uid="{00000000-0005-0000-0000-00006D8A0000}"/>
    <cellStyle name="Normal 34 7 4 4" xfId="36069" xr:uid="{00000000-0005-0000-0000-00006E8A0000}"/>
    <cellStyle name="Normal 34 7 4 5" xfId="36070" xr:uid="{00000000-0005-0000-0000-00006F8A0000}"/>
    <cellStyle name="Normal 34 7 4 6" xfId="36071" xr:uid="{00000000-0005-0000-0000-0000708A0000}"/>
    <cellStyle name="Normal 34 7 5" xfId="36072" xr:uid="{00000000-0005-0000-0000-0000718A0000}"/>
    <cellStyle name="Normal 34 7 5 2" xfId="36073" xr:uid="{00000000-0005-0000-0000-0000728A0000}"/>
    <cellStyle name="Normal 34 7 5 3" xfId="36074" xr:uid="{00000000-0005-0000-0000-0000738A0000}"/>
    <cellStyle name="Normal 34 7 5 4" xfId="36075" xr:uid="{00000000-0005-0000-0000-0000748A0000}"/>
    <cellStyle name="Normal 34 7 5 5" xfId="36076" xr:uid="{00000000-0005-0000-0000-0000758A0000}"/>
    <cellStyle name="Normal 34 7 5 6" xfId="36077" xr:uid="{00000000-0005-0000-0000-0000768A0000}"/>
    <cellStyle name="Normal 34 7 6" xfId="36078" xr:uid="{00000000-0005-0000-0000-0000778A0000}"/>
    <cellStyle name="Normal 34 7 6 2" xfId="36079" xr:uid="{00000000-0005-0000-0000-0000788A0000}"/>
    <cellStyle name="Normal 34 7 6 3" xfId="36080" xr:uid="{00000000-0005-0000-0000-0000798A0000}"/>
    <cellStyle name="Normal 34 7 6 4" xfId="36081" xr:uid="{00000000-0005-0000-0000-00007A8A0000}"/>
    <cellStyle name="Normal 34 7 6 5" xfId="36082" xr:uid="{00000000-0005-0000-0000-00007B8A0000}"/>
    <cellStyle name="Normal 34 7 6 6" xfId="36083" xr:uid="{00000000-0005-0000-0000-00007C8A0000}"/>
    <cellStyle name="Normal 34 7 7" xfId="36084" xr:uid="{00000000-0005-0000-0000-00007D8A0000}"/>
    <cellStyle name="Normal 34 7 7 2" xfId="36085" xr:uid="{00000000-0005-0000-0000-00007E8A0000}"/>
    <cellStyle name="Normal 34 7 7 3" xfId="36086" xr:uid="{00000000-0005-0000-0000-00007F8A0000}"/>
    <cellStyle name="Normal 34 7 7 4" xfId="36087" xr:uid="{00000000-0005-0000-0000-0000808A0000}"/>
    <cellStyle name="Normal 34 7 7 5" xfId="36088" xr:uid="{00000000-0005-0000-0000-0000818A0000}"/>
    <cellStyle name="Normal 34 7 7 6" xfId="36089" xr:uid="{00000000-0005-0000-0000-0000828A0000}"/>
    <cellStyle name="Normal 34 7 8" xfId="36090" xr:uid="{00000000-0005-0000-0000-0000838A0000}"/>
    <cellStyle name="Normal 34 7 8 2" xfId="36091" xr:uid="{00000000-0005-0000-0000-0000848A0000}"/>
    <cellStyle name="Normal 34 7 8 3" xfId="36092" xr:uid="{00000000-0005-0000-0000-0000858A0000}"/>
    <cellStyle name="Normal 34 7 8 4" xfId="36093" xr:uid="{00000000-0005-0000-0000-0000868A0000}"/>
    <cellStyle name="Normal 34 7 8 5" xfId="36094" xr:uid="{00000000-0005-0000-0000-0000878A0000}"/>
    <cellStyle name="Normal 34 7 8 6" xfId="36095" xr:uid="{00000000-0005-0000-0000-0000888A0000}"/>
    <cellStyle name="Normal 34 7 9" xfId="36096" xr:uid="{00000000-0005-0000-0000-0000898A0000}"/>
    <cellStyle name="Normal 34 8" xfId="36097" xr:uid="{00000000-0005-0000-0000-00008A8A0000}"/>
    <cellStyle name="Normal 34 8 10" xfId="36098" xr:uid="{00000000-0005-0000-0000-00008B8A0000}"/>
    <cellStyle name="Normal 34 8 11" xfId="36099" xr:uid="{00000000-0005-0000-0000-00008C8A0000}"/>
    <cellStyle name="Normal 34 8 12" xfId="36100" xr:uid="{00000000-0005-0000-0000-00008D8A0000}"/>
    <cellStyle name="Normal 34 8 13" xfId="36101" xr:uid="{00000000-0005-0000-0000-00008E8A0000}"/>
    <cellStyle name="Normal 34 8 2" xfId="36102" xr:uid="{00000000-0005-0000-0000-00008F8A0000}"/>
    <cellStyle name="Normal 34 8 2 2" xfId="36103" xr:uid="{00000000-0005-0000-0000-0000908A0000}"/>
    <cellStyle name="Normal 34 8 2 3" xfId="36104" xr:uid="{00000000-0005-0000-0000-0000918A0000}"/>
    <cellStyle name="Normal 34 8 2 4" xfId="36105" xr:uid="{00000000-0005-0000-0000-0000928A0000}"/>
    <cellStyle name="Normal 34 8 2 5" xfId="36106" xr:uid="{00000000-0005-0000-0000-0000938A0000}"/>
    <cellStyle name="Normal 34 8 2 6" xfId="36107" xr:uid="{00000000-0005-0000-0000-0000948A0000}"/>
    <cellStyle name="Normal 34 8 3" xfId="36108" xr:uid="{00000000-0005-0000-0000-0000958A0000}"/>
    <cellStyle name="Normal 34 8 3 2" xfId="36109" xr:uid="{00000000-0005-0000-0000-0000968A0000}"/>
    <cellStyle name="Normal 34 8 3 3" xfId="36110" xr:uid="{00000000-0005-0000-0000-0000978A0000}"/>
    <cellStyle name="Normal 34 8 3 4" xfId="36111" xr:uid="{00000000-0005-0000-0000-0000988A0000}"/>
    <cellStyle name="Normal 34 8 3 5" xfId="36112" xr:uid="{00000000-0005-0000-0000-0000998A0000}"/>
    <cellStyle name="Normal 34 8 3 6" xfId="36113" xr:uid="{00000000-0005-0000-0000-00009A8A0000}"/>
    <cellStyle name="Normal 34 8 4" xfId="36114" xr:uid="{00000000-0005-0000-0000-00009B8A0000}"/>
    <cellStyle name="Normal 34 8 4 2" xfId="36115" xr:uid="{00000000-0005-0000-0000-00009C8A0000}"/>
    <cellStyle name="Normal 34 8 4 3" xfId="36116" xr:uid="{00000000-0005-0000-0000-00009D8A0000}"/>
    <cellStyle name="Normal 34 8 4 4" xfId="36117" xr:uid="{00000000-0005-0000-0000-00009E8A0000}"/>
    <cellStyle name="Normal 34 8 4 5" xfId="36118" xr:uid="{00000000-0005-0000-0000-00009F8A0000}"/>
    <cellStyle name="Normal 34 8 4 6" xfId="36119" xr:uid="{00000000-0005-0000-0000-0000A08A0000}"/>
    <cellStyle name="Normal 34 8 5" xfId="36120" xr:uid="{00000000-0005-0000-0000-0000A18A0000}"/>
    <cellStyle name="Normal 34 8 5 2" xfId="36121" xr:uid="{00000000-0005-0000-0000-0000A28A0000}"/>
    <cellStyle name="Normal 34 8 5 3" xfId="36122" xr:uid="{00000000-0005-0000-0000-0000A38A0000}"/>
    <cellStyle name="Normal 34 8 5 4" xfId="36123" xr:uid="{00000000-0005-0000-0000-0000A48A0000}"/>
    <cellStyle name="Normal 34 8 5 5" xfId="36124" xr:uid="{00000000-0005-0000-0000-0000A58A0000}"/>
    <cellStyle name="Normal 34 8 5 6" xfId="36125" xr:uid="{00000000-0005-0000-0000-0000A68A0000}"/>
    <cellStyle name="Normal 34 8 6" xfId="36126" xr:uid="{00000000-0005-0000-0000-0000A78A0000}"/>
    <cellStyle name="Normal 34 8 6 2" xfId="36127" xr:uid="{00000000-0005-0000-0000-0000A88A0000}"/>
    <cellStyle name="Normal 34 8 6 3" xfId="36128" xr:uid="{00000000-0005-0000-0000-0000A98A0000}"/>
    <cellStyle name="Normal 34 8 6 4" xfId="36129" xr:uid="{00000000-0005-0000-0000-0000AA8A0000}"/>
    <cellStyle name="Normal 34 8 6 5" xfId="36130" xr:uid="{00000000-0005-0000-0000-0000AB8A0000}"/>
    <cellStyle name="Normal 34 8 6 6" xfId="36131" xr:uid="{00000000-0005-0000-0000-0000AC8A0000}"/>
    <cellStyle name="Normal 34 8 7" xfId="36132" xr:uid="{00000000-0005-0000-0000-0000AD8A0000}"/>
    <cellStyle name="Normal 34 8 7 2" xfId="36133" xr:uid="{00000000-0005-0000-0000-0000AE8A0000}"/>
    <cellStyle name="Normal 34 8 7 3" xfId="36134" xr:uid="{00000000-0005-0000-0000-0000AF8A0000}"/>
    <cellStyle name="Normal 34 8 7 4" xfId="36135" xr:uid="{00000000-0005-0000-0000-0000B08A0000}"/>
    <cellStyle name="Normal 34 8 7 5" xfId="36136" xr:uid="{00000000-0005-0000-0000-0000B18A0000}"/>
    <cellStyle name="Normal 34 8 7 6" xfId="36137" xr:uid="{00000000-0005-0000-0000-0000B28A0000}"/>
    <cellStyle name="Normal 34 8 8" xfId="36138" xr:uid="{00000000-0005-0000-0000-0000B38A0000}"/>
    <cellStyle name="Normal 34 8 8 2" xfId="36139" xr:uid="{00000000-0005-0000-0000-0000B48A0000}"/>
    <cellStyle name="Normal 34 8 8 3" xfId="36140" xr:uid="{00000000-0005-0000-0000-0000B58A0000}"/>
    <cellStyle name="Normal 34 8 8 4" xfId="36141" xr:uid="{00000000-0005-0000-0000-0000B68A0000}"/>
    <cellStyle name="Normal 34 8 8 5" xfId="36142" xr:uid="{00000000-0005-0000-0000-0000B78A0000}"/>
    <cellStyle name="Normal 34 8 8 6" xfId="36143" xr:uid="{00000000-0005-0000-0000-0000B88A0000}"/>
    <cellStyle name="Normal 34 8 9" xfId="36144" xr:uid="{00000000-0005-0000-0000-0000B98A0000}"/>
    <cellStyle name="Normal 34 9" xfId="36145" xr:uid="{00000000-0005-0000-0000-0000BA8A0000}"/>
    <cellStyle name="Normal 34 9 10" xfId="36146" xr:uid="{00000000-0005-0000-0000-0000BB8A0000}"/>
    <cellStyle name="Normal 34 9 11" xfId="36147" xr:uid="{00000000-0005-0000-0000-0000BC8A0000}"/>
    <cellStyle name="Normal 34 9 12" xfId="36148" xr:uid="{00000000-0005-0000-0000-0000BD8A0000}"/>
    <cellStyle name="Normal 34 9 13" xfId="36149" xr:uid="{00000000-0005-0000-0000-0000BE8A0000}"/>
    <cellStyle name="Normal 34 9 2" xfId="36150" xr:uid="{00000000-0005-0000-0000-0000BF8A0000}"/>
    <cellStyle name="Normal 34 9 2 2" xfId="36151" xr:uid="{00000000-0005-0000-0000-0000C08A0000}"/>
    <cellStyle name="Normal 34 9 2 3" xfId="36152" xr:uid="{00000000-0005-0000-0000-0000C18A0000}"/>
    <cellStyle name="Normal 34 9 2 4" xfId="36153" xr:uid="{00000000-0005-0000-0000-0000C28A0000}"/>
    <cellStyle name="Normal 34 9 2 5" xfId="36154" xr:uid="{00000000-0005-0000-0000-0000C38A0000}"/>
    <cellStyle name="Normal 34 9 2 6" xfId="36155" xr:uid="{00000000-0005-0000-0000-0000C48A0000}"/>
    <cellStyle name="Normal 34 9 3" xfId="36156" xr:uid="{00000000-0005-0000-0000-0000C58A0000}"/>
    <cellStyle name="Normal 34 9 3 2" xfId="36157" xr:uid="{00000000-0005-0000-0000-0000C68A0000}"/>
    <cellStyle name="Normal 34 9 3 3" xfId="36158" xr:uid="{00000000-0005-0000-0000-0000C78A0000}"/>
    <cellStyle name="Normal 34 9 3 4" xfId="36159" xr:uid="{00000000-0005-0000-0000-0000C88A0000}"/>
    <cellStyle name="Normal 34 9 3 5" xfId="36160" xr:uid="{00000000-0005-0000-0000-0000C98A0000}"/>
    <cellStyle name="Normal 34 9 3 6" xfId="36161" xr:uid="{00000000-0005-0000-0000-0000CA8A0000}"/>
    <cellStyle name="Normal 34 9 4" xfId="36162" xr:uid="{00000000-0005-0000-0000-0000CB8A0000}"/>
    <cellStyle name="Normal 34 9 4 2" xfId="36163" xr:uid="{00000000-0005-0000-0000-0000CC8A0000}"/>
    <cellStyle name="Normal 34 9 4 3" xfId="36164" xr:uid="{00000000-0005-0000-0000-0000CD8A0000}"/>
    <cellStyle name="Normal 34 9 4 4" xfId="36165" xr:uid="{00000000-0005-0000-0000-0000CE8A0000}"/>
    <cellStyle name="Normal 34 9 4 5" xfId="36166" xr:uid="{00000000-0005-0000-0000-0000CF8A0000}"/>
    <cellStyle name="Normal 34 9 4 6" xfId="36167" xr:uid="{00000000-0005-0000-0000-0000D08A0000}"/>
    <cellStyle name="Normal 34 9 5" xfId="36168" xr:uid="{00000000-0005-0000-0000-0000D18A0000}"/>
    <cellStyle name="Normal 34 9 5 2" xfId="36169" xr:uid="{00000000-0005-0000-0000-0000D28A0000}"/>
    <cellStyle name="Normal 34 9 5 3" xfId="36170" xr:uid="{00000000-0005-0000-0000-0000D38A0000}"/>
    <cellStyle name="Normal 34 9 5 4" xfId="36171" xr:uid="{00000000-0005-0000-0000-0000D48A0000}"/>
    <cellStyle name="Normal 34 9 5 5" xfId="36172" xr:uid="{00000000-0005-0000-0000-0000D58A0000}"/>
    <cellStyle name="Normal 34 9 5 6" xfId="36173" xr:uid="{00000000-0005-0000-0000-0000D68A0000}"/>
    <cellStyle name="Normal 34 9 6" xfId="36174" xr:uid="{00000000-0005-0000-0000-0000D78A0000}"/>
    <cellStyle name="Normal 34 9 6 2" xfId="36175" xr:uid="{00000000-0005-0000-0000-0000D88A0000}"/>
    <cellStyle name="Normal 34 9 6 3" xfId="36176" xr:uid="{00000000-0005-0000-0000-0000D98A0000}"/>
    <cellStyle name="Normal 34 9 6 4" xfId="36177" xr:uid="{00000000-0005-0000-0000-0000DA8A0000}"/>
    <cellStyle name="Normal 34 9 6 5" xfId="36178" xr:uid="{00000000-0005-0000-0000-0000DB8A0000}"/>
    <cellStyle name="Normal 34 9 6 6" xfId="36179" xr:uid="{00000000-0005-0000-0000-0000DC8A0000}"/>
    <cellStyle name="Normal 34 9 7" xfId="36180" xr:uid="{00000000-0005-0000-0000-0000DD8A0000}"/>
    <cellStyle name="Normal 34 9 7 2" xfId="36181" xr:uid="{00000000-0005-0000-0000-0000DE8A0000}"/>
    <cellStyle name="Normal 34 9 7 3" xfId="36182" xr:uid="{00000000-0005-0000-0000-0000DF8A0000}"/>
    <cellStyle name="Normal 34 9 7 4" xfId="36183" xr:uid="{00000000-0005-0000-0000-0000E08A0000}"/>
    <cellStyle name="Normal 34 9 7 5" xfId="36184" xr:uid="{00000000-0005-0000-0000-0000E18A0000}"/>
    <cellStyle name="Normal 34 9 7 6" xfId="36185" xr:uid="{00000000-0005-0000-0000-0000E28A0000}"/>
    <cellStyle name="Normal 34 9 8" xfId="36186" xr:uid="{00000000-0005-0000-0000-0000E38A0000}"/>
    <cellStyle name="Normal 34 9 8 2" xfId="36187" xr:uid="{00000000-0005-0000-0000-0000E48A0000}"/>
    <cellStyle name="Normal 34 9 8 3" xfId="36188" xr:uid="{00000000-0005-0000-0000-0000E58A0000}"/>
    <cellStyle name="Normal 34 9 8 4" xfId="36189" xr:uid="{00000000-0005-0000-0000-0000E68A0000}"/>
    <cellStyle name="Normal 34 9 8 5" xfId="36190" xr:uid="{00000000-0005-0000-0000-0000E78A0000}"/>
    <cellStyle name="Normal 34 9 8 6" xfId="36191" xr:uid="{00000000-0005-0000-0000-0000E88A0000}"/>
    <cellStyle name="Normal 34 9 9" xfId="36192" xr:uid="{00000000-0005-0000-0000-0000E98A0000}"/>
    <cellStyle name="Normal 35" xfId="2542" xr:uid="{00000000-0005-0000-0000-0000EA8A0000}"/>
    <cellStyle name="Normal 35 10" xfId="36193" xr:uid="{00000000-0005-0000-0000-0000EB8A0000}"/>
    <cellStyle name="Normal 35 11" xfId="36194" xr:uid="{00000000-0005-0000-0000-0000EC8A0000}"/>
    <cellStyle name="Normal 35 12" xfId="36195" xr:uid="{00000000-0005-0000-0000-0000ED8A0000}"/>
    <cellStyle name="Normal 35 13" xfId="36196" xr:uid="{00000000-0005-0000-0000-0000EE8A0000}"/>
    <cellStyle name="Normal 35 14" xfId="36197" xr:uid="{00000000-0005-0000-0000-0000EF8A0000}"/>
    <cellStyle name="Normal 35 15" xfId="36198" xr:uid="{00000000-0005-0000-0000-0000F08A0000}"/>
    <cellStyle name="Normal 35 16" xfId="36199" xr:uid="{00000000-0005-0000-0000-0000F18A0000}"/>
    <cellStyle name="Normal 35 17" xfId="36200" xr:uid="{00000000-0005-0000-0000-0000F28A0000}"/>
    <cellStyle name="Normal 35 18" xfId="36201" xr:uid="{00000000-0005-0000-0000-0000F38A0000}"/>
    <cellStyle name="Normal 35 19" xfId="36202" xr:uid="{00000000-0005-0000-0000-0000F48A0000}"/>
    <cellStyle name="Normal 35 2" xfId="36203" xr:uid="{00000000-0005-0000-0000-0000F58A0000}"/>
    <cellStyle name="Normal 35 20" xfId="36204" xr:uid="{00000000-0005-0000-0000-0000F68A0000}"/>
    <cellStyle name="Normal 35 21" xfId="36205" xr:uid="{00000000-0005-0000-0000-0000F78A0000}"/>
    <cellStyle name="Normal 35 22" xfId="36206" xr:uid="{00000000-0005-0000-0000-0000F88A0000}"/>
    <cellStyle name="Normal 35 23" xfId="36207" xr:uid="{00000000-0005-0000-0000-0000F98A0000}"/>
    <cellStyle name="Normal 35 24" xfId="36208" xr:uid="{00000000-0005-0000-0000-0000FA8A0000}"/>
    <cellStyle name="Normal 35 25" xfId="36209" xr:uid="{00000000-0005-0000-0000-0000FB8A0000}"/>
    <cellStyle name="Normal 35 26" xfId="36210" xr:uid="{00000000-0005-0000-0000-0000FC8A0000}"/>
    <cellStyle name="Normal 35 27" xfId="36211" xr:uid="{00000000-0005-0000-0000-0000FD8A0000}"/>
    <cellStyle name="Normal 35 28" xfId="36212" xr:uid="{00000000-0005-0000-0000-0000FE8A0000}"/>
    <cellStyle name="Normal 35 29" xfId="36213" xr:uid="{00000000-0005-0000-0000-0000FF8A0000}"/>
    <cellStyle name="Normal 35 3" xfId="36214" xr:uid="{00000000-0005-0000-0000-0000008B0000}"/>
    <cellStyle name="Normal 35 30" xfId="36215" xr:uid="{00000000-0005-0000-0000-0000018B0000}"/>
    <cellStyle name="Normal 35 31" xfId="36216" xr:uid="{00000000-0005-0000-0000-0000028B0000}"/>
    <cellStyle name="Normal 35 32" xfId="36217" xr:uid="{00000000-0005-0000-0000-0000038B0000}"/>
    <cellStyle name="Normal 35 33" xfId="36218" xr:uid="{00000000-0005-0000-0000-0000048B0000}"/>
    <cellStyle name="Normal 35 34" xfId="36219" xr:uid="{00000000-0005-0000-0000-0000058B0000}"/>
    <cellStyle name="Normal 35 35" xfId="36220" xr:uid="{00000000-0005-0000-0000-0000068B0000}"/>
    <cellStyle name="Normal 35 36" xfId="36221" xr:uid="{00000000-0005-0000-0000-0000078B0000}"/>
    <cellStyle name="Normal 35 37" xfId="36222" xr:uid="{00000000-0005-0000-0000-0000088B0000}"/>
    <cellStyle name="Normal 35 38" xfId="36223" xr:uid="{00000000-0005-0000-0000-0000098B0000}"/>
    <cellStyle name="Normal 35 39" xfId="36224" xr:uid="{00000000-0005-0000-0000-00000A8B0000}"/>
    <cellStyle name="Normal 35 4" xfId="36225" xr:uid="{00000000-0005-0000-0000-00000B8B0000}"/>
    <cellStyle name="Normal 35 40" xfId="36226" xr:uid="{00000000-0005-0000-0000-00000C8B0000}"/>
    <cellStyle name="Normal 35 41" xfId="36227" xr:uid="{00000000-0005-0000-0000-00000D8B0000}"/>
    <cellStyle name="Normal 35 42" xfId="36228" xr:uid="{00000000-0005-0000-0000-00000E8B0000}"/>
    <cellStyle name="Normal 35 43" xfId="36229" xr:uid="{00000000-0005-0000-0000-00000F8B0000}"/>
    <cellStyle name="Normal 35 5" xfId="36230" xr:uid="{00000000-0005-0000-0000-0000108B0000}"/>
    <cellStyle name="Normal 35 6" xfId="36231" xr:uid="{00000000-0005-0000-0000-0000118B0000}"/>
    <cellStyle name="Normal 35 7" xfId="36232" xr:uid="{00000000-0005-0000-0000-0000128B0000}"/>
    <cellStyle name="Normal 35 8" xfId="36233" xr:uid="{00000000-0005-0000-0000-0000138B0000}"/>
    <cellStyle name="Normal 35 9" xfId="36234" xr:uid="{00000000-0005-0000-0000-0000148B0000}"/>
    <cellStyle name="Normal 36" xfId="2543" xr:uid="{00000000-0005-0000-0000-0000158B0000}"/>
    <cellStyle name="Normal 36 2" xfId="36235" xr:uid="{00000000-0005-0000-0000-0000168B0000}"/>
    <cellStyle name="Normal 37" xfId="2544" xr:uid="{00000000-0005-0000-0000-0000178B0000}"/>
    <cellStyle name="Normal 37 2" xfId="36236" xr:uid="{00000000-0005-0000-0000-0000188B0000}"/>
    <cellStyle name="Normal 38" xfId="2408" xr:uid="{00000000-0005-0000-0000-0000198B0000}"/>
    <cellStyle name="Normal 38 2" xfId="36237" xr:uid="{00000000-0005-0000-0000-00001A8B0000}"/>
    <cellStyle name="Normal 39" xfId="2127" xr:uid="{00000000-0005-0000-0000-00001B8B0000}"/>
    <cellStyle name="Normal 39 10" xfId="36238" xr:uid="{00000000-0005-0000-0000-00001C8B0000}"/>
    <cellStyle name="Normal 39 11" xfId="36239" xr:uid="{00000000-0005-0000-0000-00001D8B0000}"/>
    <cellStyle name="Normal 39 12" xfId="36240" xr:uid="{00000000-0005-0000-0000-00001E8B0000}"/>
    <cellStyle name="Normal 39 13" xfId="36241" xr:uid="{00000000-0005-0000-0000-00001F8B0000}"/>
    <cellStyle name="Normal 39 2" xfId="36242" xr:uid="{00000000-0005-0000-0000-0000208B0000}"/>
    <cellStyle name="Normal 39 2 2" xfId="36243" xr:uid="{00000000-0005-0000-0000-0000218B0000}"/>
    <cellStyle name="Normal 39 2 3" xfId="36244" xr:uid="{00000000-0005-0000-0000-0000228B0000}"/>
    <cellStyle name="Normal 39 2 4" xfId="36245" xr:uid="{00000000-0005-0000-0000-0000238B0000}"/>
    <cellStyle name="Normal 39 2 5" xfId="36246" xr:uid="{00000000-0005-0000-0000-0000248B0000}"/>
    <cellStyle name="Normal 39 2 6" xfId="36247" xr:uid="{00000000-0005-0000-0000-0000258B0000}"/>
    <cellStyle name="Normal 39 3" xfId="36248" xr:uid="{00000000-0005-0000-0000-0000268B0000}"/>
    <cellStyle name="Normal 39 3 2" xfId="36249" xr:uid="{00000000-0005-0000-0000-0000278B0000}"/>
    <cellStyle name="Normal 39 3 3" xfId="36250" xr:uid="{00000000-0005-0000-0000-0000288B0000}"/>
    <cellStyle name="Normal 39 3 4" xfId="36251" xr:uid="{00000000-0005-0000-0000-0000298B0000}"/>
    <cellStyle name="Normal 39 3 5" xfId="36252" xr:uid="{00000000-0005-0000-0000-00002A8B0000}"/>
    <cellStyle name="Normal 39 3 6" xfId="36253" xr:uid="{00000000-0005-0000-0000-00002B8B0000}"/>
    <cellStyle name="Normal 39 4" xfId="36254" xr:uid="{00000000-0005-0000-0000-00002C8B0000}"/>
    <cellStyle name="Normal 39 4 2" xfId="36255" xr:uid="{00000000-0005-0000-0000-00002D8B0000}"/>
    <cellStyle name="Normal 39 4 3" xfId="36256" xr:uid="{00000000-0005-0000-0000-00002E8B0000}"/>
    <cellStyle name="Normal 39 4 4" xfId="36257" xr:uid="{00000000-0005-0000-0000-00002F8B0000}"/>
    <cellStyle name="Normal 39 4 5" xfId="36258" xr:uid="{00000000-0005-0000-0000-0000308B0000}"/>
    <cellStyle name="Normal 39 4 6" xfId="36259" xr:uid="{00000000-0005-0000-0000-0000318B0000}"/>
    <cellStyle name="Normal 39 5" xfId="36260" xr:uid="{00000000-0005-0000-0000-0000328B0000}"/>
    <cellStyle name="Normal 39 5 2" xfId="36261" xr:uid="{00000000-0005-0000-0000-0000338B0000}"/>
    <cellStyle name="Normal 39 5 3" xfId="36262" xr:uid="{00000000-0005-0000-0000-0000348B0000}"/>
    <cellStyle name="Normal 39 5 4" xfId="36263" xr:uid="{00000000-0005-0000-0000-0000358B0000}"/>
    <cellStyle name="Normal 39 5 5" xfId="36264" xr:uid="{00000000-0005-0000-0000-0000368B0000}"/>
    <cellStyle name="Normal 39 5 6" xfId="36265" xr:uid="{00000000-0005-0000-0000-0000378B0000}"/>
    <cellStyle name="Normal 39 6" xfId="36266" xr:uid="{00000000-0005-0000-0000-0000388B0000}"/>
    <cellStyle name="Normal 39 6 2" xfId="36267" xr:uid="{00000000-0005-0000-0000-0000398B0000}"/>
    <cellStyle name="Normal 39 6 3" xfId="36268" xr:uid="{00000000-0005-0000-0000-00003A8B0000}"/>
    <cellStyle name="Normal 39 6 4" xfId="36269" xr:uid="{00000000-0005-0000-0000-00003B8B0000}"/>
    <cellStyle name="Normal 39 6 5" xfId="36270" xr:uid="{00000000-0005-0000-0000-00003C8B0000}"/>
    <cellStyle name="Normal 39 6 6" xfId="36271" xr:uid="{00000000-0005-0000-0000-00003D8B0000}"/>
    <cellStyle name="Normal 39 7" xfId="36272" xr:uid="{00000000-0005-0000-0000-00003E8B0000}"/>
    <cellStyle name="Normal 39 7 2" xfId="36273" xr:uid="{00000000-0005-0000-0000-00003F8B0000}"/>
    <cellStyle name="Normal 39 7 3" xfId="36274" xr:uid="{00000000-0005-0000-0000-0000408B0000}"/>
    <cellStyle name="Normal 39 7 4" xfId="36275" xr:uid="{00000000-0005-0000-0000-0000418B0000}"/>
    <cellStyle name="Normal 39 7 5" xfId="36276" xr:uid="{00000000-0005-0000-0000-0000428B0000}"/>
    <cellStyle name="Normal 39 7 6" xfId="36277" xr:uid="{00000000-0005-0000-0000-0000438B0000}"/>
    <cellStyle name="Normal 39 8" xfId="36278" xr:uid="{00000000-0005-0000-0000-0000448B0000}"/>
    <cellStyle name="Normal 39 8 2" xfId="36279" xr:uid="{00000000-0005-0000-0000-0000458B0000}"/>
    <cellStyle name="Normal 39 8 3" xfId="36280" xr:uid="{00000000-0005-0000-0000-0000468B0000}"/>
    <cellStyle name="Normal 39 8 4" xfId="36281" xr:uid="{00000000-0005-0000-0000-0000478B0000}"/>
    <cellStyle name="Normal 39 8 5" xfId="36282" xr:uid="{00000000-0005-0000-0000-0000488B0000}"/>
    <cellStyle name="Normal 39 8 6" xfId="36283" xr:uid="{00000000-0005-0000-0000-0000498B0000}"/>
    <cellStyle name="Normal 39 9" xfId="36284" xr:uid="{00000000-0005-0000-0000-00004A8B0000}"/>
    <cellStyle name="Normal 4" xfId="828" xr:uid="{00000000-0005-0000-0000-00004B8B0000}"/>
    <cellStyle name="Normal 4 10" xfId="36285" xr:uid="{00000000-0005-0000-0000-00004C8B0000}"/>
    <cellStyle name="Normal 4 11" xfId="36286" xr:uid="{00000000-0005-0000-0000-00004D8B0000}"/>
    <cellStyle name="Normal 4 12" xfId="36287" xr:uid="{00000000-0005-0000-0000-00004E8B0000}"/>
    <cellStyle name="Normal 4 13" xfId="36288" xr:uid="{00000000-0005-0000-0000-00004F8B0000}"/>
    <cellStyle name="Normal 4 14" xfId="36289" xr:uid="{00000000-0005-0000-0000-0000508B0000}"/>
    <cellStyle name="Normal 4 15" xfId="36290" xr:uid="{00000000-0005-0000-0000-0000518B0000}"/>
    <cellStyle name="Normal 4 16" xfId="36291" xr:uid="{00000000-0005-0000-0000-0000528B0000}"/>
    <cellStyle name="Normal 4 17" xfId="36292" xr:uid="{00000000-0005-0000-0000-0000538B0000}"/>
    <cellStyle name="Normal 4 18" xfId="36293" xr:uid="{00000000-0005-0000-0000-0000548B0000}"/>
    <cellStyle name="Normal 4 19" xfId="36294" xr:uid="{00000000-0005-0000-0000-0000558B0000}"/>
    <cellStyle name="Normal 4 2" xfId="1069" xr:uid="{00000000-0005-0000-0000-0000568B0000}"/>
    <cellStyle name="Normal 4 2 2" xfId="36295" xr:uid="{00000000-0005-0000-0000-0000578B0000}"/>
    <cellStyle name="Normal 4 2 2 2" xfId="36296" xr:uid="{00000000-0005-0000-0000-0000588B0000}"/>
    <cellStyle name="Normal 4 2 2 2 2" xfId="36297" xr:uid="{00000000-0005-0000-0000-0000598B0000}"/>
    <cellStyle name="Normal 4 2 2 3" xfId="36298" xr:uid="{00000000-0005-0000-0000-00005A8B0000}"/>
    <cellStyle name="Normal 4 2 3" xfId="36299" xr:uid="{00000000-0005-0000-0000-00005B8B0000}"/>
    <cellStyle name="Normal 4 20" xfId="36300" xr:uid="{00000000-0005-0000-0000-00005C8B0000}"/>
    <cellStyle name="Normal 4 21" xfId="36301" xr:uid="{00000000-0005-0000-0000-00005D8B0000}"/>
    <cellStyle name="Normal 4 22" xfId="36302" xr:uid="{00000000-0005-0000-0000-00005E8B0000}"/>
    <cellStyle name="Normal 4 23" xfId="36303" xr:uid="{00000000-0005-0000-0000-00005F8B0000}"/>
    <cellStyle name="Normal 4 24" xfId="36304" xr:uid="{00000000-0005-0000-0000-0000608B0000}"/>
    <cellStyle name="Normal 4 25" xfId="36305" xr:uid="{00000000-0005-0000-0000-0000618B0000}"/>
    <cellStyle name="Normal 4 26" xfId="36306" xr:uid="{00000000-0005-0000-0000-0000628B0000}"/>
    <cellStyle name="Normal 4 27" xfId="36307" xr:uid="{00000000-0005-0000-0000-0000638B0000}"/>
    <cellStyle name="Normal 4 28" xfId="36308" xr:uid="{00000000-0005-0000-0000-0000648B0000}"/>
    <cellStyle name="Normal 4 3" xfId="1070" xr:uid="{00000000-0005-0000-0000-0000658B0000}"/>
    <cellStyle name="Normal 4 3 2" xfId="36309" xr:uid="{00000000-0005-0000-0000-0000668B0000}"/>
    <cellStyle name="Normal 4 4" xfId="36310" xr:uid="{00000000-0005-0000-0000-0000678B0000}"/>
    <cellStyle name="Normal 4 4 2" xfId="36311" xr:uid="{00000000-0005-0000-0000-0000688B0000}"/>
    <cellStyle name="Normal 4 5" xfId="36312" xr:uid="{00000000-0005-0000-0000-0000698B0000}"/>
    <cellStyle name="Normal 4 5 2" xfId="36313" xr:uid="{00000000-0005-0000-0000-00006A8B0000}"/>
    <cellStyle name="Normal 4 5 3" xfId="36314" xr:uid="{00000000-0005-0000-0000-00006B8B0000}"/>
    <cellStyle name="Normal 4 6" xfId="36315" xr:uid="{00000000-0005-0000-0000-00006C8B0000}"/>
    <cellStyle name="Normal 4 6 2" xfId="36316" xr:uid="{00000000-0005-0000-0000-00006D8B0000}"/>
    <cellStyle name="Normal 4 7" xfId="36317" xr:uid="{00000000-0005-0000-0000-00006E8B0000}"/>
    <cellStyle name="Normal 4 8" xfId="36318" xr:uid="{00000000-0005-0000-0000-00006F8B0000}"/>
    <cellStyle name="Normal 4 9" xfId="36319" xr:uid="{00000000-0005-0000-0000-0000708B0000}"/>
    <cellStyle name="Normal 4_Base de correção ER Escelsa" xfId="36320" xr:uid="{00000000-0005-0000-0000-0000718B0000}"/>
    <cellStyle name="Normal 40" xfId="1666" xr:uid="{00000000-0005-0000-0000-0000728B0000}"/>
    <cellStyle name="Normal 40 2" xfId="1865" xr:uid="{00000000-0005-0000-0000-0000738B0000}"/>
    <cellStyle name="Normal 40 2 2" xfId="2060" xr:uid="{00000000-0005-0000-0000-0000748B0000}"/>
    <cellStyle name="Normal 40 2 2 2" xfId="2545" xr:uid="{00000000-0005-0000-0000-0000758B0000}"/>
    <cellStyle name="Normal 40 2 2 3" xfId="43357" xr:uid="{00000000-0005-0000-0000-0000768B0000}"/>
    <cellStyle name="Normal 40 2 3" xfId="2546" xr:uid="{00000000-0005-0000-0000-0000778B0000}"/>
    <cellStyle name="Normal 40 2 3 2" xfId="43358" xr:uid="{00000000-0005-0000-0000-0000788B0000}"/>
    <cellStyle name="Normal 40 2 4" xfId="2439" xr:uid="{00000000-0005-0000-0000-0000798B0000}"/>
    <cellStyle name="Normal 40 2 5" xfId="2395" xr:uid="{00000000-0005-0000-0000-00007A8B0000}"/>
    <cellStyle name="Normal 40 2 6" xfId="43256" xr:uid="{00000000-0005-0000-0000-00007B8B0000}"/>
    <cellStyle name="Normal 40 3" xfId="1973" xr:uid="{00000000-0005-0000-0000-00007C8B0000}"/>
    <cellStyle name="Normal 40 3 2" xfId="2547" xr:uid="{00000000-0005-0000-0000-00007D8B0000}"/>
    <cellStyle name="Normal 40 3 3" xfId="43359" xr:uid="{00000000-0005-0000-0000-00007E8B0000}"/>
    <cellStyle name="Normal 40 4" xfId="2548" xr:uid="{00000000-0005-0000-0000-00007F8B0000}"/>
    <cellStyle name="Normal 40 4 2" xfId="43360" xr:uid="{00000000-0005-0000-0000-0000808B0000}"/>
    <cellStyle name="Normal 40 5" xfId="2438" xr:uid="{00000000-0005-0000-0000-0000818B0000}"/>
    <cellStyle name="Normal 40 6" xfId="2337" xr:uid="{00000000-0005-0000-0000-0000828B0000}"/>
    <cellStyle name="Normal 40 7" xfId="43255" xr:uid="{00000000-0005-0000-0000-0000838B0000}"/>
    <cellStyle name="Normal 41" xfId="2380" xr:uid="{00000000-0005-0000-0000-0000848B0000}"/>
    <cellStyle name="Normal 41 2" xfId="36321" xr:uid="{00000000-0005-0000-0000-0000858B0000}"/>
    <cellStyle name="Normal 41 3" xfId="36322" xr:uid="{00000000-0005-0000-0000-0000868B0000}"/>
    <cellStyle name="Normal 42" xfId="2201" xr:uid="{00000000-0005-0000-0000-0000878B0000}"/>
    <cellStyle name="Normal 42 2" xfId="36323" xr:uid="{00000000-0005-0000-0000-0000888B0000}"/>
    <cellStyle name="Normal 42 3" xfId="36324" xr:uid="{00000000-0005-0000-0000-0000898B0000}"/>
    <cellStyle name="Normal 43" xfId="36325" xr:uid="{00000000-0005-0000-0000-00008A8B0000}"/>
    <cellStyle name="Normal 43 2" xfId="36326" xr:uid="{00000000-0005-0000-0000-00008B8B0000}"/>
    <cellStyle name="Normal 43 3" xfId="36327" xr:uid="{00000000-0005-0000-0000-00008C8B0000}"/>
    <cellStyle name="Normal 43 4" xfId="36328" xr:uid="{00000000-0005-0000-0000-00008D8B0000}"/>
    <cellStyle name="Normal 43 5" xfId="36329" xr:uid="{00000000-0005-0000-0000-00008E8B0000}"/>
    <cellStyle name="Normal 44" xfId="36330" xr:uid="{00000000-0005-0000-0000-00008F8B0000}"/>
    <cellStyle name="Normal 44 2" xfId="36331" xr:uid="{00000000-0005-0000-0000-0000908B0000}"/>
    <cellStyle name="Normal 44 2 2" xfId="36332" xr:uid="{00000000-0005-0000-0000-0000918B0000}"/>
    <cellStyle name="Normal 44 2 3" xfId="36333" xr:uid="{00000000-0005-0000-0000-0000928B0000}"/>
    <cellStyle name="Normal 44 2 4" xfId="36334" xr:uid="{00000000-0005-0000-0000-0000938B0000}"/>
    <cellStyle name="Normal 44 2 5" xfId="36335" xr:uid="{00000000-0005-0000-0000-0000948B0000}"/>
    <cellStyle name="Normal 44 2 6" xfId="36336" xr:uid="{00000000-0005-0000-0000-0000958B0000}"/>
    <cellStyle name="Normal 44 3" xfId="36337" xr:uid="{00000000-0005-0000-0000-0000968B0000}"/>
    <cellStyle name="Normal 44 3 2" xfId="36338" xr:uid="{00000000-0005-0000-0000-0000978B0000}"/>
    <cellStyle name="Normal 44 3 3" xfId="36339" xr:uid="{00000000-0005-0000-0000-0000988B0000}"/>
    <cellStyle name="Normal 44 3 4" xfId="36340" xr:uid="{00000000-0005-0000-0000-0000998B0000}"/>
    <cellStyle name="Normal 44 3 5" xfId="36341" xr:uid="{00000000-0005-0000-0000-00009A8B0000}"/>
    <cellStyle name="Normal 44 3 6" xfId="36342" xr:uid="{00000000-0005-0000-0000-00009B8B0000}"/>
    <cellStyle name="Normal 45" xfId="36343" xr:uid="{00000000-0005-0000-0000-00009C8B0000}"/>
    <cellStyle name="Normal 45 2" xfId="36344" xr:uid="{00000000-0005-0000-0000-00009D8B0000}"/>
    <cellStyle name="Normal 45 2 2" xfId="36345" xr:uid="{00000000-0005-0000-0000-00009E8B0000}"/>
    <cellStyle name="Normal 45 2 2 2" xfId="36346" xr:uid="{00000000-0005-0000-0000-00009F8B0000}"/>
    <cellStyle name="Normal 45 2 2 3" xfId="36347" xr:uid="{00000000-0005-0000-0000-0000A08B0000}"/>
    <cellStyle name="Normal 45 2 2 4" xfId="36348" xr:uid="{00000000-0005-0000-0000-0000A18B0000}"/>
    <cellStyle name="Normal 45 2 2 5" xfId="36349" xr:uid="{00000000-0005-0000-0000-0000A28B0000}"/>
    <cellStyle name="Normal 45 2 2 6" xfId="36350" xr:uid="{00000000-0005-0000-0000-0000A38B0000}"/>
    <cellStyle name="Normal 45 2 2 7" xfId="36351" xr:uid="{00000000-0005-0000-0000-0000A48B0000}"/>
    <cellStyle name="Normal 45 3" xfId="36352" xr:uid="{00000000-0005-0000-0000-0000A58B0000}"/>
    <cellStyle name="Normal 45 4" xfId="36353" xr:uid="{00000000-0005-0000-0000-0000A68B0000}"/>
    <cellStyle name="Normal 45 5" xfId="36354" xr:uid="{00000000-0005-0000-0000-0000A78B0000}"/>
    <cellStyle name="Normal 45 6" xfId="36355" xr:uid="{00000000-0005-0000-0000-0000A88B0000}"/>
    <cellStyle name="Normal 45 7" xfId="36356" xr:uid="{00000000-0005-0000-0000-0000A98B0000}"/>
    <cellStyle name="Normal 45 8" xfId="36357" xr:uid="{00000000-0005-0000-0000-0000AA8B0000}"/>
    <cellStyle name="Normal 46" xfId="36358" xr:uid="{00000000-0005-0000-0000-0000AB8B0000}"/>
    <cellStyle name="Normal 46 2" xfId="36359" xr:uid="{00000000-0005-0000-0000-0000AC8B0000}"/>
    <cellStyle name="Normal 47" xfId="36360" xr:uid="{00000000-0005-0000-0000-0000AD8B0000}"/>
    <cellStyle name="Normal 47 2" xfId="36361" xr:uid="{00000000-0005-0000-0000-0000AE8B0000}"/>
    <cellStyle name="Normal 48" xfId="36362" xr:uid="{00000000-0005-0000-0000-0000AF8B0000}"/>
    <cellStyle name="Normal 48 2" xfId="36363" xr:uid="{00000000-0005-0000-0000-0000B08B0000}"/>
    <cellStyle name="Normal 49" xfId="36364" xr:uid="{00000000-0005-0000-0000-0000B18B0000}"/>
    <cellStyle name="Normal 49 2" xfId="36365" xr:uid="{00000000-0005-0000-0000-0000B28B0000}"/>
    <cellStyle name="Normal 5" xfId="907" xr:uid="{00000000-0005-0000-0000-0000B38B0000}"/>
    <cellStyle name="Normal 5 2" xfId="1071" xr:uid="{00000000-0005-0000-0000-0000B48B0000}"/>
    <cellStyle name="Normal 5 2 2" xfId="2549" xr:uid="{00000000-0005-0000-0000-0000B58B0000}"/>
    <cellStyle name="Normal 5 3" xfId="1773" xr:uid="{00000000-0005-0000-0000-0000B68B0000}"/>
    <cellStyle name="Normal 5 3 2" xfId="36366" xr:uid="{00000000-0005-0000-0000-0000B78B0000}"/>
    <cellStyle name="Normal 5 4" xfId="2550" xr:uid="{00000000-0005-0000-0000-0000B88B0000}"/>
    <cellStyle name="Normal 5 5" xfId="36367" xr:uid="{00000000-0005-0000-0000-0000B98B0000}"/>
    <cellStyle name="Normal 5 6" xfId="36368" xr:uid="{00000000-0005-0000-0000-0000BA8B0000}"/>
    <cellStyle name="Normal 5 7" xfId="36369" xr:uid="{00000000-0005-0000-0000-0000BB8B0000}"/>
    <cellStyle name="Normal 50" xfId="36370" xr:uid="{00000000-0005-0000-0000-0000BC8B0000}"/>
    <cellStyle name="Normal 50 2" xfId="36371" xr:uid="{00000000-0005-0000-0000-0000BD8B0000}"/>
    <cellStyle name="Normal 51" xfId="36372" xr:uid="{00000000-0005-0000-0000-0000BE8B0000}"/>
    <cellStyle name="Normal 51 2" xfId="36373" xr:uid="{00000000-0005-0000-0000-0000BF8B0000}"/>
    <cellStyle name="Normal 52" xfId="36374" xr:uid="{00000000-0005-0000-0000-0000C08B0000}"/>
    <cellStyle name="Normal 52 2" xfId="36375" xr:uid="{00000000-0005-0000-0000-0000C18B0000}"/>
    <cellStyle name="Normal 53" xfId="36376" xr:uid="{00000000-0005-0000-0000-0000C28B0000}"/>
    <cellStyle name="Normal 53 2" xfId="36377" xr:uid="{00000000-0005-0000-0000-0000C38B0000}"/>
    <cellStyle name="Normal 54" xfId="36378" xr:uid="{00000000-0005-0000-0000-0000C48B0000}"/>
    <cellStyle name="Normal 54 2" xfId="36379" xr:uid="{00000000-0005-0000-0000-0000C58B0000}"/>
    <cellStyle name="Normal 55" xfId="36380" xr:uid="{00000000-0005-0000-0000-0000C68B0000}"/>
    <cellStyle name="Normal 55 2" xfId="36381" xr:uid="{00000000-0005-0000-0000-0000C78B0000}"/>
    <cellStyle name="Normal 56" xfId="36382" xr:uid="{00000000-0005-0000-0000-0000C88B0000}"/>
    <cellStyle name="Normal 56 2" xfId="36383" xr:uid="{00000000-0005-0000-0000-0000C98B0000}"/>
    <cellStyle name="Normal 57" xfId="36384" xr:uid="{00000000-0005-0000-0000-0000CA8B0000}"/>
    <cellStyle name="Normal 57 2" xfId="36385" xr:uid="{00000000-0005-0000-0000-0000CB8B0000}"/>
    <cellStyle name="Normal 58" xfId="36386" xr:uid="{00000000-0005-0000-0000-0000CC8B0000}"/>
    <cellStyle name="Normal 58 2" xfId="36387" xr:uid="{00000000-0005-0000-0000-0000CD8B0000}"/>
    <cellStyle name="Normal 59" xfId="36388" xr:uid="{00000000-0005-0000-0000-0000CE8B0000}"/>
    <cellStyle name="Normal 59 2" xfId="36389" xr:uid="{00000000-0005-0000-0000-0000CF8B0000}"/>
    <cellStyle name="Normal 6" xfId="1072" xr:uid="{00000000-0005-0000-0000-0000D08B0000}"/>
    <cellStyle name="Normal 6 2" xfId="1073" xr:uid="{00000000-0005-0000-0000-0000D18B0000}"/>
    <cellStyle name="Normal 6 3" xfId="2551" xr:uid="{00000000-0005-0000-0000-0000D28B0000}"/>
    <cellStyle name="Normal 6 3 2" xfId="36390" xr:uid="{00000000-0005-0000-0000-0000D38B0000}"/>
    <cellStyle name="Normal 6 3 3" xfId="43361" xr:uid="{00000000-0005-0000-0000-0000D48B0000}"/>
    <cellStyle name="Normal 6 4" xfId="36391" xr:uid="{00000000-0005-0000-0000-0000D58B0000}"/>
    <cellStyle name="Normal 6 5" xfId="36392" xr:uid="{00000000-0005-0000-0000-0000D68B0000}"/>
    <cellStyle name="Normal 60" xfId="36393" xr:uid="{00000000-0005-0000-0000-0000D78B0000}"/>
    <cellStyle name="Normal 60 2" xfId="36394" xr:uid="{00000000-0005-0000-0000-0000D88B0000}"/>
    <cellStyle name="Normal 61" xfId="36395" xr:uid="{00000000-0005-0000-0000-0000D98B0000}"/>
    <cellStyle name="Normal 61 2" xfId="36396" xr:uid="{00000000-0005-0000-0000-0000DA8B0000}"/>
    <cellStyle name="Normal 61 3" xfId="36397" xr:uid="{00000000-0005-0000-0000-0000DB8B0000}"/>
    <cellStyle name="Normal 61 4" xfId="36398" xr:uid="{00000000-0005-0000-0000-0000DC8B0000}"/>
    <cellStyle name="Normal 61 5" xfId="36399" xr:uid="{00000000-0005-0000-0000-0000DD8B0000}"/>
    <cellStyle name="Normal 61 6" xfId="36400" xr:uid="{00000000-0005-0000-0000-0000DE8B0000}"/>
    <cellStyle name="Normal 61 7" xfId="36401" xr:uid="{00000000-0005-0000-0000-0000DF8B0000}"/>
    <cellStyle name="Normal 62" xfId="36402" xr:uid="{00000000-0005-0000-0000-0000E08B0000}"/>
    <cellStyle name="Normal 63" xfId="36403" xr:uid="{00000000-0005-0000-0000-0000E18B0000}"/>
    <cellStyle name="Normal 64" xfId="36404" xr:uid="{00000000-0005-0000-0000-0000E28B0000}"/>
    <cellStyle name="Normal 65" xfId="36405" xr:uid="{00000000-0005-0000-0000-0000E38B0000}"/>
    <cellStyle name="Normal 66" xfId="36406" xr:uid="{00000000-0005-0000-0000-0000E48B0000}"/>
    <cellStyle name="Normal 67" xfId="36407" xr:uid="{00000000-0005-0000-0000-0000E58B0000}"/>
    <cellStyle name="Normal 68" xfId="36408" xr:uid="{00000000-0005-0000-0000-0000E68B0000}"/>
    <cellStyle name="Normal 69" xfId="36409" xr:uid="{00000000-0005-0000-0000-0000E78B0000}"/>
    <cellStyle name="Normal 7" xfId="1074" xr:uid="{00000000-0005-0000-0000-0000E88B0000}"/>
    <cellStyle name="Normal 7 10" xfId="36410" xr:uid="{00000000-0005-0000-0000-0000E98B0000}"/>
    <cellStyle name="Normal 7 11" xfId="36411" xr:uid="{00000000-0005-0000-0000-0000EA8B0000}"/>
    <cellStyle name="Normal 7 12" xfId="36412" xr:uid="{00000000-0005-0000-0000-0000EB8B0000}"/>
    <cellStyle name="Normal 7 13" xfId="36413" xr:uid="{00000000-0005-0000-0000-0000EC8B0000}"/>
    <cellStyle name="Normal 7 14" xfId="36414" xr:uid="{00000000-0005-0000-0000-0000ED8B0000}"/>
    <cellStyle name="Normal 7 15" xfId="36415" xr:uid="{00000000-0005-0000-0000-0000EE8B0000}"/>
    <cellStyle name="Normal 7 16" xfId="36416" xr:uid="{00000000-0005-0000-0000-0000EF8B0000}"/>
    <cellStyle name="Normal 7 17" xfId="36417" xr:uid="{00000000-0005-0000-0000-0000F08B0000}"/>
    <cellStyle name="Normal 7 18" xfId="36418" xr:uid="{00000000-0005-0000-0000-0000F18B0000}"/>
    <cellStyle name="Normal 7 19" xfId="36419" xr:uid="{00000000-0005-0000-0000-0000F28B0000}"/>
    <cellStyle name="Normal 7 2" xfId="1075" xr:uid="{00000000-0005-0000-0000-0000F38B0000}"/>
    <cellStyle name="Normal 7 2 2" xfId="2552" xr:uid="{00000000-0005-0000-0000-0000F48B0000}"/>
    <cellStyle name="Normal 7 20" xfId="36420" xr:uid="{00000000-0005-0000-0000-0000F58B0000}"/>
    <cellStyle name="Normal 7 21" xfId="36421" xr:uid="{00000000-0005-0000-0000-0000F68B0000}"/>
    <cellStyle name="Normal 7 22" xfId="36422" xr:uid="{00000000-0005-0000-0000-0000F78B0000}"/>
    <cellStyle name="Normal 7 23" xfId="36423" xr:uid="{00000000-0005-0000-0000-0000F88B0000}"/>
    <cellStyle name="Normal 7 24" xfId="36424" xr:uid="{00000000-0005-0000-0000-0000F98B0000}"/>
    <cellStyle name="Normal 7 25" xfId="36425" xr:uid="{00000000-0005-0000-0000-0000FA8B0000}"/>
    <cellStyle name="Normal 7 26" xfId="36426" xr:uid="{00000000-0005-0000-0000-0000FB8B0000}"/>
    <cellStyle name="Normal 7 27" xfId="36427" xr:uid="{00000000-0005-0000-0000-0000FC8B0000}"/>
    <cellStyle name="Normal 7 28" xfId="36428" xr:uid="{00000000-0005-0000-0000-0000FD8B0000}"/>
    <cellStyle name="Normal 7 29" xfId="36429" xr:uid="{00000000-0005-0000-0000-0000FE8B0000}"/>
    <cellStyle name="Normal 7 3" xfId="1849" xr:uid="{00000000-0005-0000-0000-0000FF8B0000}"/>
    <cellStyle name="Normal 7 3 2" xfId="2046" xr:uid="{00000000-0005-0000-0000-0000008C0000}"/>
    <cellStyle name="Normal 7 3 2 2" xfId="2553" xr:uid="{00000000-0005-0000-0000-0000018C0000}"/>
    <cellStyle name="Normal 7 3 2 3" xfId="43362" xr:uid="{00000000-0005-0000-0000-0000028C0000}"/>
    <cellStyle name="Normal 7 3 3" xfId="2554" xr:uid="{00000000-0005-0000-0000-0000038C0000}"/>
    <cellStyle name="Normal 7 3 3 2" xfId="43363" xr:uid="{00000000-0005-0000-0000-0000048C0000}"/>
    <cellStyle name="Normal 7 3 4" xfId="2440" xr:uid="{00000000-0005-0000-0000-0000058C0000}"/>
    <cellStyle name="Normal 7 3 5" xfId="2383" xr:uid="{00000000-0005-0000-0000-0000068C0000}"/>
    <cellStyle name="Normal 7 3 6" xfId="43257" xr:uid="{00000000-0005-0000-0000-0000078C0000}"/>
    <cellStyle name="Normal 7 30" xfId="36430" xr:uid="{00000000-0005-0000-0000-0000088C0000}"/>
    <cellStyle name="Normal 7 31" xfId="36431" xr:uid="{00000000-0005-0000-0000-0000098C0000}"/>
    <cellStyle name="Normal 7 32" xfId="36432" xr:uid="{00000000-0005-0000-0000-00000A8C0000}"/>
    <cellStyle name="Normal 7 33" xfId="36433" xr:uid="{00000000-0005-0000-0000-00000B8C0000}"/>
    <cellStyle name="Normal 7 34" xfId="36434" xr:uid="{00000000-0005-0000-0000-00000C8C0000}"/>
    <cellStyle name="Normal 7 35" xfId="36435" xr:uid="{00000000-0005-0000-0000-00000D8C0000}"/>
    <cellStyle name="Normal 7 36" xfId="36436" xr:uid="{00000000-0005-0000-0000-00000E8C0000}"/>
    <cellStyle name="Normal 7 37" xfId="36437" xr:uid="{00000000-0005-0000-0000-00000F8C0000}"/>
    <cellStyle name="Normal 7 38" xfId="36438" xr:uid="{00000000-0005-0000-0000-0000108C0000}"/>
    <cellStyle name="Normal 7 39" xfId="36439" xr:uid="{00000000-0005-0000-0000-0000118C0000}"/>
    <cellStyle name="Normal 7 4" xfId="1938" xr:uid="{00000000-0005-0000-0000-0000128C0000}"/>
    <cellStyle name="Normal 7 4 2" xfId="2555" xr:uid="{00000000-0005-0000-0000-0000138C0000}"/>
    <cellStyle name="Normal 7 40" xfId="36440" xr:uid="{00000000-0005-0000-0000-0000148C0000}"/>
    <cellStyle name="Normal 7 41" xfId="36441" xr:uid="{00000000-0005-0000-0000-0000158C0000}"/>
    <cellStyle name="Normal 7 42" xfId="36442" xr:uid="{00000000-0005-0000-0000-0000168C0000}"/>
    <cellStyle name="Normal 7 43" xfId="36443" xr:uid="{00000000-0005-0000-0000-0000178C0000}"/>
    <cellStyle name="Normal 7 44" xfId="36444" xr:uid="{00000000-0005-0000-0000-0000188C0000}"/>
    <cellStyle name="Normal 7 45" xfId="36445" xr:uid="{00000000-0005-0000-0000-0000198C0000}"/>
    <cellStyle name="Normal 7 46" xfId="36446" xr:uid="{00000000-0005-0000-0000-00001A8C0000}"/>
    <cellStyle name="Normal 7 47" xfId="36447" xr:uid="{00000000-0005-0000-0000-00001B8C0000}"/>
    <cellStyle name="Normal 7 48" xfId="36448" xr:uid="{00000000-0005-0000-0000-00001C8C0000}"/>
    <cellStyle name="Normal 7 49" xfId="36449" xr:uid="{00000000-0005-0000-0000-00001D8C0000}"/>
    <cellStyle name="Normal 7 5" xfId="2556" xr:uid="{00000000-0005-0000-0000-00001E8C0000}"/>
    <cellStyle name="Normal 7 5 2" xfId="43364" xr:uid="{00000000-0005-0000-0000-00001F8C0000}"/>
    <cellStyle name="Normal 7 50" xfId="36450" xr:uid="{00000000-0005-0000-0000-0000208C0000}"/>
    <cellStyle name="Normal 7 51" xfId="36451" xr:uid="{00000000-0005-0000-0000-0000218C0000}"/>
    <cellStyle name="Normal 7 52" xfId="36452" xr:uid="{00000000-0005-0000-0000-0000228C0000}"/>
    <cellStyle name="Normal 7 53" xfId="36453" xr:uid="{00000000-0005-0000-0000-0000238C0000}"/>
    <cellStyle name="Normal 7 54" xfId="36454" xr:uid="{00000000-0005-0000-0000-0000248C0000}"/>
    <cellStyle name="Normal 7 55" xfId="36455" xr:uid="{00000000-0005-0000-0000-0000258C0000}"/>
    <cellStyle name="Normal 7 56" xfId="36456" xr:uid="{00000000-0005-0000-0000-0000268C0000}"/>
    <cellStyle name="Normal 7 57" xfId="36457" xr:uid="{00000000-0005-0000-0000-0000278C0000}"/>
    <cellStyle name="Normal 7 58" xfId="43204" xr:uid="{00000000-0005-0000-0000-0000288C0000}"/>
    <cellStyle name="Normal 7 59" xfId="43407" xr:uid="{00000000-0005-0000-0000-0000298C0000}"/>
    <cellStyle name="Normal 7 6" xfId="2557" xr:uid="{00000000-0005-0000-0000-00002A8C0000}"/>
    <cellStyle name="Normal 7 6 2" xfId="43365" xr:uid="{00000000-0005-0000-0000-00002B8C0000}"/>
    <cellStyle name="Normal 7 7" xfId="2409" xr:uid="{00000000-0005-0000-0000-00002C8C0000}"/>
    <cellStyle name="Normal 7 8" xfId="2245" xr:uid="{00000000-0005-0000-0000-00002D8C0000}"/>
    <cellStyle name="Normal 7 9" xfId="36458" xr:uid="{00000000-0005-0000-0000-00002E8C0000}"/>
    <cellStyle name="Normal 70" xfId="36459" xr:uid="{00000000-0005-0000-0000-00002F8C0000}"/>
    <cellStyle name="Normal 71" xfId="36460" xr:uid="{00000000-0005-0000-0000-0000308C0000}"/>
    <cellStyle name="Normal 72" xfId="36461" xr:uid="{00000000-0005-0000-0000-0000318C0000}"/>
    <cellStyle name="Normal 73" xfId="36462" xr:uid="{00000000-0005-0000-0000-0000328C0000}"/>
    <cellStyle name="Normal 74" xfId="36463" xr:uid="{00000000-0005-0000-0000-0000338C0000}"/>
    <cellStyle name="Normal 75" xfId="36464" xr:uid="{00000000-0005-0000-0000-0000348C0000}"/>
    <cellStyle name="Normal 76" xfId="36465" xr:uid="{00000000-0005-0000-0000-0000358C0000}"/>
    <cellStyle name="Normal 77" xfId="36466" xr:uid="{00000000-0005-0000-0000-0000368C0000}"/>
    <cellStyle name="Normal 78" xfId="36467" xr:uid="{00000000-0005-0000-0000-0000378C0000}"/>
    <cellStyle name="Normal 79" xfId="36468" xr:uid="{00000000-0005-0000-0000-0000388C0000}"/>
    <cellStyle name="Normal 8" xfId="1076" xr:uid="{00000000-0005-0000-0000-0000398C0000}"/>
    <cellStyle name="Normal 8 10" xfId="36469" xr:uid="{00000000-0005-0000-0000-00003A8C0000}"/>
    <cellStyle name="Normal 8 10 10" xfId="36470" xr:uid="{00000000-0005-0000-0000-00003B8C0000}"/>
    <cellStyle name="Normal 8 10 11" xfId="36471" xr:uid="{00000000-0005-0000-0000-00003C8C0000}"/>
    <cellStyle name="Normal 8 10 12" xfId="36472" xr:uid="{00000000-0005-0000-0000-00003D8C0000}"/>
    <cellStyle name="Normal 8 10 13" xfId="36473" xr:uid="{00000000-0005-0000-0000-00003E8C0000}"/>
    <cellStyle name="Normal 8 10 2" xfId="36474" xr:uid="{00000000-0005-0000-0000-00003F8C0000}"/>
    <cellStyle name="Normal 8 10 2 2" xfId="36475" xr:uid="{00000000-0005-0000-0000-0000408C0000}"/>
    <cellStyle name="Normal 8 10 2 3" xfId="36476" xr:uid="{00000000-0005-0000-0000-0000418C0000}"/>
    <cellStyle name="Normal 8 10 2 4" xfId="36477" xr:uid="{00000000-0005-0000-0000-0000428C0000}"/>
    <cellStyle name="Normal 8 10 2 5" xfId="36478" xr:uid="{00000000-0005-0000-0000-0000438C0000}"/>
    <cellStyle name="Normal 8 10 2 6" xfId="36479" xr:uid="{00000000-0005-0000-0000-0000448C0000}"/>
    <cellStyle name="Normal 8 10 3" xfId="36480" xr:uid="{00000000-0005-0000-0000-0000458C0000}"/>
    <cellStyle name="Normal 8 10 3 2" xfId="36481" xr:uid="{00000000-0005-0000-0000-0000468C0000}"/>
    <cellStyle name="Normal 8 10 3 3" xfId="36482" xr:uid="{00000000-0005-0000-0000-0000478C0000}"/>
    <cellStyle name="Normal 8 10 3 4" xfId="36483" xr:uid="{00000000-0005-0000-0000-0000488C0000}"/>
    <cellStyle name="Normal 8 10 3 5" xfId="36484" xr:uid="{00000000-0005-0000-0000-0000498C0000}"/>
    <cellStyle name="Normal 8 10 3 6" xfId="36485" xr:uid="{00000000-0005-0000-0000-00004A8C0000}"/>
    <cellStyle name="Normal 8 10 4" xfId="36486" xr:uid="{00000000-0005-0000-0000-00004B8C0000}"/>
    <cellStyle name="Normal 8 10 4 2" xfId="36487" xr:uid="{00000000-0005-0000-0000-00004C8C0000}"/>
    <cellStyle name="Normal 8 10 4 3" xfId="36488" xr:uid="{00000000-0005-0000-0000-00004D8C0000}"/>
    <cellStyle name="Normal 8 10 4 4" xfId="36489" xr:uid="{00000000-0005-0000-0000-00004E8C0000}"/>
    <cellStyle name="Normal 8 10 4 5" xfId="36490" xr:uid="{00000000-0005-0000-0000-00004F8C0000}"/>
    <cellStyle name="Normal 8 10 4 6" xfId="36491" xr:uid="{00000000-0005-0000-0000-0000508C0000}"/>
    <cellStyle name="Normal 8 10 5" xfId="36492" xr:uid="{00000000-0005-0000-0000-0000518C0000}"/>
    <cellStyle name="Normal 8 10 5 2" xfId="36493" xr:uid="{00000000-0005-0000-0000-0000528C0000}"/>
    <cellStyle name="Normal 8 10 5 3" xfId="36494" xr:uid="{00000000-0005-0000-0000-0000538C0000}"/>
    <cellStyle name="Normal 8 10 5 4" xfId="36495" xr:uid="{00000000-0005-0000-0000-0000548C0000}"/>
    <cellStyle name="Normal 8 10 5 5" xfId="36496" xr:uid="{00000000-0005-0000-0000-0000558C0000}"/>
    <cellStyle name="Normal 8 10 5 6" xfId="36497" xr:uid="{00000000-0005-0000-0000-0000568C0000}"/>
    <cellStyle name="Normal 8 10 6" xfId="36498" xr:uid="{00000000-0005-0000-0000-0000578C0000}"/>
    <cellStyle name="Normal 8 10 6 2" xfId="36499" xr:uid="{00000000-0005-0000-0000-0000588C0000}"/>
    <cellStyle name="Normal 8 10 6 3" xfId="36500" xr:uid="{00000000-0005-0000-0000-0000598C0000}"/>
    <cellStyle name="Normal 8 10 6 4" xfId="36501" xr:uid="{00000000-0005-0000-0000-00005A8C0000}"/>
    <cellStyle name="Normal 8 10 6 5" xfId="36502" xr:uid="{00000000-0005-0000-0000-00005B8C0000}"/>
    <cellStyle name="Normal 8 10 6 6" xfId="36503" xr:uid="{00000000-0005-0000-0000-00005C8C0000}"/>
    <cellStyle name="Normal 8 10 7" xfId="36504" xr:uid="{00000000-0005-0000-0000-00005D8C0000}"/>
    <cellStyle name="Normal 8 10 7 2" xfId="36505" xr:uid="{00000000-0005-0000-0000-00005E8C0000}"/>
    <cellStyle name="Normal 8 10 7 3" xfId="36506" xr:uid="{00000000-0005-0000-0000-00005F8C0000}"/>
    <cellStyle name="Normal 8 10 7 4" xfId="36507" xr:uid="{00000000-0005-0000-0000-0000608C0000}"/>
    <cellStyle name="Normal 8 10 7 5" xfId="36508" xr:uid="{00000000-0005-0000-0000-0000618C0000}"/>
    <cellStyle name="Normal 8 10 7 6" xfId="36509" xr:uid="{00000000-0005-0000-0000-0000628C0000}"/>
    <cellStyle name="Normal 8 10 8" xfId="36510" xr:uid="{00000000-0005-0000-0000-0000638C0000}"/>
    <cellStyle name="Normal 8 10 8 2" xfId="36511" xr:uid="{00000000-0005-0000-0000-0000648C0000}"/>
    <cellStyle name="Normal 8 10 8 3" xfId="36512" xr:uid="{00000000-0005-0000-0000-0000658C0000}"/>
    <cellStyle name="Normal 8 10 8 4" xfId="36513" xr:uid="{00000000-0005-0000-0000-0000668C0000}"/>
    <cellStyle name="Normal 8 10 8 5" xfId="36514" xr:uid="{00000000-0005-0000-0000-0000678C0000}"/>
    <cellStyle name="Normal 8 10 8 6" xfId="36515" xr:uid="{00000000-0005-0000-0000-0000688C0000}"/>
    <cellStyle name="Normal 8 10 9" xfId="36516" xr:uid="{00000000-0005-0000-0000-0000698C0000}"/>
    <cellStyle name="Normal 8 11" xfId="36517" xr:uid="{00000000-0005-0000-0000-00006A8C0000}"/>
    <cellStyle name="Normal 8 11 10" xfId="36518" xr:uid="{00000000-0005-0000-0000-00006B8C0000}"/>
    <cellStyle name="Normal 8 11 11" xfId="36519" xr:uid="{00000000-0005-0000-0000-00006C8C0000}"/>
    <cellStyle name="Normal 8 11 12" xfId="36520" xr:uid="{00000000-0005-0000-0000-00006D8C0000}"/>
    <cellStyle name="Normal 8 11 13" xfId="36521" xr:uid="{00000000-0005-0000-0000-00006E8C0000}"/>
    <cellStyle name="Normal 8 11 2" xfId="36522" xr:uid="{00000000-0005-0000-0000-00006F8C0000}"/>
    <cellStyle name="Normal 8 11 2 2" xfId="36523" xr:uid="{00000000-0005-0000-0000-0000708C0000}"/>
    <cellStyle name="Normal 8 11 2 3" xfId="36524" xr:uid="{00000000-0005-0000-0000-0000718C0000}"/>
    <cellStyle name="Normal 8 11 2 4" xfId="36525" xr:uid="{00000000-0005-0000-0000-0000728C0000}"/>
    <cellStyle name="Normal 8 11 2 5" xfId="36526" xr:uid="{00000000-0005-0000-0000-0000738C0000}"/>
    <cellStyle name="Normal 8 11 2 6" xfId="36527" xr:uid="{00000000-0005-0000-0000-0000748C0000}"/>
    <cellStyle name="Normal 8 11 3" xfId="36528" xr:uid="{00000000-0005-0000-0000-0000758C0000}"/>
    <cellStyle name="Normal 8 11 3 2" xfId="36529" xr:uid="{00000000-0005-0000-0000-0000768C0000}"/>
    <cellStyle name="Normal 8 11 3 3" xfId="36530" xr:uid="{00000000-0005-0000-0000-0000778C0000}"/>
    <cellStyle name="Normal 8 11 3 4" xfId="36531" xr:uid="{00000000-0005-0000-0000-0000788C0000}"/>
    <cellStyle name="Normal 8 11 3 5" xfId="36532" xr:uid="{00000000-0005-0000-0000-0000798C0000}"/>
    <cellStyle name="Normal 8 11 3 6" xfId="36533" xr:uid="{00000000-0005-0000-0000-00007A8C0000}"/>
    <cellStyle name="Normal 8 11 4" xfId="36534" xr:uid="{00000000-0005-0000-0000-00007B8C0000}"/>
    <cellStyle name="Normal 8 11 4 2" xfId="36535" xr:uid="{00000000-0005-0000-0000-00007C8C0000}"/>
    <cellStyle name="Normal 8 11 4 3" xfId="36536" xr:uid="{00000000-0005-0000-0000-00007D8C0000}"/>
    <cellStyle name="Normal 8 11 4 4" xfId="36537" xr:uid="{00000000-0005-0000-0000-00007E8C0000}"/>
    <cellStyle name="Normal 8 11 4 5" xfId="36538" xr:uid="{00000000-0005-0000-0000-00007F8C0000}"/>
    <cellStyle name="Normal 8 11 4 6" xfId="36539" xr:uid="{00000000-0005-0000-0000-0000808C0000}"/>
    <cellStyle name="Normal 8 11 5" xfId="36540" xr:uid="{00000000-0005-0000-0000-0000818C0000}"/>
    <cellStyle name="Normal 8 11 5 2" xfId="36541" xr:uid="{00000000-0005-0000-0000-0000828C0000}"/>
    <cellStyle name="Normal 8 11 5 3" xfId="36542" xr:uid="{00000000-0005-0000-0000-0000838C0000}"/>
    <cellStyle name="Normal 8 11 5 4" xfId="36543" xr:uid="{00000000-0005-0000-0000-0000848C0000}"/>
    <cellStyle name="Normal 8 11 5 5" xfId="36544" xr:uid="{00000000-0005-0000-0000-0000858C0000}"/>
    <cellStyle name="Normal 8 11 5 6" xfId="36545" xr:uid="{00000000-0005-0000-0000-0000868C0000}"/>
    <cellStyle name="Normal 8 11 6" xfId="36546" xr:uid="{00000000-0005-0000-0000-0000878C0000}"/>
    <cellStyle name="Normal 8 11 6 2" xfId="36547" xr:uid="{00000000-0005-0000-0000-0000888C0000}"/>
    <cellStyle name="Normal 8 11 6 3" xfId="36548" xr:uid="{00000000-0005-0000-0000-0000898C0000}"/>
    <cellStyle name="Normal 8 11 6 4" xfId="36549" xr:uid="{00000000-0005-0000-0000-00008A8C0000}"/>
    <cellStyle name="Normal 8 11 6 5" xfId="36550" xr:uid="{00000000-0005-0000-0000-00008B8C0000}"/>
    <cellStyle name="Normal 8 11 6 6" xfId="36551" xr:uid="{00000000-0005-0000-0000-00008C8C0000}"/>
    <cellStyle name="Normal 8 11 7" xfId="36552" xr:uid="{00000000-0005-0000-0000-00008D8C0000}"/>
    <cellStyle name="Normal 8 11 7 2" xfId="36553" xr:uid="{00000000-0005-0000-0000-00008E8C0000}"/>
    <cellStyle name="Normal 8 11 7 3" xfId="36554" xr:uid="{00000000-0005-0000-0000-00008F8C0000}"/>
    <cellStyle name="Normal 8 11 7 4" xfId="36555" xr:uid="{00000000-0005-0000-0000-0000908C0000}"/>
    <cellStyle name="Normal 8 11 7 5" xfId="36556" xr:uid="{00000000-0005-0000-0000-0000918C0000}"/>
    <cellStyle name="Normal 8 11 7 6" xfId="36557" xr:uid="{00000000-0005-0000-0000-0000928C0000}"/>
    <cellStyle name="Normal 8 11 8" xfId="36558" xr:uid="{00000000-0005-0000-0000-0000938C0000}"/>
    <cellStyle name="Normal 8 11 8 2" xfId="36559" xr:uid="{00000000-0005-0000-0000-0000948C0000}"/>
    <cellStyle name="Normal 8 11 8 3" xfId="36560" xr:uid="{00000000-0005-0000-0000-0000958C0000}"/>
    <cellStyle name="Normal 8 11 8 4" xfId="36561" xr:uid="{00000000-0005-0000-0000-0000968C0000}"/>
    <cellStyle name="Normal 8 11 8 5" xfId="36562" xr:uid="{00000000-0005-0000-0000-0000978C0000}"/>
    <cellStyle name="Normal 8 11 8 6" xfId="36563" xr:uid="{00000000-0005-0000-0000-0000988C0000}"/>
    <cellStyle name="Normal 8 11 9" xfId="36564" xr:uid="{00000000-0005-0000-0000-0000998C0000}"/>
    <cellStyle name="Normal 8 12" xfId="36565" xr:uid="{00000000-0005-0000-0000-00009A8C0000}"/>
    <cellStyle name="Normal 8 12 10" xfId="36566" xr:uid="{00000000-0005-0000-0000-00009B8C0000}"/>
    <cellStyle name="Normal 8 12 11" xfId="36567" xr:uid="{00000000-0005-0000-0000-00009C8C0000}"/>
    <cellStyle name="Normal 8 12 12" xfId="36568" xr:uid="{00000000-0005-0000-0000-00009D8C0000}"/>
    <cellStyle name="Normal 8 12 13" xfId="36569" xr:uid="{00000000-0005-0000-0000-00009E8C0000}"/>
    <cellStyle name="Normal 8 12 2" xfId="36570" xr:uid="{00000000-0005-0000-0000-00009F8C0000}"/>
    <cellStyle name="Normal 8 12 2 2" xfId="36571" xr:uid="{00000000-0005-0000-0000-0000A08C0000}"/>
    <cellStyle name="Normal 8 12 2 3" xfId="36572" xr:uid="{00000000-0005-0000-0000-0000A18C0000}"/>
    <cellStyle name="Normal 8 12 2 4" xfId="36573" xr:uid="{00000000-0005-0000-0000-0000A28C0000}"/>
    <cellStyle name="Normal 8 12 2 5" xfId="36574" xr:uid="{00000000-0005-0000-0000-0000A38C0000}"/>
    <cellStyle name="Normal 8 12 2 6" xfId="36575" xr:uid="{00000000-0005-0000-0000-0000A48C0000}"/>
    <cellStyle name="Normal 8 12 3" xfId="36576" xr:uid="{00000000-0005-0000-0000-0000A58C0000}"/>
    <cellStyle name="Normal 8 12 3 2" xfId="36577" xr:uid="{00000000-0005-0000-0000-0000A68C0000}"/>
    <cellStyle name="Normal 8 12 3 3" xfId="36578" xr:uid="{00000000-0005-0000-0000-0000A78C0000}"/>
    <cellStyle name="Normal 8 12 3 4" xfId="36579" xr:uid="{00000000-0005-0000-0000-0000A88C0000}"/>
    <cellStyle name="Normal 8 12 3 5" xfId="36580" xr:uid="{00000000-0005-0000-0000-0000A98C0000}"/>
    <cellStyle name="Normal 8 12 3 6" xfId="36581" xr:uid="{00000000-0005-0000-0000-0000AA8C0000}"/>
    <cellStyle name="Normal 8 12 4" xfId="36582" xr:uid="{00000000-0005-0000-0000-0000AB8C0000}"/>
    <cellStyle name="Normal 8 12 4 2" xfId="36583" xr:uid="{00000000-0005-0000-0000-0000AC8C0000}"/>
    <cellStyle name="Normal 8 12 4 3" xfId="36584" xr:uid="{00000000-0005-0000-0000-0000AD8C0000}"/>
    <cellStyle name="Normal 8 12 4 4" xfId="36585" xr:uid="{00000000-0005-0000-0000-0000AE8C0000}"/>
    <cellStyle name="Normal 8 12 4 5" xfId="36586" xr:uid="{00000000-0005-0000-0000-0000AF8C0000}"/>
    <cellStyle name="Normal 8 12 4 6" xfId="36587" xr:uid="{00000000-0005-0000-0000-0000B08C0000}"/>
    <cellStyle name="Normal 8 12 5" xfId="36588" xr:uid="{00000000-0005-0000-0000-0000B18C0000}"/>
    <cellStyle name="Normal 8 12 5 2" xfId="36589" xr:uid="{00000000-0005-0000-0000-0000B28C0000}"/>
    <cellStyle name="Normal 8 12 5 3" xfId="36590" xr:uid="{00000000-0005-0000-0000-0000B38C0000}"/>
    <cellStyle name="Normal 8 12 5 4" xfId="36591" xr:uid="{00000000-0005-0000-0000-0000B48C0000}"/>
    <cellStyle name="Normal 8 12 5 5" xfId="36592" xr:uid="{00000000-0005-0000-0000-0000B58C0000}"/>
    <cellStyle name="Normal 8 12 5 6" xfId="36593" xr:uid="{00000000-0005-0000-0000-0000B68C0000}"/>
    <cellStyle name="Normal 8 12 6" xfId="36594" xr:uid="{00000000-0005-0000-0000-0000B78C0000}"/>
    <cellStyle name="Normal 8 12 6 2" xfId="36595" xr:uid="{00000000-0005-0000-0000-0000B88C0000}"/>
    <cellStyle name="Normal 8 12 6 3" xfId="36596" xr:uid="{00000000-0005-0000-0000-0000B98C0000}"/>
    <cellStyle name="Normal 8 12 6 4" xfId="36597" xr:uid="{00000000-0005-0000-0000-0000BA8C0000}"/>
    <cellStyle name="Normal 8 12 6 5" xfId="36598" xr:uid="{00000000-0005-0000-0000-0000BB8C0000}"/>
    <cellStyle name="Normal 8 12 6 6" xfId="36599" xr:uid="{00000000-0005-0000-0000-0000BC8C0000}"/>
    <cellStyle name="Normal 8 12 7" xfId="36600" xr:uid="{00000000-0005-0000-0000-0000BD8C0000}"/>
    <cellStyle name="Normal 8 12 7 2" xfId="36601" xr:uid="{00000000-0005-0000-0000-0000BE8C0000}"/>
    <cellStyle name="Normal 8 12 7 3" xfId="36602" xr:uid="{00000000-0005-0000-0000-0000BF8C0000}"/>
    <cellStyle name="Normal 8 12 7 4" xfId="36603" xr:uid="{00000000-0005-0000-0000-0000C08C0000}"/>
    <cellStyle name="Normal 8 12 7 5" xfId="36604" xr:uid="{00000000-0005-0000-0000-0000C18C0000}"/>
    <cellStyle name="Normal 8 12 7 6" xfId="36605" xr:uid="{00000000-0005-0000-0000-0000C28C0000}"/>
    <cellStyle name="Normal 8 12 8" xfId="36606" xr:uid="{00000000-0005-0000-0000-0000C38C0000}"/>
    <cellStyle name="Normal 8 12 8 2" xfId="36607" xr:uid="{00000000-0005-0000-0000-0000C48C0000}"/>
    <cellStyle name="Normal 8 12 8 3" xfId="36608" xr:uid="{00000000-0005-0000-0000-0000C58C0000}"/>
    <cellStyle name="Normal 8 12 8 4" xfId="36609" xr:uid="{00000000-0005-0000-0000-0000C68C0000}"/>
    <cellStyle name="Normal 8 12 8 5" xfId="36610" xr:uid="{00000000-0005-0000-0000-0000C78C0000}"/>
    <cellStyle name="Normal 8 12 8 6" xfId="36611" xr:uid="{00000000-0005-0000-0000-0000C88C0000}"/>
    <cellStyle name="Normal 8 12 9" xfId="36612" xr:uid="{00000000-0005-0000-0000-0000C98C0000}"/>
    <cellStyle name="Normal 8 13" xfId="36613" xr:uid="{00000000-0005-0000-0000-0000CA8C0000}"/>
    <cellStyle name="Normal 8 13 10" xfId="36614" xr:uid="{00000000-0005-0000-0000-0000CB8C0000}"/>
    <cellStyle name="Normal 8 13 11" xfId="36615" xr:uid="{00000000-0005-0000-0000-0000CC8C0000}"/>
    <cellStyle name="Normal 8 13 12" xfId="36616" xr:uid="{00000000-0005-0000-0000-0000CD8C0000}"/>
    <cellStyle name="Normal 8 13 13" xfId="36617" xr:uid="{00000000-0005-0000-0000-0000CE8C0000}"/>
    <cellStyle name="Normal 8 13 2" xfId="36618" xr:uid="{00000000-0005-0000-0000-0000CF8C0000}"/>
    <cellStyle name="Normal 8 13 2 2" xfId="36619" xr:uid="{00000000-0005-0000-0000-0000D08C0000}"/>
    <cellStyle name="Normal 8 13 2 3" xfId="36620" xr:uid="{00000000-0005-0000-0000-0000D18C0000}"/>
    <cellStyle name="Normal 8 13 2 4" xfId="36621" xr:uid="{00000000-0005-0000-0000-0000D28C0000}"/>
    <cellStyle name="Normal 8 13 2 5" xfId="36622" xr:uid="{00000000-0005-0000-0000-0000D38C0000}"/>
    <cellStyle name="Normal 8 13 2 6" xfId="36623" xr:uid="{00000000-0005-0000-0000-0000D48C0000}"/>
    <cellStyle name="Normal 8 13 3" xfId="36624" xr:uid="{00000000-0005-0000-0000-0000D58C0000}"/>
    <cellStyle name="Normal 8 13 3 2" xfId="36625" xr:uid="{00000000-0005-0000-0000-0000D68C0000}"/>
    <cellStyle name="Normal 8 13 3 3" xfId="36626" xr:uid="{00000000-0005-0000-0000-0000D78C0000}"/>
    <cellStyle name="Normal 8 13 3 4" xfId="36627" xr:uid="{00000000-0005-0000-0000-0000D88C0000}"/>
    <cellStyle name="Normal 8 13 3 5" xfId="36628" xr:uid="{00000000-0005-0000-0000-0000D98C0000}"/>
    <cellStyle name="Normal 8 13 3 6" xfId="36629" xr:uid="{00000000-0005-0000-0000-0000DA8C0000}"/>
    <cellStyle name="Normal 8 13 4" xfId="36630" xr:uid="{00000000-0005-0000-0000-0000DB8C0000}"/>
    <cellStyle name="Normal 8 13 4 2" xfId="36631" xr:uid="{00000000-0005-0000-0000-0000DC8C0000}"/>
    <cellStyle name="Normal 8 13 4 3" xfId="36632" xr:uid="{00000000-0005-0000-0000-0000DD8C0000}"/>
    <cellStyle name="Normal 8 13 4 4" xfId="36633" xr:uid="{00000000-0005-0000-0000-0000DE8C0000}"/>
    <cellStyle name="Normal 8 13 4 5" xfId="36634" xr:uid="{00000000-0005-0000-0000-0000DF8C0000}"/>
    <cellStyle name="Normal 8 13 4 6" xfId="36635" xr:uid="{00000000-0005-0000-0000-0000E08C0000}"/>
    <cellStyle name="Normal 8 13 5" xfId="36636" xr:uid="{00000000-0005-0000-0000-0000E18C0000}"/>
    <cellStyle name="Normal 8 13 5 2" xfId="36637" xr:uid="{00000000-0005-0000-0000-0000E28C0000}"/>
    <cellStyle name="Normal 8 13 5 3" xfId="36638" xr:uid="{00000000-0005-0000-0000-0000E38C0000}"/>
    <cellStyle name="Normal 8 13 5 4" xfId="36639" xr:uid="{00000000-0005-0000-0000-0000E48C0000}"/>
    <cellStyle name="Normal 8 13 5 5" xfId="36640" xr:uid="{00000000-0005-0000-0000-0000E58C0000}"/>
    <cellStyle name="Normal 8 13 5 6" xfId="36641" xr:uid="{00000000-0005-0000-0000-0000E68C0000}"/>
    <cellStyle name="Normal 8 13 6" xfId="36642" xr:uid="{00000000-0005-0000-0000-0000E78C0000}"/>
    <cellStyle name="Normal 8 13 6 2" xfId="36643" xr:uid="{00000000-0005-0000-0000-0000E88C0000}"/>
    <cellStyle name="Normal 8 13 6 3" xfId="36644" xr:uid="{00000000-0005-0000-0000-0000E98C0000}"/>
    <cellStyle name="Normal 8 13 6 4" xfId="36645" xr:uid="{00000000-0005-0000-0000-0000EA8C0000}"/>
    <cellStyle name="Normal 8 13 6 5" xfId="36646" xr:uid="{00000000-0005-0000-0000-0000EB8C0000}"/>
    <cellStyle name="Normal 8 13 6 6" xfId="36647" xr:uid="{00000000-0005-0000-0000-0000EC8C0000}"/>
    <cellStyle name="Normal 8 13 7" xfId="36648" xr:uid="{00000000-0005-0000-0000-0000ED8C0000}"/>
    <cellStyle name="Normal 8 13 7 2" xfId="36649" xr:uid="{00000000-0005-0000-0000-0000EE8C0000}"/>
    <cellStyle name="Normal 8 13 7 3" xfId="36650" xr:uid="{00000000-0005-0000-0000-0000EF8C0000}"/>
    <cellStyle name="Normal 8 13 7 4" xfId="36651" xr:uid="{00000000-0005-0000-0000-0000F08C0000}"/>
    <cellStyle name="Normal 8 13 7 5" xfId="36652" xr:uid="{00000000-0005-0000-0000-0000F18C0000}"/>
    <cellStyle name="Normal 8 13 7 6" xfId="36653" xr:uid="{00000000-0005-0000-0000-0000F28C0000}"/>
    <cellStyle name="Normal 8 13 8" xfId="36654" xr:uid="{00000000-0005-0000-0000-0000F38C0000}"/>
    <cellStyle name="Normal 8 13 8 2" xfId="36655" xr:uid="{00000000-0005-0000-0000-0000F48C0000}"/>
    <cellStyle name="Normal 8 13 8 3" xfId="36656" xr:uid="{00000000-0005-0000-0000-0000F58C0000}"/>
    <cellStyle name="Normal 8 13 8 4" xfId="36657" xr:uid="{00000000-0005-0000-0000-0000F68C0000}"/>
    <cellStyle name="Normal 8 13 8 5" xfId="36658" xr:uid="{00000000-0005-0000-0000-0000F78C0000}"/>
    <cellStyle name="Normal 8 13 8 6" xfId="36659" xr:uid="{00000000-0005-0000-0000-0000F88C0000}"/>
    <cellStyle name="Normal 8 13 9" xfId="36660" xr:uid="{00000000-0005-0000-0000-0000F98C0000}"/>
    <cellStyle name="Normal 8 14" xfId="36661" xr:uid="{00000000-0005-0000-0000-0000FA8C0000}"/>
    <cellStyle name="Normal 8 14 10" xfId="36662" xr:uid="{00000000-0005-0000-0000-0000FB8C0000}"/>
    <cellStyle name="Normal 8 14 11" xfId="36663" xr:uid="{00000000-0005-0000-0000-0000FC8C0000}"/>
    <cellStyle name="Normal 8 14 12" xfId="36664" xr:uid="{00000000-0005-0000-0000-0000FD8C0000}"/>
    <cellStyle name="Normal 8 14 13" xfId="36665" xr:uid="{00000000-0005-0000-0000-0000FE8C0000}"/>
    <cellStyle name="Normal 8 14 2" xfId="36666" xr:uid="{00000000-0005-0000-0000-0000FF8C0000}"/>
    <cellStyle name="Normal 8 14 2 2" xfId="36667" xr:uid="{00000000-0005-0000-0000-0000008D0000}"/>
    <cellStyle name="Normal 8 14 2 3" xfId="36668" xr:uid="{00000000-0005-0000-0000-0000018D0000}"/>
    <cellStyle name="Normal 8 14 2 4" xfId="36669" xr:uid="{00000000-0005-0000-0000-0000028D0000}"/>
    <cellStyle name="Normal 8 14 2 5" xfId="36670" xr:uid="{00000000-0005-0000-0000-0000038D0000}"/>
    <cellStyle name="Normal 8 14 2 6" xfId="36671" xr:uid="{00000000-0005-0000-0000-0000048D0000}"/>
    <cellStyle name="Normal 8 14 3" xfId="36672" xr:uid="{00000000-0005-0000-0000-0000058D0000}"/>
    <cellStyle name="Normal 8 14 3 2" xfId="36673" xr:uid="{00000000-0005-0000-0000-0000068D0000}"/>
    <cellStyle name="Normal 8 14 3 3" xfId="36674" xr:uid="{00000000-0005-0000-0000-0000078D0000}"/>
    <cellStyle name="Normal 8 14 3 4" xfId="36675" xr:uid="{00000000-0005-0000-0000-0000088D0000}"/>
    <cellStyle name="Normal 8 14 3 5" xfId="36676" xr:uid="{00000000-0005-0000-0000-0000098D0000}"/>
    <cellStyle name="Normal 8 14 3 6" xfId="36677" xr:uid="{00000000-0005-0000-0000-00000A8D0000}"/>
    <cellStyle name="Normal 8 14 4" xfId="36678" xr:uid="{00000000-0005-0000-0000-00000B8D0000}"/>
    <cellStyle name="Normal 8 14 4 2" xfId="36679" xr:uid="{00000000-0005-0000-0000-00000C8D0000}"/>
    <cellStyle name="Normal 8 14 4 3" xfId="36680" xr:uid="{00000000-0005-0000-0000-00000D8D0000}"/>
    <cellStyle name="Normal 8 14 4 4" xfId="36681" xr:uid="{00000000-0005-0000-0000-00000E8D0000}"/>
    <cellStyle name="Normal 8 14 4 5" xfId="36682" xr:uid="{00000000-0005-0000-0000-00000F8D0000}"/>
    <cellStyle name="Normal 8 14 4 6" xfId="36683" xr:uid="{00000000-0005-0000-0000-0000108D0000}"/>
    <cellStyle name="Normal 8 14 5" xfId="36684" xr:uid="{00000000-0005-0000-0000-0000118D0000}"/>
    <cellStyle name="Normal 8 14 5 2" xfId="36685" xr:uid="{00000000-0005-0000-0000-0000128D0000}"/>
    <cellStyle name="Normal 8 14 5 3" xfId="36686" xr:uid="{00000000-0005-0000-0000-0000138D0000}"/>
    <cellStyle name="Normal 8 14 5 4" xfId="36687" xr:uid="{00000000-0005-0000-0000-0000148D0000}"/>
    <cellStyle name="Normal 8 14 5 5" xfId="36688" xr:uid="{00000000-0005-0000-0000-0000158D0000}"/>
    <cellStyle name="Normal 8 14 5 6" xfId="36689" xr:uid="{00000000-0005-0000-0000-0000168D0000}"/>
    <cellStyle name="Normal 8 14 6" xfId="36690" xr:uid="{00000000-0005-0000-0000-0000178D0000}"/>
    <cellStyle name="Normal 8 14 6 2" xfId="36691" xr:uid="{00000000-0005-0000-0000-0000188D0000}"/>
    <cellStyle name="Normal 8 14 6 3" xfId="36692" xr:uid="{00000000-0005-0000-0000-0000198D0000}"/>
    <cellStyle name="Normal 8 14 6 4" xfId="36693" xr:uid="{00000000-0005-0000-0000-00001A8D0000}"/>
    <cellStyle name="Normal 8 14 6 5" xfId="36694" xr:uid="{00000000-0005-0000-0000-00001B8D0000}"/>
    <cellStyle name="Normal 8 14 6 6" xfId="36695" xr:uid="{00000000-0005-0000-0000-00001C8D0000}"/>
    <cellStyle name="Normal 8 14 7" xfId="36696" xr:uid="{00000000-0005-0000-0000-00001D8D0000}"/>
    <cellStyle name="Normal 8 14 7 2" xfId="36697" xr:uid="{00000000-0005-0000-0000-00001E8D0000}"/>
    <cellStyle name="Normal 8 14 7 3" xfId="36698" xr:uid="{00000000-0005-0000-0000-00001F8D0000}"/>
    <cellStyle name="Normal 8 14 7 4" xfId="36699" xr:uid="{00000000-0005-0000-0000-0000208D0000}"/>
    <cellStyle name="Normal 8 14 7 5" xfId="36700" xr:uid="{00000000-0005-0000-0000-0000218D0000}"/>
    <cellStyle name="Normal 8 14 7 6" xfId="36701" xr:uid="{00000000-0005-0000-0000-0000228D0000}"/>
    <cellStyle name="Normal 8 14 8" xfId="36702" xr:uid="{00000000-0005-0000-0000-0000238D0000}"/>
    <cellStyle name="Normal 8 14 8 2" xfId="36703" xr:uid="{00000000-0005-0000-0000-0000248D0000}"/>
    <cellStyle name="Normal 8 14 8 3" xfId="36704" xr:uid="{00000000-0005-0000-0000-0000258D0000}"/>
    <cellStyle name="Normal 8 14 8 4" xfId="36705" xr:uid="{00000000-0005-0000-0000-0000268D0000}"/>
    <cellStyle name="Normal 8 14 8 5" xfId="36706" xr:uid="{00000000-0005-0000-0000-0000278D0000}"/>
    <cellStyle name="Normal 8 14 8 6" xfId="36707" xr:uid="{00000000-0005-0000-0000-0000288D0000}"/>
    <cellStyle name="Normal 8 14 9" xfId="36708" xr:uid="{00000000-0005-0000-0000-0000298D0000}"/>
    <cellStyle name="Normal 8 15" xfId="36709" xr:uid="{00000000-0005-0000-0000-00002A8D0000}"/>
    <cellStyle name="Normal 8 15 10" xfId="36710" xr:uid="{00000000-0005-0000-0000-00002B8D0000}"/>
    <cellStyle name="Normal 8 15 11" xfId="36711" xr:uid="{00000000-0005-0000-0000-00002C8D0000}"/>
    <cellStyle name="Normal 8 15 12" xfId="36712" xr:uid="{00000000-0005-0000-0000-00002D8D0000}"/>
    <cellStyle name="Normal 8 15 13" xfId="36713" xr:uid="{00000000-0005-0000-0000-00002E8D0000}"/>
    <cellStyle name="Normal 8 15 2" xfId="36714" xr:uid="{00000000-0005-0000-0000-00002F8D0000}"/>
    <cellStyle name="Normal 8 15 2 2" xfId="36715" xr:uid="{00000000-0005-0000-0000-0000308D0000}"/>
    <cellStyle name="Normal 8 15 2 3" xfId="36716" xr:uid="{00000000-0005-0000-0000-0000318D0000}"/>
    <cellStyle name="Normal 8 15 2 4" xfId="36717" xr:uid="{00000000-0005-0000-0000-0000328D0000}"/>
    <cellStyle name="Normal 8 15 2 5" xfId="36718" xr:uid="{00000000-0005-0000-0000-0000338D0000}"/>
    <cellStyle name="Normal 8 15 2 6" xfId="36719" xr:uid="{00000000-0005-0000-0000-0000348D0000}"/>
    <cellStyle name="Normal 8 15 3" xfId="36720" xr:uid="{00000000-0005-0000-0000-0000358D0000}"/>
    <cellStyle name="Normal 8 15 3 2" xfId="36721" xr:uid="{00000000-0005-0000-0000-0000368D0000}"/>
    <cellStyle name="Normal 8 15 3 3" xfId="36722" xr:uid="{00000000-0005-0000-0000-0000378D0000}"/>
    <cellStyle name="Normal 8 15 3 4" xfId="36723" xr:uid="{00000000-0005-0000-0000-0000388D0000}"/>
    <cellStyle name="Normal 8 15 3 5" xfId="36724" xr:uid="{00000000-0005-0000-0000-0000398D0000}"/>
    <cellStyle name="Normal 8 15 3 6" xfId="36725" xr:uid="{00000000-0005-0000-0000-00003A8D0000}"/>
    <cellStyle name="Normal 8 15 4" xfId="36726" xr:uid="{00000000-0005-0000-0000-00003B8D0000}"/>
    <cellStyle name="Normal 8 15 4 2" xfId="36727" xr:uid="{00000000-0005-0000-0000-00003C8D0000}"/>
    <cellStyle name="Normal 8 15 4 3" xfId="36728" xr:uid="{00000000-0005-0000-0000-00003D8D0000}"/>
    <cellStyle name="Normal 8 15 4 4" xfId="36729" xr:uid="{00000000-0005-0000-0000-00003E8D0000}"/>
    <cellStyle name="Normal 8 15 4 5" xfId="36730" xr:uid="{00000000-0005-0000-0000-00003F8D0000}"/>
    <cellStyle name="Normal 8 15 4 6" xfId="36731" xr:uid="{00000000-0005-0000-0000-0000408D0000}"/>
    <cellStyle name="Normal 8 15 5" xfId="36732" xr:uid="{00000000-0005-0000-0000-0000418D0000}"/>
    <cellStyle name="Normal 8 15 5 2" xfId="36733" xr:uid="{00000000-0005-0000-0000-0000428D0000}"/>
    <cellStyle name="Normal 8 15 5 3" xfId="36734" xr:uid="{00000000-0005-0000-0000-0000438D0000}"/>
    <cellStyle name="Normal 8 15 5 4" xfId="36735" xr:uid="{00000000-0005-0000-0000-0000448D0000}"/>
    <cellStyle name="Normal 8 15 5 5" xfId="36736" xr:uid="{00000000-0005-0000-0000-0000458D0000}"/>
    <cellStyle name="Normal 8 15 5 6" xfId="36737" xr:uid="{00000000-0005-0000-0000-0000468D0000}"/>
    <cellStyle name="Normal 8 15 6" xfId="36738" xr:uid="{00000000-0005-0000-0000-0000478D0000}"/>
    <cellStyle name="Normal 8 15 6 2" xfId="36739" xr:uid="{00000000-0005-0000-0000-0000488D0000}"/>
    <cellStyle name="Normal 8 15 6 3" xfId="36740" xr:uid="{00000000-0005-0000-0000-0000498D0000}"/>
    <cellStyle name="Normal 8 15 6 4" xfId="36741" xr:uid="{00000000-0005-0000-0000-00004A8D0000}"/>
    <cellStyle name="Normal 8 15 6 5" xfId="36742" xr:uid="{00000000-0005-0000-0000-00004B8D0000}"/>
    <cellStyle name="Normal 8 15 6 6" xfId="36743" xr:uid="{00000000-0005-0000-0000-00004C8D0000}"/>
    <cellStyle name="Normal 8 15 7" xfId="36744" xr:uid="{00000000-0005-0000-0000-00004D8D0000}"/>
    <cellStyle name="Normal 8 15 7 2" xfId="36745" xr:uid="{00000000-0005-0000-0000-00004E8D0000}"/>
    <cellStyle name="Normal 8 15 7 3" xfId="36746" xr:uid="{00000000-0005-0000-0000-00004F8D0000}"/>
    <cellStyle name="Normal 8 15 7 4" xfId="36747" xr:uid="{00000000-0005-0000-0000-0000508D0000}"/>
    <cellStyle name="Normal 8 15 7 5" xfId="36748" xr:uid="{00000000-0005-0000-0000-0000518D0000}"/>
    <cellStyle name="Normal 8 15 7 6" xfId="36749" xr:uid="{00000000-0005-0000-0000-0000528D0000}"/>
    <cellStyle name="Normal 8 15 8" xfId="36750" xr:uid="{00000000-0005-0000-0000-0000538D0000}"/>
    <cellStyle name="Normal 8 15 8 2" xfId="36751" xr:uid="{00000000-0005-0000-0000-0000548D0000}"/>
    <cellStyle name="Normal 8 15 8 3" xfId="36752" xr:uid="{00000000-0005-0000-0000-0000558D0000}"/>
    <cellStyle name="Normal 8 15 8 4" xfId="36753" xr:uid="{00000000-0005-0000-0000-0000568D0000}"/>
    <cellStyle name="Normal 8 15 8 5" xfId="36754" xr:uid="{00000000-0005-0000-0000-0000578D0000}"/>
    <cellStyle name="Normal 8 15 8 6" xfId="36755" xr:uid="{00000000-0005-0000-0000-0000588D0000}"/>
    <cellStyle name="Normal 8 15 9" xfId="36756" xr:uid="{00000000-0005-0000-0000-0000598D0000}"/>
    <cellStyle name="Normal 8 16" xfId="36757" xr:uid="{00000000-0005-0000-0000-00005A8D0000}"/>
    <cellStyle name="Normal 8 16 10" xfId="36758" xr:uid="{00000000-0005-0000-0000-00005B8D0000}"/>
    <cellStyle name="Normal 8 16 11" xfId="36759" xr:uid="{00000000-0005-0000-0000-00005C8D0000}"/>
    <cellStyle name="Normal 8 16 12" xfId="36760" xr:uid="{00000000-0005-0000-0000-00005D8D0000}"/>
    <cellStyle name="Normal 8 16 13" xfId="36761" xr:uid="{00000000-0005-0000-0000-00005E8D0000}"/>
    <cellStyle name="Normal 8 16 2" xfId="36762" xr:uid="{00000000-0005-0000-0000-00005F8D0000}"/>
    <cellStyle name="Normal 8 16 2 2" xfId="36763" xr:uid="{00000000-0005-0000-0000-0000608D0000}"/>
    <cellStyle name="Normal 8 16 2 3" xfId="36764" xr:uid="{00000000-0005-0000-0000-0000618D0000}"/>
    <cellStyle name="Normal 8 16 2 4" xfId="36765" xr:uid="{00000000-0005-0000-0000-0000628D0000}"/>
    <cellStyle name="Normal 8 16 2 5" xfId="36766" xr:uid="{00000000-0005-0000-0000-0000638D0000}"/>
    <cellStyle name="Normal 8 16 2 6" xfId="36767" xr:uid="{00000000-0005-0000-0000-0000648D0000}"/>
    <cellStyle name="Normal 8 16 3" xfId="36768" xr:uid="{00000000-0005-0000-0000-0000658D0000}"/>
    <cellStyle name="Normal 8 16 3 2" xfId="36769" xr:uid="{00000000-0005-0000-0000-0000668D0000}"/>
    <cellStyle name="Normal 8 16 3 3" xfId="36770" xr:uid="{00000000-0005-0000-0000-0000678D0000}"/>
    <cellStyle name="Normal 8 16 3 4" xfId="36771" xr:uid="{00000000-0005-0000-0000-0000688D0000}"/>
    <cellStyle name="Normal 8 16 3 5" xfId="36772" xr:uid="{00000000-0005-0000-0000-0000698D0000}"/>
    <cellStyle name="Normal 8 16 3 6" xfId="36773" xr:uid="{00000000-0005-0000-0000-00006A8D0000}"/>
    <cellStyle name="Normal 8 16 4" xfId="36774" xr:uid="{00000000-0005-0000-0000-00006B8D0000}"/>
    <cellStyle name="Normal 8 16 4 2" xfId="36775" xr:uid="{00000000-0005-0000-0000-00006C8D0000}"/>
    <cellStyle name="Normal 8 16 4 3" xfId="36776" xr:uid="{00000000-0005-0000-0000-00006D8D0000}"/>
    <cellStyle name="Normal 8 16 4 4" xfId="36777" xr:uid="{00000000-0005-0000-0000-00006E8D0000}"/>
    <cellStyle name="Normal 8 16 4 5" xfId="36778" xr:uid="{00000000-0005-0000-0000-00006F8D0000}"/>
    <cellStyle name="Normal 8 16 4 6" xfId="36779" xr:uid="{00000000-0005-0000-0000-0000708D0000}"/>
    <cellStyle name="Normal 8 16 5" xfId="36780" xr:uid="{00000000-0005-0000-0000-0000718D0000}"/>
    <cellStyle name="Normal 8 16 5 2" xfId="36781" xr:uid="{00000000-0005-0000-0000-0000728D0000}"/>
    <cellStyle name="Normal 8 16 5 3" xfId="36782" xr:uid="{00000000-0005-0000-0000-0000738D0000}"/>
    <cellStyle name="Normal 8 16 5 4" xfId="36783" xr:uid="{00000000-0005-0000-0000-0000748D0000}"/>
    <cellStyle name="Normal 8 16 5 5" xfId="36784" xr:uid="{00000000-0005-0000-0000-0000758D0000}"/>
    <cellStyle name="Normal 8 16 5 6" xfId="36785" xr:uid="{00000000-0005-0000-0000-0000768D0000}"/>
    <cellStyle name="Normal 8 16 6" xfId="36786" xr:uid="{00000000-0005-0000-0000-0000778D0000}"/>
    <cellStyle name="Normal 8 16 6 2" xfId="36787" xr:uid="{00000000-0005-0000-0000-0000788D0000}"/>
    <cellStyle name="Normal 8 16 6 3" xfId="36788" xr:uid="{00000000-0005-0000-0000-0000798D0000}"/>
    <cellStyle name="Normal 8 16 6 4" xfId="36789" xr:uid="{00000000-0005-0000-0000-00007A8D0000}"/>
    <cellStyle name="Normal 8 16 6 5" xfId="36790" xr:uid="{00000000-0005-0000-0000-00007B8D0000}"/>
    <cellStyle name="Normal 8 16 6 6" xfId="36791" xr:uid="{00000000-0005-0000-0000-00007C8D0000}"/>
    <cellStyle name="Normal 8 16 7" xfId="36792" xr:uid="{00000000-0005-0000-0000-00007D8D0000}"/>
    <cellStyle name="Normal 8 16 7 2" xfId="36793" xr:uid="{00000000-0005-0000-0000-00007E8D0000}"/>
    <cellStyle name="Normal 8 16 7 3" xfId="36794" xr:uid="{00000000-0005-0000-0000-00007F8D0000}"/>
    <cellStyle name="Normal 8 16 7 4" xfId="36795" xr:uid="{00000000-0005-0000-0000-0000808D0000}"/>
    <cellStyle name="Normal 8 16 7 5" xfId="36796" xr:uid="{00000000-0005-0000-0000-0000818D0000}"/>
    <cellStyle name="Normal 8 16 7 6" xfId="36797" xr:uid="{00000000-0005-0000-0000-0000828D0000}"/>
    <cellStyle name="Normal 8 16 8" xfId="36798" xr:uid="{00000000-0005-0000-0000-0000838D0000}"/>
    <cellStyle name="Normal 8 16 8 2" xfId="36799" xr:uid="{00000000-0005-0000-0000-0000848D0000}"/>
    <cellStyle name="Normal 8 16 8 3" xfId="36800" xr:uid="{00000000-0005-0000-0000-0000858D0000}"/>
    <cellStyle name="Normal 8 16 8 4" xfId="36801" xr:uid="{00000000-0005-0000-0000-0000868D0000}"/>
    <cellStyle name="Normal 8 16 8 5" xfId="36802" xr:uid="{00000000-0005-0000-0000-0000878D0000}"/>
    <cellStyle name="Normal 8 16 8 6" xfId="36803" xr:uid="{00000000-0005-0000-0000-0000888D0000}"/>
    <cellStyle name="Normal 8 16 9" xfId="36804" xr:uid="{00000000-0005-0000-0000-0000898D0000}"/>
    <cellStyle name="Normal 8 17" xfId="36805" xr:uid="{00000000-0005-0000-0000-00008A8D0000}"/>
    <cellStyle name="Normal 8 17 10" xfId="36806" xr:uid="{00000000-0005-0000-0000-00008B8D0000}"/>
    <cellStyle name="Normal 8 17 11" xfId="36807" xr:uid="{00000000-0005-0000-0000-00008C8D0000}"/>
    <cellStyle name="Normal 8 17 12" xfId="36808" xr:uid="{00000000-0005-0000-0000-00008D8D0000}"/>
    <cellStyle name="Normal 8 17 13" xfId="36809" xr:uid="{00000000-0005-0000-0000-00008E8D0000}"/>
    <cellStyle name="Normal 8 17 2" xfId="36810" xr:uid="{00000000-0005-0000-0000-00008F8D0000}"/>
    <cellStyle name="Normal 8 17 2 2" xfId="36811" xr:uid="{00000000-0005-0000-0000-0000908D0000}"/>
    <cellStyle name="Normal 8 17 2 3" xfId="36812" xr:uid="{00000000-0005-0000-0000-0000918D0000}"/>
    <cellStyle name="Normal 8 17 2 4" xfId="36813" xr:uid="{00000000-0005-0000-0000-0000928D0000}"/>
    <cellStyle name="Normal 8 17 2 5" xfId="36814" xr:uid="{00000000-0005-0000-0000-0000938D0000}"/>
    <cellStyle name="Normal 8 17 2 6" xfId="36815" xr:uid="{00000000-0005-0000-0000-0000948D0000}"/>
    <cellStyle name="Normal 8 17 3" xfId="36816" xr:uid="{00000000-0005-0000-0000-0000958D0000}"/>
    <cellStyle name="Normal 8 17 3 2" xfId="36817" xr:uid="{00000000-0005-0000-0000-0000968D0000}"/>
    <cellStyle name="Normal 8 17 3 3" xfId="36818" xr:uid="{00000000-0005-0000-0000-0000978D0000}"/>
    <cellStyle name="Normal 8 17 3 4" xfId="36819" xr:uid="{00000000-0005-0000-0000-0000988D0000}"/>
    <cellStyle name="Normal 8 17 3 5" xfId="36820" xr:uid="{00000000-0005-0000-0000-0000998D0000}"/>
    <cellStyle name="Normal 8 17 3 6" xfId="36821" xr:uid="{00000000-0005-0000-0000-00009A8D0000}"/>
    <cellStyle name="Normal 8 17 4" xfId="36822" xr:uid="{00000000-0005-0000-0000-00009B8D0000}"/>
    <cellStyle name="Normal 8 17 4 2" xfId="36823" xr:uid="{00000000-0005-0000-0000-00009C8D0000}"/>
    <cellStyle name="Normal 8 17 4 3" xfId="36824" xr:uid="{00000000-0005-0000-0000-00009D8D0000}"/>
    <cellStyle name="Normal 8 17 4 4" xfId="36825" xr:uid="{00000000-0005-0000-0000-00009E8D0000}"/>
    <cellStyle name="Normal 8 17 4 5" xfId="36826" xr:uid="{00000000-0005-0000-0000-00009F8D0000}"/>
    <cellStyle name="Normal 8 17 4 6" xfId="36827" xr:uid="{00000000-0005-0000-0000-0000A08D0000}"/>
    <cellStyle name="Normal 8 17 5" xfId="36828" xr:uid="{00000000-0005-0000-0000-0000A18D0000}"/>
    <cellStyle name="Normal 8 17 5 2" xfId="36829" xr:uid="{00000000-0005-0000-0000-0000A28D0000}"/>
    <cellStyle name="Normal 8 17 5 3" xfId="36830" xr:uid="{00000000-0005-0000-0000-0000A38D0000}"/>
    <cellStyle name="Normal 8 17 5 4" xfId="36831" xr:uid="{00000000-0005-0000-0000-0000A48D0000}"/>
    <cellStyle name="Normal 8 17 5 5" xfId="36832" xr:uid="{00000000-0005-0000-0000-0000A58D0000}"/>
    <cellStyle name="Normal 8 17 5 6" xfId="36833" xr:uid="{00000000-0005-0000-0000-0000A68D0000}"/>
    <cellStyle name="Normal 8 17 6" xfId="36834" xr:uid="{00000000-0005-0000-0000-0000A78D0000}"/>
    <cellStyle name="Normal 8 17 6 2" xfId="36835" xr:uid="{00000000-0005-0000-0000-0000A88D0000}"/>
    <cellStyle name="Normal 8 17 6 3" xfId="36836" xr:uid="{00000000-0005-0000-0000-0000A98D0000}"/>
    <cellStyle name="Normal 8 17 6 4" xfId="36837" xr:uid="{00000000-0005-0000-0000-0000AA8D0000}"/>
    <cellStyle name="Normal 8 17 6 5" xfId="36838" xr:uid="{00000000-0005-0000-0000-0000AB8D0000}"/>
    <cellStyle name="Normal 8 17 6 6" xfId="36839" xr:uid="{00000000-0005-0000-0000-0000AC8D0000}"/>
    <cellStyle name="Normal 8 17 7" xfId="36840" xr:uid="{00000000-0005-0000-0000-0000AD8D0000}"/>
    <cellStyle name="Normal 8 17 7 2" xfId="36841" xr:uid="{00000000-0005-0000-0000-0000AE8D0000}"/>
    <cellStyle name="Normal 8 17 7 3" xfId="36842" xr:uid="{00000000-0005-0000-0000-0000AF8D0000}"/>
    <cellStyle name="Normal 8 17 7 4" xfId="36843" xr:uid="{00000000-0005-0000-0000-0000B08D0000}"/>
    <cellStyle name="Normal 8 17 7 5" xfId="36844" xr:uid="{00000000-0005-0000-0000-0000B18D0000}"/>
    <cellStyle name="Normal 8 17 7 6" xfId="36845" xr:uid="{00000000-0005-0000-0000-0000B28D0000}"/>
    <cellStyle name="Normal 8 17 8" xfId="36846" xr:uid="{00000000-0005-0000-0000-0000B38D0000}"/>
    <cellStyle name="Normal 8 17 8 2" xfId="36847" xr:uid="{00000000-0005-0000-0000-0000B48D0000}"/>
    <cellStyle name="Normal 8 17 8 3" xfId="36848" xr:uid="{00000000-0005-0000-0000-0000B58D0000}"/>
    <cellStyle name="Normal 8 17 8 4" xfId="36849" xr:uid="{00000000-0005-0000-0000-0000B68D0000}"/>
    <cellStyle name="Normal 8 17 8 5" xfId="36850" xr:uid="{00000000-0005-0000-0000-0000B78D0000}"/>
    <cellStyle name="Normal 8 17 8 6" xfId="36851" xr:uid="{00000000-0005-0000-0000-0000B88D0000}"/>
    <cellStyle name="Normal 8 17 9" xfId="36852" xr:uid="{00000000-0005-0000-0000-0000B98D0000}"/>
    <cellStyle name="Normal 8 18" xfId="36853" xr:uid="{00000000-0005-0000-0000-0000BA8D0000}"/>
    <cellStyle name="Normal 8 18 10" xfId="36854" xr:uid="{00000000-0005-0000-0000-0000BB8D0000}"/>
    <cellStyle name="Normal 8 18 11" xfId="36855" xr:uid="{00000000-0005-0000-0000-0000BC8D0000}"/>
    <cellStyle name="Normal 8 18 12" xfId="36856" xr:uid="{00000000-0005-0000-0000-0000BD8D0000}"/>
    <cellStyle name="Normal 8 18 13" xfId="36857" xr:uid="{00000000-0005-0000-0000-0000BE8D0000}"/>
    <cellStyle name="Normal 8 18 2" xfId="36858" xr:uid="{00000000-0005-0000-0000-0000BF8D0000}"/>
    <cellStyle name="Normal 8 18 2 2" xfId="36859" xr:uid="{00000000-0005-0000-0000-0000C08D0000}"/>
    <cellStyle name="Normal 8 18 2 3" xfId="36860" xr:uid="{00000000-0005-0000-0000-0000C18D0000}"/>
    <cellStyle name="Normal 8 18 2 4" xfId="36861" xr:uid="{00000000-0005-0000-0000-0000C28D0000}"/>
    <cellStyle name="Normal 8 18 2 5" xfId="36862" xr:uid="{00000000-0005-0000-0000-0000C38D0000}"/>
    <cellStyle name="Normal 8 18 2 6" xfId="36863" xr:uid="{00000000-0005-0000-0000-0000C48D0000}"/>
    <cellStyle name="Normal 8 18 3" xfId="36864" xr:uid="{00000000-0005-0000-0000-0000C58D0000}"/>
    <cellStyle name="Normal 8 18 3 2" xfId="36865" xr:uid="{00000000-0005-0000-0000-0000C68D0000}"/>
    <cellStyle name="Normal 8 18 3 3" xfId="36866" xr:uid="{00000000-0005-0000-0000-0000C78D0000}"/>
    <cellStyle name="Normal 8 18 3 4" xfId="36867" xr:uid="{00000000-0005-0000-0000-0000C88D0000}"/>
    <cellStyle name="Normal 8 18 3 5" xfId="36868" xr:uid="{00000000-0005-0000-0000-0000C98D0000}"/>
    <cellStyle name="Normal 8 18 3 6" xfId="36869" xr:uid="{00000000-0005-0000-0000-0000CA8D0000}"/>
    <cellStyle name="Normal 8 18 4" xfId="36870" xr:uid="{00000000-0005-0000-0000-0000CB8D0000}"/>
    <cellStyle name="Normal 8 18 4 2" xfId="36871" xr:uid="{00000000-0005-0000-0000-0000CC8D0000}"/>
    <cellStyle name="Normal 8 18 4 3" xfId="36872" xr:uid="{00000000-0005-0000-0000-0000CD8D0000}"/>
    <cellStyle name="Normal 8 18 4 4" xfId="36873" xr:uid="{00000000-0005-0000-0000-0000CE8D0000}"/>
    <cellStyle name="Normal 8 18 4 5" xfId="36874" xr:uid="{00000000-0005-0000-0000-0000CF8D0000}"/>
    <cellStyle name="Normal 8 18 4 6" xfId="36875" xr:uid="{00000000-0005-0000-0000-0000D08D0000}"/>
    <cellStyle name="Normal 8 18 5" xfId="36876" xr:uid="{00000000-0005-0000-0000-0000D18D0000}"/>
    <cellStyle name="Normal 8 18 5 2" xfId="36877" xr:uid="{00000000-0005-0000-0000-0000D28D0000}"/>
    <cellStyle name="Normal 8 18 5 3" xfId="36878" xr:uid="{00000000-0005-0000-0000-0000D38D0000}"/>
    <cellStyle name="Normal 8 18 5 4" xfId="36879" xr:uid="{00000000-0005-0000-0000-0000D48D0000}"/>
    <cellStyle name="Normal 8 18 5 5" xfId="36880" xr:uid="{00000000-0005-0000-0000-0000D58D0000}"/>
    <cellStyle name="Normal 8 18 5 6" xfId="36881" xr:uid="{00000000-0005-0000-0000-0000D68D0000}"/>
    <cellStyle name="Normal 8 18 6" xfId="36882" xr:uid="{00000000-0005-0000-0000-0000D78D0000}"/>
    <cellStyle name="Normal 8 18 6 2" xfId="36883" xr:uid="{00000000-0005-0000-0000-0000D88D0000}"/>
    <cellStyle name="Normal 8 18 6 3" xfId="36884" xr:uid="{00000000-0005-0000-0000-0000D98D0000}"/>
    <cellStyle name="Normal 8 18 6 4" xfId="36885" xr:uid="{00000000-0005-0000-0000-0000DA8D0000}"/>
    <cellStyle name="Normal 8 18 6 5" xfId="36886" xr:uid="{00000000-0005-0000-0000-0000DB8D0000}"/>
    <cellStyle name="Normal 8 18 6 6" xfId="36887" xr:uid="{00000000-0005-0000-0000-0000DC8D0000}"/>
    <cellStyle name="Normal 8 18 7" xfId="36888" xr:uid="{00000000-0005-0000-0000-0000DD8D0000}"/>
    <cellStyle name="Normal 8 18 7 2" xfId="36889" xr:uid="{00000000-0005-0000-0000-0000DE8D0000}"/>
    <cellStyle name="Normal 8 18 7 3" xfId="36890" xr:uid="{00000000-0005-0000-0000-0000DF8D0000}"/>
    <cellStyle name="Normal 8 18 7 4" xfId="36891" xr:uid="{00000000-0005-0000-0000-0000E08D0000}"/>
    <cellStyle name="Normal 8 18 7 5" xfId="36892" xr:uid="{00000000-0005-0000-0000-0000E18D0000}"/>
    <cellStyle name="Normal 8 18 7 6" xfId="36893" xr:uid="{00000000-0005-0000-0000-0000E28D0000}"/>
    <cellStyle name="Normal 8 18 8" xfId="36894" xr:uid="{00000000-0005-0000-0000-0000E38D0000}"/>
    <cellStyle name="Normal 8 18 8 2" xfId="36895" xr:uid="{00000000-0005-0000-0000-0000E48D0000}"/>
    <cellStyle name="Normal 8 18 8 3" xfId="36896" xr:uid="{00000000-0005-0000-0000-0000E58D0000}"/>
    <cellStyle name="Normal 8 18 8 4" xfId="36897" xr:uid="{00000000-0005-0000-0000-0000E68D0000}"/>
    <cellStyle name="Normal 8 18 8 5" xfId="36898" xr:uid="{00000000-0005-0000-0000-0000E78D0000}"/>
    <cellStyle name="Normal 8 18 8 6" xfId="36899" xr:uid="{00000000-0005-0000-0000-0000E88D0000}"/>
    <cellStyle name="Normal 8 18 9" xfId="36900" xr:uid="{00000000-0005-0000-0000-0000E98D0000}"/>
    <cellStyle name="Normal 8 19" xfId="36901" xr:uid="{00000000-0005-0000-0000-0000EA8D0000}"/>
    <cellStyle name="Normal 8 19 10" xfId="36902" xr:uid="{00000000-0005-0000-0000-0000EB8D0000}"/>
    <cellStyle name="Normal 8 19 11" xfId="36903" xr:uid="{00000000-0005-0000-0000-0000EC8D0000}"/>
    <cellStyle name="Normal 8 19 12" xfId="36904" xr:uid="{00000000-0005-0000-0000-0000ED8D0000}"/>
    <cellStyle name="Normal 8 19 13" xfId="36905" xr:uid="{00000000-0005-0000-0000-0000EE8D0000}"/>
    <cellStyle name="Normal 8 19 2" xfId="36906" xr:uid="{00000000-0005-0000-0000-0000EF8D0000}"/>
    <cellStyle name="Normal 8 19 2 2" xfId="36907" xr:uid="{00000000-0005-0000-0000-0000F08D0000}"/>
    <cellStyle name="Normal 8 19 2 3" xfId="36908" xr:uid="{00000000-0005-0000-0000-0000F18D0000}"/>
    <cellStyle name="Normal 8 19 2 4" xfId="36909" xr:uid="{00000000-0005-0000-0000-0000F28D0000}"/>
    <cellStyle name="Normal 8 19 2 5" xfId="36910" xr:uid="{00000000-0005-0000-0000-0000F38D0000}"/>
    <cellStyle name="Normal 8 19 2 6" xfId="36911" xr:uid="{00000000-0005-0000-0000-0000F48D0000}"/>
    <cellStyle name="Normal 8 19 3" xfId="36912" xr:uid="{00000000-0005-0000-0000-0000F58D0000}"/>
    <cellStyle name="Normal 8 19 3 2" xfId="36913" xr:uid="{00000000-0005-0000-0000-0000F68D0000}"/>
    <cellStyle name="Normal 8 19 3 3" xfId="36914" xr:uid="{00000000-0005-0000-0000-0000F78D0000}"/>
    <cellStyle name="Normal 8 19 3 4" xfId="36915" xr:uid="{00000000-0005-0000-0000-0000F88D0000}"/>
    <cellStyle name="Normal 8 19 3 5" xfId="36916" xr:uid="{00000000-0005-0000-0000-0000F98D0000}"/>
    <cellStyle name="Normal 8 19 3 6" xfId="36917" xr:uid="{00000000-0005-0000-0000-0000FA8D0000}"/>
    <cellStyle name="Normal 8 19 4" xfId="36918" xr:uid="{00000000-0005-0000-0000-0000FB8D0000}"/>
    <cellStyle name="Normal 8 19 4 2" xfId="36919" xr:uid="{00000000-0005-0000-0000-0000FC8D0000}"/>
    <cellStyle name="Normal 8 19 4 3" xfId="36920" xr:uid="{00000000-0005-0000-0000-0000FD8D0000}"/>
    <cellStyle name="Normal 8 19 4 4" xfId="36921" xr:uid="{00000000-0005-0000-0000-0000FE8D0000}"/>
    <cellStyle name="Normal 8 19 4 5" xfId="36922" xr:uid="{00000000-0005-0000-0000-0000FF8D0000}"/>
    <cellStyle name="Normal 8 19 4 6" xfId="36923" xr:uid="{00000000-0005-0000-0000-0000008E0000}"/>
    <cellStyle name="Normal 8 19 5" xfId="36924" xr:uid="{00000000-0005-0000-0000-0000018E0000}"/>
    <cellStyle name="Normal 8 19 5 2" xfId="36925" xr:uid="{00000000-0005-0000-0000-0000028E0000}"/>
    <cellStyle name="Normal 8 19 5 3" xfId="36926" xr:uid="{00000000-0005-0000-0000-0000038E0000}"/>
    <cellStyle name="Normal 8 19 5 4" xfId="36927" xr:uid="{00000000-0005-0000-0000-0000048E0000}"/>
    <cellStyle name="Normal 8 19 5 5" xfId="36928" xr:uid="{00000000-0005-0000-0000-0000058E0000}"/>
    <cellStyle name="Normal 8 19 5 6" xfId="36929" xr:uid="{00000000-0005-0000-0000-0000068E0000}"/>
    <cellStyle name="Normal 8 19 6" xfId="36930" xr:uid="{00000000-0005-0000-0000-0000078E0000}"/>
    <cellStyle name="Normal 8 19 6 2" xfId="36931" xr:uid="{00000000-0005-0000-0000-0000088E0000}"/>
    <cellStyle name="Normal 8 19 6 3" xfId="36932" xr:uid="{00000000-0005-0000-0000-0000098E0000}"/>
    <cellStyle name="Normal 8 19 6 4" xfId="36933" xr:uid="{00000000-0005-0000-0000-00000A8E0000}"/>
    <cellStyle name="Normal 8 19 6 5" xfId="36934" xr:uid="{00000000-0005-0000-0000-00000B8E0000}"/>
    <cellStyle name="Normal 8 19 6 6" xfId="36935" xr:uid="{00000000-0005-0000-0000-00000C8E0000}"/>
    <cellStyle name="Normal 8 19 7" xfId="36936" xr:uid="{00000000-0005-0000-0000-00000D8E0000}"/>
    <cellStyle name="Normal 8 19 7 2" xfId="36937" xr:uid="{00000000-0005-0000-0000-00000E8E0000}"/>
    <cellStyle name="Normal 8 19 7 3" xfId="36938" xr:uid="{00000000-0005-0000-0000-00000F8E0000}"/>
    <cellStyle name="Normal 8 19 7 4" xfId="36939" xr:uid="{00000000-0005-0000-0000-0000108E0000}"/>
    <cellStyle name="Normal 8 19 7 5" xfId="36940" xr:uid="{00000000-0005-0000-0000-0000118E0000}"/>
    <cellStyle name="Normal 8 19 7 6" xfId="36941" xr:uid="{00000000-0005-0000-0000-0000128E0000}"/>
    <cellStyle name="Normal 8 19 8" xfId="36942" xr:uid="{00000000-0005-0000-0000-0000138E0000}"/>
    <cellStyle name="Normal 8 19 8 2" xfId="36943" xr:uid="{00000000-0005-0000-0000-0000148E0000}"/>
    <cellStyle name="Normal 8 19 8 3" xfId="36944" xr:uid="{00000000-0005-0000-0000-0000158E0000}"/>
    <cellStyle name="Normal 8 19 8 4" xfId="36945" xr:uid="{00000000-0005-0000-0000-0000168E0000}"/>
    <cellStyle name="Normal 8 19 8 5" xfId="36946" xr:uid="{00000000-0005-0000-0000-0000178E0000}"/>
    <cellStyle name="Normal 8 19 8 6" xfId="36947" xr:uid="{00000000-0005-0000-0000-0000188E0000}"/>
    <cellStyle name="Normal 8 19 9" xfId="36948" xr:uid="{00000000-0005-0000-0000-0000198E0000}"/>
    <cellStyle name="Normal 8 2" xfId="1077" xr:uid="{00000000-0005-0000-0000-00001A8E0000}"/>
    <cellStyle name="Normal 8 2 10" xfId="36949" xr:uid="{00000000-0005-0000-0000-00001B8E0000}"/>
    <cellStyle name="Normal 8 2 11" xfId="36950" xr:uid="{00000000-0005-0000-0000-00001C8E0000}"/>
    <cellStyle name="Normal 8 2 12" xfId="36951" xr:uid="{00000000-0005-0000-0000-00001D8E0000}"/>
    <cellStyle name="Normal 8 2 13" xfId="36952" xr:uid="{00000000-0005-0000-0000-00001E8E0000}"/>
    <cellStyle name="Normal 8 2 14" xfId="36953" xr:uid="{00000000-0005-0000-0000-00001F8E0000}"/>
    <cellStyle name="Normal 8 2 2" xfId="36954" xr:uid="{00000000-0005-0000-0000-0000208E0000}"/>
    <cellStyle name="Normal 8 2 2 2" xfId="36955" xr:uid="{00000000-0005-0000-0000-0000218E0000}"/>
    <cellStyle name="Normal 8 2 2 3" xfId="36956" xr:uid="{00000000-0005-0000-0000-0000228E0000}"/>
    <cellStyle name="Normal 8 2 2 4" xfId="36957" xr:uid="{00000000-0005-0000-0000-0000238E0000}"/>
    <cellStyle name="Normal 8 2 2 5" xfId="36958" xr:uid="{00000000-0005-0000-0000-0000248E0000}"/>
    <cellStyle name="Normal 8 2 2 6" xfId="36959" xr:uid="{00000000-0005-0000-0000-0000258E0000}"/>
    <cellStyle name="Normal 8 2 3" xfId="36960" xr:uid="{00000000-0005-0000-0000-0000268E0000}"/>
    <cellStyle name="Normal 8 2 3 2" xfId="36961" xr:uid="{00000000-0005-0000-0000-0000278E0000}"/>
    <cellStyle name="Normal 8 2 3 3" xfId="36962" xr:uid="{00000000-0005-0000-0000-0000288E0000}"/>
    <cellStyle name="Normal 8 2 3 4" xfId="36963" xr:uid="{00000000-0005-0000-0000-0000298E0000}"/>
    <cellStyle name="Normal 8 2 3 5" xfId="36964" xr:uid="{00000000-0005-0000-0000-00002A8E0000}"/>
    <cellStyle name="Normal 8 2 3 6" xfId="36965" xr:uid="{00000000-0005-0000-0000-00002B8E0000}"/>
    <cellStyle name="Normal 8 2 4" xfId="36966" xr:uid="{00000000-0005-0000-0000-00002C8E0000}"/>
    <cellStyle name="Normal 8 2 4 2" xfId="36967" xr:uid="{00000000-0005-0000-0000-00002D8E0000}"/>
    <cellStyle name="Normal 8 2 4 3" xfId="36968" xr:uid="{00000000-0005-0000-0000-00002E8E0000}"/>
    <cellStyle name="Normal 8 2 4 4" xfId="36969" xr:uid="{00000000-0005-0000-0000-00002F8E0000}"/>
    <cellStyle name="Normal 8 2 4 5" xfId="36970" xr:uid="{00000000-0005-0000-0000-0000308E0000}"/>
    <cellStyle name="Normal 8 2 4 6" xfId="36971" xr:uid="{00000000-0005-0000-0000-0000318E0000}"/>
    <cellStyle name="Normal 8 2 5" xfId="36972" xr:uid="{00000000-0005-0000-0000-0000328E0000}"/>
    <cellStyle name="Normal 8 2 5 2" xfId="36973" xr:uid="{00000000-0005-0000-0000-0000338E0000}"/>
    <cellStyle name="Normal 8 2 5 3" xfId="36974" xr:uid="{00000000-0005-0000-0000-0000348E0000}"/>
    <cellStyle name="Normal 8 2 5 4" xfId="36975" xr:uid="{00000000-0005-0000-0000-0000358E0000}"/>
    <cellStyle name="Normal 8 2 5 5" xfId="36976" xr:uid="{00000000-0005-0000-0000-0000368E0000}"/>
    <cellStyle name="Normal 8 2 5 6" xfId="36977" xr:uid="{00000000-0005-0000-0000-0000378E0000}"/>
    <cellStyle name="Normal 8 2 6" xfId="36978" xr:uid="{00000000-0005-0000-0000-0000388E0000}"/>
    <cellStyle name="Normal 8 2 6 2" xfId="36979" xr:uid="{00000000-0005-0000-0000-0000398E0000}"/>
    <cellStyle name="Normal 8 2 6 3" xfId="36980" xr:uid="{00000000-0005-0000-0000-00003A8E0000}"/>
    <cellStyle name="Normal 8 2 6 4" xfId="36981" xr:uid="{00000000-0005-0000-0000-00003B8E0000}"/>
    <cellStyle name="Normal 8 2 6 5" xfId="36982" xr:uid="{00000000-0005-0000-0000-00003C8E0000}"/>
    <cellStyle name="Normal 8 2 6 6" xfId="36983" xr:uid="{00000000-0005-0000-0000-00003D8E0000}"/>
    <cellStyle name="Normal 8 2 7" xfId="36984" xr:uid="{00000000-0005-0000-0000-00003E8E0000}"/>
    <cellStyle name="Normal 8 2 7 2" xfId="36985" xr:uid="{00000000-0005-0000-0000-00003F8E0000}"/>
    <cellStyle name="Normal 8 2 7 3" xfId="36986" xr:uid="{00000000-0005-0000-0000-0000408E0000}"/>
    <cellStyle name="Normal 8 2 7 4" xfId="36987" xr:uid="{00000000-0005-0000-0000-0000418E0000}"/>
    <cellStyle name="Normal 8 2 7 5" xfId="36988" xr:uid="{00000000-0005-0000-0000-0000428E0000}"/>
    <cellStyle name="Normal 8 2 7 6" xfId="36989" xr:uid="{00000000-0005-0000-0000-0000438E0000}"/>
    <cellStyle name="Normal 8 2 8" xfId="36990" xr:uid="{00000000-0005-0000-0000-0000448E0000}"/>
    <cellStyle name="Normal 8 2 8 2" xfId="36991" xr:uid="{00000000-0005-0000-0000-0000458E0000}"/>
    <cellStyle name="Normal 8 2 8 3" xfId="36992" xr:uid="{00000000-0005-0000-0000-0000468E0000}"/>
    <cellStyle name="Normal 8 2 8 4" xfId="36993" xr:uid="{00000000-0005-0000-0000-0000478E0000}"/>
    <cellStyle name="Normal 8 2 8 5" xfId="36994" xr:uid="{00000000-0005-0000-0000-0000488E0000}"/>
    <cellStyle name="Normal 8 2 8 6" xfId="36995" xr:uid="{00000000-0005-0000-0000-0000498E0000}"/>
    <cellStyle name="Normal 8 2 9" xfId="36996" xr:uid="{00000000-0005-0000-0000-00004A8E0000}"/>
    <cellStyle name="Normal 8 20" xfId="36997" xr:uid="{00000000-0005-0000-0000-00004B8E0000}"/>
    <cellStyle name="Normal 8 20 10" xfId="36998" xr:uid="{00000000-0005-0000-0000-00004C8E0000}"/>
    <cellStyle name="Normal 8 20 11" xfId="36999" xr:uid="{00000000-0005-0000-0000-00004D8E0000}"/>
    <cellStyle name="Normal 8 20 12" xfId="37000" xr:uid="{00000000-0005-0000-0000-00004E8E0000}"/>
    <cellStyle name="Normal 8 20 13" xfId="37001" xr:uid="{00000000-0005-0000-0000-00004F8E0000}"/>
    <cellStyle name="Normal 8 20 2" xfId="37002" xr:uid="{00000000-0005-0000-0000-0000508E0000}"/>
    <cellStyle name="Normal 8 20 2 2" xfId="37003" xr:uid="{00000000-0005-0000-0000-0000518E0000}"/>
    <cellStyle name="Normal 8 20 2 3" xfId="37004" xr:uid="{00000000-0005-0000-0000-0000528E0000}"/>
    <cellStyle name="Normal 8 20 2 4" xfId="37005" xr:uid="{00000000-0005-0000-0000-0000538E0000}"/>
    <cellStyle name="Normal 8 20 2 5" xfId="37006" xr:uid="{00000000-0005-0000-0000-0000548E0000}"/>
    <cellStyle name="Normal 8 20 2 6" xfId="37007" xr:uid="{00000000-0005-0000-0000-0000558E0000}"/>
    <cellStyle name="Normal 8 20 3" xfId="37008" xr:uid="{00000000-0005-0000-0000-0000568E0000}"/>
    <cellStyle name="Normal 8 20 3 2" xfId="37009" xr:uid="{00000000-0005-0000-0000-0000578E0000}"/>
    <cellStyle name="Normal 8 20 3 3" xfId="37010" xr:uid="{00000000-0005-0000-0000-0000588E0000}"/>
    <cellStyle name="Normal 8 20 3 4" xfId="37011" xr:uid="{00000000-0005-0000-0000-0000598E0000}"/>
    <cellStyle name="Normal 8 20 3 5" xfId="37012" xr:uid="{00000000-0005-0000-0000-00005A8E0000}"/>
    <cellStyle name="Normal 8 20 3 6" xfId="37013" xr:uid="{00000000-0005-0000-0000-00005B8E0000}"/>
    <cellStyle name="Normal 8 20 4" xfId="37014" xr:uid="{00000000-0005-0000-0000-00005C8E0000}"/>
    <cellStyle name="Normal 8 20 4 2" xfId="37015" xr:uid="{00000000-0005-0000-0000-00005D8E0000}"/>
    <cellStyle name="Normal 8 20 4 3" xfId="37016" xr:uid="{00000000-0005-0000-0000-00005E8E0000}"/>
    <cellStyle name="Normal 8 20 4 4" xfId="37017" xr:uid="{00000000-0005-0000-0000-00005F8E0000}"/>
    <cellStyle name="Normal 8 20 4 5" xfId="37018" xr:uid="{00000000-0005-0000-0000-0000608E0000}"/>
    <cellStyle name="Normal 8 20 4 6" xfId="37019" xr:uid="{00000000-0005-0000-0000-0000618E0000}"/>
    <cellStyle name="Normal 8 20 5" xfId="37020" xr:uid="{00000000-0005-0000-0000-0000628E0000}"/>
    <cellStyle name="Normal 8 20 5 2" xfId="37021" xr:uid="{00000000-0005-0000-0000-0000638E0000}"/>
    <cellStyle name="Normal 8 20 5 3" xfId="37022" xr:uid="{00000000-0005-0000-0000-0000648E0000}"/>
    <cellStyle name="Normal 8 20 5 4" xfId="37023" xr:uid="{00000000-0005-0000-0000-0000658E0000}"/>
    <cellStyle name="Normal 8 20 5 5" xfId="37024" xr:uid="{00000000-0005-0000-0000-0000668E0000}"/>
    <cellStyle name="Normal 8 20 5 6" xfId="37025" xr:uid="{00000000-0005-0000-0000-0000678E0000}"/>
    <cellStyle name="Normal 8 20 6" xfId="37026" xr:uid="{00000000-0005-0000-0000-0000688E0000}"/>
    <cellStyle name="Normal 8 20 6 2" xfId="37027" xr:uid="{00000000-0005-0000-0000-0000698E0000}"/>
    <cellStyle name="Normal 8 20 6 3" xfId="37028" xr:uid="{00000000-0005-0000-0000-00006A8E0000}"/>
    <cellStyle name="Normal 8 20 6 4" xfId="37029" xr:uid="{00000000-0005-0000-0000-00006B8E0000}"/>
    <cellStyle name="Normal 8 20 6 5" xfId="37030" xr:uid="{00000000-0005-0000-0000-00006C8E0000}"/>
    <cellStyle name="Normal 8 20 6 6" xfId="37031" xr:uid="{00000000-0005-0000-0000-00006D8E0000}"/>
    <cellStyle name="Normal 8 20 7" xfId="37032" xr:uid="{00000000-0005-0000-0000-00006E8E0000}"/>
    <cellStyle name="Normal 8 20 7 2" xfId="37033" xr:uid="{00000000-0005-0000-0000-00006F8E0000}"/>
    <cellStyle name="Normal 8 20 7 3" xfId="37034" xr:uid="{00000000-0005-0000-0000-0000708E0000}"/>
    <cellStyle name="Normal 8 20 7 4" xfId="37035" xr:uid="{00000000-0005-0000-0000-0000718E0000}"/>
    <cellStyle name="Normal 8 20 7 5" xfId="37036" xr:uid="{00000000-0005-0000-0000-0000728E0000}"/>
    <cellStyle name="Normal 8 20 7 6" xfId="37037" xr:uid="{00000000-0005-0000-0000-0000738E0000}"/>
    <cellStyle name="Normal 8 20 8" xfId="37038" xr:uid="{00000000-0005-0000-0000-0000748E0000}"/>
    <cellStyle name="Normal 8 20 8 2" xfId="37039" xr:uid="{00000000-0005-0000-0000-0000758E0000}"/>
    <cellStyle name="Normal 8 20 8 3" xfId="37040" xr:uid="{00000000-0005-0000-0000-0000768E0000}"/>
    <cellStyle name="Normal 8 20 8 4" xfId="37041" xr:uid="{00000000-0005-0000-0000-0000778E0000}"/>
    <cellStyle name="Normal 8 20 8 5" xfId="37042" xr:uid="{00000000-0005-0000-0000-0000788E0000}"/>
    <cellStyle name="Normal 8 20 8 6" xfId="37043" xr:uid="{00000000-0005-0000-0000-0000798E0000}"/>
    <cellStyle name="Normal 8 20 9" xfId="37044" xr:uid="{00000000-0005-0000-0000-00007A8E0000}"/>
    <cellStyle name="Normal 8 21" xfId="37045" xr:uid="{00000000-0005-0000-0000-00007B8E0000}"/>
    <cellStyle name="Normal 8 21 10" xfId="37046" xr:uid="{00000000-0005-0000-0000-00007C8E0000}"/>
    <cellStyle name="Normal 8 21 11" xfId="37047" xr:uid="{00000000-0005-0000-0000-00007D8E0000}"/>
    <cellStyle name="Normal 8 21 12" xfId="37048" xr:uid="{00000000-0005-0000-0000-00007E8E0000}"/>
    <cellStyle name="Normal 8 21 13" xfId="37049" xr:uid="{00000000-0005-0000-0000-00007F8E0000}"/>
    <cellStyle name="Normal 8 21 2" xfId="37050" xr:uid="{00000000-0005-0000-0000-0000808E0000}"/>
    <cellStyle name="Normal 8 21 2 2" xfId="37051" xr:uid="{00000000-0005-0000-0000-0000818E0000}"/>
    <cellStyle name="Normal 8 21 2 3" xfId="37052" xr:uid="{00000000-0005-0000-0000-0000828E0000}"/>
    <cellStyle name="Normal 8 21 2 4" xfId="37053" xr:uid="{00000000-0005-0000-0000-0000838E0000}"/>
    <cellStyle name="Normal 8 21 2 5" xfId="37054" xr:uid="{00000000-0005-0000-0000-0000848E0000}"/>
    <cellStyle name="Normal 8 21 2 6" xfId="37055" xr:uid="{00000000-0005-0000-0000-0000858E0000}"/>
    <cellStyle name="Normal 8 21 3" xfId="37056" xr:uid="{00000000-0005-0000-0000-0000868E0000}"/>
    <cellStyle name="Normal 8 21 3 2" xfId="37057" xr:uid="{00000000-0005-0000-0000-0000878E0000}"/>
    <cellStyle name="Normal 8 21 3 3" xfId="37058" xr:uid="{00000000-0005-0000-0000-0000888E0000}"/>
    <cellStyle name="Normal 8 21 3 4" xfId="37059" xr:uid="{00000000-0005-0000-0000-0000898E0000}"/>
    <cellStyle name="Normal 8 21 3 5" xfId="37060" xr:uid="{00000000-0005-0000-0000-00008A8E0000}"/>
    <cellStyle name="Normal 8 21 3 6" xfId="37061" xr:uid="{00000000-0005-0000-0000-00008B8E0000}"/>
    <cellStyle name="Normal 8 21 4" xfId="37062" xr:uid="{00000000-0005-0000-0000-00008C8E0000}"/>
    <cellStyle name="Normal 8 21 4 2" xfId="37063" xr:uid="{00000000-0005-0000-0000-00008D8E0000}"/>
    <cellStyle name="Normal 8 21 4 3" xfId="37064" xr:uid="{00000000-0005-0000-0000-00008E8E0000}"/>
    <cellStyle name="Normal 8 21 4 4" xfId="37065" xr:uid="{00000000-0005-0000-0000-00008F8E0000}"/>
    <cellStyle name="Normal 8 21 4 5" xfId="37066" xr:uid="{00000000-0005-0000-0000-0000908E0000}"/>
    <cellStyle name="Normal 8 21 4 6" xfId="37067" xr:uid="{00000000-0005-0000-0000-0000918E0000}"/>
    <cellStyle name="Normal 8 21 5" xfId="37068" xr:uid="{00000000-0005-0000-0000-0000928E0000}"/>
    <cellStyle name="Normal 8 21 5 2" xfId="37069" xr:uid="{00000000-0005-0000-0000-0000938E0000}"/>
    <cellStyle name="Normal 8 21 5 3" xfId="37070" xr:uid="{00000000-0005-0000-0000-0000948E0000}"/>
    <cellStyle name="Normal 8 21 5 4" xfId="37071" xr:uid="{00000000-0005-0000-0000-0000958E0000}"/>
    <cellStyle name="Normal 8 21 5 5" xfId="37072" xr:uid="{00000000-0005-0000-0000-0000968E0000}"/>
    <cellStyle name="Normal 8 21 5 6" xfId="37073" xr:uid="{00000000-0005-0000-0000-0000978E0000}"/>
    <cellStyle name="Normal 8 21 6" xfId="37074" xr:uid="{00000000-0005-0000-0000-0000988E0000}"/>
    <cellStyle name="Normal 8 21 6 2" xfId="37075" xr:uid="{00000000-0005-0000-0000-0000998E0000}"/>
    <cellStyle name="Normal 8 21 6 3" xfId="37076" xr:uid="{00000000-0005-0000-0000-00009A8E0000}"/>
    <cellStyle name="Normal 8 21 6 4" xfId="37077" xr:uid="{00000000-0005-0000-0000-00009B8E0000}"/>
    <cellStyle name="Normal 8 21 6 5" xfId="37078" xr:uid="{00000000-0005-0000-0000-00009C8E0000}"/>
    <cellStyle name="Normal 8 21 6 6" xfId="37079" xr:uid="{00000000-0005-0000-0000-00009D8E0000}"/>
    <cellStyle name="Normal 8 21 7" xfId="37080" xr:uid="{00000000-0005-0000-0000-00009E8E0000}"/>
    <cellStyle name="Normal 8 21 7 2" xfId="37081" xr:uid="{00000000-0005-0000-0000-00009F8E0000}"/>
    <cellStyle name="Normal 8 21 7 3" xfId="37082" xr:uid="{00000000-0005-0000-0000-0000A08E0000}"/>
    <cellStyle name="Normal 8 21 7 4" xfId="37083" xr:uid="{00000000-0005-0000-0000-0000A18E0000}"/>
    <cellStyle name="Normal 8 21 7 5" xfId="37084" xr:uid="{00000000-0005-0000-0000-0000A28E0000}"/>
    <cellStyle name="Normal 8 21 7 6" xfId="37085" xr:uid="{00000000-0005-0000-0000-0000A38E0000}"/>
    <cellStyle name="Normal 8 21 8" xfId="37086" xr:uid="{00000000-0005-0000-0000-0000A48E0000}"/>
    <cellStyle name="Normal 8 21 8 2" xfId="37087" xr:uid="{00000000-0005-0000-0000-0000A58E0000}"/>
    <cellStyle name="Normal 8 21 8 3" xfId="37088" xr:uid="{00000000-0005-0000-0000-0000A68E0000}"/>
    <cellStyle name="Normal 8 21 8 4" xfId="37089" xr:uid="{00000000-0005-0000-0000-0000A78E0000}"/>
    <cellStyle name="Normal 8 21 8 5" xfId="37090" xr:uid="{00000000-0005-0000-0000-0000A88E0000}"/>
    <cellStyle name="Normal 8 21 8 6" xfId="37091" xr:uid="{00000000-0005-0000-0000-0000A98E0000}"/>
    <cellStyle name="Normal 8 21 9" xfId="37092" xr:uid="{00000000-0005-0000-0000-0000AA8E0000}"/>
    <cellStyle name="Normal 8 22" xfId="37093" xr:uid="{00000000-0005-0000-0000-0000AB8E0000}"/>
    <cellStyle name="Normal 8 22 10" xfId="37094" xr:uid="{00000000-0005-0000-0000-0000AC8E0000}"/>
    <cellStyle name="Normal 8 22 11" xfId="37095" xr:uid="{00000000-0005-0000-0000-0000AD8E0000}"/>
    <cellStyle name="Normal 8 22 12" xfId="37096" xr:uid="{00000000-0005-0000-0000-0000AE8E0000}"/>
    <cellStyle name="Normal 8 22 13" xfId="37097" xr:uid="{00000000-0005-0000-0000-0000AF8E0000}"/>
    <cellStyle name="Normal 8 22 2" xfId="37098" xr:uid="{00000000-0005-0000-0000-0000B08E0000}"/>
    <cellStyle name="Normal 8 22 2 2" xfId="37099" xr:uid="{00000000-0005-0000-0000-0000B18E0000}"/>
    <cellStyle name="Normal 8 22 2 3" xfId="37100" xr:uid="{00000000-0005-0000-0000-0000B28E0000}"/>
    <cellStyle name="Normal 8 22 2 4" xfId="37101" xr:uid="{00000000-0005-0000-0000-0000B38E0000}"/>
    <cellStyle name="Normal 8 22 2 5" xfId="37102" xr:uid="{00000000-0005-0000-0000-0000B48E0000}"/>
    <cellStyle name="Normal 8 22 2 6" xfId="37103" xr:uid="{00000000-0005-0000-0000-0000B58E0000}"/>
    <cellStyle name="Normal 8 22 3" xfId="37104" xr:uid="{00000000-0005-0000-0000-0000B68E0000}"/>
    <cellStyle name="Normal 8 22 3 2" xfId="37105" xr:uid="{00000000-0005-0000-0000-0000B78E0000}"/>
    <cellStyle name="Normal 8 22 3 3" xfId="37106" xr:uid="{00000000-0005-0000-0000-0000B88E0000}"/>
    <cellStyle name="Normal 8 22 3 4" xfId="37107" xr:uid="{00000000-0005-0000-0000-0000B98E0000}"/>
    <cellStyle name="Normal 8 22 3 5" xfId="37108" xr:uid="{00000000-0005-0000-0000-0000BA8E0000}"/>
    <cellStyle name="Normal 8 22 3 6" xfId="37109" xr:uid="{00000000-0005-0000-0000-0000BB8E0000}"/>
    <cellStyle name="Normal 8 22 4" xfId="37110" xr:uid="{00000000-0005-0000-0000-0000BC8E0000}"/>
    <cellStyle name="Normal 8 22 4 2" xfId="37111" xr:uid="{00000000-0005-0000-0000-0000BD8E0000}"/>
    <cellStyle name="Normal 8 22 4 3" xfId="37112" xr:uid="{00000000-0005-0000-0000-0000BE8E0000}"/>
    <cellStyle name="Normal 8 22 4 4" xfId="37113" xr:uid="{00000000-0005-0000-0000-0000BF8E0000}"/>
    <cellStyle name="Normal 8 22 4 5" xfId="37114" xr:uid="{00000000-0005-0000-0000-0000C08E0000}"/>
    <cellStyle name="Normal 8 22 4 6" xfId="37115" xr:uid="{00000000-0005-0000-0000-0000C18E0000}"/>
    <cellStyle name="Normal 8 22 5" xfId="37116" xr:uid="{00000000-0005-0000-0000-0000C28E0000}"/>
    <cellStyle name="Normal 8 22 5 2" xfId="37117" xr:uid="{00000000-0005-0000-0000-0000C38E0000}"/>
    <cellStyle name="Normal 8 22 5 3" xfId="37118" xr:uid="{00000000-0005-0000-0000-0000C48E0000}"/>
    <cellStyle name="Normal 8 22 5 4" xfId="37119" xr:uid="{00000000-0005-0000-0000-0000C58E0000}"/>
    <cellStyle name="Normal 8 22 5 5" xfId="37120" xr:uid="{00000000-0005-0000-0000-0000C68E0000}"/>
    <cellStyle name="Normal 8 22 5 6" xfId="37121" xr:uid="{00000000-0005-0000-0000-0000C78E0000}"/>
    <cellStyle name="Normal 8 22 6" xfId="37122" xr:uid="{00000000-0005-0000-0000-0000C88E0000}"/>
    <cellStyle name="Normal 8 22 6 2" xfId="37123" xr:uid="{00000000-0005-0000-0000-0000C98E0000}"/>
    <cellStyle name="Normal 8 22 6 3" xfId="37124" xr:uid="{00000000-0005-0000-0000-0000CA8E0000}"/>
    <cellStyle name="Normal 8 22 6 4" xfId="37125" xr:uid="{00000000-0005-0000-0000-0000CB8E0000}"/>
    <cellStyle name="Normal 8 22 6 5" xfId="37126" xr:uid="{00000000-0005-0000-0000-0000CC8E0000}"/>
    <cellStyle name="Normal 8 22 6 6" xfId="37127" xr:uid="{00000000-0005-0000-0000-0000CD8E0000}"/>
    <cellStyle name="Normal 8 22 7" xfId="37128" xr:uid="{00000000-0005-0000-0000-0000CE8E0000}"/>
    <cellStyle name="Normal 8 22 7 2" xfId="37129" xr:uid="{00000000-0005-0000-0000-0000CF8E0000}"/>
    <cellStyle name="Normal 8 22 7 3" xfId="37130" xr:uid="{00000000-0005-0000-0000-0000D08E0000}"/>
    <cellStyle name="Normal 8 22 7 4" xfId="37131" xr:uid="{00000000-0005-0000-0000-0000D18E0000}"/>
    <cellStyle name="Normal 8 22 7 5" xfId="37132" xr:uid="{00000000-0005-0000-0000-0000D28E0000}"/>
    <cellStyle name="Normal 8 22 7 6" xfId="37133" xr:uid="{00000000-0005-0000-0000-0000D38E0000}"/>
    <cellStyle name="Normal 8 22 8" xfId="37134" xr:uid="{00000000-0005-0000-0000-0000D48E0000}"/>
    <cellStyle name="Normal 8 22 8 2" xfId="37135" xr:uid="{00000000-0005-0000-0000-0000D58E0000}"/>
    <cellStyle name="Normal 8 22 8 3" xfId="37136" xr:uid="{00000000-0005-0000-0000-0000D68E0000}"/>
    <cellStyle name="Normal 8 22 8 4" xfId="37137" xr:uid="{00000000-0005-0000-0000-0000D78E0000}"/>
    <cellStyle name="Normal 8 22 8 5" xfId="37138" xr:uid="{00000000-0005-0000-0000-0000D88E0000}"/>
    <cellStyle name="Normal 8 22 8 6" xfId="37139" xr:uid="{00000000-0005-0000-0000-0000D98E0000}"/>
    <cellStyle name="Normal 8 22 9" xfId="37140" xr:uid="{00000000-0005-0000-0000-0000DA8E0000}"/>
    <cellStyle name="Normal 8 23" xfId="37141" xr:uid="{00000000-0005-0000-0000-0000DB8E0000}"/>
    <cellStyle name="Normal 8 23 10" xfId="37142" xr:uid="{00000000-0005-0000-0000-0000DC8E0000}"/>
    <cellStyle name="Normal 8 23 11" xfId="37143" xr:uid="{00000000-0005-0000-0000-0000DD8E0000}"/>
    <cellStyle name="Normal 8 23 12" xfId="37144" xr:uid="{00000000-0005-0000-0000-0000DE8E0000}"/>
    <cellStyle name="Normal 8 23 13" xfId="37145" xr:uid="{00000000-0005-0000-0000-0000DF8E0000}"/>
    <cellStyle name="Normal 8 23 2" xfId="37146" xr:uid="{00000000-0005-0000-0000-0000E08E0000}"/>
    <cellStyle name="Normal 8 23 2 2" xfId="37147" xr:uid="{00000000-0005-0000-0000-0000E18E0000}"/>
    <cellStyle name="Normal 8 23 2 3" xfId="37148" xr:uid="{00000000-0005-0000-0000-0000E28E0000}"/>
    <cellStyle name="Normal 8 23 2 4" xfId="37149" xr:uid="{00000000-0005-0000-0000-0000E38E0000}"/>
    <cellStyle name="Normal 8 23 2 5" xfId="37150" xr:uid="{00000000-0005-0000-0000-0000E48E0000}"/>
    <cellStyle name="Normal 8 23 2 6" xfId="37151" xr:uid="{00000000-0005-0000-0000-0000E58E0000}"/>
    <cellStyle name="Normal 8 23 3" xfId="37152" xr:uid="{00000000-0005-0000-0000-0000E68E0000}"/>
    <cellStyle name="Normal 8 23 3 2" xfId="37153" xr:uid="{00000000-0005-0000-0000-0000E78E0000}"/>
    <cellStyle name="Normal 8 23 3 3" xfId="37154" xr:uid="{00000000-0005-0000-0000-0000E88E0000}"/>
    <cellStyle name="Normal 8 23 3 4" xfId="37155" xr:uid="{00000000-0005-0000-0000-0000E98E0000}"/>
    <cellStyle name="Normal 8 23 3 5" xfId="37156" xr:uid="{00000000-0005-0000-0000-0000EA8E0000}"/>
    <cellStyle name="Normal 8 23 3 6" xfId="37157" xr:uid="{00000000-0005-0000-0000-0000EB8E0000}"/>
    <cellStyle name="Normal 8 23 4" xfId="37158" xr:uid="{00000000-0005-0000-0000-0000EC8E0000}"/>
    <cellStyle name="Normal 8 23 4 2" xfId="37159" xr:uid="{00000000-0005-0000-0000-0000ED8E0000}"/>
    <cellStyle name="Normal 8 23 4 3" xfId="37160" xr:uid="{00000000-0005-0000-0000-0000EE8E0000}"/>
    <cellStyle name="Normal 8 23 4 4" xfId="37161" xr:uid="{00000000-0005-0000-0000-0000EF8E0000}"/>
    <cellStyle name="Normal 8 23 4 5" xfId="37162" xr:uid="{00000000-0005-0000-0000-0000F08E0000}"/>
    <cellStyle name="Normal 8 23 4 6" xfId="37163" xr:uid="{00000000-0005-0000-0000-0000F18E0000}"/>
    <cellStyle name="Normal 8 23 5" xfId="37164" xr:uid="{00000000-0005-0000-0000-0000F28E0000}"/>
    <cellStyle name="Normal 8 23 5 2" xfId="37165" xr:uid="{00000000-0005-0000-0000-0000F38E0000}"/>
    <cellStyle name="Normal 8 23 5 3" xfId="37166" xr:uid="{00000000-0005-0000-0000-0000F48E0000}"/>
    <cellStyle name="Normal 8 23 5 4" xfId="37167" xr:uid="{00000000-0005-0000-0000-0000F58E0000}"/>
    <cellStyle name="Normal 8 23 5 5" xfId="37168" xr:uid="{00000000-0005-0000-0000-0000F68E0000}"/>
    <cellStyle name="Normal 8 23 5 6" xfId="37169" xr:uid="{00000000-0005-0000-0000-0000F78E0000}"/>
    <cellStyle name="Normal 8 23 6" xfId="37170" xr:uid="{00000000-0005-0000-0000-0000F88E0000}"/>
    <cellStyle name="Normal 8 23 6 2" xfId="37171" xr:uid="{00000000-0005-0000-0000-0000F98E0000}"/>
    <cellStyle name="Normal 8 23 6 3" xfId="37172" xr:uid="{00000000-0005-0000-0000-0000FA8E0000}"/>
    <cellStyle name="Normal 8 23 6 4" xfId="37173" xr:uid="{00000000-0005-0000-0000-0000FB8E0000}"/>
    <cellStyle name="Normal 8 23 6 5" xfId="37174" xr:uid="{00000000-0005-0000-0000-0000FC8E0000}"/>
    <cellStyle name="Normal 8 23 6 6" xfId="37175" xr:uid="{00000000-0005-0000-0000-0000FD8E0000}"/>
    <cellStyle name="Normal 8 23 7" xfId="37176" xr:uid="{00000000-0005-0000-0000-0000FE8E0000}"/>
    <cellStyle name="Normal 8 23 7 2" xfId="37177" xr:uid="{00000000-0005-0000-0000-0000FF8E0000}"/>
    <cellStyle name="Normal 8 23 7 3" xfId="37178" xr:uid="{00000000-0005-0000-0000-0000008F0000}"/>
    <cellStyle name="Normal 8 23 7 4" xfId="37179" xr:uid="{00000000-0005-0000-0000-0000018F0000}"/>
    <cellStyle name="Normal 8 23 7 5" xfId="37180" xr:uid="{00000000-0005-0000-0000-0000028F0000}"/>
    <cellStyle name="Normal 8 23 7 6" xfId="37181" xr:uid="{00000000-0005-0000-0000-0000038F0000}"/>
    <cellStyle name="Normal 8 23 8" xfId="37182" xr:uid="{00000000-0005-0000-0000-0000048F0000}"/>
    <cellStyle name="Normal 8 23 8 2" xfId="37183" xr:uid="{00000000-0005-0000-0000-0000058F0000}"/>
    <cellStyle name="Normal 8 23 8 3" xfId="37184" xr:uid="{00000000-0005-0000-0000-0000068F0000}"/>
    <cellStyle name="Normal 8 23 8 4" xfId="37185" xr:uid="{00000000-0005-0000-0000-0000078F0000}"/>
    <cellStyle name="Normal 8 23 8 5" xfId="37186" xr:uid="{00000000-0005-0000-0000-0000088F0000}"/>
    <cellStyle name="Normal 8 23 8 6" xfId="37187" xr:uid="{00000000-0005-0000-0000-0000098F0000}"/>
    <cellStyle name="Normal 8 23 9" xfId="37188" xr:uid="{00000000-0005-0000-0000-00000A8F0000}"/>
    <cellStyle name="Normal 8 24" xfId="37189" xr:uid="{00000000-0005-0000-0000-00000B8F0000}"/>
    <cellStyle name="Normal 8 24 10" xfId="37190" xr:uid="{00000000-0005-0000-0000-00000C8F0000}"/>
    <cellStyle name="Normal 8 24 11" xfId="37191" xr:uid="{00000000-0005-0000-0000-00000D8F0000}"/>
    <cellStyle name="Normal 8 24 12" xfId="37192" xr:uid="{00000000-0005-0000-0000-00000E8F0000}"/>
    <cellStyle name="Normal 8 24 13" xfId="37193" xr:uid="{00000000-0005-0000-0000-00000F8F0000}"/>
    <cellStyle name="Normal 8 24 2" xfId="37194" xr:uid="{00000000-0005-0000-0000-0000108F0000}"/>
    <cellStyle name="Normal 8 24 2 2" xfId="37195" xr:uid="{00000000-0005-0000-0000-0000118F0000}"/>
    <cellStyle name="Normal 8 24 2 3" xfId="37196" xr:uid="{00000000-0005-0000-0000-0000128F0000}"/>
    <cellStyle name="Normal 8 24 2 4" xfId="37197" xr:uid="{00000000-0005-0000-0000-0000138F0000}"/>
    <cellStyle name="Normal 8 24 2 5" xfId="37198" xr:uid="{00000000-0005-0000-0000-0000148F0000}"/>
    <cellStyle name="Normal 8 24 2 6" xfId="37199" xr:uid="{00000000-0005-0000-0000-0000158F0000}"/>
    <cellStyle name="Normal 8 24 3" xfId="37200" xr:uid="{00000000-0005-0000-0000-0000168F0000}"/>
    <cellStyle name="Normal 8 24 3 2" xfId="37201" xr:uid="{00000000-0005-0000-0000-0000178F0000}"/>
    <cellStyle name="Normal 8 24 3 3" xfId="37202" xr:uid="{00000000-0005-0000-0000-0000188F0000}"/>
    <cellStyle name="Normal 8 24 3 4" xfId="37203" xr:uid="{00000000-0005-0000-0000-0000198F0000}"/>
    <cellStyle name="Normal 8 24 3 5" xfId="37204" xr:uid="{00000000-0005-0000-0000-00001A8F0000}"/>
    <cellStyle name="Normal 8 24 3 6" xfId="37205" xr:uid="{00000000-0005-0000-0000-00001B8F0000}"/>
    <cellStyle name="Normal 8 24 4" xfId="37206" xr:uid="{00000000-0005-0000-0000-00001C8F0000}"/>
    <cellStyle name="Normal 8 24 4 2" xfId="37207" xr:uid="{00000000-0005-0000-0000-00001D8F0000}"/>
    <cellStyle name="Normal 8 24 4 3" xfId="37208" xr:uid="{00000000-0005-0000-0000-00001E8F0000}"/>
    <cellStyle name="Normal 8 24 4 4" xfId="37209" xr:uid="{00000000-0005-0000-0000-00001F8F0000}"/>
    <cellStyle name="Normal 8 24 4 5" xfId="37210" xr:uid="{00000000-0005-0000-0000-0000208F0000}"/>
    <cellStyle name="Normal 8 24 4 6" xfId="37211" xr:uid="{00000000-0005-0000-0000-0000218F0000}"/>
    <cellStyle name="Normal 8 24 5" xfId="37212" xr:uid="{00000000-0005-0000-0000-0000228F0000}"/>
    <cellStyle name="Normal 8 24 5 2" xfId="37213" xr:uid="{00000000-0005-0000-0000-0000238F0000}"/>
    <cellStyle name="Normal 8 24 5 3" xfId="37214" xr:uid="{00000000-0005-0000-0000-0000248F0000}"/>
    <cellStyle name="Normal 8 24 5 4" xfId="37215" xr:uid="{00000000-0005-0000-0000-0000258F0000}"/>
    <cellStyle name="Normal 8 24 5 5" xfId="37216" xr:uid="{00000000-0005-0000-0000-0000268F0000}"/>
    <cellStyle name="Normal 8 24 5 6" xfId="37217" xr:uid="{00000000-0005-0000-0000-0000278F0000}"/>
    <cellStyle name="Normal 8 24 6" xfId="37218" xr:uid="{00000000-0005-0000-0000-0000288F0000}"/>
    <cellStyle name="Normal 8 24 6 2" xfId="37219" xr:uid="{00000000-0005-0000-0000-0000298F0000}"/>
    <cellStyle name="Normal 8 24 6 3" xfId="37220" xr:uid="{00000000-0005-0000-0000-00002A8F0000}"/>
    <cellStyle name="Normal 8 24 6 4" xfId="37221" xr:uid="{00000000-0005-0000-0000-00002B8F0000}"/>
    <cellStyle name="Normal 8 24 6 5" xfId="37222" xr:uid="{00000000-0005-0000-0000-00002C8F0000}"/>
    <cellStyle name="Normal 8 24 6 6" xfId="37223" xr:uid="{00000000-0005-0000-0000-00002D8F0000}"/>
    <cellStyle name="Normal 8 24 7" xfId="37224" xr:uid="{00000000-0005-0000-0000-00002E8F0000}"/>
    <cellStyle name="Normal 8 24 7 2" xfId="37225" xr:uid="{00000000-0005-0000-0000-00002F8F0000}"/>
    <cellStyle name="Normal 8 24 7 3" xfId="37226" xr:uid="{00000000-0005-0000-0000-0000308F0000}"/>
    <cellStyle name="Normal 8 24 7 4" xfId="37227" xr:uid="{00000000-0005-0000-0000-0000318F0000}"/>
    <cellStyle name="Normal 8 24 7 5" xfId="37228" xr:uid="{00000000-0005-0000-0000-0000328F0000}"/>
    <cellStyle name="Normal 8 24 7 6" xfId="37229" xr:uid="{00000000-0005-0000-0000-0000338F0000}"/>
    <cellStyle name="Normal 8 24 8" xfId="37230" xr:uid="{00000000-0005-0000-0000-0000348F0000}"/>
    <cellStyle name="Normal 8 24 8 2" xfId="37231" xr:uid="{00000000-0005-0000-0000-0000358F0000}"/>
    <cellStyle name="Normal 8 24 8 3" xfId="37232" xr:uid="{00000000-0005-0000-0000-0000368F0000}"/>
    <cellStyle name="Normal 8 24 8 4" xfId="37233" xr:uid="{00000000-0005-0000-0000-0000378F0000}"/>
    <cellStyle name="Normal 8 24 8 5" xfId="37234" xr:uid="{00000000-0005-0000-0000-0000388F0000}"/>
    <cellStyle name="Normal 8 24 8 6" xfId="37235" xr:uid="{00000000-0005-0000-0000-0000398F0000}"/>
    <cellStyle name="Normal 8 24 9" xfId="37236" xr:uid="{00000000-0005-0000-0000-00003A8F0000}"/>
    <cellStyle name="Normal 8 25" xfId="37237" xr:uid="{00000000-0005-0000-0000-00003B8F0000}"/>
    <cellStyle name="Normal 8 25 10" xfId="37238" xr:uid="{00000000-0005-0000-0000-00003C8F0000}"/>
    <cellStyle name="Normal 8 25 11" xfId="37239" xr:uid="{00000000-0005-0000-0000-00003D8F0000}"/>
    <cellStyle name="Normal 8 25 12" xfId="37240" xr:uid="{00000000-0005-0000-0000-00003E8F0000}"/>
    <cellStyle name="Normal 8 25 13" xfId="37241" xr:uid="{00000000-0005-0000-0000-00003F8F0000}"/>
    <cellStyle name="Normal 8 25 2" xfId="37242" xr:uid="{00000000-0005-0000-0000-0000408F0000}"/>
    <cellStyle name="Normal 8 25 2 2" xfId="37243" xr:uid="{00000000-0005-0000-0000-0000418F0000}"/>
    <cellStyle name="Normal 8 25 2 3" xfId="37244" xr:uid="{00000000-0005-0000-0000-0000428F0000}"/>
    <cellStyle name="Normal 8 25 2 4" xfId="37245" xr:uid="{00000000-0005-0000-0000-0000438F0000}"/>
    <cellStyle name="Normal 8 25 2 5" xfId="37246" xr:uid="{00000000-0005-0000-0000-0000448F0000}"/>
    <cellStyle name="Normal 8 25 2 6" xfId="37247" xr:uid="{00000000-0005-0000-0000-0000458F0000}"/>
    <cellStyle name="Normal 8 25 3" xfId="37248" xr:uid="{00000000-0005-0000-0000-0000468F0000}"/>
    <cellStyle name="Normal 8 25 3 2" xfId="37249" xr:uid="{00000000-0005-0000-0000-0000478F0000}"/>
    <cellStyle name="Normal 8 25 3 3" xfId="37250" xr:uid="{00000000-0005-0000-0000-0000488F0000}"/>
    <cellStyle name="Normal 8 25 3 4" xfId="37251" xr:uid="{00000000-0005-0000-0000-0000498F0000}"/>
    <cellStyle name="Normal 8 25 3 5" xfId="37252" xr:uid="{00000000-0005-0000-0000-00004A8F0000}"/>
    <cellStyle name="Normal 8 25 3 6" xfId="37253" xr:uid="{00000000-0005-0000-0000-00004B8F0000}"/>
    <cellStyle name="Normal 8 25 4" xfId="37254" xr:uid="{00000000-0005-0000-0000-00004C8F0000}"/>
    <cellStyle name="Normal 8 25 4 2" xfId="37255" xr:uid="{00000000-0005-0000-0000-00004D8F0000}"/>
    <cellStyle name="Normal 8 25 4 3" xfId="37256" xr:uid="{00000000-0005-0000-0000-00004E8F0000}"/>
    <cellStyle name="Normal 8 25 4 4" xfId="37257" xr:uid="{00000000-0005-0000-0000-00004F8F0000}"/>
    <cellStyle name="Normal 8 25 4 5" xfId="37258" xr:uid="{00000000-0005-0000-0000-0000508F0000}"/>
    <cellStyle name="Normal 8 25 4 6" xfId="37259" xr:uid="{00000000-0005-0000-0000-0000518F0000}"/>
    <cellStyle name="Normal 8 25 5" xfId="37260" xr:uid="{00000000-0005-0000-0000-0000528F0000}"/>
    <cellStyle name="Normal 8 25 5 2" xfId="37261" xr:uid="{00000000-0005-0000-0000-0000538F0000}"/>
    <cellStyle name="Normal 8 25 5 3" xfId="37262" xr:uid="{00000000-0005-0000-0000-0000548F0000}"/>
    <cellStyle name="Normal 8 25 5 4" xfId="37263" xr:uid="{00000000-0005-0000-0000-0000558F0000}"/>
    <cellStyle name="Normal 8 25 5 5" xfId="37264" xr:uid="{00000000-0005-0000-0000-0000568F0000}"/>
    <cellStyle name="Normal 8 25 5 6" xfId="37265" xr:uid="{00000000-0005-0000-0000-0000578F0000}"/>
    <cellStyle name="Normal 8 25 6" xfId="37266" xr:uid="{00000000-0005-0000-0000-0000588F0000}"/>
    <cellStyle name="Normal 8 25 6 2" xfId="37267" xr:uid="{00000000-0005-0000-0000-0000598F0000}"/>
    <cellStyle name="Normal 8 25 6 3" xfId="37268" xr:uid="{00000000-0005-0000-0000-00005A8F0000}"/>
    <cellStyle name="Normal 8 25 6 4" xfId="37269" xr:uid="{00000000-0005-0000-0000-00005B8F0000}"/>
    <cellStyle name="Normal 8 25 6 5" xfId="37270" xr:uid="{00000000-0005-0000-0000-00005C8F0000}"/>
    <cellStyle name="Normal 8 25 6 6" xfId="37271" xr:uid="{00000000-0005-0000-0000-00005D8F0000}"/>
    <cellStyle name="Normal 8 25 7" xfId="37272" xr:uid="{00000000-0005-0000-0000-00005E8F0000}"/>
    <cellStyle name="Normal 8 25 7 2" xfId="37273" xr:uid="{00000000-0005-0000-0000-00005F8F0000}"/>
    <cellStyle name="Normal 8 25 7 3" xfId="37274" xr:uid="{00000000-0005-0000-0000-0000608F0000}"/>
    <cellStyle name="Normal 8 25 7 4" xfId="37275" xr:uid="{00000000-0005-0000-0000-0000618F0000}"/>
    <cellStyle name="Normal 8 25 7 5" xfId="37276" xr:uid="{00000000-0005-0000-0000-0000628F0000}"/>
    <cellStyle name="Normal 8 25 7 6" xfId="37277" xr:uid="{00000000-0005-0000-0000-0000638F0000}"/>
    <cellStyle name="Normal 8 25 8" xfId="37278" xr:uid="{00000000-0005-0000-0000-0000648F0000}"/>
    <cellStyle name="Normal 8 25 8 2" xfId="37279" xr:uid="{00000000-0005-0000-0000-0000658F0000}"/>
    <cellStyle name="Normal 8 25 8 3" xfId="37280" xr:uid="{00000000-0005-0000-0000-0000668F0000}"/>
    <cellStyle name="Normal 8 25 8 4" xfId="37281" xr:uid="{00000000-0005-0000-0000-0000678F0000}"/>
    <cellStyle name="Normal 8 25 8 5" xfId="37282" xr:uid="{00000000-0005-0000-0000-0000688F0000}"/>
    <cellStyle name="Normal 8 25 8 6" xfId="37283" xr:uid="{00000000-0005-0000-0000-0000698F0000}"/>
    <cellStyle name="Normal 8 25 9" xfId="37284" xr:uid="{00000000-0005-0000-0000-00006A8F0000}"/>
    <cellStyle name="Normal 8 26" xfId="37285" xr:uid="{00000000-0005-0000-0000-00006B8F0000}"/>
    <cellStyle name="Normal 8 26 10" xfId="37286" xr:uid="{00000000-0005-0000-0000-00006C8F0000}"/>
    <cellStyle name="Normal 8 26 11" xfId="37287" xr:uid="{00000000-0005-0000-0000-00006D8F0000}"/>
    <cellStyle name="Normal 8 26 12" xfId="37288" xr:uid="{00000000-0005-0000-0000-00006E8F0000}"/>
    <cellStyle name="Normal 8 26 13" xfId="37289" xr:uid="{00000000-0005-0000-0000-00006F8F0000}"/>
    <cellStyle name="Normal 8 26 2" xfId="37290" xr:uid="{00000000-0005-0000-0000-0000708F0000}"/>
    <cellStyle name="Normal 8 26 2 2" xfId="37291" xr:uid="{00000000-0005-0000-0000-0000718F0000}"/>
    <cellStyle name="Normal 8 26 2 3" xfId="37292" xr:uid="{00000000-0005-0000-0000-0000728F0000}"/>
    <cellStyle name="Normal 8 26 2 4" xfId="37293" xr:uid="{00000000-0005-0000-0000-0000738F0000}"/>
    <cellStyle name="Normal 8 26 2 5" xfId="37294" xr:uid="{00000000-0005-0000-0000-0000748F0000}"/>
    <cellStyle name="Normal 8 26 2 6" xfId="37295" xr:uid="{00000000-0005-0000-0000-0000758F0000}"/>
    <cellStyle name="Normal 8 26 3" xfId="37296" xr:uid="{00000000-0005-0000-0000-0000768F0000}"/>
    <cellStyle name="Normal 8 26 3 2" xfId="37297" xr:uid="{00000000-0005-0000-0000-0000778F0000}"/>
    <cellStyle name="Normal 8 26 3 3" xfId="37298" xr:uid="{00000000-0005-0000-0000-0000788F0000}"/>
    <cellStyle name="Normal 8 26 3 4" xfId="37299" xr:uid="{00000000-0005-0000-0000-0000798F0000}"/>
    <cellStyle name="Normal 8 26 3 5" xfId="37300" xr:uid="{00000000-0005-0000-0000-00007A8F0000}"/>
    <cellStyle name="Normal 8 26 3 6" xfId="37301" xr:uid="{00000000-0005-0000-0000-00007B8F0000}"/>
    <cellStyle name="Normal 8 26 4" xfId="37302" xr:uid="{00000000-0005-0000-0000-00007C8F0000}"/>
    <cellStyle name="Normal 8 26 4 2" xfId="37303" xr:uid="{00000000-0005-0000-0000-00007D8F0000}"/>
    <cellStyle name="Normal 8 26 4 3" xfId="37304" xr:uid="{00000000-0005-0000-0000-00007E8F0000}"/>
    <cellStyle name="Normal 8 26 4 4" xfId="37305" xr:uid="{00000000-0005-0000-0000-00007F8F0000}"/>
    <cellStyle name="Normal 8 26 4 5" xfId="37306" xr:uid="{00000000-0005-0000-0000-0000808F0000}"/>
    <cellStyle name="Normal 8 26 4 6" xfId="37307" xr:uid="{00000000-0005-0000-0000-0000818F0000}"/>
    <cellStyle name="Normal 8 26 5" xfId="37308" xr:uid="{00000000-0005-0000-0000-0000828F0000}"/>
    <cellStyle name="Normal 8 26 5 2" xfId="37309" xr:uid="{00000000-0005-0000-0000-0000838F0000}"/>
    <cellStyle name="Normal 8 26 5 3" xfId="37310" xr:uid="{00000000-0005-0000-0000-0000848F0000}"/>
    <cellStyle name="Normal 8 26 5 4" xfId="37311" xr:uid="{00000000-0005-0000-0000-0000858F0000}"/>
    <cellStyle name="Normal 8 26 5 5" xfId="37312" xr:uid="{00000000-0005-0000-0000-0000868F0000}"/>
    <cellStyle name="Normal 8 26 5 6" xfId="37313" xr:uid="{00000000-0005-0000-0000-0000878F0000}"/>
    <cellStyle name="Normal 8 26 6" xfId="37314" xr:uid="{00000000-0005-0000-0000-0000888F0000}"/>
    <cellStyle name="Normal 8 26 6 2" xfId="37315" xr:uid="{00000000-0005-0000-0000-0000898F0000}"/>
    <cellStyle name="Normal 8 26 6 3" xfId="37316" xr:uid="{00000000-0005-0000-0000-00008A8F0000}"/>
    <cellStyle name="Normal 8 26 6 4" xfId="37317" xr:uid="{00000000-0005-0000-0000-00008B8F0000}"/>
    <cellStyle name="Normal 8 26 6 5" xfId="37318" xr:uid="{00000000-0005-0000-0000-00008C8F0000}"/>
    <cellStyle name="Normal 8 26 6 6" xfId="37319" xr:uid="{00000000-0005-0000-0000-00008D8F0000}"/>
    <cellStyle name="Normal 8 26 7" xfId="37320" xr:uid="{00000000-0005-0000-0000-00008E8F0000}"/>
    <cellStyle name="Normal 8 26 7 2" xfId="37321" xr:uid="{00000000-0005-0000-0000-00008F8F0000}"/>
    <cellStyle name="Normal 8 26 7 3" xfId="37322" xr:uid="{00000000-0005-0000-0000-0000908F0000}"/>
    <cellStyle name="Normal 8 26 7 4" xfId="37323" xr:uid="{00000000-0005-0000-0000-0000918F0000}"/>
    <cellStyle name="Normal 8 26 7 5" xfId="37324" xr:uid="{00000000-0005-0000-0000-0000928F0000}"/>
    <cellStyle name="Normal 8 26 7 6" xfId="37325" xr:uid="{00000000-0005-0000-0000-0000938F0000}"/>
    <cellStyle name="Normal 8 26 8" xfId="37326" xr:uid="{00000000-0005-0000-0000-0000948F0000}"/>
    <cellStyle name="Normal 8 26 8 2" xfId="37327" xr:uid="{00000000-0005-0000-0000-0000958F0000}"/>
    <cellStyle name="Normal 8 26 8 3" xfId="37328" xr:uid="{00000000-0005-0000-0000-0000968F0000}"/>
    <cellStyle name="Normal 8 26 8 4" xfId="37329" xr:uid="{00000000-0005-0000-0000-0000978F0000}"/>
    <cellStyle name="Normal 8 26 8 5" xfId="37330" xr:uid="{00000000-0005-0000-0000-0000988F0000}"/>
    <cellStyle name="Normal 8 26 8 6" xfId="37331" xr:uid="{00000000-0005-0000-0000-0000998F0000}"/>
    <cellStyle name="Normal 8 26 9" xfId="37332" xr:uid="{00000000-0005-0000-0000-00009A8F0000}"/>
    <cellStyle name="Normal 8 27" xfId="37333" xr:uid="{00000000-0005-0000-0000-00009B8F0000}"/>
    <cellStyle name="Normal 8 27 10" xfId="37334" xr:uid="{00000000-0005-0000-0000-00009C8F0000}"/>
    <cellStyle name="Normal 8 27 11" xfId="37335" xr:uid="{00000000-0005-0000-0000-00009D8F0000}"/>
    <cellStyle name="Normal 8 27 12" xfId="37336" xr:uid="{00000000-0005-0000-0000-00009E8F0000}"/>
    <cellStyle name="Normal 8 27 13" xfId="37337" xr:uid="{00000000-0005-0000-0000-00009F8F0000}"/>
    <cellStyle name="Normal 8 27 2" xfId="37338" xr:uid="{00000000-0005-0000-0000-0000A08F0000}"/>
    <cellStyle name="Normal 8 27 2 2" xfId="37339" xr:uid="{00000000-0005-0000-0000-0000A18F0000}"/>
    <cellStyle name="Normal 8 27 2 3" xfId="37340" xr:uid="{00000000-0005-0000-0000-0000A28F0000}"/>
    <cellStyle name="Normal 8 27 2 4" xfId="37341" xr:uid="{00000000-0005-0000-0000-0000A38F0000}"/>
    <cellStyle name="Normal 8 27 2 5" xfId="37342" xr:uid="{00000000-0005-0000-0000-0000A48F0000}"/>
    <cellStyle name="Normal 8 27 2 6" xfId="37343" xr:uid="{00000000-0005-0000-0000-0000A58F0000}"/>
    <cellStyle name="Normal 8 27 3" xfId="37344" xr:uid="{00000000-0005-0000-0000-0000A68F0000}"/>
    <cellStyle name="Normal 8 27 3 2" xfId="37345" xr:uid="{00000000-0005-0000-0000-0000A78F0000}"/>
    <cellStyle name="Normal 8 27 3 3" xfId="37346" xr:uid="{00000000-0005-0000-0000-0000A88F0000}"/>
    <cellStyle name="Normal 8 27 3 4" xfId="37347" xr:uid="{00000000-0005-0000-0000-0000A98F0000}"/>
    <cellStyle name="Normal 8 27 3 5" xfId="37348" xr:uid="{00000000-0005-0000-0000-0000AA8F0000}"/>
    <cellStyle name="Normal 8 27 3 6" xfId="37349" xr:uid="{00000000-0005-0000-0000-0000AB8F0000}"/>
    <cellStyle name="Normal 8 27 4" xfId="37350" xr:uid="{00000000-0005-0000-0000-0000AC8F0000}"/>
    <cellStyle name="Normal 8 27 4 2" xfId="37351" xr:uid="{00000000-0005-0000-0000-0000AD8F0000}"/>
    <cellStyle name="Normal 8 27 4 3" xfId="37352" xr:uid="{00000000-0005-0000-0000-0000AE8F0000}"/>
    <cellStyle name="Normal 8 27 4 4" xfId="37353" xr:uid="{00000000-0005-0000-0000-0000AF8F0000}"/>
    <cellStyle name="Normal 8 27 4 5" xfId="37354" xr:uid="{00000000-0005-0000-0000-0000B08F0000}"/>
    <cellStyle name="Normal 8 27 4 6" xfId="37355" xr:uid="{00000000-0005-0000-0000-0000B18F0000}"/>
    <cellStyle name="Normal 8 27 5" xfId="37356" xr:uid="{00000000-0005-0000-0000-0000B28F0000}"/>
    <cellStyle name="Normal 8 27 5 2" xfId="37357" xr:uid="{00000000-0005-0000-0000-0000B38F0000}"/>
    <cellStyle name="Normal 8 27 5 3" xfId="37358" xr:uid="{00000000-0005-0000-0000-0000B48F0000}"/>
    <cellStyle name="Normal 8 27 5 4" xfId="37359" xr:uid="{00000000-0005-0000-0000-0000B58F0000}"/>
    <cellStyle name="Normal 8 27 5 5" xfId="37360" xr:uid="{00000000-0005-0000-0000-0000B68F0000}"/>
    <cellStyle name="Normal 8 27 5 6" xfId="37361" xr:uid="{00000000-0005-0000-0000-0000B78F0000}"/>
    <cellStyle name="Normal 8 27 6" xfId="37362" xr:uid="{00000000-0005-0000-0000-0000B88F0000}"/>
    <cellStyle name="Normal 8 27 6 2" xfId="37363" xr:uid="{00000000-0005-0000-0000-0000B98F0000}"/>
    <cellStyle name="Normal 8 27 6 3" xfId="37364" xr:uid="{00000000-0005-0000-0000-0000BA8F0000}"/>
    <cellStyle name="Normal 8 27 6 4" xfId="37365" xr:uid="{00000000-0005-0000-0000-0000BB8F0000}"/>
    <cellStyle name="Normal 8 27 6 5" xfId="37366" xr:uid="{00000000-0005-0000-0000-0000BC8F0000}"/>
    <cellStyle name="Normal 8 27 6 6" xfId="37367" xr:uid="{00000000-0005-0000-0000-0000BD8F0000}"/>
    <cellStyle name="Normal 8 27 7" xfId="37368" xr:uid="{00000000-0005-0000-0000-0000BE8F0000}"/>
    <cellStyle name="Normal 8 27 7 2" xfId="37369" xr:uid="{00000000-0005-0000-0000-0000BF8F0000}"/>
    <cellStyle name="Normal 8 27 7 3" xfId="37370" xr:uid="{00000000-0005-0000-0000-0000C08F0000}"/>
    <cellStyle name="Normal 8 27 7 4" xfId="37371" xr:uid="{00000000-0005-0000-0000-0000C18F0000}"/>
    <cellStyle name="Normal 8 27 7 5" xfId="37372" xr:uid="{00000000-0005-0000-0000-0000C28F0000}"/>
    <cellStyle name="Normal 8 27 7 6" xfId="37373" xr:uid="{00000000-0005-0000-0000-0000C38F0000}"/>
    <cellStyle name="Normal 8 27 8" xfId="37374" xr:uid="{00000000-0005-0000-0000-0000C48F0000}"/>
    <cellStyle name="Normal 8 27 8 2" xfId="37375" xr:uid="{00000000-0005-0000-0000-0000C58F0000}"/>
    <cellStyle name="Normal 8 27 8 3" xfId="37376" xr:uid="{00000000-0005-0000-0000-0000C68F0000}"/>
    <cellStyle name="Normal 8 27 8 4" xfId="37377" xr:uid="{00000000-0005-0000-0000-0000C78F0000}"/>
    <cellStyle name="Normal 8 27 8 5" xfId="37378" xr:uid="{00000000-0005-0000-0000-0000C88F0000}"/>
    <cellStyle name="Normal 8 27 8 6" xfId="37379" xr:uid="{00000000-0005-0000-0000-0000C98F0000}"/>
    <cellStyle name="Normal 8 27 9" xfId="37380" xr:uid="{00000000-0005-0000-0000-0000CA8F0000}"/>
    <cellStyle name="Normal 8 28" xfId="37381" xr:uid="{00000000-0005-0000-0000-0000CB8F0000}"/>
    <cellStyle name="Normal 8 28 10" xfId="37382" xr:uid="{00000000-0005-0000-0000-0000CC8F0000}"/>
    <cellStyle name="Normal 8 28 11" xfId="37383" xr:uid="{00000000-0005-0000-0000-0000CD8F0000}"/>
    <cellStyle name="Normal 8 28 12" xfId="37384" xr:uid="{00000000-0005-0000-0000-0000CE8F0000}"/>
    <cellStyle name="Normal 8 28 13" xfId="37385" xr:uid="{00000000-0005-0000-0000-0000CF8F0000}"/>
    <cellStyle name="Normal 8 28 2" xfId="37386" xr:uid="{00000000-0005-0000-0000-0000D08F0000}"/>
    <cellStyle name="Normal 8 28 2 2" xfId="37387" xr:uid="{00000000-0005-0000-0000-0000D18F0000}"/>
    <cellStyle name="Normal 8 28 2 3" xfId="37388" xr:uid="{00000000-0005-0000-0000-0000D28F0000}"/>
    <cellStyle name="Normal 8 28 2 4" xfId="37389" xr:uid="{00000000-0005-0000-0000-0000D38F0000}"/>
    <cellStyle name="Normal 8 28 2 5" xfId="37390" xr:uid="{00000000-0005-0000-0000-0000D48F0000}"/>
    <cellStyle name="Normal 8 28 2 6" xfId="37391" xr:uid="{00000000-0005-0000-0000-0000D58F0000}"/>
    <cellStyle name="Normal 8 28 3" xfId="37392" xr:uid="{00000000-0005-0000-0000-0000D68F0000}"/>
    <cellStyle name="Normal 8 28 3 2" xfId="37393" xr:uid="{00000000-0005-0000-0000-0000D78F0000}"/>
    <cellStyle name="Normal 8 28 3 3" xfId="37394" xr:uid="{00000000-0005-0000-0000-0000D88F0000}"/>
    <cellStyle name="Normal 8 28 3 4" xfId="37395" xr:uid="{00000000-0005-0000-0000-0000D98F0000}"/>
    <cellStyle name="Normal 8 28 3 5" xfId="37396" xr:uid="{00000000-0005-0000-0000-0000DA8F0000}"/>
    <cellStyle name="Normal 8 28 3 6" xfId="37397" xr:uid="{00000000-0005-0000-0000-0000DB8F0000}"/>
    <cellStyle name="Normal 8 28 4" xfId="37398" xr:uid="{00000000-0005-0000-0000-0000DC8F0000}"/>
    <cellStyle name="Normal 8 28 4 2" xfId="37399" xr:uid="{00000000-0005-0000-0000-0000DD8F0000}"/>
    <cellStyle name="Normal 8 28 4 3" xfId="37400" xr:uid="{00000000-0005-0000-0000-0000DE8F0000}"/>
    <cellStyle name="Normal 8 28 4 4" xfId="37401" xr:uid="{00000000-0005-0000-0000-0000DF8F0000}"/>
    <cellStyle name="Normal 8 28 4 5" xfId="37402" xr:uid="{00000000-0005-0000-0000-0000E08F0000}"/>
    <cellStyle name="Normal 8 28 4 6" xfId="37403" xr:uid="{00000000-0005-0000-0000-0000E18F0000}"/>
    <cellStyle name="Normal 8 28 5" xfId="37404" xr:uid="{00000000-0005-0000-0000-0000E28F0000}"/>
    <cellStyle name="Normal 8 28 5 2" xfId="37405" xr:uid="{00000000-0005-0000-0000-0000E38F0000}"/>
    <cellStyle name="Normal 8 28 5 3" xfId="37406" xr:uid="{00000000-0005-0000-0000-0000E48F0000}"/>
    <cellStyle name="Normal 8 28 5 4" xfId="37407" xr:uid="{00000000-0005-0000-0000-0000E58F0000}"/>
    <cellStyle name="Normal 8 28 5 5" xfId="37408" xr:uid="{00000000-0005-0000-0000-0000E68F0000}"/>
    <cellStyle name="Normal 8 28 5 6" xfId="37409" xr:uid="{00000000-0005-0000-0000-0000E78F0000}"/>
    <cellStyle name="Normal 8 28 6" xfId="37410" xr:uid="{00000000-0005-0000-0000-0000E88F0000}"/>
    <cellStyle name="Normal 8 28 6 2" xfId="37411" xr:uid="{00000000-0005-0000-0000-0000E98F0000}"/>
    <cellStyle name="Normal 8 28 6 3" xfId="37412" xr:uid="{00000000-0005-0000-0000-0000EA8F0000}"/>
    <cellStyle name="Normal 8 28 6 4" xfId="37413" xr:uid="{00000000-0005-0000-0000-0000EB8F0000}"/>
    <cellStyle name="Normal 8 28 6 5" xfId="37414" xr:uid="{00000000-0005-0000-0000-0000EC8F0000}"/>
    <cellStyle name="Normal 8 28 6 6" xfId="37415" xr:uid="{00000000-0005-0000-0000-0000ED8F0000}"/>
    <cellStyle name="Normal 8 28 7" xfId="37416" xr:uid="{00000000-0005-0000-0000-0000EE8F0000}"/>
    <cellStyle name="Normal 8 28 7 2" xfId="37417" xr:uid="{00000000-0005-0000-0000-0000EF8F0000}"/>
    <cellStyle name="Normal 8 28 7 3" xfId="37418" xr:uid="{00000000-0005-0000-0000-0000F08F0000}"/>
    <cellStyle name="Normal 8 28 7 4" xfId="37419" xr:uid="{00000000-0005-0000-0000-0000F18F0000}"/>
    <cellStyle name="Normal 8 28 7 5" xfId="37420" xr:uid="{00000000-0005-0000-0000-0000F28F0000}"/>
    <cellStyle name="Normal 8 28 7 6" xfId="37421" xr:uid="{00000000-0005-0000-0000-0000F38F0000}"/>
    <cellStyle name="Normal 8 28 8" xfId="37422" xr:uid="{00000000-0005-0000-0000-0000F48F0000}"/>
    <cellStyle name="Normal 8 28 8 2" xfId="37423" xr:uid="{00000000-0005-0000-0000-0000F58F0000}"/>
    <cellStyle name="Normal 8 28 8 3" xfId="37424" xr:uid="{00000000-0005-0000-0000-0000F68F0000}"/>
    <cellStyle name="Normal 8 28 8 4" xfId="37425" xr:uid="{00000000-0005-0000-0000-0000F78F0000}"/>
    <cellStyle name="Normal 8 28 8 5" xfId="37426" xr:uid="{00000000-0005-0000-0000-0000F88F0000}"/>
    <cellStyle name="Normal 8 28 8 6" xfId="37427" xr:uid="{00000000-0005-0000-0000-0000F98F0000}"/>
    <cellStyle name="Normal 8 28 9" xfId="37428" xr:uid="{00000000-0005-0000-0000-0000FA8F0000}"/>
    <cellStyle name="Normal 8 29" xfId="37429" xr:uid="{00000000-0005-0000-0000-0000FB8F0000}"/>
    <cellStyle name="Normal 8 29 10" xfId="37430" xr:uid="{00000000-0005-0000-0000-0000FC8F0000}"/>
    <cellStyle name="Normal 8 29 11" xfId="37431" xr:uid="{00000000-0005-0000-0000-0000FD8F0000}"/>
    <cellStyle name="Normal 8 29 12" xfId="37432" xr:uid="{00000000-0005-0000-0000-0000FE8F0000}"/>
    <cellStyle name="Normal 8 29 13" xfId="37433" xr:uid="{00000000-0005-0000-0000-0000FF8F0000}"/>
    <cellStyle name="Normal 8 29 2" xfId="37434" xr:uid="{00000000-0005-0000-0000-000000900000}"/>
    <cellStyle name="Normal 8 29 2 2" xfId="37435" xr:uid="{00000000-0005-0000-0000-000001900000}"/>
    <cellStyle name="Normal 8 29 2 3" xfId="37436" xr:uid="{00000000-0005-0000-0000-000002900000}"/>
    <cellStyle name="Normal 8 29 2 4" xfId="37437" xr:uid="{00000000-0005-0000-0000-000003900000}"/>
    <cellStyle name="Normal 8 29 2 5" xfId="37438" xr:uid="{00000000-0005-0000-0000-000004900000}"/>
    <cellStyle name="Normal 8 29 2 6" xfId="37439" xr:uid="{00000000-0005-0000-0000-000005900000}"/>
    <cellStyle name="Normal 8 29 3" xfId="37440" xr:uid="{00000000-0005-0000-0000-000006900000}"/>
    <cellStyle name="Normal 8 29 3 2" xfId="37441" xr:uid="{00000000-0005-0000-0000-000007900000}"/>
    <cellStyle name="Normal 8 29 3 3" xfId="37442" xr:uid="{00000000-0005-0000-0000-000008900000}"/>
    <cellStyle name="Normal 8 29 3 4" xfId="37443" xr:uid="{00000000-0005-0000-0000-000009900000}"/>
    <cellStyle name="Normal 8 29 3 5" xfId="37444" xr:uid="{00000000-0005-0000-0000-00000A900000}"/>
    <cellStyle name="Normal 8 29 3 6" xfId="37445" xr:uid="{00000000-0005-0000-0000-00000B900000}"/>
    <cellStyle name="Normal 8 29 4" xfId="37446" xr:uid="{00000000-0005-0000-0000-00000C900000}"/>
    <cellStyle name="Normal 8 29 4 2" xfId="37447" xr:uid="{00000000-0005-0000-0000-00000D900000}"/>
    <cellStyle name="Normal 8 29 4 3" xfId="37448" xr:uid="{00000000-0005-0000-0000-00000E900000}"/>
    <cellStyle name="Normal 8 29 4 4" xfId="37449" xr:uid="{00000000-0005-0000-0000-00000F900000}"/>
    <cellStyle name="Normal 8 29 4 5" xfId="37450" xr:uid="{00000000-0005-0000-0000-000010900000}"/>
    <cellStyle name="Normal 8 29 4 6" xfId="37451" xr:uid="{00000000-0005-0000-0000-000011900000}"/>
    <cellStyle name="Normal 8 29 5" xfId="37452" xr:uid="{00000000-0005-0000-0000-000012900000}"/>
    <cellStyle name="Normal 8 29 5 2" xfId="37453" xr:uid="{00000000-0005-0000-0000-000013900000}"/>
    <cellStyle name="Normal 8 29 5 3" xfId="37454" xr:uid="{00000000-0005-0000-0000-000014900000}"/>
    <cellStyle name="Normal 8 29 5 4" xfId="37455" xr:uid="{00000000-0005-0000-0000-000015900000}"/>
    <cellStyle name="Normal 8 29 5 5" xfId="37456" xr:uid="{00000000-0005-0000-0000-000016900000}"/>
    <cellStyle name="Normal 8 29 5 6" xfId="37457" xr:uid="{00000000-0005-0000-0000-000017900000}"/>
    <cellStyle name="Normal 8 29 6" xfId="37458" xr:uid="{00000000-0005-0000-0000-000018900000}"/>
    <cellStyle name="Normal 8 29 6 2" xfId="37459" xr:uid="{00000000-0005-0000-0000-000019900000}"/>
    <cellStyle name="Normal 8 29 6 3" xfId="37460" xr:uid="{00000000-0005-0000-0000-00001A900000}"/>
    <cellStyle name="Normal 8 29 6 4" xfId="37461" xr:uid="{00000000-0005-0000-0000-00001B900000}"/>
    <cellStyle name="Normal 8 29 6 5" xfId="37462" xr:uid="{00000000-0005-0000-0000-00001C900000}"/>
    <cellStyle name="Normal 8 29 6 6" xfId="37463" xr:uid="{00000000-0005-0000-0000-00001D900000}"/>
    <cellStyle name="Normal 8 29 7" xfId="37464" xr:uid="{00000000-0005-0000-0000-00001E900000}"/>
    <cellStyle name="Normal 8 29 7 2" xfId="37465" xr:uid="{00000000-0005-0000-0000-00001F900000}"/>
    <cellStyle name="Normal 8 29 7 3" xfId="37466" xr:uid="{00000000-0005-0000-0000-000020900000}"/>
    <cellStyle name="Normal 8 29 7 4" xfId="37467" xr:uid="{00000000-0005-0000-0000-000021900000}"/>
    <cellStyle name="Normal 8 29 7 5" xfId="37468" xr:uid="{00000000-0005-0000-0000-000022900000}"/>
    <cellStyle name="Normal 8 29 7 6" xfId="37469" xr:uid="{00000000-0005-0000-0000-000023900000}"/>
    <cellStyle name="Normal 8 29 8" xfId="37470" xr:uid="{00000000-0005-0000-0000-000024900000}"/>
    <cellStyle name="Normal 8 29 8 2" xfId="37471" xr:uid="{00000000-0005-0000-0000-000025900000}"/>
    <cellStyle name="Normal 8 29 8 3" xfId="37472" xr:uid="{00000000-0005-0000-0000-000026900000}"/>
    <cellStyle name="Normal 8 29 8 4" xfId="37473" xr:uid="{00000000-0005-0000-0000-000027900000}"/>
    <cellStyle name="Normal 8 29 8 5" xfId="37474" xr:uid="{00000000-0005-0000-0000-000028900000}"/>
    <cellStyle name="Normal 8 29 8 6" xfId="37475" xr:uid="{00000000-0005-0000-0000-000029900000}"/>
    <cellStyle name="Normal 8 29 9" xfId="37476" xr:uid="{00000000-0005-0000-0000-00002A900000}"/>
    <cellStyle name="Normal 8 3" xfId="1078" xr:uid="{00000000-0005-0000-0000-00002B900000}"/>
    <cellStyle name="Normal 8 3 10" xfId="37477" xr:uid="{00000000-0005-0000-0000-00002C900000}"/>
    <cellStyle name="Normal 8 3 11" xfId="37478" xr:uid="{00000000-0005-0000-0000-00002D900000}"/>
    <cellStyle name="Normal 8 3 12" xfId="37479" xr:uid="{00000000-0005-0000-0000-00002E900000}"/>
    <cellStyle name="Normal 8 3 13" xfId="37480" xr:uid="{00000000-0005-0000-0000-00002F900000}"/>
    <cellStyle name="Normal 8 3 14" xfId="37481" xr:uid="{00000000-0005-0000-0000-000030900000}"/>
    <cellStyle name="Normal 8 3 2" xfId="37482" xr:uid="{00000000-0005-0000-0000-000031900000}"/>
    <cellStyle name="Normal 8 3 2 2" xfId="37483" xr:uid="{00000000-0005-0000-0000-000032900000}"/>
    <cellStyle name="Normal 8 3 2 3" xfId="37484" xr:uid="{00000000-0005-0000-0000-000033900000}"/>
    <cellStyle name="Normal 8 3 2 4" xfId="37485" xr:uid="{00000000-0005-0000-0000-000034900000}"/>
    <cellStyle name="Normal 8 3 2 5" xfId="37486" xr:uid="{00000000-0005-0000-0000-000035900000}"/>
    <cellStyle name="Normal 8 3 2 6" xfId="37487" xr:uid="{00000000-0005-0000-0000-000036900000}"/>
    <cellStyle name="Normal 8 3 3" xfId="37488" xr:uid="{00000000-0005-0000-0000-000037900000}"/>
    <cellStyle name="Normal 8 3 3 2" xfId="37489" xr:uid="{00000000-0005-0000-0000-000038900000}"/>
    <cellStyle name="Normal 8 3 3 3" xfId="37490" xr:uid="{00000000-0005-0000-0000-000039900000}"/>
    <cellStyle name="Normal 8 3 3 4" xfId="37491" xr:uid="{00000000-0005-0000-0000-00003A900000}"/>
    <cellStyle name="Normal 8 3 3 5" xfId="37492" xr:uid="{00000000-0005-0000-0000-00003B900000}"/>
    <cellStyle name="Normal 8 3 3 6" xfId="37493" xr:uid="{00000000-0005-0000-0000-00003C900000}"/>
    <cellStyle name="Normal 8 3 4" xfId="37494" xr:uid="{00000000-0005-0000-0000-00003D900000}"/>
    <cellStyle name="Normal 8 3 4 2" xfId="37495" xr:uid="{00000000-0005-0000-0000-00003E900000}"/>
    <cellStyle name="Normal 8 3 4 3" xfId="37496" xr:uid="{00000000-0005-0000-0000-00003F900000}"/>
    <cellStyle name="Normal 8 3 4 4" xfId="37497" xr:uid="{00000000-0005-0000-0000-000040900000}"/>
    <cellStyle name="Normal 8 3 4 5" xfId="37498" xr:uid="{00000000-0005-0000-0000-000041900000}"/>
    <cellStyle name="Normal 8 3 4 6" xfId="37499" xr:uid="{00000000-0005-0000-0000-000042900000}"/>
    <cellStyle name="Normal 8 3 5" xfId="37500" xr:uid="{00000000-0005-0000-0000-000043900000}"/>
    <cellStyle name="Normal 8 3 5 2" xfId="37501" xr:uid="{00000000-0005-0000-0000-000044900000}"/>
    <cellStyle name="Normal 8 3 5 3" xfId="37502" xr:uid="{00000000-0005-0000-0000-000045900000}"/>
    <cellStyle name="Normal 8 3 5 4" xfId="37503" xr:uid="{00000000-0005-0000-0000-000046900000}"/>
    <cellStyle name="Normal 8 3 5 5" xfId="37504" xr:uid="{00000000-0005-0000-0000-000047900000}"/>
    <cellStyle name="Normal 8 3 5 6" xfId="37505" xr:uid="{00000000-0005-0000-0000-000048900000}"/>
    <cellStyle name="Normal 8 3 6" xfId="37506" xr:uid="{00000000-0005-0000-0000-000049900000}"/>
    <cellStyle name="Normal 8 3 6 2" xfId="37507" xr:uid="{00000000-0005-0000-0000-00004A900000}"/>
    <cellStyle name="Normal 8 3 6 3" xfId="37508" xr:uid="{00000000-0005-0000-0000-00004B900000}"/>
    <cellStyle name="Normal 8 3 6 4" xfId="37509" xr:uid="{00000000-0005-0000-0000-00004C900000}"/>
    <cellStyle name="Normal 8 3 6 5" xfId="37510" xr:uid="{00000000-0005-0000-0000-00004D900000}"/>
    <cellStyle name="Normal 8 3 6 6" xfId="37511" xr:uid="{00000000-0005-0000-0000-00004E900000}"/>
    <cellStyle name="Normal 8 3 7" xfId="37512" xr:uid="{00000000-0005-0000-0000-00004F900000}"/>
    <cellStyle name="Normal 8 3 7 2" xfId="37513" xr:uid="{00000000-0005-0000-0000-000050900000}"/>
    <cellStyle name="Normal 8 3 7 3" xfId="37514" xr:uid="{00000000-0005-0000-0000-000051900000}"/>
    <cellStyle name="Normal 8 3 7 4" xfId="37515" xr:uid="{00000000-0005-0000-0000-000052900000}"/>
    <cellStyle name="Normal 8 3 7 5" xfId="37516" xr:uid="{00000000-0005-0000-0000-000053900000}"/>
    <cellStyle name="Normal 8 3 7 6" xfId="37517" xr:uid="{00000000-0005-0000-0000-000054900000}"/>
    <cellStyle name="Normal 8 3 8" xfId="37518" xr:uid="{00000000-0005-0000-0000-000055900000}"/>
    <cellStyle name="Normal 8 3 8 2" xfId="37519" xr:uid="{00000000-0005-0000-0000-000056900000}"/>
    <cellStyle name="Normal 8 3 8 3" xfId="37520" xr:uid="{00000000-0005-0000-0000-000057900000}"/>
    <cellStyle name="Normal 8 3 8 4" xfId="37521" xr:uid="{00000000-0005-0000-0000-000058900000}"/>
    <cellStyle name="Normal 8 3 8 5" xfId="37522" xr:uid="{00000000-0005-0000-0000-000059900000}"/>
    <cellStyle name="Normal 8 3 8 6" xfId="37523" xr:uid="{00000000-0005-0000-0000-00005A900000}"/>
    <cellStyle name="Normal 8 3 9" xfId="37524" xr:uid="{00000000-0005-0000-0000-00005B900000}"/>
    <cellStyle name="Normal 8 30" xfId="37525" xr:uid="{00000000-0005-0000-0000-00005C900000}"/>
    <cellStyle name="Normal 8 30 10" xfId="37526" xr:uid="{00000000-0005-0000-0000-00005D900000}"/>
    <cellStyle name="Normal 8 30 11" xfId="37527" xr:uid="{00000000-0005-0000-0000-00005E900000}"/>
    <cellStyle name="Normal 8 30 12" xfId="37528" xr:uid="{00000000-0005-0000-0000-00005F900000}"/>
    <cellStyle name="Normal 8 30 13" xfId="37529" xr:uid="{00000000-0005-0000-0000-000060900000}"/>
    <cellStyle name="Normal 8 30 2" xfId="37530" xr:uid="{00000000-0005-0000-0000-000061900000}"/>
    <cellStyle name="Normal 8 30 2 2" xfId="37531" xr:uid="{00000000-0005-0000-0000-000062900000}"/>
    <cellStyle name="Normal 8 30 2 3" xfId="37532" xr:uid="{00000000-0005-0000-0000-000063900000}"/>
    <cellStyle name="Normal 8 30 2 4" xfId="37533" xr:uid="{00000000-0005-0000-0000-000064900000}"/>
    <cellStyle name="Normal 8 30 2 5" xfId="37534" xr:uid="{00000000-0005-0000-0000-000065900000}"/>
    <cellStyle name="Normal 8 30 2 6" xfId="37535" xr:uid="{00000000-0005-0000-0000-000066900000}"/>
    <cellStyle name="Normal 8 30 3" xfId="37536" xr:uid="{00000000-0005-0000-0000-000067900000}"/>
    <cellStyle name="Normal 8 30 3 2" xfId="37537" xr:uid="{00000000-0005-0000-0000-000068900000}"/>
    <cellStyle name="Normal 8 30 3 3" xfId="37538" xr:uid="{00000000-0005-0000-0000-000069900000}"/>
    <cellStyle name="Normal 8 30 3 4" xfId="37539" xr:uid="{00000000-0005-0000-0000-00006A900000}"/>
    <cellStyle name="Normal 8 30 3 5" xfId="37540" xr:uid="{00000000-0005-0000-0000-00006B900000}"/>
    <cellStyle name="Normal 8 30 3 6" xfId="37541" xr:uid="{00000000-0005-0000-0000-00006C900000}"/>
    <cellStyle name="Normal 8 30 4" xfId="37542" xr:uid="{00000000-0005-0000-0000-00006D900000}"/>
    <cellStyle name="Normal 8 30 4 2" xfId="37543" xr:uid="{00000000-0005-0000-0000-00006E900000}"/>
    <cellStyle name="Normal 8 30 4 3" xfId="37544" xr:uid="{00000000-0005-0000-0000-00006F900000}"/>
    <cellStyle name="Normal 8 30 4 4" xfId="37545" xr:uid="{00000000-0005-0000-0000-000070900000}"/>
    <cellStyle name="Normal 8 30 4 5" xfId="37546" xr:uid="{00000000-0005-0000-0000-000071900000}"/>
    <cellStyle name="Normal 8 30 4 6" xfId="37547" xr:uid="{00000000-0005-0000-0000-000072900000}"/>
    <cellStyle name="Normal 8 30 5" xfId="37548" xr:uid="{00000000-0005-0000-0000-000073900000}"/>
    <cellStyle name="Normal 8 30 5 2" xfId="37549" xr:uid="{00000000-0005-0000-0000-000074900000}"/>
    <cellStyle name="Normal 8 30 5 3" xfId="37550" xr:uid="{00000000-0005-0000-0000-000075900000}"/>
    <cellStyle name="Normal 8 30 5 4" xfId="37551" xr:uid="{00000000-0005-0000-0000-000076900000}"/>
    <cellStyle name="Normal 8 30 5 5" xfId="37552" xr:uid="{00000000-0005-0000-0000-000077900000}"/>
    <cellStyle name="Normal 8 30 5 6" xfId="37553" xr:uid="{00000000-0005-0000-0000-000078900000}"/>
    <cellStyle name="Normal 8 30 6" xfId="37554" xr:uid="{00000000-0005-0000-0000-000079900000}"/>
    <cellStyle name="Normal 8 30 6 2" xfId="37555" xr:uid="{00000000-0005-0000-0000-00007A900000}"/>
    <cellStyle name="Normal 8 30 6 3" xfId="37556" xr:uid="{00000000-0005-0000-0000-00007B900000}"/>
    <cellStyle name="Normal 8 30 6 4" xfId="37557" xr:uid="{00000000-0005-0000-0000-00007C900000}"/>
    <cellStyle name="Normal 8 30 6 5" xfId="37558" xr:uid="{00000000-0005-0000-0000-00007D900000}"/>
    <cellStyle name="Normal 8 30 6 6" xfId="37559" xr:uid="{00000000-0005-0000-0000-00007E900000}"/>
    <cellStyle name="Normal 8 30 7" xfId="37560" xr:uid="{00000000-0005-0000-0000-00007F900000}"/>
    <cellStyle name="Normal 8 30 7 2" xfId="37561" xr:uid="{00000000-0005-0000-0000-000080900000}"/>
    <cellStyle name="Normal 8 30 7 3" xfId="37562" xr:uid="{00000000-0005-0000-0000-000081900000}"/>
    <cellStyle name="Normal 8 30 7 4" xfId="37563" xr:uid="{00000000-0005-0000-0000-000082900000}"/>
    <cellStyle name="Normal 8 30 7 5" xfId="37564" xr:uid="{00000000-0005-0000-0000-000083900000}"/>
    <cellStyle name="Normal 8 30 7 6" xfId="37565" xr:uid="{00000000-0005-0000-0000-000084900000}"/>
    <cellStyle name="Normal 8 30 8" xfId="37566" xr:uid="{00000000-0005-0000-0000-000085900000}"/>
    <cellStyle name="Normal 8 30 8 2" xfId="37567" xr:uid="{00000000-0005-0000-0000-000086900000}"/>
    <cellStyle name="Normal 8 30 8 3" xfId="37568" xr:uid="{00000000-0005-0000-0000-000087900000}"/>
    <cellStyle name="Normal 8 30 8 4" xfId="37569" xr:uid="{00000000-0005-0000-0000-000088900000}"/>
    <cellStyle name="Normal 8 30 8 5" xfId="37570" xr:uid="{00000000-0005-0000-0000-000089900000}"/>
    <cellStyle name="Normal 8 30 8 6" xfId="37571" xr:uid="{00000000-0005-0000-0000-00008A900000}"/>
    <cellStyle name="Normal 8 30 9" xfId="37572" xr:uid="{00000000-0005-0000-0000-00008B900000}"/>
    <cellStyle name="Normal 8 31" xfId="37573" xr:uid="{00000000-0005-0000-0000-00008C900000}"/>
    <cellStyle name="Normal 8 31 10" xfId="37574" xr:uid="{00000000-0005-0000-0000-00008D900000}"/>
    <cellStyle name="Normal 8 31 11" xfId="37575" xr:uid="{00000000-0005-0000-0000-00008E900000}"/>
    <cellStyle name="Normal 8 31 12" xfId="37576" xr:uid="{00000000-0005-0000-0000-00008F900000}"/>
    <cellStyle name="Normal 8 31 13" xfId="37577" xr:uid="{00000000-0005-0000-0000-000090900000}"/>
    <cellStyle name="Normal 8 31 2" xfId="37578" xr:uid="{00000000-0005-0000-0000-000091900000}"/>
    <cellStyle name="Normal 8 31 2 2" xfId="37579" xr:uid="{00000000-0005-0000-0000-000092900000}"/>
    <cellStyle name="Normal 8 31 2 3" xfId="37580" xr:uid="{00000000-0005-0000-0000-000093900000}"/>
    <cellStyle name="Normal 8 31 2 4" xfId="37581" xr:uid="{00000000-0005-0000-0000-000094900000}"/>
    <cellStyle name="Normal 8 31 2 5" xfId="37582" xr:uid="{00000000-0005-0000-0000-000095900000}"/>
    <cellStyle name="Normal 8 31 2 6" xfId="37583" xr:uid="{00000000-0005-0000-0000-000096900000}"/>
    <cellStyle name="Normal 8 31 3" xfId="37584" xr:uid="{00000000-0005-0000-0000-000097900000}"/>
    <cellStyle name="Normal 8 31 3 2" xfId="37585" xr:uid="{00000000-0005-0000-0000-000098900000}"/>
    <cellStyle name="Normal 8 31 3 3" xfId="37586" xr:uid="{00000000-0005-0000-0000-000099900000}"/>
    <cellStyle name="Normal 8 31 3 4" xfId="37587" xr:uid="{00000000-0005-0000-0000-00009A900000}"/>
    <cellStyle name="Normal 8 31 3 5" xfId="37588" xr:uid="{00000000-0005-0000-0000-00009B900000}"/>
    <cellStyle name="Normal 8 31 3 6" xfId="37589" xr:uid="{00000000-0005-0000-0000-00009C900000}"/>
    <cellStyle name="Normal 8 31 4" xfId="37590" xr:uid="{00000000-0005-0000-0000-00009D900000}"/>
    <cellStyle name="Normal 8 31 4 2" xfId="37591" xr:uid="{00000000-0005-0000-0000-00009E900000}"/>
    <cellStyle name="Normal 8 31 4 3" xfId="37592" xr:uid="{00000000-0005-0000-0000-00009F900000}"/>
    <cellStyle name="Normal 8 31 4 4" xfId="37593" xr:uid="{00000000-0005-0000-0000-0000A0900000}"/>
    <cellStyle name="Normal 8 31 4 5" xfId="37594" xr:uid="{00000000-0005-0000-0000-0000A1900000}"/>
    <cellStyle name="Normal 8 31 4 6" xfId="37595" xr:uid="{00000000-0005-0000-0000-0000A2900000}"/>
    <cellStyle name="Normal 8 31 5" xfId="37596" xr:uid="{00000000-0005-0000-0000-0000A3900000}"/>
    <cellStyle name="Normal 8 31 5 2" xfId="37597" xr:uid="{00000000-0005-0000-0000-0000A4900000}"/>
    <cellStyle name="Normal 8 31 5 3" xfId="37598" xr:uid="{00000000-0005-0000-0000-0000A5900000}"/>
    <cellStyle name="Normal 8 31 5 4" xfId="37599" xr:uid="{00000000-0005-0000-0000-0000A6900000}"/>
    <cellStyle name="Normal 8 31 5 5" xfId="37600" xr:uid="{00000000-0005-0000-0000-0000A7900000}"/>
    <cellStyle name="Normal 8 31 5 6" xfId="37601" xr:uid="{00000000-0005-0000-0000-0000A8900000}"/>
    <cellStyle name="Normal 8 31 6" xfId="37602" xr:uid="{00000000-0005-0000-0000-0000A9900000}"/>
    <cellStyle name="Normal 8 31 6 2" xfId="37603" xr:uid="{00000000-0005-0000-0000-0000AA900000}"/>
    <cellStyle name="Normal 8 31 6 3" xfId="37604" xr:uid="{00000000-0005-0000-0000-0000AB900000}"/>
    <cellStyle name="Normal 8 31 6 4" xfId="37605" xr:uid="{00000000-0005-0000-0000-0000AC900000}"/>
    <cellStyle name="Normal 8 31 6 5" xfId="37606" xr:uid="{00000000-0005-0000-0000-0000AD900000}"/>
    <cellStyle name="Normal 8 31 6 6" xfId="37607" xr:uid="{00000000-0005-0000-0000-0000AE900000}"/>
    <cellStyle name="Normal 8 31 7" xfId="37608" xr:uid="{00000000-0005-0000-0000-0000AF900000}"/>
    <cellStyle name="Normal 8 31 7 2" xfId="37609" xr:uid="{00000000-0005-0000-0000-0000B0900000}"/>
    <cellStyle name="Normal 8 31 7 3" xfId="37610" xr:uid="{00000000-0005-0000-0000-0000B1900000}"/>
    <cellStyle name="Normal 8 31 7 4" xfId="37611" xr:uid="{00000000-0005-0000-0000-0000B2900000}"/>
    <cellStyle name="Normal 8 31 7 5" xfId="37612" xr:uid="{00000000-0005-0000-0000-0000B3900000}"/>
    <cellStyle name="Normal 8 31 7 6" xfId="37613" xr:uid="{00000000-0005-0000-0000-0000B4900000}"/>
    <cellStyle name="Normal 8 31 8" xfId="37614" xr:uid="{00000000-0005-0000-0000-0000B5900000}"/>
    <cellStyle name="Normal 8 31 8 2" xfId="37615" xr:uid="{00000000-0005-0000-0000-0000B6900000}"/>
    <cellStyle name="Normal 8 31 8 3" xfId="37616" xr:uid="{00000000-0005-0000-0000-0000B7900000}"/>
    <cellStyle name="Normal 8 31 8 4" xfId="37617" xr:uid="{00000000-0005-0000-0000-0000B8900000}"/>
    <cellStyle name="Normal 8 31 8 5" xfId="37618" xr:uid="{00000000-0005-0000-0000-0000B9900000}"/>
    <cellStyle name="Normal 8 31 8 6" xfId="37619" xr:uid="{00000000-0005-0000-0000-0000BA900000}"/>
    <cellStyle name="Normal 8 31 9" xfId="37620" xr:uid="{00000000-0005-0000-0000-0000BB900000}"/>
    <cellStyle name="Normal 8 32" xfId="37621" xr:uid="{00000000-0005-0000-0000-0000BC900000}"/>
    <cellStyle name="Normal 8 32 10" xfId="37622" xr:uid="{00000000-0005-0000-0000-0000BD900000}"/>
    <cellStyle name="Normal 8 32 11" xfId="37623" xr:uid="{00000000-0005-0000-0000-0000BE900000}"/>
    <cellStyle name="Normal 8 32 12" xfId="37624" xr:uid="{00000000-0005-0000-0000-0000BF900000}"/>
    <cellStyle name="Normal 8 32 13" xfId="37625" xr:uid="{00000000-0005-0000-0000-0000C0900000}"/>
    <cellStyle name="Normal 8 32 2" xfId="37626" xr:uid="{00000000-0005-0000-0000-0000C1900000}"/>
    <cellStyle name="Normal 8 32 2 2" xfId="37627" xr:uid="{00000000-0005-0000-0000-0000C2900000}"/>
    <cellStyle name="Normal 8 32 2 3" xfId="37628" xr:uid="{00000000-0005-0000-0000-0000C3900000}"/>
    <cellStyle name="Normal 8 32 2 4" xfId="37629" xr:uid="{00000000-0005-0000-0000-0000C4900000}"/>
    <cellStyle name="Normal 8 32 2 5" xfId="37630" xr:uid="{00000000-0005-0000-0000-0000C5900000}"/>
    <cellStyle name="Normal 8 32 2 6" xfId="37631" xr:uid="{00000000-0005-0000-0000-0000C6900000}"/>
    <cellStyle name="Normal 8 32 3" xfId="37632" xr:uid="{00000000-0005-0000-0000-0000C7900000}"/>
    <cellStyle name="Normal 8 32 3 2" xfId="37633" xr:uid="{00000000-0005-0000-0000-0000C8900000}"/>
    <cellStyle name="Normal 8 32 3 3" xfId="37634" xr:uid="{00000000-0005-0000-0000-0000C9900000}"/>
    <cellStyle name="Normal 8 32 3 4" xfId="37635" xr:uid="{00000000-0005-0000-0000-0000CA900000}"/>
    <cellStyle name="Normal 8 32 3 5" xfId="37636" xr:uid="{00000000-0005-0000-0000-0000CB900000}"/>
    <cellStyle name="Normal 8 32 3 6" xfId="37637" xr:uid="{00000000-0005-0000-0000-0000CC900000}"/>
    <cellStyle name="Normal 8 32 4" xfId="37638" xr:uid="{00000000-0005-0000-0000-0000CD900000}"/>
    <cellStyle name="Normal 8 32 4 2" xfId="37639" xr:uid="{00000000-0005-0000-0000-0000CE900000}"/>
    <cellStyle name="Normal 8 32 4 3" xfId="37640" xr:uid="{00000000-0005-0000-0000-0000CF900000}"/>
    <cellStyle name="Normal 8 32 4 4" xfId="37641" xr:uid="{00000000-0005-0000-0000-0000D0900000}"/>
    <cellStyle name="Normal 8 32 4 5" xfId="37642" xr:uid="{00000000-0005-0000-0000-0000D1900000}"/>
    <cellStyle name="Normal 8 32 4 6" xfId="37643" xr:uid="{00000000-0005-0000-0000-0000D2900000}"/>
    <cellStyle name="Normal 8 32 5" xfId="37644" xr:uid="{00000000-0005-0000-0000-0000D3900000}"/>
    <cellStyle name="Normal 8 32 5 2" xfId="37645" xr:uid="{00000000-0005-0000-0000-0000D4900000}"/>
    <cellStyle name="Normal 8 32 5 3" xfId="37646" xr:uid="{00000000-0005-0000-0000-0000D5900000}"/>
    <cellStyle name="Normal 8 32 5 4" xfId="37647" xr:uid="{00000000-0005-0000-0000-0000D6900000}"/>
    <cellStyle name="Normal 8 32 5 5" xfId="37648" xr:uid="{00000000-0005-0000-0000-0000D7900000}"/>
    <cellStyle name="Normal 8 32 5 6" xfId="37649" xr:uid="{00000000-0005-0000-0000-0000D8900000}"/>
    <cellStyle name="Normal 8 32 6" xfId="37650" xr:uid="{00000000-0005-0000-0000-0000D9900000}"/>
    <cellStyle name="Normal 8 32 6 2" xfId="37651" xr:uid="{00000000-0005-0000-0000-0000DA900000}"/>
    <cellStyle name="Normal 8 32 6 3" xfId="37652" xr:uid="{00000000-0005-0000-0000-0000DB900000}"/>
    <cellStyle name="Normal 8 32 6 4" xfId="37653" xr:uid="{00000000-0005-0000-0000-0000DC900000}"/>
    <cellStyle name="Normal 8 32 6 5" xfId="37654" xr:uid="{00000000-0005-0000-0000-0000DD900000}"/>
    <cellStyle name="Normal 8 32 6 6" xfId="37655" xr:uid="{00000000-0005-0000-0000-0000DE900000}"/>
    <cellStyle name="Normal 8 32 7" xfId="37656" xr:uid="{00000000-0005-0000-0000-0000DF900000}"/>
    <cellStyle name="Normal 8 32 7 2" xfId="37657" xr:uid="{00000000-0005-0000-0000-0000E0900000}"/>
    <cellStyle name="Normal 8 32 7 3" xfId="37658" xr:uid="{00000000-0005-0000-0000-0000E1900000}"/>
    <cellStyle name="Normal 8 32 7 4" xfId="37659" xr:uid="{00000000-0005-0000-0000-0000E2900000}"/>
    <cellStyle name="Normal 8 32 7 5" xfId="37660" xr:uid="{00000000-0005-0000-0000-0000E3900000}"/>
    <cellStyle name="Normal 8 32 7 6" xfId="37661" xr:uid="{00000000-0005-0000-0000-0000E4900000}"/>
    <cellStyle name="Normal 8 32 8" xfId="37662" xr:uid="{00000000-0005-0000-0000-0000E5900000}"/>
    <cellStyle name="Normal 8 32 8 2" xfId="37663" xr:uid="{00000000-0005-0000-0000-0000E6900000}"/>
    <cellStyle name="Normal 8 32 8 3" xfId="37664" xr:uid="{00000000-0005-0000-0000-0000E7900000}"/>
    <cellStyle name="Normal 8 32 8 4" xfId="37665" xr:uid="{00000000-0005-0000-0000-0000E8900000}"/>
    <cellStyle name="Normal 8 32 8 5" xfId="37666" xr:uid="{00000000-0005-0000-0000-0000E9900000}"/>
    <cellStyle name="Normal 8 32 8 6" xfId="37667" xr:uid="{00000000-0005-0000-0000-0000EA900000}"/>
    <cellStyle name="Normal 8 32 9" xfId="37668" xr:uid="{00000000-0005-0000-0000-0000EB900000}"/>
    <cellStyle name="Normal 8 33" xfId="37669" xr:uid="{00000000-0005-0000-0000-0000EC900000}"/>
    <cellStyle name="Normal 8 33 10" xfId="37670" xr:uid="{00000000-0005-0000-0000-0000ED900000}"/>
    <cellStyle name="Normal 8 33 11" xfId="37671" xr:uid="{00000000-0005-0000-0000-0000EE900000}"/>
    <cellStyle name="Normal 8 33 12" xfId="37672" xr:uid="{00000000-0005-0000-0000-0000EF900000}"/>
    <cellStyle name="Normal 8 33 13" xfId="37673" xr:uid="{00000000-0005-0000-0000-0000F0900000}"/>
    <cellStyle name="Normal 8 33 2" xfId="37674" xr:uid="{00000000-0005-0000-0000-0000F1900000}"/>
    <cellStyle name="Normal 8 33 2 2" xfId="37675" xr:uid="{00000000-0005-0000-0000-0000F2900000}"/>
    <cellStyle name="Normal 8 33 2 3" xfId="37676" xr:uid="{00000000-0005-0000-0000-0000F3900000}"/>
    <cellStyle name="Normal 8 33 2 4" xfId="37677" xr:uid="{00000000-0005-0000-0000-0000F4900000}"/>
    <cellStyle name="Normal 8 33 2 5" xfId="37678" xr:uid="{00000000-0005-0000-0000-0000F5900000}"/>
    <cellStyle name="Normal 8 33 2 6" xfId="37679" xr:uid="{00000000-0005-0000-0000-0000F6900000}"/>
    <cellStyle name="Normal 8 33 3" xfId="37680" xr:uid="{00000000-0005-0000-0000-0000F7900000}"/>
    <cellStyle name="Normal 8 33 3 2" xfId="37681" xr:uid="{00000000-0005-0000-0000-0000F8900000}"/>
    <cellStyle name="Normal 8 33 3 3" xfId="37682" xr:uid="{00000000-0005-0000-0000-0000F9900000}"/>
    <cellStyle name="Normal 8 33 3 4" xfId="37683" xr:uid="{00000000-0005-0000-0000-0000FA900000}"/>
    <cellStyle name="Normal 8 33 3 5" xfId="37684" xr:uid="{00000000-0005-0000-0000-0000FB900000}"/>
    <cellStyle name="Normal 8 33 3 6" xfId="37685" xr:uid="{00000000-0005-0000-0000-0000FC900000}"/>
    <cellStyle name="Normal 8 33 4" xfId="37686" xr:uid="{00000000-0005-0000-0000-0000FD900000}"/>
    <cellStyle name="Normal 8 33 4 2" xfId="37687" xr:uid="{00000000-0005-0000-0000-0000FE900000}"/>
    <cellStyle name="Normal 8 33 4 3" xfId="37688" xr:uid="{00000000-0005-0000-0000-0000FF900000}"/>
    <cellStyle name="Normal 8 33 4 4" xfId="37689" xr:uid="{00000000-0005-0000-0000-000000910000}"/>
    <cellStyle name="Normal 8 33 4 5" xfId="37690" xr:uid="{00000000-0005-0000-0000-000001910000}"/>
    <cellStyle name="Normal 8 33 4 6" xfId="37691" xr:uid="{00000000-0005-0000-0000-000002910000}"/>
    <cellStyle name="Normal 8 33 5" xfId="37692" xr:uid="{00000000-0005-0000-0000-000003910000}"/>
    <cellStyle name="Normal 8 33 5 2" xfId="37693" xr:uid="{00000000-0005-0000-0000-000004910000}"/>
    <cellStyle name="Normal 8 33 5 3" xfId="37694" xr:uid="{00000000-0005-0000-0000-000005910000}"/>
    <cellStyle name="Normal 8 33 5 4" xfId="37695" xr:uid="{00000000-0005-0000-0000-000006910000}"/>
    <cellStyle name="Normal 8 33 5 5" xfId="37696" xr:uid="{00000000-0005-0000-0000-000007910000}"/>
    <cellStyle name="Normal 8 33 5 6" xfId="37697" xr:uid="{00000000-0005-0000-0000-000008910000}"/>
    <cellStyle name="Normal 8 33 6" xfId="37698" xr:uid="{00000000-0005-0000-0000-000009910000}"/>
    <cellStyle name="Normal 8 33 6 2" xfId="37699" xr:uid="{00000000-0005-0000-0000-00000A910000}"/>
    <cellStyle name="Normal 8 33 6 3" xfId="37700" xr:uid="{00000000-0005-0000-0000-00000B910000}"/>
    <cellStyle name="Normal 8 33 6 4" xfId="37701" xr:uid="{00000000-0005-0000-0000-00000C910000}"/>
    <cellStyle name="Normal 8 33 6 5" xfId="37702" xr:uid="{00000000-0005-0000-0000-00000D910000}"/>
    <cellStyle name="Normal 8 33 6 6" xfId="37703" xr:uid="{00000000-0005-0000-0000-00000E910000}"/>
    <cellStyle name="Normal 8 33 7" xfId="37704" xr:uid="{00000000-0005-0000-0000-00000F910000}"/>
    <cellStyle name="Normal 8 33 7 2" xfId="37705" xr:uid="{00000000-0005-0000-0000-000010910000}"/>
    <cellStyle name="Normal 8 33 7 3" xfId="37706" xr:uid="{00000000-0005-0000-0000-000011910000}"/>
    <cellStyle name="Normal 8 33 7 4" xfId="37707" xr:uid="{00000000-0005-0000-0000-000012910000}"/>
    <cellStyle name="Normal 8 33 7 5" xfId="37708" xr:uid="{00000000-0005-0000-0000-000013910000}"/>
    <cellStyle name="Normal 8 33 7 6" xfId="37709" xr:uid="{00000000-0005-0000-0000-000014910000}"/>
    <cellStyle name="Normal 8 33 8" xfId="37710" xr:uid="{00000000-0005-0000-0000-000015910000}"/>
    <cellStyle name="Normal 8 33 8 2" xfId="37711" xr:uid="{00000000-0005-0000-0000-000016910000}"/>
    <cellStyle name="Normal 8 33 8 3" xfId="37712" xr:uid="{00000000-0005-0000-0000-000017910000}"/>
    <cellStyle name="Normal 8 33 8 4" xfId="37713" xr:uid="{00000000-0005-0000-0000-000018910000}"/>
    <cellStyle name="Normal 8 33 8 5" xfId="37714" xr:uid="{00000000-0005-0000-0000-000019910000}"/>
    <cellStyle name="Normal 8 33 8 6" xfId="37715" xr:uid="{00000000-0005-0000-0000-00001A910000}"/>
    <cellStyle name="Normal 8 33 9" xfId="37716" xr:uid="{00000000-0005-0000-0000-00001B910000}"/>
    <cellStyle name="Normal 8 34" xfId="37717" xr:uid="{00000000-0005-0000-0000-00001C910000}"/>
    <cellStyle name="Normal 8 34 2" xfId="37718" xr:uid="{00000000-0005-0000-0000-00001D910000}"/>
    <cellStyle name="Normal 8 34 3" xfId="37719" xr:uid="{00000000-0005-0000-0000-00001E910000}"/>
    <cellStyle name="Normal 8 34 4" xfId="37720" xr:uid="{00000000-0005-0000-0000-00001F910000}"/>
    <cellStyle name="Normal 8 34 5" xfId="37721" xr:uid="{00000000-0005-0000-0000-000020910000}"/>
    <cellStyle name="Normal 8 34 6" xfId="37722" xr:uid="{00000000-0005-0000-0000-000021910000}"/>
    <cellStyle name="Normal 8 35" xfId="37723" xr:uid="{00000000-0005-0000-0000-000022910000}"/>
    <cellStyle name="Normal 8 35 2" xfId="37724" xr:uid="{00000000-0005-0000-0000-000023910000}"/>
    <cellStyle name="Normal 8 35 3" xfId="37725" xr:uid="{00000000-0005-0000-0000-000024910000}"/>
    <cellStyle name="Normal 8 35 4" xfId="37726" xr:uid="{00000000-0005-0000-0000-000025910000}"/>
    <cellStyle name="Normal 8 35 5" xfId="37727" xr:uid="{00000000-0005-0000-0000-000026910000}"/>
    <cellStyle name="Normal 8 35 6" xfId="37728" xr:uid="{00000000-0005-0000-0000-000027910000}"/>
    <cellStyle name="Normal 8 36" xfId="37729" xr:uid="{00000000-0005-0000-0000-000028910000}"/>
    <cellStyle name="Normal 8 36 2" xfId="37730" xr:uid="{00000000-0005-0000-0000-000029910000}"/>
    <cellStyle name="Normal 8 36 3" xfId="37731" xr:uid="{00000000-0005-0000-0000-00002A910000}"/>
    <cellStyle name="Normal 8 36 4" xfId="37732" xr:uid="{00000000-0005-0000-0000-00002B910000}"/>
    <cellStyle name="Normal 8 36 5" xfId="37733" xr:uid="{00000000-0005-0000-0000-00002C910000}"/>
    <cellStyle name="Normal 8 36 6" xfId="37734" xr:uid="{00000000-0005-0000-0000-00002D910000}"/>
    <cellStyle name="Normal 8 37" xfId="37735" xr:uid="{00000000-0005-0000-0000-00002E910000}"/>
    <cellStyle name="Normal 8 37 2" xfId="37736" xr:uid="{00000000-0005-0000-0000-00002F910000}"/>
    <cellStyle name="Normal 8 37 3" xfId="37737" xr:uid="{00000000-0005-0000-0000-000030910000}"/>
    <cellStyle name="Normal 8 37 4" xfId="37738" xr:uid="{00000000-0005-0000-0000-000031910000}"/>
    <cellStyle name="Normal 8 37 5" xfId="37739" xr:uid="{00000000-0005-0000-0000-000032910000}"/>
    <cellStyle name="Normal 8 37 6" xfId="37740" xr:uid="{00000000-0005-0000-0000-000033910000}"/>
    <cellStyle name="Normal 8 38" xfId="37741" xr:uid="{00000000-0005-0000-0000-000034910000}"/>
    <cellStyle name="Normal 8 38 2" xfId="37742" xr:uid="{00000000-0005-0000-0000-000035910000}"/>
    <cellStyle name="Normal 8 38 3" xfId="37743" xr:uid="{00000000-0005-0000-0000-000036910000}"/>
    <cellStyle name="Normal 8 38 4" xfId="37744" xr:uid="{00000000-0005-0000-0000-000037910000}"/>
    <cellStyle name="Normal 8 38 5" xfId="37745" xr:uid="{00000000-0005-0000-0000-000038910000}"/>
    <cellStyle name="Normal 8 38 6" xfId="37746" xr:uid="{00000000-0005-0000-0000-000039910000}"/>
    <cellStyle name="Normal 8 39" xfId="37747" xr:uid="{00000000-0005-0000-0000-00003A910000}"/>
    <cellStyle name="Normal 8 39 2" xfId="37748" xr:uid="{00000000-0005-0000-0000-00003B910000}"/>
    <cellStyle name="Normal 8 39 3" xfId="37749" xr:uid="{00000000-0005-0000-0000-00003C910000}"/>
    <cellStyle name="Normal 8 39 4" xfId="37750" xr:uid="{00000000-0005-0000-0000-00003D910000}"/>
    <cellStyle name="Normal 8 39 5" xfId="37751" xr:uid="{00000000-0005-0000-0000-00003E910000}"/>
    <cellStyle name="Normal 8 39 6" xfId="37752" xr:uid="{00000000-0005-0000-0000-00003F910000}"/>
    <cellStyle name="Normal 8 4" xfId="2558" xr:uid="{00000000-0005-0000-0000-000040910000}"/>
    <cellStyle name="Normal 8 4 10" xfId="37753" xr:uid="{00000000-0005-0000-0000-000041910000}"/>
    <cellStyle name="Normal 8 4 11" xfId="37754" xr:uid="{00000000-0005-0000-0000-000042910000}"/>
    <cellStyle name="Normal 8 4 12" xfId="37755" xr:uid="{00000000-0005-0000-0000-000043910000}"/>
    <cellStyle name="Normal 8 4 13" xfId="37756" xr:uid="{00000000-0005-0000-0000-000044910000}"/>
    <cellStyle name="Normal 8 4 2" xfId="37757" xr:uid="{00000000-0005-0000-0000-000045910000}"/>
    <cellStyle name="Normal 8 4 2 2" xfId="37758" xr:uid="{00000000-0005-0000-0000-000046910000}"/>
    <cellStyle name="Normal 8 4 2 3" xfId="37759" xr:uid="{00000000-0005-0000-0000-000047910000}"/>
    <cellStyle name="Normal 8 4 2 4" xfId="37760" xr:uid="{00000000-0005-0000-0000-000048910000}"/>
    <cellStyle name="Normal 8 4 2 5" xfId="37761" xr:uid="{00000000-0005-0000-0000-000049910000}"/>
    <cellStyle name="Normal 8 4 2 6" xfId="37762" xr:uid="{00000000-0005-0000-0000-00004A910000}"/>
    <cellStyle name="Normal 8 4 3" xfId="37763" xr:uid="{00000000-0005-0000-0000-00004B910000}"/>
    <cellStyle name="Normal 8 4 3 2" xfId="37764" xr:uid="{00000000-0005-0000-0000-00004C910000}"/>
    <cellStyle name="Normal 8 4 3 3" xfId="37765" xr:uid="{00000000-0005-0000-0000-00004D910000}"/>
    <cellStyle name="Normal 8 4 3 4" xfId="37766" xr:uid="{00000000-0005-0000-0000-00004E910000}"/>
    <cellStyle name="Normal 8 4 3 5" xfId="37767" xr:uid="{00000000-0005-0000-0000-00004F910000}"/>
    <cellStyle name="Normal 8 4 3 6" xfId="37768" xr:uid="{00000000-0005-0000-0000-000050910000}"/>
    <cellStyle name="Normal 8 4 4" xfId="37769" xr:uid="{00000000-0005-0000-0000-000051910000}"/>
    <cellStyle name="Normal 8 4 4 2" xfId="37770" xr:uid="{00000000-0005-0000-0000-000052910000}"/>
    <cellStyle name="Normal 8 4 4 3" xfId="37771" xr:uid="{00000000-0005-0000-0000-000053910000}"/>
    <cellStyle name="Normal 8 4 4 4" xfId="37772" xr:uid="{00000000-0005-0000-0000-000054910000}"/>
    <cellStyle name="Normal 8 4 4 5" xfId="37773" xr:uid="{00000000-0005-0000-0000-000055910000}"/>
    <cellStyle name="Normal 8 4 4 6" xfId="37774" xr:uid="{00000000-0005-0000-0000-000056910000}"/>
    <cellStyle name="Normal 8 4 5" xfId="37775" xr:uid="{00000000-0005-0000-0000-000057910000}"/>
    <cellStyle name="Normal 8 4 5 2" xfId="37776" xr:uid="{00000000-0005-0000-0000-000058910000}"/>
    <cellStyle name="Normal 8 4 5 3" xfId="37777" xr:uid="{00000000-0005-0000-0000-000059910000}"/>
    <cellStyle name="Normal 8 4 5 4" xfId="37778" xr:uid="{00000000-0005-0000-0000-00005A910000}"/>
    <cellStyle name="Normal 8 4 5 5" xfId="37779" xr:uid="{00000000-0005-0000-0000-00005B910000}"/>
    <cellStyle name="Normal 8 4 5 6" xfId="37780" xr:uid="{00000000-0005-0000-0000-00005C910000}"/>
    <cellStyle name="Normal 8 4 6" xfId="37781" xr:uid="{00000000-0005-0000-0000-00005D910000}"/>
    <cellStyle name="Normal 8 4 6 2" xfId="37782" xr:uid="{00000000-0005-0000-0000-00005E910000}"/>
    <cellStyle name="Normal 8 4 6 3" xfId="37783" xr:uid="{00000000-0005-0000-0000-00005F910000}"/>
    <cellStyle name="Normal 8 4 6 4" xfId="37784" xr:uid="{00000000-0005-0000-0000-000060910000}"/>
    <cellStyle name="Normal 8 4 6 5" xfId="37785" xr:uid="{00000000-0005-0000-0000-000061910000}"/>
    <cellStyle name="Normal 8 4 6 6" xfId="37786" xr:uid="{00000000-0005-0000-0000-000062910000}"/>
    <cellStyle name="Normal 8 4 7" xfId="37787" xr:uid="{00000000-0005-0000-0000-000063910000}"/>
    <cellStyle name="Normal 8 4 7 2" xfId="37788" xr:uid="{00000000-0005-0000-0000-000064910000}"/>
    <cellStyle name="Normal 8 4 7 3" xfId="37789" xr:uid="{00000000-0005-0000-0000-000065910000}"/>
    <cellStyle name="Normal 8 4 7 4" xfId="37790" xr:uid="{00000000-0005-0000-0000-000066910000}"/>
    <cellStyle name="Normal 8 4 7 5" xfId="37791" xr:uid="{00000000-0005-0000-0000-000067910000}"/>
    <cellStyle name="Normal 8 4 7 6" xfId="37792" xr:uid="{00000000-0005-0000-0000-000068910000}"/>
    <cellStyle name="Normal 8 4 8" xfId="37793" xr:uid="{00000000-0005-0000-0000-000069910000}"/>
    <cellStyle name="Normal 8 4 8 2" xfId="37794" xr:uid="{00000000-0005-0000-0000-00006A910000}"/>
    <cellStyle name="Normal 8 4 8 3" xfId="37795" xr:uid="{00000000-0005-0000-0000-00006B910000}"/>
    <cellStyle name="Normal 8 4 8 4" xfId="37796" xr:uid="{00000000-0005-0000-0000-00006C910000}"/>
    <cellStyle name="Normal 8 4 8 5" xfId="37797" xr:uid="{00000000-0005-0000-0000-00006D910000}"/>
    <cellStyle name="Normal 8 4 8 6" xfId="37798" xr:uid="{00000000-0005-0000-0000-00006E910000}"/>
    <cellStyle name="Normal 8 4 9" xfId="37799" xr:uid="{00000000-0005-0000-0000-00006F910000}"/>
    <cellStyle name="Normal 8 40" xfId="37800" xr:uid="{00000000-0005-0000-0000-000070910000}"/>
    <cellStyle name="Normal 8 40 2" xfId="37801" xr:uid="{00000000-0005-0000-0000-000071910000}"/>
    <cellStyle name="Normal 8 40 3" xfId="37802" xr:uid="{00000000-0005-0000-0000-000072910000}"/>
    <cellStyle name="Normal 8 40 4" xfId="37803" xr:uid="{00000000-0005-0000-0000-000073910000}"/>
    <cellStyle name="Normal 8 40 5" xfId="37804" xr:uid="{00000000-0005-0000-0000-000074910000}"/>
    <cellStyle name="Normal 8 40 6" xfId="37805" xr:uid="{00000000-0005-0000-0000-000075910000}"/>
    <cellStyle name="Normal 8 41" xfId="37806" xr:uid="{00000000-0005-0000-0000-000076910000}"/>
    <cellStyle name="Normal 8 42" xfId="37807" xr:uid="{00000000-0005-0000-0000-000077910000}"/>
    <cellStyle name="Normal 8 43" xfId="37808" xr:uid="{00000000-0005-0000-0000-000078910000}"/>
    <cellStyle name="Normal 8 44" xfId="37809" xr:uid="{00000000-0005-0000-0000-000079910000}"/>
    <cellStyle name="Normal 8 45" xfId="37810" xr:uid="{00000000-0005-0000-0000-00007A910000}"/>
    <cellStyle name="Normal 8 46" xfId="37811" xr:uid="{00000000-0005-0000-0000-00007B910000}"/>
    <cellStyle name="Normal 8 5" xfId="37812" xr:uid="{00000000-0005-0000-0000-00007C910000}"/>
    <cellStyle name="Normal 8 5 10" xfId="37813" xr:uid="{00000000-0005-0000-0000-00007D910000}"/>
    <cellStyle name="Normal 8 5 11" xfId="37814" xr:uid="{00000000-0005-0000-0000-00007E910000}"/>
    <cellStyle name="Normal 8 5 12" xfId="37815" xr:uid="{00000000-0005-0000-0000-00007F910000}"/>
    <cellStyle name="Normal 8 5 13" xfId="37816" xr:uid="{00000000-0005-0000-0000-000080910000}"/>
    <cellStyle name="Normal 8 5 2" xfId="37817" xr:uid="{00000000-0005-0000-0000-000081910000}"/>
    <cellStyle name="Normal 8 5 2 2" xfId="37818" xr:uid="{00000000-0005-0000-0000-000082910000}"/>
    <cellStyle name="Normal 8 5 2 3" xfId="37819" xr:uid="{00000000-0005-0000-0000-000083910000}"/>
    <cellStyle name="Normal 8 5 2 4" xfId="37820" xr:uid="{00000000-0005-0000-0000-000084910000}"/>
    <cellStyle name="Normal 8 5 2 5" xfId="37821" xr:uid="{00000000-0005-0000-0000-000085910000}"/>
    <cellStyle name="Normal 8 5 2 6" xfId="37822" xr:uid="{00000000-0005-0000-0000-000086910000}"/>
    <cellStyle name="Normal 8 5 3" xfId="37823" xr:uid="{00000000-0005-0000-0000-000087910000}"/>
    <cellStyle name="Normal 8 5 3 2" xfId="37824" xr:uid="{00000000-0005-0000-0000-000088910000}"/>
    <cellStyle name="Normal 8 5 3 3" xfId="37825" xr:uid="{00000000-0005-0000-0000-000089910000}"/>
    <cellStyle name="Normal 8 5 3 4" xfId="37826" xr:uid="{00000000-0005-0000-0000-00008A910000}"/>
    <cellStyle name="Normal 8 5 3 5" xfId="37827" xr:uid="{00000000-0005-0000-0000-00008B910000}"/>
    <cellStyle name="Normal 8 5 3 6" xfId="37828" xr:uid="{00000000-0005-0000-0000-00008C910000}"/>
    <cellStyle name="Normal 8 5 4" xfId="37829" xr:uid="{00000000-0005-0000-0000-00008D910000}"/>
    <cellStyle name="Normal 8 5 4 2" xfId="37830" xr:uid="{00000000-0005-0000-0000-00008E910000}"/>
    <cellStyle name="Normal 8 5 4 3" xfId="37831" xr:uid="{00000000-0005-0000-0000-00008F910000}"/>
    <cellStyle name="Normal 8 5 4 4" xfId="37832" xr:uid="{00000000-0005-0000-0000-000090910000}"/>
    <cellStyle name="Normal 8 5 4 5" xfId="37833" xr:uid="{00000000-0005-0000-0000-000091910000}"/>
    <cellStyle name="Normal 8 5 4 6" xfId="37834" xr:uid="{00000000-0005-0000-0000-000092910000}"/>
    <cellStyle name="Normal 8 5 5" xfId="37835" xr:uid="{00000000-0005-0000-0000-000093910000}"/>
    <cellStyle name="Normal 8 5 5 2" xfId="37836" xr:uid="{00000000-0005-0000-0000-000094910000}"/>
    <cellStyle name="Normal 8 5 5 3" xfId="37837" xr:uid="{00000000-0005-0000-0000-000095910000}"/>
    <cellStyle name="Normal 8 5 5 4" xfId="37838" xr:uid="{00000000-0005-0000-0000-000096910000}"/>
    <cellStyle name="Normal 8 5 5 5" xfId="37839" xr:uid="{00000000-0005-0000-0000-000097910000}"/>
    <cellStyle name="Normal 8 5 5 6" xfId="37840" xr:uid="{00000000-0005-0000-0000-000098910000}"/>
    <cellStyle name="Normal 8 5 6" xfId="37841" xr:uid="{00000000-0005-0000-0000-000099910000}"/>
    <cellStyle name="Normal 8 5 6 2" xfId="37842" xr:uid="{00000000-0005-0000-0000-00009A910000}"/>
    <cellStyle name="Normal 8 5 6 3" xfId="37843" xr:uid="{00000000-0005-0000-0000-00009B910000}"/>
    <cellStyle name="Normal 8 5 6 4" xfId="37844" xr:uid="{00000000-0005-0000-0000-00009C910000}"/>
    <cellStyle name="Normal 8 5 6 5" xfId="37845" xr:uid="{00000000-0005-0000-0000-00009D910000}"/>
    <cellStyle name="Normal 8 5 6 6" xfId="37846" xr:uid="{00000000-0005-0000-0000-00009E910000}"/>
    <cellStyle name="Normal 8 5 7" xfId="37847" xr:uid="{00000000-0005-0000-0000-00009F910000}"/>
    <cellStyle name="Normal 8 5 7 2" xfId="37848" xr:uid="{00000000-0005-0000-0000-0000A0910000}"/>
    <cellStyle name="Normal 8 5 7 3" xfId="37849" xr:uid="{00000000-0005-0000-0000-0000A1910000}"/>
    <cellStyle name="Normal 8 5 7 4" xfId="37850" xr:uid="{00000000-0005-0000-0000-0000A2910000}"/>
    <cellStyle name="Normal 8 5 7 5" xfId="37851" xr:uid="{00000000-0005-0000-0000-0000A3910000}"/>
    <cellStyle name="Normal 8 5 7 6" xfId="37852" xr:uid="{00000000-0005-0000-0000-0000A4910000}"/>
    <cellStyle name="Normal 8 5 8" xfId="37853" xr:uid="{00000000-0005-0000-0000-0000A5910000}"/>
    <cellStyle name="Normal 8 5 8 2" xfId="37854" xr:uid="{00000000-0005-0000-0000-0000A6910000}"/>
    <cellStyle name="Normal 8 5 8 3" xfId="37855" xr:uid="{00000000-0005-0000-0000-0000A7910000}"/>
    <cellStyle name="Normal 8 5 8 4" xfId="37856" xr:uid="{00000000-0005-0000-0000-0000A8910000}"/>
    <cellStyle name="Normal 8 5 8 5" xfId="37857" xr:uid="{00000000-0005-0000-0000-0000A9910000}"/>
    <cellStyle name="Normal 8 5 8 6" xfId="37858" xr:uid="{00000000-0005-0000-0000-0000AA910000}"/>
    <cellStyle name="Normal 8 5 9" xfId="37859" xr:uid="{00000000-0005-0000-0000-0000AB910000}"/>
    <cellStyle name="Normal 8 6" xfId="37860" xr:uid="{00000000-0005-0000-0000-0000AC910000}"/>
    <cellStyle name="Normal 8 6 10" xfId="37861" xr:uid="{00000000-0005-0000-0000-0000AD910000}"/>
    <cellStyle name="Normal 8 6 11" xfId="37862" xr:uid="{00000000-0005-0000-0000-0000AE910000}"/>
    <cellStyle name="Normal 8 6 12" xfId="37863" xr:uid="{00000000-0005-0000-0000-0000AF910000}"/>
    <cellStyle name="Normal 8 6 13" xfId="37864" xr:uid="{00000000-0005-0000-0000-0000B0910000}"/>
    <cellStyle name="Normal 8 6 2" xfId="37865" xr:uid="{00000000-0005-0000-0000-0000B1910000}"/>
    <cellStyle name="Normal 8 6 2 2" xfId="37866" xr:uid="{00000000-0005-0000-0000-0000B2910000}"/>
    <cellStyle name="Normal 8 6 2 3" xfId="37867" xr:uid="{00000000-0005-0000-0000-0000B3910000}"/>
    <cellStyle name="Normal 8 6 2 4" xfId="37868" xr:uid="{00000000-0005-0000-0000-0000B4910000}"/>
    <cellStyle name="Normal 8 6 2 5" xfId="37869" xr:uid="{00000000-0005-0000-0000-0000B5910000}"/>
    <cellStyle name="Normal 8 6 2 6" xfId="37870" xr:uid="{00000000-0005-0000-0000-0000B6910000}"/>
    <cellStyle name="Normal 8 6 3" xfId="37871" xr:uid="{00000000-0005-0000-0000-0000B7910000}"/>
    <cellStyle name="Normal 8 6 3 2" xfId="37872" xr:uid="{00000000-0005-0000-0000-0000B8910000}"/>
    <cellStyle name="Normal 8 6 3 3" xfId="37873" xr:uid="{00000000-0005-0000-0000-0000B9910000}"/>
    <cellStyle name="Normal 8 6 3 4" xfId="37874" xr:uid="{00000000-0005-0000-0000-0000BA910000}"/>
    <cellStyle name="Normal 8 6 3 5" xfId="37875" xr:uid="{00000000-0005-0000-0000-0000BB910000}"/>
    <cellStyle name="Normal 8 6 3 6" xfId="37876" xr:uid="{00000000-0005-0000-0000-0000BC910000}"/>
    <cellStyle name="Normal 8 6 4" xfId="37877" xr:uid="{00000000-0005-0000-0000-0000BD910000}"/>
    <cellStyle name="Normal 8 6 4 2" xfId="37878" xr:uid="{00000000-0005-0000-0000-0000BE910000}"/>
    <cellStyle name="Normal 8 6 4 3" xfId="37879" xr:uid="{00000000-0005-0000-0000-0000BF910000}"/>
    <cellStyle name="Normal 8 6 4 4" xfId="37880" xr:uid="{00000000-0005-0000-0000-0000C0910000}"/>
    <cellStyle name="Normal 8 6 4 5" xfId="37881" xr:uid="{00000000-0005-0000-0000-0000C1910000}"/>
    <cellStyle name="Normal 8 6 4 6" xfId="37882" xr:uid="{00000000-0005-0000-0000-0000C2910000}"/>
    <cellStyle name="Normal 8 6 5" xfId="37883" xr:uid="{00000000-0005-0000-0000-0000C3910000}"/>
    <cellStyle name="Normal 8 6 5 2" xfId="37884" xr:uid="{00000000-0005-0000-0000-0000C4910000}"/>
    <cellStyle name="Normal 8 6 5 3" xfId="37885" xr:uid="{00000000-0005-0000-0000-0000C5910000}"/>
    <cellStyle name="Normal 8 6 5 4" xfId="37886" xr:uid="{00000000-0005-0000-0000-0000C6910000}"/>
    <cellStyle name="Normal 8 6 5 5" xfId="37887" xr:uid="{00000000-0005-0000-0000-0000C7910000}"/>
    <cellStyle name="Normal 8 6 5 6" xfId="37888" xr:uid="{00000000-0005-0000-0000-0000C8910000}"/>
    <cellStyle name="Normal 8 6 6" xfId="37889" xr:uid="{00000000-0005-0000-0000-0000C9910000}"/>
    <cellStyle name="Normal 8 6 6 2" xfId="37890" xr:uid="{00000000-0005-0000-0000-0000CA910000}"/>
    <cellStyle name="Normal 8 6 6 3" xfId="37891" xr:uid="{00000000-0005-0000-0000-0000CB910000}"/>
    <cellStyle name="Normal 8 6 6 4" xfId="37892" xr:uid="{00000000-0005-0000-0000-0000CC910000}"/>
    <cellStyle name="Normal 8 6 6 5" xfId="37893" xr:uid="{00000000-0005-0000-0000-0000CD910000}"/>
    <cellStyle name="Normal 8 6 6 6" xfId="37894" xr:uid="{00000000-0005-0000-0000-0000CE910000}"/>
    <cellStyle name="Normal 8 6 7" xfId="37895" xr:uid="{00000000-0005-0000-0000-0000CF910000}"/>
    <cellStyle name="Normal 8 6 7 2" xfId="37896" xr:uid="{00000000-0005-0000-0000-0000D0910000}"/>
    <cellStyle name="Normal 8 6 7 3" xfId="37897" xr:uid="{00000000-0005-0000-0000-0000D1910000}"/>
    <cellStyle name="Normal 8 6 7 4" xfId="37898" xr:uid="{00000000-0005-0000-0000-0000D2910000}"/>
    <cellStyle name="Normal 8 6 7 5" xfId="37899" xr:uid="{00000000-0005-0000-0000-0000D3910000}"/>
    <cellStyle name="Normal 8 6 7 6" xfId="37900" xr:uid="{00000000-0005-0000-0000-0000D4910000}"/>
    <cellStyle name="Normal 8 6 8" xfId="37901" xr:uid="{00000000-0005-0000-0000-0000D5910000}"/>
    <cellStyle name="Normal 8 6 8 2" xfId="37902" xr:uid="{00000000-0005-0000-0000-0000D6910000}"/>
    <cellStyle name="Normal 8 6 8 3" xfId="37903" xr:uid="{00000000-0005-0000-0000-0000D7910000}"/>
    <cellStyle name="Normal 8 6 8 4" xfId="37904" xr:uid="{00000000-0005-0000-0000-0000D8910000}"/>
    <cellStyle name="Normal 8 6 8 5" xfId="37905" xr:uid="{00000000-0005-0000-0000-0000D9910000}"/>
    <cellStyle name="Normal 8 6 8 6" xfId="37906" xr:uid="{00000000-0005-0000-0000-0000DA910000}"/>
    <cellStyle name="Normal 8 6 9" xfId="37907" xr:uid="{00000000-0005-0000-0000-0000DB910000}"/>
    <cellStyle name="Normal 8 7" xfId="37908" xr:uid="{00000000-0005-0000-0000-0000DC910000}"/>
    <cellStyle name="Normal 8 7 10" xfId="37909" xr:uid="{00000000-0005-0000-0000-0000DD910000}"/>
    <cellStyle name="Normal 8 7 11" xfId="37910" xr:uid="{00000000-0005-0000-0000-0000DE910000}"/>
    <cellStyle name="Normal 8 7 12" xfId="37911" xr:uid="{00000000-0005-0000-0000-0000DF910000}"/>
    <cellStyle name="Normal 8 7 13" xfId="37912" xr:uid="{00000000-0005-0000-0000-0000E0910000}"/>
    <cellStyle name="Normal 8 7 2" xfId="37913" xr:uid="{00000000-0005-0000-0000-0000E1910000}"/>
    <cellStyle name="Normal 8 7 2 2" xfId="37914" xr:uid="{00000000-0005-0000-0000-0000E2910000}"/>
    <cellStyle name="Normal 8 7 2 3" xfId="37915" xr:uid="{00000000-0005-0000-0000-0000E3910000}"/>
    <cellStyle name="Normal 8 7 2 4" xfId="37916" xr:uid="{00000000-0005-0000-0000-0000E4910000}"/>
    <cellStyle name="Normal 8 7 2 5" xfId="37917" xr:uid="{00000000-0005-0000-0000-0000E5910000}"/>
    <cellStyle name="Normal 8 7 2 6" xfId="37918" xr:uid="{00000000-0005-0000-0000-0000E6910000}"/>
    <cellStyle name="Normal 8 7 3" xfId="37919" xr:uid="{00000000-0005-0000-0000-0000E7910000}"/>
    <cellStyle name="Normal 8 7 3 2" xfId="37920" xr:uid="{00000000-0005-0000-0000-0000E8910000}"/>
    <cellStyle name="Normal 8 7 3 3" xfId="37921" xr:uid="{00000000-0005-0000-0000-0000E9910000}"/>
    <cellStyle name="Normal 8 7 3 4" xfId="37922" xr:uid="{00000000-0005-0000-0000-0000EA910000}"/>
    <cellStyle name="Normal 8 7 3 5" xfId="37923" xr:uid="{00000000-0005-0000-0000-0000EB910000}"/>
    <cellStyle name="Normal 8 7 3 6" xfId="37924" xr:uid="{00000000-0005-0000-0000-0000EC910000}"/>
    <cellStyle name="Normal 8 7 4" xfId="37925" xr:uid="{00000000-0005-0000-0000-0000ED910000}"/>
    <cellStyle name="Normal 8 7 4 2" xfId="37926" xr:uid="{00000000-0005-0000-0000-0000EE910000}"/>
    <cellStyle name="Normal 8 7 4 3" xfId="37927" xr:uid="{00000000-0005-0000-0000-0000EF910000}"/>
    <cellStyle name="Normal 8 7 4 4" xfId="37928" xr:uid="{00000000-0005-0000-0000-0000F0910000}"/>
    <cellStyle name="Normal 8 7 4 5" xfId="37929" xr:uid="{00000000-0005-0000-0000-0000F1910000}"/>
    <cellStyle name="Normal 8 7 4 6" xfId="37930" xr:uid="{00000000-0005-0000-0000-0000F2910000}"/>
    <cellStyle name="Normal 8 7 5" xfId="37931" xr:uid="{00000000-0005-0000-0000-0000F3910000}"/>
    <cellStyle name="Normal 8 7 5 2" xfId="37932" xr:uid="{00000000-0005-0000-0000-0000F4910000}"/>
    <cellStyle name="Normal 8 7 5 3" xfId="37933" xr:uid="{00000000-0005-0000-0000-0000F5910000}"/>
    <cellStyle name="Normal 8 7 5 4" xfId="37934" xr:uid="{00000000-0005-0000-0000-0000F6910000}"/>
    <cellStyle name="Normal 8 7 5 5" xfId="37935" xr:uid="{00000000-0005-0000-0000-0000F7910000}"/>
    <cellStyle name="Normal 8 7 5 6" xfId="37936" xr:uid="{00000000-0005-0000-0000-0000F8910000}"/>
    <cellStyle name="Normal 8 7 6" xfId="37937" xr:uid="{00000000-0005-0000-0000-0000F9910000}"/>
    <cellStyle name="Normal 8 7 6 2" xfId="37938" xr:uid="{00000000-0005-0000-0000-0000FA910000}"/>
    <cellStyle name="Normal 8 7 6 3" xfId="37939" xr:uid="{00000000-0005-0000-0000-0000FB910000}"/>
    <cellStyle name="Normal 8 7 6 4" xfId="37940" xr:uid="{00000000-0005-0000-0000-0000FC910000}"/>
    <cellStyle name="Normal 8 7 6 5" xfId="37941" xr:uid="{00000000-0005-0000-0000-0000FD910000}"/>
    <cellStyle name="Normal 8 7 6 6" xfId="37942" xr:uid="{00000000-0005-0000-0000-0000FE910000}"/>
    <cellStyle name="Normal 8 7 7" xfId="37943" xr:uid="{00000000-0005-0000-0000-0000FF910000}"/>
    <cellStyle name="Normal 8 7 7 2" xfId="37944" xr:uid="{00000000-0005-0000-0000-000000920000}"/>
    <cellStyle name="Normal 8 7 7 3" xfId="37945" xr:uid="{00000000-0005-0000-0000-000001920000}"/>
    <cellStyle name="Normal 8 7 7 4" xfId="37946" xr:uid="{00000000-0005-0000-0000-000002920000}"/>
    <cellStyle name="Normal 8 7 7 5" xfId="37947" xr:uid="{00000000-0005-0000-0000-000003920000}"/>
    <cellStyle name="Normal 8 7 7 6" xfId="37948" xr:uid="{00000000-0005-0000-0000-000004920000}"/>
    <cellStyle name="Normal 8 7 8" xfId="37949" xr:uid="{00000000-0005-0000-0000-000005920000}"/>
    <cellStyle name="Normal 8 7 8 2" xfId="37950" xr:uid="{00000000-0005-0000-0000-000006920000}"/>
    <cellStyle name="Normal 8 7 8 3" xfId="37951" xr:uid="{00000000-0005-0000-0000-000007920000}"/>
    <cellStyle name="Normal 8 7 8 4" xfId="37952" xr:uid="{00000000-0005-0000-0000-000008920000}"/>
    <cellStyle name="Normal 8 7 8 5" xfId="37953" xr:uid="{00000000-0005-0000-0000-000009920000}"/>
    <cellStyle name="Normal 8 7 8 6" xfId="37954" xr:uid="{00000000-0005-0000-0000-00000A920000}"/>
    <cellStyle name="Normal 8 7 9" xfId="37955" xr:uid="{00000000-0005-0000-0000-00000B920000}"/>
    <cellStyle name="Normal 8 8" xfId="37956" xr:uid="{00000000-0005-0000-0000-00000C920000}"/>
    <cellStyle name="Normal 8 8 10" xfId="37957" xr:uid="{00000000-0005-0000-0000-00000D920000}"/>
    <cellStyle name="Normal 8 8 11" xfId="37958" xr:uid="{00000000-0005-0000-0000-00000E920000}"/>
    <cellStyle name="Normal 8 8 12" xfId="37959" xr:uid="{00000000-0005-0000-0000-00000F920000}"/>
    <cellStyle name="Normal 8 8 13" xfId="37960" xr:uid="{00000000-0005-0000-0000-000010920000}"/>
    <cellStyle name="Normal 8 8 2" xfId="37961" xr:uid="{00000000-0005-0000-0000-000011920000}"/>
    <cellStyle name="Normal 8 8 2 2" xfId="37962" xr:uid="{00000000-0005-0000-0000-000012920000}"/>
    <cellStyle name="Normal 8 8 2 3" xfId="37963" xr:uid="{00000000-0005-0000-0000-000013920000}"/>
    <cellStyle name="Normal 8 8 2 4" xfId="37964" xr:uid="{00000000-0005-0000-0000-000014920000}"/>
    <cellStyle name="Normal 8 8 2 5" xfId="37965" xr:uid="{00000000-0005-0000-0000-000015920000}"/>
    <cellStyle name="Normal 8 8 2 6" xfId="37966" xr:uid="{00000000-0005-0000-0000-000016920000}"/>
    <cellStyle name="Normal 8 8 3" xfId="37967" xr:uid="{00000000-0005-0000-0000-000017920000}"/>
    <cellStyle name="Normal 8 8 3 2" xfId="37968" xr:uid="{00000000-0005-0000-0000-000018920000}"/>
    <cellStyle name="Normal 8 8 3 3" xfId="37969" xr:uid="{00000000-0005-0000-0000-000019920000}"/>
    <cellStyle name="Normal 8 8 3 4" xfId="37970" xr:uid="{00000000-0005-0000-0000-00001A920000}"/>
    <cellStyle name="Normal 8 8 3 5" xfId="37971" xr:uid="{00000000-0005-0000-0000-00001B920000}"/>
    <cellStyle name="Normal 8 8 3 6" xfId="37972" xr:uid="{00000000-0005-0000-0000-00001C920000}"/>
    <cellStyle name="Normal 8 8 4" xfId="37973" xr:uid="{00000000-0005-0000-0000-00001D920000}"/>
    <cellStyle name="Normal 8 8 4 2" xfId="37974" xr:uid="{00000000-0005-0000-0000-00001E920000}"/>
    <cellStyle name="Normal 8 8 4 3" xfId="37975" xr:uid="{00000000-0005-0000-0000-00001F920000}"/>
    <cellStyle name="Normal 8 8 4 4" xfId="37976" xr:uid="{00000000-0005-0000-0000-000020920000}"/>
    <cellStyle name="Normal 8 8 4 5" xfId="37977" xr:uid="{00000000-0005-0000-0000-000021920000}"/>
    <cellStyle name="Normal 8 8 4 6" xfId="37978" xr:uid="{00000000-0005-0000-0000-000022920000}"/>
    <cellStyle name="Normal 8 8 5" xfId="37979" xr:uid="{00000000-0005-0000-0000-000023920000}"/>
    <cellStyle name="Normal 8 8 5 2" xfId="37980" xr:uid="{00000000-0005-0000-0000-000024920000}"/>
    <cellStyle name="Normal 8 8 5 3" xfId="37981" xr:uid="{00000000-0005-0000-0000-000025920000}"/>
    <cellStyle name="Normal 8 8 5 4" xfId="37982" xr:uid="{00000000-0005-0000-0000-000026920000}"/>
    <cellStyle name="Normal 8 8 5 5" xfId="37983" xr:uid="{00000000-0005-0000-0000-000027920000}"/>
    <cellStyle name="Normal 8 8 5 6" xfId="37984" xr:uid="{00000000-0005-0000-0000-000028920000}"/>
    <cellStyle name="Normal 8 8 6" xfId="37985" xr:uid="{00000000-0005-0000-0000-000029920000}"/>
    <cellStyle name="Normal 8 8 6 2" xfId="37986" xr:uid="{00000000-0005-0000-0000-00002A920000}"/>
    <cellStyle name="Normal 8 8 6 3" xfId="37987" xr:uid="{00000000-0005-0000-0000-00002B920000}"/>
    <cellStyle name="Normal 8 8 6 4" xfId="37988" xr:uid="{00000000-0005-0000-0000-00002C920000}"/>
    <cellStyle name="Normal 8 8 6 5" xfId="37989" xr:uid="{00000000-0005-0000-0000-00002D920000}"/>
    <cellStyle name="Normal 8 8 6 6" xfId="37990" xr:uid="{00000000-0005-0000-0000-00002E920000}"/>
    <cellStyle name="Normal 8 8 7" xfId="37991" xr:uid="{00000000-0005-0000-0000-00002F920000}"/>
    <cellStyle name="Normal 8 8 7 2" xfId="37992" xr:uid="{00000000-0005-0000-0000-000030920000}"/>
    <cellStyle name="Normal 8 8 7 3" xfId="37993" xr:uid="{00000000-0005-0000-0000-000031920000}"/>
    <cellStyle name="Normal 8 8 7 4" xfId="37994" xr:uid="{00000000-0005-0000-0000-000032920000}"/>
    <cellStyle name="Normal 8 8 7 5" xfId="37995" xr:uid="{00000000-0005-0000-0000-000033920000}"/>
    <cellStyle name="Normal 8 8 7 6" xfId="37996" xr:uid="{00000000-0005-0000-0000-000034920000}"/>
    <cellStyle name="Normal 8 8 8" xfId="37997" xr:uid="{00000000-0005-0000-0000-000035920000}"/>
    <cellStyle name="Normal 8 8 8 2" xfId="37998" xr:uid="{00000000-0005-0000-0000-000036920000}"/>
    <cellStyle name="Normal 8 8 8 3" xfId="37999" xr:uid="{00000000-0005-0000-0000-000037920000}"/>
    <cellStyle name="Normal 8 8 8 4" xfId="38000" xr:uid="{00000000-0005-0000-0000-000038920000}"/>
    <cellStyle name="Normal 8 8 8 5" xfId="38001" xr:uid="{00000000-0005-0000-0000-000039920000}"/>
    <cellStyle name="Normal 8 8 8 6" xfId="38002" xr:uid="{00000000-0005-0000-0000-00003A920000}"/>
    <cellStyle name="Normal 8 8 9" xfId="38003" xr:uid="{00000000-0005-0000-0000-00003B920000}"/>
    <cellStyle name="Normal 8 9" xfId="38004" xr:uid="{00000000-0005-0000-0000-00003C920000}"/>
    <cellStyle name="Normal 8 9 10" xfId="38005" xr:uid="{00000000-0005-0000-0000-00003D920000}"/>
    <cellStyle name="Normal 8 9 11" xfId="38006" xr:uid="{00000000-0005-0000-0000-00003E920000}"/>
    <cellStyle name="Normal 8 9 12" xfId="38007" xr:uid="{00000000-0005-0000-0000-00003F920000}"/>
    <cellStyle name="Normal 8 9 13" xfId="38008" xr:uid="{00000000-0005-0000-0000-000040920000}"/>
    <cellStyle name="Normal 8 9 2" xfId="38009" xr:uid="{00000000-0005-0000-0000-000041920000}"/>
    <cellStyle name="Normal 8 9 2 2" xfId="38010" xr:uid="{00000000-0005-0000-0000-000042920000}"/>
    <cellStyle name="Normal 8 9 2 3" xfId="38011" xr:uid="{00000000-0005-0000-0000-000043920000}"/>
    <cellStyle name="Normal 8 9 2 4" xfId="38012" xr:uid="{00000000-0005-0000-0000-000044920000}"/>
    <cellStyle name="Normal 8 9 2 5" xfId="38013" xr:uid="{00000000-0005-0000-0000-000045920000}"/>
    <cellStyle name="Normal 8 9 2 6" xfId="38014" xr:uid="{00000000-0005-0000-0000-000046920000}"/>
    <cellStyle name="Normal 8 9 3" xfId="38015" xr:uid="{00000000-0005-0000-0000-000047920000}"/>
    <cellStyle name="Normal 8 9 3 2" xfId="38016" xr:uid="{00000000-0005-0000-0000-000048920000}"/>
    <cellStyle name="Normal 8 9 3 3" xfId="38017" xr:uid="{00000000-0005-0000-0000-000049920000}"/>
    <cellStyle name="Normal 8 9 3 4" xfId="38018" xr:uid="{00000000-0005-0000-0000-00004A920000}"/>
    <cellStyle name="Normal 8 9 3 5" xfId="38019" xr:uid="{00000000-0005-0000-0000-00004B920000}"/>
    <cellStyle name="Normal 8 9 3 6" xfId="38020" xr:uid="{00000000-0005-0000-0000-00004C920000}"/>
    <cellStyle name="Normal 8 9 4" xfId="38021" xr:uid="{00000000-0005-0000-0000-00004D920000}"/>
    <cellStyle name="Normal 8 9 4 2" xfId="38022" xr:uid="{00000000-0005-0000-0000-00004E920000}"/>
    <cellStyle name="Normal 8 9 4 3" xfId="38023" xr:uid="{00000000-0005-0000-0000-00004F920000}"/>
    <cellStyle name="Normal 8 9 4 4" xfId="38024" xr:uid="{00000000-0005-0000-0000-000050920000}"/>
    <cellStyle name="Normal 8 9 4 5" xfId="38025" xr:uid="{00000000-0005-0000-0000-000051920000}"/>
    <cellStyle name="Normal 8 9 4 6" xfId="38026" xr:uid="{00000000-0005-0000-0000-000052920000}"/>
    <cellStyle name="Normal 8 9 5" xfId="38027" xr:uid="{00000000-0005-0000-0000-000053920000}"/>
    <cellStyle name="Normal 8 9 5 2" xfId="38028" xr:uid="{00000000-0005-0000-0000-000054920000}"/>
    <cellStyle name="Normal 8 9 5 3" xfId="38029" xr:uid="{00000000-0005-0000-0000-000055920000}"/>
    <cellStyle name="Normal 8 9 5 4" xfId="38030" xr:uid="{00000000-0005-0000-0000-000056920000}"/>
    <cellStyle name="Normal 8 9 5 5" xfId="38031" xr:uid="{00000000-0005-0000-0000-000057920000}"/>
    <cellStyle name="Normal 8 9 5 6" xfId="38032" xr:uid="{00000000-0005-0000-0000-000058920000}"/>
    <cellStyle name="Normal 8 9 6" xfId="38033" xr:uid="{00000000-0005-0000-0000-000059920000}"/>
    <cellStyle name="Normal 8 9 6 2" xfId="38034" xr:uid="{00000000-0005-0000-0000-00005A920000}"/>
    <cellStyle name="Normal 8 9 6 3" xfId="38035" xr:uid="{00000000-0005-0000-0000-00005B920000}"/>
    <cellStyle name="Normal 8 9 6 4" xfId="38036" xr:uid="{00000000-0005-0000-0000-00005C920000}"/>
    <cellStyle name="Normal 8 9 6 5" xfId="38037" xr:uid="{00000000-0005-0000-0000-00005D920000}"/>
    <cellStyle name="Normal 8 9 6 6" xfId="38038" xr:uid="{00000000-0005-0000-0000-00005E920000}"/>
    <cellStyle name="Normal 8 9 7" xfId="38039" xr:uid="{00000000-0005-0000-0000-00005F920000}"/>
    <cellStyle name="Normal 8 9 7 2" xfId="38040" xr:uid="{00000000-0005-0000-0000-000060920000}"/>
    <cellStyle name="Normal 8 9 7 3" xfId="38041" xr:uid="{00000000-0005-0000-0000-000061920000}"/>
    <cellStyle name="Normal 8 9 7 4" xfId="38042" xr:uid="{00000000-0005-0000-0000-000062920000}"/>
    <cellStyle name="Normal 8 9 7 5" xfId="38043" xr:uid="{00000000-0005-0000-0000-000063920000}"/>
    <cellStyle name="Normal 8 9 7 6" xfId="38044" xr:uid="{00000000-0005-0000-0000-000064920000}"/>
    <cellStyle name="Normal 8 9 8" xfId="38045" xr:uid="{00000000-0005-0000-0000-000065920000}"/>
    <cellStyle name="Normal 8 9 8 2" xfId="38046" xr:uid="{00000000-0005-0000-0000-000066920000}"/>
    <cellStyle name="Normal 8 9 8 3" xfId="38047" xr:uid="{00000000-0005-0000-0000-000067920000}"/>
    <cellStyle name="Normal 8 9 8 4" xfId="38048" xr:uid="{00000000-0005-0000-0000-000068920000}"/>
    <cellStyle name="Normal 8 9 8 5" xfId="38049" xr:uid="{00000000-0005-0000-0000-000069920000}"/>
    <cellStyle name="Normal 8 9 8 6" xfId="38050" xr:uid="{00000000-0005-0000-0000-00006A920000}"/>
    <cellStyle name="Normal 8 9 9" xfId="38051" xr:uid="{00000000-0005-0000-0000-00006B920000}"/>
    <cellStyle name="Normal 8_Resumo Final - Cemig" xfId="1079" xr:uid="{00000000-0005-0000-0000-00006C920000}"/>
    <cellStyle name="Normal 80" xfId="38052" xr:uid="{00000000-0005-0000-0000-00006D920000}"/>
    <cellStyle name="Normal 81" xfId="38053" xr:uid="{00000000-0005-0000-0000-00006E920000}"/>
    <cellStyle name="Normal 82" xfId="38054" xr:uid="{00000000-0005-0000-0000-00006F920000}"/>
    <cellStyle name="Normal 83" xfId="38055" xr:uid="{00000000-0005-0000-0000-000070920000}"/>
    <cellStyle name="Normal 84" xfId="38056" xr:uid="{00000000-0005-0000-0000-000071920000}"/>
    <cellStyle name="Normal 85" xfId="38057" xr:uid="{00000000-0005-0000-0000-000072920000}"/>
    <cellStyle name="Normal 86" xfId="38058" xr:uid="{00000000-0005-0000-0000-000073920000}"/>
    <cellStyle name="Normal 87" xfId="38059" xr:uid="{00000000-0005-0000-0000-000074920000}"/>
    <cellStyle name="Normal 88" xfId="38060" xr:uid="{00000000-0005-0000-0000-000075920000}"/>
    <cellStyle name="Normal 89" xfId="38061" xr:uid="{00000000-0005-0000-0000-000076920000}"/>
    <cellStyle name="Normal 9" xfId="829" xr:uid="{00000000-0005-0000-0000-000077920000}"/>
    <cellStyle name="Normal 9 10" xfId="38062" xr:uid="{00000000-0005-0000-0000-000078920000}"/>
    <cellStyle name="Normal 9 10 10" xfId="38063" xr:uid="{00000000-0005-0000-0000-000079920000}"/>
    <cellStyle name="Normal 9 10 11" xfId="38064" xr:uid="{00000000-0005-0000-0000-00007A920000}"/>
    <cellStyle name="Normal 9 10 12" xfId="38065" xr:uid="{00000000-0005-0000-0000-00007B920000}"/>
    <cellStyle name="Normal 9 10 13" xfId="38066" xr:uid="{00000000-0005-0000-0000-00007C920000}"/>
    <cellStyle name="Normal 9 10 2" xfId="38067" xr:uid="{00000000-0005-0000-0000-00007D920000}"/>
    <cellStyle name="Normal 9 10 2 2" xfId="38068" xr:uid="{00000000-0005-0000-0000-00007E920000}"/>
    <cellStyle name="Normal 9 10 2 3" xfId="38069" xr:uid="{00000000-0005-0000-0000-00007F920000}"/>
    <cellStyle name="Normal 9 10 2 4" xfId="38070" xr:uid="{00000000-0005-0000-0000-000080920000}"/>
    <cellStyle name="Normal 9 10 2 5" xfId="38071" xr:uid="{00000000-0005-0000-0000-000081920000}"/>
    <cellStyle name="Normal 9 10 2 6" xfId="38072" xr:uid="{00000000-0005-0000-0000-000082920000}"/>
    <cellStyle name="Normal 9 10 3" xfId="38073" xr:uid="{00000000-0005-0000-0000-000083920000}"/>
    <cellStyle name="Normal 9 10 3 2" xfId="38074" xr:uid="{00000000-0005-0000-0000-000084920000}"/>
    <cellStyle name="Normal 9 10 3 3" xfId="38075" xr:uid="{00000000-0005-0000-0000-000085920000}"/>
    <cellStyle name="Normal 9 10 3 4" xfId="38076" xr:uid="{00000000-0005-0000-0000-000086920000}"/>
    <cellStyle name="Normal 9 10 3 5" xfId="38077" xr:uid="{00000000-0005-0000-0000-000087920000}"/>
    <cellStyle name="Normal 9 10 3 6" xfId="38078" xr:uid="{00000000-0005-0000-0000-000088920000}"/>
    <cellStyle name="Normal 9 10 4" xfId="38079" xr:uid="{00000000-0005-0000-0000-000089920000}"/>
    <cellStyle name="Normal 9 10 4 2" xfId="38080" xr:uid="{00000000-0005-0000-0000-00008A920000}"/>
    <cellStyle name="Normal 9 10 4 3" xfId="38081" xr:uid="{00000000-0005-0000-0000-00008B920000}"/>
    <cellStyle name="Normal 9 10 4 4" xfId="38082" xr:uid="{00000000-0005-0000-0000-00008C920000}"/>
    <cellStyle name="Normal 9 10 4 5" xfId="38083" xr:uid="{00000000-0005-0000-0000-00008D920000}"/>
    <cellStyle name="Normal 9 10 4 6" xfId="38084" xr:uid="{00000000-0005-0000-0000-00008E920000}"/>
    <cellStyle name="Normal 9 10 5" xfId="38085" xr:uid="{00000000-0005-0000-0000-00008F920000}"/>
    <cellStyle name="Normal 9 10 5 2" xfId="38086" xr:uid="{00000000-0005-0000-0000-000090920000}"/>
    <cellStyle name="Normal 9 10 5 3" xfId="38087" xr:uid="{00000000-0005-0000-0000-000091920000}"/>
    <cellStyle name="Normal 9 10 5 4" xfId="38088" xr:uid="{00000000-0005-0000-0000-000092920000}"/>
    <cellStyle name="Normal 9 10 5 5" xfId="38089" xr:uid="{00000000-0005-0000-0000-000093920000}"/>
    <cellStyle name="Normal 9 10 5 6" xfId="38090" xr:uid="{00000000-0005-0000-0000-000094920000}"/>
    <cellStyle name="Normal 9 10 6" xfId="38091" xr:uid="{00000000-0005-0000-0000-000095920000}"/>
    <cellStyle name="Normal 9 10 6 2" xfId="38092" xr:uid="{00000000-0005-0000-0000-000096920000}"/>
    <cellStyle name="Normal 9 10 6 3" xfId="38093" xr:uid="{00000000-0005-0000-0000-000097920000}"/>
    <cellStyle name="Normal 9 10 6 4" xfId="38094" xr:uid="{00000000-0005-0000-0000-000098920000}"/>
    <cellStyle name="Normal 9 10 6 5" xfId="38095" xr:uid="{00000000-0005-0000-0000-000099920000}"/>
    <cellStyle name="Normal 9 10 6 6" xfId="38096" xr:uid="{00000000-0005-0000-0000-00009A920000}"/>
    <cellStyle name="Normal 9 10 7" xfId="38097" xr:uid="{00000000-0005-0000-0000-00009B920000}"/>
    <cellStyle name="Normal 9 10 7 2" xfId="38098" xr:uid="{00000000-0005-0000-0000-00009C920000}"/>
    <cellStyle name="Normal 9 10 7 3" xfId="38099" xr:uid="{00000000-0005-0000-0000-00009D920000}"/>
    <cellStyle name="Normal 9 10 7 4" xfId="38100" xr:uid="{00000000-0005-0000-0000-00009E920000}"/>
    <cellStyle name="Normal 9 10 7 5" xfId="38101" xr:uid="{00000000-0005-0000-0000-00009F920000}"/>
    <cellStyle name="Normal 9 10 7 6" xfId="38102" xr:uid="{00000000-0005-0000-0000-0000A0920000}"/>
    <cellStyle name="Normal 9 10 8" xfId="38103" xr:uid="{00000000-0005-0000-0000-0000A1920000}"/>
    <cellStyle name="Normal 9 10 8 2" xfId="38104" xr:uid="{00000000-0005-0000-0000-0000A2920000}"/>
    <cellStyle name="Normal 9 10 8 3" xfId="38105" xr:uid="{00000000-0005-0000-0000-0000A3920000}"/>
    <cellStyle name="Normal 9 10 8 4" xfId="38106" xr:uid="{00000000-0005-0000-0000-0000A4920000}"/>
    <cellStyle name="Normal 9 10 8 5" xfId="38107" xr:uid="{00000000-0005-0000-0000-0000A5920000}"/>
    <cellStyle name="Normal 9 10 8 6" xfId="38108" xr:uid="{00000000-0005-0000-0000-0000A6920000}"/>
    <cellStyle name="Normal 9 10 9" xfId="38109" xr:uid="{00000000-0005-0000-0000-0000A7920000}"/>
    <cellStyle name="Normal 9 11" xfId="38110" xr:uid="{00000000-0005-0000-0000-0000A8920000}"/>
    <cellStyle name="Normal 9 11 10" xfId="38111" xr:uid="{00000000-0005-0000-0000-0000A9920000}"/>
    <cellStyle name="Normal 9 11 11" xfId="38112" xr:uid="{00000000-0005-0000-0000-0000AA920000}"/>
    <cellStyle name="Normal 9 11 12" xfId="38113" xr:uid="{00000000-0005-0000-0000-0000AB920000}"/>
    <cellStyle name="Normal 9 11 13" xfId="38114" xr:uid="{00000000-0005-0000-0000-0000AC920000}"/>
    <cellStyle name="Normal 9 11 2" xfId="38115" xr:uid="{00000000-0005-0000-0000-0000AD920000}"/>
    <cellStyle name="Normal 9 11 2 2" xfId="38116" xr:uid="{00000000-0005-0000-0000-0000AE920000}"/>
    <cellStyle name="Normal 9 11 2 3" xfId="38117" xr:uid="{00000000-0005-0000-0000-0000AF920000}"/>
    <cellStyle name="Normal 9 11 2 4" xfId="38118" xr:uid="{00000000-0005-0000-0000-0000B0920000}"/>
    <cellStyle name="Normal 9 11 2 5" xfId="38119" xr:uid="{00000000-0005-0000-0000-0000B1920000}"/>
    <cellStyle name="Normal 9 11 2 6" xfId="38120" xr:uid="{00000000-0005-0000-0000-0000B2920000}"/>
    <cellStyle name="Normal 9 11 3" xfId="38121" xr:uid="{00000000-0005-0000-0000-0000B3920000}"/>
    <cellStyle name="Normal 9 11 3 2" xfId="38122" xr:uid="{00000000-0005-0000-0000-0000B4920000}"/>
    <cellStyle name="Normal 9 11 3 3" xfId="38123" xr:uid="{00000000-0005-0000-0000-0000B5920000}"/>
    <cellStyle name="Normal 9 11 3 4" xfId="38124" xr:uid="{00000000-0005-0000-0000-0000B6920000}"/>
    <cellStyle name="Normal 9 11 3 5" xfId="38125" xr:uid="{00000000-0005-0000-0000-0000B7920000}"/>
    <cellStyle name="Normal 9 11 3 6" xfId="38126" xr:uid="{00000000-0005-0000-0000-0000B8920000}"/>
    <cellStyle name="Normal 9 11 4" xfId="38127" xr:uid="{00000000-0005-0000-0000-0000B9920000}"/>
    <cellStyle name="Normal 9 11 4 2" xfId="38128" xr:uid="{00000000-0005-0000-0000-0000BA920000}"/>
    <cellStyle name="Normal 9 11 4 3" xfId="38129" xr:uid="{00000000-0005-0000-0000-0000BB920000}"/>
    <cellStyle name="Normal 9 11 4 4" xfId="38130" xr:uid="{00000000-0005-0000-0000-0000BC920000}"/>
    <cellStyle name="Normal 9 11 4 5" xfId="38131" xr:uid="{00000000-0005-0000-0000-0000BD920000}"/>
    <cellStyle name="Normal 9 11 4 6" xfId="38132" xr:uid="{00000000-0005-0000-0000-0000BE920000}"/>
    <cellStyle name="Normal 9 11 5" xfId="38133" xr:uid="{00000000-0005-0000-0000-0000BF920000}"/>
    <cellStyle name="Normal 9 11 5 2" xfId="38134" xr:uid="{00000000-0005-0000-0000-0000C0920000}"/>
    <cellStyle name="Normal 9 11 5 3" xfId="38135" xr:uid="{00000000-0005-0000-0000-0000C1920000}"/>
    <cellStyle name="Normal 9 11 5 4" xfId="38136" xr:uid="{00000000-0005-0000-0000-0000C2920000}"/>
    <cellStyle name="Normal 9 11 5 5" xfId="38137" xr:uid="{00000000-0005-0000-0000-0000C3920000}"/>
    <cellStyle name="Normal 9 11 5 6" xfId="38138" xr:uid="{00000000-0005-0000-0000-0000C4920000}"/>
    <cellStyle name="Normal 9 11 6" xfId="38139" xr:uid="{00000000-0005-0000-0000-0000C5920000}"/>
    <cellStyle name="Normal 9 11 6 2" xfId="38140" xr:uid="{00000000-0005-0000-0000-0000C6920000}"/>
    <cellStyle name="Normal 9 11 6 3" xfId="38141" xr:uid="{00000000-0005-0000-0000-0000C7920000}"/>
    <cellStyle name="Normal 9 11 6 4" xfId="38142" xr:uid="{00000000-0005-0000-0000-0000C8920000}"/>
    <cellStyle name="Normal 9 11 6 5" xfId="38143" xr:uid="{00000000-0005-0000-0000-0000C9920000}"/>
    <cellStyle name="Normal 9 11 6 6" xfId="38144" xr:uid="{00000000-0005-0000-0000-0000CA920000}"/>
    <cellStyle name="Normal 9 11 7" xfId="38145" xr:uid="{00000000-0005-0000-0000-0000CB920000}"/>
    <cellStyle name="Normal 9 11 7 2" xfId="38146" xr:uid="{00000000-0005-0000-0000-0000CC920000}"/>
    <cellStyle name="Normal 9 11 7 3" xfId="38147" xr:uid="{00000000-0005-0000-0000-0000CD920000}"/>
    <cellStyle name="Normal 9 11 7 4" xfId="38148" xr:uid="{00000000-0005-0000-0000-0000CE920000}"/>
    <cellStyle name="Normal 9 11 7 5" xfId="38149" xr:uid="{00000000-0005-0000-0000-0000CF920000}"/>
    <cellStyle name="Normal 9 11 7 6" xfId="38150" xr:uid="{00000000-0005-0000-0000-0000D0920000}"/>
    <cellStyle name="Normal 9 11 8" xfId="38151" xr:uid="{00000000-0005-0000-0000-0000D1920000}"/>
    <cellStyle name="Normal 9 11 8 2" xfId="38152" xr:uid="{00000000-0005-0000-0000-0000D2920000}"/>
    <cellStyle name="Normal 9 11 8 3" xfId="38153" xr:uid="{00000000-0005-0000-0000-0000D3920000}"/>
    <cellStyle name="Normal 9 11 8 4" xfId="38154" xr:uid="{00000000-0005-0000-0000-0000D4920000}"/>
    <cellStyle name="Normal 9 11 8 5" xfId="38155" xr:uid="{00000000-0005-0000-0000-0000D5920000}"/>
    <cellStyle name="Normal 9 11 8 6" xfId="38156" xr:uid="{00000000-0005-0000-0000-0000D6920000}"/>
    <cellStyle name="Normal 9 11 9" xfId="38157" xr:uid="{00000000-0005-0000-0000-0000D7920000}"/>
    <cellStyle name="Normal 9 12" xfId="38158" xr:uid="{00000000-0005-0000-0000-0000D8920000}"/>
    <cellStyle name="Normal 9 12 10" xfId="38159" xr:uid="{00000000-0005-0000-0000-0000D9920000}"/>
    <cellStyle name="Normal 9 12 11" xfId="38160" xr:uid="{00000000-0005-0000-0000-0000DA920000}"/>
    <cellStyle name="Normal 9 12 12" xfId="38161" xr:uid="{00000000-0005-0000-0000-0000DB920000}"/>
    <cellStyle name="Normal 9 12 13" xfId="38162" xr:uid="{00000000-0005-0000-0000-0000DC920000}"/>
    <cellStyle name="Normal 9 12 2" xfId="38163" xr:uid="{00000000-0005-0000-0000-0000DD920000}"/>
    <cellStyle name="Normal 9 12 2 2" xfId="38164" xr:uid="{00000000-0005-0000-0000-0000DE920000}"/>
    <cellStyle name="Normal 9 12 2 3" xfId="38165" xr:uid="{00000000-0005-0000-0000-0000DF920000}"/>
    <cellStyle name="Normal 9 12 2 4" xfId="38166" xr:uid="{00000000-0005-0000-0000-0000E0920000}"/>
    <cellStyle name="Normal 9 12 2 5" xfId="38167" xr:uid="{00000000-0005-0000-0000-0000E1920000}"/>
    <cellStyle name="Normal 9 12 2 6" xfId="38168" xr:uid="{00000000-0005-0000-0000-0000E2920000}"/>
    <cellStyle name="Normal 9 12 3" xfId="38169" xr:uid="{00000000-0005-0000-0000-0000E3920000}"/>
    <cellStyle name="Normal 9 12 3 2" xfId="38170" xr:uid="{00000000-0005-0000-0000-0000E4920000}"/>
    <cellStyle name="Normal 9 12 3 3" xfId="38171" xr:uid="{00000000-0005-0000-0000-0000E5920000}"/>
    <cellStyle name="Normal 9 12 3 4" xfId="38172" xr:uid="{00000000-0005-0000-0000-0000E6920000}"/>
    <cellStyle name="Normal 9 12 3 5" xfId="38173" xr:uid="{00000000-0005-0000-0000-0000E7920000}"/>
    <cellStyle name="Normal 9 12 3 6" xfId="38174" xr:uid="{00000000-0005-0000-0000-0000E8920000}"/>
    <cellStyle name="Normal 9 12 4" xfId="38175" xr:uid="{00000000-0005-0000-0000-0000E9920000}"/>
    <cellStyle name="Normal 9 12 4 2" xfId="38176" xr:uid="{00000000-0005-0000-0000-0000EA920000}"/>
    <cellStyle name="Normal 9 12 4 3" xfId="38177" xr:uid="{00000000-0005-0000-0000-0000EB920000}"/>
    <cellStyle name="Normal 9 12 4 4" xfId="38178" xr:uid="{00000000-0005-0000-0000-0000EC920000}"/>
    <cellStyle name="Normal 9 12 4 5" xfId="38179" xr:uid="{00000000-0005-0000-0000-0000ED920000}"/>
    <cellStyle name="Normal 9 12 4 6" xfId="38180" xr:uid="{00000000-0005-0000-0000-0000EE920000}"/>
    <cellStyle name="Normal 9 12 5" xfId="38181" xr:uid="{00000000-0005-0000-0000-0000EF920000}"/>
    <cellStyle name="Normal 9 12 5 2" xfId="38182" xr:uid="{00000000-0005-0000-0000-0000F0920000}"/>
    <cellStyle name="Normal 9 12 5 3" xfId="38183" xr:uid="{00000000-0005-0000-0000-0000F1920000}"/>
    <cellStyle name="Normal 9 12 5 4" xfId="38184" xr:uid="{00000000-0005-0000-0000-0000F2920000}"/>
    <cellStyle name="Normal 9 12 5 5" xfId="38185" xr:uid="{00000000-0005-0000-0000-0000F3920000}"/>
    <cellStyle name="Normal 9 12 5 6" xfId="38186" xr:uid="{00000000-0005-0000-0000-0000F4920000}"/>
    <cellStyle name="Normal 9 12 6" xfId="38187" xr:uid="{00000000-0005-0000-0000-0000F5920000}"/>
    <cellStyle name="Normal 9 12 6 2" xfId="38188" xr:uid="{00000000-0005-0000-0000-0000F6920000}"/>
    <cellStyle name="Normal 9 12 6 3" xfId="38189" xr:uid="{00000000-0005-0000-0000-0000F7920000}"/>
    <cellStyle name="Normal 9 12 6 4" xfId="38190" xr:uid="{00000000-0005-0000-0000-0000F8920000}"/>
    <cellStyle name="Normal 9 12 6 5" xfId="38191" xr:uid="{00000000-0005-0000-0000-0000F9920000}"/>
    <cellStyle name="Normal 9 12 6 6" xfId="38192" xr:uid="{00000000-0005-0000-0000-0000FA920000}"/>
    <cellStyle name="Normal 9 12 7" xfId="38193" xr:uid="{00000000-0005-0000-0000-0000FB920000}"/>
    <cellStyle name="Normal 9 12 7 2" xfId="38194" xr:uid="{00000000-0005-0000-0000-0000FC920000}"/>
    <cellStyle name="Normal 9 12 7 3" xfId="38195" xr:uid="{00000000-0005-0000-0000-0000FD920000}"/>
    <cellStyle name="Normal 9 12 7 4" xfId="38196" xr:uid="{00000000-0005-0000-0000-0000FE920000}"/>
    <cellStyle name="Normal 9 12 7 5" xfId="38197" xr:uid="{00000000-0005-0000-0000-0000FF920000}"/>
    <cellStyle name="Normal 9 12 7 6" xfId="38198" xr:uid="{00000000-0005-0000-0000-000000930000}"/>
    <cellStyle name="Normal 9 12 8" xfId="38199" xr:uid="{00000000-0005-0000-0000-000001930000}"/>
    <cellStyle name="Normal 9 12 8 2" xfId="38200" xr:uid="{00000000-0005-0000-0000-000002930000}"/>
    <cellStyle name="Normal 9 12 8 3" xfId="38201" xr:uid="{00000000-0005-0000-0000-000003930000}"/>
    <cellStyle name="Normal 9 12 8 4" xfId="38202" xr:uid="{00000000-0005-0000-0000-000004930000}"/>
    <cellStyle name="Normal 9 12 8 5" xfId="38203" xr:uid="{00000000-0005-0000-0000-000005930000}"/>
    <cellStyle name="Normal 9 12 8 6" xfId="38204" xr:uid="{00000000-0005-0000-0000-000006930000}"/>
    <cellStyle name="Normal 9 12 9" xfId="38205" xr:uid="{00000000-0005-0000-0000-000007930000}"/>
    <cellStyle name="Normal 9 13" xfId="38206" xr:uid="{00000000-0005-0000-0000-000008930000}"/>
    <cellStyle name="Normal 9 13 10" xfId="38207" xr:uid="{00000000-0005-0000-0000-000009930000}"/>
    <cellStyle name="Normal 9 13 11" xfId="38208" xr:uid="{00000000-0005-0000-0000-00000A930000}"/>
    <cellStyle name="Normal 9 13 12" xfId="38209" xr:uid="{00000000-0005-0000-0000-00000B930000}"/>
    <cellStyle name="Normal 9 13 13" xfId="38210" xr:uid="{00000000-0005-0000-0000-00000C930000}"/>
    <cellStyle name="Normal 9 13 2" xfId="38211" xr:uid="{00000000-0005-0000-0000-00000D930000}"/>
    <cellStyle name="Normal 9 13 2 2" xfId="38212" xr:uid="{00000000-0005-0000-0000-00000E930000}"/>
    <cellStyle name="Normal 9 13 2 3" xfId="38213" xr:uid="{00000000-0005-0000-0000-00000F930000}"/>
    <cellStyle name="Normal 9 13 2 4" xfId="38214" xr:uid="{00000000-0005-0000-0000-000010930000}"/>
    <cellStyle name="Normal 9 13 2 5" xfId="38215" xr:uid="{00000000-0005-0000-0000-000011930000}"/>
    <cellStyle name="Normal 9 13 2 6" xfId="38216" xr:uid="{00000000-0005-0000-0000-000012930000}"/>
    <cellStyle name="Normal 9 13 3" xfId="38217" xr:uid="{00000000-0005-0000-0000-000013930000}"/>
    <cellStyle name="Normal 9 13 3 2" xfId="38218" xr:uid="{00000000-0005-0000-0000-000014930000}"/>
    <cellStyle name="Normal 9 13 3 3" xfId="38219" xr:uid="{00000000-0005-0000-0000-000015930000}"/>
    <cellStyle name="Normal 9 13 3 4" xfId="38220" xr:uid="{00000000-0005-0000-0000-000016930000}"/>
    <cellStyle name="Normal 9 13 3 5" xfId="38221" xr:uid="{00000000-0005-0000-0000-000017930000}"/>
    <cellStyle name="Normal 9 13 3 6" xfId="38222" xr:uid="{00000000-0005-0000-0000-000018930000}"/>
    <cellStyle name="Normal 9 13 4" xfId="38223" xr:uid="{00000000-0005-0000-0000-000019930000}"/>
    <cellStyle name="Normal 9 13 4 2" xfId="38224" xr:uid="{00000000-0005-0000-0000-00001A930000}"/>
    <cellStyle name="Normal 9 13 4 3" xfId="38225" xr:uid="{00000000-0005-0000-0000-00001B930000}"/>
    <cellStyle name="Normal 9 13 4 4" xfId="38226" xr:uid="{00000000-0005-0000-0000-00001C930000}"/>
    <cellStyle name="Normal 9 13 4 5" xfId="38227" xr:uid="{00000000-0005-0000-0000-00001D930000}"/>
    <cellStyle name="Normal 9 13 4 6" xfId="38228" xr:uid="{00000000-0005-0000-0000-00001E930000}"/>
    <cellStyle name="Normal 9 13 5" xfId="38229" xr:uid="{00000000-0005-0000-0000-00001F930000}"/>
    <cellStyle name="Normal 9 13 5 2" xfId="38230" xr:uid="{00000000-0005-0000-0000-000020930000}"/>
    <cellStyle name="Normal 9 13 5 3" xfId="38231" xr:uid="{00000000-0005-0000-0000-000021930000}"/>
    <cellStyle name="Normal 9 13 5 4" xfId="38232" xr:uid="{00000000-0005-0000-0000-000022930000}"/>
    <cellStyle name="Normal 9 13 5 5" xfId="38233" xr:uid="{00000000-0005-0000-0000-000023930000}"/>
    <cellStyle name="Normal 9 13 5 6" xfId="38234" xr:uid="{00000000-0005-0000-0000-000024930000}"/>
    <cellStyle name="Normal 9 13 6" xfId="38235" xr:uid="{00000000-0005-0000-0000-000025930000}"/>
    <cellStyle name="Normal 9 13 6 2" xfId="38236" xr:uid="{00000000-0005-0000-0000-000026930000}"/>
    <cellStyle name="Normal 9 13 6 3" xfId="38237" xr:uid="{00000000-0005-0000-0000-000027930000}"/>
    <cellStyle name="Normal 9 13 6 4" xfId="38238" xr:uid="{00000000-0005-0000-0000-000028930000}"/>
    <cellStyle name="Normal 9 13 6 5" xfId="38239" xr:uid="{00000000-0005-0000-0000-000029930000}"/>
    <cellStyle name="Normal 9 13 6 6" xfId="38240" xr:uid="{00000000-0005-0000-0000-00002A930000}"/>
    <cellStyle name="Normal 9 13 7" xfId="38241" xr:uid="{00000000-0005-0000-0000-00002B930000}"/>
    <cellStyle name="Normal 9 13 7 2" xfId="38242" xr:uid="{00000000-0005-0000-0000-00002C930000}"/>
    <cellStyle name="Normal 9 13 7 3" xfId="38243" xr:uid="{00000000-0005-0000-0000-00002D930000}"/>
    <cellStyle name="Normal 9 13 7 4" xfId="38244" xr:uid="{00000000-0005-0000-0000-00002E930000}"/>
    <cellStyle name="Normal 9 13 7 5" xfId="38245" xr:uid="{00000000-0005-0000-0000-00002F930000}"/>
    <cellStyle name="Normal 9 13 7 6" xfId="38246" xr:uid="{00000000-0005-0000-0000-000030930000}"/>
    <cellStyle name="Normal 9 13 8" xfId="38247" xr:uid="{00000000-0005-0000-0000-000031930000}"/>
    <cellStyle name="Normal 9 13 8 2" xfId="38248" xr:uid="{00000000-0005-0000-0000-000032930000}"/>
    <cellStyle name="Normal 9 13 8 3" xfId="38249" xr:uid="{00000000-0005-0000-0000-000033930000}"/>
    <cellStyle name="Normal 9 13 8 4" xfId="38250" xr:uid="{00000000-0005-0000-0000-000034930000}"/>
    <cellStyle name="Normal 9 13 8 5" xfId="38251" xr:uid="{00000000-0005-0000-0000-000035930000}"/>
    <cellStyle name="Normal 9 13 8 6" xfId="38252" xr:uid="{00000000-0005-0000-0000-000036930000}"/>
    <cellStyle name="Normal 9 13 9" xfId="38253" xr:uid="{00000000-0005-0000-0000-000037930000}"/>
    <cellStyle name="Normal 9 14" xfId="38254" xr:uid="{00000000-0005-0000-0000-000038930000}"/>
    <cellStyle name="Normal 9 14 10" xfId="38255" xr:uid="{00000000-0005-0000-0000-000039930000}"/>
    <cellStyle name="Normal 9 14 11" xfId="38256" xr:uid="{00000000-0005-0000-0000-00003A930000}"/>
    <cellStyle name="Normal 9 14 12" xfId="38257" xr:uid="{00000000-0005-0000-0000-00003B930000}"/>
    <cellStyle name="Normal 9 14 13" xfId="38258" xr:uid="{00000000-0005-0000-0000-00003C930000}"/>
    <cellStyle name="Normal 9 14 2" xfId="38259" xr:uid="{00000000-0005-0000-0000-00003D930000}"/>
    <cellStyle name="Normal 9 14 2 2" xfId="38260" xr:uid="{00000000-0005-0000-0000-00003E930000}"/>
    <cellStyle name="Normal 9 14 2 3" xfId="38261" xr:uid="{00000000-0005-0000-0000-00003F930000}"/>
    <cellStyle name="Normal 9 14 2 4" xfId="38262" xr:uid="{00000000-0005-0000-0000-000040930000}"/>
    <cellStyle name="Normal 9 14 2 5" xfId="38263" xr:uid="{00000000-0005-0000-0000-000041930000}"/>
    <cellStyle name="Normal 9 14 2 6" xfId="38264" xr:uid="{00000000-0005-0000-0000-000042930000}"/>
    <cellStyle name="Normal 9 14 3" xfId="38265" xr:uid="{00000000-0005-0000-0000-000043930000}"/>
    <cellStyle name="Normal 9 14 3 2" xfId="38266" xr:uid="{00000000-0005-0000-0000-000044930000}"/>
    <cellStyle name="Normal 9 14 3 3" xfId="38267" xr:uid="{00000000-0005-0000-0000-000045930000}"/>
    <cellStyle name="Normal 9 14 3 4" xfId="38268" xr:uid="{00000000-0005-0000-0000-000046930000}"/>
    <cellStyle name="Normal 9 14 3 5" xfId="38269" xr:uid="{00000000-0005-0000-0000-000047930000}"/>
    <cellStyle name="Normal 9 14 3 6" xfId="38270" xr:uid="{00000000-0005-0000-0000-000048930000}"/>
    <cellStyle name="Normal 9 14 4" xfId="38271" xr:uid="{00000000-0005-0000-0000-000049930000}"/>
    <cellStyle name="Normal 9 14 4 2" xfId="38272" xr:uid="{00000000-0005-0000-0000-00004A930000}"/>
    <cellStyle name="Normal 9 14 4 3" xfId="38273" xr:uid="{00000000-0005-0000-0000-00004B930000}"/>
    <cellStyle name="Normal 9 14 4 4" xfId="38274" xr:uid="{00000000-0005-0000-0000-00004C930000}"/>
    <cellStyle name="Normal 9 14 4 5" xfId="38275" xr:uid="{00000000-0005-0000-0000-00004D930000}"/>
    <cellStyle name="Normal 9 14 4 6" xfId="38276" xr:uid="{00000000-0005-0000-0000-00004E930000}"/>
    <cellStyle name="Normal 9 14 5" xfId="38277" xr:uid="{00000000-0005-0000-0000-00004F930000}"/>
    <cellStyle name="Normal 9 14 5 2" xfId="38278" xr:uid="{00000000-0005-0000-0000-000050930000}"/>
    <cellStyle name="Normal 9 14 5 3" xfId="38279" xr:uid="{00000000-0005-0000-0000-000051930000}"/>
    <cellStyle name="Normal 9 14 5 4" xfId="38280" xr:uid="{00000000-0005-0000-0000-000052930000}"/>
    <cellStyle name="Normal 9 14 5 5" xfId="38281" xr:uid="{00000000-0005-0000-0000-000053930000}"/>
    <cellStyle name="Normal 9 14 5 6" xfId="38282" xr:uid="{00000000-0005-0000-0000-000054930000}"/>
    <cellStyle name="Normal 9 14 6" xfId="38283" xr:uid="{00000000-0005-0000-0000-000055930000}"/>
    <cellStyle name="Normal 9 14 6 2" xfId="38284" xr:uid="{00000000-0005-0000-0000-000056930000}"/>
    <cellStyle name="Normal 9 14 6 3" xfId="38285" xr:uid="{00000000-0005-0000-0000-000057930000}"/>
    <cellStyle name="Normal 9 14 6 4" xfId="38286" xr:uid="{00000000-0005-0000-0000-000058930000}"/>
    <cellStyle name="Normal 9 14 6 5" xfId="38287" xr:uid="{00000000-0005-0000-0000-000059930000}"/>
    <cellStyle name="Normal 9 14 6 6" xfId="38288" xr:uid="{00000000-0005-0000-0000-00005A930000}"/>
    <cellStyle name="Normal 9 14 7" xfId="38289" xr:uid="{00000000-0005-0000-0000-00005B930000}"/>
    <cellStyle name="Normal 9 14 7 2" xfId="38290" xr:uid="{00000000-0005-0000-0000-00005C930000}"/>
    <cellStyle name="Normal 9 14 7 3" xfId="38291" xr:uid="{00000000-0005-0000-0000-00005D930000}"/>
    <cellStyle name="Normal 9 14 7 4" xfId="38292" xr:uid="{00000000-0005-0000-0000-00005E930000}"/>
    <cellStyle name="Normal 9 14 7 5" xfId="38293" xr:uid="{00000000-0005-0000-0000-00005F930000}"/>
    <cellStyle name="Normal 9 14 7 6" xfId="38294" xr:uid="{00000000-0005-0000-0000-000060930000}"/>
    <cellStyle name="Normal 9 14 8" xfId="38295" xr:uid="{00000000-0005-0000-0000-000061930000}"/>
    <cellStyle name="Normal 9 14 8 2" xfId="38296" xr:uid="{00000000-0005-0000-0000-000062930000}"/>
    <cellStyle name="Normal 9 14 8 3" xfId="38297" xr:uid="{00000000-0005-0000-0000-000063930000}"/>
    <cellStyle name="Normal 9 14 8 4" xfId="38298" xr:uid="{00000000-0005-0000-0000-000064930000}"/>
    <cellStyle name="Normal 9 14 8 5" xfId="38299" xr:uid="{00000000-0005-0000-0000-000065930000}"/>
    <cellStyle name="Normal 9 14 8 6" xfId="38300" xr:uid="{00000000-0005-0000-0000-000066930000}"/>
    <cellStyle name="Normal 9 14 9" xfId="38301" xr:uid="{00000000-0005-0000-0000-000067930000}"/>
    <cellStyle name="Normal 9 15" xfId="38302" xr:uid="{00000000-0005-0000-0000-000068930000}"/>
    <cellStyle name="Normal 9 15 10" xfId="38303" xr:uid="{00000000-0005-0000-0000-000069930000}"/>
    <cellStyle name="Normal 9 15 11" xfId="38304" xr:uid="{00000000-0005-0000-0000-00006A930000}"/>
    <cellStyle name="Normal 9 15 12" xfId="38305" xr:uid="{00000000-0005-0000-0000-00006B930000}"/>
    <cellStyle name="Normal 9 15 13" xfId="38306" xr:uid="{00000000-0005-0000-0000-00006C930000}"/>
    <cellStyle name="Normal 9 15 2" xfId="38307" xr:uid="{00000000-0005-0000-0000-00006D930000}"/>
    <cellStyle name="Normal 9 15 2 2" xfId="38308" xr:uid="{00000000-0005-0000-0000-00006E930000}"/>
    <cellStyle name="Normal 9 15 2 3" xfId="38309" xr:uid="{00000000-0005-0000-0000-00006F930000}"/>
    <cellStyle name="Normal 9 15 2 4" xfId="38310" xr:uid="{00000000-0005-0000-0000-000070930000}"/>
    <cellStyle name="Normal 9 15 2 5" xfId="38311" xr:uid="{00000000-0005-0000-0000-000071930000}"/>
    <cellStyle name="Normal 9 15 2 6" xfId="38312" xr:uid="{00000000-0005-0000-0000-000072930000}"/>
    <cellStyle name="Normal 9 15 3" xfId="38313" xr:uid="{00000000-0005-0000-0000-000073930000}"/>
    <cellStyle name="Normal 9 15 3 2" xfId="38314" xr:uid="{00000000-0005-0000-0000-000074930000}"/>
    <cellStyle name="Normal 9 15 3 3" xfId="38315" xr:uid="{00000000-0005-0000-0000-000075930000}"/>
    <cellStyle name="Normal 9 15 3 4" xfId="38316" xr:uid="{00000000-0005-0000-0000-000076930000}"/>
    <cellStyle name="Normal 9 15 3 5" xfId="38317" xr:uid="{00000000-0005-0000-0000-000077930000}"/>
    <cellStyle name="Normal 9 15 3 6" xfId="38318" xr:uid="{00000000-0005-0000-0000-000078930000}"/>
    <cellStyle name="Normal 9 15 4" xfId="38319" xr:uid="{00000000-0005-0000-0000-000079930000}"/>
    <cellStyle name="Normal 9 15 4 2" xfId="38320" xr:uid="{00000000-0005-0000-0000-00007A930000}"/>
    <cellStyle name="Normal 9 15 4 3" xfId="38321" xr:uid="{00000000-0005-0000-0000-00007B930000}"/>
    <cellStyle name="Normal 9 15 4 4" xfId="38322" xr:uid="{00000000-0005-0000-0000-00007C930000}"/>
    <cellStyle name="Normal 9 15 4 5" xfId="38323" xr:uid="{00000000-0005-0000-0000-00007D930000}"/>
    <cellStyle name="Normal 9 15 4 6" xfId="38324" xr:uid="{00000000-0005-0000-0000-00007E930000}"/>
    <cellStyle name="Normal 9 15 5" xfId="38325" xr:uid="{00000000-0005-0000-0000-00007F930000}"/>
    <cellStyle name="Normal 9 15 5 2" xfId="38326" xr:uid="{00000000-0005-0000-0000-000080930000}"/>
    <cellStyle name="Normal 9 15 5 3" xfId="38327" xr:uid="{00000000-0005-0000-0000-000081930000}"/>
    <cellStyle name="Normal 9 15 5 4" xfId="38328" xr:uid="{00000000-0005-0000-0000-000082930000}"/>
    <cellStyle name="Normal 9 15 5 5" xfId="38329" xr:uid="{00000000-0005-0000-0000-000083930000}"/>
    <cellStyle name="Normal 9 15 5 6" xfId="38330" xr:uid="{00000000-0005-0000-0000-000084930000}"/>
    <cellStyle name="Normal 9 15 6" xfId="38331" xr:uid="{00000000-0005-0000-0000-000085930000}"/>
    <cellStyle name="Normal 9 15 6 2" xfId="38332" xr:uid="{00000000-0005-0000-0000-000086930000}"/>
    <cellStyle name="Normal 9 15 6 3" xfId="38333" xr:uid="{00000000-0005-0000-0000-000087930000}"/>
    <cellStyle name="Normal 9 15 6 4" xfId="38334" xr:uid="{00000000-0005-0000-0000-000088930000}"/>
    <cellStyle name="Normal 9 15 6 5" xfId="38335" xr:uid="{00000000-0005-0000-0000-000089930000}"/>
    <cellStyle name="Normal 9 15 6 6" xfId="38336" xr:uid="{00000000-0005-0000-0000-00008A930000}"/>
    <cellStyle name="Normal 9 15 7" xfId="38337" xr:uid="{00000000-0005-0000-0000-00008B930000}"/>
    <cellStyle name="Normal 9 15 7 2" xfId="38338" xr:uid="{00000000-0005-0000-0000-00008C930000}"/>
    <cellStyle name="Normal 9 15 7 3" xfId="38339" xr:uid="{00000000-0005-0000-0000-00008D930000}"/>
    <cellStyle name="Normal 9 15 7 4" xfId="38340" xr:uid="{00000000-0005-0000-0000-00008E930000}"/>
    <cellStyle name="Normal 9 15 7 5" xfId="38341" xr:uid="{00000000-0005-0000-0000-00008F930000}"/>
    <cellStyle name="Normal 9 15 7 6" xfId="38342" xr:uid="{00000000-0005-0000-0000-000090930000}"/>
    <cellStyle name="Normal 9 15 8" xfId="38343" xr:uid="{00000000-0005-0000-0000-000091930000}"/>
    <cellStyle name="Normal 9 15 8 2" xfId="38344" xr:uid="{00000000-0005-0000-0000-000092930000}"/>
    <cellStyle name="Normal 9 15 8 3" xfId="38345" xr:uid="{00000000-0005-0000-0000-000093930000}"/>
    <cellStyle name="Normal 9 15 8 4" xfId="38346" xr:uid="{00000000-0005-0000-0000-000094930000}"/>
    <cellStyle name="Normal 9 15 8 5" xfId="38347" xr:uid="{00000000-0005-0000-0000-000095930000}"/>
    <cellStyle name="Normal 9 15 8 6" xfId="38348" xr:uid="{00000000-0005-0000-0000-000096930000}"/>
    <cellStyle name="Normal 9 15 9" xfId="38349" xr:uid="{00000000-0005-0000-0000-000097930000}"/>
    <cellStyle name="Normal 9 16" xfId="38350" xr:uid="{00000000-0005-0000-0000-000098930000}"/>
    <cellStyle name="Normal 9 16 10" xfId="38351" xr:uid="{00000000-0005-0000-0000-000099930000}"/>
    <cellStyle name="Normal 9 16 11" xfId="38352" xr:uid="{00000000-0005-0000-0000-00009A930000}"/>
    <cellStyle name="Normal 9 16 12" xfId="38353" xr:uid="{00000000-0005-0000-0000-00009B930000}"/>
    <cellStyle name="Normal 9 16 13" xfId="38354" xr:uid="{00000000-0005-0000-0000-00009C930000}"/>
    <cellStyle name="Normal 9 16 2" xfId="38355" xr:uid="{00000000-0005-0000-0000-00009D930000}"/>
    <cellStyle name="Normal 9 16 2 2" xfId="38356" xr:uid="{00000000-0005-0000-0000-00009E930000}"/>
    <cellStyle name="Normal 9 16 2 3" xfId="38357" xr:uid="{00000000-0005-0000-0000-00009F930000}"/>
    <cellStyle name="Normal 9 16 2 4" xfId="38358" xr:uid="{00000000-0005-0000-0000-0000A0930000}"/>
    <cellStyle name="Normal 9 16 2 5" xfId="38359" xr:uid="{00000000-0005-0000-0000-0000A1930000}"/>
    <cellStyle name="Normal 9 16 2 6" xfId="38360" xr:uid="{00000000-0005-0000-0000-0000A2930000}"/>
    <cellStyle name="Normal 9 16 3" xfId="38361" xr:uid="{00000000-0005-0000-0000-0000A3930000}"/>
    <cellStyle name="Normal 9 16 3 2" xfId="38362" xr:uid="{00000000-0005-0000-0000-0000A4930000}"/>
    <cellStyle name="Normal 9 16 3 3" xfId="38363" xr:uid="{00000000-0005-0000-0000-0000A5930000}"/>
    <cellStyle name="Normal 9 16 3 4" xfId="38364" xr:uid="{00000000-0005-0000-0000-0000A6930000}"/>
    <cellStyle name="Normal 9 16 3 5" xfId="38365" xr:uid="{00000000-0005-0000-0000-0000A7930000}"/>
    <cellStyle name="Normal 9 16 3 6" xfId="38366" xr:uid="{00000000-0005-0000-0000-0000A8930000}"/>
    <cellStyle name="Normal 9 16 4" xfId="38367" xr:uid="{00000000-0005-0000-0000-0000A9930000}"/>
    <cellStyle name="Normal 9 16 4 2" xfId="38368" xr:uid="{00000000-0005-0000-0000-0000AA930000}"/>
    <cellStyle name="Normal 9 16 4 3" xfId="38369" xr:uid="{00000000-0005-0000-0000-0000AB930000}"/>
    <cellStyle name="Normal 9 16 4 4" xfId="38370" xr:uid="{00000000-0005-0000-0000-0000AC930000}"/>
    <cellStyle name="Normal 9 16 4 5" xfId="38371" xr:uid="{00000000-0005-0000-0000-0000AD930000}"/>
    <cellStyle name="Normal 9 16 4 6" xfId="38372" xr:uid="{00000000-0005-0000-0000-0000AE930000}"/>
    <cellStyle name="Normal 9 16 5" xfId="38373" xr:uid="{00000000-0005-0000-0000-0000AF930000}"/>
    <cellStyle name="Normal 9 16 5 2" xfId="38374" xr:uid="{00000000-0005-0000-0000-0000B0930000}"/>
    <cellStyle name="Normal 9 16 5 3" xfId="38375" xr:uid="{00000000-0005-0000-0000-0000B1930000}"/>
    <cellStyle name="Normal 9 16 5 4" xfId="38376" xr:uid="{00000000-0005-0000-0000-0000B2930000}"/>
    <cellStyle name="Normal 9 16 5 5" xfId="38377" xr:uid="{00000000-0005-0000-0000-0000B3930000}"/>
    <cellStyle name="Normal 9 16 5 6" xfId="38378" xr:uid="{00000000-0005-0000-0000-0000B4930000}"/>
    <cellStyle name="Normal 9 16 6" xfId="38379" xr:uid="{00000000-0005-0000-0000-0000B5930000}"/>
    <cellStyle name="Normal 9 16 6 2" xfId="38380" xr:uid="{00000000-0005-0000-0000-0000B6930000}"/>
    <cellStyle name="Normal 9 16 6 3" xfId="38381" xr:uid="{00000000-0005-0000-0000-0000B7930000}"/>
    <cellStyle name="Normal 9 16 6 4" xfId="38382" xr:uid="{00000000-0005-0000-0000-0000B8930000}"/>
    <cellStyle name="Normal 9 16 6 5" xfId="38383" xr:uid="{00000000-0005-0000-0000-0000B9930000}"/>
    <cellStyle name="Normal 9 16 6 6" xfId="38384" xr:uid="{00000000-0005-0000-0000-0000BA930000}"/>
    <cellStyle name="Normal 9 16 7" xfId="38385" xr:uid="{00000000-0005-0000-0000-0000BB930000}"/>
    <cellStyle name="Normal 9 16 7 2" xfId="38386" xr:uid="{00000000-0005-0000-0000-0000BC930000}"/>
    <cellStyle name="Normal 9 16 7 3" xfId="38387" xr:uid="{00000000-0005-0000-0000-0000BD930000}"/>
    <cellStyle name="Normal 9 16 7 4" xfId="38388" xr:uid="{00000000-0005-0000-0000-0000BE930000}"/>
    <cellStyle name="Normal 9 16 7 5" xfId="38389" xr:uid="{00000000-0005-0000-0000-0000BF930000}"/>
    <cellStyle name="Normal 9 16 7 6" xfId="38390" xr:uid="{00000000-0005-0000-0000-0000C0930000}"/>
    <cellStyle name="Normal 9 16 8" xfId="38391" xr:uid="{00000000-0005-0000-0000-0000C1930000}"/>
    <cellStyle name="Normal 9 16 8 2" xfId="38392" xr:uid="{00000000-0005-0000-0000-0000C2930000}"/>
    <cellStyle name="Normal 9 16 8 3" xfId="38393" xr:uid="{00000000-0005-0000-0000-0000C3930000}"/>
    <cellStyle name="Normal 9 16 8 4" xfId="38394" xr:uid="{00000000-0005-0000-0000-0000C4930000}"/>
    <cellStyle name="Normal 9 16 8 5" xfId="38395" xr:uid="{00000000-0005-0000-0000-0000C5930000}"/>
    <cellStyle name="Normal 9 16 8 6" xfId="38396" xr:uid="{00000000-0005-0000-0000-0000C6930000}"/>
    <cellStyle name="Normal 9 16 9" xfId="38397" xr:uid="{00000000-0005-0000-0000-0000C7930000}"/>
    <cellStyle name="Normal 9 17" xfId="38398" xr:uid="{00000000-0005-0000-0000-0000C8930000}"/>
    <cellStyle name="Normal 9 17 10" xfId="38399" xr:uid="{00000000-0005-0000-0000-0000C9930000}"/>
    <cellStyle name="Normal 9 17 11" xfId="38400" xr:uid="{00000000-0005-0000-0000-0000CA930000}"/>
    <cellStyle name="Normal 9 17 12" xfId="38401" xr:uid="{00000000-0005-0000-0000-0000CB930000}"/>
    <cellStyle name="Normal 9 17 13" xfId="38402" xr:uid="{00000000-0005-0000-0000-0000CC930000}"/>
    <cellStyle name="Normal 9 17 2" xfId="38403" xr:uid="{00000000-0005-0000-0000-0000CD930000}"/>
    <cellStyle name="Normal 9 17 2 2" xfId="38404" xr:uid="{00000000-0005-0000-0000-0000CE930000}"/>
    <cellStyle name="Normal 9 17 2 3" xfId="38405" xr:uid="{00000000-0005-0000-0000-0000CF930000}"/>
    <cellStyle name="Normal 9 17 2 4" xfId="38406" xr:uid="{00000000-0005-0000-0000-0000D0930000}"/>
    <cellStyle name="Normal 9 17 2 5" xfId="38407" xr:uid="{00000000-0005-0000-0000-0000D1930000}"/>
    <cellStyle name="Normal 9 17 2 6" xfId="38408" xr:uid="{00000000-0005-0000-0000-0000D2930000}"/>
    <cellStyle name="Normal 9 17 3" xfId="38409" xr:uid="{00000000-0005-0000-0000-0000D3930000}"/>
    <cellStyle name="Normal 9 17 3 2" xfId="38410" xr:uid="{00000000-0005-0000-0000-0000D4930000}"/>
    <cellStyle name="Normal 9 17 3 3" xfId="38411" xr:uid="{00000000-0005-0000-0000-0000D5930000}"/>
    <cellStyle name="Normal 9 17 3 4" xfId="38412" xr:uid="{00000000-0005-0000-0000-0000D6930000}"/>
    <cellStyle name="Normal 9 17 3 5" xfId="38413" xr:uid="{00000000-0005-0000-0000-0000D7930000}"/>
    <cellStyle name="Normal 9 17 3 6" xfId="38414" xr:uid="{00000000-0005-0000-0000-0000D8930000}"/>
    <cellStyle name="Normal 9 17 4" xfId="38415" xr:uid="{00000000-0005-0000-0000-0000D9930000}"/>
    <cellStyle name="Normal 9 17 4 2" xfId="38416" xr:uid="{00000000-0005-0000-0000-0000DA930000}"/>
    <cellStyle name="Normal 9 17 4 3" xfId="38417" xr:uid="{00000000-0005-0000-0000-0000DB930000}"/>
    <cellStyle name="Normal 9 17 4 4" xfId="38418" xr:uid="{00000000-0005-0000-0000-0000DC930000}"/>
    <cellStyle name="Normal 9 17 4 5" xfId="38419" xr:uid="{00000000-0005-0000-0000-0000DD930000}"/>
    <cellStyle name="Normal 9 17 4 6" xfId="38420" xr:uid="{00000000-0005-0000-0000-0000DE930000}"/>
    <cellStyle name="Normal 9 17 5" xfId="38421" xr:uid="{00000000-0005-0000-0000-0000DF930000}"/>
    <cellStyle name="Normal 9 17 5 2" xfId="38422" xr:uid="{00000000-0005-0000-0000-0000E0930000}"/>
    <cellStyle name="Normal 9 17 5 3" xfId="38423" xr:uid="{00000000-0005-0000-0000-0000E1930000}"/>
    <cellStyle name="Normal 9 17 5 4" xfId="38424" xr:uid="{00000000-0005-0000-0000-0000E2930000}"/>
    <cellStyle name="Normal 9 17 5 5" xfId="38425" xr:uid="{00000000-0005-0000-0000-0000E3930000}"/>
    <cellStyle name="Normal 9 17 5 6" xfId="38426" xr:uid="{00000000-0005-0000-0000-0000E4930000}"/>
    <cellStyle name="Normal 9 17 6" xfId="38427" xr:uid="{00000000-0005-0000-0000-0000E5930000}"/>
    <cellStyle name="Normal 9 17 6 2" xfId="38428" xr:uid="{00000000-0005-0000-0000-0000E6930000}"/>
    <cellStyle name="Normal 9 17 6 3" xfId="38429" xr:uid="{00000000-0005-0000-0000-0000E7930000}"/>
    <cellStyle name="Normal 9 17 6 4" xfId="38430" xr:uid="{00000000-0005-0000-0000-0000E8930000}"/>
    <cellStyle name="Normal 9 17 6 5" xfId="38431" xr:uid="{00000000-0005-0000-0000-0000E9930000}"/>
    <cellStyle name="Normal 9 17 6 6" xfId="38432" xr:uid="{00000000-0005-0000-0000-0000EA930000}"/>
    <cellStyle name="Normal 9 17 7" xfId="38433" xr:uid="{00000000-0005-0000-0000-0000EB930000}"/>
    <cellStyle name="Normal 9 17 7 2" xfId="38434" xr:uid="{00000000-0005-0000-0000-0000EC930000}"/>
    <cellStyle name="Normal 9 17 7 3" xfId="38435" xr:uid="{00000000-0005-0000-0000-0000ED930000}"/>
    <cellStyle name="Normal 9 17 7 4" xfId="38436" xr:uid="{00000000-0005-0000-0000-0000EE930000}"/>
    <cellStyle name="Normal 9 17 7 5" xfId="38437" xr:uid="{00000000-0005-0000-0000-0000EF930000}"/>
    <cellStyle name="Normal 9 17 7 6" xfId="38438" xr:uid="{00000000-0005-0000-0000-0000F0930000}"/>
    <cellStyle name="Normal 9 17 8" xfId="38439" xr:uid="{00000000-0005-0000-0000-0000F1930000}"/>
    <cellStyle name="Normal 9 17 8 2" xfId="38440" xr:uid="{00000000-0005-0000-0000-0000F2930000}"/>
    <cellStyle name="Normal 9 17 8 3" xfId="38441" xr:uid="{00000000-0005-0000-0000-0000F3930000}"/>
    <cellStyle name="Normal 9 17 8 4" xfId="38442" xr:uid="{00000000-0005-0000-0000-0000F4930000}"/>
    <cellStyle name="Normal 9 17 8 5" xfId="38443" xr:uid="{00000000-0005-0000-0000-0000F5930000}"/>
    <cellStyle name="Normal 9 17 8 6" xfId="38444" xr:uid="{00000000-0005-0000-0000-0000F6930000}"/>
    <cellStyle name="Normal 9 17 9" xfId="38445" xr:uid="{00000000-0005-0000-0000-0000F7930000}"/>
    <cellStyle name="Normal 9 18" xfId="38446" xr:uid="{00000000-0005-0000-0000-0000F8930000}"/>
    <cellStyle name="Normal 9 18 10" xfId="38447" xr:uid="{00000000-0005-0000-0000-0000F9930000}"/>
    <cellStyle name="Normal 9 18 11" xfId="38448" xr:uid="{00000000-0005-0000-0000-0000FA930000}"/>
    <cellStyle name="Normal 9 18 12" xfId="38449" xr:uid="{00000000-0005-0000-0000-0000FB930000}"/>
    <cellStyle name="Normal 9 18 13" xfId="38450" xr:uid="{00000000-0005-0000-0000-0000FC930000}"/>
    <cellStyle name="Normal 9 18 2" xfId="38451" xr:uid="{00000000-0005-0000-0000-0000FD930000}"/>
    <cellStyle name="Normal 9 18 2 2" xfId="38452" xr:uid="{00000000-0005-0000-0000-0000FE930000}"/>
    <cellStyle name="Normal 9 18 2 3" xfId="38453" xr:uid="{00000000-0005-0000-0000-0000FF930000}"/>
    <cellStyle name="Normal 9 18 2 4" xfId="38454" xr:uid="{00000000-0005-0000-0000-000000940000}"/>
    <cellStyle name="Normal 9 18 2 5" xfId="38455" xr:uid="{00000000-0005-0000-0000-000001940000}"/>
    <cellStyle name="Normal 9 18 2 6" xfId="38456" xr:uid="{00000000-0005-0000-0000-000002940000}"/>
    <cellStyle name="Normal 9 18 3" xfId="38457" xr:uid="{00000000-0005-0000-0000-000003940000}"/>
    <cellStyle name="Normal 9 18 3 2" xfId="38458" xr:uid="{00000000-0005-0000-0000-000004940000}"/>
    <cellStyle name="Normal 9 18 3 3" xfId="38459" xr:uid="{00000000-0005-0000-0000-000005940000}"/>
    <cellStyle name="Normal 9 18 3 4" xfId="38460" xr:uid="{00000000-0005-0000-0000-000006940000}"/>
    <cellStyle name="Normal 9 18 3 5" xfId="38461" xr:uid="{00000000-0005-0000-0000-000007940000}"/>
    <cellStyle name="Normal 9 18 3 6" xfId="38462" xr:uid="{00000000-0005-0000-0000-000008940000}"/>
    <cellStyle name="Normal 9 18 4" xfId="38463" xr:uid="{00000000-0005-0000-0000-000009940000}"/>
    <cellStyle name="Normal 9 18 4 2" xfId="38464" xr:uid="{00000000-0005-0000-0000-00000A940000}"/>
    <cellStyle name="Normal 9 18 4 3" xfId="38465" xr:uid="{00000000-0005-0000-0000-00000B940000}"/>
    <cellStyle name="Normal 9 18 4 4" xfId="38466" xr:uid="{00000000-0005-0000-0000-00000C940000}"/>
    <cellStyle name="Normal 9 18 4 5" xfId="38467" xr:uid="{00000000-0005-0000-0000-00000D940000}"/>
    <cellStyle name="Normal 9 18 4 6" xfId="38468" xr:uid="{00000000-0005-0000-0000-00000E940000}"/>
    <cellStyle name="Normal 9 18 5" xfId="38469" xr:uid="{00000000-0005-0000-0000-00000F940000}"/>
    <cellStyle name="Normal 9 18 5 2" xfId="38470" xr:uid="{00000000-0005-0000-0000-000010940000}"/>
    <cellStyle name="Normal 9 18 5 3" xfId="38471" xr:uid="{00000000-0005-0000-0000-000011940000}"/>
    <cellStyle name="Normal 9 18 5 4" xfId="38472" xr:uid="{00000000-0005-0000-0000-000012940000}"/>
    <cellStyle name="Normal 9 18 5 5" xfId="38473" xr:uid="{00000000-0005-0000-0000-000013940000}"/>
    <cellStyle name="Normal 9 18 5 6" xfId="38474" xr:uid="{00000000-0005-0000-0000-000014940000}"/>
    <cellStyle name="Normal 9 18 6" xfId="38475" xr:uid="{00000000-0005-0000-0000-000015940000}"/>
    <cellStyle name="Normal 9 18 6 2" xfId="38476" xr:uid="{00000000-0005-0000-0000-000016940000}"/>
    <cellStyle name="Normal 9 18 6 3" xfId="38477" xr:uid="{00000000-0005-0000-0000-000017940000}"/>
    <cellStyle name="Normal 9 18 6 4" xfId="38478" xr:uid="{00000000-0005-0000-0000-000018940000}"/>
    <cellStyle name="Normal 9 18 6 5" xfId="38479" xr:uid="{00000000-0005-0000-0000-000019940000}"/>
    <cellStyle name="Normal 9 18 6 6" xfId="38480" xr:uid="{00000000-0005-0000-0000-00001A940000}"/>
    <cellStyle name="Normal 9 18 7" xfId="38481" xr:uid="{00000000-0005-0000-0000-00001B940000}"/>
    <cellStyle name="Normal 9 18 7 2" xfId="38482" xr:uid="{00000000-0005-0000-0000-00001C940000}"/>
    <cellStyle name="Normal 9 18 7 3" xfId="38483" xr:uid="{00000000-0005-0000-0000-00001D940000}"/>
    <cellStyle name="Normal 9 18 7 4" xfId="38484" xr:uid="{00000000-0005-0000-0000-00001E940000}"/>
    <cellStyle name="Normal 9 18 7 5" xfId="38485" xr:uid="{00000000-0005-0000-0000-00001F940000}"/>
    <cellStyle name="Normal 9 18 7 6" xfId="38486" xr:uid="{00000000-0005-0000-0000-000020940000}"/>
    <cellStyle name="Normal 9 18 8" xfId="38487" xr:uid="{00000000-0005-0000-0000-000021940000}"/>
    <cellStyle name="Normal 9 18 8 2" xfId="38488" xr:uid="{00000000-0005-0000-0000-000022940000}"/>
    <cellStyle name="Normal 9 18 8 3" xfId="38489" xr:uid="{00000000-0005-0000-0000-000023940000}"/>
    <cellStyle name="Normal 9 18 8 4" xfId="38490" xr:uid="{00000000-0005-0000-0000-000024940000}"/>
    <cellStyle name="Normal 9 18 8 5" xfId="38491" xr:uid="{00000000-0005-0000-0000-000025940000}"/>
    <cellStyle name="Normal 9 18 8 6" xfId="38492" xr:uid="{00000000-0005-0000-0000-000026940000}"/>
    <cellStyle name="Normal 9 18 9" xfId="38493" xr:uid="{00000000-0005-0000-0000-000027940000}"/>
    <cellStyle name="Normal 9 19" xfId="38494" xr:uid="{00000000-0005-0000-0000-000028940000}"/>
    <cellStyle name="Normal 9 19 10" xfId="38495" xr:uid="{00000000-0005-0000-0000-000029940000}"/>
    <cellStyle name="Normal 9 19 11" xfId="38496" xr:uid="{00000000-0005-0000-0000-00002A940000}"/>
    <cellStyle name="Normal 9 19 12" xfId="38497" xr:uid="{00000000-0005-0000-0000-00002B940000}"/>
    <cellStyle name="Normal 9 19 13" xfId="38498" xr:uid="{00000000-0005-0000-0000-00002C940000}"/>
    <cellStyle name="Normal 9 19 2" xfId="38499" xr:uid="{00000000-0005-0000-0000-00002D940000}"/>
    <cellStyle name="Normal 9 19 2 2" xfId="38500" xr:uid="{00000000-0005-0000-0000-00002E940000}"/>
    <cellStyle name="Normal 9 19 2 3" xfId="38501" xr:uid="{00000000-0005-0000-0000-00002F940000}"/>
    <cellStyle name="Normal 9 19 2 4" xfId="38502" xr:uid="{00000000-0005-0000-0000-000030940000}"/>
    <cellStyle name="Normal 9 19 2 5" xfId="38503" xr:uid="{00000000-0005-0000-0000-000031940000}"/>
    <cellStyle name="Normal 9 19 2 6" xfId="38504" xr:uid="{00000000-0005-0000-0000-000032940000}"/>
    <cellStyle name="Normal 9 19 3" xfId="38505" xr:uid="{00000000-0005-0000-0000-000033940000}"/>
    <cellStyle name="Normal 9 19 3 2" xfId="38506" xr:uid="{00000000-0005-0000-0000-000034940000}"/>
    <cellStyle name="Normal 9 19 3 3" xfId="38507" xr:uid="{00000000-0005-0000-0000-000035940000}"/>
    <cellStyle name="Normal 9 19 3 4" xfId="38508" xr:uid="{00000000-0005-0000-0000-000036940000}"/>
    <cellStyle name="Normal 9 19 3 5" xfId="38509" xr:uid="{00000000-0005-0000-0000-000037940000}"/>
    <cellStyle name="Normal 9 19 3 6" xfId="38510" xr:uid="{00000000-0005-0000-0000-000038940000}"/>
    <cellStyle name="Normal 9 19 4" xfId="38511" xr:uid="{00000000-0005-0000-0000-000039940000}"/>
    <cellStyle name="Normal 9 19 4 2" xfId="38512" xr:uid="{00000000-0005-0000-0000-00003A940000}"/>
    <cellStyle name="Normal 9 19 4 3" xfId="38513" xr:uid="{00000000-0005-0000-0000-00003B940000}"/>
    <cellStyle name="Normal 9 19 4 4" xfId="38514" xr:uid="{00000000-0005-0000-0000-00003C940000}"/>
    <cellStyle name="Normal 9 19 4 5" xfId="38515" xr:uid="{00000000-0005-0000-0000-00003D940000}"/>
    <cellStyle name="Normal 9 19 4 6" xfId="38516" xr:uid="{00000000-0005-0000-0000-00003E940000}"/>
    <cellStyle name="Normal 9 19 5" xfId="38517" xr:uid="{00000000-0005-0000-0000-00003F940000}"/>
    <cellStyle name="Normal 9 19 5 2" xfId="38518" xr:uid="{00000000-0005-0000-0000-000040940000}"/>
    <cellStyle name="Normal 9 19 5 3" xfId="38519" xr:uid="{00000000-0005-0000-0000-000041940000}"/>
    <cellStyle name="Normal 9 19 5 4" xfId="38520" xr:uid="{00000000-0005-0000-0000-000042940000}"/>
    <cellStyle name="Normal 9 19 5 5" xfId="38521" xr:uid="{00000000-0005-0000-0000-000043940000}"/>
    <cellStyle name="Normal 9 19 5 6" xfId="38522" xr:uid="{00000000-0005-0000-0000-000044940000}"/>
    <cellStyle name="Normal 9 19 6" xfId="38523" xr:uid="{00000000-0005-0000-0000-000045940000}"/>
    <cellStyle name="Normal 9 19 6 2" xfId="38524" xr:uid="{00000000-0005-0000-0000-000046940000}"/>
    <cellStyle name="Normal 9 19 6 3" xfId="38525" xr:uid="{00000000-0005-0000-0000-000047940000}"/>
    <cellStyle name="Normal 9 19 6 4" xfId="38526" xr:uid="{00000000-0005-0000-0000-000048940000}"/>
    <cellStyle name="Normal 9 19 6 5" xfId="38527" xr:uid="{00000000-0005-0000-0000-000049940000}"/>
    <cellStyle name="Normal 9 19 6 6" xfId="38528" xr:uid="{00000000-0005-0000-0000-00004A940000}"/>
    <cellStyle name="Normal 9 19 7" xfId="38529" xr:uid="{00000000-0005-0000-0000-00004B940000}"/>
    <cellStyle name="Normal 9 19 7 2" xfId="38530" xr:uid="{00000000-0005-0000-0000-00004C940000}"/>
    <cellStyle name="Normal 9 19 7 3" xfId="38531" xr:uid="{00000000-0005-0000-0000-00004D940000}"/>
    <cellStyle name="Normal 9 19 7 4" xfId="38532" xr:uid="{00000000-0005-0000-0000-00004E940000}"/>
    <cellStyle name="Normal 9 19 7 5" xfId="38533" xr:uid="{00000000-0005-0000-0000-00004F940000}"/>
    <cellStyle name="Normal 9 19 7 6" xfId="38534" xr:uid="{00000000-0005-0000-0000-000050940000}"/>
    <cellStyle name="Normal 9 19 8" xfId="38535" xr:uid="{00000000-0005-0000-0000-000051940000}"/>
    <cellStyle name="Normal 9 19 8 2" xfId="38536" xr:uid="{00000000-0005-0000-0000-000052940000}"/>
    <cellStyle name="Normal 9 19 8 3" xfId="38537" xr:uid="{00000000-0005-0000-0000-000053940000}"/>
    <cellStyle name="Normal 9 19 8 4" xfId="38538" xr:uid="{00000000-0005-0000-0000-000054940000}"/>
    <cellStyle name="Normal 9 19 8 5" xfId="38539" xr:uid="{00000000-0005-0000-0000-000055940000}"/>
    <cellStyle name="Normal 9 19 8 6" xfId="38540" xr:uid="{00000000-0005-0000-0000-000056940000}"/>
    <cellStyle name="Normal 9 19 9" xfId="38541" xr:uid="{00000000-0005-0000-0000-000057940000}"/>
    <cellStyle name="Normal 9 2" xfId="38542" xr:uid="{00000000-0005-0000-0000-000058940000}"/>
    <cellStyle name="Normal 9 2 10" xfId="38543" xr:uid="{00000000-0005-0000-0000-000059940000}"/>
    <cellStyle name="Normal 9 2 11" xfId="38544" xr:uid="{00000000-0005-0000-0000-00005A940000}"/>
    <cellStyle name="Normal 9 2 12" xfId="38545" xr:uid="{00000000-0005-0000-0000-00005B940000}"/>
    <cellStyle name="Normal 9 2 13" xfId="38546" xr:uid="{00000000-0005-0000-0000-00005C940000}"/>
    <cellStyle name="Normal 9 2 14" xfId="38547" xr:uid="{00000000-0005-0000-0000-00005D940000}"/>
    <cellStyle name="Normal 9 2 2" xfId="38548" xr:uid="{00000000-0005-0000-0000-00005E940000}"/>
    <cellStyle name="Normal 9 2 2 2" xfId="38549" xr:uid="{00000000-0005-0000-0000-00005F940000}"/>
    <cellStyle name="Normal 9 2 2 3" xfId="38550" xr:uid="{00000000-0005-0000-0000-000060940000}"/>
    <cellStyle name="Normal 9 2 2 4" xfId="38551" xr:uid="{00000000-0005-0000-0000-000061940000}"/>
    <cellStyle name="Normal 9 2 2 5" xfId="38552" xr:uid="{00000000-0005-0000-0000-000062940000}"/>
    <cellStyle name="Normal 9 2 2 6" xfId="38553" xr:uid="{00000000-0005-0000-0000-000063940000}"/>
    <cellStyle name="Normal 9 2 3" xfId="38554" xr:uid="{00000000-0005-0000-0000-000064940000}"/>
    <cellStyle name="Normal 9 2 3 2" xfId="38555" xr:uid="{00000000-0005-0000-0000-000065940000}"/>
    <cellStyle name="Normal 9 2 3 3" xfId="38556" xr:uid="{00000000-0005-0000-0000-000066940000}"/>
    <cellStyle name="Normal 9 2 3 4" xfId="38557" xr:uid="{00000000-0005-0000-0000-000067940000}"/>
    <cellStyle name="Normal 9 2 3 5" xfId="38558" xr:uid="{00000000-0005-0000-0000-000068940000}"/>
    <cellStyle name="Normal 9 2 3 6" xfId="38559" xr:uid="{00000000-0005-0000-0000-000069940000}"/>
    <cellStyle name="Normal 9 2 4" xfId="38560" xr:uid="{00000000-0005-0000-0000-00006A940000}"/>
    <cellStyle name="Normal 9 2 4 2" xfId="38561" xr:uid="{00000000-0005-0000-0000-00006B940000}"/>
    <cellStyle name="Normal 9 2 4 3" xfId="38562" xr:uid="{00000000-0005-0000-0000-00006C940000}"/>
    <cellStyle name="Normal 9 2 4 4" xfId="38563" xr:uid="{00000000-0005-0000-0000-00006D940000}"/>
    <cellStyle name="Normal 9 2 4 5" xfId="38564" xr:uid="{00000000-0005-0000-0000-00006E940000}"/>
    <cellStyle name="Normal 9 2 4 6" xfId="38565" xr:uid="{00000000-0005-0000-0000-00006F940000}"/>
    <cellStyle name="Normal 9 2 5" xfId="38566" xr:uid="{00000000-0005-0000-0000-000070940000}"/>
    <cellStyle name="Normal 9 2 5 2" xfId="38567" xr:uid="{00000000-0005-0000-0000-000071940000}"/>
    <cellStyle name="Normal 9 2 5 3" xfId="38568" xr:uid="{00000000-0005-0000-0000-000072940000}"/>
    <cellStyle name="Normal 9 2 5 4" xfId="38569" xr:uid="{00000000-0005-0000-0000-000073940000}"/>
    <cellStyle name="Normal 9 2 5 5" xfId="38570" xr:uid="{00000000-0005-0000-0000-000074940000}"/>
    <cellStyle name="Normal 9 2 5 6" xfId="38571" xr:uid="{00000000-0005-0000-0000-000075940000}"/>
    <cellStyle name="Normal 9 2 6" xfId="38572" xr:uid="{00000000-0005-0000-0000-000076940000}"/>
    <cellStyle name="Normal 9 2 6 2" xfId="38573" xr:uid="{00000000-0005-0000-0000-000077940000}"/>
    <cellStyle name="Normal 9 2 6 3" xfId="38574" xr:uid="{00000000-0005-0000-0000-000078940000}"/>
    <cellStyle name="Normal 9 2 6 4" xfId="38575" xr:uid="{00000000-0005-0000-0000-000079940000}"/>
    <cellStyle name="Normal 9 2 6 5" xfId="38576" xr:uid="{00000000-0005-0000-0000-00007A940000}"/>
    <cellStyle name="Normal 9 2 6 6" xfId="38577" xr:uid="{00000000-0005-0000-0000-00007B940000}"/>
    <cellStyle name="Normal 9 2 7" xfId="38578" xr:uid="{00000000-0005-0000-0000-00007C940000}"/>
    <cellStyle name="Normal 9 2 7 2" xfId="38579" xr:uid="{00000000-0005-0000-0000-00007D940000}"/>
    <cellStyle name="Normal 9 2 7 3" xfId="38580" xr:uid="{00000000-0005-0000-0000-00007E940000}"/>
    <cellStyle name="Normal 9 2 7 4" xfId="38581" xr:uid="{00000000-0005-0000-0000-00007F940000}"/>
    <cellStyle name="Normal 9 2 7 5" xfId="38582" xr:uid="{00000000-0005-0000-0000-000080940000}"/>
    <cellStyle name="Normal 9 2 7 6" xfId="38583" xr:uid="{00000000-0005-0000-0000-000081940000}"/>
    <cellStyle name="Normal 9 2 8" xfId="38584" xr:uid="{00000000-0005-0000-0000-000082940000}"/>
    <cellStyle name="Normal 9 2 8 2" xfId="38585" xr:uid="{00000000-0005-0000-0000-000083940000}"/>
    <cellStyle name="Normal 9 2 8 3" xfId="38586" xr:uid="{00000000-0005-0000-0000-000084940000}"/>
    <cellStyle name="Normal 9 2 8 4" xfId="38587" xr:uid="{00000000-0005-0000-0000-000085940000}"/>
    <cellStyle name="Normal 9 2 8 5" xfId="38588" xr:uid="{00000000-0005-0000-0000-000086940000}"/>
    <cellStyle name="Normal 9 2 8 6" xfId="38589" xr:uid="{00000000-0005-0000-0000-000087940000}"/>
    <cellStyle name="Normal 9 2 9" xfId="38590" xr:uid="{00000000-0005-0000-0000-000088940000}"/>
    <cellStyle name="Normal 9 20" xfId="38591" xr:uid="{00000000-0005-0000-0000-000089940000}"/>
    <cellStyle name="Normal 9 20 10" xfId="38592" xr:uid="{00000000-0005-0000-0000-00008A940000}"/>
    <cellStyle name="Normal 9 20 11" xfId="38593" xr:uid="{00000000-0005-0000-0000-00008B940000}"/>
    <cellStyle name="Normal 9 20 12" xfId="38594" xr:uid="{00000000-0005-0000-0000-00008C940000}"/>
    <cellStyle name="Normal 9 20 13" xfId="38595" xr:uid="{00000000-0005-0000-0000-00008D940000}"/>
    <cellStyle name="Normal 9 20 2" xfId="38596" xr:uid="{00000000-0005-0000-0000-00008E940000}"/>
    <cellStyle name="Normal 9 20 2 2" xfId="38597" xr:uid="{00000000-0005-0000-0000-00008F940000}"/>
    <cellStyle name="Normal 9 20 2 3" xfId="38598" xr:uid="{00000000-0005-0000-0000-000090940000}"/>
    <cellStyle name="Normal 9 20 2 4" xfId="38599" xr:uid="{00000000-0005-0000-0000-000091940000}"/>
    <cellStyle name="Normal 9 20 2 5" xfId="38600" xr:uid="{00000000-0005-0000-0000-000092940000}"/>
    <cellStyle name="Normal 9 20 2 6" xfId="38601" xr:uid="{00000000-0005-0000-0000-000093940000}"/>
    <cellStyle name="Normal 9 20 3" xfId="38602" xr:uid="{00000000-0005-0000-0000-000094940000}"/>
    <cellStyle name="Normal 9 20 3 2" xfId="38603" xr:uid="{00000000-0005-0000-0000-000095940000}"/>
    <cellStyle name="Normal 9 20 3 3" xfId="38604" xr:uid="{00000000-0005-0000-0000-000096940000}"/>
    <cellStyle name="Normal 9 20 3 4" xfId="38605" xr:uid="{00000000-0005-0000-0000-000097940000}"/>
    <cellStyle name="Normal 9 20 3 5" xfId="38606" xr:uid="{00000000-0005-0000-0000-000098940000}"/>
    <cellStyle name="Normal 9 20 3 6" xfId="38607" xr:uid="{00000000-0005-0000-0000-000099940000}"/>
    <cellStyle name="Normal 9 20 4" xfId="38608" xr:uid="{00000000-0005-0000-0000-00009A940000}"/>
    <cellStyle name="Normal 9 20 4 2" xfId="38609" xr:uid="{00000000-0005-0000-0000-00009B940000}"/>
    <cellStyle name="Normal 9 20 4 3" xfId="38610" xr:uid="{00000000-0005-0000-0000-00009C940000}"/>
    <cellStyle name="Normal 9 20 4 4" xfId="38611" xr:uid="{00000000-0005-0000-0000-00009D940000}"/>
    <cellStyle name="Normal 9 20 4 5" xfId="38612" xr:uid="{00000000-0005-0000-0000-00009E940000}"/>
    <cellStyle name="Normal 9 20 4 6" xfId="38613" xr:uid="{00000000-0005-0000-0000-00009F940000}"/>
    <cellStyle name="Normal 9 20 5" xfId="38614" xr:uid="{00000000-0005-0000-0000-0000A0940000}"/>
    <cellStyle name="Normal 9 20 5 2" xfId="38615" xr:uid="{00000000-0005-0000-0000-0000A1940000}"/>
    <cellStyle name="Normal 9 20 5 3" xfId="38616" xr:uid="{00000000-0005-0000-0000-0000A2940000}"/>
    <cellStyle name="Normal 9 20 5 4" xfId="38617" xr:uid="{00000000-0005-0000-0000-0000A3940000}"/>
    <cellStyle name="Normal 9 20 5 5" xfId="38618" xr:uid="{00000000-0005-0000-0000-0000A4940000}"/>
    <cellStyle name="Normal 9 20 5 6" xfId="38619" xr:uid="{00000000-0005-0000-0000-0000A5940000}"/>
    <cellStyle name="Normal 9 20 6" xfId="38620" xr:uid="{00000000-0005-0000-0000-0000A6940000}"/>
    <cellStyle name="Normal 9 20 6 2" xfId="38621" xr:uid="{00000000-0005-0000-0000-0000A7940000}"/>
    <cellStyle name="Normal 9 20 6 3" xfId="38622" xr:uid="{00000000-0005-0000-0000-0000A8940000}"/>
    <cellStyle name="Normal 9 20 6 4" xfId="38623" xr:uid="{00000000-0005-0000-0000-0000A9940000}"/>
    <cellStyle name="Normal 9 20 6 5" xfId="38624" xr:uid="{00000000-0005-0000-0000-0000AA940000}"/>
    <cellStyle name="Normal 9 20 6 6" xfId="38625" xr:uid="{00000000-0005-0000-0000-0000AB940000}"/>
    <cellStyle name="Normal 9 20 7" xfId="38626" xr:uid="{00000000-0005-0000-0000-0000AC940000}"/>
    <cellStyle name="Normal 9 20 7 2" xfId="38627" xr:uid="{00000000-0005-0000-0000-0000AD940000}"/>
    <cellStyle name="Normal 9 20 7 3" xfId="38628" xr:uid="{00000000-0005-0000-0000-0000AE940000}"/>
    <cellStyle name="Normal 9 20 7 4" xfId="38629" xr:uid="{00000000-0005-0000-0000-0000AF940000}"/>
    <cellStyle name="Normal 9 20 7 5" xfId="38630" xr:uid="{00000000-0005-0000-0000-0000B0940000}"/>
    <cellStyle name="Normal 9 20 7 6" xfId="38631" xr:uid="{00000000-0005-0000-0000-0000B1940000}"/>
    <cellStyle name="Normal 9 20 8" xfId="38632" xr:uid="{00000000-0005-0000-0000-0000B2940000}"/>
    <cellStyle name="Normal 9 20 8 2" xfId="38633" xr:uid="{00000000-0005-0000-0000-0000B3940000}"/>
    <cellStyle name="Normal 9 20 8 3" xfId="38634" xr:uid="{00000000-0005-0000-0000-0000B4940000}"/>
    <cellStyle name="Normal 9 20 8 4" xfId="38635" xr:uid="{00000000-0005-0000-0000-0000B5940000}"/>
    <cellStyle name="Normal 9 20 8 5" xfId="38636" xr:uid="{00000000-0005-0000-0000-0000B6940000}"/>
    <cellStyle name="Normal 9 20 8 6" xfId="38637" xr:uid="{00000000-0005-0000-0000-0000B7940000}"/>
    <cellStyle name="Normal 9 20 9" xfId="38638" xr:uid="{00000000-0005-0000-0000-0000B8940000}"/>
    <cellStyle name="Normal 9 21" xfId="38639" xr:uid="{00000000-0005-0000-0000-0000B9940000}"/>
    <cellStyle name="Normal 9 21 10" xfId="38640" xr:uid="{00000000-0005-0000-0000-0000BA940000}"/>
    <cellStyle name="Normal 9 21 11" xfId="38641" xr:uid="{00000000-0005-0000-0000-0000BB940000}"/>
    <cellStyle name="Normal 9 21 12" xfId="38642" xr:uid="{00000000-0005-0000-0000-0000BC940000}"/>
    <cellStyle name="Normal 9 21 13" xfId="38643" xr:uid="{00000000-0005-0000-0000-0000BD940000}"/>
    <cellStyle name="Normal 9 21 2" xfId="38644" xr:uid="{00000000-0005-0000-0000-0000BE940000}"/>
    <cellStyle name="Normal 9 21 2 2" xfId="38645" xr:uid="{00000000-0005-0000-0000-0000BF940000}"/>
    <cellStyle name="Normal 9 21 2 3" xfId="38646" xr:uid="{00000000-0005-0000-0000-0000C0940000}"/>
    <cellStyle name="Normal 9 21 2 4" xfId="38647" xr:uid="{00000000-0005-0000-0000-0000C1940000}"/>
    <cellStyle name="Normal 9 21 2 5" xfId="38648" xr:uid="{00000000-0005-0000-0000-0000C2940000}"/>
    <cellStyle name="Normal 9 21 2 6" xfId="38649" xr:uid="{00000000-0005-0000-0000-0000C3940000}"/>
    <cellStyle name="Normal 9 21 3" xfId="38650" xr:uid="{00000000-0005-0000-0000-0000C4940000}"/>
    <cellStyle name="Normal 9 21 3 2" xfId="38651" xr:uid="{00000000-0005-0000-0000-0000C5940000}"/>
    <cellStyle name="Normal 9 21 3 3" xfId="38652" xr:uid="{00000000-0005-0000-0000-0000C6940000}"/>
    <cellStyle name="Normal 9 21 3 4" xfId="38653" xr:uid="{00000000-0005-0000-0000-0000C7940000}"/>
    <cellStyle name="Normal 9 21 3 5" xfId="38654" xr:uid="{00000000-0005-0000-0000-0000C8940000}"/>
    <cellStyle name="Normal 9 21 3 6" xfId="38655" xr:uid="{00000000-0005-0000-0000-0000C9940000}"/>
    <cellStyle name="Normal 9 21 4" xfId="38656" xr:uid="{00000000-0005-0000-0000-0000CA940000}"/>
    <cellStyle name="Normal 9 21 4 2" xfId="38657" xr:uid="{00000000-0005-0000-0000-0000CB940000}"/>
    <cellStyle name="Normal 9 21 4 3" xfId="38658" xr:uid="{00000000-0005-0000-0000-0000CC940000}"/>
    <cellStyle name="Normal 9 21 4 4" xfId="38659" xr:uid="{00000000-0005-0000-0000-0000CD940000}"/>
    <cellStyle name="Normal 9 21 4 5" xfId="38660" xr:uid="{00000000-0005-0000-0000-0000CE940000}"/>
    <cellStyle name="Normal 9 21 4 6" xfId="38661" xr:uid="{00000000-0005-0000-0000-0000CF940000}"/>
    <cellStyle name="Normal 9 21 5" xfId="38662" xr:uid="{00000000-0005-0000-0000-0000D0940000}"/>
    <cellStyle name="Normal 9 21 5 2" xfId="38663" xr:uid="{00000000-0005-0000-0000-0000D1940000}"/>
    <cellStyle name="Normal 9 21 5 3" xfId="38664" xr:uid="{00000000-0005-0000-0000-0000D2940000}"/>
    <cellStyle name="Normal 9 21 5 4" xfId="38665" xr:uid="{00000000-0005-0000-0000-0000D3940000}"/>
    <cellStyle name="Normal 9 21 5 5" xfId="38666" xr:uid="{00000000-0005-0000-0000-0000D4940000}"/>
    <cellStyle name="Normal 9 21 5 6" xfId="38667" xr:uid="{00000000-0005-0000-0000-0000D5940000}"/>
    <cellStyle name="Normal 9 21 6" xfId="38668" xr:uid="{00000000-0005-0000-0000-0000D6940000}"/>
    <cellStyle name="Normal 9 21 6 2" xfId="38669" xr:uid="{00000000-0005-0000-0000-0000D7940000}"/>
    <cellStyle name="Normal 9 21 6 3" xfId="38670" xr:uid="{00000000-0005-0000-0000-0000D8940000}"/>
    <cellStyle name="Normal 9 21 6 4" xfId="38671" xr:uid="{00000000-0005-0000-0000-0000D9940000}"/>
    <cellStyle name="Normal 9 21 6 5" xfId="38672" xr:uid="{00000000-0005-0000-0000-0000DA940000}"/>
    <cellStyle name="Normal 9 21 6 6" xfId="38673" xr:uid="{00000000-0005-0000-0000-0000DB940000}"/>
    <cellStyle name="Normal 9 21 7" xfId="38674" xr:uid="{00000000-0005-0000-0000-0000DC940000}"/>
    <cellStyle name="Normal 9 21 7 2" xfId="38675" xr:uid="{00000000-0005-0000-0000-0000DD940000}"/>
    <cellStyle name="Normal 9 21 7 3" xfId="38676" xr:uid="{00000000-0005-0000-0000-0000DE940000}"/>
    <cellStyle name="Normal 9 21 7 4" xfId="38677" xr:uid="{00000000-0005-0000-0000-0000DF940000}"/>
    <cellStyle name="Normal 9 21 7 5" xfId="38678" xr:uid="{00000000-0005-0000-0000-0000E0940000}"/>
    <cellStyle name="Normal 9 21 7 6" xfId="38679" xr:uid="{00000000-0005-0000-0000-0000E1940000}"/>
    <cellStyle name="Normal 9 21 8" xfId="38680" xr:uid="{00000000-0005-0000-0000-0000E2940000}"/>
    <cellStyle name="Normal 9 21 8 2" xfId="38681" xr:uid="{00000000-0005-0000-0000-0000E3940000}"/>
    <cellStyle name="Normal 9 21 8 3" xfId="38682" xr:uid="{00000000-0005-0000-0000-0000E4940000}"/>
    <cellStyle name="Normal 9 21 8 4" xfId="38683" xr:uid="{00000000-0005-0000-0000-0000E5940000}"/>
    <cellStyle name="Normal 9 21 8 5" xfId="38684" xr:uid="{00000000-0005-0000-0000-0000E6940000}"/>
    <cellStyle name="Normal 9 21 8 6" xfId="38685" xr:uid="{00000000-0005-0000-0000-0000E7940000}"/>
    <cellStyle name="Normal 9 21 9" xfId="38686" xr:uid="{00000000-0005-0000-0000-0000E8940000}"/>
    <cellStyle name="Normal 9 22" xfId="38687" xr:uid="{00000000-0005-0000-0000-0000E9940000}"/>
    <cellStyle name="Normal 9 22 10" xfId="38688" xr:uid="{00000000-0005-0000-0000-0000EA940000}"/>
    <cellStyle name="Normal 9 22 11" xfId="38689" xr:uid="{00000000-0005-0000-0000-0000EB940000}"/>
    <cellStyle name="Normal 9 22 12" xfId="38690" xr:uid="{00000000-0005-0000-0000-0000EC940000}"/>
    <cellStyle name="Normal 9 22 13" xfId="38691" xr:uid="{00000000-0005-0000-0000-0000ED940000}"/>
    <cellStyle name="Normal 9 22 2" xfId="38692" xr:uid="{00000000-0005-0000-0000-0000EE940000}"/>
    <cellStyle name="Normal 9 22 2 2" xfId="38693" xr:uid="{00000000-0005-0000-0000-0000EF940000}"/>
    <cellStyle name="Normal 9 22 2 3" xfId="38694" xr:uid="{00000000-0005-0000-0000-0000F0940000}"/>
    <cellStyle name="Normal 9 22 2 4" xfId="38695" xr:uid="{00000000-0005-0000-0000-0000F1940000}"/>
    <cellStyle name="Normal 9 22 2 5" xfId="38696" xr:uid="{00000000-0005-0000-0000-0000F2940000}"/>
    <cellStyle name="Normal 9 22 2 6" xfId="38697" xr:uid="{00000000-0005-0000-0000-0000F3940000}"/>
    <cellStyle name="Normal 9 22 3" xfId="38698" xr:uid="{00000000-0005-0000-0000-0000F4940000}"/>
    <cellStyle name="Normal 9 22 3 2" xfId="38699" xr:uid="{00000000-0005-0000-0000-0000F5940000}"/>
    <cellStyle name="Normal 9 22 3 3" xfId="38700" xr:uid="{00000000-0005-0000-0000-0000F6940000}"/>
    <cellStyle name="Normal 9 22 3 4" xfId="38701" xr:uid="{00000000-0005-0000-0000-0000F7940000}"/>
    <cellStyle name="Normal 9 22 3 5" xfId="38702" xr:uid="{00000000-0005-0000-0000-0000F8940000}"/>
    <cellStyle name="Normal 9 22 3 6" xfId="38703" xr:uid="{00000000-0005-0000-0000-0000F9940000}"/>
    <cellStyle name="Normal 9 22 4" xfId="38704" xr:uid="{00000000-0005-0000-0000-0000FA940000}"/>
    <cellStyle name="Normal 9 22 4 2" xfId="38705" xr:uid="{00000000-0005-0000-0000-0000FB940000}"/>
    <cellStyle name="Normal 9 22 4 3" xfId="38706" xr:uid="{00000000-0005-0000-0000-0000FC940000}"/>
    <cellStyle name="Normal 9 22 4 4" xfId="38707" xr:uid="{00000000-0005-0000-0000-0000FD940000}"/>
    <cellStyle name="Normal 9 22 4 5" xfId="38708" xr:uid="{00000000-0005-0000-0000-0000FE940000}"/>
    <cellStyle name="Normal 9 22 4 6" xfId="38709" xr:uid="{00000000-0005-0000-0000-0000FF940000}"/>
    <cellStyle name="Normal 9 22 5" xfId="38710" xr:uid="{00000000-0005-0000-0000-000000950000}"/>
    <cellStyle name="Normal 9 22 5 2" xfId="38711" xr:uid="{00000000-0005-0000-0000-000001950000}"/>
    <cellStyle name="Normal 9 22 5 3" xfId="38712" xr:uid="{00000000-0005-0000-0000-000002950000}"/>
    <cellStyle name="Normal 9 22 5 4" xfId="38713" xr:uid="{00000000-0005-0000-0000-000003950000}"/>
    <cellStyle name="Normal 9 22 5 5" xfId="38714" xr:uid="{00000000-0005-0000-0000-000004950000}"/>
    <cellStyle name="Normal 9 22 5 6" xfId="38715" xr:uid="{00000000-0005-0000-0000-000005950000}"/>
    <cellStyle name="Normal 9 22 6" xfId="38716" xr:uid="{00000000-0005-0000-0000-000006950000}"/>
    <cellStyle name="Normal 9 22 6 2" xfId="38717" xr:uid="{00000000-0005-0000-0000-000007950000}"/>
    <cellStyle name="Normal 9 22 6 3" xfId="38718" xr:uid="{00000000-0005-0000-0000-000008950000}"/>
    <cellStyle name="Normal 9 22 6 4" xfId="38719" xr:uid="{00000000-0005-0000-0000-000009950000}"/>
    <cellStyle name="Normal 9 22 6 5" xfId="38720" xr:uid="{00000000-0005-0000-0000-00000A950000}"/>
    <cellStyle name="Normal 9 22 6 6" xfId="38721" xr:uid="{00000000-0005-0000-0000-00000B950000}"/>
    <cellStyle name="Normal 9 22 7" xfId="38722" xr:uid="{00000000-0005-0000-0000-00000C950000}"/>
    <cellStyle name="Normal 9 22 7 2" xfId="38723" xr:uid="{00000000-0005-0000-0000-00000D950000}"/>
    <cellStyle name="Normal 9 22 7 3" xfId="38724" xr:uid="{00000000-0005-0000-0000-00000E950000}"/>
    <cellStyle name="Normal 9 22 7 4" xfId="38725" xr:uid="{00000000-0005-0000-0000-00000F950000}"/>
    <cellStyle name="Normal 9 22 7 5" xfId="38726" xr:uid="{00000000-0005-0000-0000-000010950000}"/>
    <cellStyle name="Normal 9 22 7 6" xfId="38727" xr:uid="{00000000-0005-0000-0000-000011950000}"/>
    <cellStyle name="Normal 9 22 8" xfId="38728" xr:uid="{00000000-0005-0000-0000-000012950000}"/>
    <cellStyle name="Normal 9 22 8 2" xfId="38729" xr:uid="{00000000-0005-0000-0000-000013950000}"/>
    <cellStyle name="Normal 9 22 8 3" xfId="38730" xr:uid="{00000000-0005-0000-0000-000014950000}"/>
    <cellStyle name="Normal 9 22 8 4" xfId="38731" xr:uid="{00000000-0005-0000-0000-000015950000}"/>
    <cellStyle name="Normal 9 22 8 5" xfId="38732" xr:uid="{00000000-0005-0000-0000-000016950000}"/>
    <cellStyle name="Normal 9 22 8 6" xfId="38733" xr:uid="{00000000-0005-0000-0000-000017950000}"/>
    <cellStyle name="Normal 9 22 9" xfId="38734" xr:uid="{00000000-0005-0000-0000-000018950000}"/>
    <cellStyle name="Normal 9 23" xfId="38735" xr:uid="{00000000-0005-0000-0000-000019950000}"/>
    <cellStyle name="Normal 9 23 10" xfId="38736" xr:uid="{00000000-0005-0000-0000-00001A950000}"/>
    <cellStyle name="Normal 9 23 11" xfId="38737" xr:uid="{00000000-0005-0000-0000-00001B950000}"/>
    <cellStyle name="Normal 9 23 12" xfId="38738" xr:uid="{00000000-0005-0000-0000-00001C950000}"/>
    <cellStyle name="Normal 9 23 13" xfId="38739" xr:uid="{00000000-0005-0000-0000-00001D950000}"/>
    <cellStyle name="Normal 9 23 2" xfId="38740" xr:uid="{00000000-0005-0000-0000-00001E950000}"/>
    <cellStyle name="Normal 9 23 2 2" xfId="38741" xr:uid="{00000000-0005-0000-0000-00001F950000}"/>
    <cellStyle name="Normal 9 23 2 3" xfId="38742" xr:uid="{00000000-0005-0000-0000-000020950000}"/>
    <cellStyle name="Normal 9 23 2 4" xfId="38743" xr:uid="{00000000-0005-0000-0000-000021950000}"/>
    <cellStyle name="Normal 9 23 2 5" xfId="38744" xr:uid="{00000000-0005-0000-0000-000022950000}"/>
    <cellStyle name="Normal 9 23 2 6" xfId="38745" xr:uid="{00000000-0005-0000-0000-000023950000}"/>
    <cellStyle name="Normal 9 23 3" xfId="38746" xr:uid="{00000000-0005-0000-0000-000024950000}"/>
    <cellStyle name="Normal 9 23 3 2" xfId="38747" xr:uid="{00000000-0005-0000-0000-000025950000}"/>
    <cellStyle name="Normal 9 23 3 3" xfId="38748" xr:uid="{00000000-0005-0000-0000-000026950000}"/>
    <cellStyle name="Normal 9 23 3 4" xfId="38749" xr:uid="{00000000-0005-0000-0000-000027950000}"/>
    <cellStyle name="Normal 9 23 3 5" xfId="38750" xr:uid="{00000000-0005-0000-0000-000028950000}"/>
    <cellStyle name="Normal 9 23 3 6" xfId="38751" xr:uid="{00000000-0005-0000-0000-000029950000}"/>
    <cellStyle name="Normal 9 23 4" xfId="38752" xr:uid="{00000000-0005-0000-0000-00002A950000}"/>
    <cellStyle name="Normal 9 23 4 2" xfId="38753" xr:uid="{00000000-0005-0000-0000-00002B950000}"/>
    <cellStyle name="Normal 9 23 4 3" xfId="38754" xr:uid="{00000000-0005-0000-0000-00002C950000}"/>
    <cellStyle name="Normal 9 23 4 4" xfId="38755" xr:uid="{00000000-0005-0000-0000-00002D950000}"/>
    <cellStyle name="Normal 9 23 4 5" xfId="38756" xr:uid="{00000000-0005-0000-0000-00002E950000}"/>
    <cellStyle name="Normal 9 23 4 6" xfId="38757" xr:uid="{00000000-0005-0000-0000-00002F950000}"/>
    <cellStyle name="Normal 9 23 5" xfId="38758" xr:uid="{00000000-0005-0000-0000-000030950000}"/>
    <cellStyle name="Normal 9 23 5 2" xfId="38759" xr:uid="{00000000-0005-0000-0000-000031950000}"/>
    <cellStyle name="Normal 9 23 5 3" xfId="38760" xr:uid="{00000000-0005-0000-0000-000032950000}"/>
    <cellStyle name="Normal 9 23 5 4" xfId="38761" xr:uid="{00000000-0005-0000-0000-000033950000}"/>
    <cellStyle name="Normal 9 23 5 5" xfId="38762" xr:uid="{00000000-0005-0000-0000-000034950000}"/>
    <cellStyle name="Normal 9 23 5 6" xfId="38763" xr:uid="{00000000-0005-0000-0000-000035950000}"/>
    <cellStyle name="Normal 9 23 6" xfId="38764" xr:uid="{00000000-0005-0000-0000-000036950000}"/>
    <cellStyle name="Normal 9 23 6 2" xfId="38765" xr:uid="{00000000-0005-0000-0000-000037950000}"/>
    <cellStyle name="Normal 9 23 6 3" xfId="38766" xr:uid="{00000000-0005-0000-0000-000038950000}"/>
    <cellStyle name="Normal 9 23 6 4" xfId="38767" xr:uid="{00000000-0005-0000-0000-000039950000}"/>
    <cellStyle name="Normal 9 23 6 5" xfId="38768" xr:uid="{00000000-0005-0000-0000-00003A950000}"/>
    <cellStyle name="Normal 9 23 6 6" xfId="38769" xr:uid="{00000000-0005-0000-0000-00003B950000}"/>
    <cellStyle name="Normal 9 23 7" xfId="38770" xr:uid="{00000000-0005-0000-0000-00003C950000}"/>
    <cellStyle name="Normal 9 23 7 2" xfId="38771" xr:uid="{00000000-0005-0000-0000-00003D950000}"/>
    <cellStyle name="Normal 9 23 7 3" xfId="38772" xr:uid="{00000000-0005-0000-0000-00003E950000}"/>
    <cellStyle name="Normal 9 23 7 4" xfId="38773" xr:uid="{00000000-0005-0000-0000-00003F950000}"/>
    <cellStyle name="Normal 9 23 7 5" xfId="38774" xr:uid="{00000000-0005-0000-0000-000040950000}"/>
    <cellStyle name="Normal 9 23 7 6" xfId="38775" xr:uid="{00000000-0005-0000-0000-000041950000}"/>
    <cellStyle name="Normal 9 23 8" xfId="38776" xr:uid="{00000000-0005-0000-0000-000042950000}"/>
    <cellStyle name="Normal 9 23 8 2" xfId="38777" xr:uid="{00000000-0005-0000-0000-000043950000}"/>
    <cellStyle name="Normal 9 23 8 3" xfId="38778" xr:uid="{00000000-0005-0000-0000-000044950000}"/>
    <cellStyle name="Normal 9 23 8 4" xfId="38779" xr:uid="{00000000-0005-0000-0000-000045950000}"/>
    <cellStyle name="Normal 9 23 8 5" xfId="38780" xr:uid="{00000000-0005-0000-0000-000046950000}"/>
    <cellStyle name="Normal 9 23 8 6" xfId="38781" xr:uid="{00000000-0005-0000-0000-000047950000}"/>
    <cellStyle name="Normal 9 23 9" xfId="38782" xr:uid="{00000000-0005-0000-0000-000048950000}"/>
    <cellStyle name="Normal 9 24" xfId="38783" xr:uid="{00000000-0005-0000-0000-000049950000}"/>
    <cellStyle name="Normal 9 24 10" xfId="38784" xr:uid="{00000000-0005-0000-0000-00004A950000}"/>
    <cellStyle name="Normal 9 24 11" xfId="38785" xr:uid="{00000000-0005-0000-0000-00004B950000}"/>
    <cellStyle name="Normal 9 24 12" xfId="38786" xr:uid="{00000000-0005-0000-0000-00004C950000}"/>
    <cellStyle name="Normal 9 24 13" xfId="38787" xr:uid="{00000000-0005-0000-0000-00004D950000}"/>
    <cellStyle name="Normal 9 24 2" xfId="38788" xr:uid="{00000000-0005-0000-0000-00004E950000}"/>
    <cellStyle name="Normal 9 24 2 2" xfId="38789" xr:uid="{00000000-0005-0000-0000-00004F950000}"/>
    <cellStyle name="Normal 9 24 2 3" xfId="38790" xr:uid="{00000000-0005-0000-0000-000050950000}"/>
    <cellStyle name="Normal 9 24 2 4" xfId="38791" xr:uid="{00000000-0005-0000-0000-000051950000}"/>
    <cellStyle name="Normal 9 24 2 5" xfId="38792" xr:uid="{00000000-0005-0000-0000-000052950000}"/>
    <cellStyle name="Normal 9 24 2 6" xfId="38793" xr:uid="{00000000-0005-0000-0000-000053950000}"/>
    <cellStyle name="Normal 9 24 3" xfId="38794" xr:uid="{00000000-0005-0000-0000-000054950000}"/>
    <cellStyle name="Normal 9 24 3 2" xfId="38795" xr:uid="{00000000-0005-0000-0000-000055950000}"/>
    <cellStyle name="Normal 9 24 3 3" xfId="38796" xr:uid="{00000000-0005-0000-0000-000056950000}"/>
    <cellStyle name="Normal 9 24 3 4" xfId="38797" xr:uid="{00000000-0005-0000-0000-000057950000}"/>
    <cellStyle name="Normal 9 24 3 5" xfId="38798" xr:uid="{00000000-0005-0000-0000-000058950000}"/>
    <cellStyle name="Normal 9 24 3 6" xfId="38799" xr:uid="{00000000-0005-0000-0000-000059950000}"/>
    <cellStyle name="Normal 9 24 4" xfId="38800" xr:uid="{00000000-0005-0000-0000-00005A950000}"/>
    <cellStyle name="Normal 9 24 4 2" xfId="38801" xr:uid="{00000000-0005-0000-0000-00005B950000}"/>
    <cellStyle name="Normal 9 24 4 3" xfId="38802" xr:uid="{00000000-0005-0000-0000-00005C950000}"/>
    <cellStyle name="Normal 9 24 4 4" xfId="38803" xr:uid="{00000000-0005-0000-0000-00005D950000}"/>
    <cellStyle name="Normal 9 24 4 5" xfId="38804" xr:uid="{00000000-0005-0000-0000-00005E950000}"/>
    <cellStyle name="Normal 9 24 4 6" xfId="38805" xr:uid="{00000000-0005-0000-0000-00005F950000}"/>
    <cellStyle name="Normal 9 24 5" xfId="38806" xr:uid="{00000000-0005-0000-0000-000060950000}"/>
    <cellStyle name="Normal 9 24 5 2" xfId="38807" xr:uid="{00000000-0005-0000-0000-000061950000}"/>
    <cellStyle name="Normal 9 24 5 3" xfId="38808" xr:uid="{00000000-0005-0000-0000-000062950000}"/>
    <cellStyle name="Normal 9 24 5 4" xfId="38809" xr:uid="{00000000-0005-0000-0000-000063950000}"/>
    <cellStyle name="Normal 9 24 5 5" xfId="38810" xr:uid="{00000000-0005-0000-0000-000064950000}"/>
    <cellStyle name="Normal 9 24 5 6" xfId="38811" xr:uid="{00000000-0005-0000-0000-000065950000}"/>
    <cellStyle name="Normal 9 24 6" xfId="38812" xr:uid="{00000000-0005-0000-0000-000066950000}"/>
    <cellStyle name="Normal 9 24 6 2" xfId="38813" xr:uid="{00000000-0005-0000-0000-000067950000}"/>
    <cellStyle name="Normal 9 24 6 3" xfId="38814" xr:uid="{00000000-0005-0000-0000-000068950000}"/>
    <cellStyle name="Normal 9 24 6 4" xfId="38815" xr:uid="{00000000-0005-0000-0000-000069950000}"/>
    <cellStyle name="Normal 9 24 6 5" xfId="38816" xr:uid="{00000000-0005-0000-0000-00006A950000}"/>
    <cellStyle name="Normal 9 24 6 6" xfId="38817" xr:uid="{00000000-0005-0000-0000-00006B950000}"/>
    <cellStyle name="Normal 9 24 7" xfId="38818" xr:uid="{00000000-0005-0000-0000-00006C950000}"/>
    <cellStyle name="Normal 9 24 7 2" xfId="38819" xr:uid="{00000000-0005-0000-0000-00006D950000}"/>
    <cellStyle name="Normal 9 24 7 3" xfId="38820" xr:uid="{00000000-0005-0000-0000-00006E950000}"/>
    <cellStyle name="Normal 9 24 7 4" xfId="38821" xr:uid="{00000000-0005-0000-0000-00006F950000}"/>
    <cellStyle name="Normal 9 24 7 5" xfId="38822" xr:uid="{00000000-0005-0000-0000-000070950000}"/>
    <cellStyle name="Normal 9 24 7 6" xfId="38823" xr:uid="{00000000-0005-0000-0000-000071950000}"/>
    <cellStyle name="Normal 9 24 8" xfId="38824" xr:uid="{00000000-0005-0000-0000-000072950000}"/>
    <cellStyle name="Normal 9 24 8 2" xfId="38825" xr:uid="{00000000-0005-0000-0000-000073950000}"/>
    <cellStyle name="Normal 9 24 8 3" xfId="38826" xr:uid="{00000000-0005-0000-0000-000074950000}"/>
    <cellStyle name="Normal 9 24 8 4" xfId="38827" xr:uid="{00000000-0005-0000-0000-000075950000}"/>
    <cellStyle name="Normal 9 24 8 5" xfId="38828" xr:uid="{00000000-0005-0000-0000-000076950000}"/>
    <cellStyle name="Normal 9 24 8 6" xfId="38829" xr:uid="{00000000-0005-0000-0000-000077950000}"/>
    <cellStyle name="Normal 9 24 9" xfId="38830" xr:uid="{00000000-0005-0000-0000-000078950000}"/>
    <cellStyle name="Normal 9 25" xfId="38831" xr:uid="{00000000-0005-0000-0000-000079950000}"/>
    <cellStyle name="Normal 9 25 10" xfId="38832" xr:uid="{00000000-0005-0000-0000-00007A950000}"/>
    <cellStyle name="Normal 9 25 11" xfId="38833" xr:uid="{00000000-0005-0000-0000-00007B950000}"/>
    <cellStyle name="Normal 9 25 12" xfId="38834" xr:uid="{00000000-0005-0000-0000-00007C950000}"/>
    <cellStyle name="Normal 9 25 13" xfId="38835" xr:uid="{00000000-0005-0000-0000-00007D950000}"/>
    <cellStyle name="Normal 9 25 2" xfId="38836" xr:uid="{00000000-0005-0000-0000-00007E950000}"/>
    <cellStyle name="Normal 9 25 2 2" xfId="38837" xr:uid="{00000000-0005-0000-0000-00007F950000}"/>
    <cellStyle name="Normal 9 25 2 3" xfId="38838" xr:uid="{00000000-0005-0000-0000-000080950000}"/>
    <cellStyle name="Normal 9 25 2 4" xfId="38839" xr:uid="{00000000-0005-0000-0000-000081950000}"/>
    <cellStyle name="Normal 9 25 2 5" xfId="38840" xr:uid="{00000000-0005-0000-0000-000082950000}"/>
    <cellStyle name="Normal 9 25 2 6" xfId="38841" xr:uid="{00000000-0005-0000-0000-000083950000}"/>
    <cellStyle name="Normal 9 25 3" xfId="38842" xr:uid="{00000000-0005-0000-0000-000084950000}"/>
    <cellStyle name="Normal 9 25 3 2" xfId="38843" xr:uid="{00000000-0005-0000-0000-000085950000}"/>
    <cellStyle name="Normal 9 25 3 3" xfId="38844" xr:uid="{00000000-0005-0000-0000-000086950000}"/>
    <cellStyle name="Normal 9 25 3 4" xfId="38845" xr:uid="{00000000-0005-0000-0000-000087950000}"/>
    <cellStyle name="Normal 9 25 3 5" xfId="38846" xr:uid="{00000000-0005-0000-0000-000088950000}"/>
    <cellStyle name="Normal 9 25 3 6" xfId="38847" xr:uid="{00000000-0005-0000-0000-000089950000}"/>
    <cellStyle name="Normal 9 25 4" xfId="38848" xr:uid="{00000000-0005-0000-0000-00008A950000}"/>
    <cellStyle name="Normal 9 25 4 2" xfId="38849" xr:uid="{00000000-0005-0000-0000-00008B950000}"/>
    <cellStyle name="Normal 9 25 4 3" xfId="38850" xr:uid="{00000000-0005-0000-0000-00008C950000}"/>
    <cellStyle name="Normal 9 25 4 4" xfId="38851" xr:uid="{00000000-0005-0000-0000-00008D950000}"/>
    <cellStyle name="Normal 9 25 4 5" xfId="38852" xr:uid="{00000000-0005-0000-0000-00008E950000}"/>
    <cellStyle name="Normal 9 25 4 6" xfId="38853" xr:uid="{00000000-0005-0000-0000-00008F950000}"/>
    <cellStyle name="Normal 9 25 5" xfId="38854" xr:uid="{00000000-0005-0000-0000-000090950000}"/>
    <cellStyle name="Normal 9 25 5 2" xfId="38855" xr:uid="{00000000-0005-0000-0000-000091950000}"/>
    <cellStyle name="Normal 9 25 5 3" xfId="38856" xr:uid="{00000000-0005-0000-0000-000092950000}"/>
    <cellStyle name="Normal 9 25 5 4" xfId="38857" xr:uid="{00000000-0005-0000-0000-000093950000}"/>
    <cellStyle name="Normal 9 25 5 5" xfId="38858" xr:uid="{00000000-0005-0000-0000-000094950000}"/>
    <cellStyle name="Normal 9 25 5 6" xfId="38859" xr:uid="{00000000-0005-0000-0000-000095950000}"/>
    <cellStyle name="Normal 9 25 6" xfId="38860" xr:uid="{00000000-0005-0000-0000-000096950000}"/>
    <cellStyle name="Normal 9 25 6 2" xfId="38861" xr:uid="{00000000-0005-0000-0000-000097950000}"/>
    <cellStyle name="Normal 9 25 6 3" xfId="38862" xr:uid="{00000000-0005-0000-0000-000098950000}"/>
    <cellStyle name="Normal 9 25 6 4" xfId="38863" xr:uid="{00000000-0005-0000-0000-000099950000}"/>
    <cellStyle name="Normal 9 25 6 5" xfId="38864" xr:uid="{00000000-0005-0000-0000-00009A950000}"/>
    <cellStyle name="Normal 9 25 6 6" xfId="38865" xr:uid="{00000000-0005-0000-0000-00009B950000}"/>
    <cellStyle name="Normal 9 25 7" xfId="38866" xr:uid="{00000000-0005-0000-0000-00009C950000}"/>
    <cellStyle name="Normal 9 25 7 2" xfId="38867" xr:uid="{00000000-0005-0000-0000-00009D950000}"/>
    <cellStyle name="Normal 9 25 7 3" xfId="38868" xr:uid="{00000000-0005-0000-0000-00009E950000}"/>
    <cellStyle name="Normal 9 25 7 4" xfId="38869" xr:uid="{00000000-0005-0000-0000-00009F950000}"/>
    <cellStyle name="Normal 9 25 7 5" xfId="38870" xr:uid="{00000000-0005-0000-0000-0000A0950000}"/>
    <cellStyle name="Normal 9 25 7 6" xfId="38871" xr:uid="{00000000-0005-0000-0000-0000A1950000}"/>
    <cellStyle name="Normal 9 25 8" xfId="38872" xr:uid="{00000000-0005-0000-0000-0000A2950000}"/>
    <cellStyle name="Normal 9 25 8 2" xfId="38873" xr:uid="{00000000-0005-0000-0000-0000A3950000}"/>
    <cellStyle name="Normal 9 25 8 3" xfId="38874" xr:uid="{00000000-0005-0000-0000-0000A4950000}"/>
    <cellStyle name="Normal 9 25 8 4" xfId="38875" xr:uid="{00000000-0005-0000-0000-0000A5950000}"/>
    <cellStyle name="Normal 9 25 8 5" xfId="38876" xr:uid="{00000000-0005-0000-0000-0000A6950000}"/>
    <cellStyle name="Normal 9 25 8 6" xfId="38877" xr:uid="{00000000-0005-0000-0000-0000A7950000}"/>
    <cellStyle name="Normal 9 25 9" xfId="38878" xr:uid="{00000000-0005-0000-0000-0000A8950000}"/>
    <cellStyle name="Normal 9 26" xfId="38879" xr:uid="{00000000-0005-0000-0000-0000A9950000}"/>
    <cellStyle name="Normal 9 26 10" xfId="38880" xr:uid="{00000000-0005-0000-0000-0000AA950000}"/>
    <cellStyle name="Normal 9 26 11" xfId="38881" xr:uid="{00000000-0005-0000-0000-0000AB950000}"/>
    <cellStyle name="Normal 9 26 12" xfId="38882" xr:uid="{00000000-0005-0000-0000-0000AC950000}"/>
    <cellStyle name="Normal 9 26 13" xfId="38883" xr:uid="{00000000-0005-0000-0000-0000AD950000}"/>
    <cellStyle name="Normal 9 26 2" xfId="38884" xr:uid="{00000000-0005-0000-0000-0000AE950000}"/>
    <cellStyle name="Normal 9 26 2 2" xfId="38885" xr:uid="{00000000-0005-0000-0000-0000AF950000}"/>
    <cellStyle name="Normal 9 26 2 3" xfId="38886" xr:uid="{00000000-0005-0000-0000-0000B0950000}"/>
    <cellStyle name="Normal 9 26 2 4" xfId="38887" xr:uid="{00000000-0005-0000-0000-0000B1950000}"/>
    <cellStyle name="Normal 9 26 2 5" xfId="38888" xr:uid="{00000000-0005-0000-0000-0000B2950000}"/>
    <cellStyle name="Normal 9 26 2 6" xfId="38889" xr:uid="{00000000-0005-0000-0000-0000B3950000}"/>
    <cellStyle name="Normal 9 26 3" xfId="38890" xr:uid="{00000000-0005-0000-0000-0000B4950000}"/>
    <cellStyle name="Normal 9 26 3 2" xfId="38891" xr:uid="{00000000-0005-0000-0000-0000B5950000}"/>
    <cellStyle name="Normal 9 26 3 3" xfId="38892" xr:uid="{00000000-0005-0000-0000-0000B6950000}"/>
    <cellStyle name="Normal 9 26 3 4" xfId="38893" xr:uid="{00000000-0005-0000-0000-0000B7950000}"/>
    <cellStyle name="Normal 9 26 3 5" xfId="38894" xr:uid="{00000000-0005-0000-0000-0000B8950000}"/>
    <cellStyle name="Normal 9 26 3 6" xfId="38895" xr:uid="{00000000-0005-0000-0000-0000B9950000}"/>
    <cellStyle name="Normal 9 26 4" xfId="38896" xr:uid="{00000000-0005-0000-0000-0000BA950000}"/>
    <cellStyle name="Normal 9 26 4 2" xfId="38897" xr:uid="{00000000-0005-0000-0000-0000BB950000}"/>
    <cellStyle name="Normal 9 26 4 3" xfId="38898" xr:uid="{00000000-0005-0000-0000-0000BC950000}"/>
    <cellStyle name="Normal 9 26 4 4" xfId="38899" xr:uid="{00000000-0005-0000-0000-0000BD950000}"/>
    <cellStyle name="Normal 9 26 4 5" xfId="38900" xr:uid="{00000000-0005-0000-0000-0000BE950000}"/>
    <cellStyle name="Normal 9 26 4 6" xfId="38901" xr:uid="{00000000-0005-0000-0000-0000BF950000}"/>
    <cellStyle name="Normal 9 26 5" xfId="38902" xr:uid="{00000000-0005-0000-0000-0000C0950000}"/>
    <cellStyle name="Normal 9 26 5 2" xfId="38903" xr:uid="{00000000-0005-0000-0000-0000C1950000}"/>
    <cellStyle name="Normal 9 26 5 3" xfId="38904" xr:uid="{00000000-0005-0000-0000-0000C2950000}"/>
    <cellStyle name="Normal 9 26 5 4" xfId="38905" xr:uid="{00000000-0005-0000-0000-0000C3950000}"/>
    <cellStyle name="Normal 9 26 5 5" xfId="38906" xr:uid="{00000000-0005-0000-0000-0000C4950000}"/>
    <cellStyle name="Normal 9 26 5 6" xfId="38907" xr:uid="{00000000-0005-0000-0000-0000C5950000}"/>
    <cellStyle name="Normal 9 26 6" xfId="38908" xr:uid="{00000000-0005-0000-0000-0000C6950000}"/>
    <cellStyle name="Normal 9 26 6 2" xfId="38909" xr:uid="{00000000-0005-0000-0000-0000C7950000}"/>
    <cellStyle name="Normal 9 26 6 3" xfId="38910" xr:uid="{00000000-0005-0000-0000-0000C8950000}"/>
    <cellStyle name="Normal 9 26 6 4" xfId="38911" xr:uid="{00000000-0005-0000-0000-0000C9950000}"/>
    <cellStyle name="Normal 9 26 6 5" xfId="38912" xr:uid="{00000000-0005-0000-0000-0000CA950000}"/>
    <cellStyle name="Normal 9 26 6 6" xfId="38913" xr:uid="{00000000-0005-0000-0000-0000CB950000}"/>
    <cellStyle name="Normal 9 26 7" xfId="38914" xr:uid="{00000000-0005-0000-0000-0000CC950000}"/>
    <cellStyle name="Normal 9 26 7 2" xfId="38915" xr:uid="{00000000-0005-0000-0000-0000CD950000}"/>
    <cellStyle name="Normal 9 26 7 3" xfId="38916" xr:uid="{00000000-0005-0000-0000-0000CE950000}"/>
    <cellStyle name="Normal 9 26 7 4" xfId="38917" xr:uid="{00000000-0005-0000-0000-0000CF950000}"/>
    <cellStyle name="Normal 9 26 7 5" xfId="38918" xr:uid="{00000000-0005-0000-0000-0000D0950000}"/>
    <cellStyle name="Normal 9 26 7 6" xfId="38919" xr:uid="{00000000-0005-0000-0000-0000D1950000}"/>
    <cellStyle name="Normal 9 26 8" xfId="38920" xr:uid="{00000000-0005-0000-0000-0000D2950000}"/>
    <cellStyle name="Normal 9 26 8 2" xfId="38921" xr:uid="{00000000-0005-0000-0000-0000D3950000}"/>
    <cellStyle name="Normal 9 26 8 3" xfId="38922" xr:uid="{00000000-0005-0000-0000-0000D4950000}"/>
    <cellStyle name="Normal 9 26 8 4" xfId="38923" xr:uid="{00000000-0005-0000-0000-0000D5950000}"/>
    <cellStyle name="Normal 9 26 8 5" xfId="38924" xr:uid="{00000000-0005-0000-0000-0000D6950000}"/>
    <cellStyle name="Normal 9 26 8 6" xfId="38925" xr:uid="{00000000-0005-0000-0000-0000D7950000}"/>
    <cellStyle name="Normal 9 26 9" xfId="38926" xr:uid="{00000000-0005-0000-0000-0000D8950000}"/>
    <cellStyle name="Normal 9 27" xfId="38927" xr:uid="{00000000-0005-0000-0000-0000D9950000}"/>
    <cellStyle name="Normal 9 27 10" xfId="38928" xr:uid="{00000000-0005-0000-0000-0000DA950000}"/>
    <cellStyle name="Normal 9 27 11" xfId="38929" xr:uid="{00000000-0005-0000-0000-0000DB950000}"/>
    <cellStyle name="Normal 9 27 12" xfId="38930" xr:uid="{00000000-0005-0000-0000-0000DC950000}"/>
    <cellStyle name="Normal 9 27 13" xfId="38931" xr:uid="{00000000-0005-0000-0000-0000DD950000}"/>
    <cellStyle name="Normal 9 27 2" xfId="38932" xr:uid="{00000000-0005-0000-0000-0000DE950000}"/>
    <cellStyle name="Normal 9 27 2 2" xfId="38933" xr:uid="{00000000-0005-0000-0000-0000DF950000}"/>
    <cellStyle name="Normal 9 27 2 3" xfId="38934" xr:uid="{00000000-0005-0000-0000-0000E0950000}"/>
    <cellStyle name="Normal 9 27 2 4" xfId="38935" xr:uid="{00000000-0005-0000-0000-0000E1950000}"/>
    <cellStyle name="Normal 9 27 2 5" xfId="38936" xr:uid="{00000000-0005-0000-0000-0000E2950000}"/>
    <cellStyle name="Normal 9 27 2 6" xfId="38937" xr:uid="{00000000-0005-0000-0000-0000E3950000}"/>
    <cellStyle name="Normal 9 27 3" xfId="38938" xr:uid="{00000000-0005-0000-0000-0000E4950000}"/>
    <cellStyle name="Normal 9 27 3 2" xfId="38939" xr:uid="{00000000-0005-0000-0000-0000E5950000}"/>
    <cellStyle name="Normal 9 27 3 3" xfId="38940" xr:uid="{00000000-0005-0000-0000-0000E6950000}"/>
    <cellStyle name="Normal 9 27 3 4" xfId="38941" xr:uid="{00000000-0005-0000-0000-0000E7950000}"/>
    <cellStyle name="Normal 9 27 3 5" xfId="38942" xr:uid="{00000000-0005-0000-0000-0000E8950000}"/>
    <cellStyle name="Normal 9 27 3 6" xfId="38943" xr:uid="{00000000-0005-0000-0000-0000E9950000}"/>
    <cellStyle name="Normal 9 27 4" xfId="38944" xr:uid="{00000000-0005-0000-0000-0000EA950000}"/>
    <cellStyle name="Normal 9 27 4 2" xfId="38945" xr:uid="{00000000-0005-0000-0000-0000EB950000}"/>
    <cellStyle name="Normal 9 27 4 3" xfId="38946" xr:uid="{00000000-0005-0000-0000-0000EC950000}"/>
    <cellStyle name="Normal 9 27 4 4" xfId="38947" xr:uid="{00000000-0005-0000-0000-0000ED950000}"/>
    <cellStyle name="Normal 9 27 4 5" xfId="38948" xr:uid="{00000000-0005-0000-0000-0000EE950000}"/>
    <cellStyle name="Normal 9 27 4 6" xfId="38949" xr:uid="{00000000-0005-0000-0000-0000EF950000}"/>
    <cellStyle name="Normal 9 27 5" xfId="38950" xr:uid="{00000000-0005-0000-0000-0000F0950000}"/>
    <cellStyle name="Normal 9 27 5 2" xfId="38951" xr:uid="{00000000-0005-0000-0000-0000F1950000}"/>
    <cellStyle name="Normal 9 27 5 3" xfId="38952" xr:uid="{00000000-0005-0000-0000-0000F2950000}"/>
    <cellStyle name="Normal 9 27 5 4" xfId="38953" xr:uid="{00000000-0005-0000-0000-0000F3950000}"/>
    <cellStyle name="Normal 9 27 5 5" xfId="38954" xr:uid="{00000000-0005-0000-0000-0000F4950000}"/>
    <cellStyle name="Normal 9 27 5 6" xfId="38955" xr:uid="{00000000-0005-0000-0000-0000F5950000}"/>
    <cellStyle name="Normal 9 27 6" xfId="38956" xr:uid="{00000000-0005-0000-0000-0000F6950000}"/>
    <cellStyle name="Normal 9 27 6 2" xfId="38957" xr:uid="{00000000-0005-0000-0000-0000F7950000}"/>
    <cellStyle name="Normal 9 27 6 3" xfId="38958" xr:uid="{00000000-0005-0000-0000-0000F8950000}"/>
    <cellStyle name="Normal 9 27 6 4" xfId="38959" xr:uid="{00000000-0005-0000-0000-0000F9950000}"/>
    <cellStyle name="Normal 9 27 6 5" xfId="38960" xr:uid="{00000000-0005-0000-0000-0000FA950000}"/>
    <cellStyle name="Normal 9 27 6 6" xfId="38961" xr:uid="{00000000-0005-0000-0000-0000FB950000}"/>
    <cellStyle name="Normal 9 27 7" xfId="38962" xr:uid="{00000000-0005-0000-0000-0000FC950000}"/>
    <cellStyle name="Normal 9 27 7 2" xfId="38963" xr:uid="{00000000-0005-0000-0000-0000FD950000}"/>
    <cellStyle name="Normal 9 27 7 3" xfId="38964" xr:uid="{00000000-0005-0000-0000-0000FE950000}"/>
    <cellStyle name="Normal 9 27 7 4" xfId="38965" xr:uid="{00000000-0005-0000-0000-0000FF950000}"/>
    <cellStyle name="Normal 9 27 7 5" xfId="38966" xr:uid="{00000000-0005-0000-0000-000000960000}"/>
    <cellStyle name="Normal 9 27 7 6" xfId="38967" xr:uid="{00000000-0005-0000-0000-000001960000}"/>
    <cellStyle name="Normal 9 27 8" xfId="38968" xr:uid="{00000000-0005-0000-0000-000002960000}"/>
    <cellStyle name="Normal 9 27 8 2" xfId="38969" xr:uid="{00000000-0005-0000-0000-000003960000}"/>
    <cellStyle name="Normal 9 27 8 3" xfId="38970" xr:uid="{00000000-0005-0000-0000-000004960000}"/>
    <cellStyle name="Normal 9 27 8 4" xfId="38971" xr:uid="{00000000-0005-0000-0000-000005960000}"/>
    <cellStyle name="Normal 9 27 8 5" xfId="38972" xr:uid="{00000000-0005-0000-0000-000006960000}"/>
    <cellStyle name="Normal 9 27 8 6" xfId="38973" xr:uid="{00000000-0005-0000-0000-000007960000}"/>
    <cellStyle name="Normal 9 27 9" xfId="38974" xr:uid="{00000000-0005-0000-0000-000008960000}"/>
    <cellStyle name="Normal 9 28" xfId="38975" xr:uid="{00000000-0005-0000-0000-000009960000}"/>
    <cellStyle name="Normal 9 28 10" xfId="38976" xr:uid="{00000000-0005-0000-0000-00000A960000}"/>
    <cellStyle name="Normal 9 28 11" xfId="38977" xr:uid="{00000000-0005-0000-0000-00000B960000}"/>
    <cellStyle name="Normal 9 28 12" xfId="38978" xr:uid="{00000000-0005-0000-0000-00000C960000}"/>
    <cellStyle name="Normal 9 28 13" xfId="38979" xr:uid="{00000000-0005-0000-0000-00000D960000}"/>
    <cellStyle name="Normal 9 28 2" xfId="38980" xr:uid="{00000000-0005-0000-0000-00000E960000}"/>
    <cellStyle name="Normal 9 28 2 2" xfId="38981" xr:uid="{00000000-0005-0000-0000-00000F960000}"/>
    <cellStyle name="Normal 9 28 2 3" xfId="38982" xr:uid="{00000000-0005-0000-0000-000010960000}"/>
    <cellStyle name="Normal 9 28 2 4" xfId="38983" xr:uid="{00000000-0005-0000-0000-000011960000}"/>
    <cellStyle name="Normal 9 28 2 5" xfId="38984" xr:uid="{00000000-0005-0000-0000-000012960000}"/>
    <cellStyle name="Normal 9 28 2 6" xfId="38985" xr:uid="{00000000-0005-0000-0000-000013960000}"/>
    <cellStyle name="Normal 9 28 3" xfId="38986" xr:uid="{00000000-0005-0000-0000-000014960000}"/>
    <cellStyle name="Normal 9 28 3 2" xfId="38987" xr:uid="{00000000-0005-0000-0000-000015960000}"/>
    <cellStyle name="Normal 9 28 3 3" xfId="38988" xr:uid="{00000000-0005-0000-0000-000016960000}"/>
    <cellStyle name="Normal 9 28 3 4" xfId="38989" xr:uid="{00000000-0005-0000-0000-000017960000}"/>
    <cellStyle name="Normal 9 28 3 5" xfId="38990" xr:uid="{00000000-0005-0000-0000-000018960000}"/>
    <cellStyle name="Normal 9 28 3 6" xfId="38991" xr:uid="{00000000-0005-0000-0000-000019960000}"/>
    <cellStyle name="Normal 9 28 4" xfId="38992" xr:uid="{00000000-0005-0000-0000-00001A960000}"/>
    <cellStyle name="Normal 9 28 4 2" xfId="38993" xr:uid="{00000000-0005-0000-0000-00001B960000}"/>
    <cellStyle name="Normal 9 28 4 3" xfId="38994" xr:uid="{00000000-0005-0000-0000-00001C960000}"/>
    <cellStyle name="Normal 9 28 4 4" xfId="38995" xr:uid="{00000000-0005-0000-0000-00001D960000}"/>
    <cellStyle name="Normal 9 28 4 5" xfId="38996" xr:uid="{00000000-0005-0000-0000-00001E960000}"/>
    <cellStyle name="Normal 9 28 4 6" xfId="38997" xr:uid="{00000000-0005-0000-0000-00001F960000}"/>
    <cellStyle name="Normal 9 28 5" xfId="38998" xr:uid="{00000000-0005-0000-0000-000020960000}"/>
    <cellStyle name="Normal 9 28 5 2" xfId="38999" xr:uid="{00000000-0005-0000-0000-000021960000}"/>
    <cellStyle name="Normal 9 28 5 3" xfId="39000" xr:uid="{00000000-0005-0000-0000-000022960000}"/>
    <cellStyle name="Normal 9 28 5 4" xfId="39001" xr:uid="{00000000-0005-0000-0000-000023960000}"/>
    <cellStyle name="Normal 9 28 5 5" xfId="39002" xr:uid="{00000000-0005-0000-0000-000024960000}"/>
    <cellStyle name="Normal 9 28 5 6" xfId="39003" xr:uid="{00000000-0005-0000-0000-000025960000}"/>
    <cellStyle name="Normal 9 28 6" xfId="39004" xr:uid="{00000000-0005-0000-0000-000026960000}"/>
    <cellStyle name="Normal 9 28 6 2" xfId="39005" xr:uid="{00000000-0005-0000-0000-000027960000}"/>
    <cellStyle name="Normal 9 28 6 3" xfId="39006" xr:uid="{00000000-0005-0000-0000-000028960000}"/>
    <cellStyle name="Normal 9 28 6 4" xfId="39007" xr:uid="{00000000-0005-0000-0000-000029960000}"/>
    <cellStyle name="Normal 9 28 6 5" xfId="39008" xr:uid="{00000000-0005-0000-0000-00002A960000}"/>
    <cellStyle name="Normal 9 28 6 6" xfId="39009" xr:uid="{00000000-0005-0000-0000-00002B960000}"/>
    <cellStyle name="Normal 9 28 7" xfId="39010" xr:uid="{00000000-0005-0000-0000-00002C960000}"/>
    <cellStyle name="Normal 9 28 7 2" xfId="39011" xr:uid="{00000000-0005-0000-0000-00002D960000}"/>
    <cellStyle name="Normal 9 28 7 3" xfId="39012" xr:uid="{00000000-0005-0000-0000-00002E960000}"/>
    <cellStyle name="Normal 9 28 7 4" xfId="39013" xr:uid="{00000000-0005-0000-0000-00002F960000}"/>
    <cellStyle name="Normal 9 28 7 5" xfId="39014" xr:uid="{00000000-0005-0000-0000-000030960000}"/>
    <cellStyle name="Normal 9 28 7 6" xfId="39015" xr:uid="{00000000-0005-0000-0000-000031960000}"/>
    <cellStyle name="Normal 9 28 8" xfId="39016" xr:uid="{00000000-0005-0000-0000-000032960000}"/>
    <cellStyle name="Normal 9 28 8 2" xfId="39017" xr:uid="{00000000-0005-0000-0000-000033960000}"/>
    <cellStyle name="Normal 9 28 8 3" xfId="39018" xr:uid="{00000000-0005-0000-0000-000034960000}"/>
    <cellStyle name="Normal 9 28 8 4" xfId="39019" xr:uid="{00000000-0005-0000-0000-000035960000}"/>
    <cellStyle name="Normal 9 28 8 5" xfId="39020" xr:uid="{00000000-0005-0000-0000-000036960000}"/>
    <cellStyle name="Normal 9 28 8 6" xfId="39021" xr:uid="{00000000-0005-0000-0000-000037960000}"/>
    <cellStyle name="Normal 9 28 9" xfId="39022" xr:uid="{00000000-0005-0000-0000-000038960000}"/>
    <cellStyle name="Normal 9 29" xfId="39023" xr:uid="{00000000-0005-0000-0000-000039960000}"/>
    <cellStyle name="Normal 9 29 10" xfId="39024" xr:uid="{00000000-0005-0000-0000-00003A960000}"/>
    <cellStyle name="Normal 9 29 11" xfId="39025" xr:uid="{00000000-0005-0000-0000-00003B960000}"/>
    <cellStyle name="Normal 9 29 12" xfId="39026" xr:uid="{00000000-0005-0000-0000-00003C960000}"/>
    <cellStyle name="Normal 9 29 13" xfId="39027" xr:uid="{00000000-0005-0000-0000-00003D960000}"/>
    <cellStyle name="Normal 9 29 2" xfId="39028" xr:uid="{00000000-0005-0000-0000-00003E960000}"/>
    <cellStyle name="Normal 9 29 2 2" xfId="39029" xr:uid="{00000000-0005-0000-0000-00003F960000}"/>
    <cellStyle name="Normal 9 29 2 3" xfId="39030" xr:uid="{00000000-0005-0000-0000-000040960000}"/>
    <cellStyle name="Normal 9 29 2 4" xfId="39031" xr:uid="{00000000-0005-0000-0000-000041960000}"/>
    <cellStyle name="Normal 9 29 2 5" xfId="39032" xr:uid="{00000000-0005-0000-0000-000042960000}"/>
    <cellStyle name="Normal 9 29 2 6" xfId="39033" xr:uid="{00000000-0005-0000-0000-000043960000}"/>
    <cellStyle name="Normal 9 29 3" xfId="39034" xr:uid="{00000000-0005-0000-0000-000044960000}"/>
    <cellStyle name="Normal 9 29 3 2" xfId="39035" xr:uid="{00000000-0005-0000-0000-000045960000}"/>
    <cellStyle name="Normal 9 29 3 3" xfId="39036" xr:uid="{00000000-0005-0000-0000-000046960000}"/>
    <cellStyle name="Normal 9 29 3 4" xfId="39037" xr:uid="{00000000-0005-0000-0000-000047960000}"/>
    <cellStyle name="Normal 9 29 3 5" xfId="39038" xr:uid="{00000000-0005-0000-0000-000048960000}"/>
    <cellStyle name="Normal 9 29 3 6" xfId="39039" xr:uid="{00000000-0005-0000-0000-000049960000}"/>
    <cellStyle name="Normal 9 29 4" xfId="39040" xr:uid="{00000000-0005-0000-0000-00004A960000}"/>
    <cellStyle name="Normal 9 29 4 2" xfId="39041" xr:uid="{00000000-0005-0000-0000-00004B960000}"/>
    <cellStyle name="Normal 9 29 4 3" xfId="39042" xr:uid="{00000000-0005-0000-0000-00004C960000}"/>
    <cellStyle name="Normal 9 29 4 4" xfId="39043" xr:uid="{00000000-0005-0000-0000-00004D960000}"/>
    <cellStyle name="Normal 9 29 4 5" xfId="39044" xr:uid="{00000000-0005-0000-0000-00004E960000}"/>
    <cellStyle name="Normal 9 29 4 6" xfId="39045" xr:uid="{00000000-0005-0000-0000-00004F960000}"/>
    <cellStyle name="Normal 9 29 5" xfId="39046" xr:uid="{00000000-0005-0000-0000-000050960000}"/>
    <cellStyle name="Normal 9 29 5 2" xfId="39047" xr:uid="{00000000-0005-0000-0000-000051960000}"/>
    <cellStyle name="Normal 9 29 5 3" xfId="39048" xr:uid="{00000000-0005-0000-0000-000052960000}"/>
    <cellStyle name="Normal 9 29 5 4" xfId="39049" xr:uid="{00000000-0005-0000-0000-000053960000}"/>
    <cellStyle name="Normal 9 29 5 5" xfId="39050" xr:uid="{00000000-0005-0000-0000-000054960000}"/>
    <cellStyle name="Normal 9 29 5 6" xfId="39051" xr:uid="{00000000-0005-0000-0000-000055960000}"/>
    <cellStyle name="Normal 9 29 6" xfId="39052" xr:uid="{00000000-0005-0000-0000-000056960000}"/>
    <cellStyle name="Normal 9 29 6 2" xfId="39053" xr:uid="{00000000-0005-0000-0000-000057960000}"/>
    <cellStyle name="Normal 9 29 6 3" xfId="39054" xr:uid="{00000000-0005-0000-0000-000058960000}"/>
    <cellStyle name="Normal 9 29 6 4" xfId="39055" xr:uid="{00000000-0005-0000-0000-000059960000}"/>
    <cellStyle name="Normal 9 29 6 5" xfId="39056" xr:uid="{00000000-0005-0000-0000-00005A960000}"/>
    <cellStyle name="Normal 9 29 6 6" xfId="39057" xr:uid="{00000000-0005-0000-0000-00005B960000}"/>
    <cellStyle name="Normal 9 29 7" xfId="39058" xr:uid="{00000000-0005-0000-0000-00005C960000}"/>
    <cellStyle name="Normal 9 29 7 2" xfId="39059" xr:uid="{00000000-0005-0000-0000-00005D960000}"/>
    <cellStyle name="Normal 9 29 7 3" xfId="39060" xr:uid="{00000000-0005-0000-0000-00005E960000}"/>
    <cellStyle name="Normal 9 29 7 4" xfId="39061" xr:uid="{00000000-0005-0000-0000-00005F960000}"/>
    <cellStyle name="Normal 9 29 7 5" xfId="39062" xr:uid="{00000000-0005-0000-0000-000060960000}"/>
    <cellStyle name="Normal 9 29 7 6" xfId="39063" xr:uid="{00000000-0005-0000-0000-000061960000}"/>
    <cellStyle name="Normal 9 29 8" xfId="39064" xr:uid="{00000000-0005-0000-0000-000062960000}"/>
    <cellStyle name="Normal 9 29 8 2" xfId="39065" xr:uid="{00000000-0005-0000-0000-000063960000}"/>
    <cellStyle name="Normal 9 29 8 3" xfId="39066" xr:uid="{00000000-0005-0000-0000-000064960000}"/>
    <cellStyle name="Normal 9 29 8 4" xfId="39067" xr:uid="{00000000-0005-0000-0000-000065960000}"/>
    <cellStyle name="Normal 9 29 8 5" xfId="39068" xr:uid="{00000000-0005-0000-0000-000066960000}"/>
    <cellStyle name="Normal 9 29 8 6" xfId="39069" xr:uid="{00000000-0005-0000-0000-000067960000}"/>
    <cellStyle name="Normal 9 29 9" xfId="39070" xr:uid="{00000000-0005-0000-0000-000068960000}"/>
    <cellStyle name="Normal 9 3" xfId="39071" xr:uid="{00000000-0005-0000-0000-000069960000}"/>
    <cellStyle name="Normal 9 3 10" xfId="39072" xr:uid="{00000000-0005-0000-0000-00006A960000}"/>
    <cellStyle name="Normal 9 3 11" xfId="39073" xr:uid="{00000000-0005-0000-0000-00006B960000}"/>
    <cellStyle name="Normal 9 3 12" xfId="39074" xr:uid="{00000000-0005-0000-0000-00006C960000}"/>
    <cellStyle name="Normal 9 3 13" xfId="39075" xr:uid="{00000000-0005-0000-0000-00006D960000}"/>
    <cellStyle name="Normal 9 3 14" xfId="39076" xr:uid="{00000000-0005-0000-0000-00006E960000}"/>
    <cellStyle name="Normal 9 3 2" xfId="39077" xr:uid="{00000000-0005-0000-0000-00006F960000}"/>
    <cellStyle name="Normal 9 3 2 2" xfId="39078" xr:uid="{00000000-0005-0000-0000-000070960000}"/>
    <cellStyle name="Normal 9 3 2 3" xfId="39079" xr:uid="{00000000-0005-0000-0000-000071960000}"/>
    <cellStyle name="Normal 9 3 2 4" xfId="39080" xr:uid="{00000000-0005-0000-0000-000072960000}"/>
    <cellStyle name="Normal 9 3 2 5" xfId="39081" xr:uid="{00000000-0005-0000-0000-000073960000}"/>
    <cellStyle name="Normal 9 3 2 6" xfId="39082" xr:uid="{00000000-0005-0000-0000-000074960000}"/>
    <cellStyle name="Normal 9 3 3" xfId="39083" xr:uid="{00000000-0005-0000-0000-000075960000}"/>
    <cellStyle name="Normal 9 3 3 2" xfId="39084" xr:uid="{00000000-0005-0000-0000-000076960000}"/>
    <cellStyle name="Normal 9 3 3 3" xfId="39085" xr:uid="{00000000-0005-0000-0000-000077960000}"/>
    <cellStyle name="Normal 9 3 3 4" xfId="39086" xr:uid="{00000000-0005-0000-0000-000078960000}"/>
    <cellStyle name="Normal 9 3 3 5" xfId="39087" xr:uid="{00000000-0005-0000-0000-000079960000}"/>
    <cellStyle name="Normal 9 3 3 6" xfId="39088" xr:uid="{00000000-0005-0000-0000-00007A960000}"/>
    <cellStyle name="Normal 9 3 4" xfId="39089" xr:uid="{00000000-0005-0000-0000-00007B960000}"/>
    <cellStyle name="Normal 9 3 4 2" xfId="39090" xr:uid="{00000000-0005-0000-0000-00007C960000}"/>
    <cellStyle name="Normal 9 3 4 3" xfId="39091" xr:uid="{00000000-0005-0000-0000-00007D960000}"/>
    <cellStyle name="Normal 9 3 4 4" xfId="39092" xr:uid="{00000000-0005-0000-0000-00007E960000}"/>
    <cellStyle name="Normal 9 3 4 5" xfId="39093" xr:uid="{00000000-0005-0000-0000-00007F960000}"/>
    <cellStyle name="Normal 9 3 4 6" xfId="39094" xr:uid="{00000000-0005-0000-0000-000080960000}"/>
    <cellStyle name="Normal 9 3 5" xfId="39095" xr:uid="{00000000-0005-0000-0000-000081960000}"/>
    <cellStyle name="Normal 9 3 5 2" xfId="39096" xr:uid="{00000000-0005-0000-0000-000082960000}"/>
    <cellStyle name="Normal 9 3 5 3" xfId="39097" xr:uid="{00000000-0005-0000-0000-000083960000}"/>
    <cellStyle name="Normal 9 3 5 4" xfId="39098" xr:uid="{00000000-0005-0000-0000-000084960000}"/>
    <cellStyle name="Normal 9 3 5 5" xfId="39099" xr:uid="{00000000-0005-0000-0000-000085960000}"/>
    <cellStyle name="Normal 9 3 5 6" xfId="39100" xr:uid="{00000000-0005-0000-0000-000086960000}"/>
    <cellStyle name="Normal 9 3 6" xfId="39101" xr:uid="{00000000-0005-0000-0000-000087960000}"/>
    <cellStyle name="Normal 9 3 6 2" xfId="39102" xr:uid="{00000000-0005-0000-0000-000088960000}"/>
    <cellStyle name="Normal 9 3 6 3" xfId="39103" xr:uid="{00000000-0005-0000-0000-000089960000}"/>
    <cellStyle name="Normal 9 3 6 4" xfId="39104" xr:uid="{00000000-0005-0000-0000-00008A960000}"/>
    <cellStyle name="Normal 9 3 6 5" xfId="39105" xr:uid="{00000000-0005-0000-0000-00008B960000}"/>
    <cellStyle name="Normal 9 3 6 6" xfId="39106" xr:uid="{00000000-0005-0000-0000-00008C960000}"/>
    <cellStyle name="Normal 9 3 7" xfId="39107" xr:uid="{00000000-0005-0000-0000-00008D960000}"/>
    <cellStyle name="Normal 9 3 7 2" xfId="39108" xr:uid="{00000000-0005-0000-0000-00008E960000}"/>
    <cellStyle name="Normal 9 3 7 3" xfId="39109" xr:uid="{00000000-0005-0000-0000-00008F960000}"/>
    <cellStyle name="Normal 9 3 7 4" xfId="39110" xr:uid="{00000000-0005-0000-0000-000090960000}"/>
    <cellStyle name="Normal 9 3 7 5" xfId="39111" xr:uid="{00000000-0005-0000-0000-000091960000}"/>
    <cellStyle name="Normal 9 3 7 6" xfId="39112" xr:uid="{00000000-0005-0000-0000-000092960000}"/>
    <cellStyle name="Normal 9 3 8" xfId="39113" xr:uid="{00000000-0005-0000-0000-000093960000}"/>
    <cellStyle name="Normal 9 3 8 2" xfId="39114" xr:uid="{00000000-0005-0000-0000-000094960000}"/>
    <cellStyle name="Normal 9 3 8 3" xfId="39115" xr:uid="{00000000-0005-0000-0000-000095960000}"/>
    <cellStyle name="Normal 9 3 8 4" xfId="39116" xr:uid="{00000000-0005-0000-0000-000096960000}"/>
    <cellStyle name="Normal 9 3 8 5" xfId="39117" xr:uid="{00000000-0005-0000-0000-000097960000}"/>
    <cellStyle name="Normal 9 3 8 6" xfId="39118" xr:uid="{00000000-0005-0000-0000-000098960000}"/>
    <cellStyle name="Normal 9 3 9" xfId="39119" xr:uid="{00000000-0005-0000-0000-000099960000}"/>
    <cellStyle name="Normal 9 30" xfId="39120" xr:uid="{00000000-0005-0000-0000-00009A960000}"/>
    <cellStyle name="Normal 9 30 10" xfId="39121" xr:uid="{00000000-0005-0000-0000-00009B960000}"/>
    <cellStyle name="Normal 9 30 11" xfId="39122" xr:uid="{00000000-0005-0000-0000-00009C960000}"/>
    <cellStyle name="Normal 9 30 12" xfId="39123" xr:uid="{00000000-0005-0000-0000-00009D960000}"/>
    <cellStyle name="Normal 9 30 13" xfId="39124" xr:uid="{00000000-0005-0000-0000-00009E960000}"/>
    <cellStyle name="Normal 9 30 2" xfId="39125" xr:uid="{00000000-0005-0000-0000-00009F960000}"/>
    <cellStyle name="Normal 9 30 2 2" xfId="39126" xr:uid="{00000000-0005-0000-0000-0000A0960000}"/>
    <cellStyle name="Normal 9 30 2 3" xfId="39127" xr:uid="{00000000-0005-0000-0000-0000A1960000}"/>
    <cellStyle name="Normal 9 30 2 4" xfId="39128" xr:uid="{00000000-0005-0000-0000-0000A2960000}"/>
    <cellStyle name="Normal 9 30 2 5" xfId="39129" xr:uid="{00000000-0005-0000-0000-0000A3960000}"/>
    <cellStyle name="Normal 9 30 2 6" xfId="39130" xr:uid="{00000000-0005-0000-0000-0000A4960000}"/>
    <cellStyle name="Normal 9 30 3" xfId="39131" xr:uid="{00000000-0005-0000-0000-0000A5960000}"/>
    <cellStyle name="Normal 9 30 3 2" xfId="39132" xr:uid="{00000000-0005-0000-0000-0000A6960000}"/>
    <cellStyle name="Normal 9 30 3 3" xfId="39133" xr:uid="{00000000-0005-0000-0000-0000A7960000}"/>
    <cellStyle name="Normal 9 30 3 4" xfId="39134" xr:uid="{00000000-0005-0000-0000-0000A8960000}"/>
    <cellStyle name="Normal 9 30 3 5" xfId="39135" xr:uid="{00000000-0005-0000-0000-0000A9960000}"/>
    <cellStyle name="Normal 9 30 3 6" xfId="39136" xr:uid="{00000000-0005-0000-0000-0000AA960000}"/>
    <cellStyle name="Normal 9 30 4" xfId="39137" xr:uid="{00000000-0005-0000-0000-0000AB960000}"/>
    <cellStyle name="Normal 9 30 4 2" xfId="39138" xr:uid="{00000000-0005-0000-0000-0000AC960000}"/>
    <cellStyle name="Normal 9 30 4 3" xfId="39139" xr:uid="{00000000-0005-0000-0000-0000AD960000}"/>
    <cellStyle name="Normal 9 30 4 4" xfId="39140" xr:uid="{00000000-0005-0000-0000-0000AE960000}"/>
    <cellStyle name="Normal 9 30 4 5" xfId="39141" xr:uid="{00000000-0005-0000-0000-0000AF960000}"/>
    <cellStyle name="Normal 9 30 4 6" xfId="39142" xr:uid="{00000000-0005-0000-0000-0000B0960000}"/>
    <cellStyle name="Normal 9 30 5" xfId="39143" xr:uid="{00000000-0005-0000-0000-0000B1960000}"/>
    <cellStyle name="Normal 9 30 5 2" xfId="39144" xr:uid="{00000000-0005-0000-0000-0000B2960000}"/>
    <cellStyle name="Normal 9 30 5 3" xfId="39145" xr:uid="{00000000-0005-0000-0000-0000B3960000}"/>
    <cellStyle name="Normal 9 30 5 4" xfId="39146" xr:uid="{00000000-0005-0000-0000-0000B4960000}"/>
    <cellStyle name="Normal 9 30 5 5" xfId="39147" xr:uid="{00000000-0005-0000-0000-0000B5960000}"/>
    <cellStyle name="Normal 9 30 5 6" xfId="39148" xr:uid="{00000000-0005-0000-0000-0000B6960000}"/>
    <cellStyle name="Normal 9 30 6" xfId="39149" xr:uid="{00000000-0005-0000-0000-0000B7960000}"/>
    <cellStyle name="Normal 9 30 6 2" xfId="39150" xr:uid="{00000000-0005-0000-0000-0000B8960000}"/>
    <cellStyle name="Normal 9 30 6 3" xfId="39151" xr:uid="{00000000-0005-0000-0000-0000B9960000}"/>
    <cellStyle name="Normal 9 30 6 4" xfId="39152" xr:uid="{00000000-0005-0000-0000-0000BA960000}"/>
    <cellStyle name="Normal 9 30 6 5" xfId="39153" xr:uid="{00000000-0005-0000-0000-0000BB960000}"/>
    <cellStyle name="Normal 9 30 6 6" xfId="39154" xr:uid="{00000000-0005-0000-0000-0000BC960000}"/>
    <cellStyle name="Normal 9 30 7" xfId="39155" xr:uid="{00000000-0005-0000-0000-0000BD960000}"/>
    <cellStyle name="Normal 9 30 7 2" xfId="39156" xr:uid="{00000000-0005-0000-0000-0000BE960000}"/>
    <cellStyle name="Normal 9 30 7 3" xfId="39157" xr:uid="{00000000-0005-0000-0000-0000BF960000}"/>
    <cellStyle name="Normal 9 30 7 4" xfId="39158" xr:uid="{00000000-0005-0000-0000-0000C0960000}"/>
    <cellStyle name="Normal 9 30 7 5" xfId="39159" xr:uid="{00000000-0005-0000-0000-0000C1960000}"/>
    <cellStyle name="Normal 9 30 7 6" xfId="39160" xr:uid="{00000000-0005-0000-0000-0000C2960000}"/>
    <cellStyle name="Normal 9 30 8" xfId="39161" xr:uid="{00000000-0005-0000-0000-0000C3960000}"/>
    <cellStyle name="Normal 9 30 8 2" xfId="39162" xr:uid="{00000000-0005-0000-0000-0000C4960000}"/>
    <cellStyle name="Normal 9 30 8 3" xfId="39163" xr:uid="{00000000-0005-0000-0000-0000C5960000}"/>
    <cellStyle name="Normal 9 30 8 4" xfId="39164" xr:uid="{00000000-0005-0000-0000-0000C6960000}"/>
    <cellStyle name="Normal 9 30 8 5" xfId="39165" xr:uid="{00000000-0005-0000-0000-0000C7960000}"/>
    <cellStyle name="Normal 9 30 8 6" xfId="39166" xr:uid="{00000000-0005-0000-0000-0000C8960000}"/>
    <cellStyle name="Normal 9 30 9" xfId="39167" xr:uid="{00000000-0005-0000-0000-0000C9960000}"/>
    <cellStyle name="Normal 9 31" xfId="39168" xr:uid="{00000000-0005-0000-0000-0000CA960000}"/>
    <cellStyle name="Normal 9 31 10" xfId="39169" xr:uid="{00000000-0005-0000-0000-0000CB960000}"/>
    <cellStyle name="Normal 9 31 11" xfId="39170" xr:uid="{00000000-0005-0000-0000-0000CC960000}"/>
    <cellStyle name="Normal 9 31 12" xfId="39171" xr:uid="{00000000-0005-0000-0000-0000CD960000}"/>
    <cellStyle name="Normal 9 31 13" xfId="39172" xr:uid="{00000000-0005-0000-0000-0000CE960000}"/>
    <cellStyle name="Normal 9 31 2" xfId="39173" xr:uid="{00000000-0005-0000-0000-0000CF960000}"/>
    <cellStyle name="Normal 9 31 2 2" xfId="39174" xr:uid="{00000000-0005-0000-0000-0000D0960000}"/>
    <cellStyle name="Normal 9 31 2 3" xfId="39175" xr:uid="{00000000-0005-0000-0000-0000D1960000}"/>
    <cellStyle name="Normal 9 31 2 4" xfId="39176" xr:uid="{00000000-0005-0000-0000-0000D2960000}"/>
    <cellStyle name="Normal 9 31 2 5" xfId="39177" xr:uid="{00000000-0005-0000-0000-0000D3960000}"/>
    <cellStyle name="Normal 9 31 2 6" xfId="39178" xr:uid="{00000000-0005-0000-0000-0000D4960000}"/>
    <cellStyle name="Normal 9 31 3" xfId="39179" xr:uid="{00000000-0005-0000-0000-0000D5960000}"/>
    <cellStyle name="Normal 9 31 3 2" xfId="39180" xr:uid="{00000000-0005-0000-0000-0000D6960000}"/>
    <cellStyle name="Normal 9 31 3 3" xfId="39181" xr:uid="{00000000-0005-0000-0000-0000D7960000}"/>
    <cellStyle name="Normal 9 31 3 4" xfId="39182" xr:uid="{00000000-0005-0000-0000-0000D8960000}"/>
    <cellStyle name="Normal 9 31 3 5" xfId="39183" xr:uid="{00000000-0005-0000-0000-0000D9960000}"/>
    <cellStyle name="Normal 9 31 3 6" xfId="39184" xr:uid="{00000000-0005-0000-0000-0000DA960000}"/>
    <cellStyle name="Normal 9 31 4" xfId="39185" xr:uid="{00000000-0005-0000-0000-0000DB960000}"/>
    <cellStyle name="Normal 9 31 4 2" xfId="39186" xr:uid="{00000000-0005-0000-0000-0000DC960000}"/>
    <cellStyle name="Normal 9 31 4 3" xfId="39187" xr:uid="{00000000-0005-0000-0000-0000DD960000}"/>
    <cellStyle name="Normal 9 31 4 4" xfId="39188" xr:uid="{00000000-0005-0000-0000-0000DE960000}"/>
    <cellStyle name="Normal 9 31 4 5" xfId="39189" xr:uid="{00000000-0005-0000-0000-0000DF960000}"/>
    <cellStyle name="Normal 9 31 4 6" xfId="39190" xr:uid="{00000000-0005-0000-0000-0000E0960000}"/>
    <cellStyle name="Normal 9 31 5" xfId="39191" xr:uid="{00000000-0005-0000-0000-0000E1960000}"/>
    <cellStyle name="Normal 9 31 5 2" xfId="39192" xr:uid="{00000000-0005-0000-0000-0000E2960000}"/>
    <cellStyle name="Normal 9 31 5 3" xfId="39193" xr:uid="{00000000-0005-0000-0000-0000E3960000}"/>
    <cellStyle name="Normal 9 31 5 4" xfId="39194" xr:uid="{00000000-0005-0000-0000-0000E4960000}"/>
    <cellStyle name="Normal 9 31 5 5" xfId="39195" xr:uid="{00000000-0005-0000-0000-0000E5960000}"/>
    <cellStyle name="Normal 9 31 5 6" xfId="39196" xr:uid="{00000000-0005-0000-0000-0000E6960000}"/>
    <cellStyle name="Normal 9 31 6" xfId="39197" xr:uid="{00000000-0005-0000-0000-0000E7960000}"/>
    <cellStyle name="Normal 9 31 6 2" xfId="39198" xr:uid="{00000000-0005-0000-0000-0000E8960000}"/>
    <cellStyle name="Normal 9 31 6 3" xfId="39199" xr:uid="{00000000-0005-0000-0000-0000E9960000}"/>
    <cellStyle name="Normal 9 31 6 4" xfId="39200" xr:uid="{00000000-0005-0000-0000-0000EA960000}"/>
    <cellStyle name="Normal 9 31 6 5" xfId="39201" xr:uid="{00000000-0005-0000-0000-0000EB960000}"/>
    <cellStyle name="Normal 9 31 6 6" xfId="39202" xr:uid="{00000000-0005-0000-0000-0000EC960000}"/>
    <cellStyle name="Normal 9 31 7" xfId="39203" xr:uid="{00000000-0005-0000-0000-0000ED960000}"/>
    <cellStyle name="Normal 9 31 7 2" xfId="39204" xr:uid="{00000000-0005-0000-0000-0000EE960000}"/>
    <cellStyle name="Normal 9 31 7 3" xfId="39205" xr:uid="{00000000-0005-0000-0000-0000EF960000}"/>
    <cellStyle name="Normal 9 31 7 4" xfId="39206" xr:uid="{00000000-0005-0000-0000-0000F0960000}"/>
    <cellStyle name="Normal 9 31 7 5" xfId="39207" xr:uid="{00000000-0005-0000-0000-0000F1960000}"/>
    <cellStyle name="Normal 9 31 7 6" xfId="39208" xr:uid="{00000000-0005-0000-0000-0000F2960000}"/>
    <cellStyle name="Normal 9 31 8" xfId="39209" xr:uid="{00000000-0005-0000-0000-0000F3960000}"/>
    <cellStyle name="Normal 9 31 8 2" xfId="39210" xr:uid="{00000000-0005-0000-0000-0000F4960000}"/>
    <cellStyle name="Normal 9 31 8 3" xfId="39211" xr:uid="{00000000-0005-0000-0000-0000F5960000}"/>
    <cellStyle name="Normal 9 31 8 4" xfId="39212" xr:uid="{00000000-0005-0000-0000-0000F6960000}"/>
    <cellStyle name="Normal 9 31 8 5" xfId="39213" xr:uid="{00000000-0005-0000-0000-0000F7960000}"/>
    <cellStyle name="Normal 9 31 8 6" xfId="39214" xr:uid="{00000000-0005-0000-0000-0000F8960000}"/>
    <cellStyle name="Normal 9 31 9" xfId="39215" xr:uid="{00000000-0005-0000-0000-0000F9960000}"/>
    <cellStyle name="Normal 9 32" xfId="39216" xr:uid="{00000000-0005-0000-0000-0000FA960000}"/>
    <cellStyle name="Normal 9 32 10" xfId="39217" xr:uid="{00000000-0005-0000-0000-0000FB960000}"/>
    <cellStyle name="Normal 9 32 11" xfId="39218" xr:uid="{00000000-0005-0000-0000-0000FC960000}"/>
    <cellStyle name="Normal 9 32 12" xfId="39219" xr:uid="{00000000-0005-0000-0000-0000FD960000}"/>
    <cellStyle name="Normal 9 32 13" xfId="39220" xr:uid="{00000000-0005-0000-0000-0000FE960000}"/>
    <cellStyle name="Normal 9 32 2" xfId="39221" xr:uid="{00000000-0005-0000-0000-0000FF960000}"/>
    <cellStyle name="Normal 9 32 2 2" xfId="39222" xr:uid="{00000000-0005-0000-0000-000000970000}"/>
    <cellStyle name="Normal 9 32 2 3" xfId="39223" xr:uid="{00000000-0005-0000-0000-000001970000}"/>
    <cellStyle name="Normal 9 32 2 4" xfId="39224" xr:uid="{00000000-0005-0000-0000-000002970000}"/>
    <cellStyle name="Normal 9 32 2 5" xfId="39225" xr:uid="{00000000-0005-0000-0000-000003970000}"/>
    <cellStyle name="Normal 9 32 2 6" xfId="39226" xr:uid="{00000000-0005-0000-0000-000004970000}"/>
    <cellStyle name="Normal 9 32 3" xfId="39227" xr:uid="{00000000-0005-0000-0000-000005970000}"/>
    <cellStyle name="Normal 9 32 3 2" xfId="39228" xr:uid="{00000000-0005-0000-0000-000006970000}"/>
    <cellStyle name="Normal 9 32 3 3" xfId="39229" xr:uid="{00000000-0005-0000-0000-000007970000}"/>
    <cellStyle name="Normal 9 32 3 4" xfId="39230" xr:uid="{00000000-0005-0000-0000-000008970000}"/>
    <cellStyle name="Normal 9 32 3 5" xfId="39231" xr:uid="{00000000-0005-0000-0000-000009970000}"/>
    <cellStyle name="Normal 9 32 3 6" xfId="39232" xr:uid="{00000000-0005-0000-0000-00000A970000}"/>
    <cellStyle name="Normal 9 32 4" xfId="39233" xr:uid="{00000000-0005-0000-0000-00000B970000}"/>
    <cellStyle name="Normal 9 32 4 2" xfId="39234" xr:uid="{00000000-0005-0000-0000-00000C970000}"/>
    <cellStyle name="Normal 9 32 4 3" xfId="39235" xr:uid="{00000000-0005-0000-0000-00000D970000}"/>
    <cellStyle name="Normal 9 32 4 4" xfId="39236" xr:uid="{00000000-0005-0000-0000-00000E970000}"/>
    <cellStyle name="Normal 9 32 4 5" xfId="39237" xr:uid="{00000000-0005-0000-0000-00000F970000}"/>
    <cellStyle name="Normal 9 32 4 6" xfId="39238" xr:uid="{00000000-0005-0000-0000-000010970000}"/>
    <cellStyle name="Normal 9 32 5" xfId="39239" xr:uid="{00000000-0005-0000-0000-000011970000}"/>
    <cellStyle name="Normal 9 32 5 2" xfId="39240" xr:uid="{00000000-0005-0000-0000-000012970000}"/>
    <cellStyle name="Normal 9 32 5 3" xfId="39241" xr:uid="{00000000-0005-0000-0000-000013970000}"/>
    <cellStyle name="Normal 9 32 5 4" xfId="39242" xr:uid="{00000000-0005-0000-0000-000014970000}"/>
    <cellStyle name="Normal 9 32 5 5" xfId="39243" xr:uid="{00000000-0005-0000-0000-000015970000}"/>
    <cellStyle name="Normal 9 32 5 6" xfId="39244" xr:uid="{00000000-0005-0000-0000-000016970000}"/>
    <cellStyle name="Normal 9 32 6" xfId="39245" xr:uid="{00000000-0005-0000-0000-000017970000}"/>
    <cellStyle name="Normal 9 32 6 2" xfId="39246" xr:uid="{00000000-0005-0000-0000-000018970000}"/>
    <cellStyle name="Normal 9 32 6 3" xfId="39247" xr:uid="{00000000-0005-0000-0000-000019970000}"/>
    <cellStyle name="Normal 9 32 6 4" xfId="39248" xr:uid="{00000000-0005-0000-0000-00001A970000}"/>
    <cellStyle name="Normal 9 32 6 5" xfId="39249" xr:uid="{00000000-0005-0000-0000-00001B970000}"/>
    <cellStyle name="Normal 9 32 6 6" xfId="39250" xr:uid="{00000000-0005-0000-0000-00001C970000}"/>
    <cellStyle name="Normal 9 32 7" xfId="39251" xr:uid="{00000000-0005-0000-0000-00001D970000}"/>
    <cellStyle name="Normal 9 32 7 2" xfId="39252" xr:uid="{00000000-0005-0000-0000-00001E970000}"/>
    <cellStyle name="Normal 9 32 7 3" xfId="39253" xr:uid="{00000000-0005-0000-0000-00001F970000}"/>
    <cellStyle name="Normal 9 32 7 4" xfId="39254" xr:uid="{00000000-0005-0000-0000-000020970000}"/>
    <cellStyle name="Normal 9 32 7 5" xfId="39255" xr:uid="{00000000-0005-0000-0000-000021970000}"/>
    <cellStyle name="Normal 9 32 7 6" xfId="39256" xr:uid="{00000000-0005-0000-0000-000022970000}"/>
    <cellStyle name="Normal 9 32 8" xfId="39257" xr:uid="{00000000-0005-0000-0000-000023970000}"/>
    <cellStyle name="Normal 9 32 8 2" xfId="39258" xr:uid="{00000000-0005-0000-0000-000024970000}"/>
    <cellStyle name="Normal 9 32 8 3" xfId="39259" xr:uid="{00000000-0005-0000-0000-000025970000}"/>
    <cellStyle name="Normal 9 32 8 4" xfId="39260" xr:uid="{00000000-0005-0000-0000-000026970000}"/>
    <cellStyle name="Normal 9 32 8 5" xfId="39261" xr:uid="{00000000-0005-0000-0000-000027970000}"/>
    <cellStyle name="Normal 9 32 8 6" xfId="39262" xr:uid="{00000000-0005-0000-0000-000028970000}"/>
    <cellStyle name="Normal 9 32 9" xfId="39263" xr:uid="{00000000-0005-0000-0000-000029970000}"/>
    <cellStyle name="Normal 9 33" xfId="39264" xr:uid="{00000000-0005-0000-0000-00002A970000}"/>
    <cellStyle name="Normal 9 33 10" xfId="39265" xr:uid="{00000000-0005-0000-0000-00002B970000}"/>
    <cellStyle name="Normal 9 33 11" xfId="39266" xr:uid="{00000000-0005-0000-0000-00002C970000}"/>
    <cellStyle name="Normal 9 33 12" xfId="39267" xr:uid="{00000000-0005-0000-0000-00002D970000}"/>
    <cellStyle name="Normal 9 33 13" xfId="39268" xr:uid="{00000000-0005-0000-0000-00002E970000}"/>
    <cellStyle name="Normal 9 33 2" xfId="39269" xr:uid="{00000000-0005-0000-0000-00002F970000}"/>
    <cellStyle name="Normal 9 33 2 2" xfId="39270" xr:uid="{00000000-0005-0000-0000-000030970000}"/>
    <cellStyle name="Normal 9 33 2 3" xfId="39271" xr:uid="{00000000-0005-0000-0000-000031970000}"/>
    <cellStyle name="Normal 9 33 2 4" xfId="39272" xr:uid="{00000000-0005-0000-0000-000032970000}"/>
    <cellStyle name="Normal 9 33 2 5" xfId="39273" xr:uid="{00000000-0005-0000-0000-000033970000}"/>
    <cellStyle name="Normal 9 33 2 6" xfId="39274" xr:uid="{00000000-0005-0000-0000-000034970000}"/>
    <cellStyle name="Normal 9 33 3" xfId="39275" xr:uid="{00000000-0005-0000-0000-000035970000}"/>
    <cellStyle name="Normal 9 33 3 2" xfId="39276" xr:uid="{00000000-0005-0000-0000-000036970000}"/>
    <cellStyle name="Normal 9 33 3 3" xfId="39277" xr:uid="{00000000-0005-0000-0000-000037970000}"/>
    <cellStyle name="Normal 9 33 3 4" xfId="39278" xr:uid="{00000000-0005-0000-0000-000038970000}"/>
    <cellStyle name="Normal 9 33 3 5" xfId="39279" xr:uid="{00000000-0005-0000-0000-000039970000}"/>
    <cellStyle name="Normal 9 33 3 6" xfId="39280" xr:uid="{00000000-0005-0000-0000-00003A970000}"/>
    <cellStyle name="Normal 9 33 4" xfId="39281" xr:uid="{00000000-0005-0000-0000-00003B970000}"/>
    <cellStyle name="Normal 9 33 4 2" xfId="39282" xr:uid="{00000000-0005-0000-0000-00003C970000}"/>
    <cellStyle name="Normal 9 33 4 3" xfId="39283" xr:uid="{00000000-0005-0000-0000-00003D970000}"/>
    <cellStyle name="Normal 9 33 4 4" xfId="39284" xr:uid="{00000000-0005-0000-0000-00003E970000}"/>
    <cellStyle name="Normal 9 33 4 5" xfId="39285" xr:uid="{00000000-0005-0000-0000-00003F970000}"/>
    <cellStyle name="Normal 9 33 4 6" xfId="39286" xr:uid="{00000000-0005-0000-0000-000040970000}"/>
    <cellStyle name="Normal 9 33 5" xfId="39287" xr:uid="{00000000-0005-0000-0000-000041970000}"/>
    <cellStyle name="Normal 9 33 5 2" xfId="39288" xr:uid="{00000000-0005-0000-0000-000042970000}"/>
    <cellStyle name="Normal 9 33 5 3" xfId="39289" xr:uid="{00000000-0005-0000-0000-000043970000}"/>
    <cellStyle name="Normal 9 33 5 4" xfId="39290" xr:uid="{00000000-0005-0000-0000-000044970000}"/>
    <cellStyle name="Normal 9 33 5 5" xfId="39291" xr:uid="{00000000-0005-0000-0000-000045970000}"/>
    <cellStyle name="Normal 9 33 5 6" xfId="39292" xr:uid="{00000000-0005-0000-0000-000046970000}"/>
    <cellStyle name="Normal 9 33 6" xfId="39293" xr:uid="{00000000-0005-0000-0000-000047970000}"/>
    <cellStyle name="Normal 9 33 6 2" xfId="39294" xr:uid="{00000000-0005-0000-0000-000048970000}"/>
    <cellStyle name="Normal 9 33 6 3" xfId="39295" xr:uid="{00000000-0005-0000-0000-000049970000}"/>
    <cellStyle name="Normal 9 33 6 4" xfId="39296" xr:uid="{00000000-0005-0000-0000-00004A970000}"/>
    <cellStyle name="Normal 9 33 6 5" xfId="39297" xr:uid="{00000000-0005-0000-0000-00004B970000}"/>
    <cellStyle name="Normal 9 33 6 6" xfId="39298" xr:uid="{00000000-0005-0000-0000-00004C970000}"/>
    <cellStyle name="Normal 9 33 7" xfId="39299" xr:uid="{00000000-0005-0000-0000-00004D970000}"/>
    <cellStyle name="Normal 9 33 7 2" xfId="39300" xr:uid="{00000000-0005-0000-0000-00004E970000}"/>
    <cellStyle name="Normal 9 33 7 3" xfId="39301" xr:uid="{00000000-0005-0000-0000-00004F970000}"/>
    <cellStyle name="Normal 9 33 7 4" xfId="39302" xr:uid="{00000000-0005-0000-0000-000050970000}"/>
    <cellStyle name="Normal 9 33 7 5" xfId="39303" xr:uid="{00000000-0005-0000-0000-000051970000}"/>
    <cellStyle name="Normal 9 33 7 6" xfId="39304" xr:uid="{00000000-0005-0000-0000-000052970000}"/>
    <cellStyle name="Normal 9 33 8" xfId="39305" xr:uid="{00000000-0005-0000-0000-000053970000}"/>
    <cellStyle name="Normal 9 33 8 2" xfId="39306" xr:uid="{00000000-0005-0000-0000-000054970000}"/>
    <cellStyle name="Normal 9 33 8 3" xfId="39307" xr:uid="{00000000-0005-0000-0000-000055970000}"/>
    <cellStyle name="Normal 9 33 8 4" xfId="39308" xr:uid="{00000000-0005-0000-0000-000056970000}"/>
    <cellStyle name="Normal 9 33 8 5" xfId="39309" xr:uid="{00000000-0005-0000-0000-000057970000}"/>
    <cellStyle name="Normal 9 33 8 6" xfId="39310" xr:uid="{00000000-0005-0000-0000-000058970000}"/>
    <cellStyle name="Normal 9 33 9" xfId="39311" xr:uid="{00000000-0005-0000-0000-000059970000}"/>
    <cellStyle name="Normal 9 34" xfId="39312" xr:uid="{00000000-0005-0000-0000-00005A970000}"/>
    <cellStyle name="Normal 9 34 2" xfId="39313" xr:uid="{00000000-0005-0000-0000-00005B970000}"/>
    <cellStyle name="Normal 9 34 3" xfId="39314" xr:uid="{00000000-0005-0000-0000-00005C970000}"/>
    <cellStyle name="Normal 9 34 4" xfId="39315" xr:uid="{00000000-0005-0000-0000-00005D970000}"/>
    <cellStyle name="Normal 9 34 5" xfId="39316" xr:uid="{00000000-0005-0000-0000-00005E970000}"/>
    <cellStyle name="Normal 9 34 6" xfId="39317" xr:uid="{00000000-0005-0000-0000-00005F970000}"/>
    <cellStyle name="Normal 9 35" xfId="39318" xr:uid="{00000000-0005-0000-0000-000060970000}"/>
    <cellStyle name="Normal 9 35 2" xfId="39319" xr:uid="{00000000-0005-0000-0000-000061970000}"/>
    <cellStyle name="Normal 9 35 3" xfId="39320" xr:uid="{00000000-0005-0000-0000-000062970000}"/>
    <cellStyle name="Normal 9 35 4" xfId="39321" xr:uid="{00000000-0005-0000-0000-000063970000}"/>
    <cellStyle name="Normal 9 35 5" xfId="39322" xr:uid="{00000000-0005-0000-0000-000064970000}"/>
    <cellStyle name="Normal 9 35 6" xfId="39323" xr:uid="{00000000-0005-0000-0000-000065970000}"/>
    <cellStyle name="Normal 9 36" xfId="39324" xr:uid="{00000000-0005-0000-0000-000066970000}"/>
    <cellStyle name="Normal 9 36 2" xfId="39325" xr:uid="{00000000-0005-0000-0000-000067970000}"/>
    <cellStyle name="Normal 9 36 3" xfId="39326" xr:uid="{00000000-0005-0000-0000-000068970000}"/>
    <cellStyle name="Normal 9 36 4" xfId="39327" xr:uid="{00000000-0005-0000-0000-000069970000}"/>
    <cellStyle name="Normal 9 36 5" xfId="39328" xr:uid="{00000000-0005-0000-0000-00006A970000}"/>
    <cellStyle name="Normal 9 36 6" xfId="39329" xr:uid="{00000000-0005-0000-0000-00006B970000}"/>
    <cellStyle name="Normal 9 37" xfId="39330" xr:uid="{00000000-0005-0000-0000-00006C970000}"/>
    <cellStyle name="Normal 9 37 2" xfId="39331" xr:uid="{00000000-0005-0000-0000-00006D970000}"/>
    <cellStyle name="Normal 9 37 3" xfId="39332" xr:uid="{00000000-0005-0000-0000-00006E970000}"/>
    <cellStyle name="Normal 9 37 4" xfId="39333" xr:uid="{00000000-0005-0000-0000-00006F970000}"/>
    <cellStyle name="Normal 9 37 5" xfId="39334" xr:uid="{00000000-0005-0000-0000-000070970000}"/>
    <cellStyle name="Normal 9 37 6" xfId="39335" xr:uid="{00000000-0005-0000-0000-000071970000}"/>
    <cellStyle name="Normal 9 38" xfId="39336" xr:uid="{00000000-0005-0000-0000-000072970000}"/>
    <cellStyle name="Normal 9 38 2" xfId="39337" xr:uid="{00000000-0005-0000-0000-000073970000}"/>
    <cellStyle name="Normal 9 38 3" xfId="39338" xr:uid="{00000000-0005-0000-0000-000074970000}"/>
    <cellStyle name="Normal 9 38 4" xfId="39339" xr:uid="{00000000-0005-0000-0000-000075970000}"/>
    <cellStyle name="Normal 9 38 5" xfId="39340" xr:uid="{00000000-0005-0000-0000-000076970000}"/>
    <cellStyle name="Normal 9 38 6" xfId="39341" xr:uid="{00000000-0005-0000-0000-000077970000}"/>
    <cellStyle name="Normal 9 39" xfId="39342" xr:uid="{00000000-0005-0000-0000-000078970000}"/>
    <cellStyle name="Normal 9 39 2" xfId="39343" xr:uid="{00000000-0005-0000-0000-000079970000}"/>
    <cellStyle name="Normal 9 39 3" xfId="39344" xr:uid="{00000000-0005-0000-0000-00007A970000}"/>
    <cellStyle name="Normal 9 39 4" xfId="39345" xr:uid="{00000000-0005-0000-0000-00007B970000}"/>
    <cellStyle name="Normal 9 39 5" xfId="39346" xr:uid="{00000000-0005-0000-0000-00007C970000}"/>
    <cellStyle name="Normal 9 39 6" xfId="39347" xr:uid="{00000000-0005-0000-0000-00007D970000}"/>
    <cellStyle name="Normal 9 4" xfId="39348" xr:uid="{00000000-0005-0000-0000-00007E970000}"/>
    <cellStyle name="Normal 9 4 10" xfId="39349" xr:uid="{00000000-0005-0000-0000-00007F970000}"/>
    <cellStyle name="Normal 9 4 11" xfId="39350" xr:uid="{00000000-0005-0000-0000-000080970000}"/>
    <cellStyle name="Normal 9 4 12" xfId="39351" xr:uid="{00000000-0005-0000-0000-000081970000}"/>
    <cellStyle name="Normal 9 4 13" xfId="39352" xr:uid="{00000000-0005-0000-0000-000082970000}"/>
    <cellStyle name="Normal 9 4 2" xfId="39353" xr:uid="{00000000-0005-0000-0000-000083970000}"/>
    <cellStyle name="Normal 9 4 2 2" xfId="39354" xr:uid="{00000000-0005-0000-0000-000084970000}"/>
    <cellStyle name="Normal 9 4 2 3" xfId="39355" xr:uid="{00000000-0005-0000-0000-000085970000}"/>
    <cellStyle name="Normal 9 4 2 4" xfId="39356" xr:uid="{00000000-0005-0000-0000-000086970000}"/>
    <cellStyle name="Normal 9 4 2 5" xfId="39357" xr:uid="{00000000-0005-0000-0000-000087970000}"/>
    <cellStyle name="Normal 9 4 2 6" xfId="39358" xr:uid="{00000000-0005-0000-0000-000088970000}"/>
    <cellStyle name="Normal 9 4 3" xfId="39359" xr:uid="{00000000-0005-0000-0000-000089970000}"/>
    <cellStyle name="Normal 9 4 3 2" xfId="39360" xr:uid="{00000000-0005-0000-0000-00008A970000}"/>
    <cellStyle name="Normal 9 4 3 3" xfId="39361" xr:uid="{00000000-0005-0000-0000-00008B970000}"/>
    <cellStyle name="Normal 9 4 3 4" xfId="39362" xr:uid="{00000000-0005-0000-0000-00008C970000}"/>
    <cellStyle name="Normal 9 4 3 5" xfId="39363" xr:uid="{00000000-0005-0000-0000-00008D970000}"/>
    <cellStyle name="Normal 9 4 3 6" xfId="39364" xr:uid="{00000000-0005-0000-0000-00008E970000}"/>
    <cellStyle name="Normal 9 4 4" xfId="39365" xr:uid="{00000000-0005-0000-0000-00008F970000}"/>
    <cellStyle name="Normal 9 4 4 2" xfId="39366" xr:uid="{00000000-0005-0000-0000-000090970000}"/>
    <cellStyle name="Normal 9 4 4 3" xfId="39367" xr:uid="{00000000-0005-0000-0000-000091970000}"/>
    <cellStyle name="Normal 9 4 4 4" xfId="39368" xr:uid="{00000000-0005-0000-0000-000092970000}"/>
    <cellStyle name="Normal 9 4 4 5" xfId="39369" xr:uid="{00000000-0005-0000-0000-000093970000}"/>
    <cellStyle name="Normal 9 4 4 6" xfId="39370" xr:uid="{00000000-0005-0000-0000-000094970000}"/>
    <cellStyle name="Normal 9 4 5" xfId="39371" xr:uid="{00000000-0005-0000-0000-000095970000}"/>
    <cellStyle name="Normal 9 4 5 2" xfId="39372" xr:uid="{00000000-0005-0000-0000-000096970000}"/>
    <cellStyle name="Normal 9 4 5 3" xfId="39373" xr:uid="{00000000-0005-0000-0000-000097970000}"/>
    <cellStyle name="Normal 9 4 5 4" xfId="39374" xr:uid="{00000000-0005-0000-0000-000098970000}"/>
    <cellStyle name="Normal 9 4 5 5" xfId="39375" xr:uid="{00000000-0005-0000-0000-000099970000}"/>
    <cellStyle name="Normal 9 4 5 6" xfId="39376" xr:uid="{00000000-0005-0000-0000-00009A970000}"/>
    <cellStyle name="Normal 9 4 6" xfId="39377" xr:uid="{00000000-0005-0000-0000-00009B970000}"/>
    <cellStyle name="Normal 9 4 6 2" xfId="39378" xr:uid="{00000000-0005-0000-0000-00009C970000}"/>
    <cellStyle name="Normal 9 4 6 3" xfId="39379" xr:uid="{00000000-0005-0000-0000-00009D970000}"/>
    <cellStyle name="Normal 9 4 6 4" xfId="39380" xr:uid="{00000000-0005-0000-0000-00009E970000}"/>
    <cellStyle name="Normal 9 4 6 5" xfId="39381" xr:uid="{00000000-0005-0000-0000-00009F970000}"/>
    <cellStyle name="Normal 9 4 6 6" xfId="39382" xr:uid="{00000000-0005-0000-0000-0000A0970000}"/>
    <cellStyle name="Normal 9 4 7" xfId="39383" xr:uid="{00000000-0005-0000-0000-0000A1970000}"/>
    <cellStyle name="Normal 9 4 7 2" xfId="39384" xr:uid="{00000000-0005-0000-0000-0000A2970000}"/>
    <cellStyle name="Normal 9 4 7 3" xfId="39385" xr:uid="{00000000-0005-0000-0000-0000A3970000}"/>
    <cellStyle name="Normal 9 4 7 4" xfId="39386" xr:uid="{00000000-0005-0000-0000-0000A4970000}"/>
    <cellStyle name="Normal 9 4 7 5" xfId="39387" xr:uid="{00000000-0005-0000-0000-0000A5970000}"/>
    <cellStyle name="Normal 9 4 7 6" xfId="39388" xr:uid="{00000000-0005-0000-0000-0000A6970000}"/>
    <cellStyle name="Normal 9 4 8" xfId="39389" xr:uid="{00000000-0005-0000-0000-0000A7970000}"/>
    <cellStyle name="Normal 9 4 8 2" xfId="39390" xr:uid="{00000000-0005-0000-0000-0000A8970000}"/>
    <cellStyle name="Normal 9 4 8 3" xfId="39391" xr:uid="{00000000-0005-0000-0000-0000A9970000}"/>
    <cellStyle name="Normal 9 4 8 4" xfId="39392" xr:uid="{00000000-0005-0000-0000-0000AA970000}"/>
    <cellStyle name="Normal 9 4 8 5" xfId="39393" xr:uid="{00000000-0005-0000-0000-0000AB970000}"/>
    <cellStyle name="Normal 9 4 8 6" xfId="39394" xr:uid="{00000000-0005-0000-0000-0000AC970000}"/>
    <cellStyle name="Normal 9 4 9" xfId="39395" xr:uid="{00000000-0005-0000-0000-0000AD970000}"/>
    <cellStyle name="Normal 9 40" xfId="39396" xr:uid="{00000000-0005-0000-0000-0000AE970000}"/>
    <cellStyle name="Normal 9 40 2" xfId="39397" xr:uid="{00000000-0005-0000-0000-0000AF970000}"/>
    <cellStyle name="Normal 9 40 3" xfId="39398" xr:uid="{00000000-0005-0000-0000-0000B0970000}"/>
    <cellStyle name="Normal 9 40 4" xfId="39399" xr:uid="{00000000-0005-0000-0000-0000B1970000}"/>
    <cellStyle name="Normal 9 40 5" xfId="39400" xr:uid="{00000000-0005-0000-0000-0000B2970000}"/>
    <cellStyle name="Normal 9 40 6" xfId="39401" xr:uid="{00000000-0005-0000-0000-0000B3970000}"/>
    <cellStyle name="Normal 9 41" xfId="39402" xr:uid="{00000000-0005-0000-0000-0000B4970000}"/>
    <cellStyle name="Normal 9 42" xfId="39403" xr:uid="{00000000-0005-0000-0000-0000B5970000}"/>
    <cellStyle name="Normal 9 43" xfId="39404" xr:uid="{00000000-0005-0000-0000-0000B6970000}"/>
    <cellStyle name="Normal 9 44" xfId="39405" xr:uid="{00000000-0005-0000-0000-0000B7970000}"/>
    <cellStyle name="Normal 9 45" xfId="39406" xr:uid="{00000000-0005-0000-0000-0000B8970000}"/>
    <cellStyle name="Normal 9 46" xfId="39407" xr:uid="{00000000-0005-0000-0000-0000B9970000}"/>
    <cellStyle name="Normal 9 5" xfId="39408" xr:uid="{00000000-0005-0000-0000-0000BA970000}"/>
    <cellStyle name="Normal 9 5 10" xfId="39409" xr:uid="{00000000-0005-0000-0000-0000BB970000}"/>
    <cellStyle name="Normal 9 5 11" xfId="39410" xr:uid="{00000000-0005-0000-0000-0000BC970000}"/>
    <cellStyle name="Normal 9 5 12" xfId="39411" xr:uid="{00000000-0005-0000-0000-0000BD970000}"/>
    <cellStyle name="Normal 9 5 13" xfId="39412" xr:uid="{00000000-0005-0000-0000-0000BE970000}"/>
    <cellStyle name="Normal 9 5 2" xfId="39413" xr:uid="{00000000-0005-0000-0000-0000BF970000}"/>
    <cellStyle name="Normal 9 5 2 2" xfId="39414" xr:uid="{00000000-0005-0000-0000-0000C0970000}"/>
    <cellStyle name="Normal 9 5 2 3" xfId="39415" xr:uid="{00000000-0005-0000-0000-0000C1970000}"/>
    <cellStyle name="Normal 9 5 2 4" xfId="39416" xr:uid="{00000000-0005-0000-0000-0000C2970000}"/>
    <cellStyle name="Normal 9 5 2 5" xfId="39417" xr:uid="{00000000-0005-0000-0000-0000C3970000}"/>
    <cellStyle name="Normal 9 5 2 6" xfId="39418" xr:uid="{00000000-0005-0000-0000-0000C4970000}"/>
    <cellStyle name="Normal 9 5 3" xfId="39419" xr:uid="{00000000-0005-0000-0000-0000C5970000}"/>
    <cellStyle name="Normal 9 5 3 2" xfId="39420" xr:uid="{00000000-0005-0000-0000-0000C6970000}"/>
    <cellStyle name="Normal 9 5 3 3" xfId="39421" xr:uid="{00000000-0005-0000-0000-0000C7970000}"/>
    <cellStyle name="Normal 9 5 3 4" xfId="39422" xr:uid="{00000000-0005-0000-0000-0000C8970000}"/>
    <cellStyle name="Normal 9 5 3 5" xfId="39423" xr:uid="{00000000-0005-0000-0000-0000C9970000}"/>
    <cellStyle name="Normal 9 5 3 6" xfId="39424" xr:uid="{00000000-0005-0000-0000-0000CA970000}"/>
    <cellStyle name="Normal 9 5 4" xfId="39425" xr:uid="{00000000-0005-0000-0000-0000CB970000}"/>
    <cellStyle name="Normal 9 5 4 2" xfId="39426" xr:uid="{00000000-0005-0000-0000-0000CC970000}"/>
    <cellStyle name="Normal 9 5 4 3" xfId="39427" xr:uid="{00000000-0005-0000-0000-0000CD970000}"/>
    <cellStyle name="Normal 9 5 4 4" xfId="39428" xr:uid="{00000000-0005-0000-0000-0000CE970000}"/>
    <cellStyle name="Normal 9 5 4 5" xfId="39429" xr:uid="{00000000-0005-0000-0000-0000CF970000}"/>
    <cellStyle name="Normal 9 5 4 6" xfId="39430" xr:uid="{00000000-0005-0000-0000-0000D0970000}"/>
    <cellStyle name="Normal 9 5 5" xfId="39431" xr:uid="{00000000-0005-0000-0000-0000D1970000}"/>
    <cellStyle name="Normal 9 5 5 2" xfId="39432" xr:uid="{00000000-0005-0000-0000-0000D2970000}"/>
    <cellStyle name="Normal 9 5 5 3" xfId="39433" xr:uid="{00000000-0005-0000-0000-0000D3970000}"/>
    <cellStyle name="Normal 9 5 5 4" xfId="39434" xr:uid="{00000000-0005-0000-0000-0000D4970000}"/>
    <cellStyle name="Normal 9 5 5 5" xfId="39435" xr:uid="{00000000-0005-0000-0000-0000D5970000}"/>
    <cellStyle name="Normal 9 5 5 6" xfId="39436" xr:uid="{00000000-0005-0000-0000-0000D6970000}"/>
    <cellStyle name="Normal 9 5 6" xfId="39437" xr:uid="{00000000-0005-0000-0000-0000D7970000}"/>
    <cellStyle name="Normal 9 5 6 2" xfId="39438" xr:uid="{00000000-0005-0000-0000-0000D8970000}"/>
    <cellStyle name="Normal 9 5 6 3" xfId="39439" xr:uid="{00000000-0005-0000-0000-0000D9970000}"/>
    <cellStyle name="Normal 9 5 6 4" xfId="39440" xr:uid="{00000000-0005-0000-0000-0000DA970000}"/>
    <cellStyle name="Normal 9 5 6 5" xfId="39441" xr:uid="{00000000-0005-0000-0000-0000DB970000}"/>
    <cellStyle name="Normal 9 5 6 6" xfId="39442" xr:uid="{00000000-0005-0000-0000-0000DC970000}"/>
    <cellStyle name="Normal 9 5 7" xfId="39443" xr:uid="{00000000-0005-0000-0000-0000DD970000}"/>
    <cellStyle name="Normal 9 5 7 2" xfId="39444" xr:uid="{00000000-0005-0000-0000-0000DE970000}"/>
    <cellStyle name="Normal 9 5 7 3" xfId="39445" xr:uid="{00000000-0005-0000-0000-0000DF970000}"/>
    <cellStyle name="Normal 9 5 7 4" xfId="39446" xr:uid="{00000000-0005-0000-0000-0000E0970000}"/>
    <cellStyle name="Normal 9 5 7 5" xfId="39447" xr:uid="{00000000-0005-0000-0000-0000E1970000}"/>
    <cellStyle name="Normal 9 5 7 6" xfId="39448" xr:uid="{00000000-0005-0000-0000-0000E2970000}"/>
    <cellStyle name="Normal 9 5 8" xfId="39449" xr:uid="{00000000-0005-0000-0000-0000E3970000}"/>
    <cellStyle name="Normal 9 5 8 2" xfId="39450" xr:uid="{00000000-0005-0000-0000-0000E4970000}"/>
    <cellStyle name="Normal 9 5 8 3" xfId="39451" xr:uid="{00000000-0005-0000-0000-0000E5970000}"/>
    <cellStyle name="Normal 9 5 8 4" xfId="39452" xr:uid="{00000000-0005-0000-0000-0000E6970000}"/>
    <cellStyle name="Normal 9 5 8 5" xfId="39453" xr:uid="{00000000-0005-0000-0000-0000E7970000}"/>
    <cellStyle name="Normal 9 5 8 6" xfId="39454" xr:uid="{00000000-0005-0000-0000-0000E8970000}"/>
    <cellStyle name="Normal 9 5 9" xfId="39455" xr:uid="{00000000-0005-0000-0000-0000E9970000}"/>
    <cellStyle name="Normal 9 6" xfId="39456" xr:uid="{00000000-0005-0000-0000-0000EA970000}"/>
    <cellStyle name="Normal 9 6 10" xfId="39457" xr:uid="{00000000-0005-0000-0000-0000EB970000}"/>
    <cellStyle name="Normal 9 6 11" xfId="39458" xr:uid="{00000000-0005-0000-0000-0000EC970000}"/>
    <cellStyle name="Normal 9 6 12" xfId="39459" xr:uid="{00000000-0005-0000-0000-0000ED970000}"/>
    <cellStyle name="Normal 9 6 13" xfId="39460" xr:uid="{00000000-0005-0000-0000-0000EE970000}"/>
    <cellStyle name="Normal 9 6 2" xfId="39461" xr:uid="{00000000-0005-0000-0000-0000EF970000}"/>
    <cellStyle name="Normal 9 6 2 2" xfId="39462" xr:uid="{00000000-0005-0000-0000-0000F0970000}"/>
    <cellStyle name="Normal 9 6 2 3" xfId="39463" xr:uid="{00000000-0005-0000-0000-0000F1970000}"/>
    <cellStyle name="Normal 9 6 2 4" xfId="39464" xr:uid="{00000000-0005-0000-0000-0000F2970000}"/>
    <cellStyle name="Normal 9 6 2 5" xfId="39465" xr:uid="{00000000-0005-0000-0000-0000F3970000}"/>
    <cellStyle name="Normal 9 6 2 6" xfId="39466" xr:uid="{00000000-0005-0000-0000-0000F4970000}"/>
    <cellStyle name="Normal 9 6 3" xfId="39467" xr:uid="{00000000-0005-0000-0000-0000F5970000}"/>
    <cellStyle name="Normal 9 6 3 2" xfId="39468" xr:uid="{00000000-0005-0000-0000-0000F6970000}"/>
    <cellStyle name="Normal 9 6 3 3" xfId="39469" xr:uid="{00000000-0005-0000-0000-0000F7970000}"/>
    <cellStyle name="Normal 9 6 3 4" xfId="39470" xr:uid="{00000000-0005-0000-0000-0000F8970000}"/>
    <cellStyle name="Normal 9 6 3 5" xfId="39471" xr:uid="{00000000-0005-0000-0000-0000F9970000}"/>
    <cellStyle name="Normal 9 6 3 6" xfId="39472" xr:uid="{00000000-0005-0000-0000-0000FA970000}"/>
    <cellStyle name="Normal 9 6 4" xfId="39473" xr:uid="{00000000-0005-0000-0000-0000FB970000}"/>
    <cellStyle name="Normal 9 6 4 2" xfId="39474" xr:uid="{00000000-0005-0000-0000-0000FC970000}"/>
    <cellStyle name="Normal 9 6 4 3" xfId="39475" xr:uid="{00000000-0005-0000-0000-0000FD970000}"/>
    <cellStyle name="Normal 9 6 4 4" xfId="39476" xr:uid="{00000000-0005-0000-0000-0000FE970000}"/>
    <cellStyle name="Normal 9 6 4 5" xfId="39477" xr:uid="{00000000-0005-0000-0000-0000FF970000}"/>
    <cellStyle name="Normal 9 6 4 6" xfId="39478" xr:uid="{00000000-0005-0000-0000-000000980000}"/>
    <cellStyle name="Normal 9 6 5" xfId="39479" xr:uid="{00000000-0005-0000-0000-000001980000}"/>
    <cellStyle name="Normal 9 6 5 2" xfId="39480" xr:uid="{00000000-0005-0000-0000-000002980000}"/>
    <cellStyle name="Normal 9 6 5 3" xfId="39481" xr:uid="{00000000-0005-0000-0000-000003980000}"/>
    <cellStyle name="Normal 9 6 5 4" xfId="39482" xr:uid="{00000000-0005-0000-0000-000004980000}"/>
    <cellStyle name="Normal 9 6 5 5" xfId="39483" xr:uid="{00000000-0005-0000-0000-000005980000}"/>
    <cellStyle name="Normal 9 6 5 6" xfId="39484" xr:uid="{00000000-0005-0000-0000-000006980000}"/>
    <cellStyle name="Normal 9 6 6" xfId="39485" xr:uid="{00000000-0005-0000-0000-000007980000}"/>
    <cellStyle name="Normal 9 6 6 2" xfId="39486" xr:uid="{00000000-0005-0000-0000-000008980000}"/>
    <cellStyle name="Normal 9 6 6 3" xfId="39487" xr:uid="{00000000-0005-0000-0000-000009980000}"/>
    <cellStyle name="Normal 9 6 6 4" xfId="39488" xr:uid="{00000000-0005-0000-0000-00000A980000}"/>
    <cellStyle name="Normal 9 6 6 5" xfId="39489" xr:uid="{00000000-0005-0000-0000-00000B980000}"/>
    <cellStyle name="Normal 9 6 6 6" xfId="39490" xr:uid="{00000000-0005-0000-0000-00000C980000}"/>
    <cellStyle name="Normal 9 6 7" xfId="39491" xr:uid="{00000000-0005-0000-0000-00000D980000}"/>
    <cellStyle name="Normal 9 6 7 2" xfId="39492" xr:uid="{00000000-0005-0000-0000-00000E980000}"/>
    <cellStyle name="Normal 9 6 7 3" xfId="39493" xr:uid="{00000000-0005-0000-0000-00000F980000}"/>
    <cellStyle name="Normal 9 6 7 4" xfId="39494" xr:uid="{00000000-0005-0000-0000-000010980000}"/>
    <cellStyle name="Normal 9 6 7 5" xfId="39495" xr:uid="{00000000-0005-0000-0000-000011980000}"/>
    <cellStyle name="Normal 9 6 7 6" xfId="39496" xr:uid="{00000000-0005-0000-0000-000012980000}"/>
    <cellStyle name="Normal 9 6 8" xfId="39497" xr:uid="{00000000-0005-0000-0000-000013980000}"/>
    <cellStyle name="Normal 9 6 8 2" xfId="39498" xr:uid="{00000000-0005-0000-0000-000014980000}"/>
    <cellStyle name="Normal 9 6 8 3" xfId="39499" xr:uid="{00000000-0005-0000-0000-000015980000}"/>
    <cellStyle name="Normal 9 6 8 4" xfId="39500" xr:uid="{00000000-0005-0000-0000-000016980000}"/>
    <cellStyle name="Normal 9 6 8 5" xfId="39501" xr:uid="{00000000-0005-0000-0000-000017980000}"/>
    <cellStyle name="Normal 9 6 8 6" xfId="39502" xr:uid="{00000000-0005-0000-0000-000018980000}"/>
    <cellStyle name="Normal 9 6 9" xfId="39503" xr:uid="{00000000-0005-0000-0000-000019980000}"/>
    <cellStyle name="Normal 9 7" xfId="39504" xr:uid="{00000000-0005-0000-0000-00001A980000}"/>
    <cellStyle name="Normal 9 7 10" xfId="39505" xr:uid="{00000000-0005-0000-0000-00001B980000}"/>
    <cellStyle name="Normal 9 7 11" xfId="39506" xr:uid="{00000000-0005-0000-0000-00001C980000}"/>
    <cellStyle name="Normal 9 7 12" xfId="39507" xr:uid="{00000000-0005-0000-0000-00001D980000}"/>
    <cellStyle name="Normal 9 7 13" xfId="39508" xr:uid="{00000000-0005-0000-0000-00001E980000}"/>
    <cellStyle name="Normal 9 7 2" xfId="39509" xr:uid="{00000000-0005-0000-0000-00001F980000}"/>
    <cellStyle name="Normal 9 7 2 2" xfId="39510" xr:uid="{00000000-0005-0000-0000-000020980000}"/>
    <cellStyle name="Normal 9 7 2 3" xfId="39511" xr:uid="{00000000-0005-0000-0000-000021980000}"/>
    <cellStyle name="Normal 9 7 2 4" xfId="39512" xr:uid="{00000000-0005-0000-0000-000022980000}"/>
    <cellStyle name="Normal 9 7 2 5" xfId="39513" xr:uid="{00000000-0005-0000-0000-000023980000}"/>
    <cellStyle name="Normal 9 7 2 6" xfId="39514" xr:uid="{00000000-0005-0000-0000-000024980000}"/>
    <cellStyle name="Normal 9 7 3" xfId="39515" xr:uid="{00000000-0005-0000-0000-000025980000}"/>
    <cellStyle name="Normal 9 7 3 2" xfId="39516" xr:uid="{00000000-0005-0000-0000-000026980000}"/>
    <cellStyle name="Normal 9 7 3 3" xfId="39517" xr:uid="{00000000-0005-0000-0000-000027980000}"/>
    <cellStyle name="Normal 9 7 3 4" xfId="39518" xr:uid="{00000000-0005-0000-0000-000028980000}"/>
    <cellStyle name="Normal 9 7 3 5" xfId="39519" xr:uid="{00000000-0005-0000-0000-000029980000}"/>
    <cellStyle name="Normal 9 7 3 6" xfId="39520" xr:uid="{00000000-0005-0000-0000-00002A980000}"/>
    <cellStyle name="Normal 9 7 4" xfId="39521" xr:uid="{00000000-0005-0000-0000-00002B980000}"/>
    <cellStyle name="Normal 9 7 4 2" xfId="39522" xr:uid="{00000000-0005-0000-0000-00002C980000}"/>
    <cellStyle name="Normal 9 7 4 3" xfId="39523" xr:uid="{00000000-0005-0000-0000-00002D980000}"/>
    <cellStyle name="Normal 9 7 4 4" xfId="39524" xr:uid="{00000000-0005-0000-0000-00002E980000}"/>
    <cellStyle name="Normal 9 7 4 5" xfId="39525" xr:uid="{00000000-0005-0000-0000-00002F980000}"/>
    <cellStyle name="Normal 9 7 4 6" xfId="39526" xr:uid="{00000000-0005-0000-0000-000030980000}"/>
    <cellStyle name="Normal 9 7 5" xfId="39527" xr:uid="{00000000-0005-0000-0000-000031980000}"/>
    <cellStyle name="Normal 9 7 5 2" xfId="39528" xr:uid="{00000000-0005-0000-0000-000032980000}"/>
    <cellStyle name="Normal 9 7 5 3" xfId="39529" xr:uid="{00000000-0005-0000-0000-000033980000}"/>
    <cellStyle name="Normal 9 7 5 4" xfId="39530" xr:uid="{00000000-0005-0000-0000-000034980000}"/>
    <cellStyle name="Normal 9 7 5 5" xfId="39531" xr:uid="{00000000-0005-0000-0000-000035980000}"/>
    <cellStyle name="Normal 9 7 5 6" xfId="39532" xr:uid="{00000000-0005-0000-0000-000036980000}"/>
    <cellStyle name="Normal 9 7 6" xfId="39533" xr:uid="{00000000-0005-0000-0000-000037980000}"/>
    <cellStyle name="Normal 9 7 6 2" xfId="39534" xr:uid="{00000000-0005-0000-0000-000038980000}"/>
    <cellStyle name="Normal 9 7 6 3" xfId="39535" xr:uid="{00000000-0005-0000-0000-000039980000}"/>
    <cellStyle name="Normal 9 7 6 4" xfId="39536" xr:uid="{00000000-0005-0000-0000-00003A980000}"/>
    <cellStyle name="Normal 9 7 6 5" xfId="39537" xr:uid="{00000000-0005-0000-0000-00003B980000}"/>
    <cellStyle name="Normal 9 7 6 6" xfId="39538" xr:uid="{00000000-0005-0000-0000-00003C980000}"/>
    <cellStyle name="Normal 9 7 7" xfId="39539" xr:uid="{00000000-0005-0000-0000-00003D980000}"/>
    <cellStyle name="Normal 9 7 7 2" xfId="39540" xr:uid="{00000000-0005-0000-0000-00003E980000}"/>
    <cellStyle name="Normal 9 7 7 3" xfId="39541" xr:uid="{00000000-0005-0000-0000-00003F980000}"/>
    <cellStyle name="Normal 9 7 7 4" xfId="39542" xr:uid="{00000000-0005-0000-0000-000040980000}"/>
    <cellStyle name="Normal 9 7 7 5" xfId="39543" xr:uid="{00000000-0005-0000-0000-000041980000}"/>
    <cellStyle name="Normal 9 7 7 6" xfId="39544" xr:uid="{00000000-0005-0000-0000-000042980000}"/>
    <cellStyle name="Normal 9 7 8" xfId="39545" xr:uid="{00000000-0005-0000-0000-000043980000}"/>
    <cellStyle name="Normal 9 7 8 2" xfId="39546" xr:uid="{00000000-0005-0000-0000-000044980000}"/>
    <cellStyle name="Normal 9 7 8 3" xfId="39547" xr:uid="{00000000-0005-0000-0000-000045980000}"/>
    <cellStyle name="Normal 9 7 8 4" xfId="39548" xr:uid="{00000000-0005-0000-0000-000046980000}"/>
    <cellStyle name="Normal 9 7 8 5" xfId="39549" xr:uid="{00000000-0005-0000-0000-000047980000}"/>
    <cellStyle name="Normal 9 7 8 6" xfId="39550" xr:uid="{00000000-0005-0000-0000-000048980000}"/>
    <cellStyle name="Normal 9 7 9" xfId="39551" xr:uid="{00000000-0005-0000-0000-000049980000}"/>
    <cellStyle name="Normal 9 8" xfId="39552" xr:uid="{00000000-0005-0000-0000-00004A980000}"/>
    <cellStyle name="Normal 9 8 10" xfId="39553" xr:uid="{00000000-0005-0000-0000-00004B980000}"/>
    <cellStyle name="Normal 9 8 11" xfId="39554" xr:uid="{00000000-0005-0000-0000-00004C980000}"/>
    <cellStyle name="Normal 9 8 12" xfId="39555" xr:uid="{00000000-0005-0000-0000-00004D980000}"/>
    <cellStyle name="Normal 9 8 13" xfId="39556" xr:uid="{00000000-0005-0000-0000-00004E980000}"/>
    <cellStyle name="Normal 9 8 2" xfId="39557" xr:uid="{00000000-0005-0000-0000-00004F980000}"/>
    <cellStyle name="Normal 9 8 2 2" xfId="39558" xr:uid="{00000000-0005-0000-0000-000050980000}"/>
    <cellStyle name="Normal 9 8 2 3" xfId="39559" xr:uid="{00000000-0005-0000-0000-000051980000}"/>
    <cellStyle name="Normal 9 8 2 4" xfId="39560" xr:uid="{00000000-0005-0000-0000-000052980000}"/>
    <cellStyle name="Normal 9 8 2 5" xfId="39561" xr:uid="{00000000-0005-0000-0000-000053980000}"/>
    <cellStyle name="Normal 9 8 2 6" xfId="39562" xr:uid="{00000000-0005-0000-0000-000054980000}"/>
    <cellStyle name="Normal 9 8 3" xfId="39563" xr:uid="{00000000-0005-0000-0000-000055980000}"/>
    <cellStyle name="Normal 9 8 3 2" xfId="39564" xr:uid="{00000000-0005-0000-0000-000056980000}"/>
    <cellStyle name="Normal 9 8 3 3" xfId="39565" xr:uid="{00000000-0005-0000-0000-000057980000}"/>
    <cellStyle name="Normal 9 8 3 4" xfId="39566" xr:uid="{00000000-0005-0000-0000-000058980000}"/>
    <cellStyle name="Normal 9 8 3 5" xfId="39567" xr:uid="{00000000-0005-0000-0000-000059980000}"/>
    <cellStyle name="Normal 9 8 3 6" xfId="39568" xr:uid="{00000000-0005-0000-0000-00005A980000}"/>
    <cellStyle name="Normal 9 8 4" xfId="39569" xr:uid="{00000000-0005-0000-0000-00005B980000}"/>
    <cellStyle name="Normal 9 8 4 2" xfId="39570" xr:uid="{00000000-0005-0000-0000-00005C980000}"/>
    <cellStyle name="Normal 9 8 4 3" xfId="39571" xr:uid="{00000000-0005-0000-0000-00005D980000}"/>
    <cellStyle name="Normal 9 8 4 4" xfId="39572" xr:uid="{00000000-0005-0000-0000-00005E980000}"/>
    <cellStyle name="Normal 9 8 4 5" xfId="39573" xr:uid="{00000000-0005-0000-0000-00005F980000}"/>
    <cellStyle name="Normal 9 8 4 6" xfId="39574" xr:uid="{00000000-0005-0000-0000-000060980000}"/>
    <cellStyle name="Normal 9 8 5" xfId="39575" xr:uid="{00000000-0005-0000-0000-000061980000}"/>
    <cellStyle name="Normal 9 8 5 2" xfId="39576" xr:uid="{00000000-0005-0000-0000-000062980000}"/>
    <cellStyle name="Normal 9 8 5 3" xfId="39577" xr:uid="{00000000-0005-0000-0000-000063980000}"/>
    <cellStyle name="Normal 9 8 5 4" xfId="39578" xr:uid="{00000000-0005-0000-0000-000064980000}"/>
    <cellStyle name="Normal 9 8 5 5" xfId="39579" xr:uid="{00000000-0005-0000-0000-000065980000}"/>
    <cellStyle name="Normal 9 8 5 6" xfId="39580" xr:uid="{00000000-0005-0000-0000-000066980000}"/>
    <cellStyle name="Normal 9 8 6" xfId="39581" xr:uid="{00000000-0005-0000-0000-000067980000}"/>
    <cellStyle name="Normal 9 8 6 2" xfId="39582" xr:uid="{00000000-0005-0000-0000-000068980000}"/>
    <cellStyle name="Normal 9 8 6 3" xfId="39583" xr:uid="{00000000-0005-0000-0000-000069980000}"/>
    <cellStyle name="Normal 9 8 6 4" xfId="39584" xr:uid="{00000000-0005-0000-0000-00006A980000}"/>
    <cellStyle name="Normal 9 8 6 5" xfId="39585" xr:uid="{00000000-0005-0000-0000-00006B980000}"/>
    <cellStyle name="Normal 9 8 6 6" xfId="39586" xr:uid="{00000000-0005-0000-0000-00006C980000}"/>
    <cellStyle name="Normal 9 8 7" xfId="39587" xr:uid="{00000000-0005-0000-0000-00006D980000}"/>
    <cellStyle name="Normal 9 8 7 2" xfId="39588" xr:uid="{00000000-0005-0000-0000-00006E980000}"/>
    <cellStyle name="Normal 9 8 7 3" xfId="39589" xr:uid="{00000000-0005-0000-0000-00006F980000}"/>
    <cellStyle name="Normal 9 8 7 4" xfId="39590" xr:uid="{00000000-0005-0000-0000-000070980000}"/>
    <cellStyle name="Normal 9 8 7 5" xfId="39591" xr:uid="{00000000-0005-0000-0000-000071980000}"/>
    <cellStyle name="Normal 9 8 7 6" xfId="39592" xr:uid="{00000000-0005-0000-0000-000072980000}"/>
    <cellStyle name="Normal 9 8 8" xfId="39593" xr:uid="{00000000-0005-0000-0000-000073980000}"/>
    <cellStyle name="Normal 9 8 8 2" xfId="39594" xr:uid="{00000000-0005-0000-0000-000074980000}"/>
    <cellStyle name="Normal 9 8 8 3" xfId="39595" xr:uid="{00000000-0005-0000-0000-000075980000}"/>
    <cellStyle name="Normal 9 8 8 4" xfId="39596" xr:uid="{00000000-0005-0000-0000-000076980000}"/>
    <cellStyle name="Normal 9 8 8 5" xfId="39597" xr:uid="{00000000-0005-0000-0000-000077980000}"/>
    <cellStyle name="Normal 9 8 8 6" xfId="39598" xr:uid="{00000000-0005-0000-0000-000078980000}"/>
    <cellStyle name="Normal 9 8 9" xfId="39599" xr:uid="{00000000-0005-0000-0000-000079980000}"/>
    <cellStyle name="Normal 9 9" xfId="39600" xr:uid="{00000000-0005-0000-0000-00007A980000}"/>
    <cellStyle name="Normal 9 9 10" xfId="39601" xr:uid="{00000000-0005-0000-0000-00007B980000}"/>
    <cellStyle name="Normal 9 9 11" xfId="39602" xr:uid="{00000000-0005-0000-0000-00007C980000}"/>
    <cellStyle name="Normal 9 9 12" xfId="39603" xr:uid="{00000000-0005-0000-0000-00007D980000}"/>
    <cellStyle name="Normal 9 9 13" xfId="39604" xr:uid="{00000000-0005-0000-0000-00007E980000}"/>
    <cellStyle name="Normal 9 9 2" xfId="39605" xr:uid="{00000000-0005-0000-0000-00007F980000}"/>
    <cellStyle name="Normal 9 9 2 2" xfId="39606" xr:uid="{00000000-0005-0000-0000-000080980000}"/>
    <cellStyle name="Normal 9 9 2 3" xfId="39607" xr:uid="{00000000-0005-0000-0000-000081980000}"/>
    <cellStyle name="Normal 9 9 2 4" xfId="39608" xr:uid="{00000000-0005-0000-0000-000082980000}"/>
    <cellStyle name="Normal 9 9 2 5" xfId="39609" xr:uid="{00000000-0005-0000-0000-000083980000}"/>
    <cellStyle name="Normal 9 9 2 6" xfId="39610" xr:uid="{00000000-0005-0000-0000-000084980000}"/>
    <cellStyle name="Normal 9 9 3" xfId="39611" xr:uid="{00000000-0005-0000-0000-000085980000}"/>
    <cellStyle name="Normal 9 9 3 2" xfId="39612" xr:uid="{00000000-0005-0000-0000-000086980000}"/>
    <cellStyle name="Normal 9 9 3 3" xfId="39613" xr:uid="{00000000-0005-0000-0000-000087980000}"/>
    <cellStyle name="Normal 9 9 3 4" xfId="39614" xr:uid="{00000000-0005-0000-0000-000088980000}"/>
    <cellStyle name="Normal 9 9 3 5" xfId="39615" xr:uid="{00000000-0005-0000-0000-000089980000}"/>
    <cellStyle name="Normal 9 9 3 6" xfId="39616" xr:uid="{00000000-0005-0000-0000-00008A980000}"/>
    <cellStyle name="Normal 9 9 4" xfId="39617" xr:uid="{00000000-0005-0000-0000-00008B980000}"/>
    <cellStyle name="Normal 9 9 4 2" xfId="39618" xr:uid="{00000000-0005-0000-0000-00008C980000}"/>
    <cellStyle name="Normal 9 9 4 3" xfId="39619" xr:uid="{00000000-0005-0000-0000-00008D980000}"/>
    <cellStyle name="Normal 9 9 4 4" xfId="39620" xr:uid="{00000000-0005-0000-0000-00008E980000}"/>
    <cellStyle name="Normal 9 9 4 5" xfId="39621" xr:uid="{00000000-0005-0000-0000-00008F980000}"/>
    <cellStyle name="Normal 9 9 4 6" xfId="39622" xr:uid="{00000000-0005-0000-0000-000090980000}"/>
    <cellStyle name="Normal 9 9 5" xfId="39623" xr:uid="{00000000-0005-0000-0000-000091980000}"/>
    <cellStyle name="Normal 9 9 5 2" xfId="39624" xr:uid="{00000000-0005-0000-0000-000092980000}"/>
    <cellStyle name="Normal 9 9 5 3" xfId="39625" xr:uid="{00000000-0005-0000-0000-000093980000}"/>
    <cellStyle name="Normal 9 9 5 4" xfId="39626" xr:uid="{00000000-0005-0000-0000-000094980000}"/>
    <cellStyle name="Normal 9 9 5 5" xfId="39627" xr:uid="{00000000-0005-0000-0000-000095980000}"/>
    <cellStyle name="Normal 9 9 5 6" xfId="39628" xr:uid="{00000000-0005-0000-0000-000096980000}"/>
    <cellStyle name="Normal 9 9 6" xfId="39629" xr:uid="{00000000-0005-0000-0000-000097980000}"/>
    <cellStyle name="Normal 9 9 6 2" xfId="39630" xr:uid="{00000000-0005-0000-0000-000098980000}"/>
    <cellStyle name="Normal 9 9 6 3" xfId="39631" xr:uid="{00000000-0005-0000-0000-000099980000}"/>
    <cellStyle name="Normal 9 9 6 4" xfId="39632" xr:uid="{00000000-0005-0000-0000-00009A980000}"/>
    <cellStyle name="Normal 9 9 6 5" xfId="39633" xr:uid="{00000000-0005-0000-0000-00009B980000}"/>
    <cellStyle name="Normal 9 9 6 6" xfId="39634" xr:uid="{00000000-0005-0000-0000-00009C980000}"/>
    <cellStyle name="Normal 9 9 7" xfId="39635" xr:uid="{00000000-0005-0000-0000-00009D980000}"/>
    <cellStyle name="Normal 9 9 7 2" xfId="39636" xr:uid="{00000000-0005-0000-0000-00009E980000}"/>
    <cellStyle name="Normal 9 9 7 3" xfId="39637" xr:uid="{00000000-0005-0000-0000-00009F980000}"/>
    <cellStyle name="Normal 9 9 7 4" xfId="39638" xr:uid="{00000000-0005-0000-0000-0000A0980000}"/>
    <cellStyle name="Normal 9 9 7 5" xfId="39639" xr:uid="{00000000-0005-0000-0000-0000A1980000}"/>
    <cellStyle name="Normal 9 9 7 6" xfId="39640" xr:uid="{00000000-0005-0000-0000-0000A2980000}"/>
    <cellStyle name="Normal 9 9 8" xfId="39641" xr:uid="{00000000-0005-0000-0000-0000A3980000}"/>
    <cellStyle name="Normal 9 9 8 2" xfId="39642" xr:uid="{00000000-0005-0000-0000-0000A4980000}"/>
    <cellStyle name="Normal 9 9 8 3" xfId="39643" xr:uid="{00000000-0005-0000-0000-0000A5980000}"/>
    <cellStyle name="Normal 9 9 8 4" xfId="39644" xr:uid="{00000000-0005-0000-0000-0000A6980000}"/>
    <cellStyle name="Normal 9 9 8 5" xfId="39645" xr:uid="{00000000-0005-0000-0000-0000A7980000}"/>
    <cellStyle name="Normal 9 9 8 6" xfId="39646" xr:uid="{00000000-0005-0000-0000-0000A8980000}"/>
    <cellStyle name="Normal 9 9 9" xfId="39647" xr:uid="{00000000-0005-0000-0000-0000A9980000}"/>
    <cellStyle name="Normal 9_casulo 5" xfId="830" xr:uid="{00000000-0005-0000-0000-0000AA980000}"/>
    <cellStyle name="Normal 9_casulo 5 2" xfId="43437" xr:uid="{D183B464-4FD2-4DD3-B1AD-0B7D2F7EDB52}"/>
    <cellStyle name="Normal 90" xfId="39648" xr:uid="{00000000-0005-0000-0000-0000AB980000}"/>
    <cellStyle name="Normal 91" xfId="39649" xr:uid="{00000000-0005-0000-0000-0000AC980000}"/>
    <cellStyle name="Normal 92" xfId="39650" xr:uid="{00000000-0005-0000-0000-0000AD980000}"/>
    <cellStyle name="Normal 93" xfId="39651" xr:uid="{00000000-0005-0000-0000-0000AE980000}"/>
    <cellStyle name="Normal 94" xfId="39652" xr:uid="{00000000-0005-0000-0000-0000AF980000}"/>
    <cellStyle name="Normal 95" xfId="39653" xr:uid="{00000000-0005-0000-0000-0000B0980000}"/>
    <cellStyle name="Normal 96" xfId="39654" xr:uid="{00000000-0005-0000-0000-0000B1980000}"/>
    <cellStyle name="Normal 97" xfId="39655" xr:uid="{00000000-0005-0000-0000-0000B2980000}"/>
    <cellStyle name="Normal 98" xfId="39656" xr:uid="{00000000-0005-0000-0000-0000B3980000}"/>
    <cellStyle name="Normal 99" xfId="39657" xr:uid="{00000000-0005-0000-0000-0000B4980000}"/>
    <cellStyle name="Normal Bold" xfId="1667" xr:uid="{00000000-0005-0000-0000-0000B5980000}"/>
    <cellStyle name="Normal_COEFICIENTES" xfId="43411" xr:uid="{00000000-0005-0000-0000-0000B6980000}"/>
    <cellStyle name="Normal_Cópia de PRATA  0 7 9 (3)" xfId="831" xr:uid="{00000000-0005-0000-0000-0000B7980000}"/>
    <cellStyle name="Normal_IRT_Planilha Básica_fev2010a" xfId="832" xr:uid="{00000000-0005-0000-0000-0000B8980000}"/>
    <cellStyle name="Normal_PRTP_v5-ELETROPAULO (v. alexandre_tarifas)2" xfId="833" xr:uid="{00000000-0005-0000-0000-0000B9980000}"/>
    <cellStyle name="Normal_PRTP_v5-ELETROPAULO (v. alexandre_tarifas)2 2" xfId="43438" xr:uid="{37BFF47F-FC8E-4344-93E3-78A31AF313B8}"/>
    <cellStyle name="Normal_REVISO ESCELSA FINAL MRB" xfId="834" xr:uid="{00000000-0005-0000-0000-0000BA980000}"/>
    <cellStyle name="Normal1" xfId="39658" xr:uid="{00000000-0005-0000-0000-0000BB980000}"/>
    <cellStyle name="Normale_ cellular Costs" xfId="39659" xr:uid="{00000000-0005-0000-0000-0000BC980000}"/>
    <cellStyle name="normální_Business Plan MCE" xfId="39660" xr:uid="{00000000-0005-0000-0000-0000BD980000}"/>
    <cellStyle name="normбlnм_laroux" xfId="39661" xr:uid="{00000000-0005-0000-0000-0000BE980000}"/>
    <cellStyle name="Nota" xfId="835" xr:uid="{00000000-0005-0000-0000-0000BF980000}"/>
    <cellStyle name="Nota 10" xfId="39662" xr:uid="{00000000-0005-0000-0000-0000C0980000}"/>
    <cellStyle name="Nota 2" xfId="1080" xr:uid="{00000000-0005-0000-0000-0000C1980000}"/>
    <cellStyle name="Nota 2 2" xfId="1939" xr:uid="{00000000-0005-0000-0000-0000C2980000}"/>
    <cellStyle name="Nota 2 2 2" xfId="2559" xr:uid="{00000000-0005-0000-0000-0000C3980000}"/>
    <cellStyle name="Nota 2 2 3" xfId="2669" xr:uid="{00000000-0005-0000-0000-0000C4980000}"/>
    <cellStyle name="Nota 2 2 4" xfId="2683" xr:uid="{00000000-0005-0000-0000-0000C5980000}"/>
    <cellStyle name="Nota 2 3" xfId="2441" xr:uid="{00000000-0005-0000-0000-0000C6980000}"/>
    <cellStyle name="Nota 2 3 2" xfId="2643" xr:uid="{00000000-0005-0000-0000-0000C7980000}"/>
    <cellStyle name="Nota 2 3 3" xfId="2379" xr:uid="{00000000-0005-0000-0000-0000C8980000}"/>
    <cellStyle name="Nota 2 4" xfId="2246" xr:uid="{00000000-0005-0000-0000-0000C9980000}"/>
    <cellStyle name="Nota 2 5" xfId="2206" xr:uid="{00000000-0005-0000-0000-0000CA980000}"/>
    <cellStyle name="Nota 3" xfId="1774" xr:uid="{00000000-0005-0000-0000-0000CB980000}"/>
    <cellStyle name="Nota 3 2" xfId="1875" xr:uid="{00000000-0005-0000-0000-0000CC980000}"/>
    <cellStyle name="Nota 3 2 2" xfId="2064" xr:uid="{00000000-0005-0000-0000-0000CD980000}"/>
    <cellStyle name="Nota 3 2 2 2" xfId="2560" xr:uid="{00000000-0005-0000-0000-0000CE980000}"/>
    <cellStyle name="Nota 3 2 2 3" xfId="2670" xr:uid="{00000000-0005-0000-0000-0000CF980000}"/>
    <cellStyle name="Nota 3 2 2 4" xfId="2684" xr:uid="{00000000-0005-0000-0000-0000D0980000}"/>
    <cellStyle name="Nota 3 2 3" xfId="2442" xr:uid="{00000000-0005-0000-0000-0000D1980000}"/>
    <cellStyle name="Nota 3 2 3 2" xfId="2644" xr:uid="{00000000-0005-0000-0000-0000D2980000}"/>
    <cellStyle name="Nota 3 2 3 3" xfId="2232" xr:uid="{00000000-0005-0000-0000-0000D3980000}"/>
    <cellStyle name="Nota 3 2 4" xfId="2400" xr:uid="{00000000-0005-0000-0000-0000D4980000}"/>
    <cellStyle name="Nota 3 2 5" xfId="2326" xr:uid="{00000000-0005-0000-0000-0000D5980000}"/>
    <cellStyle name="Nota 3 3" xfId="2010" xr:uid="{00000000-0005-0000-0000-0000D6980000}"/>
    <cellStyle name="Nota 3 4" xfId="2079" xr:uid="{00000000-0005-0000-0000-0000D7980000}"/>
    <cellStyle name="Nota 3 5" xfId="2137" xr:uid="{00000000-0005-0000-0000-0000D8980000}"/>
    <cellStyle name="Nota 3 6" xfId="2397" xr:uid="{00000000-0005-0000-0000-0000D9980000}"/>
    <cellStyle name="Nota 4" xfId="1821" xr:uid="{00000000-0005-0000-0000-0000DA980000}"/>
    <cellStyle name="Nota 4 2" xfId="2029" xr:uid="{00000000-0005-0000-0000-0000DB980000}"/>
    <cellStyle name="Nota 4 2 2" xfId="2561" xr:uid="{00000000-0005-0000-0000-0000DC980000}"/>
    <cellStyle name="Nota 4 2 3" xfId="2671" xr:uid="{00000000-0005-0000-0000-0000DD980000}"/>
    <cellStyle name="Nota 4 2 4" xfId="2685" xr:uid="{00000000-0005-0000-0000-0000DE980000}"/>
    <cellStyle name="Nota 4 3" xfId="2443" xr:uid="{00000000-0005-0000-0000-0000DF980000}"/>
    <cellStyle name="Nota 4 3 2" xfId="2645" xr:uid="{00000000-0005-0000-0000-0000E0980000}"/>
    <cellStyle name="Nota 4 3 3" xfId="2192" xr:uid="{00000000-0005-0000-0000-0000E1980000}"/>
    <cellStyle name="Nota 4 4" xfId="2378" xr:uid="{00000000-0005-0000-0000-0000E2980000}"/>
    <cellStyle name="Nota 4 5" xfId="2298" xr:uid="{00000000-0005-0000-0000-0000E3980000}"/>
    <cellStyle name="Nota 5" xfId="1913" xr:uid="{00000000-0005-0000-0000-0000E4980000}"/>
    <cellStyle name="Nota 5 2" xfId="2562" xr:uid="{00000000-0005-0000-0000-0000E5980000}"/>
    <cellStyle name="Nota 5 3" xfId="2672" xr:uid="{00000000-0005-0000-0000-0000E6980000}"/>
    <cellStyle name="Nota 5 4" xfId="2686" xr:uid="{00000000-0005-0000-0000-0000E7980000}"/>
    <cellStyle name="Nota 6" xfId="2210" xr:uid="{00000000-0005-0000-0000-0000E8980000}"/>
    <cellStyle name="Nota 7" xfId="2200" xr:uid="{00000000-0005-0000-0000-0000E9980000}"/>
    <cellStyle name="Nota 8" xfId="39663" xr:uid="{00000000-0005-0000-0000-0000EA980000}"/>
    <cellStyle name="Nota 9" xfId="39664" xr:uid="{00000000-0005-0000-0000-0000EB980000}"/>
    <cellStyle name="Notas" xfId="1081" xr:uid="{00000000-0005-0000-0000-0000EC980000}"/>
    <cellStyle name="Notas 10" xfId="39665" xr:uid="{00000000-0005-0000-0000-0000ED980000}"/>
    <cellStyle name="Notas 11" xfId="39666" xr:uid="{00000000-0005-0000-0000-0000EE980000}"/>
    <cellStyle name="Notas 12" xfId="39667" xr:uid="{00000000-0005-0000-0000-0000EF980000}"/>
    <cellStyle name="Notas 13" xfId="39668" xr:uid="{00000000-0005-0000-0000-0000F0980000}"/>
    <cellStyle name="Notas 14" xfId="39669" xr:uid="{00000000-0005-0000-0000-0000F1980000}"/>
    <cellStyle name="Notas 15" xfId="39670" xr:uid="{00000000-0005-0000-0000-0000F2980000}"/>
    <cellStyle name="Notas 16" xfId="39671" xr:uid="{00000000-0005-0000-0000-0000F3980000}"/>
    <cellStyle name="Notas 17" xfId="39672" xr:uid="{00000000-0005-0000-0000-0000F4980000}"/>
    <cellStyle name="Notas 18" xfId="39673" xr:uid="{00000000-0005-0000-0000-0000F5980000}"/>
    <cellStyle name="Notas 19" xfId="39674" xr:uid="{00000000-0005-0000-0000-0000F6980000}"/>
    <cellStyle name="Notas 2" xfId="1082" xr:uid="{00000000-0005-0000-0000-0000F7980000}"/>
    <cellStyle name="Notas 2 2" xfId="1941" xr:uid="{00000000-0005-0000-0000-0000F8980000}"/>
    <cellStyle name="Notas 2 2 2" xfId="2563" xr:uid="{00000000-0005-0000-0000-0000F9980000}"/>
    <cellStyle name="Notas 2 2 3" xfId="2673" xr:uid="{00000000-0005-0000-0000-0000FA980000}"/>
    <cellStyle name="Notas 2 2 4" xfId="2687" xr:uid="{00000000-0005-0000-0000-0000FB980000}"/>
    <cellStyle name="Notas 2 3" xfId="2445" xr:uid="{00000000-0005-0000-0000-0000FC980000}"/>
    <cellStyle name="Notas 2 3 2" xfId="2647" xr:uid="{00000000-0005-0000-0000-0000FD980000}"/>
    <cellStyle name="Notas 2 3 3" xfId="2165" xr:uid="{00000000-0005-0000-0000-0000FE980000}"/>
    <cellStyle name="Notas 2 4" xfId="2248" xr:uid="{00000000-0005-0000-0000-0000FF980000}"/>
    <cellStyle name="Notas 2 5" xfId="2331" xr:uid="{00000000-0005-0000-0000-000000990000}"/>
    <cellStyle name="Notas 20" xfId="39675" xr:uid="{00000000-0005-0000-0000-000001990000}"/>
    <cellStyle name="Notas 21" xfId="39676" xr:uid="{00000000-0005-0000-0000-000002990000}"/>
    <cellStyle name="Notas 22" xfId="39677" xr:uid="{00000000-0005-0000-0000-000003990000}"/>
    <cellStyle name="Notas 23" xfId="39678" xr:uid="{00000000-0005-0000-0000-000004990000}"/>
    <cellStyle name="Notas 24" xfId="39679" xr:uid="{00000000-0005-0000-0000-000005990000}"/>
    <cellStyle name="Notas 25" xfId="39680" xr:uid="{00000000-0005-0000-0000-000006990000}"/>
    <cellStyle name="Notas 3" xfId="1083" xr:uid="{00000000-0005-0000-0000-000007990000}"/>
    <cellStyle name="Notas 3 2" xfId="1942" xr:uid="{00000000-0005-0000-0000-000008990000}"/>
    <cellStyle name="Notas 3 2 2" xfId="2564" xr:uid="{00000000-0005-0000-0000-000009990000}"/>
    <cellStyle name="Notas 3 2 3" xfId="2674" xr:uid="{00000000-0005-0000-0000-00000A990000}"/>
    <cellStyle name="Notas 3 2 4" xfId="2688" xr:uid="{00000000-0005-0000-0000-00000B990000}"/>
    <cellStyle name="Notas 3 3" xfId="2446" xr:uid="{00000000-0005-0000-0000-00000C990000}"/>
    <cellStyle name="Notas 3 3 2" xfId="2648" xr:uid="{00000000-0005-0000-0000-00000D990000}"/>
    <cellStyle name="Notas 3 3 3" xfId="2234" xr:uid="{00000000-0005-0000-0000-00000E990000}"/>
    <cellStyle name="Notas 3 4" xfId="2249" xr:uid="{00000000-0005-0000-0000-00000F990000}"/>
    <cellStyle name="Notas 3 5" xfId="2335" xr:uid="{00000000-0005-0000-0000-000010990000}"/>
    <cellStyle name="Notas 4" xfId="1084" xr:uid="{00000000-0005-0000-0000-000011990000}"/>
    <cellStyle name="Notas 4 2" xfId="1943" xr:uid="{00000000-0005-0000-0000-000012990000}"/>
    <cellStyle name="Notas 4 2 2" xfId="2565" xr:uid="{00000000-0005-0000-0000-000013990000}"/>
    <cellStyle name="Notas 4 2 3" xfId="2675" xr:uid="{00000000-0005-0000-0000-000014990000}"/>
    <cellStyle name="Notas 4 2 4" xfId="2689" xr:uid="{00000000-0005-0000-0000-000015990000}"/>
    <cellStyle name="Notas 4 3" xfId="2447" xr:uid="{00000000-0005-0000-0000-000016990000}"/>
    <cellStyle name="Notas 4 3 2" xfId="2649" xr:uid="{00000000-0005-0000-0000-000017990000}"/>
    <cellStyle name="Notas 4 3 3" xfId="2276" xr:uid="{00000000-0005-0000-0000-000018990000}"/>
    <cellStyle name="Notas 4 4" xfId="2250" xr:uid="{00000000-0005-0000-0000-000019990000}"/>
    <cellStyle name="Notas 4 5" xfId="2208" xr:uid="{00000000-0005-0000-0000-00001A990000}"/>
    <cellStyle name="Notas 5" xfId="1940" xr:uid="{00000000-0005-0000-0000-00001B990000}"/>
    <cellStyle name="Notas 5 2" xfId="2566" xr:uid="{00000000-0005-0000-0000-00001C990000}"/>
    <cellStyle name="Notas 5 3" xfId="2676" xr:uid="{00000000-0005-0000-0000-00001D990000}"/>
    <cellStyle name="Notas 5 4" xfId="2690" xr:uid="{00000000-0005-0000-0000-00001E990000}"/>
    <cellStyle name="Notas 6" xfId="2444" xr:uid="{00000000-0005-0000-0000-00001F990000}"/>
    <cellStyle name="Notas 6 2" xfId="2646" xr:uid="{00000000-0005-0000-0000-000020990000}"/>
    <cellStyle name="Notas 6 3" xfId="2233" xr:uid="{00000000-0005-0000-0000-000021990000}"/>
    <cellStyle name="Notas 7" xfId="2247" xr:uid="{00000000-0005-0000-0000-000022990000}"/>
    <cellStyle name="Notas 8" xfId="2207" xr:uid="{00000000-0005-0000-0000-000023990000}"/>
    <cellStyle name="Notas 9" xfId="39681" xr:uid="{00000000-0005-0000-0000-000024990000}"/>
    <cellStyle name="Note" xfId="836" xr:uid="{00000000-0005-0000-0000-000025990000}"/>
    <cellStyle name="Note 2" xfId="1085" xr:uid="{00000000-0005-0000-0000-000026990000}"/>
    <cellStyle name="Note 2 2" xfId="1944" xr:uid="{00000000-0005-0000-0000-000027990000}"/>
    <cellStyle name="Note 2 2 2" xfId="2567" xr:uid="{00000000-0005-0000-0000-000028990000}"/>
    <cellStyle name="Note 2 2 3" xfId="2677" xr:uid="{00000000-0005-0000-0000-000029990000}"/>
    <cellStyle name="Note 2 2 4" xfId="2691" xr:uid="{00000000-0005-0000-0000-00002A990000}"/>
    <cellStyle name="Note 2 3" xfId="2449" xr:uid="{00000000-0005-0000-0000-00002B990000}"/>
    <cellStyle name="Note 2 3 2" xfId="2651" xr:uid="{00000000-0005-0000-0000-00002C990000}"/>
    <cellStyle name="Note 2 3 3" xfId="2277" xr:uid="{00000000-0005-0000-0000-00002D990000}"/>
    <cellStyle name="Note 2 4" xfId="2251" xr:uid="{00000000-0005-0000-0000-00002E990000}"/>
    <cellStyle name="Note 2 5" xfId="2243" xr:uid="{00000000-0005-0000-0000-00002F990000}"/>
    <cellStyle name="Note 3" xfId="1086" xr:uid="{00000000-0005-0000-0000-000030990000}"/>
    <cellStyle name="Note 3 2" xfId="1945" xr:uid="{00000000-0005-0000-0000-000031990000}"/>
    <cellStyle name="Note 3 2 2" xfId="2568" xr:uid="{00000000-0005-0000-0000-000032990000}"/>
    <cellStyle name="Note 3 2 3" xfId="2678" xr:uid="{00000000-0005-0000-0000-000033990000}"/>
    <cellStyle name="Note 3 2 4" xfId="2692" xr:uid="{00000000-0005-0000-0000-000034990000}"/>
    <cellStyle name="Note 3 3" xfId="2450" xr:uid="{00000000-0005-0000-0000-000035990000}"/>
    <cellStyle name="Note 3 3 2" xfId="2652" xr:uid="{00000000-0005-0000-0000-000036990000}"/>
    <cellStyle name="Note 3 3 3" xfId="2193" xr:uid="{00000000-0005-0000-0000-000037990000}"/>
    <cellStyle name="Note 3 4" xfId="2252" xr:uid="{00000000-0005-0000-0000-000038990000}"/>
    <cellStyle name="Note 3 5" xfId="2171" xr:uid="{00000000-0005-0000-0000-000039990000}"/>
    <cellStyle name="Note 4" xfId="1087" xr:uid="{00000000-0005-0000-0000-00003A990000}"/>
    <cellStyle name="Note 4 2" xfId="1946" xr:uid="{00000000-0005-0000-0000-00003B990000}"/>
    <cellStyle name="Note 4 2 2" xfId="2569" xr:uid="{00000000-0005-0000-0000-00003C990000}"/>
    <cellStyle name="Note 4 2 3" xfId="2679" xr:uid="{00000000-0005-0000-0000-00003D990000}"/>
    <cellStyle name="Note 4 2 4" xfId="2693" xr:uid="{00000000-0005-0000-0000-00003E990000}"/>
    <cellStyle name="Note 4 3" xfId="2451" xr:uid="{00000000-0005-0000-0000-00003F990000}"/>
    <cellStyle name="Note 4 3 2" xfId="2653" xr:uid="{00000000-0005-0000-0000-000040990000}"/>
    <cellStyle name="Note 4 3 3" xfId="2278" xr:uid="{00000000-0005-0000-0000-000041990000}"/>
    <cellStyle name="Note 4 4" xfId="2253" xr:uid="{00000000-0005-0000-0000-000042990000}"/>
    <cellStyle name="Note 4 5" xfId="2349" xr:uid="{00000000-0005-0000-0000-000043990000}"/>
    <cellStyle name="Note 5" xfId="1807" xr:uid="{00000000-0005-0000-0000-000044990000}"/>
    <cellStyle name="Note 5 2" xfId="2020" xr:uid="{00000000-0005-0000-0000-000045990000}"/>
    <cellStyle name="Note 5 2 2" xfId="2570" xr:uid="{00000000-0005-0000-0000-000046990000}"/>
    <cellStyle name="Note 5 2 3" xfId="2680" xr:uid="{00000000-0005-0000-0000-000047990000}"/>
    <cellStyle name="Note 5 2 4" xfId="2694" xr:uid="{00000000-0005-0000-0000-000048990000}"/>
    <cellStyle name="Note 5 3" xfId="2452" xr:uid="{00000000-0005-0000-0000-000049990000}"/>
    <cellStyle name="Note 5 3 2" xfId="2654" xr:uid="{00000000-0005-0000-0000-00004A990000}"/>
    <cellStyle name="Note 5 3 3" xfId="2194" xr:uid="{00000000-0005-0000-0000-00004B990000}"/>
    <cellStyle name="Note 5 4" xfId="2372" xr:uid="{00000000-0005-0000-0000-00004C990000}"/>
    <cellStyle name="Note 5 5" xfId="2268" xr:uid="{00000000-0005-0000-0000-00004D990000}"/>
    <cellStyle name="Note 6" xfId="1914" xr:uid="{00000000-0005-0000-0000-00004E990000}"/>
    <cellStyle name="Note 6 2" xfId="2571" xr:uid="{00000000-0005-0000-0000-00004F990000}"/>
    <cellStyle name="Note 6 3" xfId="2681" xr:uid="{00000000-0005-0000-0000-000050990000}"/>
    <cellStyle name="Note 6 4" xfId="2695" xr:uid="{00000000-0005-0000-0000-000051990000}"/>
    <cellStyle name="Note 7" xfId="2448" xr:uid="{00000000-0005-0000-0000-000052990000}"/>
    <cellStyle name="Note 7 2" xfId="2650" xr:uid="{00000000-0005-0000-0000-000053990000}"/>
    <cellStyle name="Note 7 3" xfId="2303" xr:uid="{00000000-0005-0000-0000-000054990000}"/>
    <cellStyle name="Note 8" xfId="2211" xr:uid="{00000000-0005-0000-0000-000055990000}"/>
    <cellStyle name="Note 9" xfId="2282" xr:uid="{00000000-0005-0000-0000-000056990000}"/>
    <cellStyle name="O" xfId="39682" xr:uid="{00000000-0005-0000-0000-000057990000}"/>
    <cellStyle name="Œ…‹æØ‚è [0.00]_laroux" xfId="39683" xr:uid="{00000000-0005-0000-0000-000058990000}"/>
    <cellStyle name="Œ…‹æØ‚è_laroux" xfId="39684" xr:uid="{00000000-0005-0000-0000-000059990000}"/>
    <cellStyle name="Output" xfId="837" xr:uid="{00000000-0005-0000-0000-00005A990000}"/>
    <cellStyle name="Output 2" xfId="1808" xr:uid="{00000000-0005-0000-0000-00005B990000}"/>
    <cellStyle name="Output 2 2" xfId="2021" xr:uid="{00000000-0005-0000-0000-00005C990000}"/>
    <cellStyle name="Output 2 3" xfId="2083" xr:uid="{00000000-0005-0000-0000-00005D990000}"/>
    <cellStyle name="Output 2 4" xfId="2280" xr:uid="{00000000-0005-0000-0000-00005E990000}"/>
    <cellStyle name="Output 2 5" xfId="2181" xr:uid="{00000000-0005-0000-0000-00005F990000}"/>
    <cellStyle name="Output 3" xfId="1915" xr:uid="{00000000-0005-0000-0000-000060990000}"/>
    <cellStyle name="Output 4" xfId="2139" xr:uid="{00000000-0005-0000-0000-000061990000}"/>
    <cellStyle name="Output Line Items" xfId="39685" xr:uid="{00000000-0005-0000-0000-000062990000}"/>
    <cellStyle name="Page Number" xfId="39686" xr:uid="{00000000-0005-0000-0000-000063990000}"/>
    <cellStyle name="paint" xfId="838" xr:uid="{00000000-0005-0000-0000-000064990000}"/>
    <cellStyle name="pb_page_heading_LS" xfId="39687" xr:uid="{00000000-0005-0000-0000-000065990000}"/>
    <cellStyle name="Percen - Estilo1" xfId="39688" xr:uid="{00000000-0005-0000-0000-000066990000}"/>
    <cellStyle name="Percen - Estilo2" xfId="39689" xr:uid="{00000000-0005-0000-0000-000067990000}"/>
    <cellStyle name="Percent ()" xfId="839" xr:uid="{00000000-0005-0000-0000-000068990000}"/>
    <cellStyle name="Percent () 2" xfId="1088" xr:uid="{00000000-0005-0000-0000-000069990000}"/>
    <cellStyle name="Percent () 2 2" xfId="1850" xr:uid="{00000000-0005-0000-0000-00006A990000}"/>
    <cellStyle name="Percent () 3" xfId="1822" xr:uid="{00000000-0005-0000-0000-00006B990000}"/>
    <cellStyle name="Percent () 3 2" xfId="39690" xr:uid="{00000000-0005-0000-0000-00006C990000}"/>
    <cellStyle name="Percent (0%)" xfId="39691" xr:uid="{00000000-0005-0000-0000-00006D990000}"/>
    <cellStyle name="Percent (0)" xfId="840" xr:uid="{00000000-0005-0000-0000-00006E990000}"/>
    <cellStyle name="Percent (0) 2" xfId="39692" xr:uid="{00000000-0005-0000-0000-00006F990000}"/>
    <cellStyle name="Percent (0) 3" xfId="39693" xr:uid="{00000000-0005-0000-0000-000070990000}"/>
    <cellStyle name="Percent (0) 3 2" xfId="39694" xr:uid="{00000000-0005-0000-0000-000071990000}"/>
    <cellStyle name="Percent (0.0%)" xfId="39695" xr:uid="{00000000-0005-0000-0000-000072990000}"/>
    <cellStyle name="Percent (0.00%)" xfId="39696" xr:uid="{00000000-0005-0000-0000-000073990000}"/>
    <cellStyle name="Percent (1)" xfId="841" xr:uid="{00000000-0005-0000-0000-000074990000}"/>
    <cellStyle name="Percent (1) 2" xfId="39697" xr:uid="{00000000-0005-0000-0000-000075990000}"/>
    <cellStyle name="Percent (1) 3" xfId="39698" xr:uid="{00000000-0005-0000-0000-000076990000}"/>
    <cellStyle name="Percent (1) 3 2" xfId="39699" xr:uid="{00000000-0005-0000-0000-000077990000}"/>
    <cellStyle name="Percent [0]" xfId="842" xr:uid="{00000000-0005-0000-0000-000078990000}"/>
    <cellStyle name="Percent [0] 2" xfId="39700" xr:uid="{00000000-0005-0000-0000-000079990000}"/>
    <cellStyle name="Percent [0] 3" xfId="39701" xr:uid="{00000000-0005-0000-0000-00007A990000}"/>
    <cellStyle name="Percent [0] 3 2" xfId="39702" xr:uid="{00000000-0005-0000-0000-00007B990000}"/>
    <cellStyle name="Percent [00]" xfId="843" xr:uid="{00000000-0005-0000-0000-00007C990000}"/>
    <cellStyle name="Percent [00] 2" xfId="1089" xr:uid="{00000000-0005-0000-0000-00007D990000}"/>
    <cellStyle name="Percent [00] 3" xfId="39703" xr:uid="{00000000-0005-0000-0000-00007E990000}"/>
    <cellStyle name="Percent [2]" xfId="844" xr:uid="{00000000-0005-0000-0000-00007F990000}"/>
    <cellStyle name="Percent [2] 2" xfId="1090" xr:uid="{00000000-0005-0000-0000-000080990000}"/>
    <cellStyle name="Percent [2] 2 2" xfId="39704" xr:uid="{00000000-0005-0000-0000-000081990000}"/>
    <cellStyle name="Percent [2] 3" xfId="1091" xr:uid="{00000000-0005-0000-0000-000082990000}"/>
    <cellStyle name="Percent [2] 4" xfId="1092" xr:uid="{00000000-0005-0000-0000-000083990000}"/>
    <cellStyle name="Percent [2] 4 2" xfId="39705" xr:uid="{00000000-0005-0000-0000-000084990000}"/>
    <cellStyle name="Percent 1" xfId="845" xr:uid="{00000000-0005-0000-0000-000085990000}"/>
    <cellStyle name="Percent 1 2" xfId="39706" xr:uid="{00000000-0005-0000-0000-000086990000}"/>
    <cellStyle name="Percent 1 3" xfId="39707" xr:uid="{00000000-0005-0000-0000-000087990000}"/>
    <cellStyle name="Percent 1 3 2" xfId="39708" xr:uid="{00000000-0005-0000-0000-000088990000}"/>
    <cellStyle name="Percent 2" xfId="846" xr:uid="{00000000-0005-0000-0000-000089990000}"/>
    <cellStyle name="Percent 2 2" xfId="1093" xr:uid="{00000000-0005-0000-0000-00008A990000}"/>
    <cellStyle name="Percent 2 3" xfId="39709" xr:uid="{00000000-0005-0000-0000-00008B990000}"/>
    <cellStyle name="Percent 2 3 2" xfId="39710" xr:uid="{00000000-0005-0000-0000-00008C990000}"/>
    <cellStyle name="Percent 3" xfId="1094" xr:uid="{00000000-0005-0000-0000-00008D990000}"/>
    <cellStyle name="Percent 3 2" xfId="1851" xr:uid="{00000000-0005-0000-0000-00008E990000}"/>
    <cellStyle name="Percent 3 2 2" xfId="2047" xr:uid="{00000000-0005-0000-0000-00008F990000}"/>
    <cellStyle name="Percent 3 2 2 2" xfId="2572" xr:uid="{00000000-0005-0000-0000-000090990000}"/>
    <cellStyle name="Percent 3 2 2 3" xfId="43366" xr:uid="{00000000-0005-0000-0000-000091990000}"/>
    <cellStyle name="Percent 3 2 3" xfId="2573" xr:uid="{00000000-0005-0000-0000-000092990000}"/>
    <cellStyle name="Percent 3 2 3 2" xfId="43367" xr:uid="{00000000-0005-0000-0000-000093990000}"/>
    <cellStyle name="Percent 3 2 4" xfId="2454" xr:uid="{00000000-0005-0000-0000-000094990000}"/>
    <cellStyle name="Percent 3 2 5" xfId="2384" xr:uid="{00000000-0005-0000-0000-000095990000}"/>
    <cellStyle name="Percent 3 2 6" xfId="43259" xr:uid="{00000000-0005-0000-0000-000096990000}"/>
    <cellStyle name="Percent 3 3" xfId="1947" xr:uid="{00000000-0005-0000-0000-000097990000}"/>
    <cellStyle name="Percent 3 3 2" xfId="2574" xr:uid="{00000000-0005-0000-0000-000098990000}"/>
    <cellStyle name="Percent 3 3 3" xfId="43368" xr:uid="{00000000-0005-0000-0000-000099990000}"/>
    <cellStyle name="Percent 3 4" xfId="2575" xr:uid="{00000000-0005-0000-0000-00009A990000}"/>
    <cellStyle name="Percent 3 4 2" xfId="43369" xr:uid="{00000000-0005-0000-0000-00009B990000}"/>
    <cellStyle name="Percent 3 5" xfId="2453" xr:uid="{00000000-0005-0000-0000-00009C990000}"/>
    <cellStyle name="Percent 3 6" xfId="2254" xr:uid="{00000000-0005-0000-0000-00009D990000}"/>
    <cellStyle name="Percent 3 7" xfId="43258" xr:uid="{00000000-0005-0000-0000-00009E990000}"/>
    <cellStyle name="Percent 4" xfId="39711" xr:uid="{00000000-0005-0000-0000-00009F990000}"/>
    <cellStyle name="Percent 5" xfId="39712" xr:uid="{00000000-0005-0000-0000-0000A0990000}"/>
    <cellStyle name="Percent Black [0]" xfId="39713" xr:uid="{00000000-0005-0000-0000-0000A1990000}"/>
    <cellStyle name="Percent Black [1]" xfId="39714" xr:uid="{00000000-0005-0000-0000-0000A2990000}"/>
    <cellStyle name="Percent Black [2]" xfId="39715" xr:uid="{00000000-0005-0000-0000-0000A3990000}"/>
    <cellStyle name="Percent Blue [0]" xfId="39716" xr:uid="{00000000-0005-0000-0000-0000A4990000}"/>
    <cellStyle name="Percent Blue [1]" xfId="39717" xr:uid="{00000000-0005-0000-0000-0000A5990000}"/>
    <cellStyle name="Percent Blue [2]" xfId="39718" xr:uid="{00000000-0005-0000-0000-0000A6990000}"/>
    <cellStyle name="Percent_06_200403" xfId="39719" xr:uid="{00000000-0005-0000-0000-0000A7990000}"/>
    <cellStyle name="Percentual" xfId="39720" xr:uid="{00000000-0005-0000-0000-0000A8990000}"/>
    <cellStyle name="Ponto" xfId="39721" xr:uid="{00000000-0005-0000-0000-0000A9990000}"/>
    <cellStyle name="Porcentagem" xfId="847" builtinId="5"/>
    <cellStyle name="Porcentagem 10" xfId="1095" xr:uid="{00000000-0005-0000-0000-0000AB990000}"/>
    <cellStyle name="Porcentagem 11" xfId="1096" xr:uid="{00000000-0005-0000-0000-0000AC990000}"/>
    <cellStyle name="Porcentagem 12" xfId="1097" xr:uid="{00000000-0005-0000-0000-0000AD990000}"/>
    <cellStyle name="Porcentagem 13" xfId="1098" xr:uid="{00000000-0005-0000-0000-0000AE990000}"/>
    <cellStyle name="Porcentagem 14" xfId="1099" xr:uid="{00000000-0005-0000-0000-0000AF990000}"/>
    <cellStyle name="Porcentagem 15" xfId="1100" xr:uid="{00000000-0005-0000-0000-0000B0990000}"/>
    <cellStyle name="Porcentagem 16" xfId="1795" xr:uid="{00000000-0005-0000-0000-0000B1990000}"/>
    <cellStyle name="Porcentagem 16 2" xfId="1878" xr:uid="{00000000-0005-0000-0000-0000B2990000}"/>
    <cellStyle name="Porcentagem 16 2 2" xfId="2067" xr:uid="{00000000-0005-0000-0000-0000B3990000}"/>
    <cellStyle name="Porcentagem 16 2 2 2" xfId="2576" xr:uid="{00000000-0005-0000-0000-0000B4990000}"/>
    <cellStyle name="Porcentagem 16 2 2 3" xfId="43370" xr:uid="{00000000-0005-0000-0000-0000B5990000}"/>
    <cellStyle name="Porcentagem 16 2 3" xfId="2577" xr:uid="{00000000-0005-0000-0000-0000B6990000}"/>
    <cellStyle name="Porcentagem 16 2 3 2" xfId="43371" xr:uid="{00000000-0005-0000-0000-0000B7990000}"/>
    <cellStyle name="Porcentagem 16 2 4" xfId="2456" xr:uid="{00000000-0005-0000-0000-0000B8990000}"/>
    <cellStyle name="Porcentagem 16 2 5" xfId="2403" xr:uid="{00000000-0005-0000-0000-0000B9990000}"/>
    <cellStyle name="Porcentagem 16 2 6" xfId="43261" xr:uid="{00000000-0005-0000-0000-0000BA990000}"/>
    <cellStyle name="Porcentagem 16 3" xfId="2016" xr:uid="{00000000-0005-0000-0000-0000BB990000}"/>
    <cellStyle name="Porcentagem 16 3 2" xfId="2578" xr:uid="{00000000-0005-0000-0000-0000BC990000}"/>
    <cellStyle name="Porcentagem 16 3 3" xfId="43372" xr:uid="{00000000-0005-0000-0000-0000BD990000}"/>
    <cellStyle name="Porcentagem 16 4" xfId="2579" xr:uid="{00000000-0005-0000-0000-0000BE990000}"/>
    <cellStyle name="Porcentagem 16 4 2" xfId="43373" xr:uid="{00000000-0005-0000-0000-0000BF990000}"/>
    <cellStyle name="Porcentagem 16 5" xfId="2455" xr:uid="{00000000-0005-0000-0000-0000C0990000}"/>
    <cellStyle name="Porcentagem 16 6" xfId="2371" xr:uid="{00000000-0005-0000-0000-0000C1990000}"/>
    <cellStyle name="Porcentagem 16 7" xfId="43260" xr:uid="{00000000-0005-0000-0000-0000C2990000}"/>
    <cellStyle name="Porcentagem 17" xfId="43190" xr:uid="{00000000-0005-0000-0000-0000C3990000}"/>
    <cellStyle name="Porcentagem 18" xfId="43197" xr:uid="{00000000-0005-0000-0000-0000C4990000}"/>
    <cellStyle name="Porcentagem 19" xfId="43423" xr:uid="{00000000-0005-0000-0000-0000C5990000}"/>
    <cellStyle name="Porcentagem 2" xfId="848" xr:uid="{00000000-0005-0000-0000-0000C6990000}"/>
    <cellStyle name="Porcentagem 2 10" xfId="39722" xr:uid="{00000000-0005-0000-0000-0000C7990000}"/>
    <cellStyle name="Porcentagem 2 11" xfId="39723" xr:uid="{00000000-0005-0000-0000-0000C8990000}"/>
    <cellStyle name="Porcentagem 2 12" xfId="39724" xr:uid="{00000000-0005-0000-0000-0000C9990000}"/>
    <cellStyle name="Porcentagem 2 13" xfId="39725" xr:uid="{00000000-0005-0000-0000-0000CA990000}"/>
    <cellStyle name="Porcentagem 2 14" xfId="39726" xr:uid="{00000000-0005-0000-0000-0000CB990000}"/>
    <cellStyle name="Porcentagem 2 15" xfId="39727" xr:uid="{00000000-0005-0000-0000-0000CC990000}"/>
    <cellStyle name="Porcentagem 2 16" xfId="39728" xr:uid="{00000000-0005-0000-0000-0000CD990000}"/>
    <cellStyle name="Porcentagem 2 17" xfId="39729" xr:uid="{00000000-0005-0000-0000-0000CE990000}"/>
    <cellStyle name="Porcentagem 2 18" xfId="39730" xr:uid="{00000000-0005-0000-0000-0000CF990000}"/>
    <cellStyle name="Porcentagem 2 19" xfId="39731" xr:uid="{00000000-0005-0000-0000-0000D0990000}"/>
    <cellStyle name="Porcentagem 2 2" xfId="849" xr:uid="{00000000-0005-0000-0000-0000D1990000}"/>
    <cellStyle name="Porcentagem 2 2 2" xfId="1101" xr:uid="{00000000-0005-0000-0000-0000D2990000}"/>
    <cellStyle name="Porcentagem 2 2 2 2" xfId="39732" xr:uid="{00000000-0005-0000-0000-0000D3990000}"/>
    <cellStyle name="Porcentagem 2 2 3" xfId="1823" xr:uid="{00000000-0005-0000-0000-0000D4990000}"/>
    <cellStyle name="Porcentagem 2 20" xfId="39733" xr:uid="{00000000-0005-0000-0000-0000D5990000}"/>
    <cellStyle name="Porcentagem 2 21" xfId="39734" xr:uid="{00000000-0005-0000-0000-0000D6990000}"/>
    <cellStyle name="Porcentagem 2 22" xfId="39735" xr:uid="{00000000-0005-0000-0000-0000D7990000}"/>
    <cellStyle name="Porcentagem 2 23" xfId="39736" xr:uid="{00000000-0005-0000-0000-0000D8990000}"/>
    <cellStyle name="Porcentagem 2 24" xfId="39737" xr:uid="{00000000-0005-0000-0000-0000D9990000}"/>
    <cellStyle name="Porcentagem 2 25" xfId="39738" xr:uid="{00000000-0005-0000-0000-0000DA990000}"/>
    <cellStyle name="Porcentagem 2 26" xfId="39739" xr:uid="{00000000-0005-0000-0000-0000DB990000}"/>
    <cellStyle name="Porcentagem 2 27" xfId="39740" xr:uid="{00000000-0005-0000-0000-0000DC990000}"/>
    <cellStyle name="Porcentagem 2 28" xfId="39741" xr:uid="{00000000-0005-0000-0000-0000DD990000}"/>
    <cellStyle name="Porcentagem 2 29" xfId="39742" xr:uid="{00000000-0005-0000-0000-0000DE990000}"/>
    <cellStyle name="Porcentagem 2 3" xfId="1102" xr:uid="{00000000-0005-0000-0000-0000DF990000}"/>
    <cellStyle name="Porcentagem 2 3 2" xfId="39743" xr:uid="{00000000-0005-0000-0000-0000E0990000}"/>
    <cellStyle name="Porcentagem 2 3 3" xfId="39744" xr:uid="{00000000-0005-0000-0000-0000E1990000}"/>
    <cellStyle name="Porcentagem 2 30" xfId="39745" xr:uid="{00000000-0005-0000-0000-0000E2990000}"/>
    <cellStyle name="Porcentagem 2 31" xfId="39746" xr:uid="{00000000-0005-0000-0000-0000E3990000}"/>
    <cellStyle name="Porcentagem 2 32" xfId="39747" xr:uid="{00000000-0005-0000-0000-0000E4990000}"/>
    <cellStyle name="Porcentagem 2 33" xfId="39748" xr:uid="{00000000-0005-0000-0000-0000E5990000}"/>
    <cellStyle name="Porcentagem 2 34" xfId="39749" xr:uid="{00000000-0005-0000-0000-0000E6990000}"/>
    <cellStyle name="Porcentagem 2 35" xfId="39750" xr:uid="{00000000-0005-0000-0000-0000E7990000}"/>
    <cellStyle name="Porcentagem 2 36" xfId="39751" xr:uid="{00000000-0005-0000-0000-0000E8990000}"/>
    <cellStyle name="Porcentagem 2 37" xfId="39752" xr:uid="{00000000-0005-0000-0000-0000E9990000}"/>
    <cellStyle name="Porcentagem 2 38" xfId="39753" xr:uid="{00000000-0005-0000-0000-0000EA990000}"/>
    <cellStyle name="Porcentagem 2 39" xfId="39754" xr:uid="{00000000-0005-0000-0000-0000EB990000}"/>
    <cellStyle name="Porcentagem 2 4" xfId="1103" xr:uid="{00000000-0005-0000-0000-0000EC990000}"/>
    <cellStyle name="Porcentagem 2 40" xfId="39755" xr:uid="{00000000-0005-0000-0000-0000ED990000}"/>
    <cellStyle name="Porcentagem 2 41" xfId="39756" xr:uid="{00000000-0005-0000-0000-0000EE990000}"/>
    <cellStyle name="Porcentagem 2 42" xfId="39757" xr:uid="{00000000-0005-0000-0000-0000EF990000}"/>
    <cellStyle name="Porcentagem 2 43" xfId="39758" xr:uid="{00000000-0005-0000-0000-0000F0990000}"/>
    <cellStyle name="Porcentagem 2 44" xfId="39759" xr:uid="{00000000-0005-0000-0000-0000F1990000}"/>
    <cellStyle name="Porcentagem 2 45" xfId="39760" xr:uid="{00000000-0005-0000-0000-0000F2990000}"/>
    <cellStyle name="Porcentagem 2 46" xfId="39761" xr:uid="{00000000-0005-0000-0000-0000F3990000}"/>
    <cellStyle name="Porcentagem 2 5" xfId="1104" xr:uid="{00000000-0005-0000-0000-0000F4990000}"/>
    <cellStyle name="Porcentagem 2 6" xfId="1889" xr:uid="{00000000-0005-0000-0000-0000F5990000}"/>
    <cellStyle name="Porcentagem 2 7" xfId="39762" xr:uid="{00000000-0005-0000-0000-0000F6990000}"/>
    <cellStyle name="Porcentagem 2 8" xfId="39763" xr:uid="{00000000-0005-0000-0000-0000F7990000}"/>
    <cellStyle name="Porcentagem 2 9" xfId="39764" xr:uid="{00000000-0005-0000-0000-0000F8990000}"/>
    <cellStyle name="Porcentagem 20" xfId="43426" xr:uid="{00000000-0005-0000-0000-0000F9990000}"/>
    <cellStyle name="Porcentagem 21" xfId="43430" xr:uid="{EE12B06B-4286-42CD-8316-A1FB033399E0}"/>
    <cellStyle name="Porcentagem 3" xfId="906" xr:uid="{00000000-0005-0000-0000-0000FA990000}"/>
    <cellStyle name="Porcentagem 3 2" xfId="1105" xr:uid="{00000000-0005-0000-0000-0000FB990000}"/>
    <cellStyle name="Porcentagem 3 2 2" xfId="39765" xr:uid="{00000000-0005-0000-0000-0000FC990000}"/>
    <cellStyle name="Porcentagem 3 2 2 2" xfId="39766" xr:uid="{00000000-0005-0000-0000-0000FD990000}"/>
    <cellStyle name="Porcentagem 3 2 2 3" xfId="39767" xr:uid="{00000000-0005-0000-0000-0000FE990000}"/>
    <cellStyle name="Porcentagem 3 2 3" xfId="39768" xr:uid="{00000000-0005-0000-0000-0000FF990000}"/>
    <cellStyle name="Porcentagem 3 3" xfId="1106" xr:uid="{00000000-0005-0000-0000-0000009A0000}"/>
    <cellStyle name="Porcentagem 3 4" xfId="1107" xr:uid="{00000000-0005-0000-0000-0000019A0000}"/>
    <cellStyle name="Porcentagem 3 5" xfId="2580" xr:uid="{00000000-0005-0000-0000-0000029A0000}"/>
    <cellStyle name="Porcentagem 4" xfId="1108" xr:uid="{00000000-0005-0000-0000-0000039A0000}"/>
    <cellStyle name="Porcentagem 4 10" xfId="39769" xr:uid="{00000000-0005-0000-0000-0000049A0000}"/>
    <cellStyle name="Porcentagem 4 10 2" xfId="39770" xr:uid="{00000000-0005-0000-0000-0000059A0000}"/>
    <cellStyle name="Porcentagem 4 10 2 2" xfId="39771" xr:uid="{00000000-0005-0000-0000-0000069A0000}"/>
    <cellStyle name="Porcentagem 4 10 2 3" xfId="39772" xr:uid="{00000000-0005-0000-0000-0000079A0000}"/>
    <cellStyle name="Porcentagem 4 10 2 4" xfId="39773" xr:uid="{00000000-0005-0000-0000-0000089A0000}"/>
    <cellStyle name="Porcentagem 4 10 3" xfId="39774" xr:uid="{00000000-0005-0000-0000-0000099A0000}"/>
    <cellStyle name="Porcentagem 4 10 3 2" xfId="39775" xr:uid="{00000000-0005-0000-0000-00000A9A0000}"/>
    <cellStyle name="Porcentagem 4 10 3 3" xfId="39776" xr:uid="{00000000-0005-0000-0000-00000B9A0000}"/>
    <cellStyle name="Porcentagem 4 10 3 4" xfId="39777" xr:uid="{00000000-0005-0000-0000-00000C9A0000}"/>
    <cellStyle name="Porcentagem 4 10 4" xfId="39778" xr:uid="{00000000-0005-0000-0000-00000D9A0000}"/>
    <cellStyle name="Porcentagem 4 10 5" xfId="39779" xr:uid="{00000000-0005-0000-0000-00000E9A0000}"/>
    <cellStyle name="Porcentagem 4 10 6" xfId="39780" xr:uid="{00000000-0005-0000-0000-00000F9A0000}"/>
    <cellStyle name="Porcentagem 4 11" xfId="39781" xr:uid="{00000000-0005-0000-0000-0000109A0000}"/>
    <cellStyle name="Porcentagem 4 11 2" xfId="39782" xr:uid="{00000000-0005-0000-0000-0000119A0000}"/>
    <cellStyle name="Porcentagem 4 11 2 2" xfId="39783" xr:uid="{00000000-0005-0000-0000-0000129A0000}"/>
    <cellStyle name="Porcentagem 4 11 2 3" xfId="39784" xr:uid="{00000000-0005-0000-0000-0000139A0000}"/>
    <cellStyle name="Porcentagem 4 11 2 4" xfId="39785" xr:uid="{00000000-0005-0000-0000-0000149A0000}"/>
    <cellStyle name="Porcentagem 4 11 3" xfId="39786" xr:uid="{00000000-0005-0000-0000-0000159A0000}"/>
    <cellStyle name="Porcentagem 4 11 3 2" xfId="39787" xr:uid="{00000000-0005-0000-0000-0000169A0000}"/>
    <cellStyle name="Porcentagem 4 11 3 3" xfId="39788" xr:uid="{00000000-0005-0000-0000-0000179A0000}"/>
    <cellStyle name="Porcentagem 4 11 3 4" xfId="39789" xr:uid="{00000000-0005-0000-0000-0000189A0000}"/>
    <cellStyle name="Porcentagem 4 11 4" xfId="39790" xr:uid="{00000000-0005-0000-0000-0000199A0000}"/>
    <cellStyle name="Porcentagem 4 11 5" xfId="39791" xr:uid="{00000000-0005-0000-0000-00001A9A0000}"/>
    <cellStyle name="Porcentagem 4 11 6" xfId="39792" xr:uid="{00000000-0005-0000-0000-00001B9A0000}"/>
    <cellStyle name="Porcentagem 4 12" xfId="39793" xr:uid="{00000000-0005-0000-0000-00001C9A0000}"/>
    <cellStyle name="Porcentagem 4 12 2" xfId="39794" xr:uid="{00000000-0005-0000-0000-00001D9A0000}"/>
    <cellStyle name="Porcentagem 4 12 2 2" xfId="39795" xr:uid="{00000000-0005-0000-0000-00001E9A0000}"/>
    <cellStyle name="Porcentagem 4 12 2 3" xfId="39796" xr:uid="{00000000-0005-0000-0000-00001F9A0000}"/>
    <cellStyle name="Porcentagem 4 12 2 4" xfId="39797" xr:uid="{00000000-0005-0000-0000-0000209A0000}"/>
    <cellStyle name="Porcentagem 4 12 3" xfId="39798" xr:uid="{00000000-0005-0000-0000-0000219A0000}"/>
    <cellStyle name="Porcentagem 4 12 3 2" xfId="39799" xr:uid="{00000000-0005-0000-0000-0000229A0000}"/>
    <cellStyle name="Porcentagem 4 12 3 3" xfId="39800" xr:uid="{00000000-0005-0000-0000-0000239A0000}"/>
    <cellStyle name="Porcentagem 4 12 3 4" xfId="39801" xr:uid="{00000000-0005-0000-0000-0000249A0000}"/>
    <cellStyle name="Porcentagem 4 12 4" xfId="39802" xr:uid="{00000000-0005-0000-0000-0000259A0000}"/>
    <cellStyle name="Porcentagem 4 12 5" xfId="39803" xr:uid="{00000000-0005-0000-0000-0000269A0000}"/>
    <cellStyle name="Porcentagem 4 12 6" xfId="39804" xr:uid="{00000000-0005-0000-0000-0000279A0000}"/>
    <cellStyle name="Porcentagem 4 13" xfId="39805" xr:uid="{00000000-0005-0000-0000-0000289A0000}"/>
    <cellStyle name="Porcentagem 4 13 2" xfId="39806" xr:uid="{00000000-0005-0000-0000-0000299A0000}"/>
    <cellStyle name="Porcentagem 4 13 2 2" xfId="39807" xr:uid="{00000000-0005-0000-0000-00002A9A0000}"/>
    <cellStyle name="Porcentagem 4 13 2 3" xfId="39808" xr:uid="{00000000-0005-0000-0000-00002B9A0000}"/>
    <cellStyle name="Porcentagem 4 13 2 4" xfId="39809" xr:uid="{00000000-0005-0000-0000-00002C9A0000}"/>
    <cellStyle name="Porcentagem 4 13 3" xfId="39810" xr:uid="{00000000-0005-0000-0000-00002D9A0000}"/>
    <cellStyle name="Porcentagem 4 13 3 2" xfId="39811" xr:uid="{00000000-0005-0000-0000-00002E9A0000}"/>
    <cellStyle name="Porcentagem 4 13 3 3" xfId="39812" xr:uid="{00000000-0005-0000-0000-00002F9A0000}"/>
    <cellStyle name="Porcentagem 4 13 3 4" xfId="39813" xr:uid="{00000000-0005-0000-0000-0000309A0000}"/>
    <cellStyle name="Porcentagem 4 13 4" xfId="39814" xr:uid="{00000000-0005-0000-0000-0000319A0000}"/>
    <cellStyle name="Porcentagem 4 13 5" xfId="39815" xr:uid="{00000000-0005-0000-0000-0000329A0000}"/>
    <cellStyle name="Porcentagem 4 13 6" xfId="39816" xr:uid="{00000000-0005-0000-0000-0000339A0000}"/>
    <cellStyle name="Porcentagem 4 14" xfId="39817" xr:uid="{00000000-0005-0000-0000-0000349A0000}"/>
    <cellStyle name="Porcentagem 4 14 2" xfId="39818" xr:uid="{00000000-0005-0000-0000-0000359A0000}"/>
    <cellStyle name="Porcentagem 4 14 2 2" xfId="39819" xr:uid="{00000000-0005-0000-0000-0000369A0000}"/>
    <cellStyle name="Porcentagem 4 14 2 3" xfId="39820" xr:uid="{00000000-0005-0000-0000-0000379A0000}"/>
    <cellStyle name="Porcentagem 4 14 2 4" xfId="39821" xr:uid="{00000000-0005-0000-0000-0000389A0000}"/>
    <cellStyle name="Porcentagem 4 14 3" xfId="39822" xr:uid="{00000000-0005-0000-0000-0000399A0000}"/>
    <cellStyle name="Porcentagem 4 14 3 2" xfId="39823" xr:uid="{00000000-0005-0000-0000-00003A9A0000}"/>
    <cellStyle name="Porcentagem 4 14 3 3" xfId="39824" xr:uid="{00000000-0005-0000-0000-00003B9A0000}"/>
    <cellStyle name="Porcentagem 4 14 3 4" xfId="39825" xr:uid="{00000000-0005-0000-0000-00003C9A0000}"/>
    <cellStyle name="Porcentagem 4 14 4" xfId="39826" xr:uid="{00000000-0005-0000-0000-00003D9A0000}"/>
    <cellStyle name="Porcentagem 4 14 5" xfId="39827" xr:uid="{00000000-0005-0000-0000-00003E9A0000}"/>
    <cellStyle name="Porcentagem 4 14 6" xfId="39828" xr:uid="{00000000-0005-0000-0000-00003F9A0000}"/>
    <cellStyle name="Porcentagem 4 15" xfId="39829" xr:uid="{00000000-0005-0000-0000-0000409A0000}"/>
    <cellStyle name="Porcentagem 4 15 2" xfId="39830" xr:uid="{00000000-0005-0000-0000-0000419A0000}"/>
    <cellStyle name="Porcentagem 4 15 2 2" xfId="39831" xr:uid="{00000000-0005-0000-0000-0000429A0000}"/>
    <cellStyle name="Porcentagem 4 15 2 3" xfId="39832" xr:uid="{00000000-0005-0000-0000-0000439A0000}"/>
    <cellStyle name="Porcentagem 4 15 2 4" xfId="39833" xr:uid="{00000000-0005-0000-0000-0000449A0000}"/>
    <cellStyle name="Porcentagem 4 15 3" xfId="39834" xr:uid="{00000000-0005-0000-0000-0000459A0000}"/>
    <cellStyle name="Porcentagem 4 15 3 2" xfId="39835" xr:uid="{00000000-0005-0000-0000-0000469A0000}"/>
    <cellStyle name="Porcentagem 4 15 3 3" xfId="39836" xr:uid="{00000000-0005-0000-0000-0000479A0000}"/>
    <cellStyle name="Porcentagem 4 15 3 4" xfId="39837" xr:uid="{00000000-0005-0000-0000-0000489A0000}"/>
    <cellStyle name="Porcentagem 4 15 4" xfId="39838" xr:uid="{00000000-0005-0000-0000-0000499A0000}"/>
    <cellStyle name="Porcentagem 4 15 5" xfId="39839" xr:uid="{00000000-0005-0000-0000-00004A9A0000}"/>
    <cellStyle name="Porcentagem 4 15 6" xfId="39840" xr:uid="{00000000-0005-0000-0000-00004B9A0000}"/>
    <cellStyle name="Porcentagem 4 16" xfId="39841" xr:uid="{00000000-0005-0000-0000-00004C9A0000}"/>
    <cellStyle name="Porcentagem 4 16 2" xfId="39842" xr:uid="{00000000-0005-0000-0000-00004D9A0000}"/>
    <cellStyle name="Porcentagem 4 16 2 2" xfId="39843" xr:uid="{00000000-0005-0000-0000-00004E9A0000}"/>
    <cellStyle name="Porcentagem 4 16 2 3" xfId="39844" xr:uid="{00000000-0005-0000-0000-00004F9A0000}"/>
    <cellStyle name="Porcentagem 4 16 2 4" xfId="39845" xr:uid="{00000000-0005-0000-0000-0000509A0000}"/>
    <cellStyle name="Porcentagem 4 16 3" xfId="39846" xr:uid="{00000000-0005-0000-0000-0000519A0000}"/>
    <cellStyle name="Porcentagem 4 16 3 2" xfId="39847" xr:uid="{00000000-0005-0000-0000-0000529A0000}"/>
    <cellStyle name="Porcentagem 4 16 3 3" xfId="39848" xr:uid="{00000000-0005-0000-0000-0000539A0000}"/>
    <cellStyle name="Porcentagem 4 16 3 4" xfId="39849" xr:uid="{00000000-0005-0000-0000-0000549A0000}"/>
    <cellStyle name="Porcentagem 4 16 4" xfId="39850" xr:uid="{00000000-0005-0000-0000-0000559A0000}"/>
    <cellStyle name="Porcentagem 4 16 5" xfId="39851" xr:uid="{00000000-0005-0000-0000-0000569A0000}"/>
    <cellStyle name="Porcentagem 4 16 6" xfId="39852" xr:uid="{00000000-0005-0000-0000-0000579A0000}"/>
    <cellStyle name="Porcentagem 4 17" xfId="39853" xr:uid="{00000000-0005-0000-0000-0000589A0000}"/>
    <cellStyle name="Porcentagem 4 17 2" xfId="39854" xr:uid="{00000000-0005-0000-0000-0000599A0000}"/>
    <cellStyle name="Porcentagem 4 17 2 2" xfId="39855" xr:uid="{00000000-0005-0000-0000-00005A9A0000}"/>
    <cellStyle name="Porcentagem 4 17 2 3" xfId="39856" xr:uid="{00000000-0005-0000-0000-00005B9A0000}"/>
    <cellStyle name="Porcentagem 4 17 2 4" xfId="39857" xr:uid="{00000000-0005-0000-0000-00005C9A0000}"/>
    <cellStyle name="Porcentagem 4 17 3" xfId="39858" xr:uid="{00000000-0005-0000-0000-00005D9A0000}"/>
    <cellStyle name="Porcentagem 4 17 3 2" xfId="39859" xr:uid="{00000000-0005-0000-0000-00005E9A0000}"/>
    <cellStyle name="Porcentagem 4 17 3 3" xfId="39860" xr:uid="{00000000-0005-0000-0000-00005F9A0000}"/>
    <cellStyle name="Porcentagem 4 17 3 4" xfId="39861" xr:uid="{00000000-0005-0000-0000-0000609A0000}"/>
    <cellStyle name="Porcentagem 4 17 4" xfId="39862" xr:uid="{00000000-0005-0000-0000-0000619A0000}"/>
    <cellStyle name="Porcentagem 4 17 5" xfId="39863" xr:uid="{00000000-0005-0000-0000-0000629A0000}"/>
    <cellStyle name="Porcentagem 4 17 6" xfId="39864" xr:uid="{00000000-0005-0000-0000-0000639A0000}"/>
    <cellStyle name="Porcentagem 4 18" xfId="39865" xr:uid="{00000000-0005-0000-0000-0000649A0000}"/>
    <cellStyle name="Porcentagem 4 18 2" xfId="39866" xr:uid="{00000000-0005-0000-0000-0000659A0000}"/>
    <cellStyle name="Porcentagem 4 18 2 2" xfId="39867" xr:uid="{00000000-0005-0000-0000-0000669A0000}"/>
    <cellStyle name="Porcentagem 4 18 2 3" xfId="39868" xr:uid="{00000000-0005-0000-0000-0000679A0000}"/>
    <cellStyle name="Porcentagem 4 18 2 4" xfId="39869" xr:uid="{00000000-0005-0000-0000-0000689A0000}"/>
    <cellStyle name="Porcentagem 4 18 3" xfId="39870" xr:uid="{00000000-0005-0000-0000-0000699A0000}"/>
    <cellStyle name="Porcentagem 4 18 3 2" xfId="39871" xr:uid="{00000000-0005-0000-0000-00006A9A0000}"/>
    <cellStyle name="Porcentagem 4 18 3 3" xfId="39872" xr:uid="{00000000-0005-0000-0000-00006B9A0000}"/>
    <cellStyle name="Porcentagem 4 18 3 4" xfId="39873" xr:uid="{00000000-0005-0000-0000-00006C9A0000}"/>
    <cellStyle name="Porcentagem 4 18 4" xfId="39874" xr:uid="{00000000-0005-0000-0000-00006D9A0000}"/>
    <cellStyle name="Porcentagem 4 18 5" xfId="39875" xr:uid="{00000000-0005-0000-0000-00006E9A0000}"/>
    <cellStyle name="Porcentagem 4 18 6" xfId="39876" xr:uid="{00000000-0005-0000-0000-00006F9A0000}"/>
    <cellStyle name="Porcentagem 4 19" xfId="39877" xr:uid="{00000000-0005-0000-0000-0000709A0000}"/>
    <cellStyle name="Porcentagem 4 19 2" xfId="39878" xr:uid="{00000000-0005-0000-0000-0000719A0000}"/>
    <cellStyle name="Porcentagem 4 19 2 2" xfId="39879" xr:uid="{00000000-0005-0000-0000-0000729A0000}"/>
    <cellStyle name="Porcentagem 4 19 2 3" xfId="39880" xr:uid="{00000000-0005-0000-0000-0000739A0000}"/>
    <cellStyle name="Porcentagem 4 19 2 4" xfId="39881" xr:uid="{00000000-0005-0000-0000-0000749A0000}"/>
    <cellStyle name="Porcentagem 4 19 3" xfId="39882" xr:uid="{00000000-0005-0000-0000-0000759A0000}"/>
    <cellStyle name="Porcentagem 4 19 3 2" xfId="39883" xr:uid="{00000000-0005-0000-0000-0000769A0000}"/>
    <cellStyle name="Porcentagem 4 19 3 3" xfId="39884" xr:uid="{00000000-0005-0000-0000-0000779A0000}"/>
    <cellStyle name="Porcentagem 4 19 3 4" xfId="39885" xr:uid="{00000000-0005-0000-0000-0000789A0000}"/>
    <cellStyle name="Porcentagem 4 19 4" xfId="39886" xr:uid="{00000000-0005-0000-0000-0000799A0000}"/>
    <cellStyle name="Porcentagem 4 19 5" xfId="39887" xr:uid="{00000000-0005-0000-0000-00007A9A0000}"/>
    <cellStyle name="Porcentagem 4 19 6" xfId="39888" xr:uid="{00000000-0005-0000-0000-00007B9A0000}"/>
    <cellStyle name="Porcentagem 4 2" xfId="1109" xr:uid="{00000000-0005-0000-0000-00007C9A0000}"/>
    <cellStyle name="Porcentagem 4 2 10" xfId="39889" xr:uid="{00000000-0005-0000-0000-00007D9A0000}"/>
    <cellStyle name="Porcentagem 4 2 10 2" xfId="39890" xr:uid="{00000000-0005-0000-0000-00007E9A0000}"/>
    <cellStyle name="Porcentagem 4 2 10 2 2" xfId="39891" xr:uid="{00000000-0005-0000-0000-00007F9A0000}"/>
    <cellStyle name="Porcentagem 4 2 10 2 3" xfId="39892" xr:uid="{00000000-0005-0000-0000-0000809A0000}"/>
    <cellStyle name="Porcentagem 4 2 10 2 4" xfId="39893" xr:uid="{00000000-0005-0000-0000-0000819A0000}"/>
    <cellStyle name="Porcentagem 4 2 10 3" xfId="39894" xr:uid="{00000000-0005-0000-0000-0000829A0000}"/>
    <cellStyle name="Porcentagem 4 2 10 3 2" xfId="39895" xr:uid="{00000000-0005-0000-0000-0000839A0000}"/>
    <cellStyle name="Porcentagem 4 2 10 3 3" xfId="39896" xr:uid="{00000000-0005-0000-0000-0000849A0000}"/>
    <cellStyle name="Porcentagem 4 2 10 3 4" xfId="39897" xr:uid="{00000000-0005-0000-0000-0000859A0000}"/>
    <cellStyle name="Porcentagem 4 2 10 4" xfId="39898" xr:uid="{00000000-0005-0000-0000-0000869A0000}"/>
    <cellStyle name="Porcentagem 4 2 10 5" xfId="39899" xr:uid="{00000000-0005-0000-0000-0000879A0000}"/>
    <cellStyle name="Porcentagem 4 2 10 6" xfId="39900" xr:uid="{00000000-0005-0000-0000-0000889A0000}"/>
    <cellStyle name="Porcentagem 4 2 11" xfId="39901" xr:uid="{00000000-0005-0000-0000-0000899A0000}"/>
    <cellStyle name="Porcentagem 4 2 11 2" xfId="39902" xr:uid="{00000000-0005-0000-0000-00008A9A0000}"/>
    <cellStyle name="Porcentagem 4 2 11 2 2" xfId="39903" xr:uid="{00000000-0005-0000-0000-00008B9A0000}"/>
    <cellStyle name="Porcentagem 4 2 11 2 3" xfId="39904" xr:uid="{00000000-0005-0000-0000-00008C9A0000}"/>
    <cellStyle name="Porcentagem 4 2 11 2 4" xfId="39905" xr:uid="{00000000-0005-0000-0000-00008D9A0000}"/>
    <cellStyle name="Porcentagem 4 2 11 3" xfId="39906" xr:uid="{00000000-0005-0000-0000-00008E9A0000}"/>
    <cellStyle name="Porcentagem 4 2 11 3 2" xfId="39907" xr:uid="{00000000-0005-0000-0000-00008F9A0000}"/>
    <cellStyle name="Porcentagem 4 2 11 3 3" xfId="39908" xr:uid="{00000000-0005-0000-0000-0000909A0000}"/>
    <cellStyle name="Porcentagem 4 2 11 3 4" xfId="39909" xr:uid="{00000000-0005-0000-0000-0000919A0000}"/>
    <cellStyle name="Porcentagem 4 2 11 4" xfId="39910" xr:uid="{00000000-0005-0000-0000-0000929A0000}"/>
    <cellStyle name="Porcentagem 4 2 11 5" xfId="39911" xr:uid="{00000000-0005-0000-0000-0000939A0000}"/>
    <cellStyle name="Porcentagem 4 2 11 6" xfId="39912" xr:uid="{00000000-0005-0000-0000-0000949A0000}"/>
    <cellStyle name="Porcentagem 4 2 12" xfId="39913" xr:uid="{00000000-0005-0000-0000-0000959A0000}"/>
    <cellStyle name="Porcentagem 4 2 12 2" xfId="39914" xr:uid="{00000000-0005-0000-0000-0000969A0000}"/>
    <cellStyle name="Porcentagem 4 2 12 2 2" xfId="39915" xr:uid="{00000000-0005-0000-0000-0000979A0000}"/>
    <cellStyle name="Porcentagem 4 2 12 2 3" xfId="39916" xr:uid="{00000000-0005-0000-0000-0000989A0000}"/>
    <cellStyle name="Porcentagem 4 2 12 2 4" xfId="39917" xr:uid="{00000000-0005-0000-0000-0000999A0000}"/>
    <cellStyle name="Porcentagem 4 2 12 3" xfId="39918" xr:uid="{00000000-0005-0000-0000-00009A9A0000}"/>
    <cellStyle name="Porcentagem 4 2 12 3 2" xfId="39919" xr:uid="{00000000-0005-0000-0000-00009B9A0000}"/>
    <cellStyle name="Porcentagem 4 2 12 3 3" xfId="39920" xr:uid="{00000000-0005-0000-0000-00009C9A0000}"/>
    <cellStyle name="Porcentagem 4 2 12 3 4" xfId="39921" xr:uid="{00000000-0005-0000-0000-00009D9A0000}"/>
    <cellStyle name="Porcentagem 4 2 12 4" xfId="39922" xr:uid="{00000000-0005-0000-0000-00009E9A0000}"/>
    <cellStyle name="Porcentagem 4 2 12 5" xfId="39923" xr:uid="{00000000-0005-0000-0000-00009F9A0000}"/>
    <cellStyle name="Porcentagem 4 2 12 6" xfId="39924" xr:uid="{00000000-0005-0000-0000-0000A09A0000}"/>
    <cellStyle name="Porcentagem 4 2 13" xfId="39925" xr:uid="{00000000-0005-0000-0000-0000A19A0000}"/>
    <cellStyle name="Porcentagem 4 2 13 2" xfId="39926" xr:uid="{00000000-0005-0000-0000-0000A29A0000}"/>
    <cellStyle name="Porcentagem 4 2 13 2 2" xfId="39927" xr:uid="{00000000-0005-0000-0000-0000A39A0000}"/>
    <cellStyle name="Porcentagem 4 2 13 2 3" xfId="39928" xr:uid="{00000000-0005-0000-0000-0000A49A0000}"/>
    <cellStyle name="Porcentagem 4 2 13 2 4" xfId="39929" xr:uid="{00000000-0005-0000-0000-0000A59A0000}"/>
    <cellStyle name="Porcentagem 4 2 13 3" xfId="39930" xr:uid="{00000000-0005-0000-0000-0000A69A0000}"/>
    <cellStyle name="Porcentagem 4 2 13 3 2" xfId="39931" xr:uid="{00000000-0005-0000-0000-0000A79A0000}"/>
    <cellStyle name="Porcentagem 4 2 13 3 3" xfId="39932" xr:uid="{00000000-0005-0000-0000-0000A89A0000}"/>
    <cellStyle name="Porcentagem 4 2 13 3 4" xfId="39933" xr:uid="{00000000-0005-0000-0000-0000A99A0000}"/>
    <cellStyle name="Porcentagem 4 2 13 4" xfId="39934" xr:uid="{00000000-0005-0000-0000-0000AA9A0000}"/>
    <cellStyle name="Porcentagem 4 2 13 5" xfId="39935" xr:uid="{00000000-0005-0000-0000-0000AB9A0000}"/>
    <cellStyle name="Porcentagem 4 2 13 6" xfId="39936" xr:uid="{00000000-0005-0000-0000-0000AC9A0000}"/>
    <cellStyle name="Porcentagem 4 2 14" xfId="39937" xr:uid="{00000000-0005-0000-0000-0000AD9A0000}"/>
    <cellStyle name="Porcentagem 4 2 14 2" xfId="39938" xr:uid="{00000000-0005-0000-0000-0000AE9A0000}"/>
    <cellStyle name="Porcentagem 4 2 14 2 2" xfId="39939" xr:uid="{00000000-0005-0000-0000-0000AF9A0000}"/>
    <cellStyle name="Porcentagem 4 2 14 2 3" xfId="39940" xr:uid="{00000000-0005-0000-0000-0000B09A0000}"/>
    <cellStyle name="Porcentagem 4 2 14 2 4" xfId="39941" xr:uid="{00000000-0005-0000-0000-0000B19A0000}"/>
    <cellStyle name="Porcentagem 4 2 14 3" xfId="39942" xr:uid="{00000000-0005-0000-0000-0000B29A0000}"/>
    <cellStyle name="Porcentagem 4 2 14 3 2" xfId="39943" xr:uid="{00000000-0005-0000-0000-0000B39A0000}"/>
    <cellStyle name="Porcentagem 4 2 14 3 3" xfId="39944" xr:uid="{00000000-0005-0000-0000-0000B49A0000}"/>
    <cellStyle name="Porcentagem 4 2 14 3 4" xfId="39945" xr:uid="{00000000-0005-0000-0000-0000B59A0000}"/>
    <cellStyle name="Porcentagem 4 2 14 4" xfId="39946" xr:uid="{00000000-0005-0000-0000-0000B69A0000}"/>
    <cellStyle name="Porcentagem 4 2 14 5" xfId="39947" xr:uid="{00000000-0005-0000-0000-0000B79A0000}"/>
    <cellStyle name="Porcentagem 4 2 14 6" xfId="39948" xr:uid="{00000000-0005-0000-0000-0000B89A0000}"/>
    <cellStyle name="Porcentagem 4 2 15" xfId="39949" xr:uid="{00000000-0005-0000-0000-0000B99A0000}"/>
    <cellStyle name="Porcentagem 4 2 15 2" xfId="39950" xr:uid="{00000000-0005-0000-0000-0000BA9A0000}"/>
    <cellStyle name="Porcentagem 4 2 15 2 2" xfId="39951" xr:uid="{00000000-0005-0000-0000-0000BB9A0000}"/>
    <cellStyle name="Porcentagem 4 2 15 2 3" xfId="39952" xr:uid="{00000000-0005-0000-0000-0000BC9A0000}"/>
    <cellStyle name="Porcentagem 4 2 15 2 4" xfId="39953" xr:uid="{00000000-0005-0000-0000-0000BD9A0000}"/>
    <cellStyle name="Porcentagem 4 2 15 3" xfId="39954" xr:uid="{00000000-0005-0000-0000-0000BE9A0000}"/>
    <cellStyle name="Porcentagem 4 2 15 3 2" xfId="39955" xr:uid="{00000000-0005-0000-0000-0000BF9A0000}"/>
    <cellStyle name="Porcentagem 4 2 15 3 3" xfId="39956" xr:uid="{00000000-0005-0000-0000-0000C09A0000}"/>
    <cellStyle name="Porcentagem 4 2 15 3 4" xfId="39957" xr:uid="{00000000-0005-0000-0000-0000C19A0000}"/>
    <cellStyle name="Porcentagem 4 2 15 4" xfId="39958" xr:uid="{00000000-0005-0000-0000-0000C29A0000}"/>
    <cellStyle name="Porcentagem 4 2 15 5" xfId="39959" xr:uid="{00000000-0005-0000-0000-0000C39A0000}"/>
    <cellStyle name="Porcentagem 4 2 15 6" xfId="39960" xr:uid="{00000000-0005-0000-0000-0000C49A0000}"/>
    <cellStyle name="Porcentagem 4 2 16" xfId="39961" xr:uid="{00000000-0005-0000-0000-0000C59A0000}"/>
    <cellStyle name="Porcentagem 4 2 16 2" xfId="39962" xr:uid="{00000000-0005-0000-0000-0000C69A0000}"/>
    <cellStyle name="Porcentagem 4 2 16 2 2" xfId="39963" xr:uid="{00000000-0005-0000-0000-0000C79A0000}"/>
    <cellStyle name="Porcentagem 4 2 16 2 3" xfId="39964" xr:uid="{00000000-0005-0000-0000-0000C89A0000}"/>
    <cellStyle name="Porcentagem 4 2 16 2 4" xfId="39965" xr:uid="{00000000-0005-0000-0000-0000C99A0000}"/>
    <cellStyle name="Porcentagem 4 2 16 3" xfId="39966" xr:uid="{00000000-0005-0000-0000-0000CA9A0000}"/>
    <cellStyle name="Porcentagem 4 2 16 3 2" xfId="39967" xr:uid="{00000000-0005-0000-0000-0000CB9A0000}"/>
    <cellStyle name="Porcentagem 4 2 16 3 3" xfId="39968" xr:uid="{00000000-0005-0000-0000-0000CC9A0000}"/>
    <cellStyle name="Porcentagem 4 2 16 3 4" xfId="39969" xr:uid="{00000000-0005-0000-0000-0000CD9A0000}"/>
    <cellStyle name="Porcentagem 4 2 16 4" xfId="39970" xr:uid="{00000000-0005-0000-0000-0000CE9A0000}"/>
    <cellStyle name="Porcentagem 4 2 16 5" xfId="39971" xr:uid="{00000000-0005-0000-0000-0000CF9A0000}"/>
    <cellStyle name="Porcentagem 4 2 16 6" xfId="39972" xr:uid="{00000000-0005-0000-0000-0000D09A0000}"/>
    <cellStyle name="Porcentagem 4 2 17" xfId="39973" xr:uid="{00000000-0005-0000-0000-0000D19A0000}"/>
    <cellStyle name="Porcentagem 4 2 17 2" xfId="39974" xr:uid="{00000000-0005-0000-0000-0000D29A0000}"/>
    <cellStyle name="Porcentagem 4 2 17 2 2" xfId="39975" xr:uid="{00000000-0005-0000-0000-0000D39A0000}"/>
    <cellStyle name="Porcentagem 4 2 17 2 3" xfId="39976" xr:uid="{00000000-0005-0000-0000-0000D49A0000}"/>
    <cellStyle name="Porcentagem 4 2 17 2 4" xfId="39977" xr:uid="{00000000-0005-0000-0000-0000D59A0000}"/>
    <cellStyle name="Porcentagem 4 2 17 3" xfId="39978" xr:uid="{00000000-0005-0000-0000-0000D69A0000}"/>
    <cellStyle name="Porcentagem 4 2 17 3 2" xfId="39979" xr:uid="{00000000-0005-0000-0000-0000D79A0000}"/>
    <cellStyle name="Porcentagem 4 2 17 3 3" xfId="39980" xr:uid="{00000000-0005-0000-0000-0000D89A0000}"/>
    <cellStyle name="Porcentagem 4 2 17 3 4" xfId="39981" xr:uid="{00000000-0005-0000-0000-0000D99A0000}"/>
    <cellStyle name="Porcentagem 4 2 17 4" xfId="39982" xr:uid="{00000000-0005-0000-0000-0000DA9A0000}"/>
    <cellStyle name="Porcentagem 4 2 17 5" xfId="39983" xr:uid="{00000000-0005-0000-0000-0000DB9A0000}"/>
    <cellStyle name="Porcentagem 4 2 17 6" xfId="39984" xr:uid="{00000000-0005-0000-0000-0000DC9A0000}"/>
    <cellStyle name="Porcentagem 4 2 18" xfId="39985" xr:uid="{00000000-0005-0000-0000-0000DD9A0000}"/>
    <cellStyle name="Porcentagem 4 2 18 2" xfId="39986" xr:uid="{00000000-0005-0000-0000-0000DE9A0000}"/>
    <cellStyle name="Porcentagem 4 2 18 3" xfId="39987" xr:uid="{00000000-0005-0000-0000-0000DF9A0000}"/>
    <cellStyle name="Porcentagem 4 2 18 4" xfId="39988" xr:uid="{00000000-0005-0000-0000-0000E09A0000}"/>
    <cellStyle name="Porcentagem 4 2 19" xfId="39989" xr:uid="{00000000-0005-0000-0000-0000E19A0000}"/>
    <cellStyle name="Porcentagem 4 2 19 2" xfId="39990" xr:uid="{00000000-0005-0000-0000-0000E29A0000}"/>
    <cellStyle name="Porcentagem 4 2 19 3" xfId="39991" xr:uid="{00000000-0005-0000-0000-0000E39A0000}"/>
    <cellStyle name="Porcentagem 4 2 19 4" xfId="39992" xr:uid="{00000000-0005-0000-0000-0000E49A0000}"/>
    <cellStyle name="Porcentagem 4 2 2" xfId="39993" xr:uid="{00000000-0005-0000-0000-0000E59A0000}"/>
    <cellStyle name="Porcentagem 4 2 2 2" xfId="39994" xr:uid="{00000000-0005-0000-0000-0000E69A0000}"/>
    <cellStyle name="Porcentagem 4 2 2 2 2" xfId="39995" xr:uid="{00000000-0005-0000-0000-0000E79A0000}"/>
    <cellStyle name="Porcentagem 4 2 2 2 3" xfId="39996" xr:uid="{00000000-0005-0000-0000-0000E89A0000}"/>
    <cellStyle name="Porcentagem 4 2 2 2 4" xfId="39997" xr:uid="{00000000-0005-0000-0000-0000E99A0000}"/>
    <cellStyle name="Porcentagem 4 2 2 3" xfId="39998" xr:uid="{00000000-0005-0000-0000-0000EA9A0000}"/>
    <cellStyle name="Porcentagem 4 2 2 3 2" xfId="39999" xr:uid="{00000000-0005-0000-0000-0000EB9A0000}"/>
    <cellStyle name="Porcentagem 4 2 2 3 3" xfId="40000" xr:uid="{00000000-0005-0000-0000-0000EC9A0000}"/>
    <cellStyle name="Porcentagem 4 2 2 3 4" xfId="40001" xr:uid="{00000000-0005-0000-0000-0000ED9A0000}"/>
    <cellStyle name="Porcentagem 4 2 2 4" xfId="40002" xr:uid="{00000000-0005-0000-0000-0000EE9A0000}"/>
    <cellStyle name="Porcentagem 4 2 2 5" xfId="40003" xr:uid="{00000000-0005-0000-0000-0000EF9A0000}"/>
    <cellStyle name="Porcentagem 4 2 2 6" xfId="40004" xr:uid="{00000000-0005-0000-0000-0000F09A0000}"/>
    <cellStyle name="Porcentagem 4 2 20" xfId="40005" xr:uid="{00000000-0005-0000-0000-0000F19A0000}"/>
    <cellStyle name="Porcentagem 4 2 20 2" xfId="40006" xr:uid="{00000000-0005-0000-0000-0000F29A0000}"/>
    <cellStyle name="Porcentagem 4 2 20 3" xfId="40007" xr:uid="{00000000-0005-0000-0000-0000F39A0000}"/>
    <cellStyle name="Porcentagem 4 2 20 4" xfId="40008" xr:uid="{00000000-0005-0000-0000-0000F49A0000}"/>
    <cellStyle name="Porcentagem 4 2 21" xfId="40009" xr:uid="{00000000-0005-0000-0000-0000F59A0000}"/>
    <cellStyle name="Porcentagem 4 2 22" xfId="40010" xr:uid="{00000000-0005-0000-0000-0000F69A0000}"/>
    <cellStyle name="Porcentagem 4 2 23" xfId="40011" xr:uid="{00000000-0005-0000-0000-0000F79A0000}"/>
    <cellStyle name="Porcentagem 4 2 3" xfId="40012" xr:uid="{00000000-0005-0000-0000-0000F89A0000}"/>
    <cellStyle name="Porcentagem 4 2 3 2" xfId="40013" xr:uid="{00000000-0005-0000-0000-0000F99A0000}"/>
    <cellStyle name="Porcentagem 4 2 3 2 2" xfId="40014" xr:uid="{00000000-0005-0000-0000-0000FA9A0000}"/>
    <cellStyle name="Porcentagem 4 2 3 2 3" xfId="40015" xr:uid="{00000000-0005-0000-0000-0000FB9A0000}"/>
    <cellStyle name="Porcentagem 4 2 3 2 4" xfId="40016" xr:uid="{00000000-0005-0000-0000-0000FC9A0000}"/>
    <cellStyle name="Porcentagem 4 2 3 3" xfId="40017" xr:uid="{00000000-0005-0000-0000-0000FD9A0000}"/>
    <cellStyle name="Porcentagem 4 2 3 3 2" xfId="40018" xr:uid="{00000000-0005-0000-0000-0000FE9A0000}"/>
    <cellStyle name="Porcentagem 4 2 3 3 3" xfId="40019" xr:uid="{00000000-0005-0000-0000-0000FF9A0000}"/>
    <cellStyle name="Porcentagem 4 2 3 3 4" xfId="40020" xr:uid="{00000000-0005-0000-0000-0000009B0000}"/>
    <cellStyle name="Porcentagem 4 2 3 4" xfId="40021" xr:uid="{00000000-0005-0000-0000-0000019B0000}"/>
    <cellStyle name="Porcentagem 4 2 3 5" xfId="40022" xr:uid="{00000000-0005-0000-0000-0000029B0000}"/>
    <cellStyle name="Porcentagem 4 2 3 6" xfId="40023" xr:uid="{00000000-0005-0000-0000-0000039B0000}"/>
    <cellStyle name="Porcentagem 4 2 4" xfId="40024" xr:uid="{00000000-0005-0000-0000-0000049B0000}"/>
    <cellStyle name="Porcentagem 4 2 4 2" xfId="40025" xr:uid="{00000000-0005-0000-0000-0000059B0000}"/>
    <cellStyle name="Porcentagem 4 2 4 2 2" xfId="40026" xr:uid="{00000000-0005-0000-0000-0000069B0000}"/>
    <cellStyle name="Porcentagem 4 2 4 2 3" xfId="40027" xr:uid="{00000000-0005-0000-0000-0000079B0000}"/>
    <cellStyle name="Porcentagem 4 2 4 2 4" xfId="40028" xr:uid="{00000000-0005-0000-0000-0000089B0000}"/>
    <cellStyle name="Porcentagem 4 2 4 3" xfId="40029" xr:uid="{00000000-0005-0000-0000-0000099B0000}"/>
    <cellStyle name="Porcentagem 4 2 4 3 2" xfId="40030" xr:uid="{00000000-0005-0000-0000-00000A9B0000}"/>
    <cellStyle name="Porcentagem 4 2 4 3 3" xfId="40031" xr:uid="{00000000-0005-0000-0000-00000B9B0000}"/>
    <cellStyle name="Porcentagem 4 2 4 3 4" xfId="40032" xr:uid="{00000000-0005-0000-0000-00000C9B0000}"/>
    <cellStyle name="Porcentagem 4 2 4 4" xfId="40033" xr:uid="{00000000-0005-0000-0000-00000D9B0000}"/>
    <cellStyle name="Porcentagem 4 2 4 5" xfId="40034" xr:uid="{00000000-0005-0000-0000-00000E9B0000}"/>
    <cellStyle name="Porcentagem 4 2 4 6" xfId="40035" xr:uid="{00000000-0005-0000-0000-00000F9B0000}"/>
    <cellStyle name="Porcentagem 4 2 5" xfId="40036" xr:uid="{00000000-0005-0000-0000-0000109B0000}"/>
    <cellStyle name="Porcentagem 4 2 5 2" xfId="40037" xr:uid="{00000000-0005-0000-0000-0000119B0000}"/>
    <cellStyle name="Porcentagem 4 2 5 2 2" xfId="40038" xr:uid="{00000000-0005-0000-0000-0000129B0000}"/>
    <cellStyle name="Porcentagem 4 2 5 2 3" xfId="40039" xr:uid="{00000000-0005-0000-0000-0000139B0000}"/>
    <cellStyle name="Porcentagem 4 2 5 2 4" xfId="40040" xr:uid="{00000000-0005-0000-0000-0000149B0000}"/>
    <cellStyle name="Porcentagem 4 2 5 3" xfId="40041" xr:uid="{00000000-0005-0000-0000-0000159B0000}"/>
    <cellStyle name="Porcentagem 4 2 5 3 2" xfId="40042" xr:uid="{00000000-0005-0000-0000-0000169B0000}"/>
    <cellStyle name="Porcentagem 4 2 5 3 3" xfId="40043" xr:uid="{00000000-0005-0000-0000-0000179B0000}"/>
    <cellStyle name="Porcentagem 4 2 5 3 4" xfId="40044" xr:uid="{00000000-0005-0000-0000-0000189B0000}"/>
    <cellStyle name="Porcentagem 4 2 5 4" xfId="40045" xr:uid="{00000000-0005-0000-0000-0000199B0000}"/>
    <cellStyle name="Porcentagem 4 2 5 5" xfId="40046" xr:uid="{00000000-0005-0000-0000-00001A9B0000}"/>
    <cellStyle name="Porcentagem 4 2 5 6" xfId="40047" xr:uid="{00000000-0005-0000-0000-00001B9B0000}"/>
    <cellStyle name="Porcentagem 4 2 6" xfId="40048" xr:uid="{00000000-0005-0000-0000-00001C9B0000}"/>
    <cellStyle name="Porcentagem 4 2 6 2" xfId="40049" xr:uid="{00000000-0005-0000-0000-00001D9B0000}"/>
    <cellStyle name="Porcentagem 4 2 6 2 2" xfId="40050" xr:uid="{00000000-0005-0000-0000-00001E9B0000}"/>
    <cellStyle name="Porcentagem 4 2 6 2 3" xfId="40051" xr:uid="{00000000-0005-0000-0000-00001F9B0000}"/>
    <cellStyle name="Porcentagem 4 2 6 2 4" xfId="40052" xr:uid="{00000000-0005-0000-0000-0000209B0000}"/>
    <cellStyle name="Porcentagem 4 2 6 3" xfId="40053" xr:uid="{00000000-0005-0000-0000-0000219B0000}"/>
    <cellStyle name="Porcentagem 4 2 6 3 2" xfId="40054" xr:uid="{00000000-0005-0000-0000-0000229B0000}"/>
    <cellStyle name="Porcentagem 4 2 6 3 3" xfId="40055" xr:uid="{00000000-0005-0000-0000-0000239B0000}"/>
    <cellStyle name="Porcentagem 4 2 6 3 4" xfId="40056" xr:uid="{00000000-0005-0000-0000-0000249B0000}"/>
    <cellStyle name="Porcentagem 4 2 6 4" xfId="40057" xr:uid="{00000000-0005-0000-0000-0000259B0000}"/>
    <cellStyle name="Porcentagem 4 2 6 5" xfId="40058" xr:uid="{00000000-0005-0000-0000-0000269B0000}"/>
    <cellStyle name="Porcentagem 4 2 6 6" xfId="40059" xr:uid="{00000000-0005-0000-0000-0000279B0000}"/>
    <cellStyle name="Porcentagem 4 2 7" xfId="40060" xr:uid="{00000000-0005-0000-0000-0000289B0000}"/>
    <cellStyle name="Porcentagem 4 2 7 2" xfId="40061" xr:uid="{00000000-0005-0000-0000-0000299B0000}"/>
    <cellStyle name="Porcentagem 4 2 7 2 2" xfId="40062" xr:uid="{00000000-0005-0000-0000-00002A9B0000}"/>
    <cellStyle name="Porcentagem 4 2 7 2 3" xfId="40063" xr:uid="{00000000-0005-0000-0000-00002B9B0000}"/>
    <cellStyle name="Porcentagem 4 2 7 2 4" xfId="40064" xr:uid="{00000000-0005-0000-0000-00002C9B0000}"/>
    <cellStyle name="Porcentagem 4 2 7 3" xfId="40065" xr:uid="{00000000-0005-0000-0000-00002D9B0000}"/>
    <cellStyle name="Porcentagem 4 2 7 3 2" xfId="40066" xr:uid="{00000000-0005-0000-0000-00002E9B0000}"/>
    <cellStyle name="Porcentagem 4 2 7 3 3" xfId="40067" xr:uid="{00000000-0005-0000-0000-00002F9B0000}"/>
    <cellStyle name="Porcentagem 4 2 7 3 4" xfId="40068" xr:uid="{00000000-0005-0000-0000-0000309B0000}"/>
    <cellStyle name="Porcentagem 4 2 7 4" xfId="40069" xr:uid="{00000000-0005-0000-0000-0000319B0000}"/>
    <cellStyle name="Porcentagem 4 2 7 5" xfId="40070" xr:uid="{00000000-0005-0000-0000-0000329B0000}"/>
    <cellStyle name="Porcentagem 4 2 7 6" xfId="40071" xr:uid="{00000000-0005-0000-0000-0000339B0000}"/>
    <cellStyle name="Porcentagem 4 2 8" xfId="40072" xr:uid="{00000000-0005-0000-0000-0000349B0000}"/>
    <cellStyle name="Porcentagem 4 2 8 2" xfId="40073" xr:uid="{00000000-0005-0000-0000-0000359B0000}"/>
    <cellStyle name="Porcentagem 4 2 8 2 2" xfId="40074" xr:uid="{00000000-0005-0000-0000-0000369B0000}"/>
    <cellStyle name="Porcentagem 4 2 8 2 3" xfId="40075" xr:uid="{00000000-0005-0000-0000-0000379B0000}"/>
    <cellStyle name="Porcentagem 4 2 8 2 4" xfId="40076" xr:uid="{00000000-0005-0000-0000-0000389B0000}"/>
    <cellStyle name="Porcentagem 4 2 8 3" xfId="40077" xr:uid="{00000000-0005-0000-0000-0000399B0000}"/>
    <cellStyle name="Porcentagem 4 2 8 3 2" xfId="40078" xr:uid="{00000000-0005-0000-0000-00003A9B0000}"/>
    <cellStyle name="Porcentagem 4 2 8 3 3" xfId="40079" xr:uid="{00000000-0005-0000-0000-00003B9B0000}"/>
    <cellStyle name="Porcentagem 4 2 8 3 4" xfId="40080" xr:uid="{00000000-0005-0000-0000-00003C9B0000}"/>
    <cellStyle name="Porcentagem 4 2 8 4" xfId="40081" xr:uid="{00000000-0005-0000-0000-00003D9B0000}"/>
    <cellStyle name="Porcentagem 4 2 8 5" xfId="40082" xr:uid="{00000000-0005-0000-0000-00003E9B0000}"/>
    <cellStyle name="Porcentagem 4 2 8 6" xfId="40083" xr:uid="{00000000-0005-0000-0000-00003F9B0000}"/>
    <cellStyle name="Porcentagem 4 2 9" xfId="40084" xr:uid="{00000000-0005-0000-0000-0000409B0000}"/>
    <cellStyle name="Porcentagem 4 2 9 2" xfId="40085" xr:uid="{00000000-0005-0000-0000-0000419B0000}"/>
    <cellStyle name="Porcentagem 4 2 9 2 2" xfId="40086" xr:uid="{00000000-0005-0000-0000-0000429B0000}"/>
    <cellStyle name="Porcentagem 4 2 9 2 3" xfId="40087" xr:uid="{00000000-0005-0000-0000-0000439B0000}"/>
    <cellStyle name="Porcentagem 4 2 9 2 4" xfId="40088" xr:uid="{00000000-0005-0000-0000-0000449B0000}"/>
    <cellStyle name="Porcentagem 4 2 9 3" xfId="40089" xr:uid="{00000000-0005-0000-0000-0000459B0000}"/>
    <cellStyle name="Porcentagem 4 2 9 3 2" xfId="40090" xr:uid="{00000000-0005-0000-0000-0000469B0000}"/>
    <cellStyle name="Porcentagem 4 2 9 3 3" xfId="40091" xr:uid="{00000000-0005-0000-0000-0000479B0000}"/>
    <cellStyle name="Porcentagem 4 2 9 3 4" xfId="40092" xr:uid="{00000000-0005-0000-0000-0000489B0000}"/>
    <cellStyle name="Porcentagem 4 2 9 4" xfId="40093" xr:uid="{00000000-0005-0000-0000-0000499B0000}"/>
    <cellStyle name="Porcentagem 4 2 9 5" xfId="40094" xr:uid="{00000000-0005-0000-0000-00004A9B0000}"/>
    <cellStyle name="Porcentagem 4 2 9 6" xfId="40095" xr:uid="{00000000-0005-0000-0000-00004B9B0000}"/>
    <cellStyle name="Porcentagem 4 20" xfId="40096" xr:uid="{00000000-0005-0000-0000-00004C9B0000}"/>
    <cellStyle name="Porcentagem 4 20 2" xfId="40097" xr:uid="{00000000-0005-0000-0000-00004D9B0000}"/>
    <cellStyle name="Porcentagem 4 20 3" xfId="40098" xr:uid="{00000000-0005-0000-0000-00004E9B0000}"/>
    <cellStyle name="Porcentagem 4 20 4" xfId="40099" xr:uid="{00000000-0005-0000-0000-00004F9B0000}"/>
    <cellStyle name="Porcentagem 4 21" xfId="40100" xr:uid="{00000000-0005-0000-0000-0000509B0000}"/>
    <cellStyle name="Porcentagem 4 21 2" xfId="40101" xr:uid="{00000000-0005-0000-0000-0000519B0000}"/>
    <cellStyle name="Porcentagem 4 21 3" xfId="40102" xr:uid="{00000000-0005-0000-0000-0000529B0000}"/>
    <cellStyle name="Porcentagem 4 21 4" xfId="40103" xr:uid="{00000000-0005-0000-0000-0000539B0000}"/>
    <cellStyle name="Porcentagem 4 22" xfId="40104" xr:uid="{00000000-0005-0000-0000-0000549B0000}"/>
    <cellStyle name="Porcentagem 4 22 2" xfId="40105" xr:uid="{00000000-0005-0000-0000-0000559B0000}"/>
    <cellStyle name="Porcentagem 4 22 3" xfId="40106" xr:uid="{00000000-0005-0000-0000-0000569B0000}"/>
    <cellStyle name="Porcentagem 4 22 4" xfId="40107" xr:uid="{00000000-0005-0000-0000-0000579B0000}"/>
    <cellStyle name="Porcentagem 4 23" xfId="40108" xr:uid="{00000000-0005-0000-0000-0000589B0000}"/>
    <cellStyle name="Porcentagem 4 24" xfId="40109" xr:uid="{00000000-0005-0000-0000-0000599B0000}"/>
    <cellStyle name="Porcentagem 4 25" xfId="40110" xr:uid="{00000000-0005-0000-0000-00005A9B0000}"/>
    <cellStyle name="Porcentagem 4 3" xfId="1718" xr:uid="{00000000-0005-0000-0000-00005B9B0000}"/>
    <cellStyle name="Porcentagem 4 3 10" xfId="40111" xr:uid="{00000000-0005-0000-0000-00005C9B0000}"/>
    <cellStyle name="Porcentagem 4 3 10 2" xfId="40112" xr:uid="{00000000-0005-0000-0000-00005D9B0000}"/>
    <cellStyle name="Porcentagem 4 3 10 2 2" xfId="40113" xr:uid="{00000000-0005-0000-0000-00005E9B0000}"/>
    <cellStyle name="Porcentagem 4 3 10 2 3" xfId="40114" xr:uid="{00000000-0005-0000-0000-00005F9B0000}"/>
    <cellStyle name="Porcentagem 4 3 10 2 4" xfId="40115" xr:uid="{00000000-0005-0000-0000-0000609B0000}"/>
    <cellStyle name="Porcentagem 4 3 10 3" xfId="40116" xr:uid="{00000000-0005-0000-0000-0000619B0000}"/>
    <cellStyle name="Porcentagem 4 3 10 3 2" xfId="40117" xr:uid="{00000000-0005-0000-0000-0000629B0000}"/>
    <cellStyle name="Porcentagem 4 3 10 3 3" xfId="40118" xr:uid="{00000000-0005-0000-0000-0000639B0000}"/>
    <cellStyle name="Porcentagem 4 3 10 3 4" xfId="40119" xr:uid="{00000000-0005-0000-0000-0000649B0000}"/>
    <cellStyle name="Porcentagem 4 3 10 4" xfId="40120" xr:uid="{00000000-0005-0000-0000-0000659B0000}"/>
    <cellStyle name="Porcentagem 4 3 10 5" xfId="40121" xr:uid="{00000000-0005-0000-0000-0000669B0000}"/>
    <cellStyle name="Porcentagem 4 3 10 6" xfId="40122" xr:uid="{00000000-0005-0000-0000-0000679B0000}"/>
    <cellStyle name="Porcentagem 4 3 11" xfId="40123" xr:uid="{00000000-0005-0000-0000-0000689B0000}"/>
    <cellStyle name="Porcentagem 4 3 11 2" xfId="40124" xr:uid="{00000000-0005-0000-0000-0000699B0000}"/>
    <cellStyle name="Porcentagem 4 3 11 2 2" xfId="40125" xr:uid="{00000000-0005-0000-0000-00006A9B0000}"/>
    <cellStyle name="Porcentagem 4 3 11 2 3" xfId="40126" xr:uid="{00000000-0005-0000-0000-00006B9B0000}"/>
    <cellStyle name="Porcentagem 4 3 11 2 4" xfId="40127" xr:uid="{00000000-0005-0000-0000-00006C9B0000}"/>
    <cellStyle name="Porcentagem 4 3 11 3" xfId="40128" xr:uid="{00000000-0005-0000-0000-00006D9B0000}"/>
    <cellStyle name="Porcentagem 4 3 11 3 2" xfId="40129" xr:uid="{00000000-0005-0000-0000-00006E9B0000}"/>
    <cellStyle name="Porcentagem 4 3 11 3 3" xfId="40130" xr:uid="{00000000-0005-0000-0000-00006F9B0000}"/>
    <cellStyle name="Porcentagem 4 3 11 3 4" xfId="40131" xr:uid="{00000000-0005-0000-0000-0000709B0000}"/>
    <cellStyle name="Porcentagem 4 3 11 4" xfId="40132" xr:uid="{00000000-0005-0000-0000-0000719B0000}"/>
    <cellStyle name="Porcentagem 4 3 11 5" xfId="40133" xr:uid="{00000000-0005-0000-0000-0000729B0000}"/>
    <cellStyle name="Porcentagem 4 3 11 6" xfId="40134" xr:uid="{00000000-0005-0000-0000-0000739B0000}"/>
    <cellStyle name="Porcentagem 4 3 12" xfId="40135" xr:uid="{00000000-0005-0000-0000-0000749B0000}"/>
    <cellStyle name="Porcentagem 4 3 12 2" xfId="40136" xr:uid="{00000000-0005-0000-0000-0000759B0000}"/>
    <cellStyle name="Porcentagem 4 3 12 2 2" xfId="40137" xr:uid="{00000000-0005-0000-0000-0000769B0000}"/>
    <cellStyle name="Porcentagem 4 3 12 2 3" xfId="40138" xr:uid="{00000000-0005-0000-0000-0000779B0000}"/>
    <cellStyle name="Porcentagem 4 3 12 2 4" xfId="40139" xr:uid="{00000000-0005-0000-0000-0000789B0000}"/>
    <cellStyle name="Porcentagem 4 3 12 3" xfId="40140" xr:uid="{00000000-0005-0000-0000-0000799B0000}"/>
    <cellStyle name="Porcentagem 4 3 12 3 2" xfId="40141" xr:uid="{00000000-0005-0000-0000-00007A9B0000}"/>
    <cellStyle name="Porcentagem 4 3 12 3 3" xfId="40142" xr:uid="{00000000-0005-0000-0000-00007B9B0000}"/>
    <cellStyle name="Porcentagem 4 3 12 3 4" xfId="40143" xr:uid="{00000000-0005-0000-0000-00007C9B0000}"/>
    <cellStyle name="Porcentagem 4 3 12 4" xfId="40144" xr:uid="{00000000-0005-0000-0000-00007D9B0000}"/>
    <cellStyle name="Porcentagem 4 3 12 5" xfId="40145" xr:uid="{00000000-0005-0000-0000-00007E9B0000}"/>
    <cellStyle name="Porcentagem 4 3 12 6" xfId="40146" xr:uid="{00000000-0005-0000-0000-00007F9B0000}"/>
    <cellStyle name="Porcentagem 4 3 13" xfId="40147" xr:uid="{00000000-0005-0000-0000-0000809B0000}"/>
    <cellStyle name="Porcentagem 4 3 13 2" xfId="40148" xr:uid="{00000000-0005-0000-0000-0000819B0000}"/>
    <cellStyle name="Porcentagem 4 3 13 2 2" xfId="40149" xr:uid="{00000000-0005-0000-0000-0000829B0000}"/>
    <cellStyle name="Porcentagem 4 3 13 2 3" xfId="40150" xr:uid="{00000000-0005-0000-0000-0000839B0000}"/>
    <cellStyle name="Porcentagem 4 3 13 2 4" xfId="40151" xr:uid="{00000000-0005-0000-0000-0000849B0000}"/>
    <cellStyle name="Porcentagem 4 3 13 3" xfId="40152" xr:uid="{00000000-0005-0000-0000-0000859B0000}"/>
    <cellStyle name="Porcentagem 4 3 13 3 2" xfId="40153" xr:uid="{00000000-0005-0000-0000-0000869B0000}"/>
    <cellStyle name="Porcentagem 4 3 13 3 3" xfId="40154" xr:uid="{00000000-0005-0000-0000-0000879B0000}"/>
    <cellStyle name="Porcentagem 4 3 13 3 4" xfId="40155" xr:uid="{00000000-0005-0000-0000-0000889B0000}"/>
    <cellStyle name="Porcentagem 4 3 13 4" xfId="40156" xr:uid="{00000000-0005-0000-0000-0000899B0000}"/>
    <cellStyle name="Porcentagem 4 3 13 5" xfId="40157" xr:uid="{00000000-0005-0000-0000-00008A9B0000}"/>
    <cellStyle name="Porcentagem 4 3 13 6" xfId="40158" xr:uid="{00000000-0005-0000-0000-00008B9B0000}"/>
    <cellStyle name="Porcentagem 4 3 14" xfId="40159" xr:uid="{00000000-0005-0000-0000-00008C9B0000}"/>
    <cellStyle name="Porcentagem 4 3 14 2" xfId="40160" xr:uid="{00000000-0005-0000-0000-00008D9B0000}"/>
    <cellStyle name="Porcentagem 4 3 14 2 2" xfId="40161" xr:uid="{00000000-0005-0000-0000-00008E9B0000}"/>
    <cellStyle name="Porcentagem 4 3 14 2 3" xfId="40162" xr:uid="{00000000-0005-0000-0000-00008F9B0000}"/>
    <cellStyle name="Porcentagem 4 3 14 2 4" xfId="40163" xr:uid="{00000000-0005-0000-0000-0000909B0000}"/>
    <cellStyle name="Porcentagem 4 3 14 3" xfId="40164" xr:uid="{00000000-0005-0000-0000-0000919B0000}"/>
    <cellStyle name="Porcentagem 4 3 14 3 2" xfId="40165" xr:uid="{00000000-0005-0000-0000-0000929B0000}"/>
    <cellStyle name="Porcentagem 4 3 14 3 3" xfId="40166" xr:uid="{00000000-0005-0000-0000-0000939B0000}"/>
    <cellStyle name="Porcentagem 4 3 14 3 4" xfId="40167" xr:uid="{00000000-0005-0000-0000-0000949B0000}"/>
    <cellStyle name="Porcentagem 4 3 14 4" xfId="40168" xr:uid="{00000000-0005-0000-0000-0000959B0000}"/>
    <cellStyle name="Porcentagem 4 3 14 5" xfId="40169" xr:uid="{00000000-0005-0000-0000-0000969B0000}"/>
    <cellStyle name="Porcentagem 4 3 14 6" xfId="40170" xr:uid="{00000000-0005-0000-0000-0000979B0000}"/>
    <cellStyle name="Porcentagem 4 3 15" xfId="40171" xr:uid="{00000000-0005-0000-0000-0000989B0000}"/>
    <cellStyle name="Porcentagem 4 3 15 2" xfId="40172" xr:uid="{00000000-0005-0000-0000-0000999B0000}"/>
    <cellStyle name="Porcentagem 4 3 15 2 2" xfId="40173" xr:uid="{00000000-0005-0000-0000-00009A9B0000}"/>
    <cellStyle name="Porcentagem 4 3 15 2 3" xfId="40174" xr:uid="{00000000-0005-0000-0000-00009B9B0000}"/>
    <cellStyle name="Porcentagem 4 3 15 2 4" xfId="40175" xr:uid="{00000000-0005-0000-0000-00009C9B0000}"/>
    <cellStyle name="Porcentagem 4 3 15 3" xfId="40176" xr:uid="{00000000-0005-0000-0000-00009D9B0000}"/>
    <cellStyle name="Porcentagem 4 3 15 3 2" xfId="40177" xr:uid="{00000000-0005-0000-0000-00009E9B0000}"/>
    <cellStyle name="Porcentagem 4 3 15 3 3" xfId="40178" xr:uid="{00000000-0005-0000-0000-00009F9B0000}"/>
    <cellStyle name="Porcentagem 4 3 15 3 4" xfId="40179" xr:uid="{00000000-0005-0000-0000-0000A09B0000}"/>
    <cellStyle name="Porcentagem 4 3 15 4" xfId="40180" xr:uid="{00000000-0005-0000-0000-0000A19B0000}"/>
    <cellStyle name="Porcentagem 4 3 15 5" xfId="40181" xr:uid="{00000000-0005-0000-0000-0000A29B0000}"/>
    <cellStyle name="Porcentagem 4 3 15 6" xfId="40182" xr:uid="{00000000-0005-0000-0000-0000A39B0000}"/>
    <cellStyle name="Porcentagem 4 3 16" xfId="40183" xr:uid="{00000000-0005-0000-0000-0000A49B0000}"/>
    <cellStyle name="Porcentagem 4 3 16 2" xfId="40184" xr:uid="{00000000-0005-0000-0000-0000A59B0000}"/>
    <cellStyle name="Porcentagem 4 3 16 2 2" xfId="40185" xr:uid="{00000000-0005-0000-0000-0000A69B0000}"/>
    <cellStyle name="Porcentagem 4 3 16 2 3" xfId="40186" xr:uid="{00000000-0005-0000-0000-0000A79B0000}"/>
    <cellStyle name="Porcentagem 4 3 16 2 4" xfId="40187" xr:uid="{00000000-0005-0000-0000-0000A89B0000}"/>
    <cellStyle name="Porcentagem 4 3 16 3" xfId="40188" xr:uid="{00000000-0005-0000-0000-0000A99B0000}"/>
    <cellStyle name="Porcentagem 4 3 16 3 2" xfId="40189" xr:uid="{00000000-0005-0000-0000-0000AA9B0000}"/>
    <cellStyle name="Porcentagem 4 3 16 3 3" xfId="40190" xr:uid="{00000000-0005-0000-0000-0000AB9B0000}"/>
    <cellStyle name="Porcentagem 4 3 16 3 4" xfId="40191" xr:uid="{00000000-0005-0000-0000-0000AC9B0000}"/>
    <cellStyle name="Porcentagem 4 3 16 4" xfId="40192" xr:uid="{00000000-0005-0000-0000-0000AD9B0000}"/>
    <cellStyle name="Porcentagem 4 3 16 5" xfId="40193" xr:uid="{00000000-0005-0000-0000-0000AE9B0000}"/>
    <cellStyle name="Porcentagem 4 3 16 6" xfId="40194" xr:uid="{00000000-0005-0000-0000-0000AF9B0000}"/>
    <cellStyle name="Porcentagem 4 3 17" xfId="40195" xr:uid="{00000000-0005-0000-0000-0000B09B0000}"/>
    <cellStyle name="Porcentagem 4 3 17 2" xfId="40196" xr:uid="{00000000-0005-0000-0000-0000B19B0000}"/>
    <cellStyle name="Porcentagem 4 3 17 2 2" xfId="40197" xr:uid="{00000000-0005-0000-0000-0000B29B0000}"/>
    <cellStyle name="Porcentagem 4 3 17 2 3" xfId="40198" xr:uid="{00000000-0005-0000-0000-0000B39B0000}"/>
    <cellStyle name="Porcentagem 4 3 17 2 4" xfId="40199" xr:uid="{00000000-0005-0000-0000-0000B49B0000}"/>
    <cellStyle name="Porcentagem 4 3 17 3" xfId="40200" xr:uid="{00000000-0005-0000-0000-0000B59B0000}"/>
    <cellStyle name="Porcentagem 4 3 17 3 2" xfId="40201" xr:uid="{00000000-0005-0000-0000-0000B69B0000}"/>
    <cellStyle name="Porcentagem 4 3 17 3 3" xfId="40202" xr:uid="{00000000-0005-0000-0000-0000B79B0000}"/>
    <cellStyle name="Porcentagem 4 3 17 3 4" xfId="40203" xr:uid="{00000000-0005-0000-0000-0000B89B0000}"/>
    <cellStyle name="Porcentagem 4 3 17 4" xfId="40204" xr:uid="{00000000-0005-0000-0000-0000B99B0000}"/>
    <cellStyle name="Porcentagem 4 3 17 5" xfId="40205" xr:uid="{00000000-0005-0000-0000-0000BA9B0000}"/>
    <cellStyle name="Porcentagem 4 3 17 6" xfId="40206" xr:uid="{00000000-0005-0000-0000-0000BB9B0000}"/>
    <cellStyle name="Porcentagem 4 3 18" xfId="40207" xr:uid="{00000000-0005-0000-0000-0000BC9B0000}"/>
    <cellStyle name="Porcentagem 4 3 18 2" xfId="40208" xr:uid="{00000000-0005-0000-0000-0000BD9B0000}"/>
    <cellStyle name="Porcentagem 4 3 18 3" xfId="40209" xr:uid="{00000000-0005-0000-0000-0000BE9B0000}"/>
    <cellStyle name="Porcentagem 4 3 18 4" xfId="40210" xr:uid="{00000000-0005-0000-0000-0000BF9B0000}"/>
    <cellStyle name="Porcentagem 4 3 19" xfId="40211" xr:uid="{00000000-0005-0000-0000-0000C09B0000}"/>
    <cellStyle name="Porcentagem 4 3 19 2" xfId="40212" xr:uid="{00000000-0005-0000-0000-0000C19B0000}"/>
    <cellStyle name="Porcentagem 4 3 19 3" xfId="40213" xr:uid="{00000000-0005-0000-0000-0000C29B0000}"/>
    <cellStyle name="Porcentagem 4 3 19 4" xfId="40214" xr:uid="{00000000-0005-0000-0000-0000C39B0000}"/>
    <cellStyle name="Porcentagem 4 3 2" xfId="40215" xr:uid="{00000000-0005-0000-0000-0000C49B0000}"/>
    <cellStyle name="Porcentagem 4 3 2 2" xfId="40216" xr:uid="{00000000-0005-0000-0000-0000C59B0000}"/>
    <cellStyle name="Porcentagem 4 3 2 2 2" xfId="40217" xr:uid="{00000000-0005-0000-0000-0000C69B0000}"/>
    <cellStyle name="Porcentagem 4 3 2 2 3" xfId="40218" xr:uid="{00000000-0005-0000-0000-0000C79B0000}"/>
    <cellStyle name="Porcentagem 4 3 2 2 4" xfId="40219" xr:uid="{00000000-0005-0000-0000-0000C89B0000}"/>
    <cellStyle name="Porcentagem 4 3 2 3" xfId="40220" xr:uid="{00000000-0005-0000-0000-0000C99B0000}"/>
    <cellStyle name="Porcentagem 4 3 2 3 2" xfId="40221" xr:uid="{00000000-0005-0000-0000-0000CA9B0000}"/>
    <cellStyle name="Porcentagem 4 3 2 3 3" xfId="40222" xr:uid="{00000000-0005-0000-0000-0000CB9B0000}"/>
    <cellStyle name="Porcentagem 4 3 2 3 4" xfId="40223" xr:uid="{00000000-0005-0000-0000-0000CC9B0000}"/>
    <cellStyle name="Porcentagem 4 3 2 4" xfId="40224" xr:uid="{00000000-0005-0000-0000-0000CD9B0000}"/>
    <cellStyle name="Porcentagem 4 3 2 5" xfId="40225" xr:uid="{00000000-0005-0000-0000-0000CE9B0000}"/>
    <cellStyle name="Porcentagem 4 3 2 6" xfId="40226" xr:uid="{00000000-0005-0000-0000-0000CF9B0000}"/>
    <cellStyle name="Porcentagem 4 3 20" xfId="40227" xr:uid="{00000000-0005-0000-0000-0000D09B0000}"/>
    <cellStyle name="Porcentagem 4 3 20 2" xfId="40228" xr:uid="{00000000-0005-0000-0000-0000D19B0000}"/>
    <cellStyle name="Porcentagem 4 3 20 3" xfId="40229" xr:uid="{00000000-0005-0000-0000-0000D29B0000}"/>
    <cellStyle name="Porcentagem 4 3 20 4" xfId="40230" xr:uid="{00000000-0005-0000-0000-0000D39B0000}"/>
    <cellStyle name="Porcentagem 4 3 21" xfId="40231" xr:uid="{00000000-0005-0000-0000-0000D49B0000}"/>
    <cellStyle name="Porcentagem 4 3 22" xfId="40232" xr:uid="{00000000-0005-0000-0000-0000D59B0000}"/>
    <cellStyle name="Porcentagem 4 3 23" xfId="40233" xr:uid="{00000000-0005-0000-0000-0000D69B0000}"/>
    <cellStyle name="Porcentagem 4 3 3" xfId="40234" xr:uid="{00000000-0005-0000-0000-0000D79B0000}"/>
    <cellStyle name="Porcentagem 4 3 3 2" xfId="40235" xr:uid="{00000000-0005-0000-0000-0000D89B0000}"/>
    <cellStyle name="Porcentagem 4 3 3 2 2" xfId="40236" xr:uid="{00000000-0005-0000-0000-0000D99B0000}"/>
    <cellStyle name="Porcentagem 4 3 3 2 3" xfId="40237" xr:uid="{00000000-0005-0000-0000-0000DA9B0000}"/>
    <cellStyle name="Porcentagem 4 3 3 2 4" xfId="40238" xr:uid="{00000000-0005-0000-0000-0000DB9B0000}"/>
    <cellStyle name="Porcentagem 4 3 3 3" xfId="40239" xr:uid="{00000000-0005-0000-0000-0000DC9B0000}"/>
    <cellStyle name="Porcentagem 4 3 3 3 2" xfId="40240" xr:uid="{00000000-0005-0000-0000-0000DD9B0000}"/>
    <cellStyle name="Porcentagem 4 3 3 3 3" xfId="40241" xr:uid="{00000000-0005-0000-0000-0000DE9B0000}"/>
    <cellStyle name="Porcentagem 4 3 3 3 4" xfId="40242" xr:uid="{00000000-0005-0000-0000-0000DF9B0000}"/>
    <cellStyle name="Porcentagem 4 3 3 4" xfId="40243" xr:uid="{00000000-0005-0000-0000-0000E09B0000}"/>
    <cellStyle name="Porcentagem 4 3 3 5" xfId="40244" xr:uid="{00000000-0005-0000-0000-0000E19B0000}"/>
    <cellStyle name="Porcentagem 4 3 3 6" xfId="40245" xr:uid="{00000000-0005-0000-0000-0000E29B0000}"/>
    <cellStyle name="Porcentagem 4 3 4" xfId="40246" xr:uid="{00000000-0005-0000-0000-0000E39B0000}"/>
    <cellStyle name="Porcentagem 4 3 4 2" xfId="40247" xr:uid="{00000000-0005-0000-0000-0000E49B0000}"/>
    <cellStyle name="Porcentagem 4 3 4 2 2" xfId="40248" xr:uid="{00000000-0005-0000-0000-0000E59B0000}"/>
    <cellStyle name="Porcentagem 4 3 4 2 3" xfId="40249" xr:uid="{00000000-0005-0000-0000-0000E69B0000}"/>
    <cellStyle name="Porcentagem 4 3 4 2 4" xfId="40250" xr:uid="{00000000-0005-0000-0000-0000E79B0000}"/>
    <cellStyle name="Porcentagem 4 3 4 3" xfId="40251" xr:uid="{00000000-0005-0000-0000-0000E89B0000}"/>
    <cellStyle name="Porcentagem 4 3 4 3 2" xfId="40252" xr:uid="{00000000-0005-0000-0000-0000E99B0000}"/>
    <cellStyle name="Porcentagem 4 3 4 3 3" xfId="40253" xr:uid="{00000000-0005-0000-0000-0000EA9B0000}"/>
    <cellStyle name="Porcentagem 4 3 4 3 4" xfId="40254" xr:uid="{00000000-0005-0000-0000-0000EB9B0000}"/>
    <cellStyle name="Porcentagem 4 3 4 4" xfId="40255" xr:uid="{00000000-0005-0000-0000-0000EC9B0000}"/>
    <cellStyle name="Porcentagem 4 3 4 5" xfId="40256" xr:uid="{00000000-0005-0000-0000-0000ED9B0000}"/>
    <cellStyle name="Porcentagem 4 3 4 6" xfId="40257" xr:uid="{00000000-0005-0000-0000-0000EE9B0000}"/>
    <cellStyle name="Porcentagem 4 3 5" xfId="40258" xr:uid="{00000000-0005-0000-0000-0000EF9B0000}"/>
    <cellStyle name="Porcentagem 4 3 5 2" xfId="40259" xr:uid="{00000000-0005-0000-0000-0000F09B0000}"/>
    <cellStyle name="Porcentagem 4 3 5 2 2" xfId="40260" xr:uid="{00000000-0005-0000-0000-0000F19B0000}"/>
    <cellStyle name="Porcentagem 4 3 5 2 3" xfId="40261" xr:uid="{00000000-0005-0000-0000-0000F29B0000}"/>
    <cellStyle name="Porcentagem 4 3 5 2 4" xfId="40262" xr:uid="{00000000-0005-0000-0000-0000F39B0000}"/>
    <cellStyle name="Porcentagem 4 3 5 3" xfId="40263" xr:uid="{00000000-0005-0000-0000-0000F49B0000}"/>
    <cellStyle name="Porcentagem 4 3 5 3 2" xfId="40264" xr:uid="{00000000-0005-0000-0000-0000F59B0000}"/>
    <cellStyle name="Porcentagem 4 3 5 3 3" xfId="40265" xr:uid="{00000000-0005-0000-0000-0000F69B0000}"/>
    <cellStyle name="Porcentagem 4 3 5 3 4" xfId="40266" xr:uid="{00000000-0005-0000-0000-0000F79B0000}"/>
    <cellStyle name="Porcentagem 4 3 5 4" xfId="40267" xr:uid="{00000000-0005-0000-0000-0000F89B0000}"/>
    <cellStyle name="Porcentagem 4 3 5 5" xfId="40268" xr:uid="{00000000-0005-0000-0000-0000F99B0000}"/>
    <cellStyle name="Porcentagem 4 3 5 6" xfId="40269" xr:uid="{00000000-0005-0000-0000-0000FA9B0000}"/>
    <cellStyle name="Porcentagem 4 3 6" xfId="40270" xr:uid="{00000000-0005-0000-0000-0000FB9B0000}"/>
    <cellStyle name="Porcentagem 4 3 6 2" xfId="40271" xr:uid="{00000000-0005-0000-0000-0000FC9B0000}"/>
    <cellStyle name="Porcentagem 4 3 6 2 2" xfId="40272" xr:uid="{00000000-0005-0000-0000-0000FD9B0000}"/>
    <cellStyle name="Porcentagem 4 3 6 2 3" xfId="40273" xr:uid="{00000000-0005-0000-0000-0000FE9B0000}"/>
    <cellStyle name="Porcentagem 4 3 6 2 4" xfId="40274" xr:uid="{00000000-0005-0000-0000-0000FF9B0000}"/>
    <cellStyle name="Porcentagem 4 3 6 3" xfId="40275" xr:uid="{00000000-0005-0000-0000-0000009C0000}"/>
    <cellStyle name="Porcentagem 4 3 6 3 2" xfId="40276" xr:uid="{00000000-0005-0000-0000-0000019C0000}"/>
    <cellStyle name="Porcentagem 4 3 6 3 3" xfId="40277" xr:uid="{00000000-0005-0000-0000-0000029C0000}"/>
    <cellStyle name="Porcentagem 4 3 6 3 4" xfId="40278" xr:uid="{00000000-0005-0000-0000-0000039C0000}"/>
    <cellStyle name="Porcentagem 4 3 6 4" xfId="40279" xr:uid="{00000000-0005-0000-0000-0000049C0000}"/>
    <cellStyle name="Porcentagem 4 3 6 5" xfId="40280" xr:uid="{00000000-0005-0000-0000-0000059C0000}"/>
    <cellStyle name="Porcentagem 4 3 6 6" xfId="40281" xr:uid="{00000000-0005-0000-0000-0000069C0000}"/>
    <cellStyle name="Porcentagem 4 3 7" xfId="40282" xr:uid="{00000000-0005-0000-0000-0000079C0000}"/>
    <cellStyle name="Porcentagem 4 3 7 2" xfId="40283" xr:uid="{00000000-0005-0000-0000-0000089C0000}"/>
    <cellStyle name="Porcentagem 4 3 7 2 2" xfId="40284" xr:uid="{00000000-0005-0000-0000-0000099C0000}"/>
    <cellStyle name="Porcentagem 4 3 7 2 3" xfId="40285" xr:uid="{00000000-0005-0000-0000-00000A9C0000}"/>
    <cellStyle name="Porcentagem 4 3 7 2 4" xfId="40286" xr:uid="{00000000-0005-0000-0000-00000B9C0000}"/>
    <cellStyle name="Porcentagem 4 3 7 3" xfId="40287" xr:uid="{00000000-0005-0000-0000-00000C9C0000}"/>
    <cellStyle name="Porcentagem 4 3 7 3 2" xfId="40288" xr:uid="{00000000-0005-0000-0000-00000D9C0000}"/>
    <cellStyle name="Porcentagem 4 3 7 3 3" xfId="40289" xr:uid="{00000000-0005-0000-0000-00000E9C0000}"/>
    <cellStyle name="Porcentagem 4 3 7 3 4" xfId="40290" xr:uid="{00000000-0005-0000-0000-00000F9C0000}"/>
    <cellStyle name="Porcentagem 4 3 7 4" xfId="40291" xr:uid="{00000000-0005-0000-0000-0000109C0000}"/>
    <cellStyle name="Porcentagem 4 3 7 5" xfId="40292" xr:uid="{00000000-0005-0000-0000-0000119C0000}"/>
    <cellStyle name="Porcentagem 4 3 7 6" xfId="40293" xr:uid="{00000000-0005-0000-0000-0000129C0000}"/>
    <cellStyle name="Porcentagem 4 3 8" xfId="40294" xr:uid="{00000000-0005-0000-0000-0000139C0000}"/>
    <cellStyle name="Porcentagem 4 3 8 2" xfId="40295" xr:uid="{00000000-0005-0000-0000-0000149C0000}"/>
    <cellStyle name="Porcentagem 4 3 8 2 2" xfId="40296" xr:uid="{00000000-0005-0000-0000-0000159C0000}"/>
    <cellStyle name="Porcentagem 4 3 8 2 3" xfId="40297" xr:uid="{00000000-0005-0000-0000-0000169C0000}"/>
    <cellStyle name="Porcentagem 4 3 8 2 4" xfId="40298" xr:uid="{00000000-0005-0000-0000-0000179C0000}"/>
    <cellStyle name="Porcentagem 4 3 8 3" xfId="40299" xr:uid="{00000000-0005-0000-0000-0000189C0000}"/>
    <cellStyle name="Porcentagem 4 3 8 3 2" xfId="40300" xr:uid="{00000000-0005-0000-0000-0000199C0000}"/>
    <cellStyle name="Porcentagem 4 3 8 3 3" xfId="40301" xr:uid="{00000000-0005-0000-0000-00001A9C0000}"/>
    <cellStyle name="Porcentagem 4 3 8 3 4" xfId="40302" xr:uid="{00000000-0005-0000-0000-00001B9C0000}"/>
    <cellStyle name="Porcentagem 4 3 8 4" xfId="40303" xr:uid="{00000000-0005-0000-0000-00001C9C0000}"/>
    <cellStyle name="Porcentagem 4 3 8 5" xfId="40304" xr:uid="{00000000-0005-0000-0000-00001D9C0000}"/>
    <cellStyle name="Porcentagem 4 3 8 6" xfId="40305" xr:uid="{00000000-0005-0000-0000-00001E9C0000}"/>
    <cellStyle name="Porcentagem 4 3 9" xfId="40306" xr:uid="{00000000-0005-0000-0000-00001F9C0000}"/>
    <cellStyle name="Porcentagem 4 3 9 2" xfId="40307" xr:uid="{00000000-0005-0000-0000-0000209C0000}"/>
    <cellStyle name="Porcentagem 4 3 9 2 2" xfId="40308" xr:uid="{00000000-0005-0000-0000-0000219C0000}"/>
    <cellStyle name="Porcentagem 4 3 9 2 3" xfId="40309" xr:uid="{00000000-0005-0000-0000-0000229C0000}"/>
    <cellStyle name="Porcentagem 4 3 9 2 4" xfId="40310" xr:uid="{00000000-0005-0000-0000-0000239C0000}"/>
    <cellStyle name="Porcentagem 4 3 9 3" xfId="40311" xr:uid="{00000000-0005-0000-0000-0000249C0000}"/>
    <cellStyle name="Porcentagem 4 3 9 3 2" xfId="40312" xr:uid="{00000000-0005-0000-0000-0000259C0000}"/>
    <cellStyle name="Porcentagem 4 3 9 3 3" xfId="40313" xr:uid="{00000000-0005-0000-0000-0000269C0000}"/>
    <cellStyle name="Porcentagem 4 3 9 3 4" xfId="40314" xr:uid="{00000000-0005-0000-0000-0000279C0000}"/>
    <cellStyle name="Porcentagem 4 3 9 4" xfId="40315" xr:uid="{00000000-0005-0000-0000-0000289C0000}"/>
    <cellStyle name="Porcentagem 4 3 9 5" xfId="40316" xr:uid="{00000000-0005-0000-0000-0000299C0000}"/>
    <cellStyle name="Porcentagem 4 3 9 6" xfId="40317" xr:uid="{00000000-0005-0000-0000-00002A9C0000}"/>
    <cellStyle name="Porcentagem 4 4" xfId="40318" xr:uid="{00000000-0005-0000-0000-00002B9C0000}"/>
    <cellStyle name="Porcentagem 4 4 2" xfId="40319" xr:uid="{00000000-0005-0000-0000-00002C9C0000}"/>
    <cellStyle name="Porcentagem 4 4 2 2" xfId="40320" xr:uid="{00000000-0005-0000-0000-00002D9C0000}"/>
    <cellStyle name="Porcentagem 4 4 2 3" xfId="40321" xr:uid="{00000000-0005-0000-0000-00002E9C0000}"/>
    <cellStyle name="Porcentagem 4 4 2 4" xfId="40322" xr:uid="{00000000-0005-0000-0000-00002F9C0000}"/>
    <cellStyle name="Porcentagem 4 4 3" xfId="40323" xr:uid="{00000000-0005-0000-0000-0000309C0000}"/>
    <cellStyle name="Porcentagem 4 4 3 2" xfId="40324" xr:uid="{00000000-0005-0000-0000-0000319C0000}"/>
    <cellStyle name="Porcentagem 4 4 3 3" xfId="40325" xr:uid="{00000000-0005-0000-0000-0000329C0000}"/>
    <cellStyle name="Porcentagem 4 4 3 4" xfId="40326" xr:uid="{00000000-0005-0000-0000-0000339C0000}"/>
    <cellStyle name="Porcentagem 4 4 4" xfId="40327" xr:uid="{00000000-0005-0000-0000-0000349C0000}"/>
    <cellStyle name="Porcentagem 4 4 5" xfId="40328" xr:uid="{00000000-0005-0000-0000-0000359C0000}"/>
    <cellStyle name="Porcentagem 4 4 6" xfId="40329" xr:uid="{00000000-0005-0000-0000-0000369C0000}"/>
    <cellStyle name="Porcentagem 4 5" xfId="40330" xr:uid="{00000000-0005-0000-0000-0000379C0000}"/>
    <cellStyle name="Porcentagem 4 5 2" xfId="40331" xr:uid="{00000000-0005-0000-0000-0000389C0000}"/>
    <cellStyle name="Porcentagem 4 5 2 2" xfId="40332" xr:uid="{00000000-0005-0000-0000-0000399C0000}"/>
    <cellStyle name="Porcentagem 4 5 2 3" xfId="40333" xr:uid="{00000000-0005-0000-0000-00003A9C0000}"/>
    <cellStyle name="Porcentagem 4 5 2 4" xfId="40334" xr:uid="{00000000-0005-0000-0000-00003B9C0000}"/>
    <cellStyle name="Porcentagem 4 5 3" xfId="40335" xr:uid="{00000000-0005-0000-0000-00003C9C0000}"/>
    <cellStyle name="Porcentagem 4 5 3 2" xfId="40336" xr:uid="{00000000-0005-0000-0000-00003D9C0000}"/>
    <cellStyle name="Porcentagem 4 5 3 3" xfId="40337" xr:uid="{00000000-0005-0000-0000-00003E9C0000}"/>
    <cellStyle name="Porcentagem 4 5 3 4" xfId="40338" xr:uid="{00000000-0005-0000-0000-00003F9C0000}"/>
    <cellStyle name="Porcentagem 4 5 4" xfId="40339" xr:uid="{00000000-0005-0000-0000-0000409C0000}"/>
    <cellStyle name="Porcentagem 4 5 5" xfId="40340" xr:uid="{00000000-0005-0000-0000-0000419C0000}"/>
    <cellStyle name="Porcentagem 4 5 6" xfId="40341" xr:uid="{00000000-0005-0000-0000-0000429C0000}"/>
    <cellStyle name="Porcentagem 4 6" xfId="40342" xr:uid="{00000000-0005-0000-0000-0000439C0000}"/>
    <cellStyle name="Porcentagem 4 6 2" xfId="40343" xr:uid="{00000000-0005-0000-0000-0000449C0000}"/>
    <cellStyle name="Porcentagem 4 6 2 2" xfId="40344" xr:uid="{00000000-0005-0000-0000-0000459C0000}"/>
    <cellStyle name="Porcentagem 4 6 2 3" xfId="40345" xr:uid="{00000000-0005-0000-0000-0000469C0000}"/>
    <cellStyle name="Porcentagem 4 6 2 4" xfId="40346" xr:uid="{00000000-0005-0000-0000-0000479C0000}"/>
    <cellStyle name="Porcentagem 4 6 3" xfId="40347" xr:uid="{00000000-0005-0000-0000-0000489C0000}"/>
    <cellStyle name="Porcentagem 4 6 3 2" xfId="40348" xr:uid="{00000000-0005-0000-0000-0000499C0000}"/>
    <cellStyle name="Porcentagem 4 6 3 3" xfId="40349" xr:uid="{00000000-0005-0000-0000-00004A9C0000}"/>
    <cellStyle name="Porcentagem 4 6 3 4" xfId="40350" xr:uid="{00000000-0005-0000-0000-00004B9C0000}"/>
    <cellStyle name="Porcentagem 4 6 4" xfId="40351" xr:uid="{00000000-0005-0000-0000-00004C9C0000}"/>
    <cellStyle name="Porcentagem 4 6 5" xfId="40352" xr:uid="{00000000-0005-0000-0000-00004D9C0000}"/>
    <cellStyle name="Porcentagem 4 6 6" xfId="40353" xr:uid="{00000000-0005-0000-0000-00004E9C0000}"/>
    <cellStyle name="Porcentagem 4 7" xfId="40354" xr:uid="{00000000-0005-0000-0000-00004F9C0000}"/>
    <cellStyle name="Porcentagem 4 7 2" xfId="40355" xr:uid="{00000000-0005-0000-0000-0000509C0000}"/>
    <cellStyle name="Porcentagem 4 7 2 2" xfId="40356" xr:uid="{00000000-0005-0000-0000-0000519C0000}"/>
    <cellStyle name="Porcentagem 4 7 2 3" xfId="40357" xr:uid="{00000000-0005-0000-0000-0000529C0000}"/>
    <cellStyle name="Porcentagem 4 7 2 4" xfId="40358" xr:uid="{00000000-0005-0000-0000-0000539C0000}"/>
    <cellStyle name="Porcentagem 4 7 3" xfId="40359" xr:uid="{00000000-0005-0000-0000-0000549C0000}"/>
    <cellStyle name="Porcentagem 4 7 3 2" xfId="40360" xr:uid="{00000000-0005-0000-0000-0000559C0000}"/>
    <cellStyle name="Porcentagem 4 7 3 3" xfId="40361" xr:uid="{00000000-0005-0000-0000-0000569C0000}"/>
    <cellStyle name="Porcentagem 4 7 3 4" xfId="40362" xr:uid="{00000000-0005-0000-0000-0000579C0000}"/>
    <cellStyle name="Porcentagem 4 7 4" xfId="40363" xr:uid="{00000000-0005-0000-0000-0000589C0000}"/>
    <cellStyle name="Porcentagem 4 7 5" xfId="40364" xr:uid="{00000000-0005-0000-0000-0000599C0000}"/>
    <cellStyle name="Porcentagem 4 7 6" xfId="40365" xr:uid="{00000000-0005-0000-0000-00005A9C0000}"/>
    <cellStyle name="Porcentagem 4 8" xfId="40366" xr:uid="{00000000-0005-0000-0000-00005B9C0000}"/>
    <cellStyle name="Porcentagem 4 8 2" xfId="40367" xr:uid="{00000000-0005-0000-0000-00005C9C0000}"/>
    <cellStyle name="Porcentagem 4 8 2 2" xfId="40368" xr:uid="{00000000-0005-0000-0000-00005D9C0000}"/>
    <cellStyle name="Porcentagem 4 8 2 3" xfId="40369" xr:uid="{00000000-0005-0000-0000-00005E9C0000}"/>
    <cellStyle name="Porcentagem 4 8 2 4" xfId="40370" xr:uid="{00000000-0005-0000-0000-00005F9C0000}"/>
    <cellStyle name="Porcentagem 4 8 3" xfId="40371" xr:uid="{00000000-0005-0000-0000-0000609C0000}"/>
    <cellStyle name="Porcentagem 4 8 3 2" xfId="40372" xr:uid="{00000000-0005-0000-0000-0000619C0000}"/>
    <cellStyle name="Porcentagem 4 8 3 3" xfId="40373" xr:uid="{00000000-0005-0000-0000-0000629C0000}"/>
    <cellStyle name="Porcentagem 4 8 3 4" xfId="40374" xr:uid="{00000000-0005-0000-0000-0000639C0000}"/>
    <cellStyle name="Porcentagem 4 8 4" xfId="40375" xr:uid="{00000000-0005-0000-0000-0000649C0000}"/>
    <cellStyle name="Porcentagem 4 8 5" xfId="40376" xr:uid="{00000000-0005-0000-0000-0000659C0000}"/>
    <cellStyle name="Porcentagem 4 8 6" xfId="40377" xr:uid="{00000000-0005-0000-0000-0000669C0000}"/>
    <cellStyle name="Porcentagem 4 9" xfId="40378" xr:uid="{00000000-0005-0000-0000-0000679C0000}"/>
    <cellStyle name="Porcentagem 4 9 2" xfId="40379" xr:uid="{00000000-0005-0000-0000-0000689C0000}"/>
    <cellStyle name="Porcentagem 4 9 2 2" xfId="40380" xr:uid="{00000000-0005-0000-0000-0000699C0000}"/>
    <cellStyle name="Porcentagem 4 9 2 3" xfId="40381" xr:uid="{00000000-0005-0000-0000-00006A9C0000}"/>
    <cellStyle name="Porcentagem 4 9 2 4" xfId="40382" xr:uid="{00000000-0005-0000-0000-00006B9C0000}"/>
    <cellStyle name="Porcentagem 4 9 3" xfId="40383" xr:uid="{00000000-0005-0000-0000-00006C9C0000}"/>
    <cellStyle name="Porcentagem 4 9 3 2" xfId="40384" xr:uid="{00000000-0005-0000-0000-00006D9C0000}"/>
    <cellStyle name="Porcentagem 4 9 3 3" xfId="40385" xr:uid="{00000000-0005-0000-0000-00006E9C0000}"/>
    <cellStyle name="Porcentagem 4 9 3 4" xfId="40386" xr:uid="{00000000-0005-0000-0000-00006F9C0000}"/>
    <cellStyle name="Porcentagem 4 9 4" xfId="40387" xr:uid="{00000000-0005-0000-0000-0000709C0000}"/>
    <cellStyle name="Porcentagem 4 9 5" xfId="40388" xr:uid="{00000000-0005-0000-0000-0000719C0000}"/>
    <cellStyle name="Porcentagem 4 9 6" xfId="40389" xr:uid="{00000000-0005-0000-0000-0000729C0000}"/>
    <cellStyle name="Porcentagem 5" xfId="1110" xr:uid="{00000000-0005-0000-0000-0000739C0000}"/>
    <cellStyle name="Porcentagem 5 2" xfId="1111" xr:uid="{00000000-0005-0000-0000-0000749C0000}"/>
    <cellStyle name="Porcentagem 5 2 2" xfId="40390" xr:uid="{00000000-0005-0000-0000-0000759C0000}"/>
    <cellStyle name="Porcentagem 5 3" xfId="1796" xr:uid="{00000000-0005-0000-0000-0000769C0000}"/>
    <cellStyle name="Porcentagem 5 3 2" xfId="40391" xr:uid="{00000000-0005-0000-0000-0000779C0000}"/>
    <cellStyle name="Porcentagem 5 4" xfId="1852" xr:uid="{00000000-0005-0000-0000-0000789C0000}"/>
    <cellStyle name="Porcentagem 5 4 2" xfId="2048" xr:uid="{00000000-0005-0000-0000-0000799C0000}"/>
    <cellStyle name="Porcentagem 5 4 2 2" xfId="2581" xr:uid="{00000000-0005-0000-0000-00007A9C0000}"/>
    <cellStyle name="Porcentagem 5 4 2 3" xfId="43374" xr:uid="{00000000-0005-0000-0000-00007B9C0000}"/>
    <cellStyle name="Porcentagem 5 4 3" xfId="2582" xr:uid="{00000000-0005-0000-0000-00007C9C0000}"/>
    <cellStyle name="Porcentagem 5 4 3 2" xfId="43375" xr:uid="{00000000-0005-0000-0000-00007D9C0000}"/>
    <cellStyle name="Porcentagem 5 4 4" xfId="2458" xr:uid="{00000000-0005-0000-0000-00007E9C0000}"/>
    <cellStyle name="Porcentagem 5 4 5" xfId="2385" xr:uid="{00000000-0005-0000-0000-00007F9C0000}"/>
    <cellStyle name="Porcentagem 5 4 6" xfId="43263" xr:uid="{00000000-0005-0000-0000-0000809C0000}"/>
    <cellStyle name="Porcentagem 5 5" xfId="1948" xr:uid="{00000000-0005-0000-0000-0000819C0000}"/>
    <cellStyle name="Porcentagem 5 5 2" xfId="2583" xr:uid="{00000000-0005-0000-0000-0000829C0000}"/>
    <cellStyle name="Porcentagem 5 5 3" xfId="43376" xr:uid="{00000000-0005-0000-0000-0000839C0000}"/>
    <cellStyle name="Porcentagem 5 6" xfId="2584" xr:uid="{00000000-0005-0000-0000-0000849C0000}"/>
    <cellStyle name="Porcentagem 5 6 2" xfId="43377" xr:uid="{00000000-0005-0000-0000-0000859C0000}"/>
    <cellStyle name="Porcentagem 5 7" xfId="2457" xr:uid="{00000000-0005-0000-0000-0000869C0000}"/>
    <cellStyle name="Porcentagem 5 8" xfId="2256" xr:uid="{00000000-0005-0000-0000-0000879C0000}"/>
    <cellStyle name="Porcentagem 5 9" xfId="43262" xr:uid="{00000000-0005-0000-0000-0000889C0000}"/>
    <cellStyle name="Porcentagem 6" xfId="1112" xr:uid="{00000000-0005-0000-0000-0000899C0000}"/>
    <cellStyle name="Porcentagem 6 2" xfId="1668" xr:uid="{00000000-0005-0000-0000-00008A9C0000}"/>
    <cellStyle name="Porcentagem 6 3" xfId="40392" xr:uid="{00000000-0005-0000-0000-00008B9C0000}"/>
    <cellStyle name="Porcentagem 6 4" xfId="40393" xr:uid="{00000000-0005-0000-0000-00008C9C0000}"/>
    <cellStyle name="Porcentagem 7" xfId="1113" xr:uid="{00000000-0005-0000-0000-00008D9C0000}"/>
    <cellStyle name="Porcentagem 7 2" xfId="1473" xr:uid="{00000000-0005-0000-0000-00008E9C0000}"/>
    <cellStyle name="Porcentagem 7 3" xfId="2585" xr:uid="{00000000-0005-0000-0000-00008F9C0000}"/>
    <cellStyle name="Porcentagem 7 3 2" xfId="43378" xr:uid="{00000000-0005-0000-0000-0000909C0000}"/>
    <cellStyle name="Porcentagem 8" xfId="1114" xr:uid="{00000000-0005-0000-0000-0000919C0000}"/>
    <cellStyle name="Porcentagem 8 2" xfId="40394" xr:uid="{00000000-0005-0000-0000-0000929C0000}"/>
    <cellStyle name="Porcentagem 9" xfId="1115" xr:uid="{00000000-0005-0000-0000-0000939C0000}"/>
    <cellStyle name="Porcentaje" xfId="40395" xr:uid="{00000000-0005-0000-0000-0000949C0000}"/>
    <cellStyle name="Porcentual 2" xfId="1116" xr:uid="{00000000-0005-0000-0000-0000959C0000}"/>
    <cellStyle name="Porcentual 2 10" xfId="40396" xr:uid="{00000000-0005-0000-0000-0000969C0000}"/>
    <cellStyle name="Porcentual 2 11" xfId="40397" xr:uid="{00000000-0005-0000-0000-0000979C0000}"/>
    <cellStyle name="Porcentual 2 12" xfId="40398" xr:uid="{00000000-0005-0000-0000-0000989C0000}"/>
    <cellStyle name="Porcentual 2 13" xfId="40399" xr:uid="{00000000-0005-0000-0000-0000999C0000}"/>
    <cellStyle name="Porcentual 2 14" xfId="40400" xr:uid="{00000000-0005-0000-0000-00009A9C0000}"/>
    <cellStyle name="Porcentual 2 15" xfId="40401" xr:uid="{00000000-0005-0000-0000-00009B9C0000}"/>
    <cellStyle name="Porcentual 2 16" xfId="40402" xr:uid="{00000000-0005-0000-0000-00009C9C0000}"/>
    <cellStyle name="Porcentual 2 17" xfId="40403" xr:uid="{00000000-0005-0000-0000-00009D9C0000}"/>
    <cellStyle name="Porcentual 2 18" xfId="40404" xr:uid="{00000000-0005-0000-0000-00009E9C0000}"/>
    <cellStyle name="Porcentual 2 19" xfId="40405" xr:uid="{00000000-0005-0000-0000-00009F9C0000}"/>
    <cellStyle name="Porcentual 2 2" xfId="40406" xr:uid="{00000000-0005-0000-0000-0000A09C0000}"/>
    <cellStyle name="Porcentual 2 20" xfId="40407" xr:uid="{00000000-0005-0000-0000-0000A19C0000}"/>
    <cellStyle name="Porcentual 2 21" xfId="40408" xr:uid="{00000000-0005-0000-0000-0000A29C0000}"/>
    <cellStyle name="Porcentual 2 22" xfId="40409" xr:uid="{00000000-0005-0000-0000-0000A39C0000}"/>
    <cellStyle name="Porcentual 2 23" xfId="40410" xr:uid="{00000000-0005-0000-0000-0000A49C0000}"/>
    <cellStyle name="Porcentual 2 24" xfId="40411" xr:uid="{00000000-0005-0000-0000-0000A59C0000}"/>
    <cellStyle name="Porcentual 2 25" xfId="40412" xr:uid="{00000000-0005-0000-0000-0000A69C0000}"/>
    <cellStyle name="Porcentual 2 3" xfId="40413" xr:uid="{00000000-0005-0000-0000-0000A79C0000}"/>
    <cellStyle name="Porcentual 2 4" xfId="40414" xr:uid="{00000000-0005-0000-0000-0000A89C0000}"/>
    <cellStyle name="Porcentual 2 5" xfId="40415" xr:uid="{00000000-0005-0000-0000-0000A99C0000}"/>
    <cellStyle name="Porcentual 2 6" xfId="40416" xr:uid="{00000000-0005-0000-0000-0000AA9C0000}"/>
    <cellStyle name="Porcentual 2 7" xfId="40417" xr:uid="{00000000-0005-0000-0000-0000AB9C0000}"/>
    <cellStyle name="Porcentual 2 8" xfId="40418" xr:uid="{00000000-0005-0000-0000-0000AC9C0000}"/>
    <cellStyle name="Porcentual 2 9" xfId="40419" xr:uid="{00000000-0005-0000-0000-0000AD9C0000}"/>
    <cellStyle name="Porcentual 3" xfId="1117" xr:uid="{00000000-0005-0000-0000-0000AE9C0000}"/>
    <cellStyle name="Porcentual 3 10" xfId="40420" xr:uid="{00000000-0005-0000-0000-0000AF9C0000}"/>
    <cellStyle name="Porcentual 3 11" xfId="40421" xr:uid="{00000000-0005-0000-0000-0000B09C0000}"/>
    <cellStyle name="Porcentual 3 12" xfId="40422" xr:uid="{00000000-0005-0000-0000-0000B19C0000}"/>
    <cellStyle name="Porcentual 3 13" xfId="40423" xr:uid="{00000000-0005-0000-0000-0000B29C0000}"/>
    <cellStyle name="Porcentual 3 14" xfId="40424" xr:uid="{00000000-0005-0000-0000-0000B39C0000}"/>
    <cellStyle name="Porcentual 3 15" xfId="40425" xr:uid="{00000000-0005-0000-0000-0000B49C0000}"/>
    <cellStyle name="Porcentual 3 16" xfId="40426" xr:uid="{00000000-0005-0000-0000-0000B59C0000}"/>
    <cellStyle name="Porcentual 3 17" xfId="40427" xr:uid="{00000000-0005-0000-0000-0000B69C0000}"/>
    <cellStyle name="Porcentual 3 18" xfId="40428" xr:uid="{00000000-0005-0000-0000-0000B79C0000}"/>
    <cellStyle name="Porcentual 3 19" xfId="40429" xr:uid="{00000000-0005-0000-0000-0000B89C0000}"/>
    <cellStyle name="Porcentual 3 2" xfId="40430" xr:uid="{00000000-0005-0000-0000-0000B99C0000}"/>
    <cellStyle name="Porcentual 3 20" xfId="40431" xr:uid="{00000000-0005-0000-0000-0000BA9C0000}"/>
    <cellStyle name="Porcentual 3 21" xfId="40432" xr:uid="{00000000-0005-0000-0000-0000BB9C0000}"/>
    <cellStyle name="Porcentual 3 22" xfId="40433" xr:uid="{00000000-0005-0000-0000-0000BC9C0000}"/>
    <cellStyle name="Porcentual 3 23" xfId="40434" xr:uid="{00000000-0005-0000-0000-0000BD9C0000}"/>
    <cellStyle name="Porcentual 3 24" xfId="40435" xr:uid="{00000000-0005-0000-0000-0000BE9C0000}"/>
    <cellStyle name="Porcentual 3 25" xfId="40436" xr:uid="{00000000-0005-0000-0000-0000BF9C0000}"/>
    <cellStyle name="Porcentual 3 3" xfId="40437" xr:uid="{00000000-0005-0000-0000-0000C09C0000}"/>
    <cellStyle name="Porcentual 3 4" xfId="40438" xr:uid="{00000000-0005-0000-0000-0000C19C0000}"/>
    <cellStyle name="Porcentual 3 5" xfId="40439" xr:uid="{00000000-0005-0000-0000-0000C29C0000}"/>
    <cellStyle name="Porcentual 3 6" xfId="40440" xr:uid="{00000000-0005-0000-0000-0000C39C0000}"/>
    <cellStyle name="Porcentual 3 7" xfId="40441" xr:uid="{00000000-0005-0000-0000-0000C49C0000}"/>
    <cellStyle name="Porcentual 3 8" xfId="40442" xr:uid="{00000000-0005-0000-0000-0000C59C0000}"/>
    <cellStyle name="Porcentual 3 9" xfId="40443" xr:uid="{00000000-0005-0000-0000-0000C69C0000}"/>
    <cellStyle name="Porcentual_Cálculo del FC" xfId="1669" xr:uid="{00000000-0005-0000-0000-0000C79C0000}"/>
    <cellStyle name="Pourcentage_TEMPTRAN" xfId="40444" xr:uid="{00000000-0005-0000-0000-0000C89C0000}"/>
    <cellStyle name="Premissas" xfId="850" xr:uid="{00000000-0005-0000-0000-0000C99C0000}"/>
    <cellStyle name="Premissas 10" xfId="43264" xr:uid="{00000000-0005-0000-0000-0000CA9C0000}"/>
    <cellStyle name="Premissas 2" xfId="1118" xr:uid="{00000000-0005-0000-0000-0000CB9C0000}"/>
    <cellStyle name="Premissas 2 2" xfId="1853" xr:uid="{00000000-0005-0000-0000-0000CC9C0000}"/>
    <cellStyle name="Premissas 2 2 2" xfId="2049" xr:uid="{00000000-0005-0000-0000-0000CD9C0000}"/>
    <cellStyle name="Premissas 2 2 2 2" xfId="43379" xr:uid="{00000000-0005-0000-0000-0000CE9C0000}"/>
    <cellStyle name="Premissas 2 2 3" xfId="2459" xr:uid="{00000000-0005-0000-0000-0000CF9C0000}"/>
    <cellStyle name="Premissas 2 2 4" xfId="43266" xr:uid="{00000000-0005-0000-0000-0000D09C0000}"/>
    <cellStyle name="Premissas 2 3" xfId="2586" xr:uid="{00000000-0005-0000-0000-0000D19C0000}"/>
    <cellStyle name="Premissas 2 3 2" xfId="43380" xr:uid="{00000000-0005-0000-0000-0000D29C0000}"/>
    <cellStyle name="Premissas 2 4" xfId="43265" xr:uid="{00000000-0005-0000-0000-0000D39C0000}"/>
    <cellStyle name="Premissas 3" xfId="1824" xr:uid="{00000000-0005-0000-0000-0000D49C0000}"/>
    <cellStyle name="Premissas 3 2" xfId="2030" xr:uid="{00000000-0005-0000-0000-0000D59C0000}"/>
    <cellStyle name="Premissas 3 2 2" xfId="43381" xr:uid="{00000000-0005-0000-0000-0000D69C0000}"/>
    <cellStyle name="Premissas 3 3" xfId="2460" xr:uid="{00000000-0005-0000-0000-0000D79C0000}"/>
    <cellStyle name="Premissas 3 4" xfId="43267" xr:uid="{00000000-0005-0000-0000-0000D89C0000}"/>
    <cellStyle name="Premissas 4" xfId="40445" xr:uid="{00000000-0005-0000-0000-0000D99C0000}"/>
    <cellStyle name="Premissas 5" xfId="40446" xr:uid="{00000000-0005-0000-0000-0000DA9C0000}"/>
    <cellStyle name="Premissas 6" xfId="40447" xr:uid="{00000000-0005-0000-0000-0000DB9C0000}"/>
    <cellStyle name="Premissas 7" xfId="40448" xr:uid="{00000000-0005-0000-0000-0000DC9C0000}"/>
    <cellStyle name="Premissas 8" xfId="40449" xr:uid="{00000000-0005-0000-0000-0000DD9C0000}"/>
    <cellStyle name="Premissas 9" xfId="40450" xr:uid="{00000000-0005-0000-0000-0000DE9C0000}"/>
    <cellStyle name="PrePop Currency (0)" xfId="851" xr:uid="{00000000-0005-0000-0000-0000DF9C0000}"/>
    <cellStyle name="PrePop Currency (0) 2" xfId="1119" xr:uid="{00000000-0005-0000-0000-0000E09C0000}"/>
    <cellStyle name="PrePop Currency (0) 3" xfId="40451" xr:uid="{00000000-0005-0000-0000-0000E19C0000}"/>
    <cellStyle name="PrePop Currency (0)_IRT_Planilha Básica_ v2010_CERRP" xfId="1775" xr:uid="{00000000-0005-0000-0000-0000E29C0000}"/>
    <cellStyle name="PrePop Currency (2)" xfId="852" xr:uid="{00000000-0005-0000-0000-0000E39C0000}"/>
    <cellStyle name="PrePop Units (0)" xfId="853" xr:uid="{00000000-0005-0000-0000-0000E49C0000}"/>
    <cellStyle name="PrePop Units (0) 2" xfId="1120" xr:uid="{00000000-0005-0000-0000-0000E59C0000}"/>
    <cellStyle name="PrePop Units (0) 3" xfId="40452" xr:uid="{00000000-0005-0000-0000-0000E69C0000}"/>
    <cellStyle name="PrePop Units (0)_IRT_Planilha Básica_ v2010_CERRP" xfId="1776" xr:uid="{00000000-0005-0000-0000-0000E79C0000}"/>
    <cellStyle name="PrePop Units (1)" xfId="854" xr:uid="{00000000-0005-0000-0000-0000E89C0000}"/>
    <cellStyle name="PrePop Units (1) 2" xfId="1121" xr:uid="{00000000-0005-0000-0000-0000E99C0000}"/>
    <cellStyle name="PrePop Units (1) 3" xfId="40453" xr:uid="{00000000-0005-0000-0000-0000EA9C0000}"/>
    <cellStyle name="PrePop Units (1)_IRT_Planilha Básica_ v2010_CERRP" xfId="1777" xr:uid="{00000000-0005-0000-0000-0000EB9C0000}"/>
    <cellStyle name="PrePop Units (2)" xfId="855" xr:uid="{00000000-0005-0000-0000-0000EC9C0000}"/>
    <cellStyle name="Price_Body" xfId="40454" xr:uid="{00000000-0005-0000-0000-0000ED9C0000}"/>
    <cellStyle name="Projeções" xfId="856" xr:uid="{00000000-0005-0000-0000-0000EE9C0000}"/>
    <cellStyle name="Protected" xfId="40455" xr:uid="{00000000-0005-0000-0000-0000EF9C0000}"/>
    <cellStyle name="PSChar" xfId="40456" xr:uid="{00000000-0005-0000-0000-0000F09C0000}"/>
    <cellStyle name="PSDate" xfId="40457" xr:uid="{00000000-0005-0000-0000-0000F19C0000}"/>
    <cellStyle name="PSDec" xfId="40458" xr:uid="{00000000-0005-0000-0000-0000F29C0000}"/>
    <cellStyle name="PSHeading" xfId="40459" xr:uid="{00000000-0005-0000-0000-0000F39C0000}"/>
    <cellStyle name="PSInt" xfId="40460" xr:uid="{00000000-0005-0000-0000-0000F49C0000}"/>
    <cellStyle name="PSSpacer" xfId="40461" xr:uid="{00000000-0005-0000-0000-0000F59C0000}"/>
    <cellStyle name="Punto0" xfId="40462" xr:uid="{00000000-0005-0000-0000-0000F69C0000}"/>
    <cellStyle name="Punto0 2" xfId="40463" xr:uid="{00000000-0005-0000-0000-0000F79C0000}"/>
    <cellStyle name="Punto0 3" xfId="40464" xr:uid="{00000000-0005-0000-0000-0000F89C0000}"/>
    <cellStyle name="Qté calculées" xfId="40465" xr:uid="{00000000-0005-0000-0000-0000F99C0000}"/>
    <cellStyle name="QTé entrées" xfId="40466" xr:uid="{00000000-0005-0000-0000-0000FA9C0000}"/>
    <cellStyle name="RAMEY" xfId="857" xr:uid="{00000000-0005-0000-0000-0000FB9C0000}"/>
    <cellStyle name="Ramey $k" xfId="858" xr:uid="{00000000-0005-0000-0000-0000FC9C0000}"/>
    <cellStyle name="Ramey $k 2" xfId="40467" xr:uid="{00000000-0005-0000-0000-0000FD9C0000}"/>
    <cellStyle name="Ramey $k 3" xfId="40468" xr:uid="{00000000-0005-0000-0000-0000FE9C0000}"/>
    <cellStyle name="RAMEY_P&amp;O BKUP" xfId="859" xr:uid="{00000000-0005-0000-0000-0000FF9C0000}"/>
    <cellStyle name="Red Text" xfId="40469" xr:uid="{00000000-0005-0000-0000-0000009D0000}"/>
    <cellStyle name="RM" xfId="40470" xr:uid="{00000000-0005-0000-0000-0000019D0000}"/>
    <cellStyle name="RowLevel_1_OUTPUT2" xfId="1122" xr:uid="{00000000-0005-0000-0000-0000029D0000}"/>
    <cellStyle name="Saída" xfId="860" xr:uid="{00000000-0005-0000-0000-0000039D0000}"/>
    <cellStyle name="Saída 10" xfId="40471" xr:uid="{00000000-0005-0000-0000-0000049D0000}"/>
    <cellStyle name="Saída 2" xfId="1123" xr:uid="{00000000-0005-0000-0000-0000059D0000}"/>
    <cellStyle name="Saída 2 2" xfId="1854" xr:uid="{00000000-0005-0000-0000-0000069D0000}"/>
    <cellStyle name="Saída 2 2 2" xfId="2050" xr:uid="{00000000-0005-0000-0000-0000079D0000}"/>
    <cellStyle name="Saída 2 2 3" xfId="2109" xr:uid="{00000000-0005-0000-0000-0000089D0000}"/>
    <cellStyle name="Saída 2 2 4" xfId="2611" xr:uid="{00000000-0005-0000-0000-0000099D0000}"/>
    <cellStyle name="Saída 2 2 5" xfId="2226" xr:uid="{00000000-0005-0000-0000-00000A9D0000}"/>
    <cellStyle name="Saída 2 3" xfId="1949" xr:uid="{00000000-0005-0000-0000-00000B9D0000}"/>
    <cellStyle name="Saída 2 4" xfId="2350" xr:uid="{00000000-0005-0000-0000-00000C9D0000}"/>
    <cellStyle name="Saída 3" xfId="1778" xr:uid="{00000000-0005-0000-0000-00000D9D0000}"/>
    <cellStyle name="Saída 3 2" xfId="2011" xr:uid="{00000000-0005-0000-0000-00000E9D0000}"/>
    <cellStyle name="Saída 3 3" xfId="2080" xr:uid="{00000000-0005-0000-0000-00000F9D0000}"/>
    <cellStyle name="Saída 3 4" xfId="2136" xr:uid="{00000000-0005-0000-0000-0000109D0000}"/>
    <cellStyle name="Saída 3 5" xfId="2178" xr:uid="{00000000-0005-0000-0000-0000119D0000}"/>
    <cellStyle name="Saída 4" xfId="1916" xr:uid="{00000000-0005-0000-0000-0000129D0000}"/>
    <cellStyle name="Saída 4 2" xfId="40472" xr:uid="{00000000-0005-0000-0000-0000139D0000}"/>
    <cellStyle name="Saída 5" xfId="2157" xr:uid="{00000000-0005-0000-0000-0000149D0000}"/>
    <cellStyle name="Saída 6" xfId="40473" xr:uid="{00000000-0005-0000-0000-0000159D0000}"/>
    <cellStyle name="Saída 7" xfId="40474" xr:uid="{00000000-0005-0000-0000-0000169D0000}"/>
    <cellStyle name="Saída 8" xfId="40475" xr:uid="{00000000-0005-0000-0000-0000179D0000}"/>
    <cellStyle name="Saída 9" xfId="40476" xr:uid="{00000000-0005-0000-0000-0000189D0000}"/>
    <cellStyle name="Salida" xfId="1124" xr:uid="{00000000-0005-0000-0000-0000199D0000}"/>
    <cellStyle name="Salida 2" xfId="1855" xr:uid="{00000000-0005-0000-0000-00001A9D0000}"/>
    <cellStyle name="Salida 2 2" xfId="2051" xr:uid="{00000000-0005-0000-0000-00001B9D0000}"/>
    <cellStyle name="Salida 2 3" xfId="2110" xr:uid="{00000000-0005-0000-0000-00001C9D0000}"/>
    <cellStyle name="Salida 2 4" xfId="2612" xr:uid="{00000000-0005-0000-0000-00001D9D0000}"/>
    <cellStyle name="Salida 2 5" xfId="2301" xr:uid="{00000000-0005-0000-0000-00001E9D0000}"/>
    <cellStyle name="Salida 3" xfId="1950" xr:uid="{00000000-0005-0000-0000-00001F9D0000}"/>
    <cellStyle name="Salida 4" xfId="2209" xr:uid="{00000000-0005-0000-0000-0000209D0000}"/>
    <cellStyle name="SAN" xfId="1670" xr:uid="{00000000-0005-0000-0000-0000219D0000}"/>
    <cellStyle name="SAPBEXaggData" xfId="1671" xr:uid="{00000000-0005-0000-0000-0000229D0000}"/>
    <cellStyle name="SAPBEXaggData 2" xfId="1974" xr:uid="{00000000-0005-0000-0000-0000239D0000}"/>
    <cellStyle name="SAPBEXaggData 2 2" xfId="40477" xr:uid="{00000000-0005-0000-0000-0000249D0000}"/>
    <cellStyle name="SAPBEXaggData 3" xfId="1905" xr:uid="{00000000-0005-0000-0000-0000259D0000}"/>
    <cellStyle name="SAPBEXaggData 4" xfId="2156" xr:uid="{00000000-0005-0000-0000-0000269D0000}"/>
    <cellStyle name="SAPBEXaggData 5" xfId="2587" xr:uid="{00000000-0005-0000-0000-0000279D0000}"/>
    <cellStyle name="SAPBEXaggDataEmph" xfId="1672" xr:uid="{00000000-0005-0000-0000-0000289D0000}"/>
    <cellStyle name="SAPBEXaggDataEmph 2" xfId="1975" xr:uid="{00000000-0005-0000-0000-0000299D0000}"/>
    <cellStyle name="SAPBEXaggDataEmph 2 2" xfId="40478" xr:uid="{00000000-0005-0000-0000-00002A9D0000}"/>
    <cellStyle name="SAPBEXaggDataEmph 3" xfId="1961" xr:uid="{00000000-0005-0000-0000-00002B9D0000}"/>
    <cellStyle name="SAPBEXaggDataEmph 4" xfId="2155" xr:uid="{00000000-0005-0000-0000-00002C9D0000}"/>
    <cellStyle name="SAPBEXaggDataEmph 5" xfId="2332" xr:uid="{00000000-0005-0000-0000-00002D9D0000}"/>
    <cellStyle name="SAPBEXaggItem" xfId="1673" xr:uid="{00000000-0005-0000-0000-00002E9D0000}"/>
    <cellStyle name="SAPBEXaggItem 2" xfId="1976" xr:uid="{00000000-0005-0000-0000-00002F9D0000}"/>
    <cellStyle name="SAPBEXaggItem 2 2" xfId="40479" xr:uid="{00000000-0005-0000-0000-0000309D0000}"/>
    <cellStyle name="SAPBEXaggItem 3" xfId="1904" xr:uid="{00000000-0005-0000-0000-0000319D0000}"/>
    <cellStyle name="SAPBEXaggItem 4" xfId="2154" xr:uid="{00000000-0005-0000-0000-0000329D0000}"/>
    <cellStyle name="SAPBEXaggItem 5" xfId="2212" xr:uid="{00000000-0005-0000-0000-0000339D0000}"/>
    <cellStyle name="SAPBEXaggItemX" xfId="1674" xr:uid="{00000000-0005-0000-0000-0000349D0000}"/>
    <cellStyle name="SAPBEXaggItemX 2" xfId="1977" xr:uid="{00000000-0005-0000-0000-0000359D0000}"/>
    <cellStyle name="SAPBEXaggItemX 2 2" xfId="40480" xr:uid="{00000000-0005-0000-0000-0000369D0000}"/>
    <cellStyle name="SAPBEXaggItemX 3" xfId="1903" xr:uid="{00000000-0005-0000-0000-0000379D0000}"/>
    <cellStyle name="SAPBEXaggItemX 4" xfId="2289" xr:uid="{00000000-0005-0000-0000-0000389D0000}"/>
    <cellStyle name="SAPBEXaggItemX 5" xfId="2257" xr:uid="{00000000-0005-0000-0000-0000399D0000}"/>
    <cellStyle name="SAPBEXchaText" xfId="1675" xr:uid="{00000000-0005-0000-0000-00003A9D0000}"/>
    <cellStyle name="SAPBEXchaText 2" xfId="40481" xr:uid="{00000000-0005-0000-0000-00003B9D0000}"/>
    <cellStyle name="SAPBEXchaText 2 2" xfId="40482" xr:uid="{00000000-0005-0000-0000-00003C9D0000}"/>
    <cellStyle name="SAPBEXchaText 3" xfId="40483" xr:uid="{00000000-0005-0000-0000-00003D9D0000}"/>
    <cellStyle name="SAPBEXexcBad7" xfId="1676" xr:uid="{00000000-0005-0000-0000-00003E9D0000}"/>
    <cellStyle name="SAPBEXexcBad7 2" xfId="1978" xr:uid="{00000000-0005-0000-0000-00003F9D0000}"/>
    <cellStyle name="SAPBEXexcBad7 2 2" xfId="40484" xr:uid="{00000000-0005-0000-0000-0000409D0000}"/>
    <cellStyle name="SAPBEXexcBad7 3" xfId="1970" xr:uid="{00000000-0005-0000-0000-0000419D0000}"/>
    <cellStyle name="SAPBEXexcBad7 4" xfId="2153" xr:uid="{00000000-0005-0000-0000-0000429D0000}"/>
    <cellStyle name="SAPBEXexcBad7 5" xfId="2353" xr:uid="{00000000-0005-0000-0000-0000439D0000}"/>
    <cellStyle name="SAPBEXexcBad8" xfId="1677" xr:uid="{00000000-0005-0000-0000-0000449D0000}"/>
    <cellStyle name="SAPBEXexcBad8 2" xfId="1979" xr:uid="{00000000-0005-0000-0000-0000459D0000}"/>
    <cellStyle name="SAPBEXexcBad8 2 2" xfId="40485" xr:uid="{00000000-0005-0000-0000-0000469D0000}"/>
    <cellStyle name="SAPBEXexcBad8 3" xfId="1969" xr:uid="{00000000-0005-0000-0000-0000479D0000}"/>
    <cellStyle name="SAPBEXexcBad8 4" xfId="2152" xr:uid="{00000000-0005-0000-0000-0000489D0000}"/>
    <cellStyle name="SAPBEXexcBad8 5" xfId="2295" xr:uid="{00000000-0005-0000-0000-0000499D0000}"/>
    <cellStyle name="SAPBEXexcBad9" xfId="1678" xr:uid="{00000000-0005-0000-0000-00004A9D0000}"/>
    <cellStyle name="SAPBEXexcBad9 2" xfId="1980" xr:uid="{00000000-0005-0000-0000-00004B9D0000}"/>
    <cellStyle name="SAPBEXexcBad9 2 2" xfId="40486" xr:uid="{00000000-0005-0000-0000-00004C9D0000}"/>
    <cellStyle name="SAPBEXexcBad9 3" xfId="1968" xr:uid="{00000000-0005-0000-0000-00004D9D0000}"/>
    <cellStyle name="SAPBEXexcBad9 4" xfId="2288" xr:uid="{00000000-0005-0000-0000-00004E9D0000}"/>
    <cellStyle name="SAPBEXexcBad9 5" xfId="2213" xr:uid="{00000000-0005-0000-0000-00004F9D0000}"/>
    <cellStyle name="SAPBEXexcCritical4" xfId="1679" xr:uid="{00000000-0005-0000-0000-0000509D0000}"/>
    <cellStyle name="SAPBEXexcCritical4 2" xfId="1981" xr:uid="{00000000-0005-0000-0000-0000519D0000}"/>
    <cellStyle name="SAPBEXexcCritical4 2 2" xfId="40487" xr:uid="{00000000-0005-0000-0000-0000529D0000}"/>
    <cellStyle name="SAPBEXexcCritical4 3" xfId="1902" xr:uid="{00000000-0005-0000-0000-0000539D0000}"/>
    <cellStyle name="SAPBEXexcCritical4 4" xfId="2151" xr:uid="{00000000-0005-0000-0000-0000549D0000}"/>
    <cellStyle name="SAPBEXexcCritical4 5" xfId="2158" xr:uid="{00000000-0005-0000-0000-0000559D0000}"/>
    <cellStyle name="SAPBEXexcCritical5" xfId="1680" xr:uid="{00000000-0005-0000-0000-0000569D0000}"/>
    <cellStyle name="SAPBEXexcCritical5 2" xfId="1982" xr:uid="{00000000-0005-0000-0000-0000579D0000}"/>
    <cellStyle name="SAPBEXexcCritical5 2 2" xfId="40488" xr:uid="{00000000-0005-0000-0000-0000589D0000}"/>
    <cellStyle name="SAPBEXexcCritical5 3" xfId="1901" xr:uid="{00000000-0005-0000-0000-0000599D0000}"/>
    <cellStyle name="SAPBEXexcCritical5 4" xfId="2150" xr:uid="{00000000-0005-0000-0000-00005A9D0000}"/>
    <cellStyle name="SAPBEXexcCritical5 5" xfId="2214" xr:uid="{00000000-0005-0000-0000-00005B9D0000}"/>
    <cellStyle name="SAPBEXexcCritical6" xfId="1681" xr:uid="{00000000-0005-0000-0000-00005C9D0000}"/>
    <cellStyle name="SAPBEXexcCritical6 2" xfId="1983" xr:uid="{00000000-0005-0000-0000-00005D9D0000}"/>
    <cellStyle name="SAPBEXexcCritical6 2 2" xfId="40489" xr:uid="{00000000-0005-0000-0000-00005E9D0000}"/>
    <cellStyle name="SAPBEXexcCritical6 3" xfId="1960" xr:uid="{00000000-0005-0000-0000-00005F9D0000}"/>
    <cellStyle name="SAPBEXexcCritical6 4" xfId="2149" xr:uid="{00000000-0005-0000-0000-0000609D0000}"/>
    <cellStyle name="SAPBEXexcCritical6 5" xfId="2258" xr:uid="{00000000-0005-0000-0000-0000619D0000}"/>
    <cellStyle name="SAPBEXexcGood1" xfId="1682" xr:uid="{00000000-0005-0000-0000-0000629D0000}"/>
    <cellStyle name="SAPBEXexcGood1 2" xfId="1984" xr:uid="{00000000-0005-0000-0000-0000639D0000}"/>
    <cellStyle name="SAPBEXexcGood1 2 2" xfId="40490" xr:uid="{00000000-0005-0000-0000-0000649D0000}"/>
    <cellStyle name="SAPBEXexcGood1 3" xfId="1900" xr:uid="{00000000-0005-0000-0000-0000659D0000}"/>
    <cellStyle name="SAPBEXexcGood1 4" xfId="2287" xr:uid="{00000000-0005-0000-0000-0000669D0000}"/>
    <cellStyle name="SAPBEXexcGood1 5" xfId="2333" xr:uid="{00000000-0005-0000-0000-0000679D0000}"/>
    <cellStyle name="SAPBEXexcGood2" xfId="1683" xr:uid="{00000000-0005-0000-0000-0000689D0000}"/>
    <cellStyle name="SAPBEXexcGood2 2" xfId="1985" xr:uid="{00000000-0005-0000-0000-0000699D0000}"/>
    <cellStyle name="SAPBEXexcGood2 2 2" xfId="40491" xr:uid="{00000000-0005-0000-0000-00006A9D0000}"/>
    <cellStyle name="SAPBEXexcGood2 3" xfId="1967" xr:uid="{00000000-0005-0000-0000-00006B9D0000}"/>
    <cellStyle name="SAPBEXexcGood2 4" xfId="2148" xr:uid="{00000000-0005-0000-0000-00006C9D0000}"/>
    <cellStyle name="SAPBEXexcGood2 5" xfId="2354" xr:uid="{00000000-0005-0000-0000-00006D9D0000}"/>
    <cellStyle name="SAPBEXexcGood3" xfId="1684" xr:uid="{00000000-0005-0000-0000-00006E9D0000}"/>
    <cellStyle name="SAPBEXexcGood3 2" xfId="1986" xr:uid="{00000000-0005-0000-0000-00006F9D0000}"/>
    <cellStyle name="SAPBEXexcGood3 2 2" xfId="40492" xr:uid="{00000000-0005-0000-0000-0000709D0000}"/>
    <cellStyle name="SAPBEXexcGood3 3" xfId="1899" xr:uid="{00000000-0005-0000-0000-0000719D0000}"/>
    <cellStyle name="SAPBEXexcGood3 4" xfId="2147" xr:uid="{00000000-0005-0000-0000-0000729D0000}"/>
    <cellStyle name="SAPBEXexcGood3 5" xfId="2215" xr:uid="{00000000-0005-0000-0000-0000739D0000}"/>
    <cellStyle name="SAPBEXfilterDrill" xfId="1685" xr:uid="{00000000-0005-0000-0000-0000749D0000}"/>
    <cellStyle name="SAPBEXfilterDrill 2" xfId="40493" xr:uid="{00000000-0005-0000-0000-0000759D0000}"/>
    <cellStyle name="SAPBEXfilterDrill 2 2" xfId="40494" xr:uid="{00000000-0005-0000-0000-0000769D0000}"/>
    <cellStyle name="SAPBEXfilterItem" xfId="1686" xr:uid="{00000000-0005-0000-0000-0000779D0000}"/>
    <cellStyle name="SAPBEXfilterItem 2" xfId="40495" xr:uid="{00000000-0005-0000-0000-0000789D0000}"/>
    <cellStyle name="SAPBEXfilterItem 2 2" xfId="40496" xr:uid="{00000000-0005-0000-0000-0000799D0000}"/>
    <cellStyle name="SAPBEXfilterText" xfId="1687" xr:uid="{00000000-0005-0000-0000-00007A9D0000}"/>
    <cellStyle name="SAPBEXfilterText 2" xfId="40497" xr:uid="{00000000-0005-0000-0000-00007B9D0000}"/>
    <cellStyle name="SAPBEXformats" xfId="1688" xr:uid="{00000000-0005-0000-0000-00007C9D0000}"/>
    <cellStyle name="SAPBEXformats 2" xfId="1987" xr:uid="{00000000-0005-0000-0000-00007D9D0000}"/>
    <cellStyle name="SAPBEXformats 2 2" xfId="40498" xr:uid="{00000000-0005-0000-0000-00007E9D0000}"/>
    <cellStyle name="SAPBEXformats 3" xfId="1959" xr:uid="{00000000-0005-0000-0000-00007F9D0000}"/>
    <cellStyle name="SAPBEXformats 4" xfId="2146" xr:uid="{00000000-0005-0000-0000-0000809D0000}"/>
    <cellStyle name="SAPBEXformats 5" xfId="2355" xr:uid="{00000000-0005-0000-0000-0000819D0000}"/>
    <cellStyle name="SAPBEXheaderItem" xfId="1689" xr:uid="{00000000-0005-0000-0000-0000829D0000}"/>
    <cellStyle name="SAPBEXheaderItem 2" xfId="40499" xr:uid="{00000000-0005-0000-0000-0000839D0000}"/>
    <cellStyle name="SAPBEXheaderItem 2 2" xfId="40500" xr:uid="{00000000-0005-0000-0000-0000849D0000}"/>
    <cellStyle name="SAPBEXheaderText" xfId="1690" xr:uid="{00000000-0005-0000-0000-0000859D0000}"/>
    <cellStyle name="SAPBEXheaderText 2" xfId="40501" xr:uid="{00000000-0005-0000-0000-0000869D0000}"/>
    <cellStyle name="SAPBEXheaderText 2 2" xfId="40502" xr:uid="{00000000-0005-0000-0000-0000879D0000}"/>
    <cellStyle name="SAPBEXHLevel0" xfId="1691" xr:uid="{00000000-0005-0000-0000-0000889D0000}"/>
    <cellStyle name="SAPBEXHLevel0 2" xfId="1866" xr:uid="{00000000-0005-0000-0000-0000899D0000}"/>
    <cellStyle name="SAPBEXHLevel0 2 2" xfId="2114" xr:uid="{00000000-0005-0000-0000-00008A9D0000}"/>
    <cellStyle name="SAPBEXHLevel0 2 2 2" xfId="2656" xr:uid="{00000000-0005-0000-0000-00008B9D0000}"/>
    <cellStyle name="SAPBEXHLevel0 2 2 3" xfId="2195" xr:uid="{00000000-0005-0000-0000-00008C9D0000}"/>
    <cellStyle name="SAPBEXHLevel0 2 3" xfId="2616" xr:uid="{00000000-0005-0000-0000-00008D9D0000}"/>
    <cellStyle name="SAPBEXHLevel0 2 4" xfId="2361" xr:uid="{00000000-0005-0000-0000-00008E9D0000}"/>
    <cellStyle name="SAPBEXHLevel0 2 5" xfId="43269" xr:uid="{00000000-0005-0000-0000-00008F9D0000}"/>
    <cellStyle name="SAPBEXHLevel0 3" xfId="1988" xr:uid="{00000000-0005-0000-0000-0000909D0000}"/>
    <cellStyle name="SAPBEXHLevel0 3 2" xfId="2461" xr:uid="{00000000-0005-0000-0000-0000919D0000}"/>
    <cellStyle name="SAPBEXHLevel0 3 3" xfId="2655" xr:uid="{00000000-0005-0000-0000-0000929D0000}"/>
    <cellStyle name="SAPBEXHLevel0 3 4" xfId="2235" xr:uid="{00000000-0005-0000-0000-0000939D0000}"/>
    <cellStyle name="SAPBEXHLevel0 4" xfId="2216" xr:uid="{00000000-0005-0000-0000-0000949D0000}"/>
    <cellStyle name="SAPBEXHLevel0 5" xfId="43268" xr:uid="{00000000-0005-0000-0000-0000959D0000}"/>
    <cellStyle name="SAPBEXHLevel0X" xfId="1692" xr:uid="{00000000-0005-0000-0000-0000969D0000}"/>
    <cellStyle name="SAPBEXHLevel0X 2" xfId="1989" xr:uid="{00000000-0005-0000-0000-0000979D0000}"/>
    <cellStyle name="SAPBEXHLevel0X 2 2" xfId="40503" xr:uid="{00000000-0005-0000-0000-0000989D0000}"/>
    <cellStyle name="SAPBEXHLevel0X 3" xfId="1898" xr:uid="{00000000-0005-0000-0000-0000999D0000}"/>
    <cellStyle name="SAPBEXHLevel0X 4" xfId="2145" xr:uid="{00000000-0005-0000-0000-00009A9D0000}"/>
    <cellStyle name="SAPBEXHLevel0X 5" xfId="2217" xr:uid="{00000000-0005-0000-0000-00009B9D0000}"/>
    <cellStyle name="SAPBEXHLevel1" xfId="1693" xr:uid="{00000000-0005-0000-0000-00009C9D0000}"/>
    <cellStyle name="SAPBEXHLevel1 2" xfId="1867" xr:uid="{00000000-0005-0000-0000-00009D9D0000}"/>
    <cellStyle name="SAPBEXHLevel1 2 2" xfId="2115" xr:uid="{00000000-0005-0000-0000-00009E9D0000}"/>
    <cellStyle name="SAPBEXHLevel1 2 2 2" xfId="2658" xr:uid="{00000000-0005-0000-0000-00009F9D0000}"/>
    <cellStyle name="SAPBEXHLevel1 2 2 3" xfId="2327" xr:uid="{00000000-0005-0000-0000-0000A09D0000}"/>
    <cellStyle name="SAPBEXHLevel1 2 3" xfId="2617" xr:uid="{00000000-0005-0000-0000-0000A19D0000}"/>
    <cellStyle name="SAPBEXHLevel1 2 4" xfId="2162" xr:uid="{00000000-0005-0000-0000-0000A29D0000}"/>
    <cellStyle name="SAPBEXHLevel1 2 5" xfId="43271" xr:uid="{00000000-0005-0000-0000-0000A39D0000}"/>
    <cellStyle name="SAPBEXHLevel1 3" xfId="1990" xr:uid="{00000000-0005-0000-0000-0000A49D0000}"/>
    <cellStyle name="SAPBEXHLevel1 3 2" xfId="2462" xr:uid="{00000000-0005-0000-0000-0000A59D0000}"/>
    <cellStyle name="SAPBEXHLevel1 3 3" xfId="2657" xr:uid="{00000000-0005-0000-0000-0000A69D0000}"/>
    <cellStyle name="SAPBEXHLevel1 3 4" xfId="2236" xr:uid="{00000000-0005-0000-0000-0000A79D0000}"/>
    <cellStyle name="SAPBEXHLevel1 4" xfId="2173" xr:uid="{00000000-0005-0000-0000-0000A89D0000}"/>
    <cellStyle name="SAPBEXHLevel1 5" xfId="43270" xr:uid="{00000000-0005-0000-0000-0000A99D0000}"/>
    <cellStyle name="SAPBEXHLevel1X" xfId="1694" xr:uid="{00000000-0005-0000-0000-0000AA9D0000}"/>
    <cellStyle name="SAPBEXHLevel1X 2" xfId="1991" xr:uid="{00000000-0005-0000-0000-0000AB9D0000}"/>
    <cellStyle name="SAPBEXHLevel1X 2 2" xfId="40504" xr:uid="{00000000-0005-0000-0000-0000AC9D0000}"/>
    <cellStyle name="SAPBEXHLevel1X 3" xfId="1966" xr:uid="{00000000-0005-0000-0000-0000AD9D0000}"/>
    <cellStyle name="SAPBEXHLevel1X 4" xfId="2144" xr:uid="{00000000-0005-0000-0000-0000AE9D0000}"/>
    <cellStyle name="SAPBEXHLevel1X 5" xfId="2218" xr:uid="{00000000-0005-0000-0000-0000AF9D0000}"/>
    <cellStyle name="SAPBEXHLevel2" xfId="1695" xr:uid="{00000000-0005-0000-0000-0000B09D0000}"/>
    <cellStyle name="SAPBEXHLevel2 2" xfId="1868" xr:uid="{00000000-0005-0000-0000-0000B19D0000}"/>
    <cellStyle name="SAPBEXHLevel2 2 2" xfId="2116" xr:uid="{00000000-0005-0000-0000-0000B29D0000}"/>
    <cellStyle name="SAPBEXHLevel2 2 2 2" xfId="2660" xr:uid="{00000000-0005-0000-0000-0000B39D0000}"/>
    <cellStyle name="SAPBEXHLevel2 2 2 3" xfId="2221" xr:uid="{00000000-0005-0000-0000-0000B49D0000}"/>
    <cellStyle name="SAPBEXHLevel2 2 3" xfId="2618" xr:uid="{00000000-0005-0000-0000-0000B59D0000}"/>
    <cellStyle name="SAPBEXHLevel2 2 4" xfId="2291" xr:uid="{00000000-0005-0000-0000-0000B69D0000}"/>
    <cellStyle name="SAPBEXHLevel2 2 5" xfId="43273" xr:uid="{00000000-0005-0000-0000-0000B79D0000}"/>
    <cellStyle name="SAPBEXHLevel2 3" xfId="1992" xr:uid="{00000000-0005-0000-0000-0000B89D0000}"/>
    <cellStyle name="SAPBEXHLevel2 3 2" xfId="2463" xr:uid="{00000000-0005-0000-0000-0000B99D0000}"/>
    <cellStyle name="SAPBEXHLevel2 3 3" xfId="2659" xr:uid="{00000000-0005-0000-0000-0000BA9D0000}"/>
    <cellStyle name="SAPBEXHLevel2 3 4" xfId="2237" xr:uid="{00000000-0005-0000-0000-0000BB9D0000}"/>
    <cellStyle name="SAPBEXHLevel2 4" xfId="2219" xr:uid="{00000000-0005-0000-0000-0000BC9D0000}"/>
    <cellStyle name="SAPBEXHLevel2 5" xfId="43272" xr:uid="{00000000-0005-0000-0000-0000BD9D0000}"/>
    <cellStyle name="SAPBEXHLevel2X" xfId="1696" xr:uid="{00000000-0005-0000-0000-0000BE9D0000}"/>
    <cellStyle name="SAPBEXHLevel2X 2" xfId="1993" xr:uid="{00000000-0005-0000-0000-0000BF9D0000}"/>
    <cellStyle name="SAPBEXHLevel2X 2 2" xfId="40505" xr:uid="{00000000-0005-0000-0000-0000C09D0000}"/>
    <cellStyle name="SAPBEXHLevel2X 3" xfId="1965" xr:uid="{00000000-0005-0000-0000-0000C19D0000}"/>
    <cellStyle name="SAPBEXHLevel2X 4" xfId="2286" xr:uid="{00000000-0005-0000-0000-0000C29D0000}"/>
    <cellStyle name="SAPBEXHLevel2X 5" xfId="2296" xr:uid="{00000000-0005-0000-0000-0000C39D0000}"/>
    <cellStyle name="SAPBEXHLevel3" xfId="1697" xr:uid="{00000000-0005-0000-0000-0000C49D0000}"/>
    <cellStyle name="SAPBEXHLevel3 2" xfId="1994" xr:uid="{00000000-0005-0000-0000-0000C59D0000}"/>
    <cellStyle name="SAPBEXHLevel3 2 2" xfId="40506" xr:uid="{00000000-0005-0000-0000-0000C69D0000}"/>
    <cellStyle name="SAPBEXHLevel3 3" xfId="1964" xr:uid="{00000000-0005-0000-0000-0000C79D0000}"/>
    <cellStyle name="SAPBEXHLevel3 4" xfId="2143" xr:uid="{00000000-0005-0000-0000-0000C89D0000}"/>
    <cellStyle name="SAPBEXHLevel3 5" xfId="2259" xr:uid="{00000000-0005-0000-0000-0000C99D0000}"/>
    <cellStyle name="SAPBEXHLevel3X" xfId="1698" xr:uid="{00000000-0005-0000-0000-0000CA9D0000}"/>
    <cellStyle name="SAPBEXHLevel3X 2" xfId="1995" xr:uid="{00000000-0005-0000-0000-0000CB9D0000}"/>
    <cellStyle name="SAPBEXHLevel3X 2 2" xfId="40507" xr:uid="{00000000-0005-0000-0000-0000CC9D0000}"/>
    <cellStyle name="SAPBEXHLevel3X 3" xfId="1897" xr:uid="{00000000-0005-0000-0000-0000CD9D0000}"/>
    <cellStyle name="SAPBEXHLevel3X 4" xfId="2285" xr:uid="{00000000-0005-0000-0000-0000CE9D0000}"/>
    <cellStyle name="SAPBEXHLevel3X 5" xfId="2174" xr:uid="{00000000-0005-0000-0000-0000CF9D0000}"/>
    <cellStyle name="SAPBEXinputData" xfId="40508" xr:uid="{00000000-0005-0000-0000-0000D09D0000}"/>
    <cellStyle name="SAPBEXresData" xfId="1699" xr:uid="{00000000-0005-0000-0000-0000D19D0000}"/>
    <cellStyle name="SAPBEXresData 2" xfId="1996" xr:uid="{00000000-0005-0000-0000-0000D29D0000}"/>
    <cellStyle name="SAPBEXresData 2 2" xfId="40509" xr:uid="{00000000-0005-0000-0000-0000D39D0000}"/>
    <cellStyle name="SAPBEXresData 3" xfId="1896" xr:uid="{00000000-0005-0000-0000-0000D49D0000}"/>
    <cellStyle name="SAPBEXresData 4" xfId="2142" xr:uid="{00000000-0005-0000-0000-0000D59D0000}"/>
    <cellStyle name="SAPBEXresData 5" xfId="2220" xr:uid="{00000000-0005-0000-0000-0000D69D0000}"/>
    <cellStyle name="SAPBEXresDataEmph" xfId="1700" xr:uid="{00000000-0005-0000-0000-0000D79D0000}"/>
    <cellStyle name="SAPBEXresDataEmph 2" xfId="1997" xr:uid="{00000000-0005-0000-0000-0000D89D0000}"/>
    <cellStyle name="SAPBEXresDataEmph 2 2" xfId="40510" xr:uid="{00000000-0005-0000-0000-0000D99D0000}"/>
    <cellStyle name="SAPBEXresDataEmph 3" xfId="1958" xr:uid="{00000000-0005-0000-0000-0000DA9D0000}"/>
    <cellStyle name="SAPBEXresDataEmph 4" xfId="2141" xr:uid="{00000000-0005-0000-0000-0000DB9D0000}"/>
    <cellStyle name="SAPBEXresDataEmph 5" xfId="2260" xr:uid="{00000000-0005-0000-0000-0000DC9D0000}"/>
    <cellStyle name="SAPBEXresItem" xfId="1701" xr:uid="{00000000-0005-0000-0000-0000DD9D0000}"/>
    <cellStyle name="SAPBEXresItem 2" xfId="1998" xr:uid="{00000000-0005-0000-0000-0000DE9D0000}"/>
    <cellStyle name="SAPBEXresItem 2 2" xfId="40511" xr:uid="{00000000-0005-0000-0000-0000DF9D0000}"/>
    <cellStyle name="SAPBEXresItem 3" xfId="1895" xr:uid="{00000000-0005-0000-0000-0000E09D0000}"/>
    <cellStyle name="SAPBEXresItem 4" xfId="2140" xr:uid="{00000000-0005-0000-0000-0000E19D0000}"/>
    <cellStyle name="SAPBEXresItem 5" xfId="2386" xr:uid="{00000000-0005-0000-0000-0000E29D0000}"/>
    <cellStyle name="SAPBEXresItemX" xfId="1702" xr:uid="{00000000-0005-0000-0000-0000E39D0000}"/>
    <cellStyle name="SAPBEXresItemX 2" xfId="1999" xr:uid="{00000000-0005-0000-0000-0000E49D0000}"/>
    <cellStyle name="SAPBEXresItemX 2 2" xfId="40512" xr:uid="{00000000-0005-0000-0000-0000E59D0000}"/>
    <cellStyle name="SAPBEXresItemX 3" xfId="1963" xr:uid="{00000000-0005-0000-0000-0000E69D0000}"/>
    <cellStyle name="SAPBEXresItemX 4" xfId="2284" xr:uid="{00000000-0005-0000-0000-0000E79D0000}"/>
    <cellStyle name="SAPBEXresItemX 5" xfId="2175" xr:uid="{00000000-0005-0000-0000-0000E89D0000}"/>
    <cellStyle name="SAPBEXstdData" xfId="1703" xr:uid="{00000000-0005-0000-0000-0000E99D0000}"/>
    <cellStyle name="SAPBEXstdData 2" xfId="1869" xr:uid="{00000000-0005-0000-0000-0000EA9D0000}"/>
    <cellStyle name="SAPBEXstdData 2 2" xfId="2117" xr:uid="{00000000-0005-0000-0000-0000EB9D0000}"/>
    <cellStyle name="SAPBEXstdData 2 2 2" xfId="2662" xr:uid="{00000000-0005-0000-0000-0000EC9D0000}"/>
    <cellStyle name="SAPBEXstdData 2 2 3" xfId="2342" xr:uid="{00000000-0005-0000-0000-0000ED9D0000}"/>
    <cellStyle name="SAPBEXstdData 2 3" xfId="2619" xr:uid="{00000000-0005-0000-0000-0000EE9D0000}"/>
    <cellStyle name="SAPBEXstdData 2 4" xfId="2163" xr:uid="{00000000-0005-0000-0000-0000EF9D0000}"/>
    <cellStyle name="SAPBEXstdData 2 5" xfId="43275" xr:uid="{00000000-0005-0000-0000-0000F09D0000}"/>
    <cellStyle name="SAPBEXstdData 3" xfId="2000" xr:uid="{00000000-0005-0000-0000-0000F19D0000}"/>
    <cellStyle name="SAPBEXstdData 3 2" xfId="2464" xr:uid="{00000000-0005-0000-0000-0000F29D0000}"/>
    <cellStyle name="SAPBEXstdData 3 3" xfId="2661" xr:uid="{00000000-0005-0000-0000-0000F39D0000}"/>
    <cellStyle name="SAPBEXstdData 3 4" xfId="2196" xr:uid="{00000000-0005-0000-0000-0000F49D0000}"/>
    <cellStyle name="SAPBEXstdData 4" xfId="2356" xr:uid="{00000000-0005-0000-0000-0000F59D0000}"/>
    <cellStyle name="SAPBEXstdData 5" xfId="43274" xr:uid="{00000000-0005-0000-0000-0000F69D0000}"/>
    <cellStyle name="SAPBEXstdDataEmph" xfId="1704" xr:uid="{00000000-0005-0000-0000-0000F79D0000}"/>
    <cellStyle name="SAPBEXstdDataEmph 2" xfId="2001" xr:uid="{00000000-0005-0000-0000-0000F89D0000}"/>
    <cellStyle name="SAPBEXstdDataEmph 2 2" xfId="40513" xr:uid="{00000000-0005-0000-0000-0000F99D0000}"/>
    <cellStyle name="SAPBEXstdDataEmph 3" xfId="1894" xr:uid="{00000000-0005-0000-0000-0000FA9D0000}"/>
    <cellStyle name="SAPBEXstdDataEmph 4" xfId="2325" xr:uid="{00000000-0005-0000-0000-0000FB9D0000}"/>
    <cellStyle name="SAPBEXstdDataEmph 5" xfId="2261" xr:uid="{00000000-0005-0000-0000-0000FC9D0000}"/>
    <cellStyle name="SAPBEXstdItem" xfId="1705" xr:uid="{00000000-0005-0000-0000-0000FD9D0000}"/>
    <cellStyle name="SAPBEXstdItem 2" xfId="1870" xr:uid="{00000000-0005-0000-0000-0000FE9D0000}"/>
    <cellStyle name="SAPBEXstdItem 2 2" xfId="2061" xr:uid="{00000000-0005-0000-0000-0000FF9D0000}"/>
    <cellStyle name="SAPBEXstdItem 2 3" xfId="2118" xr:uid="{00000000-0005-0000-0000-0000009E0000}"/>
    <cellStyle name="SAPBEXstdItem 2 4" xfId="2620" xr:uid="{00000000-0005-0000-0000-0000019E0000}"/>
    <cellStyle name="SAPBEXstdItem 2 5" xfId="2271" xr:uid="{00000000-0005-0000-0000-0000029E0000}"/>
    <cellStyle name="SAPBEXstdItem 3" xfId="2002" xr:uid="{00000000-0005-0000-0000-0000039E0000}"/>
    <cellStyle name="SAPBEXstdItem 4" xfId="1957" xr:uid="{00000000-0005-0000-0000-0000049E0000}"/>
    <cellStyle name="SAPBEXstdItem 5" xfId="2324" xr:uid="{00000000-0005-0000-0000-0000059E0000}"/>
    <cellStyle name="SAPBEXstdItem 6" xfId="2387" xr:uid="{00000000-0005-0000-0000-0000069E0000}"/>
    <cellStyle name="SAPBEXstdItemX" xfId="1706" xr:uid="{00000000-0005-0000-0000-0000079E0000}"/>
    <cellStyle name="SAPBEXstdItemX 2" xfId="1871" xr:uid="{00000000-0005-0000-0000-0000089E0000}"/>
    <cellStyle name="SAPBEXstdItemX 2 2" xfId="2119" xr:uid="{00000000-0005-0000-0000-0000099E0000}"/>
    <cellStyle name="SAPBEXstdItemX 2 2 2" xfId="2664" xr:uid="{00000000-0005-0000-0000-00000A9E0000}"/>
    <cellStyle name="SAPBEXstdItemX 2 2 3" xfId="2343" xr:uid="{00000000-0005-0000-0000-00000B9E0000}"/>
    <cellStyle name="SAPBEXstdItemX 2 3" xfId="2621" xr:uid="{00000000-0005-0000-0000-00000C9E0000}"/>
    <cellStyle name="SAPBEXstdItemX 2 4" xfId="2164" xr:uid="{00000000-0005-0000-0000-00000D9E0000}"/>
    <cellStyle name="SAPBEXstdItemX 2 5" xfId="43277" xr:uid="{00000000-0005-0000-0000-00000E9E0000}"/>
    <cellStyle name="SAPBEXstdItemX 3" xfId="2003" xr:uid="{00000000-0005-0000-0000-00000F9E0000}"/>
    <cellStyle name="SAPBEXstdItemX 3 2" xfId="2465" xr:uid="{00000000-0005-0000-0000-0000109E0000}"/>
    <cellStyle name="SAPBEXstdItemX 3 3" xfId="2663" xr:uid="{00000000-0005-0000-0000-0000119E0000}"/>
    <cellStyle name="SAPBEXstdItemX 3 4" xfId="2133" xr:uid="{00000000-0005-0000-0000-0000129E0000}"/>
    <cellStyle name="SAPBEXstdItemX 4" xfId="2176" xr:uid="{00000000-0005-0000-0000-0000139E0000}"/>
    <cellStyle name="SAPBEXstdItemX 5" xfId="43276" xr:uid="{00000000-0005-0000-0000-0000149E0000}"/>
    <cellStyle name="SAPBEXtitle" xfId="1707" xr:uid="{00000000-0005-0000-0000-0000159E0000}"/>
    <cellStyle name="SAPBEXtitle 2" xfId="40514" xr:uid="{00000000-0005-0000-0000-0000169E0000}"/>
    <cellStyle name="SAPBEXtitle 2 2" xfId="40515" xr:uid="{00000000-0005-0000-0000-0000179E0000}"/>
    <cellStyle name="SAPBEXundefined" xfId="1708" xr:uid="{00000000-0005-0000-0000-0000189E0000}"/>
    <cellStyle name="SAPBEXundefined 2" xfId="2004" xr:uid="{00000000-0005-0000-0000-0000199E0000}"/>
    <cellStyle name="SAPBEXundefined 2 2" xfId="40516" xr:uid="{00000000-0005-0000-0000-00001A9E0000}"/>
    <cellStyle name="SAPBEXundefined 2 2 2" xfId="40517" xr:uid="{00000000-0005-0000-0000-00001B9E0000}"/>
    <cellStyle name="SAPBEXundefined 2 2 3" xfId="40518" xr:uid="{00000000-0005-0000-0000-00001C9E0000}"/>
    <cellStyle name="SAPBEXundefined 2 3" xfId="40519" xr:uid="{00000000-0005-0000-0000-00001D9E0000}"/>
    <cellStyle name="SAPBEXundefined 3" xfId="1893" xr:uid="{00000000-0005-0000-0000-00001E9E0000}"/>
    <cellStyle name="SAPBEXundefined 4" xfId="2283" xr:uid="{00000000-0005-0000-0000-00001F9E0000}"/>
    <cellStyle name="SAPBEXundefined 5" xfId="2338" xr:uid="{00000000-0005-0000-0000-0000209E0000}"/>
    <cellStyle name="SAPOutput" xfId="40520" xr:uid="{00000000-0005-0000-0000-0000219E0000}"/>
    <cellStyle name="SAPOutput 2" xfId="40521" xr:uid="{00000000-0005-0000-0000-0000229E0000}"/>
    <cellStyle name="SAPOutput 3" xfId="40522" xr:uid="{00000000-0005-0000-0000-0000239E0000}"/>
    <cellStyle name="Sep. milhar [0]" xfId="861" xr:uid="{00000000-0005-0000-0000-0000249E0000}"/>
    <cellStyle name="Sep. milhar [0] 2" xfId="40523" xr:uid="{00000000-0005-0000-0000-0000259E0000}"/>
    <cellStyle name="Separador de m" xfId="862" xr:uid="{00000000-0005-0000-0000-0000269E0000}"/>
    <cellStyle name="Separador de m 2" xfId="40524" xr:uid="{00000000-0005-0000-0000-0000279E0000}"/>
    <cellStyle name="Separador de m 3" xfId="40525" xr:uid="{00000000-0005-0000-0000-0000289E0000}"/>
    <cellStyle name="Separador de milhares 10" xfId="903" xr:uid="{00000000-0005-0000-0000-0000299E0000}"/>
    <cellStyle name="Separador de milhares 10 2" xfId="40526" xr:uid="{00000000-0005-0000-0000-00002A9E0000}"/>
    <cellStyle name="Separador de milhares 10 2 2" xfId="40527" xr:uid="{00000000-0005-0000-0000-00002B9E0000}"/>
    <cellStyle name="Separador de milhares 10 3" xfId="43185" xr:uid="{00000000-0005-0000-0000-00002C9E0000}"/>
    <cellStyle name="Separador de milhares 11" xfId="1125" xr:uid="{00000000-0005-0000-0000-00002D9E0000}"/>
    <cellStyle name="Separador de milhares 11 2" xfId="40528" xr:uid="{00000000-0005-0000-0000-00002E9E0000}"/>
    <cellStyle name="Separador de milhares 11 3" xfId="43278" xr:uid="{00000000-0005-0000-0000-00002F9E0000}"/>
    <cellStyle name="Separador de milhares 12" xfId="1126" xr:uid="{00000000-0005-0000-0000-0000309E0000}"/>
    <cellStyle name="Separador de milhares 12 2" xfId="43279" xr:uid="{00000000-0005-0000-0000-0000319E0000}"/>
    <cellStyle name="Separador de milhares 13" xfId="1127" xr:uid="{00000000-0005-0000-0000-0000329E0000}"/>
    <cellStyle name="Separador de milhares 13 2" xfId="40529" xr:uid="{00000000-0005-0000-0000-0000339E0000}"/>
    <cellStyle name="Separador de milhares 13 3" xfId="43280" xr:uid="{00000000-0005-0000-0000-0000349E0000}"/>
    <cellStyle name="Separador de milhares 14" xfId="1709" xr:uid="{00000000-0005-0000-0000-0000359E0000}"/>
    <cellStyle name="Separador de milhares 14 2" xfId="40530" xr:uid="{00000000-0005-0000-0000-0000369E0000}"/>
    <cellStyle name="Separador de milhares 14 3" xfId="43281" xr:uid="{00000000-0005-0000-0000-0000379E0000}"/>
    <cellStyle name="Separador de milhares 147" xfId="40531" xr:uid="{00000000-0005-0000-0000-0000389E0000}"/>
    <cellStyle name="Separador de milhares 15" xfId="1794" xr:uid="{00000000-0005-0000-0000-0000399E0000}"/>
    <cellStyle name="Separador de milhares 15 2" xfId="1877" xr:uid="{00000000-0005-0000-0000-00003A9E0000}"/>
    <cellStyle name="Separador de milhares 15 2 2" xfId="2066" xr:uid="{00000000-0005-0000-0000-00003B9E0000}"/>
    <cellStyle name="Separador de milhares 15 2 2 2" xfId="2588" xr:uid="{00000000-0005-0000-0000-00003C9E0000}"/>
    <cellStyle name="Separador de milhares 15 2 2 3" xfId="43382" xr:uid="{00000000-0005-0000-0000-00003D9E0000}"/>
    <cellStyle name="Separador de milhares 15 2 3" xfId="2589" xr:uid="{00000000-0005-0000-0000-00003E9E0000}"/>
    <cellStyle name="Separador de milhares 15 2 3 2" xfId="43383" xr:uid="{00000000-0005-0000-0000-00003F9E0000}"/>
    <cellStyle name="Separador de milhares 15 2 4" xfId="2467" xr:uid="{00000000-0005-0000-0000-0000409E0000}"/>
    <cellStyle name="Separador de milhares 15 2 5" xfId="2402" xr:uid="{00000000-0005-0000-0000-0000419E0000}"/>
    <cellStyle name="Separador de milhares 15 2 6" xfId="43283" xr:uid="{00000000-0005-0000-0000-0000429E0000}"/>
    <cellStyle name="Separador de milhares 15 3" xfId="2015" xr:uid="{00000000-0005-0000-0000-0000439E0000}"/>
    <cellStyle name="Separador de milhares 15 3 2" xfId="2590" xr:uid="{00000000-0005-0000-0000-0000449E0000}"/>
    <cellStyle name="Separador de milhares 15 3 3" xfId="43384" xr:uid="{00000000-0005-0000-0000-0000459E0000}"/>
    <cellStyle name="Separador de milhares 15 4" xfId="2591" xr:uid="{00000000-0005-0000-0000-0000469E0000}"/>
    <cellStyle name="Separador de milhares 15 4 2" xfId="43385" xr:uid="{00000000-0005-0000-0000-0000479E0000}"/>
    <cellStyle name="Separador de milhares 15 5" xfId="2466" xr:uid="{00000000-0005-0000-0000-0000489E0000}"/>
    <cellStyle name="Separador de milhares 15 6" xfId="2370" xr:uid="{00000000-0005-0000-0000-0000499E0000}"/>
    <cellStyle name="Separador de milhares 15 7" xfId="43282" xr:uid="{00000000-0005-0000-0000-00004A9E0000}"/>
    <cellStyle name="Separador de milhares 16" xfId="40532" xr:uid="{00000000-0005-0000-0000-00004B9E0000}"/>
    <cellStyle name="Separador de milhares 16 2" xfId="40533" xr:uid="{00000000-0005-0000-0000-00004C9E0000}"/>
    <cellStyle name="Separador de milhares 17" xfId="40534" xr:uid="{00000000-0005-0000-0000-00004D9E0000}"/>
    <cellStyle name="Separador de milhares 17 2" xfId="43201" xr:uid="{00000000-0005-0000-0000-00004E9E0000}"/>
    <cellStyle name="Separador de milhares 18" xfId="40535" xr:uid="{00000000-0005-0000-0000-00004F9E0000}"/>
    <cellStyle name="Separador de milhares 2" xfId="864" xr:uid="{00000000-0005-0000-0000-0000509E0000}"/>
    <cellStyle name="Separador de milhares 2 10" xfId="40536" xr:uid="{00000000-0005-0000-0000-0000519E0000}"/>
    <cellStyle name="Separador de milhares 2 10 10" xfId="40537" xr:uid="{00000000-0005-0000-0000-0000529E0000}"/>
    <cellStyle name="Separador de milhares 2 10 11" xfId="40538" xr:uid="{00000000-0005-0000-0000-0000539E0000}"/>
    <cellStyle name="Separador de milhares 2 10 12" xfId="40539" xr:uid="{00000000-0005-0000-0000-0000549E0000}"/>
    <cellStyle name="Separador de milhares 2 10 13" xfId="40540" xr:uid="{00000000-0005-0000-0000-0000559E0000}"/>
    <cellStyle name="Separador de milhares 2 10 14" xfId="40541" xr:uid="{00000000-0005-0000-0000-0000569E0000}"/>
    <cellStyle name="Separador de milhares 2 10 2" xfId="40542" xr:uid="{00000000-0005-0000-0000-0000579E0000}"/>
    <cellStyle name="Separador de milhares 2 10 2 2" xfId="40543" xr:uid="{00000000-0005-0000-0000-0000589E0000}"/>
    <cellStyle name="Separador de milhares 2 10 2 3" xfId="40544" xr:uid="{00000000-0005-0000-0000-0000599E0000}"/>
    <cellStyle name="Separador de milhares 2 10 2 4" xfId="40545" xr:uid="{00000000-0005-0000-0000-00005A9E0000}"/>
    <cellStyle name="Separador de milhares 2 10 2 5" xfId="40546" xr:uid="{00000000-0005-0000-0000-00005B9E0000}"/>
    <cellStyle name="Separador de milhares 2 10 2 6" xfId="40547" xr:uid="{00000000-0005-0000-0000-00005C9E0000}"/>
    <cellStyle name="Separador de milhares 2 10 3" xfId="40548" xr:uid="{00000000-0005-0000-0000-00005D9E0000}"/>
    <cellStyle name="Separador de milhares 2 10 3 2" xfId="40549" xr:uid="{00000000-0005-0000-0000-00005E9E0000}"/>
    <cellStyle name="Separador de milhares 2 10 3 3" xfId="40550" xr:uid="{00000000-0005-0000-0000-00005F9E0000}"/>
    <cellStyle name="Separador de milhares 2 10 3 4" xfId="40551" xr:uid="{00000000-0005-0000-0000-0000609E0000}"/>
    <cellStyle name="Separador de milhares 2 10 3 5" xfId="40552" xr:uid="{00000000-0005-0000-0000-0000619E0000}"/>
    <cellStyle name="Separador de milhares 2 10 3 6" xfId="40553" xr:uid="{00000000-0005-0000-0000-0000629E0000}"/>
    <cellStyle name="Separador de milhares 2 10 4" xfId="40554" xr:uid="{00000000-0005-0000-0000-0000639E0000}"/>
    <cellStyle name="Separador de milhares 2 10 4 2" xfId="40555" xr:uid="{00000000-0005-0000-0000-0000649E0000}"/>
    <cellStyle name="Separador de milhares 2 10 4 3" xfId="40556" xr:uid="{00000000-0005-0000-0000-0000659E0000}"/>
    <cellStyle name="Separador de milhares 2 10 4 4" xfId="40557" xr:uid="{00000000-0005-0000-0000-0000669E0000}"/>
    <cellStyle name="Separador de milhares 2 10 4 5" xfId="40558" xr:uid="{00000000-0005-0000-0000-0000679E0000}"/>
    <cellStyle name="Separador de milhares 2 10 4 6" xfId="40559" xr:uid="{00000000-0005-0000-0000-0000689E0000}"/>
    <cellStyle name="Separador de milhares 2 10 5" xfId="40560" xr:uid="{00000000-0005-0000-0000-0000699E0000}"/>
    <cellStyle name="Separador de milhares 2 10 5 2" xfId="40561" xr:uid="{00000000-0005-0000-0000-00006A9E0000}"/>
    <cellStyle name="Separador de milhares 2 10 5 3" xfId="40562" xr:uid="{00000000-0005-0000-0000-00006B9E0000}"/>
    <cellStyle name="Separador de milhares 2 10 5 4" xfId="40563" xr:uid="{00000000-0005-0000-0000-00006C9E0000}"/>
    <cellStyle name="Separador de milhares 2 10 5 5" xfId="40564" xr:uid="{00000000-0005-0000-0000-00006D9E0000}"/>
    <cellStyle name="Separador de milhares 2 10 5 6" xfId="40565" xr:uid="{00000000-0005-0000-0000-00006E9E0000}"/>
    <cellStyle name="Separador de milhares 2 10 6" xfId="40566" xr:uid="{00000000-0005-0000-0000-00006F9E0000}"/>
    <cellStyle name="Separador de milhares 2 10 6 2" xfId="40567" xr:uid="{00000000-0005-0000-0000-0000709E0000}"/>
    <cellStyle name="Separador de milhares 2 10 6 3" xfId="40568" xr:uid="{00000000-0005-0000-0000-0000719E0000}"/>
    <cellStyle name="Separador de milhares 2 10 6 4" xfId="40569" xr:uid="{00000000-0005-0000-0000-0000729E0000}"/>
    <cellStyle name="Separador de milhares 2 10 6 5" xfId="40570" xr:uid="{00000000-0005-0000-0000-0000739E0000}"/>
    <cellStyle name="Separador de milhares 2 10 6 6" xfId="40571" xr:uid="{00000000-0005-0000-0000-0000749E0000}"/>
    <cellStyle name="Separador de milhares 2 10 7" xfId="40572" xr:uid="{00000000-0005-0000-0000-0000759E0000}"/>
    <cellStyle name="Separador de milhares 2 10 7 2" xfId="40573" xr:uid="{00000000-0005-0000-0000-0000769E0000}"/>
    <cellStyle name="Separador de milhares 2 10 7 3" xfId="40574" xr:uid="{00000000-0005-0000-0000-0000779E0000}"/>
    <cellStyle name="Separador de milhares 2 10 7 4" xfId="40575" xr:uid="{00000000-0005-0000-0000-0000789E0000}"/>
    <cellStyle name="Separador de milhares 2 10 7 5" xfId="40576" xr:uid="{00000000-0005-0000-0000-0000799E0000}"/>
    <cellStyle name="Separador de milhares 2 10 7 6" xfId="40577" xr:uid="{00000000-0005-0000-0000-00007A9E0000}"/>
    <cellStyle name="Separador de milhares 2 10 8" xfId="40578" xr:uid="{00000000-0005-0000-0000-00007B9E0000}"/>
    <cellStyle name="Separador de milhares 2 10 8 2" xfId="40579" xr:uid="{00000000-0005-0000-0000-00007C9E0000}"/>
    <cellStyle name="Separador de milhares 2 10 8 3" xfId="40580" xr:uid="{00000000-0005-0000-0000-00007D9E0000}"/>
    <cellStyle name="Separador de milhares 2 10 8 4" xfId="40581" xr:uid="{00000000-0005-0000-0000-00007E9E0000}"/>
    <cellStyle name="Separador de milhares 2 10 8 5" xfId="40582" xr:uid="{00000000-0005-0000-0000-00007F9E0000}"/>
    <cellStyle name="Separador de milhares 2 10 8 6" xfId="40583" xr:uid="{00000000-0005-0000-0000-0000809E0000}"/>
    <cellStyle name="Separador de milhares 2 10 9" xfId="40584" xr:uid="{00000000-0005-0000-0000-0000819E0000}"/>
    <cellStyle name="Separador de milhares 2 11" xfId="40585" xr:uid="{00000000-0005-0000-0000-0000829E0000}"/>
    <cellStyle name="Separador de milhares 2 11 10" xfId="40586" xr:uid="{00000000-0005-0000-0000-0000839E0000}"/>
    <cellStyle name="Separador de milhares 2 11 11" xfId="40587" xr:uid="{00000000-0005-0000-0000-0000849E0000}"/>
    <cellStyle name="Separador de milhares 2 11 12" xfId="40588" xr:uid="{00000000-0005-0000-0000-0000859E0000}"/>
    <cellStyle name="Separador de milhares 2 11 13" xfId="40589" xr:uid="{00000000-0005-0000-0000-0000869E0000}"/>
    <cellStyle name="Separador de milhares 2 11 14" xfId="40590" xr:uid="{00000000-0005-0000-0000-0000879E0000}"/>
    <cellStyle name="Separador de milhares 2 11 2" xfId="40591" xr:uid="{00000000-0005-0000-0000-0000889E0000}"/>
    <cellStyle name="Separador de milhares 2 11 2 2" xfId="40592" xr:uid="{00000000-0005-0000-0000-0000899E0000}"/>
    <cellStyle name="Separador de milhares 2 11 2 3" xfId="40593" xr:uid="{00000000-0005-0000-0000-00008A9E0000}"/>
    <cellStyle name="Separador de milhares 2 11 2 4" xfId="40594" xr:uid="{00000000-0005-0000-0000-00008B9E0000}"/>
    <cellStyle name="Separador de milhares 2 11 2 5" xfId="40595" xr:uid="{00000000-0005-0000-0000-00008C9E0000}"/>
    <cellStyle name="Separador de milhares 2 11 2 6" xfId="40596" xr:uid="{00000000-0005-0000-0000-00008D9E0000}"/>
    <cellStyle name="Separador de milhares 2 11 3" xfId="40597" xr:uid="{00000000-0005-0000-0000-00008E9E0000}"/>
    <cellStyle name="Separador de milhares 2 11 3 2" xfId="40598" xr:uid="{00000000-0005-0000-0000-00008F9E0000}"/>
    <cellStyle name="Separador de milhares 2 11 3 3" xfId="40599" xr:uid="{00000000-0005-0000-0000-0000909E0000}"/>
    <cellStyle name="Separador de milhares 2 11 3 4" xfId="40600" xr:uid="{00000000-0005-0000-0000-0000919E0000}"/>
    <cellStyle name="Separador de milhares 2 11 3 5" xfId="40601" xr:uid="{00000000-0005-0000-0000-0000929E0000}"/>
    <cellStyle name="Separador de milhares 2 11 3 6" xfId="40602" xr:uid="{00000000-0005-0000-0000-0000939E0000}"/>
    <cellStyle name="Separador de milhares 2 11 4" xfId="40603" xr:uid="{00000000-0005-0000-0000-0000949E0000}"/>
    <cellStyle name="Separador de milhares 2 11 4 2" xfId="40604" xr:uid="{00000000-0005-0000-0000-0000959E0000}"/>
    <cellStyle name="Separador de milhares 2 11 4 3" xfId="40605" xr:uid="{00000000-0005-0000-0000-0000969E0000}"/>
    <cellStyle name="Separador de milhares 2 11 4 4" xfId="40606" xr:uid="{00000000-0005-0000-0000-0000979E0000}"/>
    <cellStyle name="Separador de milhares 2 11 4 5" xfId="40607" xr:uid="{00000000-0005-0000-0000-0000989E0000}"/>
    <cellStyle name="Separador de milhares 2 11 4 6" xfId="40608" xr:uid="{00000000-0005-0000-0000-0000999E0000}"/>
    <cellStyle name="Separador de milhares 2 11 5" xfId="40609" xr:uid="{00000000-0005-0000-0000-00009A9E0000}"/>
    <cellStyle name="Separador de milhares 2 11 5 2" xfId="40610" xr:uid="{00000000-0005-0000-0000-00009B9E0000}"/>
    <cellStyle name="Separador de milhares 2 11 5 3" xfId="40611" xr:uid="{00000000-0005-0000-0000-00009C9E0000}"/>
    <cellStyle name="Separador de milhares 2 11 5 4" xfId="40612" xr:uid="{00000000-0005-0000-0000-00009D9E0000}"/>
    <cellStyle name="Separador de milhares 2 11 5 5" xfId="40613" xr:uid="{00000000-0005-0000-0000-00009E9E0000}"/>
    <cellStyle name="Separador de milhares 2 11 5 6" xfId="40614" xr:uid="{00000000-0005-0000-0000-00009F9E0000}"/>
    <cellStyle name="Separador de milhares 2 11 6" xfId="40615" xr:uid="{00000000-0005-0000-0000-0000A09E0000}"/>
    <cellStyle name="Separador de milhares 2 11 6 2" xfId="40616" xr:uid="{00000000-0005-0000-0000-0000A19E0000}"/>
    <cellStyle name="Separador de milhares 2 11 6 3" xfId="40617" xr:uid="{00000000-0005-0000-0000-0000A29E0000}"/>
    <cellStyle name="Separador de milhares 2 11 6 4" xfId="40618" xr:uid="{00000000-0005-0000-0000-0000A39E0000}"/>
    <cellStyle name="Separador de milhares 2 11 6 5" xfId="40619" xr:uid="{00000000-0005-0000-0000-0000A49E0000}"/>
    <cellStyle name="Separador de milhares 2 11 6 6" xfId="40620" xr:uid="{00000000-0005-0000-0000-0000A59E0000}"/>
    <cellStyle name="Separador de milhares 2 11 7" xfId="40621" xr:uid="{00000000-0005-0000-0000-0000A69E0000}"/>
    <cellStyle name="Separador de milhares 2 11 7 2" xfId="40622" xr:uid="{00000000-0005-0000-0000-0000A79E0000}"/>
    <cellStyle name="Separador de milhares 2 11 7 3" xfId="40623" xr:uid="{00000000-0005-0000-0000-0000A89E0000}"/>
    <cellStyle name="Separador de milhares 2 11 7 4" xfId="40624" xr:uid="{00000000-0005-0000-0000-0000A99E0000}"/>
    <cellStyle name="Separador de milhares 2 11 7 5" xfId="40625" xr:uid="{00000000-0005-0000-0000-0000AA9E0000}"/>
    <cellStyle name="Separador de milhares 2 11 7 6" xfId="40626" xr:uid="{00000000-0005-0000-0000-0000AB9E0000}"/>
    <cellStyle name="Separador de milhares 2 11 8" xfId="40627" xr:uid="{00000000-0005-0000-0000-0000AC9E0000}"/>
    <cellStyle name="Separador de milhares 2 11 8 2" xfId="40628" xr:uid="{00000000-0005-0000-0000-0000AD9E0000}"/>
    <cellStyle name="Separador de milhares 2 11 8 3" xfId="40629" xr:uid="{00000000-0005-0000-0000-0000AE9E0000}"/>
    <cellStyle name="Separador de milhares 2 11 8 4" xfId="40630" xr:uid="{00000000-0005-0000-0000-0000AF9E0000}"/>
    <cellStyle name="Separador de milhares 2 11 8 5" xfId="40631" xr:uid="{00000000-0005-0000-0000-0000B09E0000}"/>
    <cellStyle name="Separador de milhares 2 11 8 6" xfId="40632" xr:uid="{00000000-0005-0000-0000-0000B19E0000}"/>
    <cellStyle name="Separador de milhares 2 11 9" xfId="40633" xr:uid="{00000000-0005-0000-0000-0000B29E0000}"/>
    <cellStyle name="Separador de milhares 2 12" xfId="40634" xr:uid="{00000000-0005-0000-0000-0000B39E0000}"/>
    <cellStyle name="Separador de milhares 2 12 10" xfId="40635" xr:uid="{00000000-0005-0000-0000-0000B49E0000}"/>
    <cellStyle name="Separador de milhares 2 12 11" xfId="40636" xr:uid="{00000000-0005-0000-0000-0000B59E0000}"/>
    <cellStyle name="Separador de milhares 2 12 12" xfId="40637" xr:uid="{00000000-0005-0000-0000-0000B69E0000}"/>
    <cellStyle name="Separador de milhares 2 12 13" xfId="40638" xr:uid="{00000000-0005-0000-0000-0000B79E0000}"/>
    <cellStyle name="Separador de milhares 2 12 2" xfId="40639" xr:uid="{00000000-0005-0000-0000-0000B89E0000}"/>
    <cellStyle name="Separador de milhares 2 12 2 2" xfId="40640" xr:uid="{00000000-0005-0000-0000-0000B99E0000}"/>
    <cellStyle name="Separador de milhares 2 12 2 3" xfId="40641" xr:uid="{00000000-0005-0000-0000-0000BA9E0000}"/>
    <cellStyle name="Separador de milhares 2 12 2 4" xfId="40642" xr:uid="{00000000-0005-0000-0000-0000BB9E0000}"/>
    <cellStyle name="Separador de milhares 2 12 2 5" xfId="40643" xr:uid="{00000000-0005-0000-0000-0000BC9E0000}"/>
    <cellStyle name="Separador de milhares 2 12 2 6" xfId="40644" xr:uid="{00000000-0005-0000-0000-0000BD9E0000}"/>
    <cellStyle name="Separador de milhares 2 12 3" xfId="40645" xr:uid="{00000000-0005-0000-0000-0000BE9E0000}"/>
    <cellStyle name="Separador de milhares 2 12 3 2" xfId="40646" xr:uid="{00000000-0005-0000-0000-0000BF9E0000}"/>
    <cellStyle name="Separador de milhares 2 12 3 3" xfId="40647" xr:uid="{00000000-0005-0000-0000-0000C09E0000}"/>
    <cellStyle name="Separador de milhares 2 12 3 4" xfId="40648" xr:uid="{00000000-0005-0000-0000-0000C19E0000}"/>
    <cellStyle name="Separador de milhares 2 12 3 5" xfId="40649" xr:uid="{00000000-0005-0000-0000-0000C29E0000}"/>
    <cellStyle name="Separador de milhares 2 12 3 6" xfId="40650" xr:uid="{00000000-0005-0000-0000-0000C39E0000}"/>
    <cellStyle name="Separador de milhares 2 12 4" xfId="40651" xr:uid="{00000000-0005-0000-0000-0000C49E0000}"/>
    <cellStyle name="Separador de milhares 2 12 4 2" xfId="40652" xr:uid="{00000000-0005-0000-0000-0000C59E0000}"/>
    <cellStyle name="Separador de milhares 2 12 4 3" xfId="40653" xr:uid="{00000000-0005-0000-0000-0000C69E0000}"/>
    <cellStyle name="Separador de milhares 2 12 4 4" xfId="40654" xr:uid="{00000000-0005-0000-0000-0000C79E0000}"/>
    <cellStyle name="Separador de milhares 2 12 4 5" xfId="40655" xr:uid="{00000000-0005-0000-0000-0000C89E0000}"/>
    <cellStyle name="Separador de milhares 2 12 4 6" xfId="40656" xr:uid="{00000000-0005-0000-0000-0000C99E0000}"/>
    <cellStyle name="Separador de milhares 2 12 5" xfId="40657" xr:uid="{00000000-0005-0000-0000-0000CA9E0000}"/>
    <cellStyle name="Separador de milhares 2 12 5 2" xfId="40658" xr:uid="{00000000-0005-0000-0000-0000CB9E0000}"/>
    <cellStyle name="Separador de milhares 2 12 5 3" xfId="40659" xr:uid="{00000000-0005-0000-0000-0000CC9E0000}"/>
    <cellStyle name="Separador de milhares 2 12 5 4" xfId="40660" xr:uid="{00000000-0005-0000-0000-0000CD9E0000}"/>
    <cellStyle name="Separador de milhares 2 12 5 5" xfId="40661" xr:uid="{00000000-0005-0000-0000-0000CE9E0000}"/>
    <cellStyle name="Separador de milhares 2 12 5 6" xfId="40662" xr:uid="{00000000-0005-0000-0000-0000CF9E0000}"/>
    <cellStyle name="Separador de milhares 2 12 6" xfId="40663" xr:uid="{00000000-0005-0000-0000-0000D09E0000}"/>
    <cellStyle name="Separador de milhares 2 12 6 2" xfId="40664" xr:uid="{00000000-0005-0000-0000-0000D19E0000}"/>
    <cellStyle name="Separador de milhares 2 12 6 3" xfId="40665" xr:uid="{00000000-0005-0000-0000-0000D29E0000}"/>
    <cellStyle name="Separador de milhares 2 12 6 4" xfId="40666" xr:uid="{00000000-0005-0000-0000-0000D39E0000}"/>
    <cellStyle name="Separador de milhares 2 12 6 5" xfId="40667" xr:uid="{00000000-0005-0000-0000-0000D49E0000}"/>
    <cellStyle name="Separador de milhares 2 12 6 6" xfId="40668" xr:uid="{00000000-0005-0000-0000-0000D59E0000}"/>
    <cellStyle name="Separador de milhares 2 12 7" xfId="40669" xr:uid="{00000000-0005-0000-0000-0000D69E0000}"/>
    <cellStyle name="Separador de milhares 2 12 7 2" xfId="40670" xr:uid="{00000000-0005-0000-0000-0000D79E0000}"/>
    <cellStyle name="Separador de milhares 2 12 7 3" xfId="40671" xr:uid="{00000000-0005-0000-0000-0000D89E0000}"/>
    <cellStyle name="Separador de milhares 2 12 7 4" xfId="40672" xr:uid="{00000000-0005-0000-0000-0000D99E0000}"/>
    <cellStyle name="Separador de milhares 2 12 7 5" xfId="40673" xr:uid="{00000000-0005-0000-0000-0000DA9E0000}"/>
    <cellStyle name="Separador de milhares 2 12 7 6" xfId="40674" xr:uid="{00000000-0005-0000-0000-0000DB9E0000}"/>
    <cellStyle name="Separador de milhares 2 12 8" xfId="40675" xr:uid="{00000000-0005-0000-0000-0000DC9E0000}"/>
    <cellStyle name="Separador de milhares 2 12 8 2" xfId="40676" xr:uid="{00000000-0005-0000-0000-0000DD9E0000}"/>
    <cellStyle name="Separador de milhares 2 12 8 3" xfId="40677" xr:uid="{00000000-0005-0000-0000-0000DE9E0000}"/>
    <cellStyle name="Separador de milhares 2 12 8 4" xfId="40678" xr:uid="{00000000-0005-0000-0000-0000DF9E0000}"/>
    <cellStyle name="Separador de milhares 2 12 8 5" xfId="40679" xr:uid="{00000000-0005-0000-0000-0000E09E0000}"/>
    <cellStyle name="Separador de milhares 2 12 8 6" xfId="40680" xr:uid="{00000000-0005-0000-0000-0000E19E0000}"/>
    <cellStyle name="Separador de milhares 2 12 9" xfId="40681" xr:uid="{00000000-0005-0000-0000-0000E29E0000}"/>
    <cellStyle name="Separador de milhares 2 13" xfId="40682" xr:uid="{00000000-0005-0000-0000-0000E39E0000}"/>
    <cellStyle name="Separador de milhares 2 13 10" xfId="40683" xr:uid="{00000000-0005-0000-0000-0000E49E0000}"/>
    <cellStyle name="Separador de milhares 2 13 11" xfId="40684" xr:uid="{00000000-0005-0000-0000-0000E59E0000}"/>
    <cellStyle name="Separador de milhares 2 13 12" xfId="40685" xr:uid="{00000000-0005-0000-0000-0000E69E0000}"/>
    <cellStyle name="Separador de milhares 2 13 13" xfId="40686" xr:uid="{00000000-0005-0000-0000-0000E79E0000}"/>
    <cellStyle name="Separador de milhares 2 13 2" xfId="40687" xr:uid="{00000000-0005-0000-0000-0000E89E0000}"/>
    <cellStyle name="Separador de milhares 2 13 2 2" xfId="40688" xr:uid="{00000000-0005-0000-0000-0000E99E0000}"/>
    <cellStyle name="Separador de milhares 2 13 2 3" xfId="40689" xr:uid="{00000000-0005-0000-0000-0000EA9E0000}"/>
    <cellStyle name="Separador de milhares 2 13 2 4" xfId="40690" xr:uid="{00000000-0005-0000-0000-0000EB9E0000}"/>
    <cellStyle name="Separador de milhares 2 13 2 5" xfId="40691" xr:uid="{00000000-0005-0000-0000-0000EC9E0000}"/>
    <cellStyle name="Separador de milhares 2 13 2 6" xfId="40692" xr:uid="{00000000-0005-0000-0000-0000ED9E0000}"/>
    <cellStyle name="Separador de milhares 2 13 3" xfId="40693" xr:uid="{00000000-0005-0000-0000-0000EE9E0000}"/>
    <cellStyle name="Separador de milhares 2 13 3 2" xfId="40694" xr:uid="{00000000-0005-0000-0000-0000EF9E0000}"/>
    <cellStyle name="Separador de milhares 2 13 3 3" xfId="40695" xr:uid="{00000000-0005-0000-0000-0000F09E0000}"/>
    <cellStyle name="Separador de milhares 2 13 3 4" xfId="40696" xr:uid="{00000000-0005-0000-0000-0000F19E0000}"/>
    <cellStyle name="Separador de milhares 2 13 3 5" xfId="40697" xr:uid="{00000000-0005-0000-0000-0000F29E0000}"/>
    <cellStyle name="Separador de milhares 2 13 3 6" xfId="40698" xr:uid="{00000000-0005-0000-0000-0000F39E0000}"/>
    <cellStyle name="Separador de milhares 2 13 4" xfId="40699" xr:uid="{00000000-0005-0000-0000-0000F49E0000}"/>
    <cellStyle name="Separador de milhares 2 13 4 2" xfId="40700" xr:uid="{00000000-0005-0000-0000-0000F59E0000}"/>
    <cellStyle name="Separador de milhares 2 13 4 3" xfId="40701" xr:uid="{00000000-0005-0000-0000-0000F69E0000}"/>
    <cellStyle name="Separador de milhares 2 13 4 4" xfId="40702" xr:uid="{00000000-0005-0000-0000-0000F79E0000}"/>
    <cellStyle name="Separador de milhares 2 13 4 5" xfId="40703" xr:uid="{00000000-0005-0000-0000-0000F89E0000}"/>
    <cellStyle name="Separador de milhares 2 13 4 6" xfId="40704" xr:uid="{00000000-0005-0000-0000-0000F99E0000}"/>
    <cellStyle name="Separador de milhares 2 13 5" xfId="40705" xr:uid="{00000000-0005-0000-0000-0000FA9E0000}"/>
    <cellStyle name="Separador de milhares 2 13 5 2" xfId="40706" xr:uid="{00000000-0005-0000-0000-0000FB9E0000}"/>
    <cellStyle name="Separador de milhares 2 13 5 3" xfId="40707" xr:uid="{00000000-0005-0000-0000-0000FC9E0000}"/>
    <cellStyle name="Separador de milhares 2 13 5 4" xfId="40708" xr:uid="{00000000-0005-0000-0000-0000FD9E0000}"/>
    <cellStyle name="Separador de milhares 2 13 5 5" xfId="40709" xr:uid="{00000000-0005-0000-0000-0000FE9E0000}"/>
    <cellStyle name="Separador de milhares 2 13 5 6" xfId="40710" xr:uid="{00000000-0005-0000-0000-0000FF9E0000}"/>
    <cellStyle name="Separador de milhares 2 13 6" xfId="40711" xr:uid="{00000000-0005-0000-0000-0000009F0000}"/>
    <cellStyle name="Separador de milhares 2 13 6 2" xfId="40712" xr:uid="{00000000-0005-0000-0000-0000019F0000}"/>
    <cellStyle name="Separador de milhares 2 13 6 3" xfId="40713" xr:uid="{00000000-0005-0000-0000-0000029F0000}"/>
    <cellStyle name="Separador de milhares 2 13 6 4" xfId="40714" xr:uid="{00000000-0005-0000-0000-0000039F0000}"/>
    <cellStyle name="Separador de milhares 2 13 6 5" xfId="40715" xr:uid="{00000000-0005-0000-0000-0000049F0000}"/>
    <cellStyle name="Separador de milhares 2 13 6 6" xfId="40716" xr:uid="{00000000-0005-0000-0000-0000059F0000}"/>
    <cellStyle name="Separador de milhares 2 13 7" xfId="40717" xr:uid="{00000000-0005-0000-0000-0000069F0000}"/>
    <cellStyle name="Separador de milhares 2 13 7 2" xfId="40718" xr:uid="{00000000-0005-0000-0000-0000079F0000}"/>
    <cellStyle name="Separador de milhares 2 13 7 3" xfId="40719" xr:uid="{00000000-0005-0000-0000-0000089F0000}"/>
    <cellStyle name="Separador de milhares 2 13 7 4" xfId="40720" xr:uid="{00000000-0005-0000-0000-0000099F0000}"/>
    <cellStyle name="Separador de milhares 2 13 7 5" xfId="40721" xr:uid="{00000000-0005-0000-0000-00000A9F0000}"/>
    <cellStyle name="Separador de milhares 2 13 7 6" xfId="40722" xr:uid="{00000000-0005-0000-0000-00000B9F0000}"/>
    <cellStyle name="Separador de milhares 2 13 8" xfId="40723" xr:uid="{00000000-0005-0000-0000-00000C9F0000}"/>
    <cellStyle name="Separador de milhares 2 13 8 2" xfId="40724" xr:uid="{00000000-0005-0000-0000-00000D9F0000}"/>
    <cellStyle name="Separador de milhares 2 13 8 3" xfId="40725" xr:uid="{00000000-0005-0000-0000-00000E9F0000}"/>
    <cellStyle name="Separador de milhares 2 13 8 4" xfId="40726" xr:uid="{00000000-0005-0000-0000-00000F9F0000}"/>
    <cellStyle name="Separador de milhares 2 13 8 5" xfId="40727" xr:uid="{00000000-0005-0000-0000-0000109F0000}"/>
    <cellStyle name="Separador de milhares 2 13 8 6" xfId="40728" xr:uid="{00000000-0005-0000-0000-0000119F0000}"/>
    <cellStyle name="Separador de milhares 2 13 9" xfId="40729" xr:uid="{00000000-0005-0000-0000-0000129F0000}"/>
    <cellStyle name="Separador de milhares 2 14" xfId="40730" xr:uid="{00000000-0005-0000-0000-0000139F0000}"/>
    <cellStyle name="Separador de milhares 2 14 10" xfId="40731" xr:uid="{00000000-0005-0000-0000-0000149F0000}"/>
    <cellStyle name="Separador de milhares 2 14 11" xfId="40732" xr:uid="{00000000-0005-0000-0000-0000159F0000}"/>
    <cellStyle name="Separador de milhares 2 14 12" xfId="40733" xr:uid="{00000000-0005-0000-0000-0000169F0000}"/>
    <cellStyle name="Separador de milhares 2 14 13" xfId="40734" xr:uid="{00000000-0005-0000-0000-0000179F0000}"/>
    <cellStyle name="Separador de milhares 2 14 2" xfId="40735" xr:uid="{00000000-0005-0000-0000-0000189F0000}"/>
    <cellStyle name="Separador de milhares 2 14 2 2" xfId="40736" xr:uid="{00000000-0005-0000-0000-0000199F0000}"/>
    <cellStyle name="Separador de milhares 2 14 2 3" xfId="40737" xr:uid="{00000000-0005-0000-0000-00001A9F0000}"/>
    <cellStyle name="Separador de milhares 2 14 2 4" xfId="40738" xr:uid="{00000000-0005-0000-0000-00001B9F0000}"/>
    <cellStyle name="Separador de milhares 2 14 2 5" xfId="40739" xr:uid="{00000000-0005-0000-0000-00001C9F0000}"/>
    <cellStyle name="Separador de milhares 2 14 2 6" xfId="40740" xr:uid="{00000000-0005-0000-0000-00001D9F0000}"/>
    <cellStyle name="Separador de milhares 2 14 3" xfId="40741" xr:uid="{00000000-0005-0000-0000-00001E9F0000}"/>
    <cellStyle name="Separador de milhares 2 14 3 2" xfId="40742" xr:uid="{00000000-0005-0000-0000-00001F9F0000}"/>
    <cellStyle name="Separador de milhares 2 14 3 3" xfId="40743" xr:uid="{00000000-0005-0000-0000-0000209F0000}"/>
    <cellStyle name="Separador de milhares 2 14 3 4" xfId="40744" xr:uid="{00000000-0005-0000-0000-0000219F0000}"/>
    <cellStyle name="Separador de milhares 2 14 3 5" xfId="40745" xr:uid="{00000000-0005-0000-0000-0000229F0000}"/>
    <cellStyle name="Separador de milhares 2 14 3 6" xfId="40746" xr:uid="{00000000-0005-0000-0000-0000239F0000}"/>
    <cellStyle name="Separador de milhares 2 14 4" xfId="40747" xr:uid="{00000000-0005-0000-0000-0000249F0000}"/>
    <cellStyle name="Separador de milhares 2 14 4 2" xfId="40748" xr:uid="{00000000-0005-0000-0000-0000259F0000}"/>
    <cellStyle name="Separador de milhares 2 14 4 3" xfId="40749" xr:uid="{00000000-0005-0000-0000-0000269F0000}"/>
    <cellStyle name="Separador de milhares 2 14 4 4" xfId="40750" xr:uid="{00000000-0005-0000-0000-0000279F0000}"/>
    <cellStyle name="Separador de milhares 2 14 4 5" xfId="40751" xr:uid="{00000000-0005-0000-0000-0000289F0000}"/>
    <cellStyle name="Separador de milhares 2 14 4 6" xfId="40752" xr:uid="{00000000-0005-0000-0000-0000299F0000}"/>
    <cellStyle name="Separador de milhares 2 14 5" xfId="40753" xr:uid="{00000000-0005-0000-0000-00002A9F0000}"/>
    <cellStyle name="Separador de milhares 2 14 5 2" xfId="40754" xr:uid="{00000000-0005-0000-0000-00002B9F0000}"/>
    <cellStyle name="Separador de milhares 2 14 5 3" xfId="40755" xr:uid="{00000000-0005-0000-0000-00002C9F0000}"/>
    <cellStyle name="Separador de milhares 2 14 5 4" xfId="40756" xr:uid="{00000000-0005-0000-0000-00002D9F0000}"/>
    <cellStyle name="Separador de milhares 2 14 5 5" xfId="40757" xr:uid="{00000000-0005-0000-0000-00002E9F0000}"/>
    <cellStyle name="Separador de milhares 2 14 5 6" xfId="40758" xr:uid="{00000000-0005-0000-0000-00002F9F0000}"/>
    <cellStyle name="Separador de milhares 2 14 6" xfId="40759" xr:uid="{00000000-0005-0000-0000-0000309F0000}"/>
    <cellStyle name="Separador de milhares 2 14 6 2" xfId="40760" xr:uid="{00000000-0005-0000-0000-0000319F0000}"/>
    <cellStyle name="Separador de milhares 2 14 6 3" xfId="40761" xr:uid="{00000000-0005-0000-0000-0000329F0000}"/>
    <cellStyle name="Separador de milhares 2 14 6 4" xfId="40762" xr:uid="{00000000-0005-0000-0000-0000339F0000}"/>
    <cellStyle name="Separador de milhares 2 14 6 5" xfId="40763" xr:uid="{00000000-0005-0000-0000-0000349F0000}"/>
    <cellStyle name="Separador de milhares 2 14 6 6" xfId="40764" xr:uid="{00000000-0005-0000-0000-0000359F0000}"/>
    <cellStyle name="Separador de milhares 2 14 7" xfId="40765" xr:uid="{00000000-0005-0000-0000-0000369F0000}"/>
    <cellStyle name="Separador de milhares 2 14 7 2" xfId="40766" xr:uid="{00000000-0005-0000-0000-0000379F0000}"/>
    <cellStyle name="Separador de milhares 2 14 7 3" xfId="40767" xr:uid="{00000000-0005-0000-0000-0000389F0000}"/>
    <cellStyle name="Separador de milhares 2 14 7 4" xfId="40768" xr:uid="{00000000-0005-0000-0000-0000399F0000}"/>
    <cellStyle name="Separador de milhares 2 14 7 5" xfId="40769" xr:uid="{00000000-0005-0000-0000-00003A9F0000}"/>
    <cellStyle name="Separador de milhares 2 14 7 6" xfId="40770" xr:uid="{00000000-0005-0000-0000-00003B9F0000}"/>
    <cellStyle name="Separador de milhares 2 14 8" xfId="40771" xr:uid="{00000000-0005-0000-0000-00003C9F0000}"/>
    <cellStyle name="Separador de milhares 2 14 8 2" xfId="40772" xr:uid="{00000000-0005-0000-0000-00003D9F0000}"/>
    <cellStyle name="Separador de milhares 2 14 8 3" xfId="40773" xr:uid="{00000000-0005-0000-0000-00003E9F0000}"/>
    <cellStyle name="Separador de milhares 2 14 8 4" xfId="40774" xr:uid="{00000000-0005-0000-0000-00003F9F0000}"/>
    <cellStyle name="Separador de milhares 2 14 8 5" xfId="40775" xr:uid="{00000000-0005-0000-0000-0000409F0000}"/>
    <cellStyle name="Separador de milhares 2 14 8 6" xfId="40776" xr:uid="{00000000-0005-0000-0000-0000419F0000}"/>
    <cellStyle name="Separador de milhares 2 14 9" xfId="40777" xr:uid="{00000000-0005-0000-0000-0000429F0000}"/>
    <cellStyle name="Separador de milhares 2 15" xfId="40778" xr:uid="{00000000-0005-0000-0000-0000439F0000}"/>
    <cellStyle name="Separador de milhares 2 15 10" xfId="40779" xr:uid="{00000000-0005-0000-0000-0000449F0000}"/>
    <cellStyle name="Separador de milhares 2 15 11" xfId="40780" xr:uid="{00000000-0005-0000-0000-0000459F0000}"/>
    <cellStyle name="Separador de milhares 2 15 12" xfId="40781" xr:uid="{00000000-0005-0000-0000-0000469F0000}"/>
    <cellStyle name="Separador de milhares 2 15 13" xfId="40782" xr:uid="{00000000-0005-0000-0000-0000479F0000}"/>
    <cellStyle name="Separador de milhares 2 15 2" xfId="40783" xr:uid="{00000000-0005-0000-0000-0000489F0000}"/>
    <cellStyle name="Separador de milhares 2 15 2 2" xfId="40784" xr:uid="{00000000-0005-0000-0000-0000499F0000}"/>
    <cellStyle name="Separador de milhares 2 15 2 3" xfId="40785" xr:uid="{00000000-0005-0000-0000-00004A9F0000}"/>
    <cellStyle name="Separador de milhares 2 15 2 4" xfId="40786" xr:uid="{00000000-0005-0000-0000-00004B9F0000}"/>
    <cellStyle name="Separador de milhares 2 15 2 5" xfId="40787" xr:uid="{00000000-0005-0000-0000-00004C9F0000}"/>
    <cellStyle name="Separador de milhares 2 15 2 6" xfId="40788" xr:uid="{00000000-0005-0000-0000-00004D9F0000}"/>
    <cellStyle name="Separador de milhares 2 15 3" xfId="40789" xr:uid="{00000000-0005-0000-0000-00004E9F0000}"/>
    <cellStyle name="Separador de milhares 2 15 3 2" xfId="40790" xr:uid="{00000000-0005-0000-0000-00004F9F0000}"/>
    <cellStyle name="Separador de milhares 2 15 3 3" xfId="40791" xr:uid="{00000000-0005-0000-0000-0000509F0000}"/>
    <cellStyle name="Separador de milhares 2 15 3 4" xfId="40792" xr:uid="{00000000-0005-0000-0000-0000519F0000}"/>
    <cellStyle name="Separador de milhares 2 15 3 5" xfId="40793" xr:uid="{00000000-0005-0000-0000-0000529F0000}"/>
    <cellStyle name="Separador de milhares 2 15 3 6" xfId="40794" xr:uid="{00000000-0005-0000-0000-0000539F0000}"/>
    <cellStyle name="Separador de milhares 2 15 4" xfId="40795" xr:uid="{00000000-0005-0000-0000-0000549F0000}"/>
    <cellStyle name="Separador de milhares 2 15 4 2" xfId="40796" xr:uid="{00000000-0005-0000-0000-0000559F0000}"/>
    <cellStyle name="Separador de milhares 2 15 4 3" xfId="40797" xr:uid="{00000000-0005-0000-0000-0000569F0000}"/>
    <cellStyle name="Separador de milhares 2 15 4 4" xfId="40798" xr:uid="{00000000-0005-0000-0000-0000579F0000}"/>
    <cellStyle name="Separador de milhares 2 15 4 5" xfId="40799" xr:uid="{00000000-0005-0000-0000-0000589F0000}"/>
    <cellStyle name="Separador de milhares 2 15 4 6" xfId="40800" xr:uid="{00000000-0005-0000-0000-0000599F0000}"/>
    <cellStyle name="Separador de milhares 2 15 5" xfId="40801" xr:uid="{00000000-0005-0000-0000-00005A9F0000}"/>
    <cellStyle name="Separador de milhares 2 15 5 2" xfId="40802" xr:uid="{00000000-0005-0000-0000-00005B9F0000}"/>
    <cellStyle name="Separador de milhares 2 15 5 3" xfId="40803" xr:uid="{00000000-0005-0000-0000-00005C9F0000}"/>
    <cellStyle name="Separador de milhares 2 15 5 4" xfId="40804" xr:uid="{00000000-0005-0000-0000-00005D9F0000}"/>
    <cellStyle name="Separador de milhares 2 15 5 5" xfId="40805" xr:uid="{00000000-0005-0000-0000-00005E9F0000}"/>
    <cellStyle name="Separador de milhares 2 15 5 6" xfId="40806" xr:uid="{00000000-0005-0000-0000-00005F9F0000}"/>
    <cellStyle name="Separador de milhares 2 15 6" xfId="40807" xr:uid="{00000000-0005-0000-0000-0000609F0000}"/>
    <cellStyle name="Separador de milhares 2 15 6 2" xfId="40808" xr:uid="{00000000-0005-0000-0000-0000619F0000}"/>
    <cellStyle name="Separador de milhares 2 15 6 3" xfId="40809" xr:uid="{00000000-0005-0000-0000-0000629F0000}"/>
    <cellStyle name="Separador de milhares 2 15 6 4" xfId="40810" xr:uid="{00000000-0005-0000-0000-0000639F0000}"/>
    <cellStyle name="Separador de milhares 2 15 6 5" xfId="40811" xr:uid="{00000000-0005-0000-0000-0000649F0000}"/>
    <cellStyle name="Separador de milhares 2 15 6 6" xfId="40812" xr:uid="{00000000-0005-0000-0000-0000659F0000}"/>
    <cellStyle name="Separador de milhares 2 15 7" xfId="40813" xr:uid="{00000000-0005-0000-0000-0000669F0000}"/>
    <cellStyle name="Separador de milhares 2 15 7 2" xfId="40814" xr:uid="{00000000-0005-0000-0000-0000679F0000}"/>
    <cellStyle name="Separador de milhares 2 15 7 3" xfId="40815" xr:uid="{00000000-0005-0000-0000-0000689F0000}"/>
    <cellStyle name="Separador de milhares 2 15 7 4" xfId="40816" xr:uid="{00000000-0005-0000-0000-0000699F0000}"/>
    <cellStyle name="Separador de milhares 2 15 7 5" xfId="40817" xr:uid="{00000000-0005-0000-0000-00006A9F0000}"/>
    <cellStyle name="Separador de milhares 2 15 7 6" xfId="40818" xr:uid="{00000000-0005-0000-0000-00006B9F0000}"/>
    <cellStyle name="Separador de milhares 2 15 8" xfId="40819" xr:uid="{00000000-0005-0000-0000-00006C9F0000}"/>
    <cellStyle name="Separador de milhares 2 15 8 2" xfId="40820" xr:uid="{00000000-0005-0000-0000-00006D9F0000}"/>
    <cellStyle name="Separador de milhares 2 15 8 3" xfId="40821" xr:uid="{00000000-0005-0000-0000-00006E9F0000}"/>
    <cellStyle name="Separador de milhares 2 15 8 4" xfId="40822" xr:uid="{00000000-0005-0000-0000-00006F9F0000}"/>
    <cellStyle name="Separador de milhares 2 15 8 5" xfId="40823" xr:uid="{00000000-0005-0000-0000-0000709F0000}"/>
    <cellStyle name="Separador de milhares 2 15 8 6" xfId="40824" xr:uid="{00000000-0005-0000-0000-0000719F0000}"/>
    <cellStyle name="Separador de milhares 2 15 9" xfId="40825" xr:uid="{00000000-0005-0000-0000-0000729F0000}"/>
    <cellStyle name="Separador de milhares 2 16" xfId="40826" xr:uid="{00000000-0005-0000-0000-0000739F0000}"/>
    <cellStyle name="Separador de milhares 2 16 10" xfId="40827" xr:uid="{00000000-0005-0000-0000-0000749F0000}"/>
    <cellStyle name="Separador de milhares 2 16 11" xfId="40828" xr:uid="{00000000-0005-0000-0000-0000759F0000}"/>
    <cellStyle name="Separador de milhares 2 16 12" xfId="40829" xr:uid="{00000000-0005-0000-0000-0000769F0000}"/>
    <cellStyle name="Separador de milhares 2 16 13" xfId="40830" xr:uid="{00000000-0005-0000-0000-0000779F0000}"/>
    <cellStyle name="Separador de milhares 2 16 2" xfId="40831" xr:uid="{00000000-0005-0000-0000-0000789F0000}"/>
    <cellStyle name="Separador de milhares 2 16 2 2" xfId="40832" xr:uid="{00000000-0005-0000-0000-0000799F0000}"/>
    <cellStyle name="Separador de milhares 2 16 2 3" xfId="40833" xr:uid="{00000000-0005-0000-0000-00007A9F0000}"/>
    <cellStyle name="Separador de milhares 2 16 2 4" xfId="40834" xr:uid="{00000000-0005-0000-0000-00007B9F0000}"/>
    <cellStyle name="Separador de milhares 2 16 2 5" xfId="40835" xr:uid="{00000000-0005-0000-0000-00007C9F0000}"/>
    <cellStyle name="Separador de milhares 2 16 2 6" xfId="40836" xr:uid="{00000000-0005-0000-0000-00007D9F0000}"/>
    <cellStyle name="Separador de milhares 2 16 3" xfId="40837" xr:uid="{00000000-0005-0000-0000-00007E9F0000}"/>
    <cellStyle name="Separador de milhares 2 16 3 2" xfId="40838" xr:uid="{00000000-0005-0000-0000-00007F9F0000}"/>
    <cellStyle name="Separador de milhares 2 16 3 3" xfId="40839" xr:uid="{00000000-0005-0000-0000-0000809F0000}"/>
    <cellStyle name="Separador de milhares 2 16 3 4" xfId="40840" xr:uid="{00000000-0005-0000-0000-0000819F0000}"/>
    <cellStyle name="Separador de milhares 2 16 3 5" xfId="40841" xr:uid="{00000000-0005-0000-0000-0000829F0000}"/>
    <cellStyle name="Separador de milhares 2 16 3 6" xfId="40842" xr:uid="{00000000-0005-0000-0000-0000839F0000}"/>
    <cellStyle name="Separador de milhares 2 16 4" xfId="40843" xr:uid="{00000000-0005-0000-0000-0000849F0000}"/>
    <cellStyle name="Separador de milhares 2 16 4 2" xfId="40844" xr:uid="{00000000-0005-0000-0000-0000859F0000}"/>
    <cellStyle name="Separador de milhares 2 16 4 3" xfId="40845" xr:uid="{00000000-0005-0000-0000-0000869F0000}"/>
    <cellStyle name="Separador de milhares 2 16 4 4" xfId="40846" xr:uid="{00000000-0005-0000-0000-0000879F0000}"/>
    <cellStyle name="Separador de milhares 2 16 4 5" xfId="40847" xr:uid="{00000000-0005-0000-0000-0000889F0000}"/>
    <cellStyle name="Separador de milhares 2 16 4 6" xfId="40848" xr:uid="{00000000-0005-0000-0000-0000899F0000}"/>
    <cellStyle name="Separador de milhares 2 16 5" xfId="40849" xr:uid="{00000000-0005-0000-0000-00008A9F0000}"/>
    <cellStyle name="Separador de milhares 2 16 5 2" xfId="40850" xr:uid="{00000000-0005-0000-0000-00008B9F0000}"/>
    <cellStyle name="Separador de milhares 2 16 5 3" xfId="40851" xr:uid="{00000000-0005-0000-0000-00008C9F0000}"/>
    <cellStyle name="Separador de milhares 2 16 5 4" xfId="40852" xr:uid="{00000000-0005-0000-0000-00008D9F0000}"/>
    <cellStyle name="Separador de milhares 2 16 5 5" xfId="40853" xr:uid="{00000000-0005-0000-0000-00008E9F0000}"/>
    <cellStyle name="Separador de milhares 2 16 5 6" xfId="40854" xr:uid="{00000000-0005-0000-0000-00008F9F0000}"/>
    <cellStyle name="Separador de milhares 2 16 6" xfId="40855" xr:uid="{00000000-0005-0000-0000-0000909F0000}"/>
    <cellStyle name="Separador de milhares 2 16 6 2" xfId="40856" xr:uid="{00000000-0005-0000-0000-0000919F0000}"/>
    <cellStyle name="Separador de milhares 2 16 6 3" xfId="40857" xr:uid="{00000000-0005-0000-0000-0000929F0000}"/>
    <cellStyle name="Separador de milhares 2 16 6 4" xfId="40858" xr:uid="{00000000-0005-0000-0000-0000939F0000}"/>
    <cellStyle name="Separador de milhares 2 16 6 5" xfId="40859" xr:uid="{00000000-0005-0000-0000-0000949F0000}"/>
    <cellStyle name="Separador de milhares 2 16 6 6" xfId="40860" xr:uid="{00000000-0005-0000-0000-0000959F0000}"/>
    <cellStyle name="Separador de milhares 2 16 7" xfId="40861" xr:uid="{00000000-0005-0000-0000-0000969F0000}"/>
    <cellStyle name="Separador de milhares 2 16 7 2" xfId="40862" xr:uid="{00000000-0005-0000-0000-0000979F0000}"/>
    <cellStyle name="Separador de milhares 2 16 7 3" xfId="40863" xr:uid="{00000000-0005-0000-0000-0000989F0000}"/>
    <cellStyle name="Separador de milhares 2 16 7 4" xfId="40864" xr:uid="{00000000-0005-0000-0000-0000999F0000}"/>
    <cellStyle name="Separador de milhares 2 16 7 5" xfId="40865" xr:uid="{00000000-0005-0000-0000-00009A9F0000}"/>
    <cellStyle name="Separador de milhares 2 16 7 6" xfId="40866" xr:uid="{00000000-0005-0000-0000-00009B9F0000}"/>
    <cellStyle name="Separador de milhares 2 16 8" xfId="40867" xr:uid="{00000000-0005-0000-0000-00009C9F0000}"/>
    <cellStyle name="Separador de milhares 2 16 8 2" xfId="40868" xr:uid="{00000000-0005-0000-0000-00009D9F0000}"/>
    <cellStyle name="Separador de milhares 2 16 8 3" xfId="40869" xr:uid="{00000000-0005-0000-0000-00009E9F0000}"/>
    <cellStyle name="Separador de milhares 2 16 8 4" xfId="40870" xr:uid="{00000000-0005-0000-0000-00009F9F0000}"/>
    <cellStyle name="Separador de milhares 2 16 8 5" xfId="40871" xr:uid="{00000000-0005-0000-0000-0000A09F0000}"/>
    <cellStyle name="Separador de milhares 2 16 8 6" xfId="40872" xr:uid="{00000000-0005-0000-0000-0000A19F0000}"/>
    <cellStyle name="Separador de milhares 2 16 9" xfId="40873" xr:uid="{00000000-0005-0000-0000-0000A29F0000}"/>
    <cellStyle name="Separador de milhares 2 17" xfId="40874" xr:uid="{00000000-0005-0000-0000-0000A39F0000}"/>
    <cellStyle name="Separador de milhares 2 17 10" xfId="40875" xr:uid="{00000000-0005-0000-0000-0000A49F0000}"/>
    <cellStyle name="Separador de milhares 2 17 11" xfId="40876" xr:uid="{00000000-0005-0000-0000-0000A59F0000}"/>
    <cellStyle name="Separador de milhares 2 17 12" xfId="40877" xr:uid="{00000000-0005-0000-0000-0000A69F0000}"/>
    <cellStyle name="Separador de milhares 2 17 13" xfId="40878" xr:uid="{00000000-0005-0000-0000-0000A79F0000}"/>
    <cellStyle name="Separador de milhares 2 17 2" xfId="40879" xr:uid="{00000000-0005-0000-0000-0000A89F0000}"/>
    <cellStyle name="Separador de milhares 2 17 2 2" xfId="40880" xr:uid="{00000000-0005-0000-0000-0000A99F0000}"/>
    <cellStyle name="Separador de milhares 2 17 2 3" xfId="40881" xr:uid="{00000000-0005-0000-0000-0000AA9F0000}"/>
    <cellStyle name="Separador de milhares 2 17 2 4" xfId="40882" xr:uid="{00000000-0005-0000-0000-0000AB9F0000}"/>
    <cellStyle name="Separador de milhares 2 17 2 5" xfId="40883" xr:uid="{00000000-0005-0000-0000-0000AC9F0000}"/>
    <cellStyle name="Separador de milhares 2 17 2 6" xfId="40884" xr:uid="{00000000-0005-0000-0000-0000AD9F0000}"/>
    <cellStyle name="Separador de milhares 2 17 3" xfId="40885" xr:uid="{00000000-0005-0000-0000-0000AE9F0000}"/>
    <cellStyle name="Separador de milhares 2 17 3 2" xfId="40886" xr:uid="{00000000-0005-0000-0000-0000AF9F0000}"/>
    <cellStyle name="Separador de milhares 2 17 3 3" xfId="40887" xr:uid="{00000000-0005-0000-0000-0000B09F0000}"/>
    <cellStyle name="Separador de milhares 2 17 3 4" xfId="40888" xr:uid="{00000000-0005-0000-0000-0000B19F0000}"/>
    <cellStyle name="Separador de milhares 2 17 3 5" xfId="40889" xr:uid="{00000000-0005-0000-0000-0000B29F0000}"/>
    <cellStyle name="Separador de milhares 2 17 3 6" xfId="40890" xr:uid="{00000000-0005-0000-0000-0000B39F0000}"/>
    <cellStyle name="Separador de milhares 2 17 4" xfId="40891" xr:uid="{00000000-0005-0000-0000-0000B49F0000}"/>
    <cellStyle name="Separador de milhares 2 17 4 2" xfId="40892" xr:uid="{00000000-0005-0000-0000-0000B59F0000}"/>
    <cellStyle name="Separador de milhares 2 17 4 3" xfId="40893" xr:uid="{00000000-0005-0000-0000-0000B69F0000}"/>
    <cellStyle name="Separador de milhares 2 17 4 4" xfId="40894" xr:uid="{00000000-0005-0000-0000-0000B79F0000}"/>
    <cellStyle name="Separador de milhares 2 17 4 5" xfId="40895" xr:uid="{00000000-0005-0000-0000-0000B89F0000}"/>
    <cellStyle name="Separador de milhares 2 17 4 6" xfId="40896" xr:uid="{00000000-0005-0000-0000-0000B99F0000}"/>
    <cellStyle name="Separador de milhares 2 17 5" xfId="40897" xr:uid="{00000000-0005-0000-0000-0000BA9F0000}"/>
    <cellStyle name="Separador de milhares 2 17 5 2" xfId="40898" xr:uid="{00000000-0005-0000-0000-0000BB9F0000}"/>
    <cellStyle name="Separador de milhares 2 17 5 3" xfId="40899" xr:uid="{00000000-0005-0000-0000-0000BC9F0000}"/>
    <cellStyle name="Separador de milhares 2 17 5 4" xfId="40900" xr:uid="{00000000-0005-0000-0000-0000BD9F0000}"/>
    <cellStyle name="Separador de milhares 2 17 5 5" xfId="40901" xr:uid="{00000000-0005-0000-0000-0000BE9F0000}"/>
    <cellStyle name="Separador de milhares 2 17 5 6" xfId="40902" xr:uid="{00000000-0005-0000-0000-0000BF9F0000}"/>
    <cellStyle name="Separador de milhares 2 17 6" xfId="40903" xr:uid="{00000000-0005-0000-0000-0000C09F0000}"/>
    <cellStyle name="Separador de milhares 2 17 6 2" xfId="40904" xr:uid="{00000000-0005-0000-0000-0000C19F0000}"/>
    <cellStyle name="Separador de milhares 2 17 6 3" xfId="40905" xr:uid="{00000000-0005-0000-0000-0000C29F0000}"/>
    <cellStyle name="Separador de milhares 2 17 6 4" xfId="40906" xr:uid="{00000000-0005-0000-0000-0000C39F0000}"/>
    <cellStyle name="Separador de milhares 2 17 6 5" xfId="40907" xr:uid="{00000000-0005-0000-0000-0000C49F0000}"/>
    <cellStyle name="Separador de milhares 2 17 6 6" xfId="40908" xr:uid="{00000000-0005-0000-0000-0000C59F0000}"/>
    <cellStyle name="Separador de milhares 2 17 7" xfId="40909" xr:uid="{00000000-0005-0000-0000-0000C69F0000}"/>
    <cellStyle name="Separador de milhares 2 17 7 2" xfId="40910" xr:uid="{00000000-0005-0000-0000-0000C79F0000}"/>
    <cellStyle name="Separador de milhares 2 17 7 3" xfId="40911" xr:uid="{00000000-0005-0000-0000-0000C89F0000}"/>
    <cellStyle name="Separador de milhares 2 17 7 4" xfId="40912" xr:uid="{00000000-0005-0000-0000-0000C99F0000}"/>
    <cellStyle name="Separador de milhares 2 17 7 5" xfId="40913" xr:uid="{00000000-0005-0000-0000-0000CA9F0000}"/>
    <cellStyle name="Separador de milhares 2 17 7 6" xfId="40914" xr:uid="{00000000-0005-0000-0000-0000CB9F0000}"/>
    <cellStyle name="Separador de milhares 2 17 8" xfId="40915" xr:uid="{00000000-0005-0000-0000-0000CC9F0000}"/>
    <cellStyle name="Separador de milhares 2 17 8 2" xfId="40916" xr:uid="{00000000-0005-0000-0000-0000CD9F0000}"/>
    <cellStyle name="Separador de milhares 2 17 8 3" xfId="40917" xr:uid="{00000000-0005-0000-0000-0000CE9F0000}"/>
    <cellStyle name="Separador de milhares 2 17 8 4" xfId="40918" xr:uid="{00000000-0005-0000-0000-0000CF9F0000}"/>
    <cellStyle name="Separador de milhares 2 17 8 5" xfId="40919" xr:uid="{00000000-0005-0000-0000-0000D09F0000}"/>
    <cellStyle name="Separador de milhares 2 17 8 6" xfId="40920" xr:uid="{00000000-0005-0000-0000-0000D19F0000}"/>
    <cellStyle name="Separador de milhares 2 17 9" xfId="40921" xr:uid="{00000000-0005-0000-0000-0000D29F0000}"/>
    <cellStyle name="Separador de milhares 2 18" xfId="40922" xr:uid="{00000000-0005-0000-0000-0000D39F0000}"/>
    <cellStyle name="Separador de milhares 2 18 10" xfId="40923" xr:uid="{00000000-0005-0000-0000-0000D49F0000}"/>
    <cellStyle name="Separador de milhares 2 18 11" xfId="40924" xr:uid="{00000000-0005-0000-0000-0000D59F0000}"/>
    <cellStyle name="Separador de milhares 2 18 12" xfId="40925" xr:uid="{00000000-0005-0000-0000-0000D69F0000}"/>
    <cellStyle name="Separador de milhares 2 18 13" xfId="40926" xr:uid="{00000000-0005-0000-0000-0000D79F0000}"/>
    <cellStyle name="Separador de milhares 2 18 2" xfId="40927" xr:uid="{00000000-0005-0000-0000-0000D89F0000}"/>
    <cellStyle name="Separador de milhares 2 18 2 2" xfId="40928" xr:uid="{00000000-0005-0000-0000-0000D99F0000}"/>
    <cellStyle name="Separador de milhares 2 18 2 3" xfId="40929" xr:uid="{00000000-0005-0000-0000-0000DA9F0000}"/>
    <cellStyle name="Separador de milhares 2 18 2 4" xfId="40930" xr:uid="{00000000-0005-0000-0000-0000DB9F0000}"/>
    <cellStyle name="Separador de milhares 2 18 2 5" xfId="40931" xr:uid="{00000000-0005-0000-0000-0000DC9F0000}"/>
    <cellStyle name="Separador de milhares 2 18 2 6" xfId="40932" xr:uid="{00000000-0005-0000-0000-0000DD9F0000}"/>
    <cellStyle name="Separador de milhares 2 18 3" xfId="40933" xr:uid="{00000000-0005-0000-0000-0000DE9F0000}"/>
    <cellStyle name="Separador de milhares 2 18 3 2" xfId="40934" xr:uid="{00000000-0005-0000-0000-0000DF9F0000}"/>
    <cellStyle name="Separador de milhares 2 18 3 3" xfId="40935" xr:uid="{00000000-0005-0000-0000-0000E09F0000}"/>
    <cellStyle name="Separador de milhares 2 18 3 4" xfId="40936" xr:uid="{00000000-0005-0000-0000-0000E19F0000}"/>
    <cellStyle name="Separador de milhares 2 18 3 5" xfId="40937" xr:uid="{00000000-0005-0000-0000-0000E29F0000}"/>
    <cellStyle name="Separador de milhares 2 18 3 6" xfId="40938" xr:uid="{00000000-0005-0000-0000-0000E39F0000}"/>
    <cellStyle name="Separador de milhares 2 18 4" xfId="40939" xr:uid="{00000000-0005-0000-0000-0000E49F0000}"/>
    <cellStyle name="Separador de milhares 2 18 4 2" xfId="40940" xr:uid="{00000000-0005-0000-0000-0000E59F0000}"/>
    <cellStyle name="Separador de milhares 2 18 4 3" xfId="40941" xr:uid="{00000000-0005-0000-0000-0000E69F0000}"/>
    <cellStyle name="Separador de milhares 2 18 4 4" xfId="40942" xr:uid="{00000000-0005-0000-0000-0000E79F0000}"/>
    <cellStyle name="Separador de milhares 2 18 4 5" xfId="40943" xr:uid="{00000000-0005-0000-0000-0000E89F0000}"/>
    <cellStyle name="Separador de milhares 2 18 4 6" xfId="40944" xr:uid="{00000000-0005-0000-0000-0000E99F0000}"/>
    <cellStyle name="Separador de milhares 2 18 5" xfId="40945" xr:uid="{00000000-0005-0000-0000-0000EA9F0000}"/>
    <cellStyle name="Separador de milhares 2 18 5 2" xfId="40946" xr:uid="{00000000-0005-0000-0000-0000EB9F0000}"/>
    <cellStyle name="Separador de milhares 2 18 5 3" xfId="40947" xr:uid="{00000000-0005-0000-0000-0000EC9F0000}"/>
    <cellStyle name="Separador de milhares 2 18 5 4" xfId="40948" xr:uid="{00000000-0005-0000-0000-0000ED9F0000}"/>
    <cellStyle name="Separador de milhares 2 18 5 5" xfId="40949" xr:uid="{00000000-0005-0000-0000-0000EE9F0000}"/>
    <cellStyle name="Separador de milhares 2 18 5 6" xfId="40950" xr:uid="{00000000-0005-0000-0000-0000EF9F0000}"/>
    <cellStyle name="Separador de milhares 2 18 6" xfId="40951" xr:uid="{00000000-0005-0000-0000-0000F09F0000}"/>
    <cellStyle name="Separador de milhares 2 18 6 2" xfId="40952" xr:uid="{00000000-0005-0000-0000-0000F19F0000}"/>
    <cellStyle name="Separador de milhares 2 18 6 3" xfId="40953" xr:uid="{00000000-0005-0000-0000-0000F29F0000}"/>
    <cellStyle name="Separador de milhares 2 18 6 4" xfId="40954" xr:uid="{00000000-0005-0000-0000-0000F39F0000}"/>
    <cellStyle name="Separador de milhares 2 18 6 5" xfId="40955" xr:uid="{00000000-0005-0000-0000-0000F49F0000}"/>
    <cellStyle name="Separador de milhares 2 18 6 6" xfId="40956" xr:uid="{00000000-0005-0000-0000-0000F59F0000}"/>
    <cellStyle name="Separador de milhares 2 18 7" xfId="40957" xr:uid="{00000000-0005-0000-0000-0000F69F0000}"/>
    <cellStyle name="Separador de milhares 2 18 7 2" xfId="40958" xr:uid="{00000000-0005-0000-0000-0000F79F0000}"/>
    <cellStyle name="Separador de milhares 2 18 7 3" xfId="40959" xr:uid="{00000000-0005-0000-0000-0000F89F0000}"/>
    <cellStyle name="Separador de milhares 2 18 7 4" xfId="40960" xr:uid="{00000000-0005-0000-0000-0000F99F0000}"/>
    <cellStyle name="Separador de milhares 2 18 7 5" xfId="40961" xr:uid="{00000000-0005-0000-0000-0000FA9F0000}"/>
    <cellStyle name="Separador de milhares 2 18 7 6" xfId="40962" xr:uid="{00000000-0005-0000-0000-0000FB9F0000}"/>
    <cellStyle name="Separador de milhares 2 18 8" xfId="40963" xr:uid="{00000000-0005-0000-0000-0000FC9F0000}"/>
    <cellStyle name="Separador de milhares 2 18 8 2" xfId="40964" xr:uid="{00000000-0005-0000-0000-0000FD9F0000}"/>
    <cellStyle name="Separador de milhares 2 18 8 3" xfId="40965" xr:uid="{00000000-0005-0000-0000-0000FE9F0000}"/>
    <cellStyle name="Separador de milhares 2 18 8 4" xfId="40966" xr:uid="{00000000-0005-0000-0000-0000FF9F0000}"/>
    <cellStyle name="Separador de milhares 2 18 8 5" xfId="40967" xr:uid="{00000000-0005-0000-0000-000000A00000}"/>
    <cellStyle name="Separador de milhares 2 18 8 6" xfId="40968" xr:uid="{00000000-0005-0000-0000-000001A00000}"/>
    <cellStyle name="Separador de milhares 2 18 9" xfId="40969" xr:uid="{00000000-0005-0000-0000-000002A00000}"/>
    <cellStyle name="Separador de milhares 2 19" xfId="40970" xr:uid="{00000000-0005-0000-0000-000003A00000}"/>
    <cellStyle name="Separador de milhares 2 19 10" xfId="40971" xr:uid="{00000000-0005-0000-0000-000004A00000}"/>
    <cellStyle name="Separador de milhares 2 19 11" xfId="40972" xr:uid="{00000000-0005-0000-0000-000005A00000}"/>
    <cellStyle name="Separador de milhares 2 19 12" xfId="40973" xr:uid="{00000000-0005-0000-0000-000006A00000}"/>
    <cellStyle name="Separador de milhares 2 19 13" xfId="40974" xr:uid="{00000000-0005-0000-0000-000007A00000}"/>
    <cellStyle name="Separador de milhares 2 19 2" xfId="40975" xr:uid="{00000000-0005-0000-0000-000008A00000}"/>
    <cellStyle name="Separador de milhares 2 19 2 2" xfId="40976" xr:uid="{00000000-0005-0000-0000-000009A00000}"/>
    <cellStyle name="Separador de milhares 2 19 2 3" xfId="40977" xr:uid="{00000000-0005-0000-0000-00000AA00000}"/>
    <cellStyle name="Separador de milhares 2 19 2 4" xfId="40978" xr:uid="{00000000-0005-0000-0000-00000BA00000}"/>
    <cellStyle name="Separador de milhares 2 19 2 5" xfId="40979" xr:uid="{00000000-0005-0000-0000-00000CA00000}"/>
    <cellStyle name="Separador de milhares 2 19 2 6" xfId="40980" xr:uid="{00000000-0005-0000-0000-00000DA00000}"/>
    <cellStyle name="Separador de milhares 2 19 3" xfId="40981" xr:uid="{00000000-0005-0000-0000-00000EA00000}"/>
    <cellStyle name="Separador de milhares 2 19 3 2" xfId="40982" xr:uid="{00000000-0005-0000-0000-00000FA00000}"/>
    <cellStyle name="Separador de milhares 2 19 3 3" xfId="40983" xr:uid="{00000000-0005-0000-0000-000010A00000}"/>
    <cellStyle name="Separador de milhares 2 19 3 4" xfId="40984" xr:uid="{00000000-0005-0000-0000-000011A00000}"/>
    <cellStyle name="Separador de milhares 2 19 3 5" xfId="40985" xr:uid="{00000000-0005-0000-0000-000012A00000}"/>
    <cellStyle name="Separador de milhares 2 19 3 6" xfId="40986" xr:uid="{00000000-0005-0000-0000-000013A00000}"/>
    <cellStyle name="Separador de milhares 2 19 4" xfId="40987" xr:uid="{00000000-0005-0000-0000-000014A00000}"/>
    <cellStyle name="Separador de milhares 2 19 4 2" xfId="40988" xr:uid="{00000000-0005-0000-0000-000015A00000}"/>
    <cellStyle name="Separador de milhares 2 19 4 3" xfId="40989" xr:uid="{00000000-0005-0000-0000-000016A00000}"/>
    <cellStyle name="Separador de milhares 2 19 4 4" xfId="40990" xr:uid="{00000000-0005-0000-0000-000017A00000}"/>
    <cellStyle name="Separador de milhares 2 19 4 5" xfId="40991" xr:uid="{00000000-0005-0000-0000-000018A00000}"/>
    <cellStyle name="Separador de milhares 2 19 4 6" xfId="40992" xr:uid="{00000000-0005-0000-0000-000019A00000}"/>
    <cellStyle name="Separador de milhares 2 19 5" xfId="40993" xr:uid="{00000000-0005-0000-0000-00001AA00000}"/>
    <cellStyle name="Separador de milhares 2 19 5 2" xfId="40994" xr:uid="{00000000-0005-0000-0000-00001BA00000}"/>
    <cellStyle name="Separador de milhares 2 19 5 3" xfId="40995" xr:uid="{00000000-0005-0000-0000-00001CA00000}"/>
    <cellStyle name="Separador de milhares 2 19 5 4" xfId="40996" xr:uid="{00000000-0005-0000-0000-00001DA00000}"/>
    <cellStyle name="Separador de milhares 2 19 5 5" xfId="40997" xr:uid="{00000000-0005-0000-0000-00001EA00000}"/>
    <cellStyle name="Separador de milhares 2 19 5 6" xfId="40998" xr:uid="{00000000-0005-0000-0000-00001FA00000}"/>
    <cellStyle name="Separador de milhares 2 19 6" xfId="40999" xr:uid="{00000000-0005-0000-0000-000020A00000}"/>
    <cellStyle name="Separador de milhares 2 19 6 2" xfId="41000" xr:uid="{00000000-0005-0000-0000-000021A00000}"/>
    <cellStyle name="Separador de milhares 2 19 6 3" xfId="41001" xr:uid="{00000000-0005-0000-0000-000022A00000}"/>
    <cellStyle name="Separador de milhares 2 19 6 4" xfId="41002" xr:uid="{00000000-0005-0000-0000-000023A00000}"/>
    <cellStyle name="Separador de milhares 2 19 6 5" xfId="41003" xr:uid="{00000000-0005-0000-0000-000024A00000}"/>
    <cellStyle name="Separador de milhares 2 19 6 6" xfId="41004" xr:uid="{00000000-0005-0000-0000-000025A00000}"/>
    <cellStyle name="Separador de milhares 2 19 7" xfId="41005" xr:uid="{00000000-0005-0000-0000-000026A00000}"/>
    <cellStyle name="Separador de milhares 2 19 7 2" xfId="41006" xr:uid="{00000000-0005-0000-0000-000027A00000}"/>
    <cellStyle name="Separador de milhares 2 19 7 3" xfId="41007" xr:uid="{00000000-0005-0000-0000-000028A00000}"/>
    <cellStyle name="Separador de milhares 2 19 7 4" xfId="41008" xr:uid="{00000000-0005-0000-0000-000029A00000}"/>
    <cellStyle name="Separador de milhares 2 19 7 5" xfId="41009" xr:uid="{00000000-0005-0000-0000-00002AA00000}"/>
    <cellStyle name="Separador de milhares 2 19 7 6" xfId="41010" xr:uid="{00000000-0005-0000-0000-00002BA00000}"/>
    <cellStyle name="Separador de milhares 2 19 8" xfId="41011" xr:uid="{00000000-0005-0000-0000-00002CA00000}"/>
    <cellStyle name="Separador de milhares 2 19 8 2" xfId="41012" xr:uid="{00000000-0005-0000-0000-00002DA00000}"/>
    <cellStyle name="Separador de milhares 2 19 8 3" xfId="41013" xr:uid="{00000000-0005-0000-0000-00002EA00000}"/>
    <cellStyle name="Separador de milhares 2 19 8 4" xfId="41014" xr:uid="{00000000-0005-0000-0000-00002FA00000}"/>
    <cellStyle name="Separador de milhares 2 19 8 5" xfId="41015" xr:uid="{00000000-0005-0000-0000-000030A00000}"/>
    <cellStyle name="Separador de milhares 2 19 8 6" xfId="41016" xr:uid="{00000000-0005-0000-0000-000031A00000}"/>
    <cellStyle name="Separador de milhares 2 19 9" xfId="41017" xr:uid="{00000000-0005-0000-0000-000032A00000}"/>
    <cellStyle name="Separador de milhares 2 2" xfId="1128" xr:uid="{00000000-0005-0000-0000-000033A00000}"/>
    <cellStyle name="Separador de milhares 2 2 10" xfId="41018" xr:uid="{00000000-0005-0000-0000-000034A00000}"/>
    <cellStyle name="Separador de milhares 2 2 10 2" xfId="41019" xr:uid="{00000000-0005-0000-0000-000035A00000}"/>
    <cellStyle name="Separador de milhares 2 2 11" xfId="41020" xr:uid="{00000000-0005-0000-0000-000036A00000}"/>
    <cellStyle name="Separador de milhares 2 2 12" xfId="41021" xr:uid="{00000000-0005-0000-0000-000037A00000}"/>
    <cellStyle name="Separador de milhares 2 2 13" xfId="41022" xr:uid="{00000000-0005-0000-0000-000038A00000}"/>
    <cellStyle name="Separador de milhares 2 2 14" xfId="41023" xr:uid="{00000000-0005-0000-0000-000039A00000}"/>
    <cellStyle name="Separador de milhares 2 2 15" xfId="41024" xr:uid="{00000000-0005-0000-0000-00003AA00000}"/>
    <cellStyle name="Separador de milhares 2 2 16" xfId="41025" xr:uid="{00000000-0005-0000-0000-00003BA00000}"/>
    <cellStyle name="Separador de milhares 2 2 17" xfId="41026" xr:uid="{00000000-0005-0000-0000-00003CA00000}"/>
    <cellStyle name="Separador de milhares 2 2 18" xfId="41027" xr:uid="{00000000-0005-0000-0000-00003DA00000}"/>
    <cellStyle name="Separador de milhares 2 2 19" xfId="41028" xr:uid="{00000000-0005-0000-0000-00003EA00000}"/>
    <cellStyle name="Separador de milhares 2 2 2" xfId="1129" xr:uid="{00000000-0005-0000-0000-00003FA00000}"/>
    <cellStyle name="Separador de milhares 2 2 2 10" xfId="41029" xr:uid="{00000000-0005-0000-0000-000040A00000}"/>
    <cellStyle name="Separador de milhares 2 2 2 11" xfId="41030" xr:uid="{00000000-0005-0000-0000-000041A00000}"/>
    <cellStyle name="Separador de milhares 2 2 2 12" xfId="41031" xr:uid="{00000000-0005-0000-0000-000042A00000}"/>
    <cellStyle name="Separador de milhares 2 2 2 13" xfId="41032" xr:uid="{00000000-0005-0000-0000-000043A00000}"/>
    <cellStyle name="Separador de milhares 2 2 2 14" xfId="41033" xr:uid="{00000000-0005-0000-0000-000044A00000}"/>
    <cellStyle name="Separador de milhares 2 2 2 15" xfId="41034" xr:uid="{00000000-0005-0000-0000-000045A00000}"/>
    <cellStyle name="Separador de milhares 2 2 2 16" xfId="41035" xr:uid="{00000000-0005-0000-0000-000046A00000}"/>
    <cellStyle name="Separador de milhares 2 2 2 17" xfId="41036" xr:uid="{00000000-0005-0000-0000-000047A00000}"/>
    <cellStyle name="Separador de milhares 2 2 2 18" xfId="41037" xr:uid="{00000000-0005-0000-0000-000048A00000}"/>
    <cellStyle name="Separador de milhares 2 2 2 19" xfId="41038" xr:uid="{00000000-0005-0000-0000-000049A00000}"/>
    <cellStyle name="Separador de milhares 2 2 2 2" xfId="41039" xr:uid="{00000000-0005-0000-0000-00004AA00000}"/>
    <cellStyle name="Separador de milhares 2 2 2 2 10" xfId="41040" xr:uid="{00000000-0005-0000-0000-00004BA00000}"/>
    <cellStyle name="Separador de milhares 2 2 2 2 11" xfId="41041" xr:uid="{00000000-0005-0000-0000-00004CA00000}"/>
    <cellStyle name="Separador de milhares 2 2 2 2 12" xfId="41042" xr:uid="{00000000-0005-0000-0000-00004DA00000}"/>
    <cellStyle name="Separador de milhares 2 2 2 2 13" xfId="41043" xr:uid="{00000000-0005-0000-0000-00004EA00000}"/>
    <cellStyle name="Separador de milhares 2 2 2 2 14" xfId="41044" xr:uid="{00000000-0005-0000-0000-00004FA00000}"/>
    <cellStyle name="Separador de milhares 2 2 2 2 15" xfId="41045" xr:uid="{00000000-0005-0000-0000-000050A00000}"/>
    <cellStyle name="Separador de milhares 2 2 2 2 16" xfId="41046" xr:uid="{00000000-0005-0000-0000-000051A00000}"/>
    <cellStyle name="Separador de milhares 2 2 2 2 17" xfId="41047" xr:uid="{00000000-0005-0000-0000-000052A00000}"/>
    <cellStyle name="Separador de milhares 2 2 2 2 18" xfId="41048" xr:uid="{00000000-0005-0000-0000-000053A00000}"/>
    <cellStyle name="Separador de milhares 2 2 2 2 18 2" xfId="41049" xr:uid="{00000000-0005-0000-0000-000054A00000}"/>
    <cellStyle name="Separador de milhares 2 2 2 2 18 2 2" xfId="41050" xr:uid="{00000000-0005-0000-0000-000055A00000}"/>
    <cellStyle name="Separador de milhares 2 2 2 2 18 2 2 2" xfId="41051" xr:uid="{00000000-0005-0000-0000-000056A00000}"/>
    <cellStyle name="Separador de milhares 2 2 2 2 18 2 3" xfId="41052" xr:uid="{00000000-0005-0000-0000-000057A00000}"/>
    <cellStyle name="Separador de milhares 2 2 2 2 18 3" xfId="41053" xr:uid="{00000000-0005-0000-0000-000058A00000}"/>
    <cellStyle name="Separador de milhares 2 2 2 2 18 3 2" xfId="41054" xr:uid="{00000000-0005-0000-0000-000059A00000}"/>
    <cellStyle name="Separador de milhares 2 2 2 2 19" xfId="41055" xr:uid="{00000000-0005-0000-0000-00005AA00000}"/>
    <cellStyle name="Separador de milhares 2 2 2 2 19 2" xfId="41056" xr:uid="{00000000-0005-0000-0000-00005BA00000}"/>
    <cellStyle name="Separador de milhares 2 2 2 2 2" xfId="41057" xr:uid="{00000000-0005-0000-0000-00005CA00000}"/>
    <cellStyle name="Separador de milhares 2 2 2 2 2 10" xfId="41058" xr:uid="{00000000-0005-0000-0000-00005DA00000}"/>
    <cellStyle name="Separador de milhares 2 2 2 2 2 11" xfId="41059" xr:uid="{00000000-0005-0000-0000-00005EA00000}"/>
    <cellStyle name="Separador de milhares 2 2 2 2 2 12" xfId="41060" xr:uid="{00000000-0005-0000-0000-00005FA00000}"/>
    <cellStyle name="Separador de milhares 2 2 2 2 2 13" xfId="41061" xr:uid="{00000000-0005-0000-0000-000060A00000}"/>
    <cellStyle name="Separador de milhares 2 2 2 2 2 14" xfId="41062" xr:uid="{00000000-0005-0000-0000-000061A00000}"/>
    <cellStyle name="Separador de milhares 2 2 2 2 2 15" xfId="41063" xr:uid="{00000000-0005-0000-0000-000062A00000}"/>
    <cellStyle name="Separador de milhares 2 2 2 2 2 16" xfId="41064" xr:uid="{00000000-0005-0000-0000-000063A00000}"/>
    <cellStyle name="Separador de milhares 2 2 2 2 2 17" xfId="41065" xr:uid="{00000000-0005-0000-0000-000064A00000}"/>
    <cellStyle name="Separador de milhares 2 2 2 2 2 18" xfId="41066" xr:uid="{00000000-0005-0000-0000-000065A00000}"/>
    <cellStyle name="Separador de milhares 2 2 2 2 2 18 2" xfId="41067" xr:uid="{00000000-0005-0000-0000-000066A00000}"/>
    <cellStyle name="Separador de milhares 2 2 2 2 2 18 2 2" xfId="41068" xr:uid="{00000000-0005-0000-0000-000067A00000}"/>
    <cellStyle name="Separador de milhares 2 2 2 2 2 18 2 2 2" xfId="41069" xr:uid="{00000000-0005-0000-0000-000068A00000}"/>
    <cellStyle name="Separador de milhares 2 2 2 2 2 18 2 3" xfId="41070" xr:uid="{00000000-0005-0000-0000-000069A00000}"/>
    <cellStyle name="Separador de milhares 2 2 2 2 2 18 3" xfId="41071" xr:uid="{00000000-0005-0000-0000-00006AA00000}"/>
    <cellStyle name="Separador de milhares 2 2 2 2 2 18 3 2" xfId="41072" xr:uid="{00000000-0005-0000-0000-00006BA00000}"/>
    <cellStyle name="Separador de milhares 2 2 2 2 2 19" xfId="41073" xr:uid="{00000000-0005-0000-0000-00006CA00000}"/>
    <cellStyle name="Separador de milhares 2 2 2 2 2 19 2" xfId="41074" xr:uid="{00000000-0005-0000-0000-00006DA00000}"/>
    <cellStyle name="Separador de milhares 2 2 2 2 2 2" xfId="41075" xr:uid="{00000000-0005-0000-0000-00006EA00000}"/>
    <cellStyle name="Separador de milhares 2 2 2 2 2 2 2" xfId="41076" xr:uid="{00000000-0005-0000-0000-00006FA00000}"/>
    <cellStyle name="Separador de milhares 2 2 2 2 2 2 2 2" xfId="41077" xr:uid="{00000000-0005-0000-0000-000070A00000}"/>
    <cellStyle name="Separador de milhares 2 2 2 2 2 2 2 2 2" xfId="41078" xr:uid="{00000000-0005-0000-0000-000071A00000}"/>
    <cellStyle name="Separador de milhares 2 2 2 2 2 2 2 2 2 2" xfId="41079" xr:uid="{00000000-0005-0000-0000-000072A00000}"/>
    <cellStyle name="Separador de milhares 2 2 2 2 2 2 2 2 2 2 2" xfId="41080" xr:uid="{00000000-0005-0000-0000-000073A00000}"/>
    <cellStyle name="Separador de milhares 2 2 2 2 2 2 2 2 2 2 2 2" xfId="41081" xr:uid="{00000000-0005-0000-0000-000074A00000}"/>
    <cellStyle name="Separador de milhares 2 2 2 2 2 2 2 2 2 2 2 3" xfId="41082" xr:uid="{00000000-0005-0000-0000-000075A00000}"/>
    <cellStyle name="Separador de milhares 2 2 2 2 2 2 2 2 2 2 2 4" xfId="41083" xr:uid="{00000000-0005-0000-0000-000076A00000}"/>
    <cellStyle name="Separador de milhares 2 2 2 2 2 2 2 2 2 2 3" xfId="41084" xr:uid="{00000000-0005-0000-0000-000077A00000}"/>
    <cellStyle name="Separador de milhares 2 2 2 2 2 2 2 2 2 2 4" xfId="41085" xr:uid="{00000000-0005-0000-0000-000078A00000}"/>
    <cellStyle name="Separador de milhares 2 2 2 2 2 2 2 2 2 2 5" xfId="41086" xr:uid="{00000000-0005-0000-0000-000079A00000}"/>
    <cellStyle name="Separador de milhares 2 2 2 2 2 2 2 2 2 3" xfId="41087" xr:uid="{00000000-0005-0000-0000-00007AA00000}"/>
    <cellStyle name="Separador de milhares 2 2 2 2 2 2 2 2 2 3 2" xfId="41088" xr:uid="{00000000-0005-0000-0000-00007BA00000}"/>
    <cellStyle name="Separador de milhares 2 2 2 2 2 2 2 2 2 3 3" xfId="41089" xr:uid="{00000000-0005-0000-0000-00007CA00000}"/>
    <cellStyle name="Separador de milhares 2 2 2 2 2 2 2 2 2 3 4" xfId="41090" xr:uid="{00000000-0005-0000-0000-00007DA00000}"/>
    <cellStyle name="Separador de milhares 2 2 2 2 2 2 2 2 2 4" xfId="41091" xr:uid="{00000000-0005-0000-0000-00007EA00000}"/>
    <cellStyle name="Separador de milhares 2 2 2 2 2 2 2 2 2 5" xfId="41092" xr:uid="{00000000-0005-0000-0000-00007FA00000}"/>
    <cellStyle name="Separador de milhares 2 2 2 2 2 2 2 2 3" xfId="41093" xr:uid="{00000000-0005-0000-0000-000080A00000}"/>
    <cellStyle name="Separador de milhares 2 2 2 2 2 2 2 2 4" xfId="41094" xr:uid="{00000000-0005-0000-0000-000081A00000}"/>
    <cellStyle name="Separador de milhares 2 2 2 2 2 2 2 2 4 2" xfId="41095" xr:uid="{00000000-0005-0000-0000-000082A00000}"/>
    <cellStyle name="Separador de milhares 2 2 2 2 2 2 2 2 4 3" xfId="41096" xr:uid="{00000000-0005-0000-0000-000083A00000}"/>
    <cellStyle name="Separador de milhares 2 2 2 2 2 2 2 2 4 4" xfId="41097" xr:uid="{00000000-0005-0000-0000-000084A00000}"/>
    <cellStyle name="Separador de milhares 2 2 2 2 2 2 2 2 5" xfId="41098" xr:uid="{00000000-0005-0000-0000-000085A00000}"/>
    <cellStyle name="Separador de milhares 2 2 2 2 2 2 2 2 6" xfId="41099" xr:uid="{00000000-0005-0000-0000-000086A00000}"/>
    <cellStyle name="Separador de milhares 2 2 2 2 2 2 2 3" xfId="41100" xr:uid="{00000000-0005-0000-0000-000087A00000}"/>
    <cellStyle name="Separador de milhares 2 2 2 2 2 2 2 3 2" xfId="41101" xr:uid="{00000000-0005-0000-0000-000088A00000}"/>
    <cellStyle name="Separador de milhares 2 2 2 2 2 2 2 4" xfId="41102" xr:uid="{00000000-0005-0000-0000-000089A00000}"/>
    <cellStyle name="Separador de milhares 2 2 2 2 2 2 2 4 2" xfId="41103" xr:uid="{00000000-0005-0000-0000-00008AA00000}"/>
    <cellStyle name="Separador de milhares 2 2 2 2 2 2 2 4 3" xfId="41104" xr:uid="{00000000-0005-0000-0000-00008BA00000}"/>
    <cellStyle name="Separador de milhares 2 2 2 2 2 2 2 4 4" xfId="41105" xr:uid="{00000000-0005-0000-0000-00008CA00000}"/>
    <cellStyle name="Separador de milhares 2 2 2 2 2 2 2 5" xfId="41106" xr:uid="{00000000-0005-0000-0000-00008DA00000}"/>
    <cellStyle name="Separador de milhares 2 2 2 2 2 2 2 6" xfId="41107" xr:uid="{00000000-0005-0000-0000-00008EA00000}"/>
    <cellStyle name="Separador de milhares 2 2 2 2 2 2 3" xfId="41108" xr:uid="{00000000-0005-0000-0000-00008FA00000}"/>
    <cellStyle name="Separador de milhares 2 2 2 2 2 2 4" xfId="41109" xr:uid="{00000000-0005-0000-0000-000090A00000}"/>
    <cellStyle name="Separador de milhares 2 2 2 2 2 2 4 2" xfId="41110" xr:uid="{00000000-0005-0000-0000-000091A00000}"/>
    <cellStyle name="Separador de milhares 2 2 2 2 2 2 5" xfId="41111" xr:uid="{00000000-0005-0000-0000-000092A00000}"/>
    <cellStyle name="Separador de milhares 2 2 2 2 2 2 6" xfId="41112" xr:uid="{00000000-0005-0000-0000-000093A00000}"/>
    <cellStyle name="Separador de milhares 2 2 2 2 2 2 6 2" xfId="41113" xr:uid="{00000000-0005-0000-0000-000094A00000}"/>
    <cellStyle name="Separador de milhares 2 2 2 2 2 2 6 3" xfId="41114" xr:uid="{00000000-0005-0000-0000-000095A00000}"/>
    <cellStyle name="Separador de milhares 2 2 2 2 2 2 6 4" xfId="41115" xr:uid="{00000000-0005-0000-0000-000096A00000}"/>
    <cellStyle name="Separador de milhares 2 2 2 2 2 2 7" xfId="41116" xr:uid="{00000000-0005-0000-0000-000097A00000}"/>
    <cellStyle name="Separador de milhares 2 2 2 2 2 2 8" xfId="41117" xr:uid="{00000000-0005-0000-0000-000098A00000}"/>
    <cellStyle name="Separador de milhares 2 2 2 2 2 20" xfId="41118" xr:uid="{00000000-0005-0000-0000-000099A00000}"/>
    <cellStyle name="Separador de milhares 2 2 2 2 2 21" xfId="41119" xr:uid="{00000000-0005-0000-0000-00009AA00000}"/>
    <cellStyle name="Separador de milhares 2 2 2 2 2 22" xfId="41120" xr:uid="{00000000-0005-0000-0000-00009BA00000}"/>
    <cellStyle name="Separador de milhares 2 2 2 2 2 22 2" xfId="41121" xr:uid="{00000000-0005-0000-0000-00009CA00000}"/>
    <cellStyle name="Separador de milhares 2 2 2 2 2 22 3" xfId="41122" xr:uid="{00000000-0005-0000-0000-00009DA00000}"/>
    <cellStyle name="Separador de milhares 2 2 2 2 2 22 4" xfId="41123" xr:uid="{00000000-0005-0000-0000-00009EA00000}"/>
    <cellStyle name="Separador de milhares 2 2 2 2 2 23" xfId="41124" xr:uid="{00000000-0005-0000-0000-00009FA00000}"/>
    <cellStyle name="Separador de milhares 2 2 2 2 2 24" xfId="41125" xr:uid="{00000000-0005-0000-0000-0000A0A00000}"/>
    <cellStyle name="Separador de milhares 2 2 2 2 2 3" xfId="41126" xr:uid="{00000000-0005-0000-0000-0000A1A00000}"/>
    <cellStyle name="Separador de milhares 2 2 2 2 2 3 2" xfId="41127" xr:uid="{00000000-0005-0000-0000-0000A2A00000}"/>
    <cellStyle name="Separador de milhares 2 2 2 2 2 4" xfId="41128" xr:uid="{00000000-0005-0000-0000-0000A3A00000}"/>
    <cellStyle name="Separador de milhares 2 2 2 2 2 5" xfId="41129" xr:uid="{00000000-0005-0000-0000-0000A4A00000}"/>
    <cellStyle name="Separador de milhares 2 2 2 2 2 6" xfId="41130" xr:uid="{00000000-0005-0000-0000-0000A5A00000}"/>
    <cellStyle name="Separador de milhares 2 2 2 2 2 7" xfId="41131" xr:uid="{00000000-0005-0000-0000-0000A6A00000}"/>
    <cellStyle name="Separador de milhares 2 2 2 2 2 8" xfId="41132" xr:uid="{00000000-0005-0000-0000-0000A7A00000}"/>
    <cellStyle name="Separador de milhares 2 2 2 2 2 9" xfId="41133" xr:uid="{00000000-0005-0000-0000-0000A8A00000}"/>
    <cellStyle name="Separador de milhares 2 2 2 2 20" xfId="41134" xr:uid="{00000000-0005-0000-0000-0000A9A00000}"/>
    <cellStyle name="Separador de milhares 2 2 2 2 21" xfId="41135" xr:uid="{00000000-0005-0000-0000-0000AAA00000}"/>
    <cellStyle name="Separador de milhares 2 2 2 2 22" xfId="41136" xr:uid="{00000000-0005-0000-0000-0000ABA00000}"/>
    <cellStyle name="Separador de milhares 2 2 2 2 22 2" xfId="41137" xr:uid="{00000000-0005-0000-0000-0000ACA00000}"/>
    <cellStyle name="Separador de milhares 2 2 2 2 22 3" xfId="41138" xr:uid="{00000000-0005-0000-0000-0000ADA00000}"/>
    <cellStyle name="Separador de milhares 2 2 2 2 22 4" xfId="41139" xr:uid="{00000000-0005-0000-0000-0000AEA00000}"/>
    <cellStyle name="Separador de milhares 2 2 2 2 23" xfId="41140" xr:uid="{00000000-0005-0000-0000-0000AFA00000}"/>
    <cellStyle name="Separador de milhares 2 2 2 2 24" xfId="41141" xr:uid="{00000000-0005-0000-0000-0000B0A00000}"/>
    <cellStyle name="Separador de milhares 2 2 2 2 3" xfId="41142" xr:uid="{00000000-0005-0000-0000-0000B1A00000}"/>
    <cellStyle name="Separador de milhares 2 2 2 2 3 2" xfId="41143" xr:uid="{00000000-0005-0000-0000-0000B2A00000}"/>
    <cellStyle name="Separador de milhares 2 2 2 2 3 2 2" xfId="41144" xr:uid="{00000000-0005-0000-0000-0000B3A00000}"/>
    <cellStyle name="Separador de milhares 2 2 2 2 3 2 2 2" xfId="41145" xr:uid="{00000000-0005-0000-0000-0000B4A00000}"/>
    <cellStyle name="Separador de milhares 2 2 2 2 3 2 2 2 2" xfId="41146" xr:uid="{00000000-0005-0000-0000-0000B5A00000}"/>
    <cellStyle name="Separador de milhares 2 2 2 2 3 2 2 3" xfId="41147" xr:uid="{00000000-0005-0000-0000-0000B6A00000}"/>
    <cellStyle name="Separador de milhares 2 2 2 2 3 2 3" xfId="41148" xr:uid="{00000000-0005-0000-0000-0000B7A00000}"/>
    <cellStyle name="Separador de milhares 2 2 2 2 3 2 3 2" xfId="41149" xr:uid="{00000000-0005-0000-0000-0000B8A00000}"/>
    <cellStyle name="Separador de milhares 2 2 2 2 3 3" xfId="41150" xr:uid="{00000000-0005-0000-0000-0000B9A00000}"/>
    <cellStyle name="Separador de milhares 2 2 2 2 3 4" xfId="41151" xr:uid="{00000000-0005-0000-0000-0000BAA00000}"/>
    <cellStyle name="Separador de milhares 2 2 2 2 3 4 2" xfId="41152" xr:uid="{00000000-0005-0000-0000-0000BBA00000}"/>
    <cellStyle name="Separador de milhares 2 2 2 2 3 5" xfId="41153" xr:uid="{00000000-0005-0000-0000-0000BCA00000}"/>
    <cellStyle name="Separador de milhares 2 2 2 2 3 6" xfId="41154" xr:uid="{00000000-0005-0000-0000-0000BDA00000}"/>
    <cellStyle name="Separador de milhares 2 2 2 2 4" xfId="41155" xr:uid="{00000000-0005-0000-0000-0000BEA00000}"/>
    <cellStyle name="Separador de milhares 2 2 2 2 5" xfId="41156" xr:uid="{00000000-0005-0000-0000-0000BFA00000}"/>
    <cellStyle name="Separador de milhares 2 2 2 2 6" xfId="41157" xr:uid="{00000000-0005-0000-0000-0000C0A00000}"/>
    <cellStyle name="Separador de milhares 2 2 2 2 6 2" xfId="41158" xr:uid="{00000000-0005-0000-0000-0000C1A00000}"/>
    <cellStyle name="Separador de milhares 2 2 2 2 7" xfId="41159" xr:uid="{00000000-0005-0000-0000-0000C2A00000}"/>
    <cellStyle name="Separador de milhares 2 2 2 2 8" xfId="41160" xr:uid="{00000000-0005-0000-0000-0000C3A00000}"/>
    <cellStyle name="Separador de milhares 2 2 2 2 9" xfId="41161" xr:uid="{00000000-0005-0000-0000-0000C4A00000}"/>
    <cellStyle name="Separador de milhares 2 2 2 20" xfId="41162" xr:uid="{00000000-0005-0000-0000-0000C5A00000}"/>
    <cellStyle name="Separador de milhares 2 2 2 20 2" xfId="41163" xr:uid="{00000000-0005-0000-0000-0000C6A00000}"/>
    <cellStyle name="Separador de milhares 2 2 2 20 2 2" xfId="41164" xr:uid="{00000000-0005-0000-0000-0000C7A00000}"/>
    <cellStyle name="Separador de milhares 2 2 2 20 2 2 2" xfId="41165" xr:uid="{00000000-0005-0000-0000-0000C8A00000}"/>
    <cellStyle name="Separador de milhares 2 2 2 20 2 3" xfId="41166" xr:uid="{00000000-0005-0000-0000-0000C9A00000}"/>
    <cellStyle name="Separador de milhares 2 2 2 20 3" xfId="41167" xr:uid="{00000000-0005-0000-0000-0000CAA00000}"/>
    <cellStyle name="Separador de milhares 2 2 2 20 3 2" xfId="41168" xr:uid="{00000000-0005-0000-0000-0000CBA00000}"/>
    <cellStyle name="Separador de milhares 2 2 2 21" xfId="41169" xr:uid="{00000000-0005-0000-0000-0000CCA00000}"/>
    <cellStyle name="Separador de milhares 2 2 2 21 2" xfId="41170" xr:uid="{00000000-0005-0000-0000-0000CDA00000}"/>
    <cellStyle name="Separador de milhares 2 2 2 22" xfId="41171" xr:uid="{00000000-0005-0000-0000-0000CEA00000}"/>
    <cellStyle name="Separador de milhares 2 2 2 23" xfId="41172" xr:uid="{00000000-0005-0000-0000-0000CFA00000}"/>
    <cellStyle name="Separador de milhares 2 2 2 24" xfId="41173" xr:uid="{00000000-0005-0000-0000-0000D0A00000}"/>
    <cellStyle name="Separador de milhares 2 2 2 24 2" xfId="41174" xr:uid="{00000000-0005-0000-0000-0000D1A00000}"/>
    <cellStyle name="Separador de milhares 2 2 2 24 3" xfId="41175" xr:uid="{00000000-0005-0000-0000-0000D2A00000}"/>
    <cellStyle name="Separador de milhares 2 2 2 24 4" xfId="41176" xr:uid="{00000000-0005-0000-0000-0000D3A00000}"/>
    <cellStyle name="Separador de milhares 2 2 2 25" xfId="41177" xr:uid="{00000000-0005-0000-0000-0000D4A00000}"/>
    <cellStyle name="Separador de milhares 2 2 2 26" xfId="41178" xr:uid="{00000000-0005-0000-0000-0000D5A00000}"/>
    <cellStyle name="Separador de milhares 2 2 2 3" xfId="41179" xr:uid="{00000000-0005-0000-0000-0000D6A00000}"/>
    <cellStyle name="Separador de milhares 2 2 2 4" xfId="41180" xr:uid="{00000000-0005-0000-0000-0000D7A00000}"/>
    <cellStyle name="Separador de milhares 2 2 2 4 2" xfId="41181" xr:uid="{00000000-0005-0000-0000-0000D8A00000}"/>
    <cellStyle name="Separador de milhares 2 2 2 4 2 2" xfId="41182" xr:uid="{00000000-0005-0000-0000-0000D9A00000}"/>
    <cellStyle name="Separador de milhares 2 2 2 4 2 2 2" xfId="41183" xr:uid="{00000000-0005-0000-0000-0000DAA00000}"/>
    <cellStyle name="Separador de milhares 2 2 2 4 2 2 2 2" xfId="41184" xr:uid="{00000000-0005-0000-0000-0000DBA00000}"/>
    <cellStyle name="Separador de milhares 2 2 2 4 2 2 3" xfId="41185" xr:uid="{00000000-0005-0000-0000-0000DCA00000}"/>
    <cellStyle name="Separador de milhares 2 2 2 4 2 3" xfId="41186" xr:uid="{00000000-0005-0000-0000-0000DDA00000}"/>
    <cellStyle name="Separador de milhares 2 2 2 4 2 3 2" xfId="41187" xr:uid="{00000000-0005-0000-0000-0000DEA00000}"/>
    <cellStyle name="Separador de milhares 2 2 2 4 2 4" xfId="41188" xr:uid="{00000000-0005-0000-0000-0000DFA00000}"/>
    <cellStyle name="Separador de milhares 2 2 2 4 2 5" xfId="41189" xr:uid="{00000000-0005-0000-0000-0000E0A00000}"/>
    <cellStyle name="Separador de milhares 2 2 2 4 3" xfId="41190" xr:uid="{00000000-0005-0000-0000-0000E1A00000}"/>
    <cellStyle name="Separador de milhares 2 2 2 4 3 2" xfId="41191" xr:uid="{00000000-0005-0000-0000-0000E2A00000}"/>
    <cellStyle name="Separador de milhares 2 2 2 4 4" xfId="41192" xr:uid="{00000000-0005-0000-0000-0000E3A00000}"/>
    <cellStyle name="Separador de milhares 2 2 2 4 4 2" xfId="41193" xr:uid="{00000000-0005-0000-0000-0000E4A00000}"/>
    <cellStyle name="Separador de milhares 2 2 2 4 5" xfId="41194" xr:uid="{00000000-0005-0000-0000-0000E5A00000}"/>
    <cellStyle name="Separador de milhares 2 2 2 4 6" xfId="41195" xr:uid="{00000000-0005-0000-0000-0000E6A00000}"/>
    <cellStyle name="Separador de milhares 2 2 2 5" xfId="41196" xr:uid="{00000000-0005-0000-0000-0000E7A00000}"/>
    <cellStyle name="Separador de milhares 2 2 2 6" xfId="41197" xr:uid="{00000000-0005-0000-0000-0000E8A00000}"/>
    <cellStyle name="Separador de milhares 2 2 2 7" xfId="41198" xr:uid="{00000000-0005-0000-0000-0000E9A00000}"/>
    <cellStyle name="Separador de milhares 2 2 2 7 2" xfId="41199" xr:uid="{00000000-0005-0000-0000-0000EAA00000}"/>
    <cellStyle name="Separador de milhares 2 2 2 8" xfId="41200" xr:uid="{00000000-0005-0000-0000-0000EBA00000}"/>
    <cellStyle name="Separador de milhares 2 2 2 9" xfId="41201" xr:uid="{00000000-0005-0000-0000-0000ECA00000}"/>
    <cellStyle name="Separador de milhares 2 2 20" xfId="41202" xr:uid="{00000000-0005-0000-0000-0000EDA00000}"/>
    <cellStyle name="Separador de milhares 2 2 21" xfId="41203" xr:uid="{00000000-0005-0000-0000-0000EEA00000}"/>
    <cellStyle name="Separador de milhares 2 2 22" xfId="41204" xr:uid="{00000000-0005-0000-0000-0000EFA00000}"/>
    <cellStyle name="Separador de milhares 2 2 22 2" xfId="41205" xr:uid="{00000000-0005-0000-0000-0000F0A00000}"/>
    <cellStyle name="Separador de milhares 2 2 22 2 2" xfId="41206" xr:uid="{00000000-0005-0000-0000-0000F1A00000}"/>
    <cellStyle name="Separador de milhares 2 2 22 2 2 2" xfId="41207" xr:uid="{00000000-0005-0000-0000-0000F2A00000}"/>
    <cellStyle name="Separador de milhares 2 2 22 2 3" xfId="41208" xr:uid="{00000000-0005-0000-0000-0000F3A00000}"/>
    <cellStyle name="Separador de milhares 2 2 22 3" xfId="41209" xr:uid="{00000000-0005-0000-0000-0000F4A00000}"/>
    <cellStyle name="Separador de milhares 2 2 22 3 2" xfId="41210" xr:uid="{00000000-0005-0000-0000-0000F5A00000}"/>
    <cellStyle name="Separador de milhares 2 2 23" xfId="41211" xr:uid="{00000000-0005-0000-0000-0000F6A00000}"/>
    <cellStyle name="Separador de milhares 2 2 23 2" xfId="41212" xr:uid="{00000000-0005-0000-0000-0000F7A00000}"/>
    <cellStyle name="Separador de milhares 2 2 24" xfId="41213" xr:uid="{00000000-0005-0000-0000-0000F8A00000}"/>
    <cellStyle name="Separador de milhares 2 2 25" xfId="41214" xr:uid="{00000000-0005-0000-0000-0000F9A00000}"/>
    <cellStyle name="Separador de milhares 2 2 26" xfId="41215" xr:uid="{00000000-0005-0000-0000-0000FAA00000}"/>
    <cellStyle name="Separador de milhares 2 2 26 2" xfId="41216" xr:uid="{00000000-0005-0000-0000-0000FBA00000}"/>
    <cellStyle name="Separador de milhares 2 2 26 3" xfId="41217" xr:uid="{00000000-0005-0000-0000-0000FCA00000}"/>
    <cellStyle name="Separador de milhares 2 2 26 4" xfId="41218" xr:uid="{00000000-0005-0000-0000-0000FDA00000}"/>
    <cellStyle name="Separador de milhares 2 2 27" xfId="41219" xr:uid="{00000000-0005-0000-0000-0000FEA00000}"/>
    <cellStyle name="Separador de milhares 2 2 28" xfId="41220" xr:uid="{00000000-0005-0000-0000-0000FFA00000}"/>
    <cellStyle name="Separador de milhares 2 2 29" xfId="43284" xr:uid="{00000000-0005-0000-0000-000000A10000}"/>
    <cellStyle name="Separador de milhares 2 2 3" xfId="1130" xr:uid="{00000000-0005-0000-0000-000001A10000}"/>
    <cellStyle name="Separador de milhares 2 2 3 2" xfId="41221" xr:uid="{00000000-0005-0000-0000-000002A10000}"/>
    <cellStyle name="Separador de milhares 2 2 3 3" xfId="41222" xr:uid="{00000000-0005-0000-0000-000003A10000}"/>
    <cellStyle name="Separador de milhares 2 2 3 4" xfId="41223" xr:uid="{00000000-0005-0000-0000-000004A10000}"/>
    <cellStyle name="Separador de milhares 2 2 3 5" xfId="41224" xr:uid="{00000000-0005-0000-0000-000005A10000}"/>
    <cellStyle name="Separador de milhares 2 2 3 6" xfId="41225" xr:uid="{00000000-0005-0000-0000-000006A10000}"/>
    <cellStyle name="Separador de milhares 2 2 3 7" xfId="41226" xr:uid="{00000000-0005-0000-0000-000007A10000}"/>
    <cellStyle name="Separador de milhares 2 2 4" xfId="1131" xr:uid="{00000000-0005-0000-0000-000008A10000}"/>
    <cellStyle name="Separador de milhares 2 2 4 2" xfId="41227" xr:uid="{00000000-0005-0000-0000-000009A10000}"/>
    <cellStyle name="Separador de milhares 2 2 4 3" xfId="41228" xr:uid="{00000000-0005-0000-0000-00000AA10000}"/>
    <cellStyle name="Separador de milhares 2 2 4 4" xfId="41229" xr:uid="{00000000-0005-0000-0000-00000BA10000}"/>
    <cellStyle name="Separador de milhares 2 2 4 5" xfId="41230" xr:uid="{00000000-0005-0000-0000-00000CA10000}"/>
    <cellStyle name="Separador de milhares 2 2 4 6" xfId="41231" xr:uid="{00000000-0005-0000-0000-00000DA10000}"/>
    <cellStyle name="Separador de milhares 2 2 4 7" xfId="41232" xr:uid="{00000000-0005-0000-0000-00000EA10000}"/>
    <cellStyle name="Separador de milhares 2 2 5" xfId="41233" xr:uid="{00000000-0005-0000-0000-00000FA10000}"/>
    <cellStyle name="Separador de milhares 2 2 5 2" xfId="41234" xr:uid="{00000000-0005-0000-0000-000010A10000}"/>
    <cellStyle name="Separador de milhares 2 2 5 2 2" xfId="41235" xr:uid="{00000000-0005-0000-0000-000011A10000}"/>
    <cellStyle name="Separador de milhares 2 2 5 2 2 2" xfId="41236" xr:uid="{00000000-0005-0000-0000-000012A10000}"/>
    <cellStyle name="Separador de milhares 2 2 5 2 2 2 2" xfId="41237" xr:uid="{00000000-0005-0000-0000-000013A10000}"/>
    <cellStyle name="Separador de milhares 2 2 5 2 2 3" xfId="41238" xr:uid="{00000000-0005-0000-0000-000014A10000}"/>
    <cellStyle name="Separador de milhares 2 2 5 2 3" xfId="41239" xr:uid="{00000000-0005-0000-0000-000015A10000}"/>
    <cellStyle name="Separador de milhares 2 2 5 2 3 2" xfId="41240" xr:uid="{00000000-0005-0000-0000-000016A10000}"/>
    <cellStyle name="Separador de milhares 2 2 5 2 4" xfId="41241" xr:uid="{00000000-0005-0000-0000-000017A10000}"/>
    <cellStyle name="Separador de milhares 2 2 5 2 5" xfId="41242" xr:uid="{00000000-0005-0000-0000-000018A10000}"/>
    <cellStyle name="Separador de milhares 2 2 5 2 6" xfId="43200" xr:uid="{00000000-0005-0000-0000-000019A10000}"/>
    <cellStyle name="Separador de milhares 2 2 5 3" xfId="41243" xr:uid="{00000000-0005-0000-0000-00001AA10000}"/>
    <cellStyle name="Separador de milhares 2 2 5 3 2" xfId="41244" xr:uid="{00000000-0005-0000-0000-00001BA10000}"/>
    <cellStyle name="Separador de milhares 2 2 5 4" xfId="41245" xr:uid="{00000000-0005-0000-0000-00001CA10000}"/>
    <cellStyle name="Separador de milhares 2 2 5 4 2" xfId="41246" xr:uid="{00000000-0005-0000-0000-00001DA10000}"/>
    <cellStyle name="Separador de milhares 2 2 5 5" xfId="41247" xr:uid="{00000000-0005-0000-0000-00001EA10000}"/>
    <cellStyle name="Separador de milhares 2 2 5 6" xfId="41248" xr:uid="{00000000-0005-0000-0000-00001FA10000}"/>
    <cellStyle name="Separador de milhares 2 2 5 7" xfId="41249" xr:uid="{00000000-0005-0000-0000-000020A10000}"/>
    <cellStyle name="Separador de milhares 2 2 6" xfId="41250" xr:uid="{00000000-0005-0000-0000-000021A10000}"/>
    <cellStyle name="Separador de milhares 2 2 6 2" xfId="41251" xr:uid="{00000000-0005-0000-0000-000022A10000}"/>
    <cellStyle name="Separador de milhares 2 2 6 2 2" xfId="41252" xr:uid="{00000000-0005-0000-0000-000023A10000}"/>
    <cellStyle name="Separador de milhares 2 2 6 2 2 2" xfId="41253" xr:uid="{00000000-0005-0000-0000-000024A10000}"/>
    <cellStyle name="Separador de milhares 2 2 6 2 2 2 2" xfId="41254" xr:uid="{00000000-0005-0000-0000-000025A10000}"/>
    <cellStyle name="Separador de milhares 2 2 6 2 2 3" xfId="41255" xr:uid="{00000000-0005-0000-0000-000026A10000}"/>
    <cellStyle name="Separador de milhares 2 2 6 2 3" xfId="41256" xr:uid="{00000000-0005-0000-0000-000027A10000}"/>
    <cellStyle name="Separador de milhares 2 2 6 2 3 2" xfId="41257" xr:uid="{00000000-0005-0000-0000-000028A10000}"/>
    <cellStyle name="Separador de milhares 2 2 6 3" xfId="41258" xr:uid="{00000000-0005-0000-0000-000029A10000}"/>
    <cellStyle name="Separador de milhares 2 2 6 4" xfId="41259" xr:uid="{00000000-0005-0000-0000-00002AA10000}"/>
    <cellStyle name="Separador de milhares 2 2 6 4 2" xfId="41260" xr:uid="{00000000-0005-0000-0000-00002BA10000}"/>
    <cellStyle name="Separador de milhares 2 2 6 5" xfId="41261" xr:uid="{00000000-0005-0000-0000-00002CA10000}"/>
    <cellStyle name="Separador de milhares 2 2 6 6" xfId="41262" xr:uid="{00000000-0005-0000-0000-00002DA10000}"/>
    <cellStyle name="Separador de milhares 2 2 6 7" xfId="41263" xr:uid="{00000000-0005-0000-0000-00002EA10000}"/>
    <cellStyle name="Separador de milhares 2 2 7" xfId="41264" xr:uid="{00000000-0005-0000-0000-00002FA10000}"/>
    <cellStyle name="Separador de milhares 2 2 7 2" xfId="41265" xr:uid="{00000000-0005-0000-0000-000030A10000}"/>
    <cellStyle name="Separador de milhares 2 2 7 3" xfId="41266" xr:uid="{00000000-0005-0000-0000-000031A10000}"/>
    <cellStyle name="Separador de milhares 2 2 7 4" xfId="41267" xr:uid="{00000000-0005-0000-0000-000032A10000}"/>
    <cellStyle name="Separador de milhares 2 2 7 5" xfId="41268" xr:uid="{00000000-0005-0000-0000-000033A10000}"/>
    <cellStyle name="Separador de milhares 2 2 7 6" xfId="41269" xr:uid="{00000000-0005-0000-0000-000034A10000}"/>
    <cellStyle name="Separador de milhares 2 2 7 7" xfId="41270" xr:uid="{00000000-0005-0000-0000-000035A10000}"/>
    <cellStyle name="Separador de milhares 2 2 8" xfId="41271" xr:uid="{00000000-0005-0000-0000-000036A10000}"/>
    <cellStyle name="Separador de milhares 2 2 8 2" xfId="41272" xr:uid="{00000000-0005-0000-0000-000037A10000}"/>
    <cellStyle name="Separador de milhares 2 2 8 3" xfId="41273" xr:uid="{00000000-0005-0000-0000-000038A10000}"/>
    <cellStyle name="Separador de milhares 2 2 8 4" xfId="41274" xr:uid="{00000000-0005-0000-0000-000039A10000}"/>
    <cellStyle name="Separador de milhares 2 2 8 5" xfId="41275" xr:uid="{00000000-0005-0000-0000-00003AA10000}"/>
    <cellStyle name="Separador de milhares 2 2 8 6" xfId="41276" xr:uid="{00000000-0005-0000-0000-00003BA10000}"/>
    <cellStyle name="Separador de milhares 2 2 8 7" xfId="41277" xr:uid="{00000000-0005-0000-0000-00003CA10000}"/>
    <cellStyle name="Separador de milhares 2 2 9" xfId="41278" xr:uid="{00000000-0005-0000-0000-00003DA10000}"/>
    <cellStyle name="Separador de milhares 2 2 9 2" xfId="41279" xr:uid="{00000000-0005-0000-0000-00003EA10000}"/>
    <cellStyle name="Separador de milhares 2 20" xfId="41280" xr:uid="{00000000-0005-0000-0000-00003FA10000}"/>
    <cellStyle name="Separador de milhares 2 20 10" xfId="41281" xr:uid="{00000000-0005-0000-0000-000040A10000}"/>
    <cellStyle name="Separador de milhares 2 20 11" xfId="41282" xr:uid="{00000000-0005-0000-0000-000041A10000}"/>
    <cellStyle name="Separador de milhares 2 20 12" xfId="41283" xr:uid="{00000000-0005-0000-0000-000042A10000}"/>
    <cellStyle name="Separador de milhares 2 20 13" xfId="41284" xr:uid="{00000000-0005-0000-0000-000043A10000}"/>
    <cellStyle name="Separador de milhares 2 20 2" xfId="41285" xr:uid="{00000000-0005-0000-0000-000044A10000}"/>
    <cellStyle name="Separador de milhares 2 20 2 2" xfId="41286" xr:uid="{00000000-0005-0000-0000-000045A10000}"/>
    <cellStyle name="Separador de milhares 2 20 2 3" xfId="41287" xr:uid="{00000000-0005-0000-0000-000046A10000}"/>
    <cellStyle name="Separador de milhares 2 20 2 4" xfId="41288" xr:uid="{00000000-0005-0000-0000-000047A10000}"/>
    <cellStyle name="Separador de milhares 2 20 2 5" xfId="41289" xr:uid="{00000000-0005-0000-0000-000048A10000}"/>
    <cellStyle name="Separador de milhares 2 20 2 6" xfId="41290" xr:uid="{00000000-0005-0000-0000-000049A10000}"/>
    <cellStyle name="Separador de milhares 2 20 3" xfId="41291" xr:uid="{00000000-0005-0000-0000-00004AA10000}"/>
    <cellStyle name="Separador de milhares 2 20 3 2" xfId="41292" xr:uid="{00000000-0005-0000-0000-00004BA10000}"/>
    <cellStyle name="Separador de milhares 2 20 3 3" xfId="41293" xr:uid="{00000000-0005-0000-0000-00004CA10000}"/>
    <cellStyle name="Separador de milhares 2 20 3 4" xfId="41294" xr:uid="{00000000-0005-0000-0000-00004DA10000}"/>
    <cellStyle name="Separador de milhares 2 20 3 5" xfId="41295" xr:uid="{00000000-0005-0000-0000-00004EA10000}"/>
    <cellStyle name="Separador de milhares 2 20 3 6" xfId="41296" xr:uid="{00000000-0005-0000-0000-00004FA10000}"/>
    <cellStyle name="Separador de milhares 2 20 4" xfId="41297" xr:uid="{00000000-0005-0000-0000-000050A10000}"/>
    <cellStyle name="Separador de milhares 2 20 4 2" xfId="41298" xr:uid="{00000000-0005-0000-0000-000051A10000}"/>
    <cellStyle name="Separador de milhares 2 20 4 3" xfId="41299" xr:uid="{00000000-0005-0000-0000-000052A10000}"/>
    <cellStyle name="Separador de milhares 2 20 4 4" xfId="41300" xr:uid="{00000000-0005-0000-0000-000053A10000}"/>
    <cellStyle name="Separador de milhares 2 20 4 5" xfId="41301" xr:uid="{00000000-0005-0000-0000-000054A10000}"/>
    <cellStyle name="Separador de milhares 2 20 4 6" xfId="41302" xr:uid="{00000000-0005-0000-0000-000055A10000}"/>
    <cellStyle name="Separador de milhares 2 20 5" xfId="41303" xr:uid="{00000000-0005-0000-0000-000056A10000}"/>
    <cellStyle name="Separador de milhares 2 20 5 2" xfId="41304" xr:uid="{00000000-0005-0000-0000-000057A10000}"/>
    <cellStyle name="Separador de milhares 2 20 5 3" xfId="41305" xr:uid="{00000000-0005-0000-0000-000058A10000}"/>
    <cellStyle name="Separador de milhares 2 20 5 4" xfId="41306" xr:uid="{00000000-0005-0000-0000-000059A10000}"/>
    <cellStyle name="Separador de milhares 2 20 5 5" xfId="41307" xr:uid="{00000000-0005-0000-0000-00005AA10000}"/>
    <cellStyle name="Separador de milhares 2 20 5 6" xfId="41308" xr:uid="{00000000-0005-0000-0000-00005BA10000}"/>
    <cellStyle name="Separador de milhares 2 20 6" xfId="41309" xr:uid="{00000000-0005-0000-0000-00005CA10000}"/>
    <cellStyle name="Separador de milhares 2 20 6 2" xfId="41310" xr:uid="{00000000-0005-0000-0000-00005DA10000}"/>
    <cellStyle name="Separador de milhares 2 20 6 3" xfId="41311" xr:uid="{00000000-0005-0000-0000-00005EA10000}"/>
    <cellStyle name="Separador de milhares 2 20 6 4" xfId="41312" xr:uid="{00000000-0005-0000-0000-00005FA10000}"/>
    <cellStyle name="Separador de milhares 2 20 6 5" xfId="41313" xr:uid="{00000000-0005-0000-0000-000060A10000}"/>
    <cellStyle name="Separador de milhares 2 20 6 6" xfId="41314" xr:uid="{00000000-0005-0000-0000-000061A10000}"/>
    <cellStyle name="Separador de milhares 2 20 7" xfId="41315" xr:uid="{00000000-0005-0000-0000-000062A10000}"/>
    <cellStyle name="Separador de milhares 2 20 7 2" xfId="41316" xr:uid="{00000000-0005-0000-0000-000063A10000}"/>
    <cellStyle name="Separador de milhares 2 20 7 3" xfId="41317" xr:uid="{00000000-0005-0000-0000-000064A10000}"/>
    <cellStyle name="Separador de milhares 2 20 7 4" xfId="41318" xr:uid="{00000000-0005-0000-0000-000065A10000}"/>
    <cellStyle name="Separador de milhares 2 20 7 5" xfId="41319" xr:uid="{00000000-0005-0000-0000-000066A10000}"/>
    <cellStyle name="Separador de milhares 2 20 7 6" xfId="41320" xr:uid="{00000000-0005-0000-0000-000067A10000}"/>
    <cellStyle name="Separador de milhares 2 20 8" xfId="41321" xr:uid="{00000000-0005-0000-0000-000068A10000}"/>
    <cellStyle name="Separador de milhares 2 20 8 2" xfId="41322" xr:uid="{00000000-0005-0000-0000-000069A10000}"/>
    <cellStyle name="Separador de milhares 2 20 8 3" xfId="41323" xr:uid="{00000000-0005-0000-0000-00006AA10000}"/>
    <cellStyle name="Separador de milhares 2 20 8 4" xfId="41324" xr:uid="{00000000-0005-0000-0000-00006BA10000}"/>
    <cellStyle name="Separador de milhares 2 20 8 5" xfId="41325" xr:uid="{00000000-0005-0000-0000-00006CA10000}"/>
    <cellStyle name="Separador de milhares 2 20 8 6" xfId="41326" xr:uid="{00000000-0005-0000-0000-00006DA10000}"/>
    <cellStyle name="Separador de milhares 2 20 9" xfId="41327" xr:uid="{00000000-0005-0000-0000-00006EA10000}"/>
    <cellStyle name="Separador de milhares 2 21" xfId="41328" xr:uid="{00000000-0005-0000-0000-00006FA10000}"/>
    <cellStyle name="Separador de milhares 2 21 10" xfId="41329" xr:uid="{00000000-0005-0000-0000-000070A10000}"/>
    <cellStyle name="Separador de milhares 2 21 11" xfId="41330" xr:uid="{00000000-0005-0000-0000-000071A10000}"/>
    <cellStyle name="Separador de milhares 2 21 12" xfId="41331" xr:uid="{00000000-0005-0000-0000-000072A10000}"/>
    <cellStyle name="Separador de milhares 2 21 13" xfId="41332" xr:uid="{00000000-0005-0000-0000-000073A10000}"/>
    <cellStyle name="Separador de milhares 2 21 2" xfId="41333" xr:uid="{00000000-0005-0000-0000-000074A10000}"/>
    <cellStyle name="Separador de milhares 2 21 2 2" xfId="41334" xr:uid="{00000000-0005-0000-0000-000075A10000}"/>
    <cellStyle name="Separador de milhares 2 21 2 3" xfId="41335" xr:uid="{00000000-0005-0000-0000-000076A10000}"/>
    <cellStyle name="Separador de milhares 2 21 2 4" xfId="41336" xr:uid="{00000000-0005-0000-0000-000077A10000}"/>
    <cellStyle name="Separador de milhares 2 21 2 5" xfId="41337" xr:uid="{00000000-0005-0000-0000-000078A10000}"/>
    <cellStyle name="Separador de milhares 2 21 2 6" xfId="41338" xr:uid="{00000000-0005-0000-0000-000079A10000}"/>
    <cellStyle name="Separador de milhares 2 21 3" xfId="41339" xr:uid="{00000000-0005-0000-0000-00007AA10000}"/>
    <cellStyle name="Separador de milhares 2 21 3 2" xfId="41340" xr:uid="{00000000-0005-0000-0000-00007BA10000}"/>
    <cellStyle name="Separador de milhares 2 21 3 3" xfId="41341" xr:uid="{00000000-0005-0000-0000-00007CA10000}"/>
    <cellStyle name="Separador de milhares 2 21 3 4" xfId="41342" xr:uid="{00000000-0005-0000-0000-00007DA10000}"/>
    <cellStyle name="Separador de milhares 2 21 3 5" xfId="41343" xr:uid="{00000000-0005-0000-0000-00007EA10000}"/>
    <cellStyle name="Separador de milhares 2 21 3 6" xfId="41344" xr:uid="{00000000-0005-0000-0000-00007FA10000}"/>
    <cellStyle name="Separador de milhares 2 21 4" xfId="41345" xr:uid="{00000000-0005-0000-0000-000080A10000}"/>
    <cellStyle name="Separador de milhares 2 21 4 2" xfId="41346" xr:uid="{00000000-0005-0000-0000-000081A10000}"/>
    <cellStyle name="Separador de milhares 2 21 4 3" xfId="41347" xr:uid="{00000000-0005-0000-0000-000082A10000}"/>
    <cellStyle name="Separador de milhares 2 21 4 4" xfId="41348" xr:uid="{00000000-0005-0000-0000-000083A10000}"/>
    <cellStyle name="Separador de milhares 2 21 4 5" xfId="41349" xr:uid="{00000000-0005-0000-0000-000084A10000}"/>
    <cellStyle name="Separador de milhares 2 21 4 6" xfId="41350" xr:uid="{00000000-0005-0000-0000-000085A10000}"/>
    <cellStyle name="Separador de milhares 2 21 5" xfId="41351" xr:uid="{00000000-0005-0000-0000-000086A10000}"/>
    <cellStyle name="Separador de milhares 2 21 5 2" xfId="41352" xr:uid="{00000000-0005-0000-0000-000087A10000}"/>
    <cellStyle name="Separador de milhares 2 21 5 3" xfId="41353" xr:uid="{00000000-0005-0000-0000-000088A10000}"/>
    <cellStyle name="Separador de milhares 2 21 5 4" xfId="41354" xr:uid="{00000000-0005-0000-0000-000089A10000}"/>
    <cellStyle name="Separador de milhares 2 21 5 5" xfId="41355" xr:uid="{00000000-0005-0000-0000-00008AA10000}"/>
    <cellStyle name="Separador de milhares 2 21 5 6" xfId="41356" xr:uid="{00000000-0005-0000-0000-00008BA10000}"/>
    <cellStyle name="Separador de milhares 2 21 6" xfId="41357" xr:uid="{00000000-0005-0000-0000-00008CA10000}"/>
    <cellStyle name="Separador de milhares 2 21 6 2" xfId="41358" xr:uid="{00000000-0005-0000-0000-00008DA10000}"/>
    <cellStyle name="Separador de milhares 2 21 6 3" xfId="41359" xr:uid="{00000000-0005-0000-0000-00008EA10000}"/>
    <cellStyle name="Separador de milhares 2 21 6 4" xfId="41360" xr:uid="{00000000-0005-0000-0000-00008FA10000}"/>
    <cellStyle name="Separador de milhares 2 21 6 5" xfId="41361" xr:uid="{00000000-0005-0000-0000-000090A10000}"/>
    <cellStyle name="Separador de milhares 2 21 6 6" xfId="41362" xr:uid="{00000000-0005-0000-0000-000091A10000}"/>
    <cellStyle name="Separador de milhares 2 21 7" xfId="41363" xr:uid="{00000000-0005-0000-0000-000092A10000}"/>
    <cellStyle name="Separador de milhares 2 21 7 2" xfId="41364" xr:uid="{00000000-0005-0000-0000-000093A10000}"/>
    <cellStyle name="Separador de milhares 2 21 7 3" xfId="41365" xr:uid="{00000000-0005-0000-0000-000094A10000}"/>
    <cellStyle name="Separador de milhares 2 21 7 4" xfId="41366" xr:uid="{00000000-0005-0000-0000-000095A10000}"/>
    <cellStyle name="Separador de milhares 2 21 7 5" xfId="41367" xr:uid="{00000000-0005-0000-0000-000096A10000}"/>
    <cellStyle name="Separador de milhares 2 21 7 6" xfId="41368" xr:uid="{00000000-0005-0000-0000-000097A10000}"/>
    <cellStyle name="Separador de milhares 2 21 8" xfId="41369" xr:uid="{00000000-0005-0000-0000-000098A10000}"/>
    <cellStyle name="Separador de milhares 2 21 8 2" xfId="41370" xr:uid="{00000000-0005-0000-0000-000099A10000}"/>
    <cellStyle name="Separador de milhares 2 21 8 3" xfId="41371" xr:uid="{00000000-0005-0000-0000-00009AA10000}"/>
    <cellStyle name="Separador de milhares 2 21 8 4" xfId="41372" xr:uid="{00000000-0005-0000-0000-00009BA10000}"/>
    <cellStyle name="Separador de milhares 2 21 8 5" xfId="41373" xr:uid="{00000000-0005-0000-0000-00009CA10000}"/>
    <cellStyle name="Separador de milhares 2 21 8 6" xfId="41374" xr:uid="{00000000-0005-0000-0000-00009DA10000}"/>
    <cellStyle name="Separador de milhares 2 21 9" xfId="41375" xr:uid="{00000000-0005-0000-0000-00009EA10000}"/>
    <cellStyle name="Separador de milhares 2 22" xfId="41376" xr:uid="{00000000-0005-0000-0000-00009FA10000}"/>
    <cellStyle name="Separador de milhares 2 22 10" xfId="41377" xr:uid="{00000000-0005-0000-0000-0000A0A10000}"/>
    <cellStyle name="Separador de milhares 2 22 11" xfId="41378" xr:uid="{00000000-0005-0000-0000-0000A1A10000}"/>
    <cellStyle name="Separador de milhares 2 22 12" xfId="41379" xr:uid="{00000000-0005-0000-0000-0000A2A10000}"/>
    <cellStyle name="Separador de milhares 2 22 13" xfId="41380" xr:uid="{00000000-0005-0000-0000-0000A3A10000}"/>
    <cellStyle name="Separador de milhares 2 22 2" xfId="41381" xr:uid="{00000000-0005-0000-0000-0000A4A10000}"/>
    <cellStyle name="Separador de milhares 2 22 2 2" xfId="41382" xr:uid="{00000000-0005-0000-0000-0000A5A10000}"/>
    <cellStyle name="Separador de milhares 2 22 2 3" xfId="41383" xr:uid="{00000000-0005-0000-0000-0000A6A10000}"/>
    <cellStyle name="Separador de milhares 2 22 2 4" xfId="41384" xr:uid="{00000000-0005-0000-0000-0000A7A10000}"/>
    <cellStyle name="Separador de milhares 2 22 2 5" xfId="41385" xr:uid="{00000000-0005-0000-0000-0000A8A10000}"/>
    <cellStyle name="Separador de milhares 2 22 2 6" xfId="41386" xr:uid="{00000000-0005-0000-0000-0000A9A10000}"/>
    <cellStyle name="Separador de milhares 2 22 3" xfId="41387" xr:uid="{00000000-0005-0000-0000-0000AAA10000}"/>
    <cellStyle name="Separador de milhares 2 22 3 2" xfId="41388" xr:uid="{00000000-0005-0000-0000-0000ABA10000}"/>
    <cellStyle name="Separador de milhares 2 22 3 3" xfId="41389" xr:uid="{00000000-0005-0000-0000-0000ACA10000}"/>
    <cellStyle name="Separador de milhares 2 22 3 4" xfId="41390" xr:uid="{00000000-0005-0000-0000-0000ADA10000}"/>
    <cellStyle name="Separador de milhares 2 22 3 5" xfId="41391" xr:uid="{00000000-0005-0000-0000-0000AEA10000}"/>
    <cellStyle name="Separador de milhares 2 22 3 6" xfId="41392" xr:uid="{00000000-0005-0000-0000-0000AFA10000}"/>
    <cellStyle name="Separador de milhares 2 22 4" xfId="41393" xr:uid="{00000000-0005-0000-0000-0000B0A10000}"/>
    <cellStyle name="Separador de milhares 2 22 4 2" xfId="41394" xr:uid="{00000000-0005-0000-0000-0000B1A10000}"/>
    <cellStyle name="Separador de milhares 2 22 4 3" xfId="41395" xr:uid="{00000000-0005-0000-0000-0000B2A10000}"/>
    <cellStyle name="Separador de milhares 2 22 4 4" xfId="41396" xr:uid="{00000000-0005-0000-0000-0000B3A10000}"/>
    <cellStyle name="Separador de milhares 2 22 4 5" xfId="41397" xr:uid="{00000000-0005-0000-0000-0000B4A10000}"/>
    <cellStyle name="Separador de milhares 2 22 4 6" xfId="41398" xr:uid="{00000000-0005-0000-0000-0000B5A10000}"/>
    <cellStyle name="Separador de milhares 2 22 5" xfId="41399" xr:uid="{00000000-0005-0000-0000-0000B6A10000}"/>
    <cellStyle name="Separador de milhares 2 22 5 2" xfId="41400" xr:uid="{00000000-0005-0000-0000-0000B7A10000}"/>
    <cellStyle name="Separador de milhares 2 22 5 3" xfId="41401" xr:uid="{00000000-0005-0000-0000-0000B8A10000}"/>
    <cellStyle name="Separador de milhares 2 22 5 4" xfId="41402" xr:uid="{00000000-0005-0000-0000-0000B9A10000}"/>
    <cellStyle name="Separador de milhares 2 22 5 5" xfId="41403" xr:uid="{00000000-0005-0000-0000-0000BAA10000}"/>
    <cellStyle name="Separador de milhares 2 22 5 6" xfId="41404" xr:uid="{00000000-0005-0000-0000-0000BBA10000}"/>
    <cellStyle name="Separador de milhares 2 22 6" xfId="41405" xr:uid="{00000000-0005-0000-0000-0000BCA10000}"/>
    <cellStyle name="Separador de milhares 2 22 6 2" xfId="41406" xr:uid="{00000000-0005-0000-0000-0000BDA10000}"/>
    <cellStyle name="Separador de milhares 2 22 6 3" xfId="41407" xr:uid="{00000000-0005-0000-0000-0000BEA10000}"/>
    <cellStyle name="Separador de milhares 2 22 6 4" xfId="41408" xr:uid="{00000000-0005-0000-0000-0000BFA10000}"/>
    <cellStyle name="Separador de milhares 2 22 6 5" xfId="41409" xr:uid="{00000000-0005-0000-0000-0000C0A10000}"/>
    <cellStyle name="Separador de milhares 2 22 6 6" xfId="41410" xr:uid="{00000000-0005-0000-0000-0000C1A10000}"/>
    <cellStyle name="Separador de milhares 2 22 7" xfId="41411" xr:uid="{00000000-0005-0000-0000-0000C2A10000}"/>
    <cellStyle name="Separador de milhares 2 22 7 2" xfId="41412" xr:uid="{00000000-0005-0000-0000-0000C3A10000}"/>
    <cellStyle name="Separador de milhares 2 22 7 3" xfId="41413" xr:uid="{00000000-0005-0000-0000-0000C4A10000}"/>
    <cellStyle name="Separador de milhares 2 22 7 4" xfId="41414" xr:uid="{00000000-0005-0000-0000-0000C5A10000}"/>
    <cellStyle name="Separador de milhares 2 22 7 5" xfId="41415" xr:uid="{00000000-0005-0000-0000-0000C6A10000}"/>
    <cellStyle name="Separador de milhares 2 22 7 6" xfId="41416" xr:uid="{00000000-0005-0000-0000-0000C7A10000}"/>
    <cellStyle name="Separador de milhares 2 22 8" xfId="41417" xr:uid="{00000000-0005-0000-0000-0000C8A10000}"/>
    <cellStyle name="Separador de milhares 2 22 8 2" xfId="41418" xr:uid="{00000000-0005-0000-0000-0000C9A10000}"/>
    <cellStyle name="Separador de milhares 2 22 8 3" xfId="41419" xr:uid="{00000000-0005-0000-0000-0000CAA10000}"/>
    <cellStyle name="Separador de milhares 2 22 8 4" xfId="41420" xr:uid="{00000000-0005-0000-0000-0000CBA10000}"/>
    <cellStyle name="Separador de milhares 2 22 8 5" xfId="41421" xr:uid="{00000000-0005-0000-0000-0000CCA10000}"/>
    <cellStyle name="Separador de milhares 2 22 8 6" xfId="41422" xr:uid="{00000000-0005-0000-0000-0000CDA10000}"/>
    <cellStyle name="Separador de milhares 2 22 9" xfId="41423" xr:uid="{00000000-0005-0000-0000-0000CEA10000}"/>
    <cellStyle name="Separador de milhares 2 23" xfId="41424" xr:uid="{00000000-0005-0000-0000-0000CFA10000}"/>
    <cellStyle name="Separador de milhares 2 23 10" xfId="41425" xr:uid="{00000000-0005-0000-0000-0000D0A10000}"/>
    <cellStyle name="Separador de milhares 2 23 11" xfId="41426" xr:uid="{00000000-0005-0000-0000-0000D1A10000}"/>
    <cellStyle name="Separador de milhares 2 23 12" xfId="41427" xr:uid="{00000000-0005-0000-0000-0000D2A10000}"/>
    <cellStyle name="Separador de milhares 2 23 13" xfId="41428" xr:uid="{00000000-0005-0000-0000-0000D3A10000}"/>
    <cellStyle name="Separador de milhares 2 23 2" xfId="41429" xr:uid="{00000000-0005-0000-0000-0000D4A10000}"/>
    <cellStyle name="Separador de milhares 2 23 2 2" xfId="41430" xr:uid="{00000000-0005-0000-0000-0000D5A10000}"/>
    <cellStyle name="Separador de milhares 2 23 2 3" xfId="41431" xr:uid="{00000000-0005-0000-0000-0000D6A10000}"/>
    <cellStyle name="Separador de milhares 2 23 2 4" xfId="41432" xr:uid="{00000000-0005-0000-0000-0000D7A10000}"/>
    <cellStyle name="Separador de milhares 2 23 2 5" xfId="41433" xr:uid="{00000000-0005-0000-0000-0000D8A10000}"/>
    <cellStyle name="Separador de milhares 2 23 2 6" xfId="41434" xr:uid="{00000000-0005-0000-0000-0000D9A10000}"/>
    <cellStyle name="Separador de milhares 2 23 3" xfId="41435" xr:uid="{00000000-0005-0000-0000-0000DAA10000}"/>
    <cellStyle name="Separador de milhares 2 23 3 2" xfId="41436" xr:uid="{00000000-0005-0000-0000-0000DBA10000}"/>
    <cellStyle name="Separador de milhares 2 23 3 3" xfId="41437" xr:uid="{00000000-0005-0000-0000-0000DCA10000}"/>
    <cellStyle name="Separador de milhares 2 23 3 4" xfId="41438" xr:uid="{00000000-0005-0000-0000-0000DDA10000}"/>
    <cellStyle name="Separador de milhares 2 23 3 5" xfId="41439" xr:uid="{00000000-0005-0000-0000-0000DEA10000}"/>
    <cellStyle name="Separador de milhares 2 23 3 6" xfId="41440" xr:uid="{00000000-0005-0000-0000-0000DFA10000}"/>
    <cellStyle name="Separador de milhares 2 23 4" xfId="41441" xr:uid="{00000000-0005-0000-0000-0000E0A10000}"/>
    <cellStyle name="Separador de milhares 2 23 4 2" xfId="41442" xr:uid="{00000000-0005-0000-0000-0000E1A10000}"/>
    <cellStyle name="Separador de milhares 2 23 4 3" xfId="41443" xr:uid="{00000000-0005-0000-0000-0000E2A10000}"/>
    <cellStyle name="Separador de milhares 2 23 4 4" xfId="41444" xr:uid="{00000000-0005-0000-0000-0000E3A10000}"/>
    <cellStyle name="Separador de milhares 2 23 4 5" xfId="41445" xr:uid="{00000000-0005-0000-0000-0000E4A10000}"/>
    <cellStyle name="Separador de milhares 2 23 4 6" xfId="41446" xr:uid="{00000000-0005-0000-0000-0000E5A10000}"/>
    <cellStyle name="Separador de milhares 2 23 5" xfId="41447" xr:uid="{00000000-0005-0000-0000-0000E6A10000}"/>
    <cellStyle name="Separador de milhares 2 23 5 2" xfId="41448" xr:uid="{00000000-0005-0000-0000-0000E7A10000}"/>
    <cellStyle name="Separador de milhares 2 23 5 3" xfId="41449" xr:uid="{00000000-0005-0000-0000-0000E8A10000}"/>
    <cellStyle name="Separador de milhares 2 23 5 4" xfId="41450" xr:uid="{00000000-0005-0000-0000-0000E9A10000}"/>
    <cellStyle name="Separador de milhares 2 23 5 5" xfId="41451" xr:uid="{00000000-0005-0000-0000-0000EAA10000}"/>
    <cellStyle name="Separador de milhares 2 23 5 6" xfId="41452" xr:uid="{00000000-0005-0000-0000-0000EBA10000}"/>
    <cellStyle name="Separador de milhares 2 23 6" xfId="41453" xr:uid="{00000000-0005-0000-0000-0000ECA10000}"/>
    <cellStyle name="Separador de milhares 2 23 6 2" xfId="41454" xr:uid="{00000000-0005-0000-0000-0000EDA10000}"/>
    <cellStyle name="Separador de milhares 2 23 6 3" xfId="41455" xr:uid="{00000000-0005-0000-0000-0000EEA10000}"/>
    <cellStyle name="Separador de milhares 2 23 6 4" xfId="41456" xr:uid="{00000000-0005-0000-0000-0000EFA10000}"/>
    <cellStyle name="Separador de milhares 2 23 6 5" xfId="41457" xr:uid="{00000000-0005-0000-0000-0000F0A10000}"/>
    <cellStyle name="Separador de milhares 2 23 6 6" xfId="41458" xr:uid="{00000000-0005-0000-0000-0000F1A10000}"/>
    <cellStyle name="Separador de milhares 2 23 7" xfId="41459" xr:uid="{00000000-0005-0000-0000-0000F2A10000}"/>
    <cellStyle name="Separador de milhares 2 23 7 2" xfId="41460" xr:uid="{00000000-0005-0000-0000-0000F3A10000}"/>
    <cellStyle name="Separador de milhares 2 23 7 3" xfId="41461" xr:uid="{00000000-0005-0000-0000-0000F4A10000}"/>
    <cellStyle name="Separador de milhares 2 23 7 4" xfId="41462" xr:uid="{00000000-0005-0000-0000-0000F5A10000}"/>
    <cellStyle name="Separador de milhares 2 23 7 5" xfId="41463" xr:uid="{00000000-0005-0000-0000-0000F6A10000}"/>
    <cellStyle name="Separador de milhares 2 23 7 6" xfId="41464" xr:uid="{00000000-0005-0000-0000-0000F7A10000}"/>
    <cellStyle name="Separador de milhares 2 23 8" xfId="41465" xr:uid="{00000000-0005-0000-0000-0000F8A10000}"/>
    <cellStyle name="Separador de milhares 2 23 8 2" xfId="41466" xr:uid="{00000000-0005-0000-0000-0000F9A10000}"/>
    <cellStyle name="Separador de milhares 2 23 8 3" xfId="41467" xr:uid="{00000000-0005-0000-0000-0000FAA10000}"/>
    <cellStyle name="Separador de milhares 2 23 8 4" xfId="41468" xr:uid="{00000000-0005-0000-0000-0000FBA10000}"/>
    <cellStyle name="Separador de milhares 2 23 8 5" xfId="41469" xr:uid="{00000000-0005-0000-0000-0000FCA10000}"/>
    <cellStyle name="Separador de milhares 2 23 8 6" xfId="41470" xr:uid="{00000000-0005-0000-0000-0000FDA10000}"/>
    <cellStyle name="Separador de milhares 2 23 9" xfId="41471" xr:uid="{00000000-0005-0000-0000-0000FEA10000}"/>
    <cellStyle name="Separador de milhares 2 24" xfId="41472" xr:uid="{00000000-0005-0000-0000-0000FFA10000}"/>
    <cellStyle name="Separador de milhares 2 24 10" xfId="41473" xr:uid="{00000000-0005-0000-0000-000000A20000}"/>
    <cellStyle name="Separador de milhares 2 24 11" xfId="41474" xr:uid="{00000000-0005-0000-0000-000001A20000}"/>
    <cellStyle name="Separador de milhares 2 24 12" xfId="41475" xr:uid="{00000000-0005-0000-0000-000002A20000}"/>
    <cellStyle name="Separador de milhares 2 24 13" xfId="41476" xr:uid="{00000000-0005-0000-0000-000003A20000}"/>
    <cellStyle name="Separador de milhares 2 24 2" xfId="41477" xr:uid="{00000000-0005-0000-0000-000004A20000}"/>
    <cellStyle name="Separador de milhares 2 24 2 2" xfId="41478" xr:uid="{00000000-0005-0000-0000-000005A20000}"/>
    <cellStyle name="Separador de milhares 2 24 2 3" xfId="41479" xr:uid="{00000000-0005-0000-0000-000006A20000}"/>
    <cellStyle name="Separador de milhares 2 24 2 4" xfId="41480" xr:uid="{00000000-0005-0000-0000-000007A20000}"/>
    <cellStyle name="Separador de milhares 2 24 2 5" xfId="41481" xr:uid="{00000000-0005-0000-0000-000008A20000}"/>
    <cellStyle name="Separador de milhares 2 24 2 6" xfId="41482" xr:uid="{00000000-0005-0000-0000-000009A20000}"/>
    <cellStyle name="Separador de milhares 2 24 3" xfId="41483" xr:uid="{00000000-0005-0000-0000-00000AA20000}"/>
    <cellStyle name="Separador de milhares 2 24 3 2" xfId="41484" xr:uid="{00000000-0005-0000-0000-00000BA20000}"/>
    <cellStyle name="Separador de milhares 2 24 3 3" xfId="41485" xr:uid="{00000000-0005-0000-0000-00000CA20000}"/>
    <cellStyle name="Separador de milhares 2 24 3 4" xfId="41486" xr:uid="{00000000-0005-0000-0000-00000DA20000}"/>
    <cellStyle name="Separador de milhares 2 24 3 5" xfId="41487" xr:uid="{00000000-0005-0000-0000-00000EA20000}"/>
    <cellStyle name="Separador de milhares 2 24 3 6" xfId="41488" xr:uid="{00000000-0005-0000-0000-00000FA20000}"/>
    <cellStyle name="Separador de milhares 2 24 4" xfId="41489" xr:uid="{00000000-0005-0000-0000-000010A20000}"/>
    <cellStyle name="Separador de milhares 2 24 4 2" xfId="41490" xr:uid="{00000000-0005-0000-0000-000011A20000}"/>
    <cellStyle name="Separador de milhares 2 24 4 3" xfId="41491" xr:uid="{00000000-0005-0000-0000-000012A20000}"/>
    <cellStyle name="Separador de milhares 2 24 4 4" xfId="41492" xr:uid="{00000000-0005-0000-0000-000013A20000}"/>
    <cellStyle name="Separador de milhares 2 24 4 5" xfId="41493" xr:uid="{00000000-0005-0000-0000-000014A20000}"/>
    <cellStyle name="Separador de milhares 2 24 4 6" xfId="41494" xr:uid="{00000000-0005-0000-0000-000015A20000}"/>
    <cellStyle name="Separador de milhares 2 24 5" xfId="41495" xr:uid="{00000000-0005-0000-0000-000016A20000}"/>
    <cellStyle name="Separador de milhares 2 24 5 2" xfId="41496" xr:uid="{00000000-0005-0000-0000-000017A20000}"/>
    <cellStyle name="Separador de milhares 2 24 5 3" xfId="41497" xr:uid="{00000000-0005-0000-0000-000018A20000}"/>
    <cellStyle name="Separador de milhares 2 24 5 4" xfId="41498" xr:uid="{00000000-0005-0000-0000-000019A20000}"/>
    <cellStyle name="Separador de milhares 2 24 5 5" xfId="41499" xr:uid="{00000000-0005-0000-0000-00001AA20000}"/>
    <cellStyle name="Separador de milhares 2 24 5 6" xfId="41500" xr:uid="{00000000-0005-0000-0000-00001BA20000}"/>
    <cellStyle name="Separador de milhares 2 24 6" xfId="41501" xr:uid="{00000000-0005-0000-0000-00001CA20000}"/>
    <cellStyle name="Separador de milhares 2 24 6 2" xfId="41502" xr:uid="{00000000-0005-0000-0000-00001DA20000}"/>
    <cellStyle name="Separador de milhares 2 24 6 3" xfId="41503" xr:uid="{00000000-0005-0000-0000-00001EA20000}"/>
    <cellStyle name="Separador de milhares 2 24 6 4" xfId="41504" xr:uid="{00000000-0005-0000-0000-00001FA20000}"/>
    <cellStyle name="Separador de milhares 2 24 6 5" xfId="41505" xr:uid="{00000000-0005-0000-0000-000020A20000}"/>
    <cellStyle name="Separador de milhares 2 24 6 6" xfId="41506" xr:uid="{00000000-0005-0000-0000-000021A20000}"/>
    <cellStyle name="Separador de milhares 2 24 7" xfId="41507" xr:uid="{00000000-0005-0000-0000-000022A20000}"/>
    <cellStyle name="Separador de milhares 2 24 7 2" xfId="41508" xr:uid="{00000000-0005-0000-0000-000023A20000}"/>
    <cellStyle name="Separador de milhares 2 24 7 3" xfId="41509" xr:uid="{00000000-0005-0000-0000-000024A20000}"/>
    <cellStyle name="Separador de milhares 2 24 7 4" xfId="41510" xr:uid="{00000000-0005-0000-0000-000025A20000}"/>
    <cellStyle name="Separador de milhares 2 24 7 5" xfId="41511" xr:uid="{00000000-0005-0000-0000-000026A20000}"/>
    <cellStyle name="Separador de milhares 2 24 7 6" xfId="41512" xr:uid="{00000000-0005-0000-0000-000027A20000}"/>
    <cellStyle name="Separador de milhares 2 24 8" xfId="41513" xr:uid="{00000000-0005-0000-0000-000028A20000}"/>
    <cellStyle name="Separador de milhares 2 24 8 2" xfId="41514" xr:uid="{00000000-0005-0000-0000-000029A20000}"/>
    <cellStyle name="Separador de milhares 2 24 8 3" xfId="41515" xr:uid="{00000000-0005-0000-0000-00002AA20000}"/>
    <cellStyle name="Separador de milhares 2 24 8 4" xfId="41516" xr:uid="{00000000-0005-0000-0000-00002BA20000}"/>
    <cellStyle name="Separador de milhares 2 24 8 5" xfId="41517" xr:uid="{00000000-0005-0000-0000-00002CA20000}"/>
    <cellStyle name="Separador de milhares 2 24 8 6" xfId="41518" xr:uid="{00000000-0005-0000-0000-00002DA20000}"/>
    <cellStyle name="Separador de milhares 2 24 9" xfId="41519" xr:uid="{00000000-0005-0000-0000-00002EA20000}"/>
    <cellStyle name="Separador de milhares 2 25" xfId="41520" xr:uid="{00000000-0005-0000-0000-00002FA20000}"/>
    <cellStyle name="Separador de milhares 2 25 10" xfId="41521" xr:uid="{00000000-0005-0000-0000-000030A20000}"/>
    <cellStyle name="Separador de milhares 2 25 11" xfId="41522" xr:uid="{00000000-0005-0000-0000-000031A20000}"/>
    <cellStyle name="Separador de milhares 2 25 12" xfId="41523" xr:uid="{00000000-0005-0000-0000-000032A20000}"/>
    <cellStyle name="Separador de milhares 2 25 13" xfId="41524" xr:uid="{00000000-0005-0000-0000-000033A20000}"/>
    <cellStyle name="Separador de milhares 2 25 2" xfId="41525" xr:uid="{00000000-0005-0000-0000-000034A20000}"/>
    <cellStyle name="Separador de milhares 2 25 2 2" xfId="41526" xr:uid="{00000000-0005-0000-0000-000035A20000}"/>
    <cellStyle name="Separador de milhares 2 25 2 3" xfId="41527" xr:uid="{00000000-0005-0000-0000-000036A20000}"/>
    <cellStyle name="Separador de milhares 2 25 2 4" xfId="41528" xr:uid="{00000000-0005-0000-0000-000037A20000}"/>
    <cellStyle name="Separador de milhares 2 25 2 5" xfId="41529" xr:uid="{00000000-0005-0000-0000-000038A20000}"/>
    <cellStyle name="Separador de milhares 2 25 2 6" xfId="41530" xr:uid="{00000000-0005-0000-0000-000039A20000}"/>
    <cellStyle name="Separador de milhares 2 25 3" xfId="41531" xr:uid="{00000000-0005-0000-0000-00003AA20000}"/>
    <cellStyle name="Separador de milhares 2 25 3 2" xfId="41532" xr:uid="{00000000-0005-0000-0000-00003BA20000}"/>
    <cellStyle name="Separador de milhares 2 25 3 3" xfId="41533" xr:uid="{00000000-0005-0000-0000-00003CA20000}"/>
    <cellStyle name="Separador de milhares 2 25 3 4" xfId="41534" xr:uid="{00000000-0005-0000-0000-00003DA20000}"/>
    <cellStyle name="Separador de milhares 2 25 3 5" xfId="41535" xr:uid="{00000000-0005-0000-0000-00003EA20000}"/>
    <cellStyle name="Separador de milhares 2 25 3 6" xfId="41536" xr:uid="{00000000-0005-0000-0000-00003FA20000}"/>
    <cellStyle name="Separador de milhares 2 25 4" xfId="41537" xr:uid="{00000000-0005-0000-0000-000040A20000}"/>
    <cellStyle name="Separador de milhares 2 25 4 2" xfId="41538" xr:uid="{00000000-0005-0000-0000-000041A20000}"/>
    <cellStyle name="Separador de milhares 2 25 4 3" xfId="41539" xr:uid="{00000000-0005-0000-0000-000042A20000}"/>
    <cellStyle name="Separador de milhares 2 25 4 4" xfId="41540" xr:uid="{00000000-0005-0000-0000-000043A20000}"/>
    <cellStyle name="Separador de milhares 2 25 4 5" xfId="41541" xr:uid="{00000000-0005-0000-0000-000044A20000}"/>
    <cellStyle name="Separador de milhares 2 25 4 6" xfId="41542" xr:uid="{00000000-0005-0000-0000-000045A20000}"/>
    <cellStyle name="Separador de milhares 2 25 5" xfId="41543" xr:uid="{00000000-0005-0000-0000-000046A20000}"/>
    <cellStyle name="Separador de milhares 2 25 5 2" xfId="41544" xr:uid="{00000000-0005-0000-0000-000047A20000}"/>
    <cellStyle name="Separador de milhares 2 25 5 3" xfId="41545" xr:uid="{00000000-0005-0000-0000-000048A20000}"/>
    <cellStyle name="Separador de milhares 2 25 5 4" xfId="41546" xr:uid="{00000000-0005-0000-0000-000049A20000}"/>
    <cellStyle name="Separador de milhares 2 25 5 5" xfId="41547" xr:uid="{00000000-0005-0000-0000-00004AA20000}"/>
    <cellStyle name="Separador de milhares 2 25 5 6" xfId="41548" xr:uid="{00000000-0005-0000-0000-00004BA20000}"/>
    <cellStyle name="Separador de milhares 2 25 6" xfId="41549" xr:uid="{00000000-0005-0000-0000-00004CA20000}"/>
    <cellStyle name="Separador de milhares 2 25 6 2" xfId="41550" xr:uid="{00000000-0005-0000-0000-00004DA20000}"/>
    <cellStyle name="Separador de milhares 2 25 6 3" xfId="41551" xr:uid="{00000000-0005-0000-0000-00004EA20000}"/>
    <cellStyle name="Separador de milhares 2 25 6 4" xfId="41552" xr:uid="{00000000-0005-0000-0000-00004FA20000}"/>
    <cellStyle name="Separador de milhares 2 25 6 5" xfId="41553" xr:uid="{00000000-0005-0000-0000-000050A20000}"/>
    <cellStyle name="Separador de milhares 2 25 6 6" xfId="41554" xr:uid="{00000000-0005-0000-0000-000051A20000}"/>
    <cellStyle name="Separador de milhares 2 25 7" xfId="41555" xr:uid="{00000000-0005-0000-0000-000052A20000}"/>
    <cellStyle name="Separador de milhares 2 25 7 2" xfId="41556" xr:uid="{00000000-0005-0000-0000-000053A20000}"/>
    <cellStyle name="Separador de milhares 2 25 7 3" xfId="41557" xr:uid="{00000000-0005-0000-0000-000054A20000}"/>
    <cellStyle name="Separador de milhares 2 25 7 4" xfId="41558" xr:uid="{00000000-0005-0000-0000-000055A20000}"/>
    <cellStyle name="Separador de milhares 2 25 7 5" xfId="41559" xr:uid="{00000000-0005-0000-0000-000056A20000}"/>
    <cellStyle name="Separador de milhares 2 25 7 6" xfId="41560" xr:uid="{00000000-0005-0000-0000-000057A20000}"/>
    <cellStyle name="Separador de milhares 2 25 8" xfId="41561" xr:uid="{00000000-0005-0000-0000-000058A20000}"/>
    <cellStyle name="Separador de milhares 2 25 8 2" xfId="41562" xr:uid="{00000000-0005-0000-0000-000059A20000}"/>
    <cellStyle name="Separador de milhares 2 25 8 3" xfId="41563" xr:uid="{00000000-0005-0000-0000-00005AA20000}"/>
    <cellStyle name="Separador de milhares 2 25 8 4" xfId="41564" xr:uid="{00000000-0005-0000-0000-00005BA20000}"/>
    <cellStyle name="Separador de milhares 2 25 8 5" xfId="41565" xr:uid="{00000000-0005-0000-0000-00005CA20000}"/>
    <cellStyle name="Separador de milhares 2 25 8 6" xfId="41566" xr:uid="{00000000-0005-0000-0000-00005DA20000}"/>
    <cellStyle name="Separador de milhares 2 25 9" xfId="41567" xr:uid="{00000000-0005-0000-0000-00005EA20000}"/>
    <cellStyle name="Separador de milhares 2 26" xfId="41568" xr:uid="{00000000-0005-0000-0000-00005FA20000}"/>
    <cellStyle name="Separador de milhares 2 26 10" xfId="41569" xr:uid="{00000000-0005-0000-0000-000060A20000}"/>
    <cellStyle name="Separador de milhares 2 26 11" xfId="41570" xr:uid="{00000000-0005-0000-0000-000061A20000}"/>
    <cellStyle name="Separador de milhares 2 26 12" xfId="41571" xr:uid="{00000000-0005-0000-0000-000062A20000}"/>
    <cellStyle name="Separador de milhares 2 26 13" xfId="41572" xr:uid="{00000000-0005-0000-0000-000063A20000}"/>
    <cellStyle name="Separador de milhares 2 26 2" xfId="41573" xr:uid="{00000000-0005-0000-0000-000064A20000}"/>
    <cellStyle name="Separador de milhares 2 26 2 2" xfId="41574" xr:uid="{00000000-0005-0000-0000-000065A20000}"/>
    <cellStyle name="Separador de milhares 2 26 2 3" xfId="41575" xr:uid="{00000000-0005-0000-0000-000066A20000}"/>
    <cellStyle name="Separador de milhares 2 26 2 4" xfId="41576" xr:uid="{00000000-0005-0000-0000-000067A20000}"/>
    <cellStyle name="Separador de milhares 2 26 2 5" xfId="41577" xr:uid="{00000000-0005-0000-0000-000068A20000}"/>
    <cellStyle name="Separador de milhares 2 26 2 6" xfId="41578" xr:uid="{00000000-0005-0000-0000-000069A20000}"/>
    <cellStyle name="Separador de milhares 2 26 3" xfId="41579" xr:uid="{00000000-0005-0000-0000-00006AA20000}"/>
    <cellStyle name="Separador de milhares 2 26 3 2" xfId="41580" xr:uid="{00000000-0005-0000-0000-00006BA20000}"/>
    <cellStyle name="Separador de milhares 2 26 3 3" xfId="41581" xr:uid="{00000000-0005-0000-0000-00006CA20000}"/>
    <cellStyle name="Separador de milhares 2 26 3 4" xfId="41582" xr:uid="{00000000-0005-0000-0000-00006DA20000}"/>
    <cellStyle name="Separador de milhares 2 26 3 5" xfId="41583" xr:uid="{00000000-0005-0000-0000-00006EA20000}"/>
    <cellStyle name="Separador de milhares 2 26 3 6" xfId="41584" xr:uid="{00000000-0005-0000-0000-00006FA20000}"/>
    <cellStyle name="Separador de milhares 2 26 4" xfId="41585" xr:uid="{00000000-0005-0000-0000-000070A20000}"/>
    <cellStyle name="Separador de milhares 2 26 4 2" xfId="41586" xr:uid="{00000000-0005-0000-0000-000071A20000}"/>
    <cellStyle name="Separador de milhares 2 26 4 3" xfId="41587" xr:uid="{00000000-0005-0000-0000-000072A20000}"/>
    <cellStyle name="Separador de milhares 2 26 4 4" xfId="41588" xr:uid="{00000000-0005-0000-0000-000073A20000}"/>
    <cellStyle name="Separador de milhares 2 26 4 5" xfId="41589" xr:uid="{00000000-0005-0000-0000-000074A20000}"/>
    <cellStyle name="Separador de milhares 2 26 4 6" xfId="41590" xr:uid="{00000000-0005-0000-0000-000075A20000}"/>
    <cellStyle name="Separador de milhares 2 26 5" xfId="41591" xr:uid="{00000000-0005-0000-0000-000076A20000}"/>
    <cellStyle name="Separador de milhares 2 26 5 2" xfId="41592" xr:uid="{00000000-0005-0000-0000-000077A20000}"/>
    <cellStyle name="Separador de milhares 2 26 5 3" xfId="41593" xr:uid="{00000000-0005-0000-0000-000078A20000}"/>
    <cellStyle name="Separador de milhares 2 26 5 4" xfId="41594" xr:uid="{00000000-0005-0000-0000-000079A20000}"/>
    <cellStyle name="Separador de milhares 2 26 5 5" xfId="41595" xr:uid="{00000000-0005-0000-0000-00007AA20000}"/>
    <cellStyle name="Separador de milhares 2 26 5 6" xfId="41596" xr:uid="{00000000-0005-0000-0000-00007BA20000}"/>
    <cellStyle name="Separador de milhares 2 26 6" xfId="41597" xr:uid="{00000000-0005-0000-0000-00007CA20000}"/>
    <cellStyle name="Separador de milhares 2 26 6 2" xfId="41598" xr:uid="{00000000-0005-0000-0000-00007DA20000}"/>
    <cellStyle name="Separador de milhares 2 26 6 3" xfId="41599" xr:uid="{00000000-0005-0000-0000-00007EA20000}"/>
    <cellStyle name="Separador de milhares 2 26 6 4" xfId="41600" xr:uid="{00000000-0005-0000-0000-00007FA20000}"/>
    <cellStyle name="Separador de milhares 2 26 6 5" xfId="41601" xr:uid="{00000000-0005-0000-0000-000080A20000}"/>
    <cellStyle name="Separador de milhares 2 26 6 6" xfId="41602" xr:uid="{00000000-0005-0000-0000-000081A20000}"/>
    <cellStyle name="Separador de milhares 2 26 7" xfId="41603" xr:uid="{00000000-0005-0000-0000-000082A20000}"/>
    <cellStyle name="Separador de milhares 2 26 7 2" xfId="41604" xr:uid="{00000000-0005-0000-0000-000083A20000}"/>
    <cellStyle name="Separador de milhares 2 26 7 3" xfId="41605" xr:uid="{00000000-0005-0000-0000-000084A20000}"/>
    <cellStyle name="Separador de milhares 2 26 7 4" xfId="41606" xr:uid="{00000000-0005-0000-0000-000085A20000}"/>
    <cellStyle name="Separador de milhares 2 26 7 5" xfId="41607" xr:uid="{00000000-0005-0000-0000-000086A20000}"/>
    <cellStyle name="Separador de milhares 2 26 7 6" xfId="41608" xr:uid="{00000000-0005-0000-0000-000087A20000}"/>
    <cellStyle name="Separador de milhares 2 26 8" xfId="41609" xr:uid="{00000000-0005-0000-0000-000088A20000}"/>
    <cellStyle name="Separador de milhares 2 26 8 2" xfId="41610" xr:uid="{00000000-0005-0000-0000-000089A20000}"/>
    <cellStyle name="Separador de milhares 2 26 8 3" xfId="41611" xr:uid="{00000000-0005-0000-0000-00008AA20000}"/>
    <cellStyle name="Separador de milhares 2 26 8 4" xfId="41612" xr:uid="{00000000-0005-0000-0000-00008BA20000}"/>
    <cellStyle name="Separador de milhares 2 26 8 5" xfId="41613" xr:uid="{00000000-0005-0000-0000-00008CA20000}"/>
    <cellStyle name="Separador de milhares 2 26 8 6" xfId="41614" xr:uid="{00000000-0005-0000-0000-00008DA20000}"/>
    <cellStyle name="Separador de milhares 2 26 9" xfId="41615" xr:uid="{00000000-0005-0000-0000-00008EA20000}"/>
    <cellStyle name="Separador de milhares 2 27" xfId="41616" xr:uid="{00000000-0005-0000-0000-00008FA20000}"/>
    <cellStyle name="Separador de milhares 2 27 10" xfId="41617" xr:uid="{00000000-0005-0000-0000-000090A20000}"/>
    <cellStyle name="Separador de milhares 2 27 11" xfId="41618" xr:uid="{00000000-0005-0000-0000-000091A20000}"/>
    <cellStyle name="Separador de milhares 2 27 12" xfId="41619" xr:uid="{00000000-0005-0000-0000-000092A20000}"/>
    <cellStyle name="Separador de milhares 2 27 13" xfId="41620" xr:uid="{00000000-0005-0000-0000-000093A20000}"/>
    <cellStyle name="Separador de milhares 2 27 2" xfId="41621" xr:uid="{00000000-0005-0000-0000-000094A20000}"/>
    <cellStyle name="Separador de milhares 2 27 2 2" xfId="41622" xr:uid="{00000000-0005-0000-0000-000095A20000}"/>
    <cellStyle name="Separador de milhares 2 27 2 3" xfId="41623" xr:uid="{00000000-0005-0000-0000-000096A20000}"/>
    <cellStyle name="Separador de milhares 2 27 2 4" xfId="41624" xr:uid="{00000000-0005-0000-0000-000097A20000}"/>
    <cellStyle name="Separador de milhares 2 27 2 5" xfId="41625" xr:uid="{00000000-0005-0000-0000-000098A20000}"/>
    <cellStyle name="Separador de milhares 2 27 2 6" xfId="41626" xr:uid="{00000000-0005-0000-0000-000099A20000}"/>
    <cellStyle name="Separador de milhares 2 27 3" xfId="41627" xr:uid="{00000000-0005-0000-0000-00009AA20000}"/>
    <cellStyle name="Separador de milhares 2 27 3 2" xfId="41628" xr:uid="{00000000-0005-0000-0000-00009BA20000}"/>
    <cellStyle name="Separador de milhares 2 27 3 3" xfId="41629" xr:uid="{00000000-0005-0000-0000-00009CA20000}"/>
    <cellStyle name="Separador de milhares 2 27 3 4" xfId="41630" xr:uid="{00000000-0005-0000-0000-00009DA20000}"/>
    <cellStyle name="Separador de milhares 2 27 3 5" xfId="41631" xr:uid="{00000000-0005-0000-0000-00009EA20000}"/>
    <cellStyle name="Separador de milhares 2 27 3 6" xfId="41632" xr:uid="{00000000-0005-0000-0000-00009FA20000}"/>
    <cellStyle name="Separador de milhares 2 27 4" xfId="41633" xr:uid="{00000000-0005-0000-0000-0000A0A20000}"/>
    <cellStyle name="Separador de milhares 2 27 4 2" xfId="41634" xr:uid="{00000000-0005-0000-0000-0000A1A20000}"/>
    <cellStyle name="Separador de milhares 2 27 4 3" xfId="41635" xr:uid="{00000000-0005-0000-0000-0000A2A20000}"/>
    <cellStyle name="Separador de milhares 2 27 4 4" xfId="41636" xr:uid="{00000000-0005-0000-0000-0000A3A20000}"/>
    <cellStyle name="Separador de milhares 2 27 4 5" xfId="41637" xr:uid="{00000000-0005-0000-0000-0000A4A20000}"/>
    <cellStyle name="Separador de milhares 2 27 4 6" xfId="41638" xr:uid="{00000000-0005-0000-0000-0000A5A20000}"/>
    <cellStyle name="Separador de milhares 2 27 5" xfId="41639" xr:uid="{00000000-0005-0000-0000-0000A6A20000}"/>
    <cellStyle name="Separador de milhares 2 27 5 2" xfId="41640" xr:uid="{00000000-0005-0000-0000-0000A7A20000}"/>
    <cellStyle name="Separador de milhares 2 27 5 3" xfId="41641" xr:uid="{00000000-0005-0000-0000-0000A8A20000}"/>
    <cellStyle name="Separador de milhares 2 27 5 4" xfId="41642" xr:uid="{00000000-0005-0000-0000-0000A9A20000}"/>
    <cellStyle name="Separador de milhares 2 27 5 5" xfId="41643" xr:uid="{00000000-0005-0000-0000-0000AAA20000}"/>
    <cellStyle name="Separador de milhares 2 27 5 6" xfId="41644" xr:uid="{00000000-0005-0000-0000-0000ABA20000}"/>
    <cellStyle name="Separador de milhares 2 27 6" xfId="41645" xr:uid="{00000000-0005-0000-0000-0000ACA20000}"/>
    <cellStyle name="Separador de milhares 2 27 6 2" xfId="41646" xr:uid="{00000000-0005-0000-0000-0000ADA20000}"/>
    <cellStyle name="Separador de milhares 2 27 6 3" xfId="41647" xr:uid="{00000000-0005-0000-0000-0000AEA20000}"/>
    <cellStyle name="Separador de milhares 2 27 6 4" xfId="41648" xr:uid="{00000000-0005-0000-0000-0000AFA20000}"/>
    <cellStyle name="Separador de milhares 2 27 6 5" xfId="41649" xr:uid="{00000000-0005-0000-0000-0000B0A20000}"/>
    <cellStyle name="Separador de milhares 2 27 6 6" xfId="41650" xr:uid="{00000000-0005-0000-0000-0000B1A20000}"/>
    <cellStyle name="Separador de milhares 2 27 7" xfId="41651" xr:uid="{00000000-0005-0000-0000-0000B2A20000}"/>
    <cellStyle name="Separador de milhares 2 27 7 2" xfId="41652" xr:uid="{00000000-0005-0000-0000-0000B3A20000}"/>
    <cellStyle name="Separador de milhares 2 27 7 3" xfId="41653" xr:uid="{00000000-0005-0000-0000-0000B4A20000}"/>
    <cellStyle name="Separador de milhares 2 27 7 4" xfId="41654" xr:uid="{00000000-0005-0000-0000-0000B5A20000}"/>
    <cellStyle name="Separador de milhares 2 27 7 5" xfId="41655" xr:uid="{00000000-0005-0000-0000-0000B6A20000}"/>
    <cellStyle name="Separador de milhares 2 27 7 6" xfId="41656" xr:uid="{00000000-0005-0000-0000-0000B7A20000}"/>
    <cellStyle name="Separador de milhares 2 27 8" xfId="41657" xr:uid="{00000000-0005-0000-0000-0000B8A20000}"/>
    <cellStyle name="Separador de milhares 2 27 8 2" xfId="41658" xr:uid="{00000000-0005-0000-0000-0000B9A20000}"/>
    <cellStyle name="Separador de milhares 2 27 8 3" xfId="41659" xr:uid="{00000000-0005-0000-0000-0000BAA20000}"/>
    <cellStyle name="Separador de milhares 2 27 8 4" xfId="41660" xr:uid="{00000000-0005-0000-0000-0000BBA20000}"/>
    <cellStyle name="Separador de milhares 2 27 8 5" xfId="41661" xr:uid="{00000000-0005-0000-0000-0000BCA20000}"/>
    <cellStyle name="Separador de milhares 2 27 8 6" xfId="41662" xr:uid="{00000000-0005-0000-0000-0000BDA20000}"/>
    <cellStyle name="Separador de milhares 2 27 9" xfId="41663" xr:uid="{00000000-0005-0000-0000-0000BEA20000}"/>
    <cellStyle name="Separador de milhares 2 28" xfId="41664" xr:uid="{00000000-0005-0000-0000-0000BFA20000}"/>
    <cellStyle name="Separador de milhares 2 28 10" xfId="41665" xr:uid="{00000000-0005-0000-0000-0000C0A20000}"/>
    <cellStyle name="Separador de milhares 2 28 11" xfId="41666" xr:uid="{00000000-0005-0000-0000-0000C1A20000}"/>
    <cellStyle name="Separador de milhares 2 28 12" xfId="41667" xr:uid="{00000000-0005-0000-0000-0000C2A20000}"/>
    <cellStyle name="Separador de milhares 2 28 13" xfId="41668" xr:uid="{00000000-0005-0000-0000-0000C3A20000}"/>
    <cellStyle name="Separador de milhares 2 28 2" xfId="41669" xr:uid="{00000000-0005-0000-0000-0000C4A20000}"/>
    <cellStyle name="Separador de milhares 2 28 2 2" xfId="41670" xr:uid="{00000000-0005-0000-0000-0000C5A20000}"/>
    <cellStyle name="Separador de milhares 2 28 2 3" xfId="41671" xr:uid="{00000000-0005-0000-0000-0000C6A20000}"/>
    <cellStyle name="Separador de milhares 2 28 2 4" xfId="41672" xr:uid="{00000000-0005-0000-0000-0000C7A20000}"/>
    <cellStyle name="Separador de milhares 2 28 2 5" xfId="41673" xr:uid="{00000000-0005-0000-0000-0000C8A20000}"/>
    <cellStyle name="Separador de milhares 2 28 2 6" xfId="41674" xr:uid="{00000000-0005-0000-0000-0000C9A20000}"/>
    <cellStyle name="Separador de milhares 2 28 3" xfId="41675" xr:uid="{00000000-0005-0000-0000-0000CAA20000}"/>
    <cellStyle name="Separador de milhares 2 28 3 2" xfId="41676" xr:uid="{00000000-0005-0000-0000-0000CBA20000}"/>
    <cellStyle name="Separador de milhares 2 28 3 3" xfId="41677" xr:uid="{00000000-0005-0000-0000-0000CCA20000}"/>
    <cellStyle name="Separador de milhares 2 28 3 4" xfId="41678" xr:uid="{00000000-0005-0000-0000-0000CDA20000}"/>
    <cellStyle name="Separador de milhares 2 28 3 5" xfId="41679" xr:uid="{00000000-0005-0000-0000-0000CEA20000}"/>
    <cellStyle name="Separador de milhares 2 28 3 6" xfId="41680" xr:uid="{00000000-0005-0000-0000-0000CFA20000}"/>
    <cellStyle name="Separador de milhares 2 28 4" xfId="41681" xr:uid="{00000000-0005-0000-0000-0000D0A20000}"/>
    <cellStyle name="Separador de milhares 2 28 4 2" xfId="41682" xr:uid="{00000000-0005-0000-0000-0000D1A20000}"/>
    <cellStyle name="Separador de milhares 2 28 4 3" xfId="41683" xr:uid="{00000000-0005-0000-0000-0000D2A20000}"/>
    <cellStyle name="Separador de milhares 2 28 4 4" xfId="41684" xr:uid="{00000000-0005-0000-0000-0000D3A20000}"/>
    <cellStyle name="Separador de milhares 2 28 4 5" xfId="41685" xr:uid="{00000000-0005-0000-0000-0000D4A20000}"/>
    <cellStyle name="Separador de milhares 2 28 4 6" xfId="41686" xr:uid="{00000000-0005-0000-0000-0000D5A20000}"/>
    <cellStyle name="Separador de milhares 2 28 5" xfId="41687" xr:uid="{00000000-0005-0000-0000-0000D6A20000}"/>
    <cellStyle name="Separador de milhares 2 28 5 2" xfId="41688" xr:uid="{00000000-0005-0000-0000-0000D7A20000}"/>
    <cellStyle name="Separador de milhares 2 28 5 3" xfId="41689" xr:uid="{00000000-0005-0000-0000-0000D8A20000}"/>
    <cellStyle name="Separador de milhares 2 28 5 4" xfId="41690" xr:uid="{00000000-0005-0000-0000-0000D9A20000}"/>
    <cellStyle name="Separador de milhares 2 28 5 5" xfId="41691" xr:uid="{00000000-0005-0000-0000-0000DAA20000}"/>
    <cellStyle name="Separador de milhares 2 28 5 6" xfId="41692" xr:uid="{00000000-0005-0000-0000-0000DBA20000}"/>
    <cellStyle name="Separador de milhares 2 28 6" xfId="41693" xr:uid="{00000000-0005-0000-0000-0000DCA20000}"/>
    <cellStyle name="Separador de milhares 2 28 6 2" xfId="41694" xr:uid="{00000000-0005-0000-0000-0000DDA20000}"/>
    <cellStyle name="Separador de milhares 2 28 6 3" xfId="41695" xr:uid="{00000000-0005-0000-0000-0000DEA20000}"/>
    <cellStyle name="Separador de milhares 2 28 6 4" xfId="41696" xr:uid="{00000000-0005-0000-0000-0000DFA20000}"/>
    <cellStyle name="Separador de milhares 2 28 6 5" xfId="41697" xr:uid="{00000000-0005-0000-0000-0000E0A20000}"/>
    <cellStyle name="Separador de milhares 2 28 6 6" xfId="41698" xr:uid="{00000000-0005-0000-0000-0000E1A20000}"/>
    <cellStyle name="Separador de milhares 2 28 7" xfId="41699" xr:uid="{00000000-0005-0000-0000-0000E2A20000}"/>
    <cellStyle name="Separador de milhares 2 28 7 2" xfId="41700" xr:uid="{00000000-0005-0000-0000-0000E3A20000}"/>
    <cellStyle name="Separador de milhares 2 28 7 3" xfId="41701" xr:uid="{00000000-0005-0000-0000-0000E4A20000}"/>
    <cellStyle name="Separador de milhares 2 28 7 4" xfId="41702" xr:uid="{00000000-0005-0000-0000-0000E5A20000}"/>
    <cellStyle name="Separador de milhares 2 28 7 5" xfId="41703" xr:uid="{00000000-0005-0000-0000-0000E6A20000}"/>
    <cellStyle name="Separador de milhares 2 28 7 6" xfId="41704" xr:uid="{00000000-0005-0000-0000-0000E7A20000}"/>
    <cellStyle name="Separador de milhares 2 28 8" xfId="41705" xr:uid="{00000000-0005-0000-0000-0000E8A20000}"/>
    <cellStyle name="Separador de milhares 2 28 8 2" xfId="41706" xr:uid="{00000000-0005-0000-0000-0000E9A20000}"/>
    <cellStyle name="Separador de milhares 2 28 8 3" xfId="41707" xr:uid="{00000000-0005-0000-0000-0000EAA20000}"/>
    <cellStyle name="Separador de milhares 2 28 8 4" xfId="41708" xr:uid="{00000000-0005-0000-0000-0000EBA20000}"/>
    <cellStyle name="Separador de milhares 2 28 8 5" xfId="41709" xr:uid="{00000000-0005-0000-0000-0000ECA20000}"/>
    <cellStyle name="Separador de milhares 2 28 8 6" xfId="41710" xr:uid="{00000000-0005-0000-0000-0000EDA20000}"/>
    <cellStyle name="Separador de milhares 2 28 9" xfId="41711" xr:uid="{00000000-0005-0000-0000-0000EEA20000}"/>
    <cellStyle name="Separador de milhares 2 29" xfId="41712" xr:uid="{00000000-0005-0000-0000-0000EFA20000}"/>
    <cellStyle name="Separador de milhares 2 29 10" xfId="41713" xr:uid="{00000000-0005-0000-0000-0000F0A20000}"/>
    <cellStyle name="Separador de milhares 2 29 11" xfId="41714" xr:uid="{00000000-0005-0000-0000-0000F1A20000}"/>
    <cellStyle name="Separador de milhares 2 29 12" xfId="41715" xr:uid="{00000000-0005-0000-0000-0000F2A20000}"/>
    <cellStyle name="Separador de milhares 2 29 13" xfId="41716" xr:uid="{00000000-0005-0000-0000-0000F3A20000}"/>
    <cellStyle name="Separador de milhares 2 29 2" xfId="41717" xr:uid="{00000000-0005-0000-0000-0000F4A20000}"/>
    <cellStyle name="Separador de milhares 2 29 2 2" xfId="41718" xr:uid="{00000000-0005-0000-0000-0000F5A20000}"/>
    <cellStyle name="Separador de milhares 2 29 2 3" xfId="41719" xr:uid="{00000000-0005-0000-0000-0000F6A20000}"/>
    <cellStyle name="Separador de milhares 2 29 2 4" xfId="41720" xr:uid="{00000000-0005-0000-0000-0000F7A20000}"/>
    <cellStyle name="Separador de milhares 2 29 2 5" xfId="41721" xr:uid="{00000000-0005-0000-0000-0000F8A20000}"/>
    <cellStyle name="Separador de milhares 2 29 2 6" xfId="41722" xr:uid="{00000000-0005-0000-0000-0000F9A20000}"/>
    <cellStyle name="Separador de milhares 2 29 3" xfId="41723" xr:uid="{00000000-0005-0000-0000-0000FAA20000}"/>
    <cellStyle name="Separador de milhares 2 29 3 2" xfId="41724" xr:uid="{00000000-0005-0000-0000-0000FBA20000}"/>
    <cellStyle name="Separador de milhares 2 29 3 3" xfId="41725" xr:uid="{00000000-0005-0000-0000-0000FCA20000}"/>
    <cellStyle name="Separador de milhares 2 29 3 4" xfId="41726" xr:uid="{00000000-0005-0000-0000-0000FDA20000}"/>
    <cellStyle name="Separador de milhares 2 29 3 5" xfId="41727" xr:uid="{00000000-0005-0000-0000-0000FEA20000}"/>
    <cellStyle name="Separador de milhares 2 29 3 6" xfId="41728" xr:uid="{00000000-0005-0000-0000-0000FFA20000}"/>
    <cellStyle name="Separador de milhares 2 29 4" xfId="41729" xr:uid="{00000000-0005-0000-0000-000000A30000}"/>
    <cellStyle name="Separador de milhares 2 29 4 2" xfId="41730" xr:uid="{00000000-0005-0000-0000-000001A30000}"/>
    <cellStyle name="Separador de milhares 2 29 4 3" xfId="41731" xr:uid="{00000000-0005-0000-0000-000002A30000}"/>
    <cellStyle name="Separador de milhares 2 29 4 4" xfId="41732" xr:uid="{00000000-0005-0000-0000-000003A30000}"/>
    <cellStyle name="Separador de milhares 2 29 4 5" xfId="41733" xr:uid="{00000000-0005-0000-0000-000004A30000}"/>
    <cellStyle name="Separador de milhares 2 29 4 6" xfId="41734" xr:uid="{00000000-0005-0000-0000-000005A30000}"/>
    <cellStyle name="Separador de milhares 2 29 5" xfId="41735" xr:uid="{00000000-0005-0000-0000-000006A30000}"/>
    <cellStyle name="Separador de milhares 2 29 5 2" xfId="41736" xr:uid="{00000000-0005-0000-0000-000007A30000}"/>
    <cellStyle name="Separador de milhares 2 29 5 3" xfId="41737" xr:uid="{00000000-0005-0000-0000-000008A30000}"/>
    <cellStyle name="Separador de milhares 2 29 5 4" xfId="41738" xr:uid="{00000000-0005-0000-0000-000009A30000}"/>
    <cellStyle name="Separador de milhares 2 29 5 5" xfId="41739" xr:uid="{00000000-0005-0000-0000-00000AA30000}"/>
    <cellStyle name="Separador de milhares 2 29 5 6" xfId="41740" xr:uid="{00000000-0005-0000-0000-00000BA30000}"/>
    <cellStyle name="Separador de milhares 2 29 6" xfId="41741" xr:uid="{00000000-0005-0000-0000-00000CA30000}"/>
    <cellStyle name="Separador de milhares 2 29 6 2" xfId="41742" xr:uid="{00000000-0005-0000-0000-00000DA30000}"/>
    <cellStyle name="Separador de milhares 2 29 6 3" xfId="41743" xr:uid="{00000000-0005-0000-0000-00000EA30000}"/>
    <cellStyle name="Separador de milhares 2 29 6 4" xfId="41744" xr:uid="{00000000-0005-0000-0000-00000FA30000}"/>
    <cellStyle name="Separador de milhares 2 29 6 5" xfId="41745" xr:uid="{00000000-0005-0000-0000-000010A30000}"/>
    <cellStyle name="Separador de milhares 2 29 6 6" xfId="41746" xr:uid="{00000000-0005-0000-0000-000011A30000}"/>
    <cellStyle name="Separador de milhares 2 29 7" xfId="41747" xr:uid="{00000000-0005-0000-0000-000012A30000}"/>
    <cellStyle name="Separador de milhares 2 29 7 2" xfId="41748" xr:uid="{00000000-0005-0000-0000-000013A30000}"/>
    <cellStyle name="Separador de milhares 2 29 7 3" xfId="41749" xr:uid="{00000000-0005-0000-0000-000014A30000}"/>
    <cellStyle name="Separador de milhares 2 29 7 4" xfId="41750" xr:uid="{00000000-0005-0000-0000-000015A30000}"/>
    <cellStyle name="Separador de milhares 2 29 7 5" xfId="41751" xr:uid="{00000000-0005-0000-0000-000016A30000}"/>
    <cellStyle name="Separador de milhares 2 29 7 6" xfId="41752" xr:uid="{00000000-0005-0000-0000-000017A30000}"/>
    <cellStyle name="Separador de milhares 2 29 8" xfId="41753" xr:uid="{00000000-0005-0000-0000-000018A30000}"/>
    <cellStyle name="Separador de milhares 2 29 8 2" xfId="41754" xr:uid="{00000000-0005-0000-0000-000019A30000}"/>
    <cellStyle name="Separador de milhares 2 29 8 3" xfId="41755" xr:uid="{00000000-0005-0000-0000-00001AA30000}"/>
    <cellStyle name="Separador de milhares 2 29 8 4" xfId="41756" xr:uid="{00000000-0005-0000-0000-00001BA30000}"/>
    <cellStyle name="Separador de milhares 2 29 8 5" xfId="41757" xr:uid="{00000000-0005-0000-0000-00001CA30000}"/>
    <cellStyle name="Separador de milhares 2 29 8 6" xfId="41758" xr:uid="{00000000-0005-0000-0000-00001DA30000}"/>
    <cellStyle name="Separador de milhares 2 29 9" xfId="41759" xr:uid="{00000000-0005-0000-0000-00001EA30000}"/>
    <cellStyle name="Separador de milhares 2 3" xfId="1132" xr:uid="{00000000-0005-0000-0000-00001FA30000}"/>
    <cellStyle name="Separador de milhares 2 3 10" xfId="41760" xr:uid="{00000000-0005-0000-0000-000020A30000}"/>
    <cellStyle name="Separador de milhares 2 3 11" xfId="41761" xr:uid="{00000000-0005-0000-0000-000021A30000}"/>
    <cellStyle name="Separador de milhares 2 3 12" xfId="41762" xr:uid="{00000000-0005-0000-0000-000022A30000}"/>
    <cellStyle name="Separador de milhares 2 3 13" xfId="41763" xr:uid="{00000000-0005-0000-0000-000023A30000}"/>
    <cellStyle name="Separador de milhares 2 3 14" xfId="41764" xr:uid="{00000000-0005-0000-0000-000024A30000}"/>
    <cellStyle name="Separador de milhares 2 3 2" xfId="41765" xr:uid="{00000000-0005-0000-0000-000025A30000}"/>
    <cellStyle name="Separador de milhares 2 3 2 2" xfId="41766" xr:uid="{00000000-0005-0000-0000-000026A30000}"/>
    <cellStyle name="Separador de milhares 2 3 2 3" xfId="41767" xr:uid="{00000000-0005-0000-0000-000027A30000}"/>
    <cellStyle name="Separador de milhares 2 3 2 4" xfId="41768" xr:uid="{00000000-0005-0000-0000-000028A30000}"/>
    <cellStyle name="Separador de milhares 2 3 2 5" xfId="41769" xr:uid="{00000000-0005-0000-0000-000029A30000}"/>
    <cellStyle name="Separador de milhares 2 3 2 6" xfId="41770" xr:uid="{00000000-0005-0000-0000-00002AA30000}"/>
    <cellStyle name="Separador de milhares 2 3 3" xfId="41771" xr:uid="{00000000-0005-0000-0000-00002BA30000}"/>
    <cellStyle name="Separador de milhares 2 3 3 2" xfId="41772" xr:uid="{00000000-0005-0000-0000-00002CA30000}"/>
    <cellStyle name="Separador de milhares 2 3 3 3" xfId="41773" xr:uid="{00000000-0005-0000-0000-00002DA30000}"/>
    <cellStyle name="Separador de milhares 2 3 3 4" xfId="41774" xr:uid="{00000000-0005-0000-0000-00002EA30000}"/>
    <cellStyle name="Separador de milhares 2 3 3 5" xfId="41775" xr:uid="{00000000-0005-0000-0000-00002FA30000}"/>
    <cellStyle name="Separador de milhares 2 3 3 6" xfId="41776" xr:uid="{00000000-0005-0000-0000-000030A30000}"/>
    <cellStyle name="Separador de milhares 2 3 4" xfId="41777" xr:uid="{00000000-0005-0000-0000-000031A30000}"/>
    <cellStyle name="Separador de milhares 2 3 4 2" xfId="41778" xr:uid="{00000000-0005-0000-0000-000032A30000}"/>
    <cellStyle name="Separador de milhares 2 3 4 3" xfId="41779" xr:uid="{00000000-0005-0000-0000-000033A30000}"/>
    <cellStyle name="Separador de milhares 2 3 4 4" xfId="41780" xr:uid="{00000000-0005-0000-0000-000034A30000}"/>
    <cellStyle name="Separador de milhares 2 3 4 5" xfId="41781" xr:uid="{00000000-0005-0000-0000-000035A30000}"/>
    <cellStyle name="Separador de milhares 2 3 4 6" xfId="41782" xr:uid="{00000000-0005-0000-0000-000036A30000}"/>
    <cellStyle name="Separador de milhares 2 3 5" xfId="41783" xr:uid="{00000000-0005-0000-0000-000037A30000}"/>
    <cellStyle name="Separador de milhares 2 3 5 2" xfId="41784" xr:uid="{00000000-0005-0000-0000-000038A30000}"/>
    <cellStyle name="Separador de milhares 2 3 5 3" xfId="41785" xr:uid="{00000000-0005-0000-0000-000039A30000}"/>
    <cellStyle name="Separador de milhares 2 3 5 4" xfId="41786" xr:uid="{00000000-0005-0000-0000-00003AA30000}"/>
    <cellStyle name="Separador de milhares 2 3 5 5" xfId="41787" xr:uid="{00000000-0005-0000-0000-00003BA30000}"/>
    <cellStyle name="Separador de milhares 2 3 5 6" xfId="41788" xr:uid="{00000000-0005-0000-0000-00003CA30000}"/>
    <cellStyle name="Separador de milhares 2 3 6" xfId="41789" xr:uid="{00000000-0005-0000-0000-00003DA30000}"/>
    <cellStyle name="Separador de milhares 2 3 6 2" xfId="41790" xr:uid="{00000000-0005-0000-0000-00003EA30000}"/>
    <cellStyle name="Separador de milhares 2 3 6 3" xfId="41791" xr:uid="{00000000-0005-0000-0000-00003FA30000}"/>
    <cellStyle name="Separador de milhares 2 3 6 4" xfId="41792" xr:uid="{00000000-0005-0000-0000-000040A30000}"/>
    <cellStyle name="Separador de milhares 2 3 6 5" xfId="41793" xr:uid="{00000000-0005-0000-0000-000041A30000}"/>
    <cellStyle name="Separador de milhares 2 3 6 6" xfId="41794" xr:uid="{00000000-0005-0000-0000-000042A30000}"/>
    <cellStyle name="Separador de milhares 2 3 7" xfId="41795" xr:uid="{00000000-0005-0000-0000-000043A30000}"/>
    <cellStyle name="Separador de milhares 2 3 7 2" xfId="41796" xr:uid="{00000000-0005-0000-0000-000044A30000}"/>
    <cellStyle name="Separador de milhares 2 3 7 3" xfId="41797" xr:uid="{00000000-0005-0000-0000-000045A30000}"/>
    <cellStyle name="Separador de milhares 2 3 7 4" xfId="41798" xr:uid="{00000000-0005-0000-0000-000046A30000}"/>
    <cellStyle name="Separador de milhares 2 3 7 5" xfId="41799" xr:uid="{00000000-0005-0000-0000-000047A30000}"/>
    <cellStyle name="Separador de milhares 2 3 7 6" xfId="41800" xr:uid="{00000000-0005-0000-0000-000048A30000}"/>
    <cellStyle name="Separador de milhares 2 3 8" xfId="41801" xr:uid="{00000000-0005-0000-0000-000049A30000}"/>
    <cellStyle name="Separador de milhares 2 3 8 2" xfId="41802" xr:uid="{00000000-0005-0000-0000-00004AA30000}"/>
    <cellStyle name="Separador de milhares 2 3 8 3" xfId="41803" xr:uid="{00000000-0005-0000-0000-00004BA30000}"/>
    <cellStyle name="Separador de milhares 2 3 8 4" xfId="41804" xr:uid="{00000000-0005-0000-0000-00004CA30000}"/>
    <cellStyle name="Separador de milhares 2 3 8 5" xfId="41805" xr:uid="{00000000-0005-0000-0000-00004DA30000}"/>
    <cellStyle name="Separador de milhares 2 3 8 6" xfId="41806" xr:uid="{00000000-0005-0000-0000-00004EA30000}"/>
    <cellStyle name="Separador de milhares 2 3 9" xfId="41807" xr:uid="{00000000-0005-0000-0000-00004FA30000}"/>
    <cellStyle name="Separador de milhares 2 30" xfId="41808" xr:uid="{00000000-0005-0000-0000-000050A30000}"/>
    <cellStyle name="Separador de milhares 2 30 10" xfId="41809" xr:uid="{00000000-0005-0000-0000-000051A30000}"/>
    <cellStyle name="Separador de milhares 2 30 11" xfId="41810" xr:uid="{00000000-0005-0000-0000-000052A30000}"/>
    <cellStyle name="Separador de milhares 2 30 12" xfId="41811" xr:uid="{00000000-0005-0000-0000-000053A30000}"/>
    <cellStyle name="Separador de milhares 2 30 13" xfId="41812" xr:uid="{00000000-0005-0000-0000-000054A30000}"/>
    <cellStyle name="Separador de milhares 2 30 2" xfId="41813" xr:uid="{00000000-0005-0000-0000-000055A30000}"/>
    <cellStyle name="Separador de milhares 2 30 2 2" xfId="41814" xr:uid="{00000000-0005-0000-0000-000056A30000}"/>
    <cellStyle name="Separador de milhares 2 30 2 3" xfId="41815" xr:uid="{00000000-0005-0000-0000-000057A30000}"/>
    <cellStyle name="Separador de milhares 2 30 2 4" xfId="41816" xr:uid="{00000000-0005-0000-0000-000058A30000}"/>
    <cellStyle name="Separador de milhares 2 30 2 5" xfId="41817" xr:uid="{00000000-0005-0000-0000-000059A30000}"/>
    <cellStyle name="Separador de milhares 2 30 2 6" xfId="41818" xr:uid="{00000000-0005-0000-0000-00005AA30000}"/>
    <cellStyle name="Separador de milhares 2 30 3" xfId="41819" xr:uid="{00000000-0005-0000-0000-00005BA30000}"/>
    <cellStyle name="Separador de milhares 2 30 3 2" xfId="41820" xr:uid="{00000000-0005-0000-0000-00005CA30000}"/>
    <cellStyle name="Separador de milhares 2 30 3 3" xfId="41821" xr:uid="{00000000-0005-0000-0000-00005DA30000}"/>
    <cellStyle name="Separador de milhares 2 30 3 4" xfId="41822" xr:uid="{00000000-0005-0000-0000-00005EA30000}"/>
    <cellStyle name="Separador de milhares 2 30 3 5" xfId="41823" xr:uid="{00000000-0005-0000-0000-00005FA30000}"/>
    <cellStyle name="Separador de milhares 2 30 3 6" xfId="41824" xr:uid="{00000000-0005-0000-0000-000060A30000}"/>
    <cellStyle name="Separador de milhares 2 30 4" xfId="41825" xr:uid="{00000000-0005-0000-0000-000061A30000}"/>
    <cellStyle name="Separador de milhares 2 30 4 2" xfId="41826" xr:uid="{00000000-0005-0000-0000-000062A30000}"/>
    <cellStyle name="Separador de milhares 2 30 4 3" xfId="41827" xr:uid="{00000000-0005-0000-0000-000063A30000}"/>
    <cellStyle name="Separador de milhares 2 30 4 4" xfId="41828" xr:uid="{00000000-0005-0000-0000-000064A30000}"/>
    <cellStyle name="Separador de milhares 2 30 4 5" xfId="41829" xr:uid="{00000000-0005-0000-0000-000065A30000}"/>
    <cellStyle name="Separador de milhares 2 30 4 6" xfId="41830" xr:uid="{00000000-0005-0000-0000-000066A30000}"/>
    <cellStyle name="Separador de milhares 2 30 5" xfId="41831" xr:uid="{00000000-0005-0000-0000-000067A30000}"/>
    <cellStyle name="Separador de milhares 2 30 5 2" xfId="41832" xr:uid="{00000000-0005-0000-0000-000068A30000}"/>
    <cellStyle name="Separador de milhares 2 30 5 3" xfId="41833" xr:uid="{00000000-0005-0000-0000-000069A30000}"/>
    <cellStyle name="Separador de milhares 2 30 5 4" xfId="41834" xr:uid="{00000000-0005-0000-0000-00006AA30000}"/>
    <cellStyle name="Separador de milhares 2 30 5 5" xfId="41835" xr:uid="{00000000-0005-0000-0000-00006BA30000}"/>
    <cellStyle name="Separador de milhares 2 30 5 6" xfId="41836" xr:uid="{00000000-0005-0000-0000-00006CA30000}"/>
    <cellStyle name="Separador de milhares 2 30 6" xfId="41837" xr:uid="{00000000-0005-0000-0000-00006DA30000}"/>
    <cellStyle name="Separador de milhares 2 30 6 2" xfId="41838" xr:uid="{00000000-0005-0000-0000-00006EA30000}"/>
    <cellStyle name="Separador de milhares 2 30 6 3" xfId="41839" xr:uid="{00000000-0005-0000-0000-00006FA30000}"/>
    <cellStyle name="Separador de milhares 2 30 6 4" xfId="41840" xr:uid="{00000000-0005-0000-0000-000070A30000}"/>
    <cellStyle name="Separador de milhares 2 30 6 5" xfId="41841" xr:uid="{00000000-0005-0000-0000-000071A30000}"/>
    <cellStyle name="Separador de milhares 2 30 6 6" xfId="41842" xr:uid="{00000000-0005-0000-0000-000072A30000}"/>
    <cellStyle name="Separador de milhares 2 30 7" xfId="41843" xr:uid="{00000000-0005-0000-0000-000073A30000}"/>
    <cellStyle name="Separador de milhares 2 30 7 2" xfId="41844" xr:uid="{00000000-0005-0000-0000-000074A30000}"/>
    <cellStyle name="Separador de milhares 2 30 7 3" xfId="41845" xr:uid="{00000000-0005-0000-0000-000075A30000}"/>
    <cellStyle name="Separador de milhares 2 30 7 4" xfId="41846" xr:uid="{00000000-0005-0000-0000-000076A30000}"/>
    <cellStyle name="Separador de milhares 2 30 7 5" xfId="41847" xr:uid="{00000000-0005-0000-0000-000077A30000}"/>
    <cellStyle name="Separador de milhares 2 30 7 6" xfId="41848" xr:uid="{00000000-0005-0000-0000-000078A30000}"/>
    <cellStyle name="Separador de milhares 2 30 8" xfId="41849" xr:uid="{00000000-0005-0000-0000-000079A30000}"/>
    <cellStyle name="Separador de milhares 2 30 8 2" xfId="41850" xr:uid="{00000000-0005-0000-0000-00007AA30000}"/>
    <cellStyle name="Separador de milhares 2 30 8 3" xfId="41851" xr:uid="{00000000-0005-0000-0000-00007BA30000}"/>
    <cellStyle name="Separador de milhares 2 30 8 4" xfId="41852" xr:uid="{00000000-0005-0000-0000-00007CA30000}"/>
    <cellStyle name="Separador de milhares 2 30 8 5" xfId="41853" xr:uid="{00000000-0005-0000-0000-00007DA30000}"/>
    <cellStyle name="Separador de milhares 2 30 8 6" xfId="41854" xr:uid="{00000000-0005-0000-0000-00007EA30000}"/>
    <cellStyle name="Separador de milhares 2 30 9" xfId="41855" xr:uid="{00000000-0005-0000-0000-00007FA30000}"/>
    <cellStyle name="Separador de milhares 2 31" xfId="41856" xr:uid="{00000000-0005-0000-0000-000080A30000}"/>
    <cellStyle name="Separador de milhares 2 31 10" xfId="41857" xr:uid="{00000000-0005-0000-0000-000081A30000}"/>
    <cellStyle name="Separador de milhares 2 31 11" xfId="41858" xr:uid="{00000000-0005-0000-0000-000082A30000}"/>
    <cellStyle name="Separador de milhares 2 31 12" xfId="41859" xr:uid="{00000000-0005-0000-0000-000083A30000}"/>
    <cellStyle name="Separador de milhares 2 31 13" xfId="41860" xr:uid="{00000000-0005-0000-0000-000084A30000}"/>
    <cellStyle name="Separador de milhares 2 31 2" xfId="41861" xr:uid="{00000000-0005-0000-0000-000085A30000}"/>
    <cellStyle name="Separador de milhares 2 31 2 2" xfId="41862" xr:uid="{00000000-0005-0000-0000-000086A30000}"/>
    <cellStyle name="Separador de milhares 2 31 2 3" xfId="41863" xr:uid="{00000000-0005-0000-0000-000087A30000}"/>
    <cellStyle name="Separador de milhares 2 31 2 4" xfId="41864" xr:uid="{00000000-0005-0000-0000-000088A30000}"/>
    <cellStyle name="Separador de milhares 2 31 2 5" xfId="41865" xr:uid="{00000000-0005-0000-0000-000089A30000}"/>
    <cellStyle name="Separador de milhares 2 31 2 6" xfId="41866" xr:uid="{00000000-0005-0000-0000-00008AA30000}"/>
    <cellStyle name="Separador de milhares 2 31 3" xfId="41867" xr:uid="{00000000-0005-0000-0000-00008BA30000}"/>
    <cellStyle name="Separador de milhares 2 31 3 2" xfId="41868" xr:uid="{00000000-0005-0000-0000-00008CA30000}"/>
    <cellStyle name="Separador de milhares 2 31 3 3" xfId="41869" xr:uid="{00000000-0005-0000-0000-00008DA30000}"/>
    <cellStyle name="Separador de milhares 2 31 3 4" xfId="41870" xr:uid="{00000000-0005-0000-0000-00008EA30000}"/>
    <cellStyle name="Separador de milhares 2 31 3 5" xfId="41871" xr:uid="{00000000-0005-0000-0000-00008FA30000}"/>
    <cellStyle name="Separador de milhares 2 31 3 6" xfId="41872" xr:uid="{00000000-0005-0000-0000-000090A30000}"/>
    <cellStyle name="Separador de milhares 2 31 4" xfId="41873" xr:uid="{00000000-0005-0000-0000-000091A30000}"/>
    <cellStyle name="Separador de milhares 2 31 4 2" xfId="41874" xr:uid="{00000000-0005-0000-0000-000092A30000}"/>
    <cellStyle name="Separador de milhares 2 31 4 3" xfId="41875" xr:uid="{00000000-0005-0000-0000-000093A30000}"/>
    <cellStyle name="Separador de milhares 2 31 4 4" xfId="41876" xr:uid="{00000000-0005-0000-0000-000094A30000}"/>
    <cellStyle name="Separador de milhares 2 31 4 5" xfId="41877" xr:uid="{00000000-0005-0000-0000-000095A30000}"/>
    <cellStyle name="Separador de milhares 2 31 4 6" xfId="41878" xr:uid="{00000000-0005-0000-0000-000096A30000}"/>
    <cellStyle name="Separador de milhares 2 31 5" xfId="41879" xr:uid="{00000000-0005-0000-0000-000097A30000}"/>
    <cellStyle name="Separador de milhares 2 31 5 2" xfId="41880" xr:uid="{00000000-0005-0000-0000-000098A30000}"/>
    <cellStyle name="Separador de milhares 2 31 5 3" xfId="41881" xr:uid="{00000000-0005-0000-0000-000099A30000}"/>
    <cellStyle name="Separador de milhares 2 31 5 4" xfId="41882" xr:uid="{00000000-0005-0000-0000-00009AA30000}"/>
    <cellStyle name="Separador de milhares 2 31 5 5" xfId="41883" xr:uid="{00000000-0005-0000-0000-00009BA30000}"/>
    <cellStyle name="Separador de milhares 2 31 5 6" xfId="41884" xr:uid="{00000000-0005-0000-0000-00009CA30000}"/>
    <cellStyle name="Separador de milhares 2 31 6" xfId="41885" xr:uid="{00000000-0005-0000-0000-00009DA30000}"/>
    <cellStyle name="Separador de milhares 2 31 6 2" xfId="41886" xr:uid="{00000000-0005-0000-0000-00009EA30000}"/>
    <cellStyle name="Separador de milhares 2 31 6 3" xfId="41887" xr:uid="{00000000-0005-0000-0000-00009FA30000}"/>
    <cellStyle name="Separador de milhares 2 31 6 4" xfId="41888" xr:uid="{00000000-0005-0000-0000-0000A0A30000}"/>
    <cellStyle name="Separador de milhares 2 31 6 5" xfId="41889" xr:uid="{00000000-0005-0000-0000-0000A1A30000}"/>
    <cellStyle name="Separador de milhares 2 31 6 6" xfId="41890" xr:uid="{00000000-0005-0000-0000-0000A2A30000}"/>
    <cellStyle name="Separador de milhares 2 31 7" xfId="41891" xr:uid="{00000000-0005-0000-0000-0000A3A30000}"/>
    <cellStyle name="Separador de milhares 2 31 7 2" xfId="41892" xr:uid="{00000000-0005-0000-0000-0000A4A30000}"/>
    <cellStyle name="Separador de milhares 2 31 7 3" xfId="41893" xr:uid="{00000000-0005-0000-0000-0000A5A30000}"/>
    <cellStyle name="Separador de milhares 2 31 7 4" xfId="41894" xr:uid="{00000000-0005-0000-0000-0000A6A30000}"/>
    <cellStyle name="Separador de milhares 2 31 7 5" xfId="41895" xr:uid="{00000000-0005-0000-0000-0000A7A30000}"/>
    <cellStyle name="Separador de milhares 2 31 7 6" xfId="41896" xr:uid="{00000000-0005-0000-0000-0000A8A30000}"/>
    <cellStyle name="Separador de milhares 2 31 8" xfId="41897" xr:uid="{00000000-0005-0000-0000-0000A9A30000}"/>
    <cellStyle name="Separador de milhares 2 31 8 2" xfId="41898" xr:uid="{00000000-0005-0000-0000-0000AAA30000}"/>
    <cellStyle name="Separador de milhares 2 31 8 3" xfId="41899" xr:uid="{00000000-0005-0000-0000-0000ABA30000}"/>
    <cellStyle name="Separador de milhares 2 31 8 4" xfId="41900" xr:uid="{00000000-0005-0000-0000-0000ACA30000}"/>
    <cellStyle name="Separador de milhares 2 31 8 5" xfId="41901" xr:uid="{00000000-0005-0000-0000-0000ADA30000}"/>
    <cellStyle name="Separador de milhares 2 31 8 6" xfId="41902" xr:uid="{00000000-0005-0000-0000-0000AEA30000}"/>
    <cellStyle name="Separador de milhares 2 31 9" xfId="41903" xr:uid="{00000000-0005-0000-0000-0000AFA30000}"/>
    <cellStyle name="Separador de milhares 2 32" xfId="41904" xr:uid="{00000000-0005-0000-0000-0000B0A30000}"/>
    <cellStyle name="Separador de milhares 2 32 10" xfId="41905" xr:uid="{00000000-0005-0000-0000-0000B1A30000}"/>
    <cellStyle name="Separador de milhares 2 32 11" xfId="41906" xr:uid="{00000000-0005-0000-0000-0000B2A30000}"/>
    <cellStyle name="Separador de milhares 2 32 12" xfId="41907" xr:uid="{00000000-0005-0000-0000-0000B3A30000}"/>
    <cellStyle name="Separador de milhares 2 32 13" xfId="41908" xr:uid="{00000000-0005-0000-0000-0000B4A30000}"/>
    <cellStyle name="Separador de milhares 2 32 2" xfId="41909" xr:uid="{00000000-0005-0000-0000-0000B5A30000}"/>
    <cellStyle name="Separador de milhares 2 32 2 2" xfId="41910" xr:uid="{00000000-0005-0000-0000-0000B6A30000}"/>
    <cellStyle name="Separador de milhares 2 32 2 3" xfId="41911" xr:uid="{00000000-0005-0000-0000-0000B7A30000}"/>
    <cellStyle name="Separador de milhares 2 32 2 4" xfId="41912" xr:uid="{00000000-0005-0000-0000-0000B8A30000}"/>
    <cellStyle name="Separador de milhares 2 32 2 5" xfId="41913" xr:uid="{00000000-0005-0000-0000-0000B9A30000}"/>
    <cellStyle name="Separador de milhares 2 32 2 6" xfId="41914" xr:uid="{00000000-0005-0000-0000-0000BAA30000}"/>
    <cellStyle name="Separador de milhares 2 32 3" xfId="41915" xr:uid="{00000000-0005-0000-0000-0000BBA30000}"/>
    <cellStyle name="Separador de milhares 2 32 3 2" xfId="41916" xr:uid="{00000000-0005-0000-0000-0000BCA30000}"/>
    <cellStyle name="Separador de milhares 2 32 3 3" xfId="41917" xr:uid="{00000000-0005-0000-0000-0000BDA30000}"/>
    <cellStyle name="Separador de milhares 2 32 3 4" xfId="41918" xr:uid="{00000000-0005-0000-0000-0000BEA30000}"/>
    <cellStyle name="Separador de milhares 2 32 3 5" xfId="41919" xr:uid="{00000000-0005-0000-0000-0000BFA30000}"/>
    <cellStyle name="Separador de milhares 2 32 3 6" xfId="41920" xr:uid="{00000000-0005-0000-0000-0000C0A30000}"/>
    <cellStyle name="Separador de milhares 2 32 4" xfId="41921" xr:uid="{00000000-0005-0000-0000-0000C1A30000}"/>
    <cellStyle name="Separador de milhares 2 32 4 2" xfId="41922" xr:uid="{00000000-0005-0000-0000-0000C2A30000}"/>
    <cellStyle name="Separador de milhares 2 32 4 3" xfId="41923" xr:uid="{00000000-0005-0000-0000-0000C3A30000}"/>
    <cellStyle name="Separador de milhares 2 32 4 4" xfId="41924" xr:uid="{00000000-0005-0000-0000-0000C4A30000}"/>
    <cellStyle name="Separador de milhares 2 32 4 5" xfId="41925" xr:uid="{00000000-0005-0000-0000-0000C5A30000}"/>
    <cellStyle name="Separador de milhares 2 32 4 6" xfId="41926" xr:uid="{00000000-0005-0000-0000-0000C6A30000}"/>
    <cellStyle name="Separador de milhares 2 32 5" xfId="41927" xr:uid="{00000000-0005-0000-0000-0000C7A30000}"/>
    <cellStyle name="Separador de milhares 2 32 5 2" xfId="41928" xr:uid="{00000000-0005-0000-0000-0000C8A30000}"/>
    <cellStyle name="Separador de milhares 2 32 5 3" xfId="41929" xr:uid="{00000000-0005-0000-0000-0000C9A30000}"/>
    <cellStyle name="Separador de milhares 2 32 5 4" xfId="41930" xr:uid="{00000000-0005-0000-0000-0000CAA30000}"/>
    <cellStyle name="Separador de milhares 2 32 5 5" xfId="41931" xr:uid="{00000000-0005-0000-0000-0000CBA30000}"/>
    <cellStyle name="Separador de milhares 2 32 5 6" xfId="41932" xr:uid="{00000000-0005-0000-0000-0000CCA30000}"/>
    <cellStyle name="Separador de milhares 2 32 6" xfId="41933" xr:uid="{00000000-0005-0000-0000-0000CDA30000}"/>
    <cellStyle name="Separador de milhares 2 32 6 2" xfId="41934" xr:uid="{00000000-0005-0000-0000-0000CEA30000}"/>
    <cellStyle name="Separador de milhares 2 32 6 3" xfId="41935" xr:uid="{00000000-0005-0000-0000-0000CFA30000}"/>
    <cellStyle name="Separador de milhares 2 32 6 4" xfId="41936" xr:uid="{00000000-0005-0000-0000-0000D0A30000}"/>
    <cellStyle name="Separador de milhares 2 32 6 5" xfId="41937" xr:uid="{00000000-0005-0000-0000-0000D1A30000}"/>
    <cellStyle name="Separador de milhares 2 32 6 6" xfId="41938" xr:uid="{00000000-0005-0000-0000-0000D2A30000}"/>
    <cellStyle name="Separador de milhares 2 32 7" xfId="41939" xr:uid="{00000000-0005-0000-0000-0000D3A30000}"/>
    <cellStyle name="Separador de milhares 2 32 7 2" xfId="41940" xr:uid="{00000000-0005-0000-0000-0000D4A30000}"/>
    <cellStyle name="Separador de milhares 2 32 7 3" xfId="41941" xr:uid="{00000000-0005-0000-0000-0000D5A30000}"/>
    <cellStyle name="Separador de milhares 2 32 7 4" xfId="41942" xr:uid="{00000000-0005-0000-0000-0000D6A30000}"/>
    <cellStyle name="Separador de milhares 2 32 7 5" xfId="41943" xr:uid="{00000000-0005-0000-0000-0000D7A30000}"/>
    <cellStyle name="Separador de milhares 2 32 7 6" xfId="41944" xr:uid="{00000000-0005-0000-0000-0000D8A30000}"/>
    <cellStyle name="Separador de milhares 2 32 8" xfId="41945" xr:uid="{00000000-0005-0000-0000-0000D9A30000}"/>
    <cellStyle name="Separador de milhares 2 32 8 2" xfId="41946" xr:uid="{00000000-0005-0000-0000-0000DAA30000}"/>
    <cellStyle name="Separador de milhares 2 32 8 3" xfId="41947" xr:uid="{00000000-0005-0000-0000-0000DBA30000}"/>
    <cellStyle name="Separador de milhares 2 32 8 4" xfId="41948" xr:uid="{00000000-0005-0000-0000-0000DCA30000}"/>
    <cellStyle name="Separador de milhares 2 32 8 5" xfId="41949" xr:uid="{00000000-0005-0000-0000-0000DDA30000}"/>
    <cellStyle name="Separador de milhares 2 32 8 6" xfId="41950" xr:uid="{00000000-0005-0000-0000-0000DEA30000}"/>
    <cellStyle name="Separador de milhares 2 32 9" xfId="41951" xr:uid="{00000000-0005-0000-0000-0000DFA30000}"/>
    <cellStyle name="Separador de milhares 2 33" xfId="41952" xr:uid="{00000000-0005-0000-0000-0000E0A30000}"/>
    <cellStyle name="Separador de milhares 2 33 10" xfId="41953" xr:uid="{00000000-0005-0000-0000-0000E1A30000}"/>
    <cellStyle name="Separador de milhares 2 33 11" xfId="41954" xr:uid="{00000000-0005-0000-0000-0000E2A30000}"/>
    <cellStyle name="Separador de milhares 2 33 12" xfId="41955" xr:uid="{00000000-0005-0000-0000-0000E3A30000}"/>
    <cellStyle name="Separador de milhares 2 33 13" xfId="41956" xr:uid="{00000000-0005-0000-0000-0000E4A30000}"/>
    <cellStyle name="Separador de milhares 2 33 2" xfId="41957" xr:uid="{00000000-0005-0000-0000-0000E5A30000}"/>
    <cellStyle name="Separador de milhares 2 33 2 2" xfId="41958" xr:uid="{00000000-0005-0000-0000-0000E6A30000}"/>
    <cellStyle name="Separador de milhares 2 33 2 3" xfId="41959" xr:uid="{00000000-0005-0000-0000-0000E7A30000}"/>
    <cellStyle name="Separador de milhares 2 33 2 4" xfId="41960" xr:uid="{00000000-0005-0000-0000-0000E8A30000}"/>
    <cellStyle name="Separador de milhares 2 33 2 5" xfId="41961" xr:uid="{00000000-0005-0000-0000-0000E9A30000}"/>
    <cellStyle name="Separador de milhares 2 33 2 6" xfId="41962" xr:uid="{00000000-0005-0000-0000-0000EAA30000}"/>
    <cellStyle name="Separador de milhares 2 33 3" xfId="41963" xr:uid="{00000000-0005-0000-0000-0000EBA30000}"/>
    <cellStyle name="Separador de milhares 2 33 3 2" xfId="41964" xr:uid="{00000000-0005-0000-0000-0000ECA30000}"/>
    <cellStyle name="Separador de milhares 2 33 3 3" xfId="41965" xr:uid="{00000000-0005-0000-0000-0000EDA30000}"/>
    <cellStyle name="Separador de milhares 2 33 3 4" xfId="41966" xr:uid="{00000000-0005-0000-0000-0000EEA30000}"/>
    <cellStyle name="Separador de milhares 2 33 3 5" xfId="41967" xr:uid="{00000000-0005-0000-0000-0000EFA30000}"/>
    <cellStyle name="Separador de milhares 2 33 3 6" xfId="41968" xr:uid="{00000000-0005-0000-0000-0000F0A30000}"/>
    <cellStyle name="Separador de milhares 2 33 4" xfId="41969" xr:uid="{00000000-0005-0000-0000-0000F1A30000}"/>
    <cellStyle name="Separador de milhares 2 33 4 2" xfId="41970" xr:uid="{00000000-0005-0000-0000-0000F2A30000}"/>
    <cellStyle name="Separador de milhares 2 33 4 3" xfId="41971" xr:uid="{00000000-0005-0000-0000-0000F3A30000}"/>
    <cellStyle name="Separador de milhares 2 33 4 4" xfId="41972" xr:uid="{00000000-0005-0000-0000-0000F4A30000}"/>
    <cellStyle name="Separador de milhares 2 33 4 5" xfId="41973" xr:uid="{00000000-0005-0000-0000-0000F5A30000}"/>
    <cellStyle name="Separador de milhares 2 33 4 6" xfId="41974" xr:uid="{00000000-0005-0000-0000-0000F6A30000}"/>
    <cellStyle name="Separador de milhares 2 33 5" xfId="41975" xr:uid="{00000000-0005-0000-0000-0000F7A30000}"/>
    <cellStyle name="Separador de milhares 2 33 5 2" xfId="41976" xr:uid="{00000000-0005-0000-0000-0000F8A30000}"/>
    <cellStyle name="Separador de milhares 2 33 5 3" xfId="41977" xr:uid="{00000000-0005-0000-0000-0000F9A30000}"/>
    <cellStyle name="Separador de milhares 2 33 5 4" xfId="41978" xr:uid="{00000000-0005-0000-0000-0000FAA30000}"/>
    <cellStyle name="Separador de milhares 2 33 5 5" xfId="41979" xr:uid="{00000000-0005-0000-0000-0000FBA30000}"/>
    <cellStyle name="Separador de milhares 2 33 5 6" xfId="41980" xr:uid="{00000000-0005-0000-0000-0000FCA30000}"/>
    <cellStyle name="Separador de milhares 2 33 6" xfId="41981" xr:uid="{00000000-0005-0000-0000-0000FDA30000}"/>
    <cellStyle name="Separador de milhares 2 33 6 2" xfId="41982" xr:uid="{00000000-0005-0000-0000-0000FEA30000}"/>
    <cellStyle name="Separador de milhares 2 33 6 3" xfId="41983" xr:uid="{00000000-0005-0000-0000-0000FFA30000}"/>
    <cellStyle name="Separador de milhares 2 33 6 4" xfId="41984" xr:uid="{00000000-0005-0000-0000-000000A40000}"/>
    <cellStyle name="Separador de milhares 2 33 6 5" xfId="41985" xr:uid="{00000000-0005-0000-0000-000001A40000}"/>
    <cellStyle name="Separador de milhares 2 33 6 6" xfId="41986" xr:uid="{00000000-0005-0000-0000-000002A40000}"/>
    <cellStyle name="Separador de milhares 2 33 7" xfId="41987" xr:uid="{00000000-0005-0000-0000-000003A40000}"/>
    <cellStyle name="Separador de milhares 2 33 7 2" xfId="41988" xr:uid="{00000000-0005-0000-0000-000004A40000}"/>
    <cellStyle name="Separador de milhares 2 33 7 3" xfId="41989" xr:uid="{00000000-0005-0000-0000-000005A40000}"/>
    <cellStyle name="Separador de milhares 2 33 7 4" xfId="41990" xr:uid="{00000000-0005-0000-0000-000006A40000}"/>
    <cellStyle name="Separador de milhares 2 33 7 5" xfId="41991" xr:uid="{00000000-0005-0000-0000-000007A40000}"/>
    <cellStyle name="Separador de milhares 2 33 7 6" xfId="41992" xr:uid="{00000000-0005-0000-0000-000008A40000}"/>
    <cellStyle name="Separador de milhares 2 33 8" xfId="41993" xr:uid="{00000000-0005-0000-0000-000009A40000}"/>
    <cellStyle name="Separador de milhares 2 33 8 2" xfId="41994" xr:uid="{00000000-0005-0000-0000-00000AA40000}"/>
    <cellStyle name="Separador de milhares 2 33 8 3" xfId="41995" xr:uid="{00000000-0005-0000-0000-00000BA40000}"/>
    <cellStyle name="Separador de milhares 2 33 8 4" xfId="41996" xr:uid="{00000000-0005-0000-0000-00000CA40000}"/>
    <cellStyle name="Separador de milhares 2 33 8 5" xfId="41997" xr:uid="{00000000-0005-0000-0000-00000DA40000}"/>
    <cellStyle name="Separador de milhares 2 33 8 6" xfId="41998" xr:uid="{00000000-0005-0000-0000-00000EA40000}"/>
    <cellStyle name="Separador de milhares 2 33 9" xfId="41999" xr:uid="{00000000-0005-0000-0000-00000FA40000}"/>
    <cellStyle name="Separador de milhares 2 34" xfId="42000" xr:uid="{00000000-0005-0000-0000-000010A40000}"/>
    <cellStyle name="Separador de milhares 2 34 2" xfId="42001" xr:uid="{00000000-0005-0000-0000-000011A40000}"/>
    <cellStyle name="Separador de milhares 2 34 3" xfId="42002" xr:uid="{00000000-0005-0000-0000-000012A40000}"/>
    <cellStyle name="Separador de milhares 2 34 4" xfId="42003" xr:uid="{00000000-0005-0000-0000-000013A40000}"/>
    <cellStyle name="Separador de milhares 2 34 5" xfId="42004" xr:uid="{00000000-0005-0000-0000-000014A40000}"/>
    <cellStyle name="Separador de milhares 2 34 6" xfId="42005" xr:uid="{00000000-0005-0000-0000-000015A40000}"/>
    <cellStyle name="Separador de milhares 2 35" xfId="42006" xr:uid="{00000000-0005-0000-0000-000016A40000}"/>
    <cellStyle name="Separador de milhares 2 35 2" xfId="42007" xr:uid="{00000000-0005-0000-0000-000017A40000}"/>
    <cellStyle name="Separador de milhares 2 35 3" xfId="42008" xr:uid="{00000000-0005-0000-0000-000018A40000}"/>
    <cellStyle name="Separador de milhares 2 35 4" xfId="42009" xr:uid="{00000000-0005-0000-0000-000019A40000}"/>
    <cellStyle name="Separador de milhares 2 35 5" xfId="42010" xr:uid="{00000000-0005-0000-0000-00001AA40000}"/>
    <cellStyle name="Separador de milhares 2 35 6" xfId="42011" xr:uid="{00000000-0005-0000-0000-00001BA40000}"/>
    <cellStyle name="Separador de milhares 2 36" xfId="42012" xr:uid="{00000000-0005-0000-0000-00001CA40000}"/>
    <cellStyle name="Separador de milhares 2 36 2" xfId="42013" xr:uid="{00000000-0005-0000-0000-00001DA40000}"/>
    <cellStyle name="Separador de milhares 2 36 3" xfId="42014" xr:uid="{00000000-0005-0000-0000-00001EA40000}"/>
    <cellStyle name="Separador de milhares 2 36 4" xfId="42015" xr:uid="{00000000-0005-0000-0000-00001FA40000}"/>
    <cellStyle name="Separador de milhares 2 36 5" xfId="42016" xr:uid="{00000000-0005-0000-0000-000020A40000}"/>
    <cellStyle name="Separador de milhares 2 36 6" xfId="42017" xr:uid="{00000000-0005-0000-0000-000021A40000}"/>
    <cellStyle name="Separador de milhares 2 37" xfId="42018" xr:uid="{00000000-0005-0000-0000-000022A40000}"/>
    <cellStyle name="Separador de milhares 2 37 2" xfId="42019" xr:uid="{00000000-0005-0000-0000-000023A40000}"/>
    <cellStyle name="Separador de milhares 2 37 3" xfId="42020" xr:uid="{00000000-0005-0000-0000-000024A40000}"/>
    <cellStyle name="Separador de milhares 2 37 4" xfId="42021" xr:uid="{00000000-0005-0000-0000-000025A40000}"/>
    <cellStyle name="Separador de milhares 2 37 5" xfId="42022" xr:uid="{00000000-0005-0000-0000-000026A40000}"/>
    <cellStyle name="Separador de milhares 2 37 6" xfId="42023" xr:uid="{00000000-0005-0000-0000-000027A40000}"/>
    <cellStyle name="Separador de milhares 2 38" xfId="42024" xr:uid="{00000000-0005-0000-0000-000028A40000}"/>
    <cellStyle name="Separador de milhares 2 38 2" xfId="42025" xr:uid="{00000000-0005-0000-0000-000029A40000}"/>
    <cellStyle name="Separador de milhares 2 38 3" xfId="42026" xr:uid="{00000000-0005-0000-0000-00002AA40000}"/>
    <cellStyle name="Separador de milhares 2 38 4" xfId="42027" xr:uid="{00000000-0005-0000-0000-00002BA40000}"/>
    <cellStyle name="Separador de milhares 2 38 5" xfId="42028" xr:uid="{00000000-0005-0000-0000-00002CA40000}"/>
    <cellStyle name="Separador de milhares 2 38 6" xfId="42029" xr:uid="{00000000-0005-0000-0000-00002DA40000}"/>
    <cellStyle name="Separador de milhares 2 39" xfId="42030" xr:uid="{00000000-0005-0000-0000-00002EA40000}"/>
    <cellStyle name="Separador de milhares 2 39 2" xfId="42031" xr:uid="{00000000-0005-0000-0000-00002FA40000}"/>
    <cellStyle name="Separador de milhares 2 39 3" xfId="42032" xr:uid="{00000000-0005-0000-0000-000030A40000}"/>
    <cellStyle name="Separador de milhares 2 39 4" xfId="42033" xr:uid="{00000000-0005-0000-0000-000031A40000}"/>
    <cellStyle name="Separador de milhares 2 39 5" xfId="42034" xr:uid="{00000000-0005-0000-0000-000032A40000}"/>
    <cellStyle name="Separador de milhares 2 39 6" xfId="42035" xr:uid="{00000000-0005-0000-0000-000033A40000}"/>
    <cellStyle name="Separador de milhares 2 4" xfId="1890" xr:uid="{00000000-0005-0000-0000-000034A40000}"/>
    <cellStyle name="Separador de milhares 2 4 10" xfId="42036" xr:uid="{00000000-0005-0000-0000-000035A40000}"/>
    <cellStyle name="Separador de milhares 2 4 11" xfId="42037" xr:uid="{00000000-0005-0000-0000-000036A40000}"/>
    <cellStyle name="Separador de milhares 2 4 12" xfId="42038" xr:uid="{00000000-0005-0000-0000-000037A40000}"/>
    <cellStyle name="Separador de milhares 2 4 13" xfId="42039" xr:uid="{00000000-0005-0000-0000-000038A40000}"/>
    <cellStyle name="Separador de milhares 2 4 14" xfId="42040" xr:uid="{00000000-0005-0000-0000-000039A40000}"/>
    <cellStyle name="Separador de milhares 2 4 2" xfId="42041" xr:uid="{00000000-0005-0000-0000-00003AA40000}"/>
    <cellStyle name="Separador de milhares 2 4 2 2" xfId="42042" xr:uid="{00000000-0005-0000-0000-00003BA40000}"/>
    <cellStyle name="Separador de milhares 2 4 2 3" xfId="42043" xr:uid="{00000000-0005-0000-0000-00003CA40000}"/>
    <cellStyle name="Separador de milhares 2 4 2 4" xfId="42044" xr:uid="{00000000-0005-0000-0000-00003DA40000}"/>
    <cellStyle name="Separador de milhares 2 4 2 5" xfId="42045" xr:uid="{00000000-0005-0000-0000-00003EA40000}"/>
    <cellStyle name="Separador de milhares 2 4 2 6" xfId="42046" xr:uid="{00000000-0005-0000-0000-00003FA40000}"/>
    <cellStyle name="Separador de milhares 2 4 3" xfId="42047" xr:uid="{00000000-0005-0000-0000-000040A40000}"/>
    <cellStyle name="Separador de milhares 2 4 3 2" xfId="42048" xr:uid="{00000000-0005-0000-0000-000041A40000}"/>
    <cellStyle name="Separador de milhares 2 4 3 3" xfId="42049" xr:uid="{00000000-0005-0000-0000-000042A40000}"/>
    <cellStyle name="Separador de milhares 2 4 3 4" xfId="42050" xr:uid="{00000000-0005-0000-0000-000043A40000}"/>
    <cellStyle name="Separador de milhares 2 4 3 5" xfId="42051" xr:uid="{00000000-0005-0000-0000-000044A40000}"/>
    <cellStyle name="Separador de milhares 2 4 3 6" xfId="42052" xr:uid="{00000000-0005-0000-0000-000045A40000}"/>
    <cellStyle name="Separador de milhares 2 4 4" xfId="42053" xr:uid="{00000000-0005-0000-0000-000046A40000}"/>
    <cellStyle name="Separador de milhares 2 4 4 2" xfId="42054" xr:uid="{00000000-0005-0000-0000-000047A40000}"/>
    <cellStyle name="Separador de milhares 2 4 4 3" xfId="42055" xr:uid="{00000000-0005-0000-0000-000048A40000}"/>
    <cellStyle name="Separador de milhares 2 4 4 4" xfId="42056" xr:uid="{00000000-0005-0000-0000-000049A40000}"/>
    <cellStyle name="Separador de milhares 2 4 4 5" xfId="42057" xr:uid="{00000000-0005-0000-0000-00004AA40000}"/>
    <cellStyle name="Separador de milhares 2 4 4 6" xfId="42058" xr:uid="{00000000-0005-0000-0000-00004BA40000}"/>
    <cellStyle name="Separador de milhares 2 4 5" xfId="42059" xr:uid="{00000000-0005-0000-0000-00004CA40000}"/>
    <cellStyle name="Separador de milhares 2 4 5 2" xfId="42060" xr:uid="{00000000-0005-0000-0000-00004DA40000}"/>
    <cellStyle name="Separador de milhares 2 4 5 3" xfId="42061" xr:uid="{00000000-0005-0000-0000-00004EA40000}"/>
    <cellStyle name="Separador de milhares 2 4 5 4" xfId="42062" xr:uid="{00000000-0005-0000-0000-00004FA40000}"/>
    <cellStyle name="Separador de milhares 2 4 5 5" xfId="42063" xr:uid="{00000000-0005-0000-0000-000050A40000}"/>
    <cellStyle name="Separador de milhares 2 4 5 6" xfId="42064" xr:uid="{00000000-0005-0000-0000-000051A40000}"/>
    <cellStyle name="Separador de milhares 2 4 6" xfId="42065" xr:uid="{00000000-0005-0000-0000-000052A40000}"/>
    <cellStyle name="Separador de milhares 2 4 6 2" xfId="42066" xr:uid="{00000000-0005-0000-0000-000053A40000}"/>
    <cellStyle name="Separador de milhares 2 4 6 3" xfId="42067" xr:uid="{00000000-0005-0000-0000-000054A40000}"/>
    <cellStyle name="Separador de milhares 2 4 6 4" xfId="42068" xr:uid="{00000000-0005-0000-0000-000055A40000}"/>
    <cellStyle name="Separador de milhares 2 4 6 5" xfId="42069" xr:uid="{00000000-0005-0000-0000-000056A40000}"/>
    <cellStyle name="Separador de milhares 2 4 6 6" xfId="42070" xr:uid="{00000000-0005-0000-0000-000057A40000}"/>
    <cellStyle name="Separador de milhares 2 4 7" xfId="42071" xr:uid="{00000000-0005-0000-0000-000058A40000}"/>
    <cellStyle name="Separador de milhares 2 4 7 2" xfId="42072" xr:uid="{00000000-0005-0000-0000-000059A40000}"/>
    <cellStyle name="Separador de milhares 2 4 7 3" xfId="42073" xr:uid="{00000000-0005-0000-0000-00005AA40000}"/>
    <cellStyle name="Separador de milhares 2 4 7 4" xfId="42074" xr:uid="{00000000-0005-0000-0000-00005BA40000}"/>
    <cellStyle name="Separador de milhares 2 4 7 5" xfId="42075" xr:uid="{00000000-0005-0000-0000-00005CA40000}"/>
    <cellStyle name="Separador de milhares 2 4 7 6" xfId="42076" xr:uid="{00000000-0005-0000-0000-00005DA40000}"/>
    <cellStyle name="Separador de milhares 2 4 8" xfId="42077" xr:uid="{00000000-0005-0000-0000-00005EA40000}"/>
    <cellStyle name="Separador de milhares 2 4 8 2" xfId="42078" xr:uid="{00000000-0005-0000-0000-00005FA40000}"/>
    <cellStyle name="Separador de milhares 2 4 8 3" xfId="42079" xr:uid="{00000000-0005-0000-0000-000060A40000}"/>
    <cellStyle name="Separador de milhares 2 4 8 4" xfId="42080" xr:uid="{00000000-0005-0000-0000-000061A40000}"/>
    <cellStyle name="Separador de milhares 2 4 8 5" xfId="42081" xr:uid="{00000000-0005-0000-0000-000062A40000}"/>
    <cellStyle name="Separador de milhares 2 4 8 6" xfId="42082" xr:uid="{00000000-0005-0000-0000-000063A40000}"/>
    <cellStyle name="Separador de milhares 2 4 9" xfId="42083" xr:uid="{00000000-0005-0000-0000-000064A40000}"/>
    <cellStyle name="Separador de milhares 2 40" xfId="42084" xr:uid="{00000000-0005-0000-0000-000065A40000}"/>
    <cellStyle name="Separador de milhares 2 40 2" xfId="42085" xr:uid="{00000000-0005-0000-0000-000066A40000}"/>
    <cellStyle name="Separador de milhares 2 40 3" xfId="42086" xr:uid="{00000000-0005-0000-0000-000067A40000}"/>
    <cellStyle name="Separador de milhares 2 40 4" xfId="42087" xr:uid="{00000000-0005-0000-0000-000068A40000}"/>
    <cellStyle name="Separador de milhares 2 40 5" xfId="42088" xr:uid="{00000000-0005-0000-0000-000069A40000}"/>
    <cellStyle name="Separador de milhares 2 40 6" xfId="42089" xr:uid="{00000000-0005-0000-0000-00006AA40000}"/>
    <cellStyle name="Separador de milhares 2 41" xfId="42090" xr:uid="{00000000-0005-0000-0000-00006BA40000}"/>
    <cellStyle name="Separador de milhares 2 42" xfId="42091" xr:uid="{00000000-0005-0000-0000-00006CA40000}"/>
    <cellStyle name="Separador de milhares 2 43" xfId="42092" xr:uid="{00000000-0005-0000-0000-00006DA40000}"/>
    <cellStyle name="Separador de milhares 2 44" xfId="42093" xr:uid="{00000000-0005-0000-0000-00006EA40000}"/>
    <cellStyle name="Separador de milhares 2 45" xfId="42094" xr:uid="{00000000-0005-0000-0000-00006FA40000}"/>
    <cellStyle name="Separador de milhares 2 46" xfId="42095" xr:uid="{00000000-0005-0000-0000-000070A40000}"/>
    <cellStyle name="Separador de milhares 2 5" xfId="42096" xr:uid="{00000000-0005-0000-0000-000071A40000}"/>
    <cellStyle name="Separador de milhares 2 5 10" xfId="42097" xr:uid="{00000000-0005-0000-0000-000072A40000}"/>
    <cellStyle name="Separador de milhares 2 5 11" xfId="42098" xr:uid="{00000000-0005-0000-0000-000073A40000}"/>
    <cellStyle name="Separador de milhares 2 5 12" xfId="42099" xr:uid="{00000000-0005-0000-0000-000074A40000}"/>
    <cellStyle name="Separador de milhares 2 5 13" xfId="42100" xr:uid="{00000000-0005-0000-0000-000075A40000}"/>
    <cellStyle name="Separador de milhares 2 5 14" xfId="42101" xr:uid="{00000000-0005-0000-0000-000076A40000}"/>
    <cellStyle name="Separador de milhares 2 5 2" xfId="42102" xr:uid="{00000000-0005-0000-0000-000077A40000}"/>
    <cellStyle name="Separador de milhares 2 5 2 2" xfId="42103" xr:uid="{00000000-0005-0000-0000-000078A40000}"/>
    <cellStyle name="Separador de milhares 2 5 2 3" xfId="42104" xr:uid="{00000000-0005-0000-0000-000079A40000}"/>
    <cellStyle name="Separador de milhares 2 5 2 4" xfId="42105" xr:uid="{00000000-0005-0000-0000-00007AA40000}"/>
    <cellStyle name="Separador de milhares 2 5 2 5" xfId="42106" xr:uid="{00000000-0005-0000-0000-00007BA40000}"/>
    <cellStyle name="Separador de milhares 2 5 2 6" xfId="42107" xr:uid="{00000000-0005-0000-0000-00007CA40000}"/>
    <cellStyle name="Separador de milhares 2 5 3" xfId="42108" xr:uid="{00000000-0005-0000-0000-00007DA40000}"/>
    <cellStyle name="Separador de milhares 2 5 3 2" xfId="42109" xr:uid="{00000000-0005-0000-0000-00007EA40000}"/>
    <cellStyle name="Separador de milhares 2 5 3 3" xfId="42110" xr:uid="{00000000-0005-0000-0000-00007FA40000}"/>
    <cellStyle name="Separador de milhares 2 5 3 4" xfId="42111" xr:uid="{00000000-0005-0000-0000-000080A40000}"/>
    <cellStyle name="Separador de milhares 2 5 3 5" xfId="42112" xr:uid="{00000000-0005-0000-0000-000081A40000}"/>
    <cellStyle name="Separador de milhares 2 5 3 6" xfId="42113" xr:uid="{00000000-0005-0000-0000-000082A40000}"/>
    <cellStyle name="Separador de milhares 2 5 4" xfId="42114" xr:uid="{00000000-0005-0000-0000-000083A40000}"/>
    <cellStyle name="Separador de milhares 2 5 4 2" xfId="42115" xr:uid="{00000000-0005-0000-0000-000084A40000}"/>
    <cellStyle name="Separador de milhares 2 5 4 3" xfId="42116" xr:uid="{00000000-0005-0000-0000-000085A40000}"/>
    <cellStyle name="Separador de milhares 2 5 4 4" xfId="42117" xr:uid="{00000000-0005-0000-0000-000086A40000}"/>
    <cellStyle name="Separador de milhares 2 5 4 5" xfId="42118" xr:uid="{00000000-0005-0000-0000-000087A40000}"/>
    <cellStyle name="Separador de milhares 2 5 4 6" xfId="42119" xr:uid="{00000000-0005-0000-0000-000088A40000}"/>
    <cellStyle name="Separador de milhares 2 5 5" xfId="42120" xr:uid="{00000000-0005-0000-0000-000089A40000}"/>
    <cellStyle name="Separador de milhares 2 5 5 2" xfId="42121" xr:uid="{00000000-0005-0000-0000-00008AA40000}"/>
    <cellStyle name="Separador de milhares 2 5 5 3" xfId="42122" xr:uid="{00000000-0005-0000-0000-00008BA40000}"/>
    <cellStyle name="Separador de milhares 2 5 5 4" xfId="42123" xr:uid="{00000000-0005-0000-0000-00008CA40000}"/>
    <cellStyle name="Separador de milhares 2 5 5 5" xfId="42124" xr:uid="{00000000-0005-0000-0000-00008DA40000}"/>
    <cellStyle name="Separador de milhares 2 5 5 6" xfId="42125" xr:uid="{00000000-0005-0000-0000-00008EA40000}"/>
    <cellStyle name="Separador de milhares 2 5 6" xfId="42126" xr:uid="{00000000-0005-0000-0000-00008FA40000}"/>
    <cellStyle name="Separador de milhares 2 5 6 2" xfId="42127" xr:uid="{00000000-0005-0000-0000-000090A40000}"/>
    <cellStyle name="Separador de milhares 2 5 6 3" xfId="42128" xr:uid="{00000000-0005-0000-0000-000091A40000}"/>
    <cellStyle name="Separador de milhares 2 5 6 4" xfId="42129" xr:uid="{00000000-0005-0000-0000-000092A40000}"/>
    <cellStyle name="Separador de milhares 2 5 6 5" xfId="42130" xr:uid="{00000000-0005-0000-0000-000093A40000}"/>
    <cellStyle name="Separador de milhares 2 5 6 6" xfId="42131" xr:uid="{00000000-0005-0000-0000-000094A40000}"/>
    <cellStyle name="Separador de milhares 2 5 7" xfId="42132" xr:uid="{00000000-0005-0000-0000-000095A40000}"/>
    <cellStyle name="Separador de milhares 2 5 7 2" xfId="42133" xr:uid="{00000000-0005-0000-0000-000096A40000}"/>
    <cellStyle name="Separador de milhares 2 5 7 3" xfId="42134" xr:uid="{00000000-0005-0000-0000-000097A40000}"/>
    <cellStyle name="Separador de milhares 2 5 7 4" xfId="42135" xr:uid="{00000000-0005-0000-0000-000098A40000}"/>
    <cellStyle name="Separador de milhares 2 5 7 5" xfId="42136" xr:uid="{00000000-0005-0000-0000-000099A40000}"/>
    <cellStyle name="Separador de milhares 2 5 7 6" xfId="42137" xr:uid="{00000000-0005-0000-0000-00009AA40000}"/>
    <cellStyle name="Separador de milhares 2 5 8" xfId="42138" xr:uid="{00000000-0005-0000-0000-00009BA40000}"/>
    <cellStyle name="Separador de milhares 2 5 8 2" xfId="42139" xr:uid="{00000000-0005-0000-0000-00009CA40000}"/>
    <cellStyle name="Separador de milhares 2 5 8 3" xfId="42140" xr:uid="{00000000-0005-0000-0000-00009DA40000}"/>
    <cellStyle name="Separador de milhares 2 5 8 4" xfId="42141" xr:uid="{00000000-0005-0000-0000-00009EA40000}"/>
    <cellStyle name="Separador de milhares 2 5 8 5" xfId="42142" xr:uid="{00000000-0005-0000-0000-00009FA40000}"/>
    <cellStyle name="Separador de milhares 2 5 8 6" xfId="42143" xr:uid="{00000000-0005-0000-0000-0000A0A40000}"/>
    <cellStyle name="Separador de milhares 2 5 9" xfId="42144" xr:uid="{00000000-0005-0000-0000-0000A1A40000}"/>
    <cellStyle name="Separador de milhares 2 6" xfId="42145" xr:uid="{00000000-0005-0000-0000-0000A2A40000}"/>
    <cellStyle name="Separador de milhares 2 6 10" xfId="42146" xr:uid="{00000000-0005-0000-0000-0000A3A40000}"/>
    <cellStyle name="Separador de milhares 2 6 11" xfId="42147" xr:uid="{00000000-0005-0000-0000-0000A4A40000}"/>
    <cellStyle name="Separador de milhares 2 6 12" xfId="42148" xr:uid="{00000000-0005-0000-0000-0000A5A40000}"/>
    <cellStyle name="Separador de milhares 2 6 13" xfId="42149" xr:uid="{00000000-0005-0000-0000-0000A6A40000}"/>
    <cellStyle name="Separador de milhares 2 6 14" xfId="42150" xr:uid="{00000000-0005-0000-0000-0000A7A40000}"/>
    <cellStyle name="Separador de milhares 2 6 2" xfId="42151" xr:uid="{00000000-0005-0000-0000-0000A8A40000}"/>
    <cellStyle name="Separador de milhares 2 6 2 2" xfId="42152" xr:uid="{00000000-0005-0000-0000-0000A9A40000}"/>
    <cellStyle name="Separador de milhares 2 6 2 3" xfId="42153" xr:uid="{00000000-0005-0000-0000-0000AAA40000}"/>
    <cellStyle name="Separador de milhares 2 6 2 4" xfId="42154" xr:uid="{00000000-0005-0000-0000-0000ABA40000}"/>
    <cellStyle name="Separador de milhares 2 6 2 5" xfId="42155" xr:uid="{00000000-0005-0000-0000-0000ACA40000}"/>
    <cellStyle name="Separador de milhares 2 6 2 6" xfId="42156" xr:uid="{00000000-0005-0000-0000-0000ADA40000}"/>
    <cellStyle name="Separador de milhares 2 6 3" xfId="42157" xr:uid="{00000000-0005-0000-0000-0000AEA40000}"/>
    <cellStyle name="Separador de milhares 2 6 3 2" xfId="42158" xr:uid="{00000000-0005-0000-0000-0000AFA40000}"/>
    <cellStyle name="Separador de milhares 2 6 3 3" xfId="42159" xr:uid="{00000000-0005-0000-0000-0000B0A40000}"/>
    <cellStyle name="Separador de milhares 2 6 3 4" xfId="42160" xr:uid="{00000000-0005-0000-0000-0000B1A40000}"/>
    <cellStyle name="Separador de milhares 2 6 3 5" xfId="42161" xr:uid="{00000000-0005-0000-0000-0000B2A40000}"/>
    <cellStyle name="Separador de milhares 2 6 3 6" xfId="42162" xr:uid="{00000000-0005-0000-0000-0000B3A40000}"/>
    <cellStyle name="Separador de milhares 2 6 4" xfId="42163" xr:uid="{00000000-0005-0000-0000-0000B4A40000}"/>
    <cellStyle name="Separador de milhares 2 6 4 2" xfId="42164" xr:uid="{00000000-0005-0000-0000-0000B5A40000}"/>
    <cellStyle name="Separador de milhares 2 6 4 3" xfId="42165" xr:uid="{00000000-0005-0000-0000-0000B6A40000}"/>
    <cellStyle name="Separador de milhares 2 6 4 4" xfId="42166" xr:uid="{00000000-0005-0000-0000-0000B7A40000}"/>
    <cellStyle name="Separador de milhares 2 6 4 5" xfId="42167" xr:uid="{00000000-0005-0000-0000-0000B8A40000}"/>
    <cellStyle name="Separador de milhares 2 6 4 6" xfId="42168" xr:uid="{00000000-0005-0000-0000-0000B9A40000}"/>
    <cellStyle name="Separador de milhares 2 6 5" xfId="42169" xr:uid="{00000000-0005-0000-0000-0000BAA40000}"/>
    <cellStyle name="Separador de milhares 2 6 5 2" xfId="42170" xr:uid="{00000000-0005-0000-0000-0000BBA40000}"/>
    <cellStyle name="Separador de milhares 2 6 5 3" xfId="42171" xr:uid="{00000000-0005-0000-0000-0000BCA40000}"/>
    <cellStyle name="Separador de milhares 2 6 5 4" xfId="42172" xr:uid="{00000000-0005-0000-0000-0000BDA40000}"/>
    <cellStyle name="Separador de milhares 2 6 5 5" xfId="42173" xr:uid="{00000000-0005-0000-0000-0000BEA40000}"/>
    <cellStyle name="Separador de milhares 2 6 5 6" xfId="42174" xr:uid="{00000000-0005-0000-0000-0000BFA40000}"/>
    <cellStyle name="Separador de milhares 2 6 6" xfId="42175" xr:uid="{00000000-0005-0000-0000-0000C0A40000}"/>
    <cellStyle name="Separador de milhares 2 6 6 2" xfId="42176" xr:uid="{00000000-0005-0000-0000-0000C1A40000}"/>
    <cellStyle name="Separador de milhares 2 6 6 3" xfId="42177" xr:uid="{00000000-0005-0000-0000-0000C2A40000}"/>
    <cellStyle name="Separador de milhares 2 6 6 4" xfId="42178" xr:uid="{00000000-0005-0000-0000-0000C3A40000}"/>
    <cellStyle name="Separador de milhares 2 6 6 5" xfId="42179" xr:uid="{00000000-0005-0000-0000-0000C4A40000}"/>
    <cellStyle name="Separador de milhares 2 6 6 6" xfId="42180" xr:uid="{00000000-0005-0000-0000-0000C5A40000}"/>
    <cellStyle name="Separador de milhares 2 6 7" xfId="42181" xr:uid="{00000000-0005-0000-0000-0000C6A40000}"/>
    <cellStyle name="Separador de milhares 2 6 7 2" xfId="42182" xr:uid="{00000000-0005-0000-0000-0000C7A40000}"/>
    <cellStyle name="Separador de milhares 2 6 7 3" xfId="42183" xr:uid="{00000000-0005-0000-0000-0000C8A40000}"/>
    <cellStyle name="Separador de milhares 2 6 7 4" xfId="42184" xr:uid="{00000000-0005-0000-0000-0000C9A40000}"/>
    <cellStyle name="Separador de milhares 2 6 7 5" xfId="42185" xr:uid="{00000000-0005-0000-0000-0000CAA40000}"/>
    <cellStyle name="Separador de milhares 2 6 7 6" xfId="42186" xr:uid="{00000000-0005-0000-0000-0000CBA40000}"/>
    <cellStyle name="Separador de milhares 2 6 8" xfId="42187" xr:uid="{00000000-0005-0000-0000-0000CCA40000}"/>
    <cellStyle name="Separador de milhares 2 6 8 2" xfId="42188" xr:uid="{00000000-0005-0000-0000-0000CDA40000}"/>
    <cellStyle name="Separador de milhares 2 6 8 3" xfId="42189" xr:uid="{00000000-0005-0000-0000-0000CEA40000}"/>
    <cellStyle name="Separador de milhares 2 6 8 4" xfId="42190" xr:uid="{00000000-0005-0000-0000-0000CFA40000}"/>
    <cellStyle name="Separador de milhares 2 6 8 5" xfId="42191" xr:uid="{00000000-0005-0000-0000-0000D0A40000}"/>
    <cellStyle name="Separador de milhares 2 6 8 6" xfId="42192" xr:uid="{00000000-0005-0000-0000-0000D1A40000}"/>
    <cellStyle name="Separador de milhares 2 6 9" xfId="42193" xr:uid="{00000000-0005-0000-0000-0000D2A40000}"/>
    <cellStyle name="Separador de milhares 2 7" xfId="42194" xr:uid="{00000000-0005-0000-0000-0000D3A40000}"/>
    <cellStyle name="Separador de milhares 2 7 10" xfId="42195" xr:uid="{00000000-0005-0000-0000-0000D4A40000}"/>
    <cellStyle name="Separador de milhares 2 7 11" xfId="42196" xr:uid="{00000000-0005-0000-0000-0000D5A40000}"/>
    <cellStyle name="Separador de milhares 2 7 12" xfId="42197" xr:uid="{00000000-0005-0000-0000-0000D6A40000}"/>
    <cellStyle name="Separador de milhares 2 7 13" xfId="42198" xr:uid="{00000000-0005-0000-0000-0000D7A40000}"/>
    <cellStyle name="Separador de milhares 2 7 14" xfId="42199" xr:uid="{00000000-0005-0000-0000-0000D8A40000}"/>
    <cellStyle name="Separador de milhares 2 7 2" xfId="42200" xr:uid="{00000000-0005-0000-0000-0000D9A40000}"/>
    <cellStyle name="Separador de milhares 2 7 2 2" xfId="42201" xr:uid="{00000000-0005-0000-0000-0000DAA40000}"/>
    <cellStyle name="Separador de milhares 2 7 2 3" xfId="42202" xr:uid="{00000000-0005-0000-0000-0000DBA40000}"/>
    <cellStyle name="Separador de milhares 2 7 2 4" xfId="42203" xr:uid="{00000000-0005-0000-0000-0000DCA40000}"/>
    <cellStyle name="Separador de milhares 2 7 2 5" xfId="42204" xr:uid="{00000000-0005-0000-0000-0000DDA40000}"/>
    <cellStyle name="Separador de milhares 2 7 2 6" xfId="42205" xr:uid="{00000000-0005-0000-0000-0000DEA40000}"/>
    <cellStyle name="Separador de milhares 2 7 3" xfId="42206" xr:uid="{00000000-0005-0000-0000-0000DFA40000}"/>
    <cellStyle name="Separador de milhares 2 7 3 2" xfId="42207" xr:uid="{00000000-0005-0000-0000-0000E0A40000}"/>
    <cellStyle name="Separador de milhares 2 7 3 3" xfId="42208" xr:uid="{00000000-0005-0000-0000-0000E1A40000}"/>
    <cellStyle name="Separador de milhares 2 7 3 4" xfId="42209" xr:uid="{00000000-0005-0000-0000-0000E2A40000}"/>
    <cellStyle name="Separador de milhares 2 7 3 5" xfId="42210" xr:uid="{00000000-0005-0000-0000-0000E3A40000}"/>
    <cellStyle name="Separador de milhares 2 7 3 6" xfId="42211" xr:uid="{00000000-0005-0000-0000-0000E4A40000}"/>
    <cellStyle name="Separador de milhares 2 7 4" xfId="42212" xr:uid="{00000000-0005-0000-0000-0000E5A40000}"/>
    <cellStyle name="Separador de milhares 2 7 4 2" xfId="42213" xr:uid="{00000000-0005-0000-0000-0000E6A40000}"/>
    <cellStyle name="Separador de milhares 2 7 4 3" xfId="42214" xr:uid="{00000000-0005-0000-0000-0000E7A40000}"/>
    <cellStyle name="Separador de milhares 2 7 4 4" xfId="42215" xr:uid="{00000000-0005-0000-0000-0000E8A40000}"/>
    <cellStyle name="Separador de milhares 2 7 4 5" xfId="42216" xr:uid="{00000000-0005-0000-0000-0000E9A40000}"/>
    <cellStyle name="Separador de milhares 2 7 4 6" xfId="42217" xr:uid="{00000000-0005-0000-0000-0000EAA40000}"/>
    <cellStyle name="Separador de milhares 2 7 5" xfId="42218" xr:uid="{00000000-0005-0000-0000-0000EBA40000}"/>
    <cellStyle name="Separador de milhares 2 7 5 2" xfId="42219" xr:uid="{00000000-0005-0000-0000-0000ECA40000}"/>
    <cellStyle name="Separador de milhares 2 7 5 3" xfId="42220" xr:uid="{00000000-0005-0000-0000-0000EDA40000}"/>
    <cellStyle name="Separador de milhares 2 7 5 4" xfId="42221" xr:uid="{00000000-0005-0000-0000-0000EEA40000}"/>
    <cellStyle name="Separador de milhares 2 7 5 5" xfId="42222" xr:uid="{00000000-0005-0000-0000-0000EFA40000}"/>
    <cellStyle name="Separador de milhares 2 7 5 6" xfId="42223" xr:uid="{00000000-0005-0000-0000-0000F0A40000}"/>
    <cellStyle name="Separador de milhares 2 7 6" xfId="42224" xr:uid="{00000000-0005-0000-0000-0000F1A40000}"/>
    <cellStyle name="Separador de milhares 2 7 6 2" xfId="42225" xr:uid="{00000000-0005-0000-0000-0000F2A40000}"/>
    <cellStyle name="Separador de milhares 2 7 6 3" xfId="42226" xr:uid="{00000000-0005-0000-0000-0000F3A40000}"/>
    <cellStyle name="Separador de milhares 2 7 6 4" xfId="42227" xr:uid="{00000000-0005-0000-0000-0000F4A40000}"/>
    <cellStyle name="Separador de milhares 2 7 6 5" xfId="42228" xr:uid="{00000000-0005-0000-0000-0000F5A40000}"/>
    <cellStyle name="Separador de milhares 2 7 6 6" xfId="42229" xr:uid="{00000000-0005-0000-0000-0000F6A40000}"/>
    <cellStyle name="Separador de milhares 2 7 7" xfId="42230" xr:uid="{00000000-0005-0000-0000-0000F7A40000}"/>
    <cellStyle name="Separador de milhares 2 7 7 2" xfId="42231" xr:uid="{00000000-0005-0000-0000-0000F8A40000}"/>
    <cellStyle name="Separador de milhares 2 7 7 3" xfId="42232" xr:uid="{00000000-0005-0000-0000-0000F9A40000}"/>
    <cellStyle name="Separador de milhares 2 7 7 4" xfId="42233" xr:uid="{00000000-0005-0000-0000-0000FAA40000}"/>
    <cellStyle name="Separador de milhares 2 7 7 5" xfId="42234" xr:uid="{00000000-0005-0000-0000-0000FBA40000}"/>
    <cellStyle name="Separador de milhares 2 7 7 6" xfId="42235" xr:uid="{00000000-0005-0000-0000-0000FCA40000}"/>
    <cellStyle name="Separador de milhares 2 7 8" xfId="42236" xr:uid="{00000000-0005-0000-0000-0000FDA40000}"/>
    <cellStyle name="Separador de milhares 2 7 8 2" xfId="42237" xr:uid="{00000000-0005-0000-0000-0000FEA40000}"/>
    <cellStyle name="Separador de milhares 2 7 8 3" xfId="42238" xr:uid="{00000000-0005-0000-0000-0000FFA40000}"/>
    <cellStyle name="Separador de milhares 2 7 8 4" xfId="42239" xr:uid="{00000000-0005-0000-0000-000000A50000}"/>
    <cellStyle name="Separador de milhares 2 7 8 5" xfId="42240" xr:uid="{00000000-0005-0000-0000-000001A50000}"/>
    <cellStyle name="Separador de milhares 2 7 8 6" xfId="42241" xr:uid="{00000000-0005-0000-0000-000002A50000}"/>
    <cellStyle name="Separador de milhares 2 7 9" xfId="42242" xr:uid="{00000000-0005-0000-0000-000003A50000}"/>
    <cellStyle name="Separador de milhares 2 8" xfId="42243" xr:uid="{00000000-0005-0000-0000-000004A50000}"/>
    <cellStyle name="Separador de milhares 2 8 10" xfId="42244" xr:uid="{00000000-0005-0000-0000-000005A50000}"/>
    <cellStyle name="Separador de milhares 2 8 11" xfId="42245" xr:uid="{00000000-0005-0000-0000-000006A50000}"/>
    <cellStyle name="Separador de milhares 2 8 12" xfId="42246" xr:uid="{00000000-0005-0000-0000-000007A50000}"/>
    <cellStyle name="Separador de milhares 2 8 13" xfId="42247" xr:uid="{00000000-0005-0000-0000-000008A50000}"/>
    <cellStyle name="Separador de milhares 2 8 14" xfId="42248" xr:uid="{00000000-0005-0000-0000-000009A50000}"/>
    <cellStyle name="Separador de milhares 2 8 2" xfId="42249" xr:uid="{00000000-0005-0000-0000-00000AA50000}"/>
    <cellStyle name="Separador de milhares 2 8 2 2" xfId="42250" xr:uid="{00000000-0005-0000-0000-00000BA50000}"/>
    <cellStyle name="Separador de milhares 2 8 2 3" xfId="42251" xr:uid="{00000000-0005-0000-0000-00000CA50000}"/>
    <cellStyle name="Separador de milhares 2 8 2 4" xfId="42252" xr:uid="{00000000-0005-0000-0000-00000DA50000}"/>
    <cellStyle name="Separador de milhares 2 8 2 5" xfId="42253" xr:uid="{00000000-0005-0000-0000-00000EA50000}"/>
    <cellStyle name="Separador de milhares 2 8 2 6" xfId="42254" xr:uid="{00000000-0005-0000-0000-00000FA50000}"/>
    <cellStyle name="Separador de milhares 2 8 2 7" xfId="42255" xr:uid="{00000000-0005-0000-0000-000010A50000}"/>
    <cellStyle name="Separador de milhares 2 8 3" xfId="42256" xr:uid="{00000000-0005-0000-0000-000011A50000}"/>
    <cellStyle name="Separador de milhares 2 8 3 2" xfId="42257" xr:uid="{00000000-0005-0000-0000-000012A50000}"/>
    <cellStyle name="Separador de milhares 2 8 3 3" xfId="42258" xr:uid="{00000000-0005-0000-0000-000013A50000}"/>
    <cellStyle name="Separador de milhares 2 8 3 4" xfId="42259" xr:uid="{00000000-0005-0000-0000-000014A50000}"/>
    <cellStyle name="Separador de milhares 2 8 3 5" xfId="42260" xr:uid="{00000000-0005-0000-0000-000015A50000}"/>
    <cellStyle name="Separador de milhares 2 8 3 6" xfId="42261" xr:uid="{00000000-0005-0000-0000-000016A50000}"/>
    <cellStyle name="Separador de milhares 2 8 4" xfId="42262" xr:uid="{00000000-0005-0000-0000-000017A50000}"/>
    <cellStyle name="Separador de milhares 2 8 4 2" xfId="42263" xr:uid="{00000000-0005-0000-0000-000018A50000}"/>
    <cellStyle name="Separador de milhares 2 8 4 3" xfId="42264" xr:uid="{00000000-0005-0000-0000-000019A50000}"/>
    <cellStyle name="Separador de milhares 2 8 4 4" xfId="42265" xr:uid="{00000000-0005-0000-0000-00001AA50000}"/>
    <cellStyle name="Separador de milhares 2 8 4 5" xfId="42266" xr:uid="{00000000-0005-0000-0000-00001BA50000}"/>
    <cellStyle name="Separador de milhares 2 8 4 6" xfId="42267" xr:uid="{00000000-0005-0000-0000-00001CA50000}"/>
    <cellStyle name="Separador de milhares 2 8 5" xfId="42268" xr:uid="{00000000-0005-0000-0000-00001DA50000}"/>
    <cellStyle name="Separador de milhares 2 8 5 2" xfId="42269" xr:uid="{00000000-0005-0000-0000-00001EA50000}"/>
    <cellStyle name="Separador de milhares 2 8 5 3" xfId="42270" xr:uid="{00000000-0005-0000-0000-00001FA50000}"/>
    <cellStyle name="Separador de milhares 2 8 5 4" xfId="42271" xr:uid="{00000000-0005-0000-0000-000020A50000}"/>
    <cellStyle name="Separador de milhares 2 8 5 5" xfId="42272" xr:uid="{00000000-0005-0000-0000-000021A50000}"/>
    <cellStyle name="Separador de milhares 2 8 5 6" xfId="42273" xr:uid="{00000000-0005-0000-0000-000022A50000}"/>
    <cellStyle name="Separador de milhares 2 8 6" xfId="42274" xr:uid="{00000000-0005-0000-0000-000023A50000}"/>
    <cellStyle name="Separador de milhares 2 8 6 2" xfId="42275" xr:uid="{00000000-0005-0000-0000-000024A50000}"/>
    <cellStyle name="Separador de milhares 2 8 6 3" xfId="42276" xr:uid="{00000000-0005-0000-0000-000025A50000}"/>
    <cellStyle name="Separador de milhares 2 8 6 4" xfId="42277" xr:uid="{00000000-0005-0000-0000-000026A50000}"/>
    <cellStyle name="Separador de milhares 2 8 6 5" xfId="42278" xr:uid="{00000000-0005-0000-0000-000027A50000}"/>
    <cellStyle name="Separador de milhares 2 8 6 6" xfId="42279" xr:uid="{00000000-0005-0000-0000-000028A50000}"/>
    <cellStyle name="Separador de milhares 2 8 7" xfId="42280" xr:uid="{00000000-0005-0000-0000-000029A50000}"/>
    <cellStyle name="Separador de milhares 2 8 7 2" xfId="42281" xr:uid="{00000000-0005-0000-0000-00002AA50000}"/>
    <cellStyle name="Separador de milhares 2 8 7 3" xfId="42282" xr:uid="{00000000-0005-0000-0000-00002BA50000}"/>
    <cellStyle name="Separador de milhares 2 8 7 4" xfId="42283" xr:uid="{00000000-0005-0000-0000-00002CA50000}"/>
    <cellStyle name="Separador de milhares 2 8 7 5" xfId="42284" xr:uid="{00000000-0005-0000-0000-00002DA50000}"/>
    <cellStyle name="Separador de milhares 2 8 7 6" xfId="42285" xr:uid="{00000000-0005-0000-0000-00002EA50000}"/>
    <cellStyle name="Separador de milhares 2 8 8" xfId="42286" xr:uid="{00000000-0005-0000-0000-00002FA50000}"/>
    <cellStyle name="Separador de milhares 2 8 8 2" xfId="42287" xr:uid="{00000000-0005-0000-0000-000030A50000}"/>
    <cellStyle name="Separador de milhares 2 8 8 3" xfId="42288" xr:uid="{00000000-0005-0000-0000-000031A50000}"/>
    <cellStyle name="Separador de milhares 2 8 8 4" xfId="42289" xr:uid="{00000000-0005-0000-0000-000032A50000}"/>
    <cellStyle name="Separador de milhares 2 8 8 5" xfId="42290" xr:uid="{00000000-0005-0000-0000-000033A50000}"/>
    <cellStyle name="Separador de milhares 2 8 8 6" xfId="42291" xr:uid="{00000000-0005-0000-0000-000034A50000}"/>
    <cellStyle name="Separador de milhares 2 8 9" xfId="42292" xr:uid="{00000000-0005-0000-0000-000035A50000}"/>
    <cellStyle name="Separador de milhares 2 9" xfId="42293" xr:uid="{00000000-0005-0000-0000-000036A50000}"/>
    <cellStyle name="Separador de milhares 2 9 10" xfId="42294" xr:uid="{00000000-0005-0000-0000-000037A50000}"/>
    <cellStyle name="Separador de milhares 2 9 11" xfId="42295" xr:uid="{00000000-0005-0000-0000-000038A50000}"/>
    <cellStyle name="Separador de milhares 2 9 12" xfId="42296" xr:uid="{00000000-0005-0000-0000-000039A50000}"/>
    <cellStyle name="Separador de milhares 2 9 13" xfId="42297" xr:uid="{00000000-0005-0000-0000-00003AA50000}"/>
    <cellStyle name="Separador de milhares 2 9 14" xfId="42298" xr:uid="{00000000-0005-0000-0000-00003BA50000}"/>
    <cellStyle name="Separador de milhares 2 9 2" xfId="42299" xr:uid="{00000000-0005-0000-0000-00003CA50000}"/>
    <cellStyle name="Separador de milhares 2 9 2 2" xfId="42300" xr:uid="{00000000-0005-0000-0000-00003DA50000}"/>
    <cellStyle name="Separador de milhares 2 9 2 3" xfId="42301" xr:uid="{00000000-0005-0000-0000-00003EA50000}"/>
    <cellStyle name="Separador de milhares 2 9 2 4" xfId="42302" xr:uid="{00000000-0005-0000-0000-00003FA50000}"/>
    <cellStyle name="Separador de milhares 2 9 2 5" xfId="42303" xr:uid="{00000000-0005-0000-0000-000040A50000}"/>
    <cellStyle name="Separador de milhares 2 9 2 6" xfId="42304" xr:uid="{00000000-0005-0000-0000-000041A50000}"/>
    <cellStyle name="Separador de milhares 2 9 3" xfId="42305" xr:uid="{00000000-0005-0000-0000-000042A50000}"/>
    <cellStyle name="Separador de milhares 2 9 3 2" xfId="42306" xr:uid="{00000000-0005-0000-0000-000043A50000}"/>
    <cellStyle name="Separador de milhares 2 9 3 3" xfId="42307" xr:uid="{00000000-0005-0000-0000-000044A50000}"/>
    <cellStyle name="Separador de milhares 2 9 3 4" xfId="42308" xr:uid="{00000000-0005-0000-0000-000045A50000}"/>
    <cellStyle name="Separador de milhares 2 9 3 5" xfId="42309" xr:uid="{00000000-0005-0000-0000-000046A50000}"/>
    <cellStyle name="Separador de milhares 2 9 3 6" xfId="42310" xr:uid="{00000000-0005-0000-0000-000047A50000}"/>
    <cellStyle name="Separador de milhares 2 9 4" xfId="42311" xr:uid="{00000000-0005-0000-0000-000048A50000}"/>
    <cellStyle name="Separador de milhares 2 9 4 2" xfId="42312" xr:uid="{00000000-0005-0000-0000-000049A50000}"/>
    <cellStyle name="Separador de milhares 2 9 4 3" xfId="42313" xr:uid="{00000000-0005-0000-0000-00004AA50000}"/>
    <cellStyle name="Separador de milhares 2 9 4 4" xfId="42314" xr:uid="{00000000-0005-0000-0000-00004BA50000}"/>
    <cellStyle name="Separador de milhares 2 9 4 5" xfId="42315" xr:uid="{00000000-0005-0000-0000-00004CA50000}"/>
    <cellStyle name="Separador de milhares 2 9 4 6" xfId="42316" xr:uid="{00000000-0005-0000-0000-00004DA50000}"/>
    <cellStyle name="Separador de milhares 2 9 5" xfId="42317" xr:uid="{00000000-0005-0000-0000-00004EA50000}"/>
    <cellStyle name="Separador de milhares 2 9 5 2" xfId="42318" xr:uid="{00000000-0005-0000-0000-00004FA50000}"/>
    <cellStyle name="Separador de milhares 2 9 5 3" xfId="42319" xr:uid="{00000000-0005-0000-0000-000050A50000}"/>
    <cellStyle name="Separador de milhares 2 9 5 4" xfId="42320" xr:uid="{00000000-0005-0000-0000-000051A50000}"/>
    <cellStyle name="Separador de milhares 2 9 5 5" xfId="42321" xr:uid="{00000000-0005-0000-0000-000052A50000}"/>
    <cellStyle name="Separador de milhares 2 9 5 6" xfId="42322" xr:uid="{00000000-0005-0000-0000-000053A50000}"/>
    <cellStyle name="Separador de milhares 2 9 6" xfId="42323" xr:uid="{00000000-0005-0000-0000-000054A50000}"/>
    <cellStyle name="Separador de milhares 2 9 6 2" xfId="42324" xr:uid="{00000000-0005-0000-0000-000055A50000}"/>
    <cellStyle name="Separador de milhares 2 9 6 3" xfId="42325" xr:uid="{00000000-0005-0000-0000-000056A50000}"/>
    <cellStyle name="Separador de milhares 2 9 6 4" xfId="42326" xr:uid="{00000000-0005-0000-0000-000057A50000}"/>
    <cellStyle name="Separador de milhares 2 9 6 5" xfId="42327" xr:uid="{00000000-0005-0000-0000-000058A50000}"/>
    <cellStyle name="Separador de milhares 2 9 6 6" xfId="42328" xr:uid="{00000000-0005-0000-0000-000059A50000}"/>
    <cellStyle name="Separador de milhares 2 9 7" xfId="42329" xr:uid="{00000000-0005-0000-0000-00005AA50000}"/>
    <cellStyle name="Separador de milhares 2 9 7 2" xfId="42330" xr:uid="{00000000-0005-0000-0000-00005BA50000}"/>
    <cellStyle name="Separador de milhares 2 9 7 3" xfId="42331" xr:uid="{00000000-0005-0000-0000-00005CA50000}"/>
    <cellStyle name="Separador de milhares 2 9 7 4" xfId="42332" xr:uid="{00000000-0005-0000-0000-00005DA50000}"/>
    <cellStyle name="Separador de milhares 2 9 7 5" xfId="42333" xr:uid="{00000000-0005-0000-0000-00005EA50000}"/>
    <cellStyle name="Separador de milhares 2 9 7 6" xfId="42334" xr:uid="{00000000-0005-0000-0000-00005FA50000}"/>
    <cellStyle name="Separador de milhares 2 9 8" xfId="42335" xr:uid="{00000000-0005-0000-0000-000060A50000}"/>
    <cellStyle name="Separador de milhares 2 9 8 2" xfId="42336" xr:uid="{00000000-0005-0000-0000-000061A50000}"/>
    <cellStyle name="Separador de milhares 2 9 8 3" xfId="42337" xr:uid="{00000000-0005-0000-0000-000062A50000}"/>
    <cellStyle name="Separador de milhares 2 9 8 4" xfId="42338" xr:uid="{00000000-0005-0000-0000-000063A50000}"/>
    <cellStyle name="Separador de milhares 2 9 8 5" xfId="42339" xr:uid="{00000000-0005-0000-0000-000064A50000}"/>
    <cellStyle name="Separador de milhares 2 9 8 6" xfId="42340" xr:uid="{00000000-0005-0000-0000-000065A50000}"/>
    <cellStyle name="Separador de milhares 2 9 9" xfId="42341" xr:uid="{00000000-0005-0000-0000-000066A50000}"/>
    <cellStyle name="Separador de milhares 23" xfId="42342" xr:uid="{00000000-0005-0000-0000-000067A50000}"/>
    <cellStyle name="Separador de milhares 3" xfId="865" xr:uid="{00000000-0005-0000-0000-000068A50000}"/>
    <cellStyle name="Separador de milhares 3 10" xfId="42343" xr:uid="{00000000-0005-0000-0000-000069A50000}"/>
    <cellStyle name="Separador de milhares 3 11" xfId="42344" xr:uid="{00000000-0005-0000-0000-00006AA50000}"/>
    <cellStyle name="Separador de milhares 3 12" xfId="42345" xr:uid="{00000000-0005-0000-0000-00006BA50000}"/>
    <cellStyle name="Separador de milhares 3 13" xfId="42346" xr:uid="{00000000-0005-0000-0000-00006CA50000}"/>
    <cellStyle name="Separador de milhares 3 14" xfId="42347" xr:uid="{00000000-0005-0000-0000-00006DA50000}"/>
    <cellStyle name="Separador de milhares 3 15" xfId="42348" xr:uid="{00000000-0005-0000-0000-00006EA50000}"/>
    <cellStyle name="Separador de milhares 3 16" xfId="42349" xr:uid="{00000000-0005-0000-0000-00006FA50000}"/>
    <cellStyle name="Separador de milhares 3 17" xfId="42350" xr:uid="{00000000-0005-0000-0000-000070A50000}"/>
    <cellStyle name="Separador de milhares 3 18" xfId="42351" xr:uid="{00000000-0005-0000-0000-000071A50000}"/>
    <cellStyle name="Separador de milhares 3 19" xfId="42352" xr:uid="{00000000-0005-0000-0000-000072A50000}"/>
    <cellStyle name="Separador de milhares 3 2" xfId="1133" xr:uid="{00000000-0005-0000-0000-000073A50000}"/>
    <cellStyle name="Separador de milhares 3 2 2" xfId="42353" xr:uid="{00000000-0005-0000-0000-000074A50000}"/>
    <cellStyle name="Separador de milhares 3 2 2 2" xfId="42354" xr:uid="{00000000-0005-0000-0000-000075A50000}"/>
    <cellStyle name="Separador de milhares 3 2 2 3" xfId="42355" xr:uid="{00000000-0005-0000-0000-000076A50000}"/>
    <cellStyle name="Separador de milhares 3 2 3" xfId="42356" xr:uid="{00000000-0005-0000-0000-000077A50000}"/>
    <cellStyle name="Separador de milhares 3 2 4" xfId="42357" xr:uid="{00000000-0005-0000-0000-000078A50000}"/>
    <cellStyle name="Separador de milhares 3 2 5" xfId="43286" xr:uid="{00000000-0005-0000-0000-000079A50000}"/>
    <cellStyle name="Separador de milhares 3 20" xfId="42358" xr:uid="{00000000-0005-0000-0000-00007AA50000}"/>
    <cellStyle name="Separador de milhares 3 21" xfId="42359" xr:uid="{00000000-0005-0000-0000-00007BA50000}"/>
    <cellStyle name="Separador de milhares 3 22" xfId="42360" xr:uid="{00000000-0005-0000-0000-00007CA50000}"/>
    <cellStyle name="Separador de milhares 3 23" xfId="42361" xr:uid="{00000000-0005-0000-0000-00007DA50000}"/>
    <cellStyle name="Separador de milhares 3 24" xfId="42362" xr:uid="{00000000-0005-0000-0000-00007EA50000}"/>
    <cellStyle name="Separador de milhares 3 25" xfId="42363" xr:uid="{00000000-0005-0000-0000-00007FA50000}"/>
    <cellStyle name="Separador de milhares 3 26" xfId="42364" xr:uid="{00000000-0005-0000-0000-000080A50000}"/>
    <cellStyle name="Separador de milhares 3 27" xfId="42365" xr:uid="{00000000-0005-0000-0000-000081A50000}"/>
    <cellStyle name="Separador de milhares 3 28" xfId="42366" xr:uid="{00000000-0005-0000-0000-000082A50000}"/>
    <cellStyle name="Separador de milhares 3 29" xfId="42367" xr:uid="{00000000-0005-0000-0000-000083A50000}"/>
    <cellStyle name="Separador de milhares 3 3" xfId="1134" xr:uid="{00000000-0005-0000-0000-000084A50000}"/>
    <cellStyle name="Separador de milhares 3 3 2" xfId="43287" xr:uid="{00000000-0005-0000-0000-000085A50000}"/>
    <cellStyle name="Separador de milhares 3 30" xfId="42368" xr:uid="{00000000-0005-0000-0000-000086A50000}"/>
    <cellStyle name="Separador de milhares 3 31" xfId="42369" xr:uid="{00000000-0005-0000-0000-000087A50000}"/>
    <cellStyle name="Separador de milhares 3 32" xfId="42370" xr:uid="{00000000-0005-0000-0000-000088A50000}"/>
    <cellStyle name="Separador de milhares 3 33" xfId="42371" xr:uid="{00000000-0005-0000-0000-000089A50000}"/>
    <cellStyle name="Separador de milhares 3 34" xfId="42372" xr:uid="{00000000-0005-0000-0000-00008AA50000}"/>
    <cellStyle name="Separador de milhares 3 35" xfId="42373" xr:uid="{00000000-0005-0000-0000-00008BA50000}"/>
    <cellStyle name="Separador de milhares 3 36" xfId="42374" xr:uid="{00000000-0005-0000-0000-00008CA50000}"/>
    <cellStyle name="Separador de milhares 3 37" xfId="42375" xr:uid="{00000000-0005-0000-0000-00008DA50000}"/>
    <cellStyle name="Separador de milhares 3 38" xfId="42376" xr:uid="{00000000-0005-0000-0000-00008EA50000}"/>
    <cellStyle name="Separador de milhares 3 39" xfId="42377" xr:uid="{00000000-0005-0000-0000-00008FA50000}"/>
    <cellStyle name="Separador de milhares 3 4" xfId="1135" xr:uid="{00000000-0005-0000-0000-000090A50000}"/>
    <cellStyle name="Separador de milhares 3 4 2" xfId="43288" xr:uid="{00000000-0005-0000-0000-000091A50000}"/>
    <cellStyle name="Separador de milhares 3 40" xfId="42378" xr:uid="{00000000-0005-0000-0000-000092A50000}"/>
    <cellStyle name="Separador de milhares 3 41" xfId="42379" xr:uid="{00000000-0005-0000-0000-000093A50000}"/>
    <cellStyle name="Separador de milhares 3 42" xfId="42380" xr:uid="{00000000-0005-0000-0000-000094A50000}"/>
    <cellStyle name="Separador de milhares 3 43" xfId="42381" xr:uid="{00000000-0005-0000-0000-000095A50000}"/>
    <cellStyle name="Separador de milhares 3 44" xfId="42382" xr:uid="{00000000-0005-0000-0000-000096A50000}"/>
    <cellStyle name="Separador de milhares 3 45" xfId="42383" xr:uid="{00000000-0005-0000-0000-000097A50000}"/>
    <cellStyle name="Separador de milhares 3 46" xfId="42384" xr:uid="{00000000-0005-0000-0000-000098A50000}"/>
    <cellStyle name="Separador de milhares 3 47" xfId="42385" xr:uid="{00000000-0005-0000-0000-000099A50000}"/>
    <cellStyle name="Separador de milhares 3 48" xfId="42386" xr:uid="{00000000-0005-0000-0000-00009AA50000}"/>
    <cellStyle name="Separador de milhares 3 49" xfId="43285" xr:uid="{00000000-0005-0000-0000-00009BA50000}"/>
    <cellStyle name="Separador de milhares 3 5" xfId="1136" xr:uid="{00000000-0005-0000-0000-00009CA50000}"/>
    <cellStyle name="Separador de milhares 3 5 2" xfId="1856" xr:uid="{00000000-0005-0000-0000-00009DA50000}"/>
    <cellStyle name="Separador de milhares 3 5 2 2" xfId="2052" xr:uid="{00000000-0005-0000-0000-00009EA50000}"/>
    <cellStyle name="Separador de milhares 3 5 2 2 2" xfId="2592" xr:uid="{00000000-0005-0000-0000-00009FA50000}"/>
    <cellStyle name="Separador de milhares 3 5 2 2 3" xfId="43386" xr:uid="{00000000-0005-0000-0000-0000A0A50000}"/>
    <cellStyle name="Separador de milhares 3 5 2 3" xfId="2593" xr:uid="{00000000-0005-0000-0000-0000A1A50000}"/>
    <cellStyle name="Separador de milhares 3 5 2 3 2" xfId="43387" xr:uid="{00000000-0005-0000-0000-0000A2A50000}"/>
    <cellStyle name="Separador de milhares 3 5 2 4" xfId="2469" xr:uid="{00000000-0005-0000-0000-0000A3A50000}"/>
    <cellStyle name="Separador de milhares 3 5 2 5" xfId="2388" xr:uid="{00000000-0005-0000-0000-0000A4A50000}"/>
    <cellStyle name="Separador de milhares 3 5 2 6" xfId="43290" xr:uid="{00000000-0005-0000-0000-0000A5A50000}"/>
    <cellStyle name="Separador de milhares 3 5 3" xfId="1951" xr:uid="{00000000-0005-0000-0000-0000A6A50000}"/>
    <cellStyle name="Separador de milhares 3 5 3 2" xfId="2594" xr:uid="{00000000-0005-0000-0000-0000A7A50000}"/>
    <cellStyle name="Separador de milhares 3 5 3 3" xfId="43388" xr:uid="{00000000-0005-0000-0000-0000A8A50000}"/>
    <cellStyle name="Separador de milhares 3 5 4" xfId="2595" xr:uid="{00000000-0005-0000-0000-0000A9A50000}"/>
    <cellStyle name="Separador de milhares 3 5 4 2" xfId="43389" xr:uid="{00000000-0005-0000-0000-0000AAA50000}"/>
    <cellStyle name="Separador de milhares 3 5 5" xfId="2468" xr:uid="{00000000-0005-0000-0000-0000ABA50000}"/>
    <cellStyle name="Separador de milhares 3 5 6" xfId="2263" xr:uid="{00000000-0005-0000-0000-0000ACA50000}"/>
    <cellStyle name="Separador de milhares 3 5 7" xfId="43289" xr:uid="{00000000-0005-0000-0000-0000ADA50000}"/>
    <cellStyle name="Separador de milhares 3 6" xfId="42387" xr:uid="{00000000-0005-0000-0000-0000AEA50000}"/>
    <cellStyle name="Separador de milhares 3 7" xfId="42388" xr:uid="{00000000-0005-0000-0000-0000AFA50000}"/>
    <cellStyle name="Separador de milhares 3 8" xfId="42389" xr:uid="{00000000-0005-0000-0000-0000B0A50000}"/>
    <cellStyle name="Separador de milhares 3 9" xfId="42390" xr:uid="{00000000-0005-0000-0000-0000B1A50000}"/>
    <cellStyle name="Separador de milhares 4" xfId="1137" xr:uid="{00000000-0005-0000-0000-0000B2A50000}"/>
    <cellStyle name="Separador de milhares 4 10" xfId="42391" xr:uid="{00000000-0005-0000-0000-0000B3A50000}"/>
    <cellStyle name="Separador de milhares 4 10 2" xfId="42392" xr:uid="{00000000-0005-0000-0000-0000B4A50000}"/>
    <cellStyle name="Separador de milhares 4 10 2 2" xfId="42393" xr:uid="{00000000-0005-0000-0000-0000B5A50000}"/>
    <cellStyle name="Separador de milhares 4 10 2 3" xfId="42394" xr:uid="{00000000-0005-0000-0000-0000B6A50000}"/>
    <cellStyle name="Separador de milhares 4 10 2 4" xfId="42395" xr:uid="{00000000-0005-0000-0000-0000B7A50000}"/>
    <cellStyle name="Separador de milhares 4 10 3" xfId="42396" xr:uid="{00000000-0005-0000-0000-0000B8A50000}"/>
    <cellStyle name="Separador de milhares 4 10 3 2" xfId="42397" xr:uid="{00000000-0005-0000-0000-0000B9A50000}"/>
    <cellStyle name="Separador de milhares 4 10 3 3" xfId="42398" xr:uid="{00000000-0005-0000-0000-0000BAA50000}"/>
    <cellStyle name="Separador de milhares 4 10 3 4" xfId="42399" xr:uid="{00000000-0005-0000-0000-0000BBA50000}"/>
    <cellStyle name="Separador de milhares 4 10 4" xfId="42400" xr:uid="{00000000-0005-0000-0000-0000BCA50000}"/>
    <cellStyle name="Separador de milhares 4 10 5" xfId="42401" xr:uid="{00000000-0005-0000-0000-0000BDA50000}"/>
    <cellStyle name="Separador de milhares 4 10 6" xfId="42402" xr:uid="{00000000-0005-0000-0000-0000BEA50000}"/>
    <cellStyle name="Separador de milhares 4 11" xfId="42403" xr:uid="{00000000-0005-0000-0000-0000BFA50000}"/>
    <cellStyle name="Separador de milhares 4 11 2" xfId="42404" xr:uid="{00000000-0005-0000-0000-0000C0A50000}"/>
    <cellStyle name="Separador de milhares 4 11 2 2" xfId="42405" xr:uid="{00000000-0005-0000-0000-0000C1A50000}"/>
    <cellStyle name="Separador de milhares 4 11 2 3" xfId="42406" xr:uid="{00000000-0005-0000-0000-0000C2A50000}"/>
    <cellStyle name="Separador de milhares 4 11 2 4" xfId="42407" xr:uid="{00000000-0005-0000-0000-0000C3A50000}"/>
    <cellStyle name="Separador de milhares 4 11 3" xfId="42408" xr:uid="{00000000-0005-0000-0000-0000C4A50000}"/>
    <cellStyle name="Separador de milhares 4 11 3 2" xfId="42409" xr:uid="{00000000-0005-0000-0000-0000C5A50000}"/>
    <cellStyle name="Separador de milhares 4 11 3 3" xfId="42410" xr:uid="{00000000-0005-0000-0000-0000C6A50000}"/>
    <cellStyle name="Separador de milhares 4 11 3 4" xfId="42411" xr:uid="{00000000-0005-0000-0000-0000C7A50000}"/>
    <cellStyle name="Separador de milhares 4 11 4" xfId="42412" xr:uid="{00000000-0005-0000-0000-0000C8A50000}"/>
    <cellStyle name="Separador de milhares 4 11 5" xfId="42413" xr:uid="{00000000-0005-0000-0000-0000C9A50000}"/>
    <cellStyle name="Separador de milhares 4 11 6" xfId="42414" xr:uid="{00000000-0005-0000-0000-0000CAA50000}"/>
    <cellStyle name="Separador de milhares 4 12" xfId="42415" xr:uid="{00000000-0005-0000-0000-0000CBA50000}"/>
    <cellStyle name="Separador de milhares 4 12 2" xfId="42416" xr:uid="{00000000-0005-0000-0000-0000CCA50000}"/>
    <cellStyle name="Separador de milhares 4 12 2 2" xfId="42417" xr:uid="{00000000-0005-0000-0000-0000CDA50000}"/>
    <cellStyle name="Separador de milhares 4 12 2 3" xfId="42418" xr:uid="{00000000-0005-0000-0000-0000CEA50000}"/>
    <cellStyle name="Separador de milhares 4 12 2 4" xfId="42419" xr:uid="{00000000-0005-0000-0000-0000CFA50000}"/>
    <cellStyle name="Separador de milhares 4 12 3" xfId="42420" xr:uid="{00000000-0005-0000-0000-0000D0A50000}"/>
    <cellStyle name="Separador de milhares 4 12 3 2" xfId="42421" xr:uid="{00000000-0005-0000-0000-0000D1A50000}"/>
    <cellStyle name="Separador de milhares 4 12 3 3" xfId="42422" xr:uid="{00000000-0005-0000-0000-0000D2A50000}"/>
    <cellStyle name="Separador de milhares 4 12 3 4" xfId="42423" xr:uid="{00000000-0005-0000-0000-0000D3A50000}"/>
    <cellStyle name="Separador de milhares 4 12 4" xfId="42424" xr:uid="{00000000-0005-0000-0000-0000D4A50000}"/>
    <cellStyle name="Separador de milhares 4 12 5" xfId="42425" xr:uid="{00000000-0005-0000-0000-0000D5A50000}"/>
    <cellStyle name="Separador de milhares 4 12 6" xfId="42426" xr:uid="{00000000-0005-0000-0000-0000D6A50000}"/>
    <cellStyle name="Separador de milhares 4 13" xfId="42427" xr:uid="{00000000-0005-0000-0000-0000D7A50000}"/>
    <cellStyle name="Separador de milhares 4 13 2" xfId="42428" xr:uid="{00000000-0005-0000-0000-0000D8A50000}"/>
    <cellStyle name="Separador de milhares 4 13 2 2" xfId="42429" xr:uid="{00000000-0005-0000-0000-0000D9A50000}"/>
    <cellStyle name="Separador de milhares 4 13 2 3" xfId="42430" xr:uid="{00000000-0005-0000-0000-0000DAA50000}"/>
    <cellStyle name="Separador de milhares 4 13 2 4" xfId="42431" xr:uid="{00000000-0005-0000-0000-0000DBA50000}"/>
    <cellStyle name="Separador de milhares 4 13 3" xfId="42432" xr:uid="{00000000-0005-0000-0000-0000DCA50000}"/>
    <cellStyle name="Separador de milhares 4 13 3 2" xfId="42433" xr:uid="{00000000-0005-0000-0000-0000DDA50000}"/>
    <cellStyle name="Separador de milhares 4 13 3 3" xfId="42434" xr:uid="{00000000-0005-0000-0000-0000DEA50000}"/>
    <cellStyle name="Separador de milhares 4 13 3 4" xfId="42435" xr:uid="{00000000-0005-0000-0000-0000DFA50000}"/>
    <cellStyle name="Separador de milhares 4 13 4" xfId="42436" xr:uid="{00000000-0005-0000-0000-0000E0A50000}"/>
    <cellStyle name="Separador de milhares 4 13 5" xfId="42437" xr:uid="{00000000-0005-0000-0000-0000E1A50000}"/>
    <cellStyle name="Separador de milhares 4 13 6" xfId="42438" xr:uid="{00000000-0005-0000-0000-0000E2A50000}"/>
    <cellStyle name="Separador de milhares 4 14" xfId="42439" xr:uid="{00000000-0005-0000-0000-0000E3A50000}"/>
    <cellStyle name="Separador de milhares 4 14 2" xfId="42440" xr:uid="{00000000-0005-0000-0000-0000E4A50000}"/>
    <cellStyle name="Separador de milhares 4 14 2 2" xfId="42441" xr:uid="{00000000-0005-0000-0000-0000E5A50000}"/>
    <cellStyle name="Separador de milhares 4 14 2 3" xfId="42442" xr:uid="{00000000-0005-0000-0000-0000E6A50000}"/>
    <cellStyle name="Separador de milhares 4 14 2 4" xfId="42443" xr:uid="{00000000-0005-0000-0000-0000E7A50000}"/>
    <cellStyle name="Separador de milhares 4 14 3" xfId="42444" xr:uid="{00000000-0005-0000-0000-0000E8A50000}"/>
    <cellStyle name="Separador de milhares 4 14 3 2" xfId="42445" xr:uid="{00000000-0005-0000-0000-0000E9A50000}"/>
    <cellStyle name="Separador de milhares 4 14 3 3" xfId="42446" xr:uid="{00000000-0005-0000-0000-0000EAA50000}"/>
    <cellStyle name="Separador de milhares 4 14 3 4" xfId="42447" xr:uid="{00000000-0005-0000-0000-0000EBA50000}"/>
    <cellStyle name="Separador de milhares 4 14 4" xfId="42448" xr:uid="{00000000-0005-0000-0000-0000ECA50000}"/>
    <cellStyle name="Separador de milhares 4 14 5" xfId="42449" xr:uid="{00000000-0005-0000-0000-0000EDA50000}"/>
    <cellStyle name="Separador de milhares 4 14 6" xfId="42450" xr:uid="{00000000-0005-0000-0000-0000EEA50000}"/>
    <cellStyle name="Separador de milhares 4 15" xfId="42451" xr:uid="{00000000-0005-0000-0000-0000EFA50000}"/>
    <cellStyle name="Separador de milhares 4 15 2" xfId="42452" xr:uid="{00000000-0005-0000-0000-0000F0A50000}"/>
    <cellStyle name="Separador de milhares 4 15 2 2" xfId="42453" xr:uid="{00000000-0005-0000-0000-0000F1A50000}"/>
    <cellStyle name="Separador de milhares 4 15 2 3" xfId="42454" xr:uid="{00000000-0005-0000-0000-0000F2A50000}"/>
    <cellStyle name="Separador de milhares 4 15 2 4" xfId="42455" xr:uid="{00000000-0005-0000-0000-0000F3A50000}"/>
    <cellStyle name="Separador de milhares 4 15 3" xfId="42456" xr:uid="{00000000-0005-0000-0000-0000F4A50000}"/>
    <cellStyle name="Separador de milhares 4 15 3 2" xfId="42457" xr:uid="{00000000-0005-0000-0000-0000F5A50000}"/>
    <cellStyle name="Separador de milhares 4 15 3 3" xfId="42458" xr:uid="{00000000-0005-0000-0000-0000F6A50000}"/>
    <cellStyle name="Separador de milhares 4 15 3 4" xfId="42459" xr:uid="{00000000-0005-0000-0000-0000F7A50000}"/>
    <cellStyle name="Separador de milhares 4 15 4" xfId="42460" xr:uid="{00000000-0005-0000-0000-0000F8A50000}"/>
    <cellStyle name="Separador de milhares 4 15 5" xfId="42461" xr:uid="{00000000-0005-0000-0000-0000F9A50000}"/>
    <cellStyle name="Separador de milhares 4 15 6" xfId="42462" xr:uid="{00000000-0005-0000-0000-0000FAA50000}"/>
    <cellStyle name="Separador de milhares 4 16" xfId="42463" xr:uid="{00000000-0005-0000-0000-0000FBA50000}"/>
    <cellStyle name="Separador de milhares 4 16 2" xfId="42464" xr:uid="{00000000-0005-0000-0000-0000FCA50000}"/>
    <cellStyle name="Separador de milhares 4 16 2 2" xfId="42465" xr:uid="{00000000-0005-0000-0000-0000FDA50000}"/>
    <cellStyle name="Separador de milhares 4 16 2 3" xfId="42466" xr:uid="{00000000-0005-0000-0000-0000FEA50000}"/>
    <cellStyle name="Separador de milhares 4 16 2 4" xfId="42467" xr:uid="{00000000-0005-0000-0000-0000FFA50000}"/>
    <cellStyle name="Separador de milhares 4 16 3" xfId="42468" xr:uid="{00000000-0005-0000-0000-000000A60000}"/>
    <cellStyle name="Separador de milhares 4 16 3 2" xfId="42469" xr:uid="{00000000-0005-0000-0000-000001A60000}"/>
    <cellStyle name="Separador de milhares 4 16 3 3" xfId="42470" xr:uid="{00000000-0005-0000-0000-000002A60000}"/>
    <cellStyle name="Separador de milhares 4 16 3 4" xfId="42471" xr:uid="{00000000-0005-0000-0000-000003A60000}"/>
    <cellStyle name="Separador de milhares 4 16 4" xfId="42472" xr:uid="{00000000-0005-0000-0000-000004A60000}"/>
    <cellStyle name="Separador de milhares 4 16 5" xfId="42473" xr:uid="{00000000-0005-0000-0000-000005A60000}"/>
    <cellStyle name="Separador de milhares 4 16 6" xfId="42474" xr:uid="{00000000-0005-0000-0000-000006A60000}"/>
    <cellStyle name="Separador de milhares 4 17" xfId="42475" xr:uid="{00000000-0005-0000-0000-000007A60000}"/>
    <cellStyle name="Separador de milhares 4 17 2" xfId="42476" xr:uid="{00000000-0005-0000-0000-000008A60000}"/>
    <cellStyle name="Separador de milhares 4 17 2 2" xfId="42477" xr:uid="{00000000-0005-0000-0000-000009A60000}"/>
    <cellStyle name="Separador de milhares 4 17 2 3" xfId="42478" xr:uid="{00000000-0005-0000-0000-00000AA60000}"/>
    <cellStyle name="Separador de milhares 4 17 2 4" xfId="42479" xr:uid="{00000000-0005-0000-0000-00000BA60000}"/>
    <cellStyle name="Separador de milhares 4 17 3" xfId="42480" xr:uid="{00000000-0005-0000-0000-00000CA60000}"/>
    <cellStyle name="Separador de milhares 4 17 3 2" xfId="42481" xr:uid="{00000000-0005-0000-0000-00000DA60000}"/>
    <cellStyle name="Separador de milhares 4 17 3 3" xfId="42482" xr:uid="{00000000-0005-0000-0000-00000EA60000}"/>
    <cellStyle name="Separador de milhares 4 17 3 4" xfId="42483" xr:uid="{00000000-0005-0000-0000-00000FA60000}"/>
    <cellStyle name="Separador de milhares 4 17 4" xfId="42484" xr:uid="{00000000-0005-0000-0000-000010A60000}"/>
    <cellStyle name="Separador de milhares 4 17 5" xfId="42485" xr:uid="{00000000-0005-0000-0000-000011A60000}"/>
    <cellStyle name="Separador de milhares 4 17 6" xfId="42486" xr:uid="{00000000-0005-0000-0000-000012A60000}"/>
    <cellStyle name="Separador de milhares 4 18" xfId="42487" xr:uid="{00000000-0005-0000-0000-000013A60000}"/>
    <cellStyle name="Separador de milhares 4 18 2" xfId="42488" xr:uid="{00000000-0005-0000-0000-000014A60000}"/>
    <cellStyle name="Separador de milhares 4 18 2 2" xfId="42489" xr:uid="{00000000-0005-0000-0000-000015A60000}"/>
    <cellStyle name="Separador de milhares 4 18 2 3" xfId="42490" xr:uid="{00000000-0005-0000-0000-000016A60000}"/>
    <cellStyle name="Separador de milhares 4 18 2 4" xfId="42491" xr:uid="{00000000-0005-0000-0000-000017A60000}"/>
    <cellStyle name="Separador de milhares 4 18 3" xfId="42492" xr:uid="{00000000-0005-0000-0000-000018A60000}"/>
    <cellStyle name="Separador de milhares 4 18 3 2" xfId="42493" xr:uid="{00000000-0005-0000-0000-000019A60000}"/>
    <cellStyle name="Separador de milhares 4 18 3 3" xfId="42494" xr:uid="{00000000-0005-0000-0000-00001AA60000}"/>
    <cellStyle name="Separador de milhares 4 18 3 4" xfId="42495" xr:uid="{00000000-0005-0000-0000-00001BA60000}"/>
    <cellStyle name="Separador de milhares 4 18 4" xfId="42496" xr:uid="{00000000-0005-0000-0000-00001CA60000}"/>
    <cellStyle name="Separador de milhares 4 18 5" xfId="42497" xr:uid="{00000000-0005-0000-0000-00001DA60000}"/>
    <cellStyle name="Separador de milhares 4 18 6" xfId="42498" xr:uid="{00000000-0005-0000-0000-00001EA60000}"/>
    <cellStyle name="Separador de milhares 4 19" xfId="42499" xr:uid="{00000000-0005-0000-0000-00001FA60000}"/>
    <cellStyle name="Separador de milhares 4 19 2" xfId="42500" xr:uid="{00000000-0005-0000-0000-000020A60000}"/>
    <cellStyle name="Separador de milhares 4 19 2 2" xfId="42501" xr:uid="{00000000-0005-0000-0000-000021A60000}"/>
    <cellStyle name="Separador de milhares 4 19 2 3" xfId="42502" xr:uid="{00000000-0005-0000-0000-000022A60000}"/>
    <cellStyle name="Separador de milhares 4 19 2 4" xfId="42503" xr:uid="{00000000-0005-0000-0000-000023A60000}"/>
    <cellStyle name="Separador de milhares 4 19 3" xfId="42504" xr:uid="{00000000-0005-0000-0000-000024A60000}"/>
    <cellStyle name="Separador de milhares 4 19 3 2" xfId="42505" xr:uid="{00000000-0005-0000-0000-000025A60000}"/>
    <cellStyle name="Separador de milhares 4 19 3 3" xfId="42506" xr:uid="{00000000-0005-0000-0000-000026A60000}"/>
    <cellStyle name="Separador de milhares 4 19 3 4" xfId="42507" xr:uid="{00000000-0005-0000-0000-000027A60000}"/>
    <cellStyle name="Separador de milhares 4 19 4" xfId="42508" xr:uid="{00000000-0005-0000-0000-000028A60000}"/>
    <cellStyle name="Separador de milhares 4 19 5" xfId="42509" xr:uid="{00000000-0005-0000-0000-000029A60000}"/>
    <cellStyle name="Separador de milhares 4 19 6" xfId="42510" xr:uid="{00000000-0005-0000-0000-00002AA60000}"/>
    <cellStyle name="Separador de milhares 4 2" xfId="1138" xr:uid="{00000000-0005-0000-0000-00002BA60000}"/>
    <cellStyle name="Separador de milhares 4 2 10" xfId="42511" xr:uid="{00000000-0005-0000-0000-00002CA60000}"/>
    <cellStyle name="Separador de milhares 4 2 10 2" xfId="42512" xr:uid="{00000000-0005-0000-0000-00002DA60000}"/>
    <cellStyle name="Separador de milhares 4 2 10 2 2" xfId="42513" xr:uid="{00000000-0005-0000-0000-00002EA60000}"/>
    <cellStyle name="Separador de milhares 4 2 10 2 3" xfId="42514" xr:uid="{00000000-0005-0000-0000-00002FA60000}"/>
    <cellStyle name="Separador de milhares 4 2 10 2 4" xfId="42515" xr:uid="{00000000-0005-0000-0000-000030A60000}"/>
    <cellStyle name="Separador de milhares 4 2 10 3" xfId="42516" xr:uid="{00000000-0005-0000-0000-000031A60000}"/>
    <cellStyle name="Separador de milhares 4 2 10 3 2" xfId="42517" xr:uid="{00000000-0005-0000-0000-000032A60000}"/>
    <cellStyle name="Separador de milhares 4 2 10 3 3" xfId="42518" xr:uid="{00000000-0005-0000-0000-000033A60000}"/>
    <cellStyle name="Separador de milhares 4 2 10 3 4" xfId="42519" xr:uid="{00000000-0005-0000-0000-000034A60000}"/>
    <cellStyle name="Separador de milhares 4 2 10 4" xfId="42520" xr:uid="{00000000-0005-0000-0000-000035A60000}"/>
    <cellStyle name="Separador de milhares 4 2 10 5" xfId="42521" xr:uid="{00000000-0005-0000-0000-000036A60000}"/>
    <cellStyle name="Separador de milhares 4 2 10 6" xfId="42522" xr:uid="{00000000-0005-0000-0000-000037A60000}"/>
    <cellStyle name="Separador de milhares 4 2 11" xfId="42523" xr:uid="{00000000-0005-0000-0000-000038A60000}"/>
    <cellStyle name="Separador de milhares 4 2 11 2" xfId="42524" xr:uid="{00000000-0005-0000-0000-000039A60000}"/>
    <cellStyle name="Separador de milhares 4 2 11 2 2" xfId="42525" xr:uid="{00000000-0005-0000-0000-00003AA60000}"/>
    <cellStyle name="Separador de milhares 4 2 11 2 3" xfId="42526" xr:uid="{00000000-0005-0000-0000-00003BA60000}"/>
    <cellStyle name="Separador de milhares 4 2 11 2 4" xfId="42527" xr:uid="{00000000-0005-0000-0000-00003CA60000}"/>
    <cellStyle name="Separador de milhares 4 2 11 3" xfId="42528" xr:uid="{00000000-0005-0000-0000-00003DA60000}"/>
    <cellStyle name="Separador de milhares 4 2 11 3 2" xfId="42529" xr:uid="{00000000-0005-0000-0000-00003EA60000}"/>
    <cellStyle name="Separador de milhares 4 2 11 3 3" xfId="42530" xr:uid="{00000000-0005-0000-0000-00003FA60000}"/>
    <cellStyle name="Separador de milhares 4 2 11 3 4" xfId="42531" xr:uid="{00000000-0005-0000-0000-000040A60000}"/>
    <cellStyle name="Separador de milhares 4 2 11 4" xfId="42532" xr:uid="{00000000-0005-0000-0000-000041A60000}"/>
    <cellStyle name="Separador de milhares 4 2 11 5" xfId="42533" xr:uid="{00000000-0005-0000-0000-000042A60000}"/>
    <cellStyle name="Separador de milhares 4 2 11 6" xfId="42534" xr:uid="{00000000-0005-0000-0000-000043A60000}"/>
    <cellStyle name="Separador de milhares 4 2 12" xfId="42535" xr:uid="{00000000-0005-0000-0000-000044A60000}"/>
    <cellStyle name="Separador de milhares 4 2 12 2" xfId="42536" xr:uid="{00000000-0005-0000-0000-000045A60000}"/>
    <cellStyle name="Separador de milhares 4 2 12 2 2" xfId="42537" xr:uid="{00000000-0005-0000-0000-000046A60000}"/>
    <cellStyle name="Separador de milhares 4 2 12 2 3" xfId="42538" xr:uid="{00000000-0005-0000-0000-000047A60000}"/>
    <cellStyle name="Separador de milhares 4 2 12 2 4" xfId="42539" xr:uid="{00000000-0005-0000-0000-000048A60000}"/>
    <cellStyle name="Separador de milhares 4 2 12 3" xfId="42540" xr:uid="{00000000-0005-0000-0000-000049A60000}"/>
    <cellStyle name="Separador de milhares 4 2 12 3 2" xfId="42541" xr:uid="{00000000-0005-0000-0000-00004AA60000}"/>
    <cellStyle name="Separador de milhares 4 2 12 3 3" xfId="42542" xr:uid="{00000000-0005-0000-0000-00004BA60000}"/>
    <cellStyle name="Separador de milhares 4 2 12 3 4" xfId="42543" xr:uid="{00000000-0005-0000-0000-00004CA60000}"/>
    <cellStyle name="Separador de milhares 4 2 12 4" xfId="42544" xr:uid="{00000000-0005-0000-0000-00004DA60000}"/>
    <cellStyle name="Separador de milhares 4 2 12 5" xfId="42545" xr:uid="{00000000-0005-0000-0000-00004EA60000}"/>
    <cellStyle name="Separador de milhares 4 2 12 6" xfId="42546" xr:uid="{00000000-0005-0000-0000-00004FA60000}"/>
    <cellStyle name="Separador de milhares 4 2 13" xfId="42547" xr:uid="{00000000-0005-0000-0000-000050A60000}"/>
    <cellStyle name="Separador de milhares 4 2 13 2" xfId="42548" xr:uid="{00000000-0005-0000-0000-000051A60000}"/>
    <cellStyle name="Separador de milhares 4 2 13 2 2" xfId="42549" xr:uid="{00000000-0005-0000-0000-000052A60000}"/>
    <cellStyle name="Separador de milhares 4 2 13 2 3" xfId="42550" xr:uid="{00000000-0005-0000-0000-000053A60000}"/>
    <cellStyle name="Separador de milhares 4 2 13 2 4" xfId="42551" xr:uid="{00000000-0005-0000-0000-000054A60000}"/>
    <cellStyle name="Separador de milhares 4 2 13 3" xfId="42552" xr:uid="{00000000-0005-0000-0000-000055A60000}"/>
    <cellStyle name="Separador de milhares 4 2 13 3 2" xfId="42553" xr:uid="{00000000-0005-0000-0000-000056A60000}"/>
    <cellStyle name="Separador de milhares 4 2 13 3 3" xfId="42554" xr:uid="{00000000-0005-0000-0000-000057A60000}"/>
    <cellStyle name="Separador de milhares 4 2 13 3 4" xfId="42555" xr:uid="{00000000-0005-0000-0000-000058A60000}"/>
    <cellStyle name="Separador de milhares 4 2 13 4" xfId="42556" xr:uid="{00000000-0005-0000-0000-000059A60000}"/>
    <cellStyle name="Separador de milhares 4 2 13 5" xfId="42557" xr:uid="{00000000-0005-0000-0000-00005AA60000}"/>
    <cellStyle name="Separador de milhares 4 2 13 6" xfId="42558" xr:uid="{00000000-0005-0000-0000-00005BA60000}"/>
    <cellStyle name="Separador de milhares 4 2 14" xfId="42559" xr:uid="{00000000-0005-0000-0000-00005CA60000}"/>
    <cellStyle name="Separador de milhares 4 2 14 2" xfId="42560" xr:uid="{00000000-0005-0000-0000-00005DA60000}"/>
    <cellStyle name="Separador de milhares 4 2 14 2 2" xfId="42561" xr:uid="{00000000-0005-0000-0000-00005EA60000}"/>
    <cellStyle name="Separador de milhares 4 2 14 2 3" xfId="42562" xr:uid="{00000000-0005-0000-0000-00005FA60000}"/>
    <cellStyle name="Separador de milhares 4 2 14 2 4" xfId="42563" xr:uid="{00000000-0005-0000-0000-000060A60000}"/>
    <cellStyle name="Separador de milhares 4 2 14 3" xfId="42564" xr:uid="{00000000-0005-0000-0000-000061A60000}"/>
    <cellStyle name="Separador de milhares 4 2 14 3 2" xfId="42565" xr:uid="{00000000-0005-0000-0000-000062A60000}"/>
    <cellStyle name="Separador de milhares 4 2 14 3 3" xfId="42566" xr:uid="{00000000-0005-0000-0000-000063A60000}"/>
    <cellStyle name="Separador de milhares 4 2 14 3 4" xfId="42567" xr:uid="{00000000-0005-0000-0000-000064A60000}"/>
    <cellStyle name="Separador de milhares 4 2 14 4" xfId="42568" xr:uid="{00000000-0005-0000-0000-000065A60000}"/>
    <cellStyle name="Separador de milhares 4 2 14 5" xfId="42569" xr:uid="{00000000-0005-0000-0000-000066A60000}"/>
    <cellStyle name="Separador de milhares 4 2 14 6" xfId="42570" xr:uid="{00000000-0005-0000-0000-000067A60000}"/>
    <cellStyle name="Separador de milhares 4 2 15" xfId="42571" xr:uid="{00000000-0005-0000-0000-000068A60000}"/>
    <cellStyle name="Separador de milhares 4 2 15 2" xfId="42572" xr:uid="{00000000-0005-0000-0000-000069A60000}"/>
    <cellStyle name="Separador de milhares 4 2 15 2 2" xfId="42573" xr:uid="{00000000-0005-0000-0000-00006AA60000}"/>
    <cellStyle name="Separador de milhares 4 2 15 2 3" xfId="42574" xr:uid="{00000000-0005-0000-0000-00006BA60000}"/>
    <cellStyle name="Separador de milhares 4 2 15 2 4" xfId="42575" xr:uid="{00000000-0005-0000-0000-00006CA60000}"/>
    <cellStyle name="Separador de milhares 4 2 15 3" xfId="42576" xr:uid="{00000000-0005-0000-0000-00006DA60000}"/>
    <cellStyle name="Separador de milhares 4 2 15 3 2" xfId="42577" xr:uid="{00000000-0005-0000-0000-00006EA60000}"/>
    <cellStyle name="Separador de milhares 4 2 15 3 3" xfId="42578" xr:uid="{00000000-0005-0000-0000-00006FA60000}"/>
    <cellStyle name="Separador de milhares 4 2 15 3 4" xfId="42579" xr:uid="{00000000-0005-0000-0000-000070A60000}"/>
    <cellStyle name="Separador de milhares 4 2 15 4" xfId="42580" xr:uid="{00000000-0005-0000-0000-000071A60000}"/>
    <cellStyle name="Separador de milhares 4 2 15 5" xfId="42581" xr:uid="{00000000-0005-0000-0000-000072A60000}"/>
    <cellStyle name="Separador de milhares 4 2 15 6" xfId="42582" xr:uid="{00000000-0005-0000-0000-000073A60000}"/>
    <cellStyle name="Separador de milhares 4 2 16" xfId="42583" xr:uid="{00000000-0005-0000-0000-000074A60000}"/>
    <cellStyle name="Separador de milhares 4 2 16 2" xfId="42584" xr:uid="{00000000-0005-0000-0000-000075A60000}"/>
    <cellStyle name="Separador de milhares 4 2 16 2 2" xfId="42585" xr:uid="{00000000-0005-0000-0000-000076A60000}"/>
    <cellStyle name="Separador de milhares 4 2 16 2 3" xfId="42586" xr:uid="{00000000-0005-0000-0000-000077A60000}"/>
    <cellStyle name="Separador de milhares 4 2 16 2 4" xfId="42587" xr:uid="{00000000-0005-0000-0000-000078A60000}"/>
    <cellStyle name="Separador de milhares 4 2 16 3" xfId="42588" xr:uid="{00000000-0005-0000-0000-000079A60000}"/>
    <cellStyle name="Separador de milhares 4 2 16 3 2" xfId="42589" xr:uid="{00000000-0005-0000-0000-00007AA60000}"/>
    <cellStyle name="Separador de milhares 4 2 16 3 3" xfId="42590" xr:uid="{00000000-0005-0000-0000-00007BA60000}"/>
    <cellStyle name="Separador de milhares 4 2 16 3 4" xfId="42591" xr:uid="{00000000-0005-0000-0000-00007CA60000}"/>
    <cellStyle name="Separador de milhares 4 2 16 4" xfId="42592" xr:uid="{00000000-0005-0000-0000-00007DA60000}"/>
    <cellStyle name="Separador de milhares 4 2 16 5" xfId="42593" xr:uid="{00000000-0005-0000-0000-00007EA60000}"/>
    <cellStyle name="Separador de milhares 4 2 16 6" xfId="42594" xr:uid="{00000000-0005-0000-0000-00007FA60000}"/>
    <cellStyle name="Separador de milhares 4 2 17" xfId="42595" xr:uid="{00000000-0005-0000-0000-000080A60000}"/>
    <cellStyle name="Separador de milhares 4 2 17 2" xfId="42596" xr:uid="{00000000-0005-0000-0000-000081A60000}"/>
    <cellStyle name="Separador de milhares 4 2 17 2 2" xfId="42597" xr:uid="{00000000-0005-0000-0000-000082A60000}"/>
    <cellStyle name="Separador de milhares 4 2 17 2 3" xfId="42598" xr:uid="{00000000-0005-0000-0000-000083A60000}"/>
    <cellStyle name="Separador de milhares 4 2 17 2 4" xfId="42599" xr:uid="{00000000-0005-0000-0000-000084A60000}"/>
    <cellStyle name="Separador de milhares 4 2 17 3" xfId="42600" xr:uid="{00000000-0005-0000-0000-000085A60000}"/>
    <cellStyle name="Separador de milhares 4 2 17 3 2" xfId="42601" xr:uid="{00000000-0005-0000-0000-000086A60000}"/>
    <cellStyle name="Separador de milhares 4 2 17 3 3" xfId="42602" xr:uid="{00000000-0005-0000-0000-000087A60000}"/>
    <cellStyle name="Separador de milhares 4 2 17 3 4" xfId="42603" xr:uid="{00000000-0005-0000-0000-000088A60000}"/>
    <cellStyle name="Separador de milhares 4 2 17 4" xfId="42604" xr:uid="{00000000-0005-0000-0000-000089A60000}"/>
    <cellStyle name="Separador de milhares 4 2 17 5" xfId="42605" xr:uid="{00000000-0005-0000-0000-00008AA60000}"/>
    <cellStyle name="Separador de milhares 4 2 17 6" xfId="42606" xr:uid="{00000000-0005-0000-0000-00008BA60000}"/>
    <cellStyle name="Separador de milhares 4 2 18" xfId="42607" xr:uid="{00000000-0005-0000-0000-00008CA60000}"/>
    <cellStyle name="Separador de milhares 4 2 18 2" xfId="42608" xr:uid="{00000000-0005-0000-0000-00008DA60000}"/>
    <cellStyle name="Separador de milhares 4 2 18 3" xfId="42609" xr:uid="{00000000-0005-0000-0000-00008EA60000}"/>
    <cellStyle name="Separador de milhares 4 2 18 4" xfId="42610" xr:uid="{00000000-0005-0000-0000-00008FA60000}"/>
    <cellStyle name="Separador de milhares 4 2 19" xfId="42611" xr:uid="{00000000-0005-0000-0000-000090A60000}"/>
    <cellStyle name="Separador de milhares 4 2 19 2" xfId="42612" xr:uid="{00000000-0005-0000-0000-000091A60000}"/>
    <cellStyle name="Separador de milhares 4 2 19 3" xfId="42613" xr:uid="{00000000-0005-0000-0000-000092A60000}"/>
    <cellStyle name="Separador de milhares 4 2 19 4" xfId="42614" xr:uid="{00000000-0005-0000-0000-000093A60000}"/>
    <cellStyle name="Separador de milhares 4 2 2" xfId="1858" xr:uid="{00000000-0005-0000-0000-000094A60000}"/>
    <cellStyle name="Separador de milhares 4 2 2 2" xfId="2054" xr:uid="{00000000-0005-0000-0000-000095A60000}"/>
    <cellStyle name="Separador de milhares 4 2 2 2 2" xfId="2596" xr:uid="{00000000-0005-0000-0000-000096A60000}"/>
    <cellStyle name="Separador de milhares 4 2 2 2 3" xfId="42615" xr:uid="{00000000-0005-0000-0000-000097A60000}"/>
    <cellStyle name="Separador de milhares 4 2 2 2 4" xfId="42616" xr:uid="{00000000-0005-0000-0000-000098A60000}"/>
    <cellStyle name="Separador de milhares 4 2 2 2 5" xfId="43390" xr:uid="{00000000-0005-0000-0000-000099A60000}"/>
    <cellStyle name="Separador de milhares 4 2 2 3" xfId="2597" xr:uid="{00000000-0005-0000-0000-00009AA60000}"/>
    <cellStyle name="Separador de milhares 4 2 2 3 2" xfId="42617" xr:uid="{00000000-0005-0000-0000-00009BA60000}"/>
    <cellStyle name="Separador de milhares 4 2 2 3 3" xfId="42618" xr:uid="{00000000-0005-0000-0000-00009CA60000}"/>
    <cellStyle name="Separador de milhares 4 2 2 3 4" xfId="42619" xr:uid="{00000000-0005-0000-0000-00009DA60000}"/>
    <cellStyle name="Separador de milhares 4 2 2 3 5" xfId="43391" xr:uid="{00000000-0005-0000-0000-00009EA60000}"/>
    <cellStyle name="Separador de milhares 4 2 2 4" xfId="2472" xr:uid="{00000000-0005-0000-0000-00009FA60000}"/>
    <cellStyle name="Separador de milhares 4 2 2 5" xfId="2390" xr:uid="{00000000-0005-0000-0000-0000A0A60000}"/>
    <cellStyle name="Separador de milhares 4 2 2 6" xfId="42620" xr:uid="{00000000-0005-0000-0000-0000A1A60000}"/>
    <cellStyle name="Separador de milhares 4 2 2 7" xfId="43293" xr:uid="{00000000-0005-0000-0000-0000A2A60000}"/>
    <cellStyle name="Separador de milhares 4 2 20" xfId="42621" xr:uid="{00000000-0005-0000-0000-0000A3A60000}"/>
    <cellStyle name="Separador de milhares 4 2 20 2" xfId="42622" xr:uid="{00000000-0005-0000-0000-0000A4A60000}"/>
    <cellStyle name="Separador de milhares 4 2 20 3" xfId="42623" xr:uid="{00000000-0005-0000-0000-0000A5A60000}"/>
    <cellStyle name="Separador de milhares 4 2 20 4" xfId="42624" xr:uid="{00000000-0005-0000-0000-0000A6A60000}"/>
    <cellStyle name="Separador de milhares 4 2 21" xfId="42625" xr:uid="{00000000-0005-0000-0000-0000A7A60000}"/>
    <cellStyle name="Separador de milhares 4 2 22" xfId="42626" xr:uid="{00000000-0005-0000-0000-0000A8A60000}"/>
    <cellStyle name="Separador de milhares 4 2 23" xfId="42627" xr:uid="{00000000-0005-0000-0000-0000A9A60000}"/>
    <cellStyle name="Separador de milhares 4 2 24" xfId="43292" xr:uid="{00000000-0005-0000-0000-0000AAA60000}"/>
    <cellStyle name="Separador de milhares 4 2 3" xfId="1953" xr:uid="{00000000-0005-0000-0000-0000ABA60000}"/>
    <cellStyle name="Separador de milhares 4 2 3 2" xfId="2598" xr:uid="{00000000-0005-0000-0000-0000ACA60000}"/>
    <cellStyle name="Separador de milhares 4 2 3 2 2" xfId="42628" xr:uid="{00000000-0005-0000-0000-0000ADA60000}"/>
    <cellStyle name="Separador de milhares 4 2 3 2 3" xfId="42629" xr:uid="{00000000-0005-0000-0000-0000AEA60000}"/>
    <cellStyle name="Separador de milhares 4 2 3 2 4" xfId="42630" xr:uid="{00000000-0005-0000-0000-0000AFA60000}"/>
    <cellStyle name="Separador de milhares 4 2 3 3" xfId="42631" xr:uid="{00000000-0005-0000-0000-0000B0A60000}"/>
    <cellStyle name="Separador de milhares 4 2 3 3 2" xfId="42632" xr:uid="{00000000-0005-0000-0000-0000B1A60000}"/>
    <cellStyle name="Separador de milhares 4 2 3 3 3" xfId="42633" xr:uid="{00000000-0005-0000-0000-0000B2A60000}"/>
    <cellStyle name="Separador de milhares 4 2 3 3 4" xfId="42634" xr:uid="{00000000-0005-0000-0000-0000B3A60000}"/>
    <cellStyle name="Separador de milhares 4 2 3 4" xfId="42635" xr:uid="{00000000-0005-0000-0000-0000B4A60000}"/>
    <cellStyle name="Separador de milhares 4 2 3 5" xfId="42636" xr:uid="{00000000-0005-0000-0000-0000B5A60000}"/>
    <cellStyle name="Separador de milhares 4 2 3 6" xfId="42637" xr:uid="{00000000-0005-0000-0000-0000B6A60000}"/>
    <cellStyle name="Separador de milhares 4 2 3 7" xfId="43392" xr:uid="{00000000-0005-0000-0000-0000B7A60000}"/>
    <cellStyle name="Separador de milhares 4 2 4" xfId="2599" xr:uid="{00000000-0005-0000-0000-0000B8A60000}"/>
    <cellStyle name="Separador de milhares 4 2 4 2" xfId="42638" xr:uid="{00000000-0005-0000-0000-0000B9A60000}"/>
    <cellStyle name="Separador de milhares 4 2 4 2 2" xfId="42639" xr:uid="{00000000-0005-0000-0000-0000BAA60000}"/>
    <cellStyle name="Separador de milhares 4 2 4 2 3" xfId="42640" xr:uid="{00000000-0005-0000-0000-0000BBA60000}"/>
    <cellStyle name="Separador de milhares 4 2 4 2 4" xfId="42641" xr:uid="{00000000-0005-0000-0000-0000BCA60000}"/>
    <cellStyle name="Separador de milhares 4 2 4 3" xfId="42642" xr:uid="{00000000-0005-0000-0000-0000BDA60000}"/>
    <cellStyle name="Separador de milhares 4 2 4 3 2" xfId="42643" xr:uid="{00000000-0005-0000-0000-0000BEA60000}"/>
    <cellStyle name="Separador de milhares 4 2 4 3 3" xfId="42644" xr:uid="{00000000-0005-0000-0000-0000BFA60000}"/>
    <cellStyle name="Separador de milhares 4 2 4 3 4" xfId="42645" xr:uid="{00000000-0005-0000-0000-0000C0A60000}"/>
    <cellStyle name="Separador de milhares 4 2 4 4" xfId="42646" xr:uid="{00000000-0005-0000-0000-0000C1A60000}"/>
    <cellStyle name="Separador de milhares 4 2 4 5" xfId="42647" xr:uid="{00000000-0005-0000-0000-0000C2A60000}"/>
    <cellStyle name="Separador de milhares 4 2 4 6" xfId="42648" xr:uid="{00000000-0005-0000-0000-0000C3A60000}"/>
    <cellStyle name="Separador de milhares 4 2 4 7" xfId="43393" xr:uid="{00000000-0005-0000-0000-0000C4A60000}"/>
    <cellStyle name="Separador de milhares 4 2 5" xfId="2471" xr:uid="{00000000-0005-0000-0000-0000C5A60000}"/>
    <cellStyle name="Separador de milhares 4 2 5 2" xfId="42649" xr:uid="{00000000-0005-0000-0000-0000C6A60000}"/>
    <cellStyle name="Separador de milhares 4 2 5 2 2" xfId="42650" xr:uid="{00000000-0005-0000-0000-0000C7A60000}"/>
    <cellStyle name="Separador de milhares 4 2 5 2 3" xfId="42651" xr:uid="{00000000-0005-0000-0000-0000C8A60000}"/>
    <cellStyle name="Separador de milhares 4 2 5 2 4" xfId="42652" xr:uid="{00000000-0005-0000-0000-0000C9A60000}"/>
    <cellStyle name="Separador de milhares 4 2 5 3" xfId="42653" xr:uid="{00000000-0005-0000-0000-0000CAA60000}"/>
    <cellStyle name="Separador de milhares 4 2 5 3 2" xfId="42654" xr:uid="{00000000-0005-0000-0000-0000CBA60000}"/>
    <cellStyle name="Separador de milhares 4 2 5 3 3" xfId="42655" xr:uid="{00000000-0005-0000-0000-0000CCA60000}"/>
    <cellStyle name="Separador de milhares 4 2 5 3 4" xfId="42656" xr:uid="{00000000-0005-0000-0000-0000CDA60000}"/>
    <cellStyle name="Separador de milhares 4 2 5 4" xfId="42657" xr:uid="{00000000-0005-0000-0000-0000CEA60000}"/>
    <cellStyle name="Separador de milhares 4 2 5 5" xfId="42658" xr:uid="{00000000-0005-0000-0000-0000CFA60000}"/>
    <cellStyle name="Separador de milhares 4 2 5 6" xfId="42659" xr:uid="{00000000-0005-0000-0000-0000D0A60000}"/>
    <cellStyle name="Separador de milhares 4 2 6" xfId="2265" xr:uid="{00000000-0005-0000-0000-0000D1A60000}"/>
    <cellStyle name="Separador de milhares 4 2 6 2" xfId="42660" xr:uid="{00000000-0005-0000-0000-0000D2A60000}"/>
    <cellStyle name="Separador de milhares 4 2 6 2 2" xfId="42661" xr:uid="{00000000-0005-0000-0000-0000D3A60000}"/>
    <cellStyle name="Separador de milhares 4 2 6 2 3" xfId="42662" xr:uid="{00000000-0005-0000-0000-0000D4A60000}"/>
    <cellStyle name="Separador de milhares 4 2 6 2 4" xfId="42663" xr:uid="{00000000-0005-0000-0000-0000D5A60000}"/>
    <cellStyle name="Separador de milhares 4 2 6 3" xfId="42664" xr:uid="{00000000-0005-0000-0000-0000D6A60000}"/>
    <cellStyle name="Separador de milhares 4 2 6 3 2" xfId="42665" xr:uid="{00000000-0005-0000-0000-0000D7A60000}"/>
    <cellStyle name="Separador de milhares 4 2 6 3 3" xfId="42666" xr:uid="{00000000-0005-0000-0000-0000D8A60000}"/>
    <cellStyle name="Separador de milhares 4 2 6 3 4" xfId="42667" xr:uid="{00000000-0005-0000-0000-0000D9A60000}"/>
    <cellStyle name="Separador de milhares 4 2 6 4" xfId="42668" xr:uid="{00000000-0005-0000-0000-0000DAA60000}"/>
    <cellStyle name="Separador de milhares 4 2 6 5" xfId="42669" xr:uid="{00000000-0005-0000-0000-0000DBA60000}"/>
    <cellStyle name="Separador de milhares 4 2 6 6" xfId="42670" xr:uid="{00000000-0005-0000-0000-0000DCA60000}"/>
    <cellStyle name="Separador de milhares 4 2 7" xfId="42671" xr:uid="{00000000-0005-0000-0000-0000DDA60000}"/>
    <cellStyle name="Separador de milhares 4 2 7 2" xfId="42672" xr:uid="{00000000-0005-0000-0000-0000DEA60000}"/>
    <cellStyle name="Separador de milhares 4 2 7 2 2" xfId="42673" xr:uid="{00000000-0005-0000-0000-0000DFA60000}"/>
    <cellStyle name="Separador de milhares 4 2 7 2 3" xfId="42674" xr:uid="{00000000-0005-0000-0000-0000E0A60000}"/>
    <cellStyle name="Separador de milhares 4 2 7 2 4" xfId="42675" xr:uid="{00000000-0005-0000-0000-0000E1A60000}"/>
    <cellStyle name="Separador de milhares 4 2 7 3" xfId="42676" xr:uid="{00000000-0005-0000-0000-0000E2A60000}"/>
    <cellStyle name="Separador de milhares 4 2 7 3 2" xfId="42677" xr:uid="{00000000-0005-0000-0000-0000E3A60000}"/>
    <cellStyle name="Separador de milhares 4 2 7 3 3" xfId="42678" xr:uid="{00000000-0005-0000-0000-0000E4A60000}"/>
    <cellStyle name="Separador de milhares 4 2 7 3 4" xfId="42679" xr:uid="{00000000-0005-0000-0000-0000E5A60000}"/>
    <cellStyle name="Separador de milhares 4 2 7 4" xfId="42680" xr:uid="{00000000-0005-0000-0000-0000E6A60000}"/>
    <cellStyle name="Separador de milhares 4 2 7 5" xfId="42681" xr:uid="{00000000-0005-0000-0000-0000E7A60000}"/>
    <cellStyle name="Separador de milhares 4 2 7 6" xfId="42682" xr:uid="{00000000-0005-0000-0000-0000E8A60000}"/>
    <cellStyle name="Separador de milhares 4 2 8" xfId="42683" xr:uid="{00000000-0005-0000-0000-0000E9A60000}"/>
    <cellStyle name="Separador de milhares 4 2 8 2" xfId="42684" xr:uid="{00000000-0005-0000-0000-0000EAA60000}"/>
    <cellStyle name="Separador de milhares 4 2 8 2 2" xfId="42685" xr:uid="{00000000-0005-0000-0000-0000EBA60000}"/>
    <cellStyle name="Separador de milhares 4 2 8 2 3" xfId="42686" xr:uid="{00000000-0005-0000-0000-0000ECA60000}"/>
    <cellStyle name="Separador de milhares 4 2 8 2 4" xfId="42687" xr:uid="{00000000-0005-0000-0000-0000EDA60000}"/>
    <cellStyle name="Separador de milhares 4 2 8 3" xfId="42688" xr:uid="{00000000-0005-0000-0000-0000EEA60000}"/>
    <cellStyle name="Separador de milhares 4 2 8 3 2" xfId="42689" xr:uid="{00000000-0005-0000-0000-0000EFA60000}"/>
    <cellStyle name="Separador de milhares 4 2 8 3 3" xfId="42690" xr:uid="{00000000-0005-0000-0000-0000F0A60000}"/>
    <cellStyle name="Separador de milhares 4 2 8 3 4" xfId="42691" xr:uid="{00000000-0005-0000-0000-0000F1A60000}"/>
    <cellStyle name="Separador de milhares 4 2 8 4" xfId="42692" xr:uid="{00000000-0005-0000-0000-0000F2A60000}"/>
    <cellStyle name="Separador de milhares 4 2 8 5" xfId="42693" xr:uid="{00000000-0005-0000-0000-0000F3A60000}"/>
    <cellStyle name="Separador de milhares 4 2 8 6" xfId="42694" xr:uid="{00000000-0005-0000-0000-0000F4A60000}"/>
    <cellStyle name="Separador de milhares 4 2 9" xfId="42695" xr:uid="{00000000-0005-0000-0000-0000F5A60000}"/>
    <cellStyle name="Separador de milhares 4 2 9 2" xfId="42696" xr:uid="{00000000-0005-0000-0000-0000F6A60000}"/>
    <cellStyle name="Separador de milhares 4 2 9 2 2" xfId="42697" xr:uid="{00000000-0005-0000-0000-0000F7A60000}"/>
    <cellStyle name="Separador de milhares 4 2 9 2 3" xfId="42698" xr:uid="{00000000-0005-0000-0000-0000F8A60000}"/>
    <cellStyle name="Separador de milhares 4 2 9 2 4" xfId="42699" xr:uid="{00000000-0005-0000-0000-0000F9A60000}"/>
    <cellStyle name="Separador de milhares 4 2 9 3" xfId="42700" xr:uid="{00000000-0005-0000-0000-0000FAA60000}"/>
    <cellStyle name="Separador de milhares 4 2 9 3 2" xfId="42701" xr:uid="{00000000-0005-0000-0000-0000FBA60000}"/>
    <cellStyle name="Separador de milhares 4 2 9 3 3" xfId="42702" xr:uid="{00000000-0005-0000-0000-0000FCA60000}"/>
    <cellStyle name="Separador de milhares 4 2 9 3 4" xfId="42703" xr:uid="{00000000-0005-0000-0000-0000FDA60000}"/>
    <cellStyle name="Separador de milhares 4 2 9 4" xfId="42704" xr:uid="{00000000-0005-0000-0000-0000FEA60000}"/>
    <cellStyle name="Separador de milhares 4 2 9 5" xfId="42705" xr:uid="{00000000-0005-0000-0000-0000FFA60000}"/>
    <cellStyle name="Separador de milhares 4 2 9 6" xfId="42706" xr:uid="{00000000-0005-0000-0000-000000A70000}"/>
    <cellStyle name="Separador de milhares 4 20" xfId="42707" xr:uid="{00000000-0005-0000-0000-000001A70000}"/>
    <cellStyle name="Separador de milhares 4 20 2" xfId="42708" xr:uid="{00000000-0005-0000-0000-000002A70000}"/>
    <cellStyle name="Separador de milhares 4 20 3" xfId="42709" xr:uid="{00000000-0005-0000-0000-000003A70000}"/>
    <cellStyle name="Separador de milhares 4 20 4" xfId="42710" xr:uid="{00000000-0005-0000-0000-000004A70000}"/>
    <cellStyle name="Separador de milhares 4 21" xfId="42711" xr:uid="{00000000-0005-0000-0000-000005A70000}"/>
    <cellStyle name="Separador de milhares 4 21 2" xfId="42712" xr:uid="{00000000-0005-0000-0000-000006A70000}"/>
    <cellStyle name="Separador de milhares 4 21 3" xfId="42713" xr:uid="{00000000-0005-0000-0000-000007A70000}"/>
    <cellStyle name="Separador de milhares 4 21 4" xfId="42714" xr:uid="{00000000-0005-0000-0000-000008A70000}"/>
    <cellStyle name="Separador de milhares 4 22" xfId="42715" xr:uid="{00000000-0005-0000-0000-000009A70000}"/>
    <cellStyle name="Separador de milhares 4 22 2" xfId="42716" xr:uid="{00000000-0005-0000-0000-00000AA70000}"/>
    <cellStyle name="Separador de milhares 4 22 3" xfId="42717" xr:uid="{00000000-0005-0000-0000-00000BA70000}"/>
    <cellStyle name="Separador de milhares 4 22 4" xfId="42718" xr:uid="{00000000-0005-0000-0000-00000CA70000}"/>
    <cellStyle name="Separador de milhares 4 23" xfId="42719" xr:uid="{00000000-0005-0000-0000-00000DA70000}"/>
    <cellStyle name="Separador de milhares 4 24" xfId="42720" xr:uid="{00000000-0005-0000-0000-00000EA70000}"/>
    <cellStyle name="Separador de milhares 4 25" xfId="42721" xr:uid="{00000000-0005-0000-0000-00000FA70000}"/>
    <cellStyle name="Separador de milhares 4 26" xfId="43291" xr:uid="{00000000-0005-0000-0000-000010A70000}"/>
    <cellStyle name="Separador de milhares 4 3" xfId="1857" xr:uid="{00000000-0005-0000-0000-000011A70000}"/>
    <cellStyle name="Separador de milhares 4 3 10" xfId="42722" xr:uid="{00000000-0005-0000-0000-000012A70000}"/>
    <cellStyle name="Separador de milhares 4 3 10 2" xfId="42723" xr:uid="{00000000-0005-0000-0000-000013A70000}"/>
    <cellStyle name="Separador de milhares 4 3 10 2 2" xfId="42724" xr:uid="{00000000-0005-0000-0000-000014A70000}"/>
    <cellStyle name="Separador de milhares 4 3 10 2 3" xfId="42725" xr:uid="{00000000-0005-0000-0000-000015A70000}"/>
    <cellStyle name="Separador de milhares 4 3 10 2 4" xfId="42726" xr:uid="{00000000-0005-0000-0000-000016A70000}"/>
    <cellStyle name="Separador de milhares 4 3 10 3" xfId="42727" xr:uid="{00000000-0005-0000-0000-000017A70000}"/>
    <cellStyle name="Separador de milhares 4 3 10 3 2" xfId="42728" xr:uid="{00000000-0005-0000-0000-000018A70000}"/>
    <cellStyle name="Separador de milhares 4 3 10 3 3" xfId="42729" xr:uid="{00000000-0005-0000-0000-000019A70000}"/>
    <cellStyle name="Separador de milhares 4 3 10 3 4" xfId="42730" xr:uid="{00000000-0005-0000-0000-00001AA70000}"/>
    <cellStyle name="Separador de milhares 4 3 10 4" xfId="42731" xr:uid="{00000000-0005-0000-0000-00001BA70000}"/>
    <cellStyle name="Separador de milhares 4 3 10 5" xfId="42732" xr:uid="{00000000-0005-0000-0000-00001CA70000}"/>
    <cellStyle name="Separador de milhares 4 3 10 6" xfId="42733" xr:uid="{00000000-0005-0000-0000-00001DA70000}"/>
    <cellStyle name="Separador de milhares 4 3 11" xfId="42734" xr:uid="{00000000-0005-0000-0000-00001EA70000}"/>
    <cellStyle name="Separador de milhares 4 3 11 2" xfId="42735" xr:uid="{00000000-0005-0000-0000-00001FA70000}"/>
    <cellStyle name="Separador de milhares 4 3 11 2 2" xfId="42736" xr:uid="{00000000-0005-0000-0000-000020A70000}"/>
    <cellStyle name="Separador de milhares 4 3 11 2 3" xfId="42737" xr:uid="{00000000-0005-0000-0000-000021A70000}"/>
    <cellStyle name="Separador de milhares 4 3 11 2 4" xfId="42738" xr:uid="{00000000-0005-0000-0000-000022A70000}"/>
    <cellStyle name="Separador de milhares 4 3 11 3" xfId="42739" xr:uid="{00000000-0005-0000-0000-000023A70000}"/>
    <cellStyle name="Separador de milhares 4 3 11 3 2" xfId="42740" xr:uid="{00000000-0005-0000-0000-000024A70000}"/>
    <cellStyle name="Separador de milhares 4 3 11 3 3" xfId="42741" xr:uid="{00000000-0005-0000-0000-000025A70000}"/>
    <cellStyle name="Separador de milhares 4 3 11 3 4" xfId="42742" xr:uid="{00000000-0005-0000-0000-000026A70000}"/>
    <cellStyle name="Separador de milhares 4 3 11 4" xfId="42743" xr:uid="{00000000-0005-0000-0000-000027A70000}"/>
    <cellStyle name="Separador de milhares 4 3 11 5" xfId="42744" xr:uid="{00000000-0005-0000-0000-000028A70000}"/>
    <cellStyle name="Separador de milhares 4 3 11 6" xfId="42745" xr:uid="{00000000-0005-0000-0000-000029A70000}"/>
    <cellStyle name="Separador de milhares 4 3 12" xfId="42746" xr:uid="{00000000-0005-0000-0000-00002AA70000}"/>
    <cellStyle name="Separador de milhares 4 3 12 2" xfId="42747" xr:uid="{00000000-0005-0000-0000-00002BA70000}"/>
    <cellStyle name="Separador de milhares 4 3 12 2 2" xfId="42748" xr:uid="{00000000-0005-0000-0000-00002CA70000}"/>
    <cellStyle name="Separador de milhares 4 3 12 2 3" xfId="42749" xr:uid="{00000000-0005-0000-0000-00002DA70000}"/>
    <cellStyle name="Separador de milhares 4 3 12 2 4" xfId="42750" xr:uid="{00000000-0005-0000-0000-00002EA70000}"/>
    <cellStyle name="Separador de milhares 4 3 12 3" xfId="42751" xr:uid="{00000000-0005-0000-0000-00002FA70000}"/>
    <cellStyle name="Separador de milhares 4 3 12 3 2" xfId="42752" xr:uid="{00000000-0005-0000-0000-000030A70000}"/>
    <cellStyle name="Separador de milhares 4 3 12 3 3" xfId="42753" xr:uid="{00000000-0005-0000-0000-000031A70000}"/>
    <cellStyle name="Separador de milhares 4 3 12 3 4" xfId="42754" xr:uid="{00000000-0005-0000-0000-000032A70000}"/>
    <cellStyle name="Separador de milhares 4 3 12 4" xfId="42755" xr:uid="{00000000-0005-0000-0000-000033A70000}"/>
    <cellStyle name="Separador de milhares 4 3 12 5" xfId="42756" xr:uid="{00000000-0005-0000-0000-000034A70000}"/>
    <cellStyle name="Separador de milhares 4 3 12 6" xfId="42757" xr:uid="{00000000-0005-0000-0000-000035A70000}"/>
    <cellStyle name="Separador de milhares 4 3 13" xfId="42758" xr:uid="{00000000-0005-0000-0000-000036A70000}"/>
    <cellStyle name="Separador de milhares 4 3 13 2" xfId="42759" xr:uid="{00000000-0005-0000-0000-000037A70000}"/>
    <cellStyle name="Separador de milhares 4 3 13 2 2" xfId="42760" xr:uid="{00000000-0005-0000-0000-000038A70000}"/>
    <cellStyle name="Separador de milhares 4 3 13 2 3" xfId="42761" xr:uid="{00000000-0005-0000-0000-000039A70000}"/>
    <cellStyle name="Separador de milhares 4 3 13 2 4" xfId="42762" xr:uid="{00000000-0005-0000-0000-00003AA70000}"/>
    <cellStyle name="Separador de milhares 4 3 13 3" xfId="42763" xr:uid="{00000000-0005-0000-0000-00003BA70000}"/>
    <cellStyle name="Separador de milhares 4 3 13 3 2" xfId="42764" xr:uid="{00000000-0005-0000-0000-00003CA70000}"/>
    <cellStyle name="Separador de milhares 4 3 13 3 3" xfId="42765" xr:uid="{00000000-0005-0000-0000-00003DA70000}"/>
    <cellStyle name="Separador de milhares 4 3 13 3 4" xfId="42766" xr:uid="{00000000-0005-0000-0000-00003EA70000}"/>
    <cellStyle name="Separador de milhares 4 3 13 4" xfId="42767" xr:uid="{00000000-0005-0000-0000-00003FA70000}"/>
    <cellStyle name="Separador de milhares 4 3 13 5" xfId="42768" xr:uid="{00000000-0005-0000-0000-000040A70000}"/>
    <cellStyle name="Separador de milhares 4 3 13 6" xfId="42769" xr:uid="{00000000-0005-0000-0000-000041A70000}"/>
    <cellStyle name="Separador de milhares 4 3 14" xfId="42770" xr:uid="{00000000-0005-0000-0000-000042A70000}"/>
    <cellStyle name="Separador de milhares 4 3 14 2" xfId="42771" xr:uid="{00000000-0005-0000-0000-000043A70000}"/>
    <cellStyle name="Separador de milhares 4 3 14 2 2" xfId="42772" xr:uid="{00000000-0005-0000-0000-000044A70000}"/>
    <cellStyle name="Separador de milhares 4 3 14 2 3" xfId="42773" xr:uid="{00000000-0005-0000-0000-000045A70000}"/>
    <cellStyle name="Separador de milhares 4 3 14 2 4" xfId="42774" xr:uid="{00000000-0005-0000-0000-000046A70000}"/>
    <cellStyle name="Separador de milhares 4 3 14 3" xfId="42775" xr:uid="{00000000-0005-0000-0000-000047A70000}"/>
    <cellStyle name="Separador de milhares 4 3 14 3 2" xfId="42776" xr:uid="{00000000-0005-0000-0000-000048A70000}"/>
    <cellStyle name="Separador de milhares 4 3 14 3 3" xfId="42777" xr:uid="{00000000-0005-0000-0000-000049A70000}"/>
    <cellStyle name="Separador de milhares 4 3 14 3 4" xfId="42778" xr:uid="{00000000-0005-0000-0000-00004AA70000}"/>
    <cellStyle name="Separador de milhares 4 3 14 4" xfId="42779" xr:uid="{00000000-0005-0000-0000-00004BA70000}"/>
    <cellStyle name="Separador de milhares 4 3 14 5" xfId="42780" xr:uid="{00000000-0005-0000-0000-00004CA70000}"/>
    <cellStyle name="Separador de milhares 4 3 14 6" xfId="42781" xr:uid="{00000000-0005-0000-0000-00004DA70000}"/>
    <cellStyle name="Separador de milhares 4 3 15" xfId="42782" xr:uid="{00000000-0005-0000-0000-00004EA70000}"/>
    <cellStyle name="Separador de milhares 4 3 15 2" xfId="42783" xr:uid="{00000000-0005-0000-0000-00004FA70000}"/>
    <cellStyle name="Separador de milhares 4 3 15 2 2" xfId="42784" xr:uid="{00000000-0005-0000-0000-000050A70000}"/>
    <cellStyle name="Separador de milhares 4 3 15 2 3" xfId="42785" xr:uid="{00000000-0005-0000-0000-000051A70000}"/>
    <cellStyle name="Separador de milhares 4 3 15 2 4" xfId="42786" xr:uid="{00000000-0005-0000-0000-000052A70000}"/>
    <cellStyle name="Separador de milhares 4 3 15 3" xfId="42787" xr:uid="{00000000-0005-0000-0000-000053A70000}"/>
    <cellStyle name="Separador de milhares 4 3 15 3 2" xfId="42788" xr:uid="{00000000-0005-0000-0000-000054A70000}"/>
    <cellStyle name="Separador de milhares 4 3 15 3 3" xfId="42789" xr:uid="{00000000-0005-0000-0000-000055A70000}"/>
    <cellStyle name="Separador de milhares 4 3 15 3 4" xfId="42790" xr:uid="{00000000-0005-0000-0000-000056A70000}"/>
    <cellStyle name="Separador de milhares 4 3 15 4" xfId="42791" xr:uid="{00000000-0005-0000-0000-000057A70000}"/>
    <cellStyle name="Separador de milhares 4 3 15 5" xfId="42792" xr:uid="{00000000-0005-0000-0000-000058A70000}"/>
    <cellStyle name="Separador de milhares 4 3 15 6" xfId="42793" xr:uid="{00000000-0005-0000-0000-000059A70000}"/>
    <cellStyle name="Separador de milhares 4 3 16" xfId="42794" xr:uid="{00000000-0005-0000-0000-00005AA70000}"/>
    <cellStyle name="Separador de milhares 4 3 16 2" xfId="42795" xr:uid="{00000000-0005-0000-0000-00005BA70000}"/>
    <cellStyle name="Separador de milhares 4 3 16 2 2" xfId="42796" xr:uid="{00000000-0005-0000-0000-00005CA70000}"/>
    <cellStyle name="Separador de milhares 4 3 16 2 3" xfId="42797" xr:uid="{00000000-0005-0000-0000-00005DA70000}"/>
    <cellStyle name="Separador de milhares 4 3 16 2 4" xfId="42798" xr:uid="{00000000-0005-0000-0000-00005EA70000}"/>
    <cellStyle name="Separador de milhares 4 3 16 3" xfId="42799" xr:uid="{00000000-0005-0000-0000-00005FA70000}"/>
    <cellStyle name="Separador de milhares 4 3 16 3 2" xfId="42800" xr:uid="{00000000-0005-0000-0000-000060A70000}"/>
    <cellStyle name="Separador de milhares 4 3 16 3 3" xfId="42801" xr:uid="{00000000-0005-0000-0000-000061A70000}"/>
    <cellStyle name="Separador de milhares 4 3 16 3 4" xfId="42802" xr:uid="{00000000-0005-0000-0000-000062A70000}"/>
    <cellStyle name="Separador de milhares 4 3 16 4" xfId="42803" xr:uid="{00000000-0005-0000-0000-000063A70000}"/>
    <cellStyle name="Separador de milhares 4 3 16 5" xfId="42804" xr:uid="{00000000-0005-0000-0000-000064A70000}"/>
    <cellStyle name="Separador de milhares 4 3 16 6" xfId="42805" xr:uid="{00000000-0005-0000-0000-000065A70000}"/>
    <cellStyle name="Separador de milhares 4 3 17" xfId="42806" xr:uid="{00000000-0005-0000-0000-000066A70000}"/>
    <cellStyle name="Separador de milhares 4 3 17 2" xfId="42807" xr:uid="{00000000-0005-0000-0000-000067A70000}"/>
    <cellStyle name="Separador de milhares 4 3 17 2 2" xfId="42808" xr:uid="{00000000-0005-0000-0000-000068A70000}"/>
    <cellStyle name="Separador de milhares 4 3 17 2 3" xfId="42809" xr:uid="{00000000-0005-0000-0000-000069A70000}"/>
    <cellStyle name="Separador de milhares 4 3 17 2 4" xfId="42810" xr:uid="{00000000-0005-0000-0000-00006AA70000}"/>
    <cellStyle name="Separador de milhares 4 3 17 3" xfId="42811" xr:uid="{00000000-0005-0000-0000-00006BA70000}"/>
    <cellStyle name="Separador de milhares 4 3 17 3 2" xfId="42812" xr:uid="{00000000-0005-0000-0000-00006CA70000}"/>
    <cellStyle name="Separador de milhares 4 3 17 3 3" xfId="42813" xr:uid="{00000000-0005-0000-0000-00006DA70000}"/>
    <cellStyle name="Separador de milhares 4 3 17 3 4" xfId="42814" xr:uid="{00000000-0005-0000-0000-00006EA70000}"/>
    <cellStyle name="Separador de milhares 4 3 17 4" xfId="42815" xr:uid="{00000000-0005-0000-0000-00006FA70000}"/>
    <cellStyle name="Separador de milhares 4 3 17 5" xfId="42816" xr:uid="{00000000-0005-0000-0000-000070A70000}"/>
    <cellStyle name="Separador de milhares 4 3 17 6" xfId="42817" xr:uid="{00000000-0005-0000-0000-000071A70000}"/>
    <cellStyle name="Separador de milhares 4 3 18" xfId="42818" xr:uid="{00000000-0005-0000-0000-000072A70000}"/>
    <cellStyle name="Separador de milhares 4 3 18 2" xfId="42819" xr:uid="{00000000-0005-0000-0000-000073A70000}"/>
    <cellStyle name="Separador de milhares 4 3 18 3" xfId="42820" xr:uid="{00000000-0005-0000-0000-000074A70000}"/>
    <cellStyle name="Separador de milhares 4 3 18 4" xfId="42821" xr:uid="{00000000-0005-0000-0000-000075A70000}"/>
    <cellStyle name="Separador de milhares 4 3 19" xfId="42822" xr:uid="{00000000-0005-0000-0000-000076A70000}"/>
    <cellStyle name="Separador de milhares 4 3 19 2" xfId="42823" xr:uid="{00000000-0005-0000-0000-000077A70000}"/>
    <cellStyle name="Separador de milhares 4 3 19 3" xfId="42824" xr:uid="{00000000-0005-0000-0000-000078A70000}"/>
    <cellStyle name="Separador de milhares 4 3 19 4" xfId="42825" xr:uid="{00000000-0005-0000-0000-000079A70000}"/>
    <cellStyle name="Separador de milhares 4 3 2" xfId="2053" xr:uid="{00000000-0005-0000-0000-00007AA70000}"/>
    <cellStyle name="Separador de milhares 4 3 2 2" xfId="2600" xr:uid="{00000000-0005-0000-0000-00007BA70000}"/>
    <cellStyle name="Separador de milhares 4 3 2 2 2" xfId="42826" xr:uid="{00000000-0005-0000-0000-00007CA70000}"/>
    <cellStyle name="Separador de milhares 4 3 2 2 3" xfId="42827" xr:uid="{00000000-0005-0000-0000-00007DA70000}"/>
    <cellStyle name="Separador de milhares 4 3 2 2 4" xfId="42828" xr:uid="{00000000-0005-0000-0000-00007EA70000}"/>
    <cellStyle name="Separador de milhares 4 3 2 3" xfId="42829" xr:uid="{00000000-0005-0000-0000-00007FA70000}"/>
    <cellStyle name="Separador de milhares 4 3 2 3 2" xfId="42830" xr:uid="{00000000-0005-0000-0000-000080A70000}"/>
    <cellStyle name="Separador de milhares 4 3 2 3 3" xfId="42831" xr:uid="{00000000-0005-0000-0000-000081A70000}"/>
    <cellStyle name="Separador de milhares 4 3 2 3 4" xfId="42832" xr:uid="{00000000-0005-0000-0000-000082A70000}"/>
    <cellStyle name="Separador de milhares 4 3 2 4" xfId="42833" xr:uid="{00000000-0005-0000-0000-000083A70000}"/>
    <cellStyle name="Separador de milhares 4 3 2 5" xfId="42834" xr:uid="{00000000-0005-0000-0000-000084A70000}"/>
    <cellStyle name="Separador de milhares 4 3 2 6" xfId="42835" xr:uid="{00000000-0005-0000-0000-000085A70000}"/>
    <cellStyle name="Separador de milhares 4 3 2 7" xfId="43394" xr:uid="{00000000-0005-0000-0000-000086A70000}"/>
    <cellStyle name="Separador de milhares 4 3 20" xfId="42836" xr:uid="{00000000-0005-0000-0000-000087A70000}"/>
    <cellStyle name="Separador de milhares 4 3 20 2" xfId="42837" xr:uid="{00000000-0005-0000-0000-000088A70000}"/>
    <cellStyle name="Separador de milhares 4 3 20 3" xfId="42838" xr:uid="{00000000-0005-0000-0000-000089A70000}"/>
    <cellStyle name="Separador de milhares 4 3 20 4" xfId="42839" xr:uid="{00000000-0005-0000-0000-00008AA70000}"/>
    <cellStyle name="Separador de milhares 4 3 21" xfId="42840" xr:uid="{00000000-0005-0000-0000-00008BA70000}"/>
    <cellStyle name="Separador de milhares 4 3 22" xfId="42841" xr:uid="{00000000-0005-0000-0000-00008CA70000}"/>
    <cellStyle name="Separador de milhares 4 3 23" xfId="42842" xr:uid="{00000000-0005-0000-0000-00008DA70000}"/>
    <cellStyle name="Separador de milhares 4 3 24" xfId="43294" xr:uid="{00000000-0005-0000-0000-00008EA70000}"/>
    <cellStyle name="Separador de milhares 4 3 3" xfId="2601" xr:uid="{00000000-0005-0000-0000-00008FA70000}"/>
    <cellStyle name="Separador de milhares 4 3 3 2" xfId="42843" xr:uid="{00000000-0005-0000-0000-000090A70000}"/>
    <cellStyle name="Separador de milhares 4 3 3 2 2" xfId="42844" xr:uid="{00000000-0005-0000-0000-000091A70000}"/>
    <cellStyle name="Separador de milhares 4 3 3 2 3" xfId="42845" xr:uid="{00000000-0005-0000-0000-000092A70000}"/>
    <cellStyle name="Separador de milhares 4 3 3 2 4" xfId="42846" xr:uid="{00000000-0005-0000-0000-000093A70000}"/>
    <cellStyle name="Separador de milhares 4 3 3 3" xfId="42847" xr:uid="{00000000-0005-0000-0000-000094A70000}"/>
    <cellStyle name="Separador de milhares 4 3 3 3 2" xfId="42848" xr:uid="{00000000-0005-0000-0000-000095A70000}"/>
    <cellStyle name="Separador de milhares 4 3 3 3 3" xfId="42849" xr:uid="{00000000-0005-0000-0000-000096A70000}"/>
    <cellStyle name="Separador de milhares 4 3 3 3 4" xfId="42850" xr:uid="{00000000-0005-0000-0000-000097A70000}"/>
    <cellStyle name="Separador de milhares 4 3 3 4" xfId="42851" xr:uid="{00000000-0005-0000-0000-000098A70000}"/>
    <cellStyle name="Separador de milhares 4 3 3 5" xfId="42852" xr:uid="{00000000-0005-0000-0000-000099A70000}"/>
    <cellStyle name="Separador de milhares 4 3 3 6" xfId="42853" xr:uid="{00000000-0005-0000-0000-00009AA70000}"/>
    <cellStyle name="Separador de milhares 4 3 3 7" xfId="43395" xr:uid="{00000000-0005-0000-0000-00009BA70000}"/>
    <cellStyle name="Separador de milhares 4 3 4" xfId="2473" xr:uid="{00000000-0005-0000-0000-00009CA70000}"/>
    <cellStyle name="Separador de milhares 4 3 4 2" xfId="42854" xr:uid="{00000000-0005-0000-0000-00009DA70000}"/>
    <cellStyle name="Separador de milhares 4 3 4 2 2" xfId="42855" xr:uid="{00000000-0005-0000-0000-00009EA70000}"/>
    <cellStyle name="Separador de milhares 4 3 4 2 3" xfId="42856" xr:uid="{00000000-0005-0000-0000-00009FA70000}"/>
    <cellStyle name="Separador de milhares 4 3 4 2 4" xfId="42857" xr:uid="{00000000-0005-0000-0000-0000A0A70000}"/>
    <cellStyle name="Separador de milhares 4 3 4 3" xfId="42858" xr:uid="{00000000-0005-0000-0000-0000A1A70000}"/>
    <cellStyle name="Separador de milhares 4 3 4 3 2" xfId="42859" xr:uid="{00000000-0005-0000-0000-0000A2A70000}"/>
    <cellStyle name="Separador de milhares 4 3 4 3 3" xfId="42860" xr:uid="{00000000-0005-0000-0000-0000A3A70000}"/>
    <cellStyle name="Separador de milhares 4 3 4 3 4" xfId="42861" xr:uid="{00000000-0005-0000-0000-0000A4A70000}"/>
    <cellStyle name="Separador de milhares 4 3 4 4" xfId="42862" xr:uid="{00000000-0005-0000-0000-0000A5A70000}"/>
    <cellStyle name="Separador de milhares 4 3 4 5" xfId="42863" xr:uid="{00000000-0005-0000-0000-0000A6A70000}"/>
    <cellStyle name="Separador de milhares 4 3 4 6" xfId="42864" xr:uid="{00000000-0005-0000-0000-0000A7A70000}"/>
    <cellStyle name="Separador de milhares 4 3 5" xfId="2389" xr:uid="{00000000-0005-0000-0000-0000A8A70000}"/>
    <cellStyle name="Separador de milhares 4 3 5 2" xfId="42865" xr:uid="{00000000-0005-0000-0000-0000A9A70000}"/>
    <cellStyle name="Separador de milhares 4 3 5 2 2" xfId="42866" xr:uid="{00000000-0005-0000-0000-0000AAA70000}"/>
    <cellStyle name="Separador de milhares 4 3 5 2 3" xfId="42867" xr:uid="{00000000-0005-0000-0000-0000ABA70000}"/>
    <cellStyle name="Separador de milhares 4 3 5 2 4" xfId="42868" xr:uid="{00000000-0005-0000-0000-0000ACA70000}"/>
    <cellStyle name="Separador de milhares 4 3 5 3" xfId="42869" xr:uid="{00000000-0005-0000-0000-0000ADA70000}"/>
    <cellStyle name="Separador de milhares 4 3 5 3 2" xfId="42870" xr:uid="{00000000-0005-0000-0000-0000AEA70000}"/>
    <cellStyle name="Separador de milhares 4 3 5 3 3" xfId="42871" xr:uid="{00000000-0005-0000-0000-0000AFA70000}"/>
    <cellStyle name="Separador de milhares 4 3 5 3 4" xfId="42872" xr:uid="{00000000-0005-0000-0000-0000B0A70000}"/>
    <cellStyle name="Separador de milhares 4 3 5 4" xfId="42873" xr:uid="{00000000-0005-0000-0000-0000B1A70000}"/>
    <cellStyle name="Separador de milhares 4 3 5 5" xfId="42874" xr:uid="{00000000-0005-0000-0000-0000B2A70000}"/>
    <cellStyle name="Separador de milhares 4 3 5 6" xfId="42875" xr:uid="{00000000-0005-0000-0000-0000B3A70000}"/>
    <cellStyle name="Separador de milhares 4 3 6" xfId="42876" xr:uid="{00000000-0005-0000-0000-0000B4A70000}"/>
    <cellStyle name="Separador de milhares 4 3 6 2" xfId="42877" xr:uid="{00000000-0005-0000-0000-0000B5A70000}"/>
    <cellStyle name="Separador de milhares 4 3 6 2 2" xfId="42878" xr:uid="{00000000-0005-0000-0000-0000B6A70000}"/>
    <cellStyle name="Separador de milhares 4 3 6 2 3" xfId="42879" xr:uid="{00000000-0005-0000-0000-0000B7A70000}"/>
    <cellStyle name="Separador de milhares 4 3 6 2 4" xfId="42880" xr:uid="{00000000-0005-0000-0000-0000B8A70000}"/>
    <cellStyle name="Separador de milhares 4 3 6 3" xfId="42881" xr:uid="{00000000-0005-0000-0000-0000B9A70000}"/>
    <cellStyle name="Separador de milhares 4 3 6 3 2" xfId="42882" xr:uid="{00000000-0005-0000-0000-0000BAA70000}"/>
    <cellStyle name="Separador de milhares 4 3 6 3 3" xfId="42883" xr:uid="{00000000-0005-0000-0000-0000BBA70000}"/>
    <cellStyle name="Separador de milhares 4 3 6 3 4" xfId="42884" xr:uid="{00000000-0005-0000-0000-0000BCA70000}"/>
    <cellStyle name="Separador de milhares 4 3 6 4" xfId="42885" xr:uid="{00000000-0005-0000-0000-0000BDA70000}"/>
    <cellStyle name="Separador de milhares 4 3 6 5" xfId="42886" xr:uid="{00000000-0005-0000-0000-0000BEA70000}"/>
    <cellStyle name="Separador de milhares 4 3 6 6" xfId="42887" xr:uid="{00000000-0005-0000-0000-0000BFA70000}"/>
    <cellStyle name="Separador de milhares 4 3 7" xfId="42888" xr:uid="{00000000-0005-0000-0000-0000C0A70000}"/>
    <cellStyle name="Separador de milhares 4 3 7 2" xfId="42889" xr:uid="{00000000-0005-0000-0000-0000C1A70000}"/>
    <cellStyle name="Separador de milhares 4 3 7 2 2" xfId="42890" xr:uid="{00000000-0005-0000-0000-0000C2A70000}"/>
    <cellStyle name="Separador de milhares 4 3 7 2 3" xfId="42891" xr:uid="{00000000-0005-0000-0000-0000C3A70000}"/>
    <cellStyle name="Separador de milhares 4 3 7 2 4" xfId="42892" xr:uid="{00000000-0005-0000-0000-0000C4A70000}"/>
    <cellStyle name="Separador de milhares 4 3 7 3" xfId="42893" xr:uid="{00000000-0005-0000-0000-0000C5A70000}"/>
    <cellStyle name="Separador de milhares 4 3 7 3 2" xfId="42894" xr:uid="{00000000-0005-0000-0000-0000C6A70000}"/>
    <cellStyle name="Separador de milhares 4 3 7 3 3" xfId="42895" xr:uid="{00000000-0005-0000-0000-0000C7A70000}"/>
    <cellStyle name="Separador de milhares 4 3 7 3 4" xfId="42896" xr:uid="{00000000-0005-0000-0000-0000C8A70000}"/>
    <cellStyle name="Separador de milhares 4 3 7 4" xfId="42897" xr:uid="{00000000-0005-0000-0000-0000C9A70000}"/>
    <cellStyle name="Separador de milhares 4 3 7 5" xfId="42898" xr:uid="{00000000-0005-0000-0000-0000CAA70000}"/>
    <cellStyle name="Separador de milhares 4 3 7 6" xfId="42899" xr:uid="{00000000-0005-0000-0000-0000CBA70000}"/>
    <cellStyle name="Separador de milhares 4 3 8" xfId="42900" xr:uid="{00000000-0005-0000-0000-0000CCA70000}"/>
    <cellStyle name="Separador de milhares 4 3 8 2" xfId="42901" xr:uid="{00000000-0005-0000-0000-0000CDA70000}"/>
    <cellStyle name="Separador de milhares 4 3 8 2 2" xfId="42902" xr:uid="{00000000-0005-0000-0000-0000CEA70000}"/>
    <cellStyle name="Separador de milhares 4 3 8 2 3" xfId="42903" xr:uid="{00000000-0005-0000-0000-0000CFA70000}"/>
    <cellStyle name="Separador de milhares 4 3 8 2 4" xfId="42904" xr:uid="{00000000-0005-0000-0000-0000D0A70000}"/>
    <cellStyle name="Separador de milhares 4 3 8 3" xfId="42905" xr:uid="{00000000-0005-0000-0000-0000D1A70000}"/>
    <cellStyle name="Separador de milhares 4 3 8 3 2" xfId="42906" xr:uid="{00000000-0005-0000-0000-0000D2A70000}"/>
    <cellStyle name="Separador de milhares 4 3 8 3 3" xfId="42907" xr:uid="{00000000-0005-0000-0000-0000D3A70000}"/>
    <cellStyle name="Separador de milhares 4 3 8 3 4" xfId="42908" xr:uid="{00000000-0005-0000-0000-0000D4A70000}"/>
    <cellStyle name="Separador de milhares 4 3 8 4" xfId="42909" xr:uid="{00000000-0005-0000-0000-0000D5A70000}"/>
    <cellStyle name="Separador de milhares 4 3 8 5" xfId="42910" xr:uid="{00000000-0005-0000-0000-0000D6A70000}"/>
    <cellStyle name="Separador de milhares 4 3 8 6" xfId="42911" xr:uid="{00000000-0005-0000-0000-0000D7A70000}"/>
    <cellStyle name="Separador de milhares 4 3 9" xfId="42912" xr:uid="{00000000-0005-0000-0000-0000D8A70000}"/>
    <cellStyle name="Separador de milhares 4 3 9 2" xfId="42913" xr:uid="{00000000-0005-0000-0000-0000D9A70000}"/>
    <cellStyle name="Separador de milhares 4 3 9 2 2" xfId="42914" xr:uid="{00000000-0005-0000-0000-0000DAA70000}"/>
    <cellStyle name="Separador de milhares 4 3 9 2 3" xfId="42915" xr:uid="{00000000-0005-0000-0000-0000DBA70000}"/>
    <cellStyle name="Separador de milhares 4 3 9 2 4" xfId="42916" xr:uid="{00000000-0005-0000-0000-0000DCA70000}"/>
    <cellStyle name="Separador de milhares 4 3 9 3" xfId="42917" xr:uid="{00000000-0005-0000-0000-0000DDA70000}"/>
    <cellStyle name="Separador de milhares 4 3 9 3 2" xfId="42918" xr:uid="{00000000-0005-0000-0000-0000DEA70000}"/>
    <cellStyle name="Separador de milhares 4 3 9 3 3" xfId="42919" xr:uid="{00000000-0005-0000-0000-0000DFA70000}"/>
    <cellStyle name="Separador de milhares 4 3 9 3 4" xfId="42920" xr:uid="{00000000-0005-0000-0000-0000E0A70000}"/>
    <cellStyle name="Separador de milhares 4 3 9 4" xfId="42921" xr:uid="{00000000-0005-0000-0000-0000E1A70000}"/>
    <cellStyle name="Separador de milhares 4 3 9 5" xfId="42922" xr:uid="{00000000-0005-0000-0000-0000E2A70000}"/>
    <cellStyle name="Separador de milhares 4 3 9 6" xfId="42923" xr:uid="{00000000-0005-0000-0000-0000E3A70000}"/>
    <cellStyle name="Separador de milhares 4 4" xfId="1952" xr:uid="{00000000-0005-0000-0000-0000E4A70000}"/>
    <cellStyle name="Separador de milhares 4 4 2" xfId="2602" xr:uid="{00000000-0005-0000-0000-0000E5A70000}"/>
    <cellStyle name="Separador de milhares 4 4 2 2" xfId="42924" xr:uid="{00000000-0005-0000-0000-0000E6A70000}"/>
    <cellStyle name="Separador de milhares 4 4 2 3" xfId="42925" xr:uid="{00000000-0005-0000-0000-0000E7A70000}"/>
    <cellStyle name="Separador de milhares 4 4 2 4" xfId="42926" xr:uid="{00000000-0005-0000-0000-0000E8A70000}"/>
    <cellStyle name="Separador de milhares 4 4 3" xfId="42927" xr:uid="{00000000-0005-0000-0000-0000E9A70000}"/>
    <cellStyle name="Separador de milhares 4 4 3 2" xfId="42928" xr:uid="{00000000-0005-0000-0000-0000EAA70000}"/>
    <cellStyle name="Separador de milhares 4 4 3 3" xfId="42929" xr:uid="{00000000-0005-0000-0000-0000EBA70000}"/>
    <cellStyle name="Separador de milhares 4 4 3 4" xfId="42930" xr:uid="{00000000-0005-0000-0000-0000ECA70000}"/>
    <cellStyle name="Separador de milhares 4 4 4" xfId="42931" xr:uid="{00000000-0005-0000-0000-0000EDA70000}"/>
    <cellStyle name="Separador de milhares 4 4 5" xfId="42932" xr:uid="{00000000-0005-0000-0000-0000EEA70000}"/>
    <cellStyle name="Separador de milhares 4 4 6" xfId="42933" xr:uid="{00000000-0005-0000-0000-0000EFA70000}"/>
    <cellStyle name="Separador de milhares 4 4 7" xfId="43396" xr:uid="{00000000-0005-0000-0000-0000F0A70000}"/>
    <cellStyle name="Separador de milhares 4 5" xfId="2603" xr:uid="{00000000-0005-0000-0000-0000F1A70000}"/>
    <cellStyle name="Separador de milhares 4 5 2" xfId="42934" xr:uid="{00000000-0005-0000-0000-0000F2A70000}"/>
    <cellStyle name="Separador de milhares 4 5 2 2" xfId="42935" xr:uid="{00000000-0005-0000-0000-0000F3A70000}"/>
    <cellStyle name="Separador de milhares 4 5 2 3" xfId="42936" xr:uid="{00000000-0005-0000-0000-0000F4A70000}"/>
    <cellStyle name="Separador de milhares 4 5 2 4" xfId="42937" xr:uid="{00000000-0005-0000-0000-0000F5A70000}"/>
    <cellStyle name="Separador de milhares 4 5 3" xfId="42938" xr:uid="{00000000-0005-0000-0000-0000F6A70000}"/>
    <cellStyle name="Separador de milhares 4 5 3 2" xfId="42939" xr:uid="{00000000-0005-0000-0000-0000F7A70000}"/>
    <cellStyle name="Separador de milhares 4 5 3 3" xfId="42940" xr:uid="{00000000-0005-0000-0000-0000F8A70000}"/>
    <cellStyle name="Separador de milhares 4 5 3 4" xfId="42941" xr:uid="{00000000-0005-0000-0000-0000F9A70000}"/>
    <cellStyle name="Separador de milhares 4 5 4" xfId="42942" xr:uid="{00000000-0005-0000-0000-0000FAA70000}"/>
    <cellStyle name="Separador de milhares 4 5 5" xfId="42943" xr:uid="{00000000-0005-0000-0000-0000FBA70000}"/>
    <cellStyle name="Separador de milhares 4 5 6" xfId="42944" xr:uid="{00000000-0005-0000-0000-0000FCA70000}"/>
    <cellStyle name="Separador de milhares 4 5 7" xfId="43397" xr:uid="{00000000-0005-0000-0000-0000FDA70000}"/>
    <cellStyle name="Separador de milhares 4 6" xfId="2604" xr:uid="{00000000-0005-0000-0000-0000FEA70000}"/>
    <cellStyle name="Separador de milhares 4 6 2" xfId="42945" xr:uid="{00000000-0005-0000-0000-0000FFA70000}"/>
    <cellStyle name="Separador de milhares 4 6 2 2" xfId="42946" xr:uid="{00000000-0005-0000-0000-000000A80000}"/>
    <cellStyle name="Separador de milhares 4 6 2 3" xfId="42947" xr:uid="{00000000-0005-0000-0000-000001A80000}"/>
    <cellStyle name="Separador de milhares 4 6 2 4" xfId="42948" xr:uid="{00000000-0005-0000-0000-000002A80000}"/>
    <cellStyle name="Separador de milhares 4 6 3" xfId="42949" xr:uid="{00000000-0005-0000-0000-000003A80000}"/>
    <cellStyle name="Separador de milhares 4 6 3 2" xfId="42950" xr:uid="{00000000-0005-0000-0000-000004A80000}"/>
    <cellStyle name="Separador de milhares 4 6 3 3" xfId="42951" xr:uid="{00000000-0005-0000-0000-000005A80000}"/>
    <cellStyle name="Separador de milhares 4 6 3 4" xfId="42952" xr:uid="{00000000-0005-0000-0000-000006A80000}"/>
    <cellStyle name="Separador de milhares 4 6 4" xfId="42953" xr:uid="{00000000-0005-0000-0000-000007A80000}"/>
    <cellStyle name="Separador de milhares 4 6 5" xfId="42954" xr:uid="{00000000-0005-0000-0000-000008A80000}"/>
    <cellStyle name="Separador de milhares 4 6 6" xfId="42955" xr:uid="{00000000-0005-0000-0000-000009A80000}"/>
    <cellStyle name="Separador de milhares 4 6 7" xfId="43398" xr:uid="{00000000-0005-0000-0000-00000AA80000}"/>
    <cellStyle name="Separador de milhares 4 7" xfId="2470" xr:uid="{00000000-0005-0000-0000-00000BA80000}"/>
    <cellStyle name="Separador de milhares 4 7 2" xfId="42956" xr:uid="{00000000-0005-0000-0000-00000CA80000}"/>
    <cellStyle name="Separador de milhares 4 7 2 2" xfId="42957" xr:uid="{00000000-0005-0000-0000-00000DA80000}"/>
    <cellStyle name="Separador de milhares 4 7 2 3" xfId="42958" xr:uid="{00000000-0005-0000-0000-00000EA80000}"/>
    <cellStyle name="Separador de milhares 4 7 2 4" xfId="42959" xr:uid="{00000000-0005-0000-0000-00000FA80000}"/>
    <cellStyle name="Separador de milhares 4 7 3" xfId="42960" xr:uid="{00000000-0005-0000-0000-000010A80000}"/>
    <cellStyle name="Separador de milhares 4 7 3 2" xfId="42961" xr:uid="{00000000-0005-0000-0000-000011A80000}"/>
    <cellStyle name="Separador de milhares 4 7 3 3" xfId="42962" xr:uid="{00000000-0005-0000-0000-000012A80000}"/>
    <cellStyle name="Separador de milhares 4 7 3 4" xfId="42963" xr:uid="{00000000-0005-0000-0000-000013A80000}"/>
    <cellStyle name="Separador de milhares 4 7 4" xfId="42964" xr:uid="{00000000-0005-0000-0000-000014A80000}"/>
    <cellStyle name="Separador de milhares 4 7 5" xfId="42965" xr:uid="{00000000-0005-0000-0000-000015A80000}"/>
    <cellStyle name="Separador de milhares 4 7 6" xfId="42966" xr:uid="{00000000-0005-0000-0000-000016A80000}"/>
    <cellStyle name="Separador de milhares 4 8" xfId="2264" xr:uid="{00000000-0005-0000-0000-000017A80000}"/>
    <cellStyle name="Separador de milhares 4 8 2" xfId="42967" xr:uid="{00000000-0005-0000-0000-000018A80000}"/>
    <cellStyle name="Separador de milhares 4 8 2 2" xfId="42968" xr:uid="{00000000-0005-0000-0000-000019A80000}"/>
    <cellStyle name="Separador de milhares 4 8 2 3" xfId="42969" xr:uid="{00000000-0005-0000-0000-00001AA80000}"/>
    <cellStyle name="Separador de milhares 4 8 2 4" xfId="42970" xr:uid="{00000000-0005-0000-0000-00001BA80000}"/>
    <cellStyle name="Separador de milhares 4 8 3" xfId="42971" xr:uid="{00000000-0005-0000-0000-00001CA80000}"/>
    <cellStyle name="Separador de milhares 4 8 3 2" xfId="42972" xr:uid="{00000000-0005-0000-0000-00001DA80000}"/>
    <cellStyle name="Separador de milhares 4 8 3 3" xfId="42973" xr:uid="{00000000-0005-0000-0000-00001EA80000}"/>
    <cellStyle name="Separador de milhares 4 8 3 4" xfId="42974" xr:uid="{00000000-0005-0000-0000-00001FA80000}"/>
    <cellStyle name="Separador de milhares 4 8 4" xfId="42975" xr:uid="{00000000-0005-0000-0000-000020A80000}"/>
    <cellStyle name="Separador de milhares 4 8 5" xfId="42976" xr:uid="{00000000-0005-0000-0000-000021A80000}"/>
    <cellStyle name="Separador de milhares 4 8 6" xfId="42977" xr:uid="{00000000-0005-0000-0000-000022A80000}"/>
    <cellStyle name="Separador de milhares 4 9" xfId="42978" xr:uid="{00000000-0005-0000-0000-000023A80000}"/>
    <cellStyle name="Separador de milhares 4 9 2" xfId="42979" xr:uid="{00000000-0005-0000-0000-000024A80000}"/>
    <cellStyle name="Separador de milhares 4 9 2 2" xfId="42980" xr:uid="{00000000-0005-0000-0000-000025A80000}"/>
    <cellStyle name="Separador de milhares 4 9 2 3" xfId="42981" xr:uid="{00000000-0005-0000-0000-000026A80000}"/>
    <cellStyle name="Separador de milhares 4 9 2 4" xfId="42982" xr:uid="{00000000-0005-0000-0000-000027A80000}"/>
    <cellStyle name="Separador de milhares 4 9 3" xfId="42983" xr:uid="{00000000-0005-0000-0000-000028A80000}"/>
    <cellStyle name="Separador de milhares 4 9 3 2" xfId="42984" xr:uid="{00000000-0005-0000-0000-000029A80000}"/>
    <cellStyle name="Separador de milhares 4 9 3 3" xfId="42985" xr:uid="{00000000-0005-0000-0000-00002AA80000}"/>
    <cellStyle name="Separador de milhares 4 9 3 4" xfId="42986" xr:uid="{00000000-0005-0000-0000-00002BA80000}"/>
    <cellStyle name="Separador de milhares 4 9 4" xfId="42987" xr:uid="{00000000-0005-0000-0000-00002CA80000}"/>
    <cellStyle name="Separador de milhares 4 9 5" xfId="42988" xr:uid="{00000000-0005-0000-0000-00002DA80000}"/>
    <cellStyle name="Separador de milhares 4 9 6" xfId="42989" xr:uid="{00000000-0005-0000-0000-00002EA80000}"/>
    <cellStyle name="Separador de milhares 5" xfId="1139" xr:uid="{00000000-0005-0000-0000-00002FA80000}"/>
    <cellStyle name="Separador de milhares 5 2" xfId="1720" xr:uid="{00000000-0005-0000-0000-000030A80000}"/>
    <cellStyle name="Separador de milhares 5 2 2" xfId="42990" xr:uid="{00000000-0005-0000-0000-000031A80000}"/>
    <cellStyle name="Separador de milhares 5 2 3" xfId="43296" xr:uid="{00000000-0005-0000-0000-000032A80000}"/>
    <cellStyle name="Separador de milhares 5 3" xfId="1859" xr:uid="{00000000-0005-0000-0000-000033A80000}"/>
    <cellStyle name="Separador de milhares 5 3 2" xfId="2055" xr:uid="{00000000-0005-0000-0000-000034A80000}"/>
    <cellStyle name="Separador de milhares 5 3 2 2" xfId="2605" xr:uid="{00000000-0005-0000-0000-000035A80000}"/>
    <cellStyle name="Separador de milhares 5 3 2 3" xfId="43399" xr:uid="{00000000-0005-0000-0000-000036A80000}"/>
    <cellStyle name="Separador de milhares 5 3 3" xfId="2606" xr:uid="{00000000-0005-0000-0000-000037A80000}"/>
    <cellStyle name="Separador de milhares 5 3 3 2" xfId="43400" xr:uid="{00000000-0005-0000-0000-000038A80000}"/>
    <cellStyle name="Separador de milhares 5 3 4" xfId="2475" xr:uid="{00000000-0005-0000-0000-000039A80000}"/>
    <cellStyle name="Separador de milhares 5 3 5" xfId="2391" xr:uid="{00000000-0005-0000-0000-00003AA80000}"/>
    <cellStyle name="Separador de milhares 5 3 6" xfId="43297" xr:uid="{00000000-0005-0000-0000-00003BA80000}"/>
    <cellStyle name="Separador de milhares 5 4" xfId="1954" xr:uid="{00000000-0005-0000-0000-00003CA80000}"/>
    <cellStyle name="Separador de milhares 5 4 2" xfId="2607" xr:uid="{00000000-0005-0000-0000-00003DA80000}"/>
    <cellStyle name="Separador de milhares 5 4 3" xfId="43401" xr:uid="{00000000-0005-0000-0000-00003EA80000}"/>
    <cellStyle name="Separador de milhares 5 5" xfId="2608" xr:uid="{00000000-0005-0000-0000-00003FA80000}"/>
    <cellStyle name="Separador de milhares 5 5 2" xfId="43402" xr:uid="{00000000-0005-0000-0000-000040A80000}"/>
    <cellStyle name="Separador de milhares 5 6" xfId="2474" xr:uid="{00000000-0005-0000-0000-000041A80000}"/>
    <cellStyle name="Separador de milhares 5 7" xfId="2266" xr:uid="{00000000-0005-0000-0000-000042A80000}"/>
    <cellStyle name="Separador de milhares 5 8" xfId="43295" xr:uid="{00000000-0005-0000-0000-000043A80000}"/>
    <cellStyle name="Separador de milhares 6" xfId="1140" xr:uid="{00000000-0005-0000-0000-000044A80000}"/>
    <cellStyle name="Separador de milhares 6 2" xfId="1471" xr:uid="{00000000-0005-0000-0000-000045A80000}"/>
    <cellStyle name="Separador de milhares 6 2 2" xfId="43299" xr:uid="{00000000-0005-0000-0000-000046A80000}"/>
    <cellStyle name="Separador de milhares 6 3" xfId="42991" xr:uid="{00000000-0005-0000-0000-000047A80000}"/>
    <cellStyle name="Separador de milhares 6 4" xfId="43298" xr:uid="{00000000-0005-0000-0000-000048A80000}"/>
    <cellStyle name="Separador de milhares 7" xfId="1141" xr:uid="{00000000-0005-0000-0000-000049A80000}"/>
    <cellStyle name="Separador de milhares 7 2" xfId="42992" xr:uid="{00000000-0005-0000-0000-00004AA80000}"/>
    <cellStyle name="Separador de milhares 7 3" xfId="42993" xr:uid="{00000000-0005-0000-0000-00004BA80000}"/>
    <cellStyle name="Separador de milhares 7 4" xfId="42994" xr:uid="{00000000-0005-0000-0000-00004CA80000}"/>
    <cellStyle name="Separador de milhares 7 5" xfId="42995" xr:uid="{00000000-0005-0000-0000-00004DA80000}"/>
    <cellStyle name="Separador de milhares 7 6" xfId="43300" xr:uid="{00000000-0005-0000-0000-00004EA80000}"/>
    <cellStyle name="Separador de milhares 8" xfId="1142" xr:uid="{00000000-0005-0000-0000-00004FA80000}"/>
    <cellStyle name="Separador de milhares 8 2" xfId="2609" xr:uid="{00000000-0005-0000-0000-000050A80000}"/>
    <cellStyle name="Separador de milhares 8 2 2" xfId="43403" xr:uid="{00000000-0005-0000-0000-000051A80000}"/>
    <cellStyle name="Separador de milhares 8 3" xfId="42996" xr:uid="{00000000-0005-0000-0000-000052A80000}"/>
    <cellStyle name="Separador de milhares 8 4" xfId="43301" xr:uid="{00000000-0005-0000-0000-000053A80000}"/>
    <cellStyle name="Separador de milhares 9" xfId="1143" xr:uid="{00000000-0005-0000-0000-000054A80000}"/>
    <cellStyle name="Separador de milhares 9 2" xfId="1710" xr:uid="{00000000-0005-0000-0000-000055A80000}"/>
    <cellStyle name="Separador de milhares 9 2 2" xfId="43303" xr:uid="{00000000-0005-0000-0000-000056A80000}"/>
    <cellStyle name="Separador de milhares 9 3" xfId="42997" xr:uid="{00000000-0005-0000-0000-000057A80000}"/>
    <cellStyle name="Separador de milhares 9 4" xfId="42998" xr:uid="{00000000-0005-0000-0000-000058A80000}"/>
    <cellStyle name="Separador de milhares 9 5" xfId="42999" xr:uid="{00000000-0005-0000-0000-000059A80000}"/>
    <cellStyle name="Separador de milhares 9 6" xfId="43302" xr:uid="{00000000-0005-0000-0000-00005AA80000}"/>
    <cellStyle name="Shaded" xfId="866" xr:uid="{00000000-0005-0000-0000-00005BA80000}"/>
    <cellStyle name="Shaded 2" xfId="43000" xr:uid="{00000000-0005-0000-0000-00005CA80000}"/>
    <cellStyle name="Sheet Title" xfId="43001" xr:uid="{00000000-0005-0000-0000-00005DA80000}"/>
    <cellStyle name="ssubtitulo" xfId="867" xr:uid="{00000000-0005-0000-0000-00005EA80000}"/>
    <cellStyle name="Standard format" xfId="1144" xr:uid="{00000000-0005-0000-0000-00005FA80000}"/>
    <cellStyle name="Standard format 2" xfId="1860" xr:uid="{00000000-0005-0000-0000-000060A80000}"/>
    <cellStyle name="Standard format 2 2" xfId="2056" xr:uid="{00000000-0005-0000-0000-000061A80000}"/>
    <cellStyle name="Standard format 2 2 2" xfId="2477" xr:uid="{00000000-0005-0000-0000-000062A80000}"/>
    <cellStyle name="Standard format 2 2 3" xfId="2666" xr:uid="{00000000-0005-0000-0000-000063A80000}"/>
    <cellStyle name="Standard format 2 2 4" xfId="2238" xr:uid="{00000000-0005-0000-0000-000064A80000}"/>
    <cellStyle name="Standard format 2 3" xfId="2111" xr:uid="{00000000-0005-0000-0000-000065A80000}"/>
    <cellStyle name="Standard format 2 4" xfId="2613" xr:uid="{00000000-0005-0000-0000-000066A80000}"/>
    <cellStyle name="Standard format 2 5" xfId="2161" xr:uid="{00000000-0005-0000-0000-000067A80000}"/>
    <cellStyle name="Standard format 2 6" xfId="43305" xr:uid="{00000000-0005-0000-0000-000068A80000}"/>
    <cellStyle name="Standard format 3" xfId="1955" xr:uid="{00000000-0005-0000-0000-000069A80000}"/>
    <cellStyle name="Standard format 3 2" xfId="2476" xr:uid="{00000000-0005-0000-0000-00006AA80000}"/>
    <cellStyle name="Standard format 3 3" xfId="2665" xr:uid="{00000000-0005-0000-0000-00006BA80000}"/>
    <cellStyle name="Standard format 3 4" xfId="2166" xr:uid="{00000000-0005-0000-0000-00006CA80000}"/>
    <cellStyle name="Standard format 4" xfId="2351" xr:uid="{00000000-0005-0000-0000-00006DA80000}"/>
    <cellStyle name="Standard format 5" xfId="43304" xr:uid="{00000000-0005-0000-0000-00006EA80000}"/>
    <cellStyle name="STA-TI - Style4" xfId="43002" xr:uid="{00000000-0005-0000-0000-00006FA80000}"/>
    <cellStyle name="Strange" xfId="1711" xr:uid="{00000000-0005-0000-0000-000070A80000}"/>
    <cellStyle name="Style 1" xfId="868" xr:uid="{00000000-0005-0000-0000-000071A80000}"/>
    <cellStyle name="Style 1 2" xfId="908" xr:uid="{00000000-0005-0000-0000-000072A80000}"/>
    <cellStyle name="Style 1 3" xfId="43003" xr:uid="{00000000-0005-0000-0000-000073A80000}"/>
    <cellStyle name="Style 1_IF - Autoprodutores" xfId="43004" xr:uid="{00000000-0005-0000-0000-000074A80000}"/>
    <cellStyle name="Style 21" xfId="43005" xr:uid="{00000000-0005-0000-0000-000075A80000}"/>
    <cellStyle name="Style 22" xfId="43006" xr:uid="{00000000-0005-0000-0000-000076A80000}"/>
    <cellStyle name="Style 23" xfId="43007" xr:uid="{00000000-0005-0000-0000-000077A80000}"/>
    <cellStyle name="Style 24" xfId="43008" xr:uid="{00000000-0005-0000-0000-000078A80000}"/>
    <cellStyle name="Style 25" xfId="43009" xr:uid="{00000000-0005-0000-0000-000079A80000}"/>
    <cellStyle name="STYLE1 - Style1" xfId="869" xr:uid="{00000000-0005-0000-0000-00007AA80000}"/>
    <cellStyle name="STYLE1 - Style1 10" xfId="43010" xr:uid="{00000000-0005-0000-0000-00007BA80000}"/>
    <cellStyle name="STYLE1 - Style1 2" xfId="1145" xr:uid="{00000000-0005-0000-0000-00007CA80000}"/>
    <cellStyle name="STYLE1 - Style1 3" xfId="43011" xr:uid="{00000000-0005-0000-0000-00007DA80000}"/>
    <cellStyle name="STYLE1 - Style1 4" xfId="43012" xr:uid="{00000000-0005-0000-0000-00007EA80000}"/>
    <cellStyle name="STYLE1 - Style1 5" xfId="43013" xr:uid="{00000000-0005-0000-0000-00007FA80000}"/>
    <cellStyle name="STYLE1 - Style1 6" xfId="43014" xr:uid="{00000000-0005-0000-0000-000080A80000}"/>
    <cellStyle name="STYLE1 - Style1 7" xfId="43015" xr:uid="{00000000-0005-0000-0000-000081A80000}"/>
    <cellStyle name="STYLE1 - Style1 8" xfId="43016" xr:uid="{00000000-0005-0000-0000-000082A80000}"/>
    <cellStyle name="STYLE1 - Style1 9" xfId="43017" xr:uid="{00000000-0005-0000-0000-000083A80000}"/>
    <cellStyle name="STYLE1 - Style1_COELCE CVA SRE (4)" xfId="43018" xr:uid="{00000000-0005-0000-0000-000084A80000}"/>
    <cellStyle name="STYLE2 - Style2" xfId="870" xr:uid="{00000000-0005-0000-0000-000085A80000}"/>
    <cellStyle name="STYLE2 - Style2 10" xfId="43019" xr:uid="{00000000-0005-0000-0000-000086A80000}"/>
    <cellStyle name="STYLE2 - Style2 2" xfId="1146" xr:uid="{00000000-0005-0000-0000-000087A80000}"/>
    <cellStyle name="STYLE2 - Style2 3" xfId="43020" xr:uid="{00000000-0005-0000-0000-000088A80000}"/>
    <cellStyle name="STYLE2 - Style2 4" xfId="43021" xr:uid="{00000000-0005-0000-0000-000089A80000}"/>
    <cellStyle name="STYLE2 - Style2 5" xfId="43022" xr:uid="{00000000-0005-0000-0000-00008AA80000}"/>
    <cellStyle name="STYLE2 - Style2 6" xfId="43023" xr:uid="{00000000-0005-0000-0000-00008BA80000}"/>
    <cellStyle name="STYLE2 - Style2 7" xfId="43024" xr:uid="{00000000-0005-0000-0000-00008CA80000}"/>
    <cellStyle name="STYLE2 - Style2 8" xfId="43025" xr:uid="{00000000-0005-0000-0000-00008DA80000}"/>
    <cellStyle name="STYLE2 - Style2 9" xfId="43026" xr:uid="{00000000-0005-0000-0000-00008EA80000}"/>
    <cellStyle name="STYLE2 - Style2_COELCE CVA SRE (4)" xfId="43027" xr:uid="{00000000-0005-0000-0000-00008FA80000}"/>
    <cellStyle name="STYLE3 - Style3" xfId="871" xr:uid="{00000000-0005-0000-0000-000090A80000}"/>
    <cellStyle name="STYLE3 - Style3 10" xfId="43028" xr:uid="{00000000-0005-0000-0000-000091A80000}"/>
    <cellStyle name="STYLE3 - Style3 2" xfId="1147" xr:uid="{00000000-0005-0000-0000-000092A80000}"/>
    <cellStyle name="STYLE3 - Style3 3" xfId="43029" xr:uid="{00000000-0005-0000-0000-000093A80000}"/>
    <cellStyle name="STYLE3 - Style3 4" xfId="43030" xr:uid="{00000000-0005-0000-0000-000094A80000}"/>
    <cellStyle name="STYLE3 - Style3 5" xfId="43031" xr:uid="{00000000-0005-0000-0000-000095A80000}"/>
    <cellStyle name="STYLE3 - Style3 6" xfId="43032" xr:uid="{00000000-0005-0000-0000-000096A80000}"/>
    <cellStyle name="STYLE3 - Style3 7" xfId="43033" xr:uid="{00000000-0005-0000-0000-000097A80000}"/>
    <cellStyle name="STYLE3 - Style3 8" xfId="43034" xr:uid="{00000000-0005-0000-0000-000098A80000}"/>
    <cellStyle name="STYLE3 - Style3 9" xfId="43035" xr:uid="{00000000-0005-0000-0000-000099A80000}"/>
    <cellStyle name="STYLE3 - Style3_COELCE CVA SRE (4)" xfId="43036" xr:uid="{00000000-0005-0000-0000-00009AA80000}"/>
    <cellStyle name="STYLE4 - Style4" xfId="872" xr:uid="{00000000-0005-0000-0000-00009BA80000}"/>
    <cellStyle name="STYLE4 - Style4 10" xfId="43037" xr:uid="{00000000-0005-0000-0000-00009CA80000}"/>
    <cellStyle name="STYLE4 - Style4 2" xfId="1148" xr:uid="{00000000-0005-0000-0000-00009DA80000}"/>
    <cellStyle name="STYLE4 - Style4 3" xfId="43038" xr:uid="{00000000-0005-0000-0000-00009EA80000}"/>
    <cellStyle name="STYLE4 - Style4 4" xfId="43039" xr:uid="{00000000-0005-0000-0000-00009FA80000}"/>
    <cellStyle name="STYLE4 - Style4 5" xfId="43040" xr:uid="{00000000-0005-0000-0000-0000A0A80000}"/>
    <cellStyle name="STYLE4 - Style4 6" xfId="43041" xr:uid="{00000000-0005-0000-0000-0000A1A80000}"/>
    <cellStyle name="STYLE4 - Style4 7" xfId="43042" xr:uid="{00000000-0005-0000-0000-0000A2A80000}"/>
    <cellStyle name="STYLE4 - Style4 8" xfId="43043" xr:uid="{00000000-0005-0000-0000-0000A3A80000}"/>
    <cellStyle name="STYLE4 - Style4 9" xfId="43044" xr:uid="{00000000-0005-0000-0000-0000A4A80000}"/>
    <cellStyle name="STYLE4 - Style4_COELCE CVA SRE (4)" xfId="43045" xr:uid="{00000000-0005-0000-0000-0000A5A80000}"/>
    <cellStyle name="sub-to - Style3" xfId="43046" xr:uid="{00000000-0005-0000-0000-0000A6A80000}"/>
    <cellStyle name="Sum" xfId="873" xr:uid="{00000000-0005-0000-0000-0000A7A80000}"/>
    <cellStyle name="Sum %of HV" xfId="874" xr:uid="{00000000-0005-0000-0000-0000A8A80000}"/>
    <cellStyle name="Sum %of HV 2" xfId="43047" xr:uid="{00000000-0005-0000-0000-0000A9A80000}"/>
    <cellStyle name="Sum %of HV 3" xfId="43048" xr:uid="{00000000-0005-0000-0000-0000AAA80000}"/>
    <cellStyle name="Sum %of HV 3 2" xfId="43049" xr:uid="{00000000-0005-0000-0000-0000ABA80000}"/>
    <cellStyle name="Sum %of HV_IF - Autoprodutores 2" xfId="43050" xr:uid="{00000000-0005-0000-0000-0000ACA80000}"/>
    <cellStyle name="t" xfId="43051" xr:uid="{00000000-0005-0000-0000-0000ADA80000}"/>
    <cellStyle name="T¡tu-1 - Style2" xfId="43052" xr:uid="{00000000-0005-0000-0000-0000AEA80000}"/>
    <cellStyle name="T0" xfId="1712" xr:uid="{00000000-0005-0000-0000-0000AFA80000}"/>
    <cellStyle name="T1" xfId="1713" xr:uid="{00000000-0005-0000-0000-0000B0A80000}"/>
    <cellStyle name="Table Head" xfId="43053" xr:uid="{00000000-0005-0000-0000-0000B1A80000}"/>
    <cellStyle name="Table Head Aligned" xfId="43054" xr:uid="{00000000-0005-0000-0000-0000B2A80000}"/>
    <cellStyle name="Table Head Blue" xfId="43055" xr:uid="{00000000-0005-0000-0000-0000B3A80000}"/>
    <cellStyle name="Table Head Green" xfId="43056" xr:uid="{00000000-0005-0000-0000-0000B4A80000}"/>
    <cellStyle name="Table Title" xfId="43057" xr:uid="{00000000-0005-0000-0000-0000B5A80000}"/>
    <cellStyle name="Table Units" xfId="43058" xr:uid="{00000000-0005-0000-0000-0000B6A80000}"/>
    <cellStyle name="taples Plaza" xfId="43059" xr:uid="{00000000-0005-0000-0000-0000B7A80000}"/>
    <cellStyle name="TESTE" xfId="43060" xr:uid="{00000000-0005-0000-0000-0000B8A80000}"/>
    <cellStyle name="Text" xfId="43061" xr:uid="{00000000-0005-0000-0000-0000B9A80000}"/>
    <cellStyle name="Text Indent A" xfId="875" xr:uid="{00000000-0005-0000-0000-0000BAA80000}"/>
    <cellStyle name="Text Indent A 2" xfId="1149" xr:uid="{00000000-0005-0000-0000-0000BBA80000}"/>
    <cellStyle name="Text Indent A 3" xfId="43062" xr:uid="{00000000-0005-0000-0000-0000BCA80000}"/>
    <cellStyle name="Text Indent A_IRT_Planilha Básica_ v2010_CERRP" xfId="1779" xr:uid="{00000000-0005-0000-0000-0000BDA80000}"/>
    <cellStyle name="Text Indent B" xfId="876" xr:uid="{00000000-0005-0000-0000-0000BEA80000}"/>
    <cellStyle name="Text Indent B 2" xfId="1150" xr:uid="{00000000-0005-0000-0000-0000BFA80000}"/>
    <cellStyle name="Text Indent B 3" xfId="43063" xr:uid="{00000000-0005-0000-0000-0000C0A80000}"/>
    <cellStyle name="Text Indent B_IRT_Planilha Básica_ v2010_CERRP" xfId="1780" xr:uid="{00000000-0005-0000-0000-0000C1A80000}"/>
    <cellStyle name="Text Indent C" xfId="877" xr:uid="{00000000-0005-0000-0000-0000C2A80000}"/>
    <cellStyle name="Text Indent C 2" xfId="1151" xr:uid="{00000000-0005-0000-0000-0000C3A80000}"/>
    <cellStyle name="Text Indent C 3" xfId="43064" xr:uid="{00000000-0005-0000-0000-0000C4A80000}"/>
    <cellStyle name="Text Indent C_IRT_Planilha Básica_ v2010_CERRP" xfId="1781" xr:uid="{00000000-0005-0000-0000-0000C5A80000}"/>
    <cellStyle name="Texto de advertencia" xfId="1152" xr:uid="{00000000-0005-0000-0000-0000C6A80000}"/>
    <cellStyle name="Texto de Aviso" xfId="878" xr:uid="{00000000-0005-0000-0000-0000C7A80000}"/>
    <cellStyle name="Texto de Aviso 2" xfId="1153" xr:uid="{00000000-0005-0000-0000-0000C8A80000}"/>
    <cellStyle name="Texto de Aviso 2 2" xfId="43065" xr:uid="{00000000-0005-0000-0000-0000C9A80000}"/>
    <cellStyle name="Texto de Aviso 3" xfId="1782" xr:uid="{00000000-0005-0000-0000-0000CAA80000}"/>
    <cellStyle name="Texto de Aviso 4" xfId="43066" xr:uid="{00000000-0005-0000-0000-0000CBA80000}"/>
    <cellStyle name="Texto Explicativo" xfId="879" xr:uid="{00000000-0005-0000-0000-0000CCA80000}"/>
    <cellStyle name="Texto explicativo 10" xfId="43067" xr:uid="{00000000-0005-0000-0000-0000CDA80000}"/>
    <cellStyle name="Texto Explicativo 2" xfId="1154" xr:uid="{00000000-0005-0000-0000-0000CEA80000}"/>
    <cellStyle name="Texto explicativo 2 2" xfId="43068" xr:uid="{00000000-0005-0000-0000-0000CFA80000}"/>
    <cellStyle name="Texto Explicativo 3" xfId="1783" xr:uid="{00000000-0005-0000-0000-0000D0A80000}"/>
    <cellStyle name="Texto explicativo 3 2" xfId="43069" xr:uid="{00000000-0005-0000-0000-0000D1A80000}"/>
    <cellStyle name="Texto explicativo 4" xfId="43070" xr:uid="{00000000-0005-0000-0000-0000D2A80000}"/>
    <cellStyle name="Texto explicativo 4 2" xfId="43071" xr:uid="{00000000-0005-0000-0000-0000D3A80000}"/>
    <cellStyle name="Texto explicativo 5" xfId="43072" xr:uid="{00000000-0005-0000-0000-0000D4A80000}"/>
    <cellStyle name="Texto explicativo 6" xfId="43073" xr:uid="{00000000-0005-0000-0000-0000D5A80000}"/>
    <cellStyle name="Texto explicativo 7" xfId="43074" xr:uid="{00000000-0005-0000-0000-0000D6A80000}"/>
    <cellStyle name="Texto explicativo 8" xfId="43075" xr:uid="{00000000-0005-0000-0000-0000D7A80000}"/>
    <cellStyle name="Texto explicativo 9" xfId="43076" xr:uid="{00000000-0005-0000-0000-0000D8A80000}"/>
    <cellStyle name="Thousands (0)" xfId="880" xr:uid="{00000000-0005-0000-0000-0000D9A80000}"/>
    <cellStyle name="Thousands (0) 2" xfId="43077" xr:uid="{00000000-0005-0000-0000-0000DAA80000}"/>
    <cellStyle name="Thousands (0) 3" xfId="43078" xr:uid="{00000000-0005-0000-0000-0000DBA80000}"/>
    <cellStyle name="Thousands (0) 3 2" xfId="43079" xr:uid="{00000000-0005-0000-0000-0000DCA80000}"/>
    <cellStyle name="Thousands (1)" xfId="881" xr:uid="{00000000-0005-0000-0000-0000DDA80000}"/>
    <cellStyle name="Thousands (1) 2" xfId="43080" xr:uid="{00000000-0005-0000-0000-0000DEA80000}"/>
    <cellStyle name="Thousands (1) 3" xfId="43081" xr:uid="{00000000-0005-0000-0000-0000DFA80000}"/>
    <cellStyle name="Thousands (1) 3 2" xfId="43082" xr:uid="{00000000-0005-0000-0000-0000E0A80000}"/>
    <cellStyle name="time" xfId="882" xr:uid="{00000000-0005-0000-0000-0000E1A80000}"/>
    <cellStyle name="Times New Roman" xfId="43083" xr:uid="{00000000-0005-0000-0000-0000E2A80000}"/>
    <cellStyle name="Title" xfId="883" xr:uid="{00000000-0005-0000-0000-0000E3A80000}"/>
    <cellStyle name="Title 2" xfId="43084" xr:uid="{00000000-0005-0000-0000-0000E4A80000}"/>
    <cellStyle name="titulo" xfId="884" xr:uid="{00000000-0005-0000-0000-0000E5A80000}"/>
    <cellStyle name="Título" xfId="885" xr:uid="{00000000-0005-0000-0000-0000E6A80000}"/>
    <cellStyle name="Título 1" xfId="886" xr:uid="{00000000-0005-0000-0000-0000E7A80000}"/>
    <cellStyle name="Título 1 10" xfId="43085" xr:uid="{00000000-0005-0000-0000-0000E8A80000}"/>
    <cellStyle name="Título 1 2" xfId="1155" xr:uid="{00000000-0005-0000-0000-0000E9A80000}"/>
    <cellStyle name="Título 1 2 2" xfId="43086" xr:uid="{00000000-0005-0000-0000-0000EAA80000}"/>
    <cellStyle name="Título 1 2 3" xfId="43087" xr:uid="{00000000-0005-0000-0000-0000EBA80000}"/>
    <cellStyle name="Título 1 3" xfId="1784" xr:uid="{00000000-0005-0000-0000-0000ECA80000}"/>
    <cellStyle name="Título 1 3 2" xfId="43088" xr:uid="{00000000-0005-0000-0000-0000EDA80000}"/>
    <cellStyle name="Título 1 4" xfId="1785" xr:uid="{00000000-0005-0000-0000-0000EEA80000}"/>
    <cellStyle name="Título 1 4 2" xfId="43089" xr:uid="{00000000-0005-0000-0000-0000EFA80000}"/>
    <cellStyle name="Título 1 5" xfId="43090" xr:uid="{00000000-0005-0000-0000-0000F0A80000}"/>
    <cellStyle name="Título 1 6" xfId="43091" xr:uid="{00000000-0005-0000-0000-0000F1A80000}"/>
    <cellStyle name="Título 1 7" xfId="43092" xr:uid="{00000000-0005-0000-0000-0000F2A80000}"/>
    <cellStyle name="Título 1 8" xfId="43093" xr:uid="{00000000-0005-0000-0000-0000F3A80000}"/>
    <cellStyle name="Título 1 9" xfId="43094" xr:uid="{00000000-0005-0000-0000-0000F4A80000}"/>
    <cellStyle name="Título 10" xfId="43095" xr:uid="{00000000-0005-0000-0000-0000F5A80000}"/>
    <cellStyle name="Título 11" xfId="43096" xr:uid="{00000000-0005-0000-0000-0000F6A80000}"/>
    <cellStyle name="Título 12" xfId="43097" xr:uid="{00000000-0005-0000-0000-0000F7A80000}"/>
    <cellStyle name="Título 13" xfId="43098" xr:uid="{00000000-0005-0000-0000-0000F8A80000}"/>
    <cellStyle name="Título 14" xfId="43429" xr:uid="{C4DCEBA4-FC3D-4171-97D7-F4B7E4D93C99}"/>
    <cellStyle name="Título 2" xfId="887" xr:uid="{00000000-0005-0000-0000-0000F9A80000}"/>
    <cellStyle name="Título 2 10" xfId="43099" xr:uid="{00000000-0005-0000-0000-0000FAA80000}"/>
    <cellStyle name="Título 2 2" xfId="1156" xr:uid="{00000000-0005-0000-0000-0000FBA80000}"/>
    <cellStyle name="Título 2 2 2" xfId="43100" xr:uid="{00000000-0005-0000-0000-0000FCA80000}"/>
    <cellStyle name="Título 2 2 3" xfId="43101" xr:uid="{00000000-0005-0000-0000-0000FDA80000}"/>
    <cellStyle name="Título 2 3" xfId="1786" xr:uid="{00000000-0005-0000-0000-0000FEA80000}"/>
    <cellStyle name="Título 2 3 2" xfId="43102" xr:uid="{00000000-0005-0000-0000-0000FFA80000}"/>
    <cellStyle name="Título 2 4" xfId="1787" xr:uid="{00000000-0005-0000-0000-000000A90000}"/>
    <cellStyle name="Título 2 4 2" xfId="43103" xr:uid="{00000000-0005-0000-0000-000001A90000}"/>
    <cellStyle name="Título 2 5" xfId="43104" xr:uid="{00000000-0005-0000-0000-000002A90000}"/>
    <cellStyle name="Título 2 6" xfId="43105" xr:uid="{00000000-0005-0000-0000-000003A90000}"/>
    <cellStyle name="Título 2 7" xfId="43106" xr:uid="{00000000-0005-0000-0000-000004A90000}"/>
    <cellStyle name="Título 2 8" xfId="43107" xr:uid="{00000000-0005-0000-0000-000005A90000}"/>
    <cellStyle name="Título 2 9" xfId="43108" xr:uid="{00000000-0005-0000-0000-000006A90000}"/>
    <cellStyle name="Título 3" xfId="888" xr:uid="{00000000-0005-0000-0000-000007A90000}"/>
    <cellStyle name="Título 3 10" xfId="43109" xr:uid="{00000000-0005-0000-0000-000008A90000}"/>
    <cellStyle name="Título 3 2" xfId="1157" xr:uid="{00000000-0005-0000-0000-000009A90000}"/>
    <cellStyle name="Título 3 2 2" xfId="43110" xr:uid="{00000000-0005-0000-0000-00000AA90000}"/>
    <cellStyle name="Título 3 3" xfId="1788" xr:uid="{00000000-0005-0000-0000-00000BA90000}"/>
    <cellStyle name="Título 3 3 2" xfId="43111" xr:uid="{00000000-0005-0000-0000-00000CA90000}"/>
    <cellStyle name="Título 3 4" xfId="43112" xr:uid="{00000000-0005-0000-0000-00000DA90000}"/>
    <cellStyle name="Título 3 4 2" xfId="43113" xr:uid="{00000000-0005-0000-0000-00000EA90000}"/>
    <cellStyle name="Título 3 5" xfId="43114" xr:uid="{00000000-0005-0000-0000-00000FA90000}"/>
    <cellStyle name="Título 3 6" xfId="43115" xr:uid="{00000000-0005-0000-0000-000010A90000}"/>
    <cellStyle name="Título 3 7" xfId="43116" xr:uid="{00000000-0005-0000-0000-000011A90000}"/>
    <cellStyle name="Título 3 8" xfId="43117" xr:uid="{00000000-0005-0000-0000-000012A90000}"/>
    <cellStyle name="Título 3 9" xfId="43118" xr:uid="{00000000-0005-0000-0000-000013A90000}"/>
    <cellStyle name="Título 4" xfId="889" xr:uid="{00000000-0005-0000-0000-000014A90000}"/>
    <cellStyle name="Título 4 2" xfId="1158" xr:uid="{00000000-0005-0000-0000-000015A90000}"/>
    <cellStyle name="Título 4 2 2" xfId="43119" xr:uid="{00000000-0005-0000-0000-000016A90000}"/>
    <cellStyle name="Título 4 3" xfId="1789" xr:uid="{00000000-0005-0000-0000-000017A90000}"/>
    <cellStyle name="Título 4 4" xfId="43120" xr:uid="{00000000-0005-0000-0000-000018A90000}"/>
    <cellStyle name="Título 5" xfId="1159" xr:uid="{00000000-0005-0000-0000-000019A90000}"/>
    <cellStyle name="Título 5 2" xfId="43121" xr:uid="{00000000-0005-0000-0000-00001AA90000}"/>
    <cellStyle name="Título 6" xfId="1790" xr:uid="{00000000-0005-0000-0000-00001BA90000}"/>
    <cellStyle name="Título 6 2" xfId="43122" xr:uid="{00000000-0005-0000-0000-00001CA90000}"/>
    <cellStyle name="Título 7" xfId="43123" xr:uid="{00000000-0005-0000-0000-00001DA90000}"/>
    <cellStyle name="Título 7 2" xfId="43124" xr:uid="{00000000-0005-0000-0000-00001EA90000}"/>
    <cellStyle name="Título 8" xfId="43125" xr:uid="{00000000-0005-0000-0000-00001FA90000}"/>
    <cellStyle name="Título 9" xfId="43126" xr:uid="{00000000-0005-0000-0000-000020A90000}"/>
    <cellStyle name="Título_Energia e Demanda no SINCOOR 2003" xfId="890" xr:uid="{00000000-0005-0000-0000-000021A90000}"/>
    <cellStyle name="Titulo1" xfId="43127" xr:uid="{00000000-0005-0000-0000-000022A90000}"/>
    <cellStyle name="Titulo2" xfId="43128" xr:uid="{00000000-0005-0000-0000-000023A90000}"/>
    <cellStyle name="Todos" xfId="891" xr:uid="{00000000-0005-0000-0000-000024A90000}"/>
    <cellStyle name="Tope - Style1" xfId="43129" xr:uid="{00000000-0005-0000-0000-000025A90000}"/>
    <cellStyle name="TopGrey" xfId="43130" xr:uid="{00000000-0005-0000-0000-000026A90000}"/>
    <cellStyle name="Total" xfId="892" builtinId="25" customBuiltin="1"/>
    <cellStyle name="Total 2" xfId="1160" xr:uid="{00000000-0005-0000-0000-000028A90000}"/>
    <cellStyle name="Total 2 2" xfId="1861" xr:uid="{00000000-0005-0000-0000-000029A90000}"/>
    <cellStyle name="Total 2 2 2" xfId="2057" xr:uid="{00000000-0005-0000-0000-00002AA90000}"/>
    <cellStyle name="Total 2 2 3" xfId="2112" xr:uid="{00000000-0005-0000-0000-00002BA90000}"/>
    <cellStyle name="Total 2 2 4" xfId="2614" xr:uid="{00000000-0005-0000-0000-00002CA90000}"/>
    <cellStyle name="Total 2 2 5" xfId="2304" xr:uid="{00000000-0005-0000-0000-00002DA90000}"/>
    <cellStyle name="Total 2 3" xfId="1956" xr:uid="{00000000-0005-0000-0000-00002EA90000}"/>
    <cellStyle name="Total 2 3 2" xfId="2610" xr:uid="{00000000-0005-0000-0000-00002FA90000}"/>
    <cellStyle name="Total 2 3 3" xfId="2682" xr:uid="{00000000-0005-0000-0000-000030A90000}"/>
    <cellStyle name="Total 2 3 4" xfId="2696" xr:uid="{00000000-0005-0000-0000-000031A90000}"/>
    <cellStyle name="Total 2 4" xfId="2172" xr:uid="{00000000-0005-0000-0000-000032A90000}"/>
    <cellStyle name="Total 3" xfId="1791" xr:uid="{00000000-0005-0000-0000-000033A90000}"/>
    <cellStyle name="Total 3 2" xfId="2012" xr:uid="{00000000-0005-0000-0000-000034A90000}"/>
    <cellStyle name="Total 3 3" xfId="2081" xr:uid="{00000000-0005-0000-0000-000035A90000}"/>
    <cellStyle name="Total 3 4" xfId="2135" xr:uid="{00000000-0005-0000-0000-000036A90000}"/>
    <cellStyle name="Total 3 5" xfId="2262" xr:uid="{00000000-0005-0000-0000-000037A90000}"/>
    <cellStyle name="Total 4" xfId="1792" xr:uid="{00000000-0005-0000-0000-000038A90000}"/>
    <cellStyle name="Total 4 2" xfId="2013" xr:uid="{00000000-0005-0000-0000-000039A90000}"/>
    <cellStyle name="Total 4 3" xfId="2082" xr:uid="{00000000-0005-0000-0000-00003AA90000}"/>
    <cellStyle name="Total 4 4" xfId="2134" xr:uid="{00000000-0005-0000-0000-00003BA90000}"/>
    <cellStyle name="Total 4 5" xfId="2179" xr:uid="{00000000-0005-0000-0000-00003CA90000}"/>
    <cellStyle name="Total 5" xfId="1825" xr:uid="{00000000-0005-0000-0000-00003DA90000}"/>
    <cellStyle name="Total 5 2" xfId="2088" xr:uid="{00000000-0005-0000-0000-00003EA90000}"/>
    <cellStyle name="Total 5 3" xfId="2279" xr:uid="{00000000-0005-0000-0000-00003FA90000}"/>
    <cellStyle name="Total 5 4" xfId="2184" xr:uid="{00000000-0005-0000-0000-000040A90000}"/>
    <cellStyle name="Total 6" xfId="2241" xr:uid="{00000000-0005-0000-0000-000041A90000}"/>
    <cellStyle name="totalbalan" xfId="893" xr:uid="{00000000-0005-0000-0000-000042A90000}"/>
    <cellStyle name="ubordinated Debt" xfId="43131" xr:uid="{00000000-0005-0000-0000-000043A90000}"/>
    <cellStyle name="Underline 2" xfId="894" xr:uid="{00000000-0005-0000-0000-000044A90000}"/>
    <cellStyle name="UNIDAGSCode" xfId="43132" xr:uid="{00000000-0005-0000-0000-000045A90000}"/>
    <cellStyle name="UNIDAGSCode 2" xfId="43133" xr:uid="{00000000-0005-0000-0000-000046A90000}"/>
    <cellStyle name="UNIDAGSCode 3" xfId="43134" xr:uid="{00000000-0005-0000-0000-000047A90000}"/>
    <cellStyle name="UNIDAGSCode2" xfId="43135" xr:uid="{00000000-0005-0000-0000-000048A90000}"/>
    <cellStyle name="UNIDAGSCurrency" xfId="43136" xr:uid="{00000000-0005-0000-0000-000049A90000}"/>
    <cellStyle name="UNIDAGSCurrency 2" xfId="43137" xr:uid="{00000000-0005-0000-0000-00004AA90000}"/>
    <cellStyle name="UNIDAGSCurrency 3" xfId="43138" xr:uid="{00000000-0005-0000-0000-00004BA90000}"/>
    <cellStyle name="UNIDAGSDate" xfId="43139" xr:uid="{00000000-0005-0000-0000-00004CA90000}"/>
    <cellStyle name="UNIDAGSDate 2" xfId="43140" xr:uid="{00000000-0005-0000-0000-00004DA90000}"/>
    <cellStyle name="UNIDAGSDate 3" xfId="43141" xr:uid="{00000000-0005-0000-0000-00004EA90000}"/>
    <cellStyle name="UNIDAGSPercent" xfId="43142" xr:uid="{00000000-0005-0000-0000-00004FA90000}"/>
    <cellStyle name="UNIDAGSPercent 2" xfId="43143" xr:uid="{00000000-0005-0000-0000-000050A90000}"/>
    <cellStyle name="UNIDAGSPercent 3" xfId="43144" xr:uid="{00000000-0005-0000-0000-000051A90000}"/>
    <cellStyle name="UNIDAGSPercent2" xfId="43145" xr:uid="{00000000-0005-0000-0000-000052A90000}"/>
    <cellStyle name="UNIDAGSPercent2 2" xfId="43146" xr:uid="{00000000-0005-0000-0000-000053A90000}"/>
    <cellStyle name="UNIDAGSPercent2 3" xfId="43147" xr:uid="{00000000-0005-0000-0000-000054A90000}"/>
    <cellStyle name="Unprot" xfId="895" xr:uid="{00000000-0005-0000-0000-000055A90000}"/>
    <cellStyle name="Unprot 2" xfId="1161" xr:uid="{00000000-0005-0000-0000-000056A90000}"/>
    <cellStyle name="Unprot 3" xfId="1162" xr:uid="{00000000-0005-0000-0000-000057A90000}"/>
    <cellStyle name="Unprot 4" xfId="1163" xr:uid="{00000000-0005-0000-0000-000058A90000}"/>
    <cellStyle name="Unprot 5" xfId="1164" xr:uid="{00000000-0005-0000-0000-000059A90000}"/>
    <cellStyle name="Unprot 6" xfId="43148" xr:uid="{00000000-0005-0000-0000-00005AA90000}"/>
    <cellStyle name="Unprot 7" xfId="43149" xr:uid="{00000000-0005-0000-0000-00005BA90000}"/>
    <cellStyle name="Unprot 8" xfId="43150" xr:uid="{00000000-0005-0000-0000-00005CA90000}"/>
    <cellStyle name="Unprot 9" xfId="43151" xr:uid="{00000000-0005-0000-0000-00005DA90000}"/>
    <cellStyle name="Unprot$" xfId="896" xr:uid="{00000000-0005-0000-0000-00005EA90000}"/>
    <cellStyle name="Unprot$ 2" xfId="43152" xr:uid="{00000000-0005-0000-0000-00005FA90000}"/>
    <cellStyle name="Unprot$ 3" xfId="43153" xr:uid="{00000000-0005-0000-0000-000060A90000}"/>
    <cellStyle name="Unprot$_IF - Autoprodutores 2" xfId="43154" xr:uid="{00000000-0005-0000-0000-000061A90000}"/>
    <cellStyle name="Unprot_Abertura Tarifária CEB RTP 2008" xfId="43155" xr:uid="{00000000-0005-0000-0000-000062A90000}"/>
    <cellStyle name="Unprotect" xfId="897" xr:uid="{00000000-0005-0000-0000-000063A90000}"/>
    <cellStyle name="Update" xfId="43156" xr:uid="{00000000-0005-0000-0000-000064A90000}"/>
    <cellStyle name="User Entered" xfId="43157" xr:uid="{00000000-0005-0000-0000-000065A90000}"/>
    <cellStyle name="V¡rgula" xfId="898" xr:uid="{00000000-0005-0000-0000-000066A90000}"/>
    <cellStyle name="V¡rgula 2" xfId="43158" xr:uid="{00000000-0005-0000-0000-000067A90000}"/>
    <cellStyle name="V¡rgula 3" xfId="43159" xr:uid="{00000000-0005-0000-0000-000068A90000}"/>
    <cellStyle name="V¡rgula0" xfId="899" xr:uid="{00000000-0005-0000-0000-000069A90000}"/>
    <cellStyle name="V¡rgula0 2" xfId="43160" xr:uid="{00000000-0005-0000-0000-00006AA90000}"/>
    <cellStyle name="V¡rgula0 3" xfId="43161" xr:uid="{00000000-0005-0000-0000-00006BA90000}"/>
    <cellStyle name="Valuta (0)_ cellular Costs" xfId="43162" xr:uid="{00000000-0005-0000-0000-00006CA90000}"/>
    <cellStyle name="Valuta_ cellular Costs" xfId="43163" xr:uid="{00000000-0005-0000-0000-00006DA90000}"/>
    <cellStyle name="Vírgula" xfId="863" builtinId="3"/>
    <cellStyle name="Vírgula 10" xfId="43192" xr:uid="{00000000-0005-0000-0000-00006FA90000}"/>
    <cellStyle name="Vírgula 11" xfId="43198" xr:uid="{00000000-0005-0000-0000-000070A90000}"/>
    <cellStyle name="Vírgula 12" xfId="43417" xr:uid="{00000000-0005-0000-0000-000071A90000}"/>
    <cellStyle name="Vírgula 12 2" xfId="43421" xr:uid="{00000000-0005-0000-0000-000072A90000}"/>
    <cellStyle name="Vírgula 12 3" xfId="43425" xr:uid="{00000000-0005-0000-0000-000073A90000}"/>
    <cellStyle name="Vírgula 13" xfId="43408" xr:uid="{00000000-0005-0000-0000-000074A90000}"/>
    <cellStyle name="Vírgula 14" xfId="43419" xr:uid="{00000000-0005-0000-0000-000075A90000}"/>
    <cellStyle name="Vírgula 15" xfId="43431" xr:uid="{4A2A7872-58A6-4253-AC3F-F9D86C185B12}"/>
    <cellStyle name="Vírgula 16" xfId="43436" xr:uid="{91F49858-0158-46F8-891E-12456A7835AA}"/>
    <cellStyle name="Vírgula 2" xfId="1714" xr:uid="{00000000-0005-0000-0000-000076A90000}"/>
    <cellStyle name="Vírgula 2 2" xfId="43306" xr:uid="{00000000-0005-0000-0000-000077A90000}"/>
    <cellStyle name="Vírgula 2 3" xfId="43164" xr:uid="{00000000-0005-0000-0000-000078A90000}"/>
    <cellStyle name="Vírgula 3" xfId="1715" xr:uid="{00000000-0005-0000-0000-000079A90000}"/>
    <cellStyle name="Vírgula 3 2" xfId="43165" xr:uid="{00000000-0005-0000-0000-00007AA90000}"/>
    <cellStyle name="Vírgula 3 3" xfId="43307" xr:uid="{00000000-0005-0000-0000-00007BA90000}"/>
    <cellStyle name="Vírgula 4" xfId="43166" xr:uid="{00000000-0005-0000-0000-00007CA90000}"/>
    <cellStyle name="Vírgula 5" xfId="43167" xr:uid="{00000000-0005-0000-0000-00007DA90000}"/>
    <cellStyle name="Vírgula 6" xfId="43168" xr:uid="{00000000-0005-0000-0000-00007EA90000}"/>
    <cellStyle name="Vírgula 7" xfId="43183" xr:uid="{00000000-0005-0000-0000-00007FA90000}"/>
    <cellStyle name="Vírgula 7 2" xfId="43199" xr:uid="{00000000-0005-0000-0000-000080A90000}"/>
    <cellStyle name="Vírgula 7 3" xfId="43406" xr:uid="{00000000-0005-0000-0000-000081A90000}"/>
    <cellStyle name="Vírgula 8" xfId="43186" xr:uid="{00000000-0005-0000-0000-000082A90000}"/>
    <cellStyle name="Vírgula 9" xfId="43189" xr:uid="{00000000-0005-0000-0000-000083A90000}"/>
    <cellStyle name="Vírgula0" xfId="43169" xr:uid="{00000000-0005-0000-0000-000084A90000}"/>
    <cellStyle name="Virgule fixe" xfId="43170" xr:uid="{00000000-0005-0000-0000-000085A90000}"/>
    <cellStyle name="vittorio's model" xfId="43171" xr:uid="{00000000-0005-0000-0000-000086A90000}"/>
    <cellStyle name="Warning Text" xfId="900" xr:uid="{00000000-0005-0000-0000-000087A90000}"/>
    <cellStyle name="Warning Text 2" xfId="43172" xr:uid="{00000000-0005-0000-0000-000088A90000}"/>
    <cellStyle name="Year" xfId="901" xr:uid="{00000000-0005-0000-0000-000089A90000}"/>
    <cellStyle name="Year 2" xfId="1826" xr:uid="{00000000-0005-0000-0000-00008AA90000}"/>
    <cellStyle name="Year 2 2" xfId="2031" xr:uid="{00000000-0005-0000-0000-00008BA90000}"/>
    <cellStyle name="Year 2 2 2" xfId="2479" xr:uid="{00000000-0005-0000-0000-00008CA90000}"/>
    <cellStyle name="Year 2 2 3" xfId="2668" xr:uid="{00000000-0005-0000-0000-00008DA90000}"/>
    <cellStyle name="Year 2 2 4" xfId="2167" xr:uid="{00000000-0005-0000-0000-00008EA90000}"/>
    <cellStyle name="Year 2 3" xfId="2089" xr:uid="{00000000-0005-0000-0000-00008FA90000}"/>
    <cellStyle name="Year 2 4" xfId="2130" xr:uid="{00000000-0005-0000-0000-000090A90000}"/>
    <cellStyle name="Year 2 5" xfId="2357" xr:uid="{00000000-0005-0000-0000-000091A90000}"/>
    <cellStyle name="Year 2 6" xfId="43310" xr:uid="{00000000-0005-0000-0000-000092A90000}"/>
    <cellStyle name="Year 3" xfId="1918" xr:uid="{00000000-0005-0000-0000-000093A90000}"/>
    <cellStyle name="Year 3 2" xfId="2478" xr:uid="{00000000-0005-0000-0000-000094A90000}"/>
    <cellStyle name="Year 3 3" xfId="2667" xr:uid="{00000000-0005-0000-0000-000095A90000}"/>
    <cellStyle name="Year 3 4" xfId="2292" xr:uid="{00000000-0005-0000-0000-000096A90000}"/>
    <cellStyle name="Year 4" xfId="2328" xr:uid="{00000000-0005-0000-0000-000097A90000}"/>
    <cellStyle name="Year 5" xfId="43309" xr:uid="{00000000-0005-0000-0000-000098A90000}"/>
    <cellStyle name="Денежный [0]_18.04" xfId="43173" xr:uid="{00000000-0005-0000-0000-000099A90000}"/>
    <cellStyle name="Денежный_18.04" xfId="43174" xr:uid="{00000000-0005-0000-0000-00009AA90000}"/>
    <cellStyle name="Обычный_3Com" xfId="43175" xr:uid="{00000000-0005-0000-0000-00009BA90000}"/>
    <cellStyle name="Тысячи [0]_3Com" xfId="43176" xr:uid="{00000000-0005-0000-0000-00009CA90000}"/>
    <cellStyle name="Тысячи_3Com" xfId="43177" xr:uid="{00000000-0005-0000-0000-00009DA90000}"/>
    <cellStyle name="Финансовый [0]_18.04" xfId="43178" xr:uid="{00000000-0005-0000-0000-00009EA90000}"/>
    <cellStyle name="Финансовый_18.04" xfId="43179" xr:uid="{00000000-0005-0000-0000-00009FA90000}"/>
    <cellStyle name="桁区切り [0.00]_Balanzas" xfId="43180" xr:uid="{00000000-0005-0000-0000-0000A0A90000}"/>
    <cellStyle name="桁区切り_details expenses" xfId="43181" xr:uid="{00000000-0005-0000-0000-0000A1A90000}"/>
    <cellStyle name="標準_assumption" xfId="43182" xr:uid="{00000000-0005-0000-0000-0000A2A90000}"/>
  </cellStyles>
  <dxfs count="582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</dxf>
    <dxf>
      <numFmt numFmtId="169" formatCode="_(* #,##0_);_(* \(#,##0\);_(* &quot;-&quot;??_);_(@_)"/>
    </dxf>
    <dxf>
      <numFmt numFmtId="167" formatCode="_(* #,##0.00_);_(* \(#,##0.00\);_(* &quot;-&quot;??_);_(@_)"/>
    </dxf>
    <dxf>
      <numFmt numFmtId="167" formatCode="_(* #,##0.00_);_(* \(#,##0.00\);_(* &quot;-&quot;??_);_(@_)"/>
    </dxf>
    <dxf>
      <numFmt numFmtId="167" formatCode="_(* #,##0.00_);_(* \(#,##0.00\);_(* &quot;-&quot;??_);_(@_)"/>
    </dxf>
    <dxf>
      <numFmt numFmtId="167" formatCode="_(* #,##0.00_);_(* \(#,##0.00\);_(* &quot;-&quot;??_);_(@_)"/>
    </dxf>
    <dxf>
      <numFmt numFmtId="167" formatCode="_(* #,##0.00_);_(* \(#,##0.00\);_(* &quot;-&quot;??_);_(@_)"/>
    </dxf>
    <dxf>
      <numFmt numFmtId="167" formatCode="_(* #,##0.00_);_(* \(#,##0.00\);_(* &quot;-&quot;??_);_(@_)"/>
    </dxf>
    <dxf>
      <numFmt numFmtId="19" formatCode="dd/mm/yyyy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7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7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7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9"/>
        <name val="Calibri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 style="thin">
          <color indexed="64"/>
        </left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/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  <numFmt numFmtId="14" formatCode="0.00%"/>
      <fill>
        <patternFill patternType="none">
          <fgColor indexed="64"/>
          <bgColor auto="1"/>
        </patternFill>
      </fill>
      <alignment horizont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66" formatCode="_(&quot;R$ &quot;* #,##0.00_);_(&quot;R$ &quot;* \(#,##0.00\);_(&quot;R$ &quot;* &quot;-&quot;??_);_(@_)"/>
      <border diagonalUp="0" diagonalDown="0" outline="0">
        <left style="dashed">
          <color indexed="64"/>
        </left>
        <right/>
        <top/>
        <bottom/>
      </border>
    </dxf>
    <dxf>
      <font>
        <b/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  <numFmt numFmtId="166" formatCode="_(&quot;R$ &quot;* #,##0.00_);_(&quot;R$ &quot;* \(#,##0.00\);_(&quot;R$ 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scheme val="none"/>
      </font>
      <fill>
        <patternFill patternType="solid">
          <fgColor indexed="64"/>
          <bgColor theme="0" tint="-0.14999847407452621"/>
        </patternFill>
      </fill>
    </dxf>
    <dxf>
      <font>
        <strike val="0"/>
        <outline val="0"/>
        <shadow val="0"/>
        <vertAlign val="baseline"/>
        <sz val="11"/>
        <name val="Microsoft New Tai Lue"/>
        <scheme val="none"/>
      </font>
    </dxf>
    <dxf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Microsoft New Tai Lue"/>
        <scheme val="none"/>
      </font>
      <fill>
        <patternFill patternType="solid">
          <fgColor indexed="64"/>
          <bgColor theme="4" tint="-0.249977111117893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i val="0"/>
        <condense val="0"/>
        <extend val="0"/>
        <u/>
        <color indexed="10"/>
      </font>
    </dxf>
    <dxf>
      <font>
        <b/>
        <i val="0"/>
        <condense val="0"/>
        <extend val="0"/>
        <u/>
        <color indexed="10"/>
      </font>
    </dxf>
    <dxf>
      <font>
        <b/>
        <i val="0"/>
        <condense val="0"/>
        <extend val="0"/>
        <u/>
        <color indexed="10"/>
      </font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204" formatCode="dd/mm/yy"/>
    </dxf>
    <dxf>
      <numFmt numFmtId="204" formatCode="dd/m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color rgb="FFFF0000"/>
      </font>
    </dxf>
    <dxf>
      <numFmt numFmtId="4" formatCode="#,##0.00"/>
    </dxf>
    <dxf>
      <font>
        <color rgb="FFFF0000"/>
      </font>
    </dxf>
    <dxf>
      <numFmt numFmtId="167" formatCode="_(* #,##0.00_);_(* \(#,##0.00\);_(* &quot;-&quot;??_);_(@_)"/>
    </dxf>
    <dxf>
      <font>
        <sz val="10"/>
      </font>
    </dxf>
    <dxf>
      <font>
        <name val="Microsoft New Tai Lue"/>
        <scheme val="none"/>
      </font>
    </dxf>
    <dxf>
      <font>
        <sz val="1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0" formatCode="General"/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0" formatCode="General"/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</dxf>
    <dxf>
      <border outline="0">
        <left style="thin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35" formatCode="_-* #,##0.00_-;\-* #,##0.00_-;_-* &quot;-&quot;??_-;_-@_-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</dxf>
    <dxf>
      <font>
        <strike/>
      </font>
      <fill>
        <patternFill patternType="gray0625">
          <bgColor rgb="FFFF0000"/>
        </patternFill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</dxf>
    <dxf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family val="2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67" formatCode="_(* #,##0.00_);_(* \(#,##0.00\);_(* &quot;-&quot;??_);_(@_)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67" formatCode="_(* #,##0.00_);_(* \(#,##0.00\);_(* &quot;-&quot;??_);_(@_)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3" formatCode="0%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67" formatCode="_(* #,##0.00_);_(* \(#,##0.00\);_(* &quot;-&quot;??_);_(@_)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border outline="0">
        <top style="thin">
          <color auto="1"/>
        </top>
      </border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d/mm/yyyy"/>
      <fill>
        <patternFill patternType="solid">
          <fgColor indexed="64"/>
          <bgColor theme="0" tint="-0.34998626667073579"/>
        </patternFill>
      </fill>
      <alignment horizontal="center" vertical="distributed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73" formatCode="0.000"/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  <border diagonalUp="0" diagonalDown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  <border diagonalUp="0" diagonalDown="0">
        <left/>
        <right/>
        <top style="thin">
          <color theme="4"/>
        </top>
        <bottom/>
      </border>
    </dxf>
    <dxf>
      <border outline="0">
        <left style="thin">
          <color theme="4"/>
        </left>
        <top style="thin">
          <color theme="4"/>
        </top>
        <bottom style="thin">
          <color theme="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4" tint="-0.249977111117893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3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3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Microsoft New Tai Lue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3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3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9" formatCode="dd/mm/yyyy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3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4" tint="-0.249977111117893"/>
        </patternFill>
      </fill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3" formatCode="0.000"/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vertical="center" textRotation="0" justifyLastLine="0" shrinkToFit="0" readingOrder="0"/>
    </dxf>
    <dxf>
      <font>
        <b/>
        <i val="0"/>
        <strike val="0"/>
        <color theme="0"/>
      </font>
      <fill>
        <patternFill>
          <bgColor theme="3"/>
        </patternFill>
      </fill>
    </dxf>
    <dxf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theme="3"/>
        </patternFill>
      </fill>
    </dxf>
    <dxf>
      <font>
        <color theme="3"/>
      </font>
    </dxf>
  </dxfs>
  <tableStyles count="3" defaultTableStyle="TableStyleMedium9" defaultPivotStyle="PivotStyleLight16">
    <tableStyle name="Estilo de Tabela 1" pivot="0" count="1" xr9:uid="{00686FE8-9E00-463D-AA37-0EFDC342C09A}">
      <tableStyleElement type="headerRow" dxfId="581"/>
    </tableStyle>
    <tableStyle name="Padrão" pivot="0" count="1" xr9:uid="{3101F1C1-6DA4-4166-994B-3EC22CFD8317}">
      <tableStyleElement type="headerRow" dxfId="580"/>
    </tableStyle>
    <tableStyle name="Padrão 2" pivot="0" count="2" xr9:uid="{85D0CDF3-BF56-48CA-93DE-51D2DBCCC9A6}">
      <tableStyleElement type="wholeTable" dxfId="579"/>
      <tableStyleElement type="headerRow" dxfId="578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DDDDDD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DDDD"/>
      <color rgb="FFFFCCCC"/>
      <color rgb="FFEE08CD"/>
      <color rgb="FFF9AD6F"/>
      <color rgb="FFFFB27E"/>
      <color rgb="FFFF7E4E"/>
      <color rgb="FF990000"/>
      <color rgb="FF607731"/>
      <color rgb="FF88A945"/>
      <color rgb="FF00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6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1.xml"/><Relationship Id="rId42" Type="http://schemas.openxmlformats.org/officeDocument/2006/relationships/externalLink" Target="externalLinks/externalLink9.xml"/><Relationship Id="rId47" Type="http://schemas.openxmlformats.org/officeDocument/2006/relationships/externalLink" Target="externalLinks/externalLink14.xml"/><Relationship Id="rId50" Type="http://schemas.openxmlformats.org/officeDocument/2006/relationships/pivotCacheDefinition" Target="pivotCache/pivotCacheDefinition2.xml"/><Relationship Id="rId55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4.xml"/><Relationship Id="rId40" Type="http://schemas.openxmlformats.org/officeDocument/2006/relationships/externalLink" Target="externalLinks/externalLink7.xml"/><Relationship Id="rId45" Type="http://schemas.openxmlformats.org/officeDocument/2006/relationships/externalLink" Target="externalLinks/externalLink12.xml"/><Relationship Id="rId53" Type="http://schemas.openxmlformats.org/officeDocument/2006/relationships/styles" Target="styles.xml"/><Relationship Id="rId58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4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2.xml"/><Relationship Id="rId43" Type="http://schemas.openxmlformats.org/officeDocument/2006/relationships/externalLink" Target="externalLinks/externalLink10.xml"/><Relationship Id="rId48" Type="http://schemas.openxmlformats.org/officeDocument/2006/relationships/externalLink" Target="externalLinks/externalLink15.xml"/><Relationship Id="rId56" Type="http://schemas.microsoft.com/office/2017/10/relationships/person" Target="persons/person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5.xml"/><Relationship Id="rId46" Type="http://schemas.openxmlformats.org/officeDocument/2006/relationships/externalLink" Target="externalLinks/externalLink13.xml"/><Relationship Id="rId59" Type="http://schemas.openxmlformats.org/officeDocument/2006/relationships/customXml" Target="../customXml/item2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8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3.xml"/><Relationship Id="rId49" Type="http://schemas.openxmlformats.org/officeDocument/2006/relationships/pivotCacheDefinition" Target="pivotCache/pivotCacheDefinition1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11.xml"/><Relationship Id="rId52" Type="http://schemas.openxmlformats.org/officeDocument/2006/relationships/connections" Target="connections.xml"/><Relationship Id="rId6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activeX1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2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r:id="rId1"/>
</file>

<file path=xl/activeX/activeX6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7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8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9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11.xml><?xml version="1.0" encoding="utf-8"?>
<ax:ocx xmlns:ax="http://schemas.microsoft.com/office/2006/activeX" xmlns:r="http://schemas.openxmlformats.org/officeDocument/2006/relationships" ax:classid="{D7053240-CE69-11CD-A777-00DD01143C57}" r:id="rId1"/>
</file>

<file path=xl/activeX/activeX12.xml><?xml version="1.0" encoding="utf-8"?>
<ax:ocx xmlns:ax="http://schemas.microsoft.com/office/2006/activeX" xmlns:r="http://schemas.openxmlformats.org/officeDocument/2006/relationships" ax:classid="{D7053240-CE69-11CD-A777-00DD01143C57}" r:id="rId1"/>
</file>

<file path=xl/activeX/activeX13.xml><?xml version="1.0" encoding="utf-8"?>
<ax:ocx xmlns:ax="http://schemas.microsoft.com/office/2006/activeX" xmlns:r="http://schemas.openxmlformats.org/officeDocument/2006/relationships" ax:classid="{D7053240-CE69-11CD-A777-00DD01143C57}" r:id="rId1"/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2.0925819121903749E-2"/>
          <c:y val="0"/>
          <c:w val="0.97678151203380825"/>
          <c:h val="0.96473202976579664"/>
        </c:manualLayout>
      </c:layout>
      <c:barChart>
        <c:barDir val="col"/>
        <c:grouping val="clustered"/>
        <c:varyColors val="0"/>
        <c:ser>
          <c:idx val="0"/>
          <c:order val="0"/>
          <c:invertIfNegative val="0"/>
          <c:dPt>
            <c:idx val="4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2-B048-453E-BEBD-D39C7BBD0BA6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F48C-4042-9100-02AB3D94ADBE}"/>
              </c:ext>
            </c:extLst>
          </c:dPt>
          <c:dLbls>
            <c:spPr>
              <a:ln w="6350" cap="rnd">
                <a:round/>
              </a:ln>
              <a:scene3d>
                <a:camera prst="orthographicFront"/>
                <a:lightRig rig="threePt" dir="t"/>
              </a:scene3d>
              <a:sp3d>
                <a:bevelT w="12700"/>
              </a:sp3d>
            </c:spPr>
            <c:txPr>
              <a:bodyPr/>
              <a:lstStyle/>
              <a:p>
                <a:pPr>
                  <a:defRPr sz="1000">
                    <a:latin typeface="Arial Narrow" panose="020B0606020202030204" pitchFamily="34" charset="0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'Tabelas e Gráficos'!$K$8:$K$14</c:f>
              <c:strCache>
                <c:ptCount val="7"/>
                <c:pt idx="0">
                  <c:v>Encargos Setoriais</c:v>
                </c:pt>
                <c:pt idx="1">
                  <c:v>Transporte</c:v>
                </c:pt>
                <c:pt idx="2">
                  <c:v>Custos de Aquisição de Energia</c:v>
                </c:pt>
                <c:pt idx="3">
                  <c:v>Distribuição</c:v>
                </c:pt>
                <c:pt idx="4">
                  <c:v>Componentes Financeiros</c:v>
                </c:pt>
                <c:pt idx="5">
                  <c:v>Efeito da Retirada dos Financeiros Anteriores</c:v>
                </c:pt>
                <c:pt idx="6">
                  <c:v>Efeito Médio Consumidor</c:v>
                </c:pt>
              </c:strCache>
            </c:strRef>
          </c:cat>
          <c:val>
            <c:numRef>
              <c:f>'Tabelas e Gráficos'!$L$8:$L$14</c:f>
              <c:numCache>
                <c:formatCode>0.00%</c:formatCode>
                <c:ptCount val="7"/>
                <c:pt idx="0">
                  <c:v>4.0924791689861385E-2</c:v>
                </c:pt>
                <c:pt idx="1">
                  <c:v>4.2503902488774885E-2</c:v>
                </c:pt>
                <c:pt idx="2">
                  <c:v>-1.7815269793160299E-2</c:v>
                </c:pt>
                <c:pt idx="3">
                  <c:v>9.483821567629816E-2</c:v>
                </c:pt>
                <c:pt idx="4">
                  <c:v>-0.221</c:v>
                </c:pt>
                <c:pt idx="5">
                  <c:v>0.20480000000000001</c:v>
                </c:pt>
                <c:pt idx="6">
                  <c:v>0.14427339894388092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8C-4042-9100-02AB3D94ADB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510468736"/>
        <c:axId val="510466776"/>
      </c:barChart>
      <c:catAx>
        <c:axId val="5104687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spPr>
          <a:ln w="6350"/>
        </c:spPr>
        <c:txPr>
          <a:bodyPr anchor="ctr" anchorCtr="1"/>
          <a:lstStyle/>
          <a:p>
            <a:pPr>
              <a:defRPr sz="1000" b="0">
                <a:latin typeface="Arial Narrow" panose="020B0606020202030204" pitchFamily="34" charset="0"/>
              </a:defRPr>
            </a:pPr>
            <a:endParaRPr lang="pt-BR"/>
          </a:p>
        </c:txPr>
        <c:crossAx val="510466776"/>
        <c:crosses val="autoZero"/>
        <c:auto val="0"/>
        <c:lblAlgn val="ctr"/>
        <c:lblOffset val="200"/>
        <c:noMultiLvlLbl val="0"/>
      </c:catAx>
      <c:valAx>
        <c:axId val="510466776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510468736"/>
        <c:crosses val="autoZero"/>
        <c:crossBetween val="between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511811024" r="0.511811024" t="0.78740157499999996" header="0.31496062000000041" footer="0.31496062000000041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239649097916833E-2"/>
          <c:y val="0.20131597509970342"/>
          <c:w val="0.8133297864793928"/>
          <c:h val="0.70813069530082506"/>
        </c:manualLayout>
      </c:layout>
      <c:ofPieChart>
        <c:ofPieType val="bar"/>
        <c:varyColors val="1"/>
        <c:ser>
          <c:idx val="0"/>
          <c:order val="0"/>
          <c:dPt>
            <c:idx val="2"/>
            <c:bubble3D val="0"/>
            <c:spPr>
              <a:solidFill>
                <a:srgbClr val="FFFF46"/>
              </a:solidFill>
            </c:spPr>
            <c:extLst>
              <c:ext xmlns:c16="http://schemas.microsoft.com/office/drawing/2014/chart" uri="{C3380CC4-5D6E-409C-BE32-E72D297353CC}">
                <c16:uniqueId val="{00000001-BF59-4D1E-83DC-97518F63717B}"/>
              </c:ext>
            </c:extLst>
          </c:dPt>
          <c:dPt>
            <c:idx val="3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BF59-4D1E-83DC-97518F63717B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5-BF59-4D1E-83DC-97518F63717B}"/>
              </c:ext>
            </c:extLst>
          </c:dPt>
          <c:dPt>
            <c:idx val="5"/>
            <c:bubble3D val="0"/>
            <c:spPr>
              <a:solidFill>
                <a:schemeClr val="accent3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BF59-4D1E-83DC-97518F63717B}"/>
              </c:ext>
            </c:extLst>
          </c:dPt>
          <c:dPt>
            <c:idx val="6"/>
            <c:bubble3D val="0"/>
            <c:spPr>
              <a:solidFill>
                <a:srgbClr val="99CC00"/>
              </a:solidFill>
            </c:spPr>
            <c:extLst>
              <c:ext xmlns:c16="http://schemas.microsoft.com/office/drawing/2014/chart" uri="{C3380CC4-5D6E-409C-BE32-E72D297353CC}">
                <c16:uniqueId val="{00000009-BF59-4D1E-83DC-97518F63717B}"/>
              </c:ext>
            </c:extLst>
          </c:dPt>
          <c:dPt>
            <c:idx val="7"/>
            <c:bubble3D val="0"/>
            <c:spPr>
              <a:solidFill>
                <a:srgbClr val="336600"/>
              </a:solidFill>
            </c:spPr>
            <c:extLst>
              <c:ext xmlns:c16="http://schemas.microsoft.com/office/drawing/2014/chart" uri="{C3380CC4-5D6E-409C-BE32-E72D297353CC}">
                <c16:uniqueId val="{0000000B-BF59-4D1E-83DC-97518F63717B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</c:spPr>
            <c:extLst>
              <c:ext xmlns:c16="http://schemas.microsoft.com/office/drawing/2014/chart" uri="{C3380CC4-5D6E-409C-BE32-E72D297353CC}">
                <c16:uniqueId val="{0000000D-BF59-4D1E-83DC-97518F63717B}"/>
              </c:ext>
            </c:extLst>
          </c:dPt>
          <c:dPt>
            <c:idx val="9"/>
            <c:bubble3D val="0"/>
            <c:spPr>
              <a:solidFill>
                <a:srgbClr val="339933"/>
              </a:solidFill>
            </c:spPr>
            <c:extLst>
              <c:ext xmlns:c16="http://schemas.microsoft.com/office/drawing/2014/chart" uri="{C3380CC4-5D6E-409C-BE32-E72D297353CC}">
                <c16:uniqueId val="{0000000F-BF59-4D1E-83DC-97518F63717B}"/>
              </c:ext>
            </c:extLst>
          </c:dPt>
          <c:dPt>
            <c:idx val="10"/>
            <c:bubble3D val="0"/>
            <c:spPr>
              <a:solidFill>
                <a:srgbClr val="82AA46"/>
              </a:solidFill>
            </c:spPr>
            <c:extLst>
              <c:ext xmlns:c16="http://schemas.microsoft.com/office/drawing/2014/chart" uri="{C3380CC4-5D6E-409C-BE32-E72D297353CC}">
                <c16:uniqueId val="{00000011-BF59-4D1E-83DC-97518F63717B}"/>
              </c:ext>
            </c:extLst>
          </c:dPt>
          <c:dLbls>
            <c:dLbl>
              <c:idx val="0"/>
              <c:layout>
                <c:manualLayout>
                  <c:x val="-0.31674295599813268"/>
                  <c:y val="-1.2928064508133646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BF59-4D1E-83DC-97518F63717B}"/>
                </c:ext>
              </c:extLst>
            </c:dLbl>
            <c:dLbl>
              <c:idx val="1"/>
              <c:layout>
                <c:manualLayout>
                  <c:x val="-2.1567195178972421E-2"/>
                  <c:y val="-7.6091093655949571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F59-4D1E-83DC-97518F63717B}"/>
                </c:ext>
              </c:extLst>
            </c:dLbl>
            <c:dLbl>
              <c:idx val="2"/>
              <c:layout>
                <c:manualLayout>
                  <c:x val="-1.2458406558708784E-2"/>
                  <c:y val="-8.9633802769309004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F59-4D1E-83DC-97518F63717B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F59-4D1E-83DC-97518F63717B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F59-4D1E-83DC-97518F63717B}"/>
                </c:ext>
              </c:extLst>
            </c:dLbl>
            <c:dLbl>
              <c:idx val="5"/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BF59-4D1E-83DC-97518F63717B}"/>
                </c:ext>
              </c:extLst>
            </c:dLbl>
            <c:dLbl>
              <c:idx val="6"/>
              <c:layout>
                <c:manualLayout>
                  <c:x val="-1.2159731781455237E-3"/>
                  <c:y val="-1.748832940801952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097762026486081"/>
                      <c:h val="0.1359299993086745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BF59-4D1E-83DC-97518F63717B}"/>
                </c:ext>
              </c:extLst>
            </c:dLbl>
            <c:dLbl>
              <c:idx val="7"/>
              <c:layout>
                <c:manualLayout>
                  <c:x val="1.3014825849471409E-2"/>
                  <c:y val="9.096853165461511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F59-4D1E-83DC-97518F63717B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F59-4D1E-83DC-97518F63717B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F59-4D1E-83DC-97518F63717B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59-4D1E-83DC-97518F63717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>
                    <a:solidFill>
                      <a:sysClr val="windowText" lastClr="000000"/>
                    </a:solidFill>
                    <a:latin typeface="Arial Narrow" panose="020B0606020202030204" pitchFamily="34" charset="0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>
                  <a:solidFill>
                    <a:schemeClr val="accent1"/>
                  </a:solidFill>
                  <a:prstDash val="dash"/>
                </a:ln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'Tabelas e Gráficos'!$S$21:$S$30</c:f>
              <c:strCache>
                <c:ptCount val="10"/>
                <c:pt idx="0">
                  <c:v>Custo de Distribuição</c:v>
                </c:pt>
                <c:pt idx="1">
                  <c:v>Custo de Energia</c:v>
                </c:pt>
                <c:pt idx="2">
                  <c:v>Custo de Trasnmissão</c:v>
                </c:pt>
                <c:pt idx="3">
                  <c:v>RGR</c:v>
                </c:pt>
                <c:pt idx="4">
                  <c:v>CCC</c:v>
                </c:pt>
                <c:pt idx="5">
                  <c:v>PROINFA</c:v>
                </c:pt>
                <c:pt idx="6">
                  <c:v>CDE</c:v>
                </c:pt>
                <c:pt idx="7">
                  <c:v>TFSEE</c:v>
                </c:pt>
                <c:pt idx="8">
                  <c:v>ESS/EER</c:v>
                </c:pt>
                <c:pt idx="9">
                  <c:v>P&amp;D</c:v>
                </c:pt>
              </c:strCache>
            </c:strRef>
          </c:cat>
          <c:val>
            <c:numRef>
              <c:f>'Tabelas e Gráficos'!$T$21:$T$30</c:f>
              <c:numCache>
                <c:formatCode>0.0%</c:formatCode>
                <c:ptCount val="10"/>
                <c:pt idx="0">
                  <c:v>0.58735171096205052</c:v>
                </c:pt>
                <c:pt idx="1">
                  <c:v>0.15125250092720929</c:v>
                </c:pt>
                <c:pt idx="2">
                  <c:v>0.15203338908676797</c:v>
                </c:pt>
                <c:pt idx="3">
                  <c:v>0</c:v>
                </c:pt>
                <c:pt idx="4">
                  <c:v>0</c:v>
                </c:pt>
                <c:pt idx="5">
                  <c:v>1.4722284145405136E-2</c:v>
                </c:pt>
                <c:pt idx="6">
                  <c:v>9.1862541477709364E-2</c:v>
                </c:pt>
                <c:pt idx="7">
                  <c:v>2.77757340085775E-3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F59-4D1E-83DC-97518F63717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eparator>
</c:separator>
          <c:showLeaderLines val="1"/>
        </c:dLbls>
        <c:gapWidth val="120"/>
        <c:splitType val="pos"/>
        <c:splitPos val="7"/>
        <c:secondPieSize val="75"/>
        <c:serLines/>
      </c:ofPieChart>
    </c:plotArea>
    <c:plotVisOnly val="1"/>
    <c:dispBlanksAs val="zero"/>
    <c:showDLblsOverMax val="0"/>
  </c:chart>
  <c:spPr>
    <a:ln>
      <a:noFill/>
    </a:ln>
  </c:spPr>
  <c:txPr>
    <a:bodyPr/>
    <a:lstStyle/>
    <a:p>
      <a:pPr>
        <a:defRPr sz="1000"/>
      </a:pPr>
      <a:endParaRPr lang="pt-BR"/>
    </a:p>
  </c:txPr>
  <c:printSettings>
    <c:headerFooter alignWithMargins="0"/>
    <c:pageMargins b="1" l="0.75000000000001465" r="0.75000000000001465" t="1" header="0.49212598500001364" footer="0.49212598500001364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'Tabelas e Gráficos'!$AD$14</c:f>
              <c:strCache>
                <c:ptCount val="1"/>
                <c:pt idx="0">
                  <c:v>Parcela 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Gráficos'!$AD$15:$AD$16</c:f>
              <c:numCache>
                <c:formatCode>_(* #,##0.00_);_(* \(#,##0.00\);_(* "-"??_);_(@_)</c:formatCode>
                <c:ptCount val="2"/>
                <c:pt idx="0">
                  <c:v>7650183.9975915495</c:v>
                </c:pt>
                <c:pt idx="1">
                  <c:v>8886696.2552139182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DC-4FD2-A470-D83A63DCDEB2}"/>
            </c:ext>
          </c:extLst>
        </c:ser>
        <c:ser>
          <c:idx val="1"/>
          <c:order val="1"/>
          <c:tx>
            <c:strRef>
              <c:f>'Tabelas e Gráficos'!$AE$14</c:f>
              <c:strCache>
                <c:ptCount val="1"/>
                <c:pt idx="0">
                  <c:v>Energia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Gráficos'!$AE$15:$AE$16</c:f>
              <c:numCache>
                <c:formatCode>_(* #,##0.00_);_(* \(#,##0.00\);_(* "-"??_);_(@_)</c:formatCode>
                <c:ptCount val="2"/>
                <c:pt idx="0">
                  <c:v>2520744.7105923761</c:v>
                </c:pt>
                <c:pt idx="1">
                  <c:v>2288467.0436729463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DC-4FD2-A470-D83A63DCDEB2}"/>
            </c:ext>
          </c:extLst>
        </c:ser>
        <c:ser>
          <c:idx val="2"/>
          <c:order val="2"/>
          <c:tx>
            <c:strRef>
              <c:f>'Tabelas e Gráficos'!$AF$14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Gráficos'!$AF$15:$AF$16</c:f>
              <c:numCache>
                <c:formatCode>_(* #,##0.00_);_(* \(#,##0.00\);_(* "-"??_);_(@_)</c:formatCode>
                <c:ptCount val="2"/>
                <c:pt idx="0">
                  <c:v>1746110.8875849585</c:v>
                </c:pt>
                <c:pt idx="1">
                  <c:v>2300281.9677699995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DC-4FD2-A470-D83A63DCDEB2}"/>
            </c:ext>
          </c:extLst>
        </c:ser>
        <c:ser>
          <c:idx val="3"/>
          <c:order val="3"/>
          <c:tx>
            <c:strRef>
              <c:f>'Tabelas e Gráficos'!$AG$14</c:f>
              <c:strCache>
                <c:ptCount val="1"/>
                <c:pt idx="0">
                  <c:v>Encargos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Gráficos'!$AG$15:$AG$16</c:f>
              <c:numCache>
                <c:formatCode>_(* #,##0.00_);_(* \(#,##0.00\);_(* "-"??_);_(@_)</c:formatCode>
                <c:ptCount val="2"/>
                <c:pt idx="0">
                  <c:v>1121082.7350311058</c:v>
                </c:pt>
                <c:pt idx="1">
                  <c:v>1654665.1754460253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DC-4FD2-A470-D83A63DCD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6007520"/>
        <c:axId val="656006344"/>
      </c:barChart>
      <c:catAx>
        <c:axId val="656007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6006344"/>
        <c:crosses val="autoZero"/>
        <c:auto val="1"/>
        <c:lblAlgn val="ctr"/>
        <c:lblOffset val="100"/>
        <c:noMultiLvlLbl val="0"/>
      </c:catAx>
      <c:valAx>
        <c:axId val="656006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600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239649097916833E-2"/>
          <c:y val="0.20131597509970342"/>
          <c:w val="0.8133297864793928"/>
          <c:h val="0.70813069530082506"/>
        </c:manualLayout>
      </c:layout>
      <c:ofPieChart>
        <c:ofPieType val="bar"/>
        <c:varyColors val="1"/>
        <c:ser>
          <c:idx val="0"/>
          <c:order val="0"/>
          <c:dPt>
            <c:idx val="2"/>
            <c:bubble3D val="0"/>
            <c:spPr>
              <a:solidFill>
                <a:srgbClr val="FFFF46"/>
              </a:solidFill>
            </c:spPr>
            <c:extLst>
              <c:ext xmlns:c16="http://schemas.microsoft.com/office/drawing/2014/chart" uri="{C3380CC4-5D6E-409C-BE32-E72D297353CC}">
                <c16:uniqueId val="{00000001-4730-4C65-B987-9B0979016E22}"/>
              </c:ext>
            </c:extLst>
          </c:dPt>
          <c:dPt>
            <c:idx val="3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4730-4C65-B987-9B0979016E22}"/>
              </c:ext>
            </c:extLst>
          </c:dPt>
          <c:dPt>
            <c:idx val="4"/>
            <c:bubble3D val="0"/>
            <c:spPr>
              <a:solidFill>
                <a:srgbClr val="FF7E4E"/>
              </a:solidFill>
            </c:spPr>
            <c:extLst>
              <c:ext xmlns:c16="http://schemas.microsoft.com/office/drawing/2014/chart" uri="{C3380CC4-5D6E-409C-BE32-E72D297353CC}">
                <c16:uniqueId val="{00000005-4730-4C65-B987-9B0979016E22}"/>
              </c:ext>
            </c:extLst>
          </c:dPt>
          <c:dPt>
            <c:idx val="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4730-4C65-B987-9B0979016E22}"/>
              </c:ext>
            </c:extLst>
          </c:dPt>
          <c:dPt>
            <c:idx val="6"/>
            <c:bubble3D val="0"/>
            <c:spPr>
              <a:solidFill>
                <a:srgbClr val="FFB27E"/>
              </a:solidFill>
            </c:spPr>
            <c:extLst>
              <c:ext xmlns:c16="http://schemas.microsoft.com/office/drawing/2014/chart" uri="{C3380CC4-5D6E-409C-BE32-E72D297353CC}">
                <c16:uniqueId val="{00000009-4730-4C65-B987-9B0979016E22}"/>
              </c:ext>
            </c:extLst>
          </c:dPt>
          <c:dPt>
            <c:idx val="7"/>
            <c:bubble3D val="0"/>
            <c:spPr>
              <a:solidFill>
                <a:srgbClr val="336600"/>
              </a:solidFill>
            </c:spPr>
            <c:extLst>
              <c:ext xmlns:c16="http://schemas.microsoft.com/office/drawing/2014/chart" uri="{C3380CC4-5D6E-409C-BE32-E72D297353CC}">
                <c16:uniqueId val="{0000000B-4730-4C65-B987-9B0979016E22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</c:spPr>
            <c:extLst>
              <c:ext xmlns:c16="http://schemas.microsoft.com/office/drawing/2014/chart" uri="{C3380CC4-5D6E-409C-BE32-E72D297353CC}">
                <c16:uniqueId val="{0000000D-4730-4C65-B987-9B0979016E22}"/>
              </c:ext>
            </c:extLst>
          </c:dPt>
          <c:dPt>
            <c:idx val="9"/>
            <c:bubble3D val="0"/>
            <c:spPr>
              <a:solidFill>
                <a:srgbClr val="339933"/>
              </a:solidFill>
            </c:spPr>
            <c:extLst>
              <c:ext xmlns:c16="http://schemas.microsoft.com/office/drawing/2014/chart" uri="{C3380CC4-5D6E-409C-BE32-E72D297353CC}">
                <c16:uniqueId val="{0000000F-4730-4C65-B987-9B0979016E22}"/>
              </c:ext>
            </c:extLst>
          </c:dPt>
          <c:dPt>
            <c:idx val="10"/>
            <c:bubble3D val="0"/>
            <c:spPr>
              <a:solidFill>
                <a:srgbClr val="82AA46"/>
              </a:solidFill>
            </c:spPr>
            <c:extLst>
              <c:ext xmlns:c16="http://schemas.microsoft.com/office/drawing/2014/chart" uri="{C3380CC4-5D6E-409C-BE32-E72D297353CC}">
                <c16:uniqueId val="{00000011-4730-4C65-B987-9B0979016E22}"/>
              </c:ext>
            </c:extLst>
          </c:dPt>
          <c:dLbls>
            <c:dLbl>
              <c:idx val="0"/>
              <c:layout>
                <c:manualLayout>
                  <c:x val="-0.28098676293622143"/>
                  <c:y val="-3.6067457961127592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4730-4C65-B987-9B0979016E22}"/>
                </c:ext>
              </c:extLst>
            </c:dLbl>
            <c:dLbl>
              <c:idx val="1"/>
              <c:layout>
                <c:manualLayout>
                  <c:x val="-2.1567195178972421E-2"/>
                  <c:y val="-7.6091093655949571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4730-4C65-B987-9B0979016E22}"/>
                </c:ext>
              </c:extLst>
            </c:dLbl>
            <c:dLbl>
              <c:idx val="2"/>
              <c:layout>
                <c:manualLayout>
                  <c:x val="-4.8772490183502985E-2"/>
                  <c:y val="-3.5991217821840726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730-4C65-B987-9B0979016E22}"/>
                </c:ext>
              </c:extLst>
            </c:dLbl>
            <c:dLbl>
              <c:idx val="3"/>
              <c:layout>
                <c:manualLayout>
                  <c:x val="8.8592842338305042E-2"/>
                  <c:y val="-8.57018435309154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730-4C65-B987-9B0979016E22}"/>
                </c:ext>
              </c:extLst>
            </c:dLbl>
            <c:dLbl>
              <c:idx val="4"/>
              <c:layout>
                <c:manualLayout>
                  <c:x val="2.2601690366185201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730-4C65-B987-9B0979016E22}"/>
                </c:ext>
              </c:extLst>
            </c:dLbl>
            <c:dLbl>
              <c:idx val="5"/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4730-4C65-B987-9B0979016E22}"/>
                </c:ext>
              </c:extLst>
            </c:dLbl>
            <c:dLbl>
              <c:idx val="6"/>
              <c:layout>
                <c:manualLayout>
                  <c:x val="-9.5122113973042533E-3"/>
                  <c:y val="-4.466273175075041E-2"/>
                </c:manualLayout>
              </c:layout>
              <c:tx>
                <c:rich>
                  <a:bodyPr/>
                  <a:lstStyle/>
                  <a:p>
                    <a:pPr>
                      <a:defRPr sz="900" b="0">
                        <a:solidFill>
                          <a:sysClr val="windowText" lastClr="000000"/>
                        </a:solidFill>
                        <a:latin typeface="Arial Narrow" panose="020B0606020202030204" pitchFamily="34" charset="0"/>
                      </a:defRPr>
                    </a:pPr>
                    <a:r>
                      <a:rPr lang="en-US" baseline="0"/>
                      <a:t>Tributos
</a:t>
                    </a:r>
                    <a:fld id="{06C22B6F-70F2-4C33-9F5F-5A8BCAEB86D3}" type="PERCENTAGE">
                      <a:rPr lang="en-US" baseline="0"/>
                      <a:pPr>
                        <a:defRPr sz="900" b="0">
                          <a:solidFill>
                            <a:sysClr val="windowText" lastClr="000000"/>
                          </a:solidFill>
                          <a:latin typeface="Arial Narrow" panose="020B0606020202030204" pitchFamily="34" charset="0"/>
                        </a:defRPr>
                      </a:pPr>
                      <a:t>[PORCENTAGEM]</a:t>
                    </a:fld>
                    <a:endParaRPr lang="en-US" baseline="0"/>
                  </a:p>
                </c:rich>
              </c:tx>
              <c:numFmt formatCode="0.0%" sourceLinked="0"/>
              <c:spPr>
                <a:noFill/>
                <a:ln>
                  <a:noFill/>
                </a:ln>
                <a:effectLst/>
              </c:sp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097762026486081"/>
                      <c:h val="0.13592999930867458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4730-4C65-B987-9B0979016E22}"/>
                </c:ext>
              </c:extLst>
            </c:dLbl>
            <c:dLbl>
              <c:idx val="7"/>
              <c:layout>
                <c:manualLayout>
                  <c:x val="1.3014825849471409E-2"/>
                  <c:y val="9.096853165461511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730-4C65-B987-9B0979016E22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730-4C65-B987-9B0979016E22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730-4C65-B987-9B0979016E22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730-4C65-B987-9B0979016E2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>
                    <a:solidFill>
                      <a:sysClr val="windowText" lastClr="000000"/>
                    </a:solidFill>
                    <a:latin typeface="Arial Narrow" panose="020B0606020202030204" pitchFamily="34" charset="0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>
                  <a:solidFill>
                    <a:schemeClr val="accent1"/>
                  </a:solidFill>
                  <a:prstDash val="dash"/>
                </a:ln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'Tabelas e Gráficos'!$S$8:$S$13</c:f>
              <c:strCache>
                <c:ptCount val="6"/>
                <c:pt idx="0">
                  <c:v>Custo de Distribuição</c:v>
                </c:pt>
                <c:pt idx="1">
                  <c:v>Custo de Energia</c:v>
                </c:pt>
                <c:pt idx="2">
                  <c:v>Custo de Trasnmissão</c:v>
                </c:pt>
                <c:pt idx="3">
                  <c:v>Encargos Setoriais</c:v>
                </c:pt>
                <c:pt idx="4">
                  <c:v>ICMS</c:v>
                </c:pt>
                <c:pt idx="5">
                  <c:v>PIS/COFINS</c:v>
                </c:pt>
              </c:strCache>
            </c:strRef>
          </c:cat>
          <c:val>
            <c:numRef>
              <c:f>'Tabelas e Gráficos'!$T$8:$T$13</c:f>
              <c:numCache>
                <c:formatCode>0.0%</c:formatCode>
                <c:ptCount val="6"/>
                <c:pt idx="0">
                  <c:v>0.45225486006935828</c:v>
                </c:pt>
                <c:pt idx="1">
                  <c:v>0.11646289159510975</c:v>
                </c:pt>
                <c:pt idx="2">
                  <c:v>0.11706416755760345</c:v>
                </c:pt>
                <c:pt idx="3">
                  <c:v>8.4207938011151104E-2</c:v>
                </c:pt>
                <c:pt idx="4">
                  <c:v>0.20464807768586596</c:v>
                </c:pt>
                <c:pt idx="5" formatCode="0.00%">
                  <c:v>2.5362065080911513E-2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4730-4C65-B987-9B0979016E2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eparator>
</c:separator>
          <c:showLeaderLines val="1"/>
        </c:dLbls>
        <c:gapWidth val="120"/>
        <c:splitType val="pos"/>
        <c:splitPos val="2"/>
        <c:secondPieSize val="75"/>
        <c:serLines/>
      </c:ofPieChart>
    </c:plotArea>
    <c:plotVisOnly val="1"/>
    <c:dispBlanksAs val="zero"/>
    <c:showDLblsOverMax val="0"/>
  </c:chart>
  <c:spPr>
    <a:ln>
      <a:noFill/>
    </a:ln>
  </c:spPr>
  <c:txPr>
    <a:bodyPr/>
    <a:lstStyle/>
    <a:p>
      <a:pPr>
        <a:defRPr sz="1000"/>
      </a:pPr>
      <a:endParaRPr lang="pt-BR"/>
    </a:p>
  </c:txPr>
  <c:printSettings>
    <c:headerFooter alignWithMargins="0"/>
    <c:pageMargins b="1" l="0.75000000000001465" r="0.75000000000001465" t="1" header="0.49212598500001364" footer="0.49212598500001364"/>
    <c:pageSetup orientation="portrait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1312700156259137E-2"/>
          <c:y val="9.1766057608064597E-2"/>
          <c:w val="0.87221401126515341"/>
          <c:h val="0.816481060047817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'Tabelas e Gráficos'!$L$39</c:f>
              <c:strCache>
                <c:ptCount val="1"/>
                <c:pt idx="0">
                  <c:v>Ceris</c:v>
                </c:pt>
              </c:strCache>
            </c:strRef>
          </c:tx>
          <c:spPr>
            <a:solidFill>
              <a:srgbClr val="F9AD6F"/>
            </a:solidFill>
            <a:ln>
              <a:solidFill>
                <a:srgbClr val="FFC000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6527523338403242E-4"/>
                  <c:y val="9.0028360249327292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977-4923-BB76-F777D2B187DC}"/>
                </c:ext>
              </c:extLst>
            </c:dLbl>
            <c:dLbl>
              <c:idx val="1"/>
              <c:layout>
                <c:manualLayout>
                  <c:x val="2.3428253312167018E-3"/>
                  <c:y val="-5.654345644785421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977-4923-BB76-F777D2B187DC}"/>
                </c:ext>
              </c:extLst>
            </c:dLbl>
            <c:dLbl>
              <c:idx val="2"/>
              <c:layout>
                <c:manualLayout>
                  <c:x val="-9.4721534458296983E-3"/>
                  <c:y val="-4.9332574763253886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977-4923-BB76-F777D2B187DC}"/>
                </c:ext>
              </c:extLst>
            </c:dLbl>
            <c:dLbl>
              <c:idx val="3"/>
              <c:layout>
                <c:manualLayout>
                  <c:x val="-4.0350627984764359E-3"/>
                  <c:y val="6.977138107763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977-4923-BB76-F777D2B187DC}"/>
                </c:ext>
              </c:extLst>
            </c:dLbl>
            <c:dLbl>
              <c:idx val="4"/>
              <c:layout>
                <c:manualLayout>
                  <c:x val="6.2023251262742789E-4"/>
                  <c:y val="-5.176570902776603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977-4923-BB76-F777D2B187DC}"/>
                </c:ext>
              </c:extLst>
            </c:dLbl>
            <c:dLbl>
              <c:idx val="5"/>
              <c:layout>
                <c:manualLayout>
                  <c:x val="-6.978844525636854E-3"/>
                  <c:y val="5.411032218334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977-4923-BB76-F777D2B187DC}"/>
                </c:ext>
              </c:extLst>
            </c:dLbl>
            <c:dLbl>
              <c:idx val="8"/>
              <c:layout>
                <c:manualLayout>
                  <c:x val="-3.1024640037835519E-2"/>
                  <c:y val="-1.1897170042644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977-4923-BB76-F777D2B187DC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43282</c:v>
                </c:pt>
                <c:pt idx="1">
                  <c:v>43647</c:v>
                </c:pt>
                <c:pt idx="2">
                  <c:v>44013</c:v>
                </c:pt>
                <c:pt idx="3">
                  <c:v>44378</c:v>
                </c:pt>
                <c:pt idx="4">
                  <c:v>44743</c:v>
                </c:pt>
              </c:numCache>
            </c:numRef>
          </c:cat>
          <c:val>
            <c:numRef>
              <c:f>'Tabelas e Gráficos'!$R$39:$V$39</c:f>
              <c:numCache>
                <c:formatCode>_(* #,##0.00_);_(* \(#,##0.00\);_(* "-"??_);_(@_)</c:formatCode>
                <c:ptCount val="5"/>
                <c:pt idx="0">
                  <c:v>484.86</c:v>
                </c:pt>
                <c:pt idx="1">
                  <c:v>531.81000000000006</c:v>
                </c:pt>
                <c:pt idx="2">
                  <c:v>604.55999999999995</c:v>
                </c:pt>
                <c:pt idx="3">
                  <c:v>688.71</c:v>
                </c:pt>
                <c:pt idx="4">
                  <c:v>786.51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977-4923-BB76-F777D2B187DC}"/>
            </c:ext>
          </c:extLst>
        </c:ser>
        <c:ser>
          <c:idx val="2"/>
          <c:order val="1"/>
          <c:tx>
            <c:strRef>
              <c:f>'Tabelas e Gráficos'!$L$40</c:f>
              <c:strCache>
                <c:ptCount val="1"/>
                <c:pt idx="0">
                  <c:v>Eletropaulo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solidFill>
                <a:srgbClr val="003399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5524148424060573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977-4923-BB76-F777D2B187DC}"/>
                </c:ext>
              </c:extLst>
            </c:dLbl>
            <c:dLbl>
              <c:idx val="1"/>
              <c:layout>
                <c:manualLayout>
                  <c:x val="1.4591966094281971E-2"/>
                  <c:y val="-7.737462659643035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977-4923-BB76-F777D2B187DC}"/>
                </c:ext>
              </c:extLst>
            </c:dLbl>
            <c:dLbl>
              <c:idx val="2"/>
              <c:layout>
                <c:manualLayout>
                  <c:x val="7.7580403781878134E-3"/>
                  <c:y val="-4.221260664999391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977-4923-BB76-F777D2B187DC}"/>
                </c:ext>
              </c:extLst>
            </c:dLbl>
            <c:dLbl>
              <c:idx val="3"/>
              <c:layout>
                <c:manualLayout>
                  <c:x val="1.3197202936715967E-2"/>
                  <c:y val="-3.05421750449913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977-4923-BB76-F777D2B187DC}"/>
                </c:ext>
              </c:extLst>
            </c:dLbl>
            <c:dLbl>
              <c:idx val="4"/>
              <c:layout>
                <c:manualLayout>
                  <c:x val="1.0866929822386321E-2"/>
                  <c:y val="-4.75886801705791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977-4923-BB76-F777D2B187DC}"/>
                </c:ext>
              </c:extLst>
            </c:dLbl>
            <c:dLbl>
              <c:idx val="5"/>
              <c:layout>
                <c:manualLayout>
                  <c:x val="1.180581040241341E-2"/>
                  <c:y val="-6.092644757133964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977-4923-BB76-F777D2B187DC}"/>
                </c:ext>
              </c:extLst>
            </c:dLbl>
            <c:dLbl>
              <c:idx val="6"/>
              <c:layout>
                <c:manualLayout>
                  <c:x val="2.1733807793684799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4977-4923-BB76-F777D2B187DC}"/>
                </c:ext>
              </c:extLst>
            </c:dLbl>
            <c:dLbl>
              <c:idx val="7"/>
              <c:layout>
                <c:manualLayout>
                  <c:x val="1.5524148424060458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977-4923-BB76-F777D2B187DC}"/>
                </c:ext>
              </c:extLst>
            </c:dLbl>
            <c:dLbl>
              <c:idx val="8"/>
              <c:layout>
                <c:manualLayout>
                  <c:x val="2.0181392951278628E-2"/>
                  <c:y val="-5.570385613594106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4977-4923-BB76-F777D2B187DC}"/>
                </c:ext>
              </c:extLst>
            </c:dLbl>
            <c:dLbl>
              <c:idx val="9"/>
              <c:layout>
                <c:manualLayout>
                  <c:x val="2.3268480028376438E-2"/>
                  <c:y val="-2.72640330579579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977-4923-BB76-F777D2B187DC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43282</c:v>
                </c:pt>
                <c:pt idx="1">
                  <c:v>43647</c:v>
                </c:pt>
                <c:pt idx="2">
                  <c:v>44013</c:v>
                </c:pt>
                <c:pt idx="3">
                  <c:v>44378</c:v>
                </c:pt>
                <c:pt idx="4">
                  <c:v>44743</c:v>
                </c:pt>
              </c:numCache>
            </c:numRef>
          </c:cat>
          <c:val>
            <c:numRef>
              <c:f>'Tabelas e Gráficos'!$R$40:$V$40</c:f>
              <c:numCache>
                <c:formatCode>_(* #,##0.00_);_(* \(#,##0.00\);_(* "-"??_);_(@_)</c:formatCode>
                <c:ptCount val="5"/>
                <c:pt idx="0">
                  <c:v>483.63</c:v>
                </c:pt>
                <c:pt idx="1">
                  <c:v>515.59</c:v>
                </c:pt>
                <c:pt idx="2">
                  <c:v>534.19000000000005</c:v>
                </c:pt>
                <c:pt idx="3">
                  <c:v>594.49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977-4923-BB76-F777D2B18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0470696"/>
        <c:axId val="510465600"/>
      </c:barChart>
      <c:lineChart>
        <c:grouping val="standard"/>
        <c:varyColors val="0"/>
        <c:ser>
          <c:idx val="3"/>
          <c:order val="2"/>
          <c:tx>
            <c:strRef>
              <c:f>'Tabelas e Gráficos'!$L$41</c:f>
              <c:strCache>
                <c:ptCount val="1"/>
                <c:pt idx="0">
                  <c:v>IGP_M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43282</c:v>
                </c:pt>
                <c:pt idx="1">
                  <c:v>43647</c:v>
                </c:pt>
                <c:pt idx="2">
                  <c:v>44013</c:v>
                </c:pt>
                <c:pt idx="3">
                  <c:v>44378</c:v>
                </c:pt>
                <c:pt idx="4">
                  <c:v>44743</c:v>
                </c:pt>
              </c:numCache>
            </c:numRef>
          </c:cat>
          <c:val>
            <c:numRef>
              <c:f>'Tabelas e Gráficos'!$R$41:$V$41</c:f>
              <c:numCache>
                <c:formatCode>_(* #,##0.00_);_(* \(#,##0.00\);_(* "-"??_);_(@_)</c:formatCode>
                <c:ptCount val="5"/>
                <c:pt idx="0">
                  <c:v>454.56177190015899</c:v>
                </c:pt>
                <c:pt idx="1">
                  <c:v>484.15440959990201</c:v>
                </c:pt>
                <c:pt idx="2">
                  <c:v>519.56538972326177</c:v>
                </c:pt>
                <c:pt idx="3">
                  <c:v>705.31698787294954</c:v>
                </c:pt>
                <c:pt idx="4">
                  <c:v>780.81578342591888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977-4923-BB76-F777D2B187DC}"/>
            </c:ext>
          </c:extLst>
        </c:ser>
        <c:ser>
          <c:idx val="4"/>
          <c:order val="3"/>
          <c:tx>
            <c:strRef>
              <c:f>'Tabelas e Gráficos'!$L$42</c:f>
              <c:strCache>
                <c:ptCount val="1"/>
                <c:pt idx="0">
                  <c:v>IPCA</c:v>
                </c:pt>
              </c:strCache>
            </c:strRef>
          </c:tx>
          <c:spPr>
            <a:ln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43282</c:v>
                </c:pt>
                <c:pt idx="1">
                  <c:v>43647</c:v>
                </c:pt>
                <c:pt idx="2">
                  <c:v>44013</c:v>
                </c:pt>
                <c:pt idx="3">
                  <c:v>44378</c:v>
                </c:pt>
                <c:pt idx="4">
                  <c:v>44743</c:v>
                </c:pt>
              </c:numCache>
            </c:numRef>
          </c:cat>
          <c:val>
            <c:numRef>
              <c:f>'Tabelas e Gráficos'!$R$42:$V$42</c:f>
              <c:numCache>
                <c:formatCode>_(* #,##0.00_);_(* \(#,##0.00\);_(* "-"??_);_(@_)</c:formatCode>
                <c:ptCount val="5"/>
                <c:pt idx="0">
                  <c:v>437.61225365454584</c:v>
                </c:pt>
                <c:pt idx="1">
                  <c:v>452.34345120454697</c:v>
                </c:pt>
                <c:pt idx="2">
                  <c:v>461.98930159960383</c:v>
                </c:pt>
                <c:pt idx="3">
                  <c:v>500.55188292535894</c:v>
                </c:pt>
                <c:pt idx="4">
                  <c:v>560.05183265517019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977-4923-BB76-F777D2B18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470696"/>
        <c:axId val="510465600"/>
      </c:lineChart>
      <c:catAx>
        <c:axId val="510470696"/>
        <c:scaling>
          <c:orientation val="minMax"/>
        </c:scaling>
        <c:delete val="0"/>
        <c:axPos val="b"/>
        <c:numFmt formatCode="[$-416]mmm\-yy;@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65600"/>
        <c:crosses val="autoZero"/>
        <c:auto val="0"/>
        <c:lblAlgn val="ctr"/>
        <c:lblOffset val="100"/>
        <c:noMultiLvlLbl val="1"/>
      </c:catAx>
      <c:valAx>
        <c:axId val="510465600"/>
        <c:scaling>
          <c:orientation val="minMax"/>
          <c:min val="15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t-BR"/>
                  <a:t>R$ / MWh</a:t>
                </a:r>
              </a:p>
            </c:rich>
          </c:tx>
          <c:overlay val="0"/>
        </c:title>
        <c:numFmt formatCode="_(* #,##0_);_(* \(#,##0\);_(* &quot;-&quot;_);_(@_)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7069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+mn-lt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1312700156259137E-2"/>
          <c:y val="9.1766057608064597E-2"/>
          <c:w val="0.87221401126515341"/>
          <c:h val="0.816481060047817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'Tabelas e Gráficos'!$L$39</c:f>
              <c:strCache>
                <c:ptCount val="1"/>
                <c:pt idx="0">
                  <c:v>Ceris</c:v>
                </c:pt>
              </c:strCache>
            </c:strRef>
          </c:tx>
          <c:spPr>
            <a:solidFill>
              <a:srgbClr val="F9AD6F"/>
            </a:solidFill>
            <a:ln>
              <a:solidFill>
                <a:srgbClr val="FFC000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6527523338403242E-4"/>
                  <c:y val="9.0028360249327292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EFC-4457-B58B-465E1C30AE12}"/>
                </c:ext>
              </c:extLst>
            </c:dLbl>
            <c:dLbl>
              <c:idx val="1"/>
              <c:layout>
                <c:manualLayout>
                  <c:x val="2.3428253312167018E-3"/>
                  <c:y val="-5.654345644785421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EFC-4457-B58B-465E1C30AE12}"/>
                </c:ext>
              </c:extLst>
            </c:dLbl>
            <c:dLbl>
              <c:idx val="2"/>
              <c:layout>
                <c:manualLayout>
                  <c:x val="-9.4721534458296983E-3"/>
                  <c:y val="-4.9332574763253886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EFC-4457-B58B-465E1C30AE12}"/>
                </c:ext>
              </c:extLst>
            </c:dLbl>
            <c:dLbl>
              <c:idx val="3"/>
              <c:layout>
                <c:manualLayout>
                  <c:x val="-4.0350627984764359E-3"/>
                  <c:y val="6.977138107763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EFC-4457-B58B-465E1C30AE12}"/>
                </c:ext>
              </c:extLst>
            </c:dLbl>
            <c:dLbl>
              <c:idx val="4"/>
              <c:layout>
                <c:manualLayout>
                  <c:x val="6.2023251262742789E-4"/>
                  <c:y val="-5.176570902776603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EFC-4457-B58B-465E1C30AE12}"/>
                </c:ext>
              </c:extLst>
            </c:dLbl>
            <c:dLbl>
              <c:idx val="5"/>
              <c:layout>
                <c:manualLayout>
                  <c:x val="-6.978844525636854E-3"/>
                  <c:y val="5.411032218334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EFC-4457-B58B-465E1C30AE12}"/>
                </c:ext>
              </c:extLst>
            </c:dLbl>
            <c:dLbl>
              <c:idx val="8"/>
              <c:layout>
                <c:manualLayout>
                  <c:x val="-3.1024640037835519E-2"/>
                  <c:y val="-1.1897170042644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EFC-4457-B58B-465E1C30AE12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41456</c:v>
                </c:pt>
                <c:pt idx="1">
                  <c:v>41821</c:v>
                </c:pt>
                <c:pt idx="2">
                  <c:v>42186</c:v>
                </c:pt>
                <c:pt idx="3">
                  <c:v>42552</c:v>
                </c:pt>
                <c:pt idx="4">
                  <c:v>42917</c:v>
                </c:pt>
                <c:pt idx="5">
                  <c:v>43282</c:v>
                </c:pt>
                <c:pt idx="6">
                  <c:v>43647</c:v>
                </c:pt>
                <c:pt idx="7">
                  <c:v>44013</c:v>
                </c:pt>
                <c:pt idx="8">
                  <c:v>44378</c:v>
                </c:pt>
                <c:pt idx="9">
                  <c:v>44743</c:v>
                </c:pt>
              </c:numCache>
            </c:numRef>
          </c:cat>
          <c:val>
            <c:numRef>
              <c:f>'Tabelas e Gráficos'!$M$39:$V$39</c:f>
              <c:numCache>
                <c:formatCode>_(* #,##0.00_);_(* \(#,##0.00\);_(* "-"??_);_(@_)</c:formatCode>
                <c:ptCount val="10"/>
                <c:pt idx="0">
                  <c:v>322.36</c:v>
                </c:pt>
                <c:pt idx="1">
                  <c:v>278.05753790328487</c:v>
                </c:pt>
                <c:pt idx="2">
                  <c:v>365.46000000000004</c:v>
                </c:pt>
                <c:pt idx="3" formatCode="_(* #,##0.00_);_(* \(#,##0.00\);_(* &quot;-&quot;??_);_(@_)">
                  <c:v>365.46000000000004</c:v>
                </c:pt>
                <c:pt idx="4" formatCode="_(* #,##0.00_);_(* \(#,##0.00\);_(* &quot;-&quot;??_);_(@_)">
                  <c:v>441.3</c:v>
                </c:pt>
                <c:pt idx="5" formatCode="_(* #,##0.00_);_(* \(#,##0.00\);_(* &quot;-&quot;??_);_(@_)">
                  <c:v>484.86</c:v>
                </c:pt>
                <c:pt idx="6" formatCode="_(* #,##0.00_);_(* \(#,##0.00\);_(* &quot;-&quot;??_);_(@_)">
                  <c:v>531.81000000000006</c:v>
                </c:pt>
                <c:pt idx="7" formatCode="_(* #,##0.00_);_(* \(#,##0.00\);_(* &quot;-&quot;??_);_(@_)">
                  <c:v>604.55999999999995</c:v>
                </c:pt>
                <c:pt idx="8" formatCode="_(* #,##0.00_);_(* \(#,##0.00\);_(* &quot;-&quot;??_);_(@_)">
                  <c:v>688.71</c:v>
                </c:pt>
                <c:pt idx="9" formatCode="_(* #,##0.00_);_(* \(#,##0.00\);_(* &quot;-&quot;??_);_(@_)">
                  <c:v>786.51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EFC-4457-B58B-465E1C30AE12}"/>
            </c:ext>
          </c:extLst>
        </c:ser>
        <c:ser>
          <c:idx val="2"/>
          <c:order val="1"/>
          <c:tx>
            <c:strRef>
              <c:f>'Tabelas e Gráficos'!$L$40</c:f>
              <c:strCache>
                <c:ptCount val="1"/>
                <c:pt idx="0">
                  <c:v>Eletropaulo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solidFill>
                <a:srgbClr val="003399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5524148424060573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EFC-4457-B58B-465E1C30AE12}"/>
                </c:ext>
              </c:extLst>
            </c:dLbl>
            <c:dLbl>
              <c:idx val="1"/>
              <c:layout>
                <c:manualLayout>
                  <c:x val="1.4591966094281971E-2"/>
                  <c:y val="-7.737462659643035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EFC-4457-B58B-465E1C30AE12}"/>
                </c:ext>
              </c:extLst>
            </c:dLbl>
            <c:dLbl>
              <c:idx val="2"/>
              <c:layout>
                <c:manualLayout>
                  <c:x val="7.7580403781878134E-3"/>
                  <c:y val="-4.221260664999391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EFC-4457-B58B-465E1C30AE12}"/>
                </c:ext>
              </c:extLst>
            </c:dLbl>
            <c:dLbl>
              <c:idx val="3"/>
              <c:layout>
                <c:manualLayout>
                  <c:x val="1.3197202936715967E-2"/>
                  <c:y val="-3.05421750449913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EFC-4457-B58B-465E1C30AE12}"/>
                </c:ext>
              </c:extLst>
            </c:dLbl>
            <c:dLbl>
              <c:idx val="4"/>
              <c:layout>
                <c:manualLayout>
                  <c:x val="1.0866929822386321E-2"/>
                  <c:y val="-4.75886801705791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EFC-4457-B58B-465E1C30AE12}"/>
                </c:ext>
              </c:extLst>
            </c:dLbl>
            <c:dLbl>
              <c:idx val="5"/>
              <c:layout>
                <c:manualLayout>
                  <c:x val="1.180581040241341E-2"/>
                  <c:y val="-6.092644757133964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EFC-4457-B58B-465E1C30AE12}"/>
                </c:ext>
              </c:extLst>
            </c:dLbl>
            <c:dLbl>
              <c:idx val="6"/>
              <c:layout>
                <c:manualLayout>
                  <c:x val="2.1733807793684799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2EFC-4457-B58B-465E1C30AE12}"/>
                </c:ext>
              </c:extLst>
            </c:dLbl>
            <c:dLbl>
              <c:idx val="7"/>
              <c:layout>
                <c:manualLayout>
                  <c:x val="1.5524148424060458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EFC-4457-B58B-465E1C30AE12}"/>
                </c:ext>
              </c:extLst>
            </c:dLbl>
            <c:dLbl>
              <c:idx val="8"/>
              <c:layout>
                <c:manualLayout>
                  <c:x val="2.0181392951278628E-2"/>
                  <c:y val="-5.570385613594106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2EFC-4457-B58B-465E1C30AE12}"/>
                </c:ext>
              </c:extLst>
            </c:dLbl>
            <c:dLbl>
              <c:idx val="9"/>
              <c:layout>
                <c:manualLayout>
                  <c:x val="2.3268480028376438E-2"/>
                  <c:y val="-2.72640330579579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EFC-4457-B58B-465E1C30AE12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41456</c:v>
                </c:pt>
                <c:pt idx="1">
                  <c:v>41821</c:v>
                </c:pt>
                <c:pt idx="2">
                  <c:v>42186</c:v>
                </c:pt>
                <c:pt idx="3">
                  <c:v>42552</c:v>
                </c:pt>
                <c:pt idx="4">
                  <c:v>42917</c:v>
                </c:pt>
                <c:pt idx="5">
                  <c:v>43282</c:v>
                </c:pt>
                <c:pt idx="6">
                  <c:v>43647</c:v>
                </c:pt>
                <c:pt idx="7">
                  <c:v>44013</c:v>
                </c:pt>
                <c:pt idx="8">
                  <c:v>44378</c:v>
                </c:pt>
                <c:pt idx="9">
                  <c:v>44743</c:v>
                </c:pt>
              </c:numCache>
            </c:numRef>
          </c:cat>
          <c:val>
            <c:numRef>
              <c:f>'Tabelas e Gráficos'!$M$40:$V$40</c:f>
              <c:numCache>
                <c:formatCode>_(* #,##0.00_);_(* \(#,##0.00\);_(* "-"??_);_(@_)</c:formatCode>
                <c:ptCount val="10"/>
                <c:pt idx="0">
                  <c:v>238.44</c:v>
                </c:pt>
                <c:pt idx="1">
                  <c:v>290.16000000000003</c:v>
                </c:pt>
                <c:pt idx="2">
                  <c:v>436.11</c:v>
                </c:pt>
                <c:pt idx="3">
                  <c:v>404.43</c:v>
                </c:pt>
                <c:pt idx="4">
                  <c:v>419.61</c:v>
                </c:pt>
                <c:pt idx="5">
                  <c:v>483.63</c:v>
                </c:pt>
                <c:pt idx="6">
                  <c:v>515.59</c:v>
                </c:pt>
                <c:pt idx="7">
                  <c:v>534.19000000000005</c:v>
                </c:pt>
                <c:pt idx="8">
                  <c:v>594.49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EFC-4457-B58B-465E1C30A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0470696"/>
        <c:axId val="510465600"/>
      </c:barChart>
      <c:lineChart>
        <c:grouping val="standard"/>
        <c:varyColors val="0"/>
        <c:ser>
          <c:idx val="3"/>
          <c:order val="2"/>
          <c:tx>
            <c:strRef>
              <c:f>'Tabelas e Gráficos'!$L$41</c:f>
              <c:strCache>
                <c:ptCount val="1"/>
                <c:pt idx="0">
                  <c:v>IGP_M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41456</c:v>
                </c:pt>
                <c:pt idx="1">
                  <c:v>41821</c:v>
                </c:pt>
                <c:pt idx="2">
                  <c:v>42186</c:v>
                </c:pt>
                <c:pt idx="3">
                  <c:v>42552</c:v>
                </c:pt>
                <c:pt idx="4">
                  <c:v>42917</c:v>
                </c:pt>
                <c:pt idx="5">
                  <c:v>43282</c:v>
                </c:pt>
                <c:pt idx="6">
                  <c:v>43647</c:v>
                </c:pt>
                <c:pt idx="7">
                  <c:v>44013</c:v>
                </c:pt>
                <c:pt idx="8">
                  <c:v>44378</c:v>
                </c:pt>
                <c:pt idx="9">
                  <c:v>44743</c:v>
                </c:pt>
              </c:numCache>
            </c:numRef>
          </c:cat>
          <c:val>
            <c:numRef>
              <c:f>'Tabelas e Gráficos'!$M$41:$V$41</c:f>
              <c:numCache>
                <c:formatCode>_(* #,##0.00_);_(* \(#,##0.00\);_(* "-"??_);_(@_)</c:formatCode>
                <c:ptCount val="10"/>
                <c:pt idx="0">
                  <c:v>322.36</c:v>
                </c:pt>
                <c:pt idx="1">
                  <c:v>361.63286422307101</c:v>
                </c:pt>
                <c:pt idx="2">
                  <c:v>381.85806241343693</c:v>
                </c:pt>
                <c:pt idx="3">
                  <c:v>428.47233496324935</c:v>
                </c:pt>
                <c:pt idx="4">
                  <c:v>425.13698360997705</c:v>
                </c:pt>
                <c:pt idx="5">
                  <c:v>454.56177190015899</c:v>
                </c:pt>
                <c:pt idx="6">
                  <c:v>484.15440959990201</c:v>
                </c:pt>
                <c:pt idx="7">
                  <c:v>519.56538972326177</c:v>
                </c:pt>
                <c:pt idx="8">
                  <c:v>705.31698787294954</c:v>
                </c:pt>
                <c:pt idx="9">
                  <c:v>780.81578342591888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EFC-4457-B58B-465E1C30AE12}"/>
            </c:ext>
          </c:extLst>
        </c:ser>
        <c:ser>
          <c:idx val="0"/>
          <c:order val="3"/>
          <c:tx>
            <c:strRef>
              <c:f>'Tabelas e Gráficos'!$L$42</c:f>
              <c:strCache>
                <c:ptCount val="1"/>
                <c:pt idx="0">
                  <c:v>IPCA</c:v>
                </c:pt>
              </c:strCache>
            </c:strRef>
          </c:tx>
          <c:marker>
            <c:symbol val="none"/>
          </c:marker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41456</c:v>
                </c:pt>
                <c:pt idx="1">
                  <c:v>41821</c:v>
                </c:pt>
                <c:pt idx="2">
                  <c:v>42186</c:v>
                </c:pt>
                <c:pt idx="3">
                  <c:v>42552</c:v>
                </c:pt>
                <c:pt idx="4">
                  <c:v>42917</c:v>
                </c:pt>
                <c:pt idx="5">
                  <c:v>43282</c:v>
                </c:pt>
                <c:pt idx="6">
                  <c:v>43647</c:v>
                </c:pt>
                <c:pt idx="7">
                  <c:v>44013</c:v>
                </c:pt>
                <c:pt idx="8">
                  <c:v>44378</c:v>
                </c:pt>
                <c:pt idx="9">
                  <c:v>44743</c:v>
                </c:pt>
              </c:numCache>
            </c:numRef>
          </c:cat>
          <c:val>
            <c:numRef>
              <c:f>'Tabelas e Gráficos'!$M$42:$V$42</c:f>
              <c:numCache>
                <c:formatCode>_(* #,##0.00_);_(* \(#,##0.00\);_(* "-"??_);_(@_)</c:formatCode>
                <c:ptCount val="10"/>
                <c:pt idx="0">
                  <c:v>322.36</c:v>
                </c:pt>
                <c:pt idx="1">
                  <c:v>343.38845701737392</c:v>
                </c:pt>
                <c:pt idx="2">
                  <c:v>373.93090281814466</c:v>
                </c:pt>
                <c:pt idx="3">
                  <c:v>407.00040700553296</c:v>
                </c:pt>
                <c:pt idx="4">
                  <c:v>419.20454616891647</c:v>
                </c:pt>
                <c:pt idx="5">
                  <c:v>437.61225365454584</c:v>
                </c:pt>
                <c:pt idx="6">
                  <c:v>452.34345120454697</c:v>
                </c:pt>
                <c:pt idx="7">
                  <c:v>461.98930159960383</c:v>
                </c:pt>
                <c:pt idx="8">
                  <c:v>500.55188292535894</c:v>
                </c:pt>
                <c:pt idx="9">
                  <c:v>560.05183265517019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EFC-4457-B58B-465E1C30A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470696"/>
        <c:axId val="510465600"/>
      </c:lineChart>
      <c:catAx>
        <c:axId val="510470696"/>
        <c:scaling>
          <c:orientation val="minMax"/>
        </c:scaling>
        <c:delete val="0"/>
        <c:axPos val="b"/>
        <c:numFmt formatCode="[$-416]mmm\-yy;@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65600"/>
        <c:crosses val="autoZero"/>
        <c:auto val="0"/>
        <c:lblAlgn val="ctr"/>
        <c:lblOffset val="100"/>
        <c:noMultiLvlLbl val="1"/>
      </c:catAx>
      <c:valAx>
        <c:axId val="510465600"/>
        <c:scaling>
          <c:orientation val="minMax"/>
          <c:min val="15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t-BR"/>
                  <a:t>R$ / MWh</a:t>
                </a:r>
              </a:p>
            </c:rich>
          </c:tx>
          <c:overlay val="0"/>
        </c:title>
        <c:numFmt formatCode="_(* #,##0_);_(* \(#,##0\);_(* &quot;-&quot;_);_(@_)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7069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+mn-lt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[Persas_Ceris_RTA 2022.xlsx]Calc_Mercado!Tabela dinâmica1</c:name>
    <c:fmtId val="1"/>
  </c:pivotSource>
  <c:chart>
    <c:autoTitleDeleted val="1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pt-B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Calc_Mercado!$C$33</c:f>
              <c:strCache>
                <c:ptCount val="1"/>
                <c:pt idx="0">
                  <c:v>Total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Calc_Mercado!$B$34:$B$46</c:f>
              <c:strCache>
                <c:ptCount val="12"/>
                <c:pt idx="0">
                  <c:v>01/07/21</c:v>
                </c:pt>
                <c:pt idx="1">
                  <c:v>01/08/21</c:v>
                </c:pt>
                <c:pt idx="2">
                  <c:v>01/09/21</c:v>
                </c:pt>
                <c:pt idx="3">
                  <c:v>01/10/21</c:v>
                </c:pt>
                <c:pt idx="4">
                  <c:v>01/11/21</c:v>
                </c:pt>
                <c:pt idx="5">
                  <c:v>01/12/21</c:v>
                </c:pt>
                <c:pt idx="6">
                  <c:v>01/01/22</c:v>
                </c:pt>
                <c:pt idx="7">
                  <c:v>01/02/22</c:v>
                </c:pt>
                <c:pt idx="8">
                  <c:v>01/03/22</c:v>
                </c:pt>
                <c:pt idx="9">
                  <c:v>01/04/22</c:v>
                </c:pt>
                <c:pt idx="10">
                  <c:v>01/05/22</c:v>
                </c:pt>
                <c:pt idx="11">
                  <c:v>01/06/22</c:v>
                </c:pt>
              </c:strCache>
            </c:strRef>
          </c:cat>
          <c:val>
            <c:numRef>
              <c:f>Calc_Mercado!$C$34:$C$46</c:f>
              <c:numCache>
                <c:formatCode>_(* #,##0.00_);_(* \(#,##0.00\);_(* "-"??_);_(@_)</c:formatCode>
                <c:ptCount val="12"/>
                <c:pt idx="0">
                  <c:v>1269.4320000000002</c:v>
                </c:pt>
                <c:pt idx="1">
                  <c:v>1382.6890000000001</c:v>
                </c:pt>
                <c:pt idx="2">
                  <c:v>1380.69</c:v>
                </c:pt>
                <c:pt idx="3">
                  <c:v>1343.3440000000001</c:v>
                </c:pt>
                <c:pt idx="4">
                  <c:v>1323.627</c:v>
                </c:pt>
                <c:pt idx="5">
                  <c:v>1274.8820000000001</c:v>
                </c:pt>
                <c:pt idx="6">
                  <c:v>1426.9339999999997</c:v>
                </c:pt>
                <c:pt idx="7">
                  <c:v>1395.3579999999997</c:v>
                </c:pt>
                <c:pt idx="8">
                  <c:v>1408.3359999999998</c:v>
                </c:pt>
                <c:pt idx="9">
                  <c:v>1428.7950000000001</c:v>
                </c:pt>
                <c:pt idx="10">
                  <c:v>1346.4159999999999</c:v>
                </c:pt>
                <c:pt idx="11">
                  <c:v>1396.5650000000001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3A-4102-900C-56ACF7239D69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56005560"/>
        <c:axId val="656003992"/>
      </c:lineChart>
      <c:catAx>
        <c:axId val="65600556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656003992"/>
        <c:crosses val="autoZero"/>
        <c:auto val="1"/>
        <c:lblAlgn val="ctr"/>
        <c:lblOffset val="100"/>
        <c:noMultiLvlLbl val="0"/>
      </c:catAx>
      <c:valAx>
        <c:axId val="656003992"/>
        <c:scaling>
          <c:orientation val="minMax"/>
          <c:min val="1000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in"/>
        <c:tickLblPos val="nextTo"/>
        <c:crossAx val="6560055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4.emf"/><Relationship Id="rId3" Type="http://schemas.openxmlformats.org/officeDocument/2006/relationships/image" Target="../media/image9.emf"/><Relationship Id="rId7" Type="http://schemas.openxmlformats.org/officeDocument/2006/relationships/image" Target="../media/image5.emf"/><Relationship Id="rId2" Type="http://schemas.openxmlformats.org/officeDocument/2006/relationships/image" Target="../media/image10.emf"/><Relationship Id="rId1" Type="http://schemas.openxmlformats.org/officeDocument/2006/relationships/image" Target="../media/image11.emf"/><Relationship Id="rId6" Type="http://schemas.openxmlformats.org/officeDocument/2006/relationships/image" Target="../media/image6.emf"/><Relationship Id="rId11" Type="http://schemas.openxmlformats.org/officeDocument/2006/relationships/image" Target="../media/image1.emf"/><Relationship Id="rId5" Type="http://schemas.openxmlformats.org/officeDocument/2006/relationships/image" Target="../media/image7.emf"/><Relationship Id="rId10" Type="http://schemas.openxmlformats.org/officeDocument/2006/relationships/image" Target="../media/image2.emf"/><Relationship Id="rId4" Type="http://schemas.openxmlformats.org/officeDocument/2006/relationships/image" Target="../media/image8.emf"/><Relationship Id="rId9" Type="http://schemas.openxmlformats.org/officeDocument/2006/relationships/image" Target="../media/image3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12.emf"/><Relationship Id="rId1" Type="http://schemas.openxmlformats.org/officeDocument/2006/relationships/image" Target="../media/image13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9</xdr:row>
          <xdr:rowOff>9525</xdr:rowOff>
        </xdr:from>
        <xdr:to>
          <xdr:col>8</xdr:col>
          <xdr:colOff>19050</xdr:colOff>
          <xdr:row>18</xdr:row>
          <xdr:rowOff>9525</xdr:rowOff>
        </xdr:to>
        <xdr:sp macro="" textlink="">
          <xdr:nvSpPr>
            <xdr:cNvPr id="45066" name="CommandButton1" hidden="1">
              <a:extLst>
                <a:ext uri="{63B3BB69-23CF-44E3-9099-C40C66FF867C}">
                  <a14:compatExt spid="_x0000_s45066"/>
                </a:ext>
                <a:ext uri="{FF2B5EF4-FFF2-40B4-BE49-F238E27FC236}">
                  <a16:creationId xmlns:a16="http://schemas.microsoft.com/office/drawing/2014/main" id="{00000000-0008-0000-0600-00000A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9</xdr:row>
          <xdr:rowOff>38100</xdr:rowOff>
        </xdr:from>
        <xdr:to>
          <xdr:col>4</xdr:col>
          <xdr:colOff>180975</xdr:colOff>
          <xdr:row>9</xdr:row>
          <xdr:rowOff>171450</xdr:rowOff>
        </xdr:to>
        <xdr:sp macro="" textlink="">
          <xdr:nvSpPr>
            <xdr:cNvPr id="45080" name="InfoIniciais" hidden="1">
              <a:extLst>
                <a:ext uri="{63B3BB69-23CF-44E3-9099-C40C66FF867C}">
                  <a14:compatExt spid="_x0000_s45080"/>
                </a:ext>
                <a:ext uri="{FF2B5EF4-FFF2-40B4-BE49-F238E27FC236}">
                  <a16:creationId xmlns:a16="http://schemas.microsoft.com/office/drawing/2014/main" id="{00000000-0008-0000-0600-000018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10</xdr:row>
          <xdr:rowOff>9525</xdr:rowOff>
        </xdr:from>
        <xdr:to>
          <xdr:col>4</xdr:col>
          <xdr:colOff>200025</xdr:colOff>
          <xdr:row>10</xdr:row>
          <xdr:rowOff>180975</xdr:rowOff>
        </xdr:to>
        <xdr:sp macro="" textlink="">
          <xdr:nvSpPr>
            <xdr:cNvPr id="45081" name="Indice" hidden="1">
              <a:extLst>
                <a:ext uri="{63B3BB69-23CF-44E3-9099-C40C66FF867C}">
                  <a14:compatExt spid="_x0000_s45081"/>
                </a:ext>
                <a:ext uri="{FF2B5EF4-FFF2-40B4-BE49-F238E27FC236}">
                  <a16:creationId xmlns:a16="http://schemas.microsoft.com/office/drawing/2014/main" id="{00000000-0008-0000-0600-000019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14</xdr:row>
          <xdr:rowOff>9525</xdr:rowOff>
        </xdr:from>
        <xdr:to>
          <xdr:col>4</xdr:col>
          <xdr:colOff>190500</xdr:colOff>
          <xdr:row>15</xdr:row>
          <xdr:rowOff>0</xdr:rowOff>
        </xdr:to>
        <xdr:sp macro="" textlink="">
          <xdr:nvSpPr>
            <xdr:cNvPr id="45083" name="CheckRA0" hidden="1">
              <a:extLst>
                <a:ext uri="{63B3BB69-23CF-44E3-9099-C40C66FF867C}">
                  <a14:compatExt spid="_x0000_s45083"/>
                </a:ext>
                <a:ext uri="{FF2B5EF4-FFF2-40B4-BE49-F238E27FC236}">
                  <a16:creationId xmlns:a16="http://schemas.microsoft.com/office/drawing/2014/main" id="{00000000-0008-0000-0600-00001B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11</xdr:row>
          <xdr:rowOff>38100</xdr:rowOff>
        </xdr:from>
        <xdr:to>
          <xdr:col>4</xdr:col>
          <xdr:colOff>200025</xdr:colOff>
          <xdr:row>11</xdr:row>
          <xdr:rowOff>190500</xdr:rowOff>
        </xdr:to>
        <xdr:sp macro="" textlink="">
          <xdr:nvSpPr>
            <xdr:cNvPr id="45084" name="CheckDemEn" hidden="1">
              <a:extLst>
                <a:ext uri="{63B3BB69-23CF-44E3-9099-C40C66FF867C}">
                  <a14:compatExt spid="_x0000_s45084"/>
                </a:ext>
                <a:ext uri="{FF2B5EF4-FFF2-40B4-BE49-F238E27FC236}">
                  <a16:creationId xmlns:a16="http://schemas.microsoft.com/office/drawing/2014/main" id="{00000000-0008-0000-0600-00001C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15</xdr:row>
          <xdr:rowOff>28575</xdr:rowOff>
        </xdr:from>
        <xdr:to>
          <xdr:col>4</xdr:col>
          <xdr:colOff>190500</xdr:colOff>
          <xdr:row>15</xdr:row>
          <xdr:rowOff>180975</xdr:rowOff>
        </xdr:to>
        <xdr:sp macro="" textlink="">
          <xdr:nvSpPr>
            <xdr:cNvPr id="45143" name="RBCheckBox" hidden="1">
              <a:extLst>
                <a:ext uri="{63B3BB69-23CF-44E3-9099-C40C66FF867C}">
                  <a14:compatExt spid="_x0000_s45143"/>
                </a:ext>
                <a:ext uri="{FF2B5EF4-FFF2-40B4-BE49-F238E27FC236}">
                  <a16:creationId xmlns:a16="http://schemas.microsoft.com/office/drawing/2014/main" id="{00000000-0008-0000-0600-000057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447675</xdr:colOff>
          <xdr:row>0</xdr:row>
          <xdr:rowOff>114300</xdr:rowOff>
        </xdr:from>
        <xdr:to>
          <xdr:col>10</xdr:col>
          <xdr:colOff>228600</xdr:colOff>
          <xdr:row>2</xdr:row>
          <xdr:rowOff>9525</xdr:rowOff>
        </xdr:to>
        <xdr:sp macro="" textlink="">
          <xdr:nvSpPr>
            <xdr:cNvPr id="45145" name="Reset_Planilha" hidden="1">
              <a:extLst>
                <a:ext uri="{63B3BB69-23CF-44E3-9099-C40C66FF867C}">
                  <a14:compatExt spid="_x0000_s45145"/>
                </a:ext>
                <a:ext uri="{FF2B5EF4-FFF2-40B4-BE49-F238E27FC236}">
                  <a16:creationId xmlns:a16="http://schemas.microsoft.com/office/drawing/2014/main" id="{00000000-0008-0000-0600-000059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7</xdr:col>
      <xdr:colOff>1203317</xdr:colOff>
      <xdr:row>69</xdr:row>
      <xdr:rowOff>171005</xdr:rowOff>
    </xdr:from>
    <xdr:to>
      <xdr:col>9</xdr:col>
      <xdr:colOff>15073</xdr:colOff>
      <xdr:row>72</xdr:row>
      <xdr:rowOff>159098</xdr:rowOff>
    </xdr:to>
    <xdr:cxnSp macro="">
      <xdr:nvCxnSpPr>
        <xdr:cNvPr id="7" name="Conector de seta reta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CxnSpPr/>
      </xdr:nvCxnSpPr>
      <xdr:spPr>
        <a:xfrm flipH="1" flipV="1">
          <a:off x="11461009" y="15965758"/>
          <a:ext cx="1669256" cy="616115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13</xdr:row>
          <xdr:rowOff>9525</xdr:rowOff>
        </xdr:from>
        <xdr:to>
          <xdr:col>4</xdr:col>
          <xdr:colOff>200025</xdr:colOff>
          <xdr:row>13</xdr:row>
          <xdr:rowOff>190500</xdr:rowOff>
        </xdr:to>
        <xdr:sp macro="" textlink="">
          <xdr:nvSpPr>
            <xdr:cNvPr id="45166" name="Checksuprimento" hidden="1">
              <a:extLst>
                <a:ext uri="{63B3BB69-23CF-44E3-9099-C40C66FF867C}">
                  <a14:compatExt spid="_x0000_s45166"/>
                </a:ext>
                <a:ext uri="{FF2B5EF4-FFF2-40B4-BE49-F238E27FC236}">
                  <a16:creationId xmlns:a16="http://schemas.microsoft.com/office/drawing/2014/main" id="{00000000-0008-0000-0600-00006E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12</xdr:row>
          <xdr:rowOff>19050</xdr:rowOff>
        </xdr:from>
        <xdr:to>
          <xdr:col>4</xdr:col>
          <xdr:colOff>209550</xdr:colOff>
          <xdr:row>13</xdr:row>
          <xdr:rowOff>0</xdr:rowOff>
        </xdr:to>
        <xdr:sp macro="" textlink="">
          <xdr:nvSpPr>
            <xdr:cNvPr id="45167" name="CheckAtualizacaosupriment" hidden="1">
              <a:extLst>
                <a:ext uri="{63B3BB69-23CF-44E3-9099-C40C66FF867C}">
                  <a14:compatExt spid="_x0000_s45167"/>
                </a:ext>
                <a:ext uri="{FF2B5EF4-FFF2-40B4-BE49-F238E27FC236}">
                  <a16:creationId xmlns:a16="http://schemas.microsoft.com/office/drawing/2014/main" id="{00000000-0008-0000-0600-00006F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16</xdr:row>
          <xdr:rowOff>28575</xdr:rowOff>
        </xdr:from>
        <xdr:to>
          <xdr:col>4</xdr:col>
          <xdr:colOff>190500</xdr:colOff>
          <xdr:row>16</xdr:row>
          <xdr:rowOff>180975</xdr:rowOff>
        </xdr:to>
        <xdr:sp macro="" textlink="">
          <xdr:nvSpPr>
            <xdr:cNvPr id="45169" name="CheckBoxEnergia" hidden="1">
              <a:extLst>
                <a:ext uri="{63B3BB69-23CF-44E3-9099-C40C66FF867C}">
                  <a14:compatExt spid="_x0000_s45169"/>
                </a:ext>
                <a:ext uri="{FF2B5EF4-FFF2-40B4-BE49-F238E27FC236}">
                  <a16:creationId xmlns:a16="http://schemas.microsoft.com/office/drawing/2014/main" id="{00000000-0008-0000-0600-000071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17</xdr:row>
          <xdr:rowOff>28575</xdr:rowOff>
        </xdr:from>
        <xdr:to>
          <xdr:col>4</xdr:col>
          <xdr:colOff>190500</xdr:colOff>
          <xdr:row>17</xdr:row>
          <xdr:rowOff>180975</xdr:rowOff>
        </xdr:to>
        <xdr:sp macro="" textlink="">
          <xdr:nvSpPr>
            <xdr:cNvPr id="45170" name="CheckBoxCVA" hidden="1">
              <a:extLst>
                <a:ext uri="{63B3BB69-23CF-44E3-9099-C40C66FF867C}">
                  <a14:compatExt spid="_x0000_s45170"/>
                </a:ext>
                <a:ext uri="{FF2B5EF4-FFF2-40B4-BE49-F238E27FC236}">
                  <a16:creationId xmlns:a16="http://schemas.microsoft.com/office/drawing/2014/main" id="{00000000-0008-0000-0600-000072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609600</xdr:colOff>
          <xdr:row>0</xdr:row>
          <xdr:rowOff>209550</xdr:rowOff>
        </xdr:from>
        <xdr:to>
          <xdr:col>6</xdr:col>
          <xdr:colOff>285750</xdr:colOff>
          <xdr:row>2</xdr:row>
          <xdr:rowOff>152400</xdr:rowOff>
        </xdr:to>
        <xdr:sp macro="" textlink="">
          <xdr:nvSpPr>
            <xdr:cNvPr id="70751" name="CommandButton1" hidden="1">
              <a:extLst>
                <a:ext uri="{63B3BB69-23CF-44E3-9099-C40C66FF867C}">
                  <a14:compatExt spid="_x0000_s70751"/>
                </a:ext>
                <a:ext uri="{FF2B5EF4-FFF2-40B4-BE49-F238E27FC236}">
                  <a16:creationId xmlns:a16="http://schemas.microsoft.com/office/drawing/2014/main" id="{00000000-0008-0000-0700-00005F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390525</xdr:colOff>
          <xdr:row>0</xdr:row>
          <xdr:rowOff>180975</xdr:rowOff>
        </xdr:from>
        <xdr:to>
          <xdr:col>9</xdr:col>
          <xdr:colOff>1619250</xdr:colOff>
          <xdr:row>2</xdr:row>
          <xdr:rowOff>57150</xdr:rowOff>
        </xdr:to>
        <xdr:sp macro="" textlink="">
          <xdr:nvSpPr>
            <xdr:cNvPr id="70752" name="AberturaButton" hidden="1">
              <a:extLst>
                <a:ext uri="{63B3BB69-23CF-44E3-9099-C40C66FF867C}">
                  <a14:compatExt spid="_x0000_s70752"/>
                </a:ext>
                <a:ext uri="{FF2B5EF4-FFF2-40B4-BE49-F238E27FC236}">
                  <a16:creationId xmlns:a16="http://schemas.microsoft.com/office/drawing/2014/main" id="{00000000-0008-0000-0700-000060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37686</xdr:colOff>
      <xdr:row>3</xdr:row>
      <xdr:rowOff>10353</xdr:rowOff>
    </xdr:from>
    <xdr:to>
      <xdr:col>8</xdr:col>
      <xdr:colOff>2033724</xdr:colOff>
      <xdr:row>22</xdr:row>
      <xdr:rowOff>10353</xdr:rowOff>
    </xdr:to>
    <xdr:graphicFrame macro="">
      <xdr:nvGraphicFramePr>
        <xdr:cNvPr id="2" name="GraphComposicao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1758203</xdr:colOff>
      <xdr:row>18</xdr:row>
      <xdr:rowOff>190220</xdr:rowOff>
    </xdr:from>
    <xdr:to>
      <xdr:col>16</xdr:col>
      <xdr:colOff>967628</xdr:colOff>
      <xdr:row>31</xdr:row>
      <xdr:rowOff>81242</xdr:rowOff>
    </xdr:to>
    <xdr:graphicFrame macro="">
      <xdr:nvGraphicFramePr>
        <xdr:cNvPr id="3" name="GraphReceitaDesagregada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939052</xdr:colOff>
      <xdr:row>2</xdr:row>
      <xdr:rowOff>50707</xdr:rowOff>
    </xdr:from>
    <xdr:to>
      <xdr:col>27</xdr:col>
      <xdr:colOff>814946</xdr:colOff>
      <xdr:row>16</xdr:row>
      <xdr:rowOff>126907</xdr:rowOff>
    </xdr:to>
    <xdr:graphicFrame macro="">
      <xdr:nvGraphicFramePr>
        <xdr:cNvPr id="9" name="GraphCompRec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697567</xdr:colOff>
      <xdr:row>3</xdr:row>
      <xdr:rowOff>152960</xdr:rowOff>
    </xdr:from>
    <xdr:to>
      <xdr:col>16</xdr:col>
      <xdr:colOff>172570</xdr:colOff>
      <xdr:row>16</xdr:row>
      <xdr:rowOff>43982</xdr:rowOff>
    </xdr:to>
    <xdr:graphicFrame macro="">
      <xdr:nvGraphicFramePr>
        <xdr:cNvPr id="8" name="GraphReceitaDesagregada22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248949</xdr:colOff>
      <xdr:row>24</xdr:row>
      <xdr:rowOff>0</xdr:rowOff>
    </xdr:from>
    <xdr:to>
      <xdr:col>31</xdr:col>
      <xdr:colOff>541321</xdr:colOff>
      <xdr:row>45</xdr:row>
      <xdr:rowOff>183624</xdr:rowOff>
    </xdr:to>
    <xdr:graphicFrame macro="">
      <xdr:nvGraphicFramePr>
        <xdr:cNvPr id="10" name="GraphB1nova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613351</xdr:colOff>
      <xdr:row>22</xdr:row>
      <xdr:rowOff>86591</xdr:rowOff>
    </xdr:from>
    <xdr:to>
      <xdr:col>9</xdr:col>
      <xdr:colOff>1075170</xdr:colOff>
      <xdr:row>45</xdr:row>
      <xdr:rowOff>184005</xdr:rowOff>
    </xdr:to>
    <xdr:graphicFrame macro="">
      <xdr:nvGraphicFramePr>
        <xdr:cNvPr id="11" name="GraphB1antigas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556346</xdr:colOff>
      <xdr:row>30</xdr:row>
      <xdr:rowOff>35717</xdr:rowOff>
    </xdr:from>
    <xdr:to>
      <xdr:col>11</xdr:col>
      <xdr:colOff>710069</xdr:colOff>
      <xdr:row>57</xdr:row>
      <xdr:rowOff>90450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ail.oak.aes.com/TEMP/Budget%20Task%20Force/cscv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lzserv\Planejamento%20Financeiro\A-Eletrobr&#225;s\Auxiliares\A-Banco%20de%20Dados\Banco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2\direg\P&#250;blico\Mercado\Mercado%20CEAM\Bolet2001\Bolet2001_B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2\direg\P&#250;blico\Mercado\Mercado%20CEAM\Bolet2001\Bolet2001_A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\IGPM_PREV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orativo\sgt\_emansi\El_Paso\Pro%20Forma%20Genco%20-%203rd%20draft_02101_def_sens3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orativo\sgt\Users\brunoalberto\Desktop\Reajustes\2016%20-%20Coelba\SPARTA%200.931%20COELBA%202015.xlsm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colabora/Aneel/ANEEL%20-%20Coordenadoria%20Revis&#227;o/Avalia&#231;&#227;o%20de%20Resultados/AVALIA&#199;&#195;O%20DE%20RESULTADOS%20-%20incorpora%20SPARTA%20An&#225;lise%20Parcela%20B%20-%20v2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PY\C\ipea\Pib\pibr96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Gest&#227;o%20da%20Informa&#231;&#227;o\Sistemas\SPARTA\Matrix\dev\modelo2021\SPARTAmatrixNC-SEM%20AJUSTE%20CVA.xlsm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orativo\sgt\Documents%20and%20Settings\mix6404\My%20Documents\Projetos\PPA%20com%20CPFL\20010822%20GEs%20Plant%20710%20MW%20new%20FX%20assumptions%20adjusted%20phasing%20v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aneelbr.sharepoint.com/Users/andrefeil/Downloads/PERSAS%20v.971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1\AFP\A-Eletrobr&#225;s\Auxiliares\A-Banco%20de%20Dados\Banco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Banco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marialuiza\Configura&#231;&#245;es%20locais\Temporary%20Internet%20Files\OLKA\ENERSUL_2_CICLO_DADOS_INICIAIS_An&#225;lis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 Page"/>
      <sheetName val="Input"/>
      <sheetName val="Curves"/>
      <sheetName val="GoSeven"/>
      <sheetName val="GoEight"/>
      <sheetName val="GrThree"/>
      <sheetName val="GrFour"/>
      <sheetName val="HOne"/>
      <sheetName val="HTwo"/>
      <sheetName val="JOne"/>
      <sheetName val="JTwo"/>
      <sheetName val="KOne"/>
      <sheetName val="MOne"/>
      <sheetName val="MTwo"/>
      <sheetName val="StartShut"/>
      <sheetName val="Calc"/>
      <sheetName val="Inc. HR"/>
      <sheetName val="cscve"/>
      <sheetName val="PPA Tariff"/>
      <sheetName val="DEC FEC 02 BD"/>
      <sheetName val="PLAN MANUT"/>
      <sheetName val="Reforma Secundária"/>
      <sheetName val="FLC.COMPL"/>
      <sheetName val="Lists"/>
      <sheetName val="Customer Lists"/>
      <sheetName val="CP"/>
      <sheetName val="DE PARA"/>
      <sheetName val="RT RI"/>
      <sheetName val="Compra - MWh"/>
      <sheetName val="Campiche"/>
      <sheetName val="USS99"/>
      <sheetName val="Subsistemas Andres"/>
      <sheetName val="Ref. Materiales"/>
      <sheetName val="Subsistemas DPP"/>
      <sheetName val="Причины"/>
      <sheetName val="Demanda nova ou edição"/>
      <sheetName val="CA por Gerência"/>
      <sheetName val="Categ Valor _ Classe de custo"/>
      <sheetName val="Critérios priorização"/>
      <sheetName val="Processo_Subprocesso"/>
      <sheetName val="Cidade-Regional"/>
      <sheetName val="Centro de Planejamento"/>
      <sheetName val="Sup_Ger"/>
      <sheetName val="Centro de custo"/>
      <sheetName val="Parâmetros"/>
      <sheetName val="Plan1"/>
      <sheetName val="ParâmetrosGerais"/>
      <sheetName val="Centro de Custos e Classes"/>
      <sheetName val="Datos"/>
      <sheetName val="Dashboard"/>
      <sheetName val="øYñf"/>
      <sheetName val=""/>
      <sheetName val="AUXILIAR"/>
      <sheetName val="São Paulo"/>
      <sheetName val="Mapping"/>
      <sheetName val="Title_Page"/>
      <sheetName val="Inc__HR"/>
      <sheetName val="Customer_Lists"/>
      <sheetName val="DEC_FEC_02_BD"/>
      <sheetName val="FLC_COMPL"/>
      <sheetName val="PPA_Tariff"/>
      <sheetName val="PLAN_MANUT"/>
      <sheetName val="Reforma_Secundária"/>
      <sheetName val="DE_PARA"/>
      <sheetName val="Subsistemas_Andres"/>
      <sheetName val="Ref__Materiales"/>
      <sheetName val="Subsistemas_DPP"/>
      <sheetName val="RT_RI"/>
      <sheetName val="Compra_-_MWh"/>
      <sheetName val="99 cons YTD"/>
      <sheetName val="Returns USD"/>
      <sheetName val="AUT. TRSFT"/>
      <sheetName val="Tax"/>
      <sheetName val="Debt"/>
      <sheetName val="Articles"/>
      <sheetName val="LUP"/>
      <sheetName val="P&amp;L"/>
      <sheetName val="RP-101.2.1."/>
      <sheetName val="OBRA VIAL S2"/>
      <sheetName val="CCMM Enap"/>
      <sheetName val="Inicio Análisis Cuentas"/>
      <sheetName val="General Data"/>
      <sheetName val="AMORT 2010"/>
      <sheetName val="Deducc"/>
      <sheetName val="Gtovta"/>
      <sheetName val="RLI (AII-1)"/>
      <sheetName val=" AnexoOpDiv99"/>
      <sheetName val="Repeticiones"/>
      <sheetName val="AII-0 "/>
      <sheetName val="Condicable"/>
      <sheetName val="A"/>
      <sheetName val="Gen-2"/>
      <sheetName val="Index (2)"/>
      <sheetName val="IC_A"/>
      <sheetName val="ANEXOS"/>
      <sheetName val="ANEXO 1847"/>
      <sheetName val="aju10"/>
      <sheetName val="res10"/>
      <sheetName val="ANEXO 14"/>
      <sheetName val="Report 1"/>
      <sheetName val="LID-AR"/>
      <sheetName val="MES"/>
      <sheetName val="Title_Page1"/>
      <sheetName val="Inc__HR1"/>
      <sheetName val="DEC_FEC_02_BD1"/>
      <sheetName val="FLC_COMPL1"/>
      <sheetName val="PPA_Tariff1"/>
      <sheetName val="PLAN_MANUT1"/>
      <sheetName val="Reforma_Secundária1"/>
      <sheetName val="Customer_Lists1"/>
      <sheetName val="DE_PARA1"/>
      <sheetName val="Subsistemas_Andres1"/>
      <sheetName val="Ref__Materiales1"/>
      <sheetName val="Subsistemas_DPP1"/>
      <sheetName val="RT_RI1"/>
      <sheetName val="Compra_-_MWh1"/>
      <sheetName val="99_cons_YTD"/>
      <sheetName val="Returns_USD"/>
      <sheetName val="AUT__TRSFT"/>
      <sheetName val="BS_US"/>
      <sheetName val="IS_US"/>
      <sheetName val="CF_US"/>
      <sheetName val="BS"/>
      <sheetName val="IS"/>
      <sheetName val="CF"/>
      <sheetName val="Equity"/>
      <sheetName val="Fixed_Assets"/>
      <sheetName val="ELETROPAULO capacidade nova"/>
      <sheetName val="Classes_Custos"/>
      <sheetName val="Neutralidade"/>
      <sheetName val="vinc"/>
      <sheetName val="CA e atividade"/>
      <sheetName val="Demanda_nova_ou_edição"/>
      <sheetName val="CA_por_Gerência"/>
      <sheetName val="Categ_Valor___Classe_de_custo"/>
      <sheetName val="Critérios_priorização"/>
      <sheetName val="Centro_de_Planejamento"/>
      <sheetName val="Centro_de_custo"/>
      <sheetName val="Centro_de_Custos_e_Classes"/>
      <sheetName val="São_Paulo"/>
      <sheetName val="Title_Page2"/>
      <sheetName val="Inc__HR2"/>
      <sheetName val="PPA_Tariff2"/>
      <sheetName val="DEC_FEC_02_BD2"/>
      <sheetName val="PLAN_MANUT2"/>
      <sheetName val="Reforma_Secundária2"/>
      <sheetName val="DE_PARA2"/>
      <sheetName val="FLC_COMPL2"/>
      <sheetName val="Customer_Lists2"/>
      <sheetName val="RT_RI2"/>
      <sheetName val="Compra_-_MWh2"/>
      <sheetName val="Subsistemas_Andres2"/>
      <sheetName val="Ref__Materiales2"/>
      <sheetName val="Subsistemas_DPP2"/>
      <sheetName val="99_cons_YTD1"/>
      <sheetName val="Returns_USD1"/>
      <sheetName val="AUT__TRSFT1"/>
      <sheetName val="RP-101_2_1_"/>
      <sheetName val="OBRA_VIAL_S2"/>
      <sheetName val="CCMM_Enap"/>
      <sheetName val="Inicio_Análisis_Cuentas"/>
      <sheetName val="General_Data"/>
      <sheetName val="AMORT_2010"/>
      <sheetName val="RLI_(AII-1)"/>
      <sheetName val="_AnexoOpDiv99"/>
      <sheetName val="AII-0_"/>
      <sheetName val="Index_(2)"/>
      <sheetName val="ANEXO_1847"/>
      <sheetName val="ANEXO_14"/>
      <sheetName val="Report_1"/>
      <sheetName val="ELETROPAULO_capacidade_nova"/>
      <sheetName val="CVA_Projetada12meses"/>
      <sheetName val="2006-08"/>
      <sheetName val="2006-12"/>
      <sheetName val="2006-07"/>
      <sheetName val="2006-11"/>
      <sheetName val="2006-10"/>
      <sheetName val="2006-09"/>
      <sheetName val="#REF"/>
      <sheetName val="dez99_dez01"/>
      <sheetName val="Dados de Entrada - Planejamento"/>
      <sheetName val="ENERINC"/>
      <sheetName val="0 &lt; VCM &lt; 1.350"/>
      <sheetName val="IREM"/>
      <sheetName val="RESUMO"/>
      <sheetName val="BancoSegment"/>
      <sheetName val="Critérios"/>
      <sheetName val="TermoPE"/>
      <sheetName val="FEV99"/>
      <sheetName val=" PIB Brasil ( R$ de 1996 )"/>
      <sheetName val="Mercado"/>
      <sheetName val="2000"/>
      <sheetName val="Form09"/>
      <sheetName val="Dados mensais"/>
      <sheetName val="DRA"/>
      <sheetName val="DRP"/>
      <sheetName val="1996"/>
      <sheetName val="INDIECO1"/>
      <sheetName val="Matriz de covariância"/>
      <sheetName val="tar. media"/>
      <sheetName val="Spot"/>
      <sheetName val="Taxes"/>
      <sheetName val="_Pasta1"/>
      <sheetName val="Compra de Energia"/>
      <sheetName val="PAGAMENTO"/>
      <sheetName val="FLASH REN"/>
      <sheetName val="Lookups"/>
      <sheetName val="Parque Gerador"/>
      <sheetName val="2007-04"/>
      <sheetName val="2007-08"/>
      <sheetName val="2007-12"/>
      <sheetName val="2007-02"/>
      <sheetName val="2007-01"/>
      <sheetName val="2007-07"/>
      <sheetName val="2007-06"/>
      <sheetName val="2007-05"/>
      <sheetName val="2007-03"/>
      <sheetName val="2007-11"/>
      <sheetName val="2007-10"/>
      <sheetName val="2007-09"/>
      <sheetName val="Resumo detalhado"/>
      <sheetName val="Title_Page3"/>
      <sheetName val="Inc__HR3"/>
      <sheetName val="PPA_Tariff3"/>
      <sheetName val="DEC_FEC_02_BD3"/>
      <sheetName val="PLAN_MANUT3"/>
      <sheetName val="Reforma_Secundária3"/>
      <sheetName val="FLC_COMPL3"/>
      <sheetName val="Customer_Lists3"/>
      <sheetName val="DE_PARA3"/>
      <sheetName val="Compra_-_MWh3"/>
      <sheetName val="RT_RI3"/>
      <sheetName val="Subsistemas_Andres3"/>
      <sheetName val="Ref__Materiales3"/>
      <sheetName val="Subsistemas_DPP3"/>
      <sheetName val="Demanda_nova_ou_edição1"/>
      <sheetName val="CA_por_Gerência1"/>
      <sheetName val="Categ_Valor___Classe_de_custo1"/>
      <sheetName val="Critérios_priorização1"/>
      <sheetName val="Centro_de_Planejamento1"/>
      <sheetName val="Centro_de_custo1"/>
      <sheetName val="Centro_de_Custos_e_Classes1"/>
      <sheetName val="São_Paulo1"/>
      <sheetName val="99_cons_YTD2"/>
      <sheetName val="Returns_USD2"/>
      <sheetName val="AUT__TRSFT2"/>
      <sheetName val="RP-101_2_1_1"/>
      <sheetName val="OBRA_VIAL_S21"/>
      <sheetName val="CCMM_Enap1"/>
      <sheetName val="Inicio_Análisis_Cuentas1"/>
      <sheetName val="General_Data1"/>
      <sheetName val="AMORT_20101"/>
      <sheetName val="RLI_(AII-1)1"/>
      <sheetName val="_AnexoOpDiv991"/>
      <sheetName val="AII-0_1"/>
      <sheetName val="Index_(2)1"/>
      <sheetName val="ANEXO_18471"/>
      <sheetName val="ANEXO_141"/>
      <sheetName val="Report_11"/>
      <sheetName val="ELETROPAULO_capacidade_nova1"/>
      <sheetName val="CA_e_atividade"/>
      <sheetName val="Dados_de_Entrada_-_Planejamento"/>
      <sheetName val="0_&lt;_VCM_&lt;_1_350"/>
      <sheetName val="_PIB_Brasil_(_R$_de_1996_)"/>
      <sheetName val="Dados_mensais"/>
      <sheetName val="Matriz_de_covariância"/>
      <sheetName val="tar__media"/>
      <sheetName val="Compra_de_Energia"/>
      <sheetName val="FLASH_REN"/>
      <sheetName val="DADOS"/>
      <sheetName val="BADNETMini"/>
      <sheetName val="AGENCIA DE COBRANÇA"/>
      <sheetName val="TOTCO"/>
      <sheetName val="n"/>
      <sheetName val="Patrimonio 30.09.04"/>
      <sheetName val="ANEXO 1847 (2)"/>
      <sheetName val="1846 (ANEXOS)"/>
      <sheetName val="Sheet1"/>
      <sheetName val="OR AT2018"/>
      <sheetName val="Dados de relacionamento"/>
      <sheetName val="Formule"/>
      <sheetName val="Title_Page4"/>
      <sheetName val="Inc__HR4"/>
      <sheetName val="PPA_Tariff4"/>
      <sheetName val="DEC_FEC_02_BD4"/>
      <sheetName val="PLAN_MANUT4"/>
      <sheetName val="Reforma_Secundária4"/>
      <sheetName val="FLC_COMPL4"/>
      <sheetName val="Customer_Lists4"/>
      <sheetName val="DE_PARA4"/>
      <sheetName val="Compra_-_MWh4"/>
      <sheetName val="RT_RI4"/>
      <sheetName val="Subsistemas_Andres4"/>
      <sheetName val="Ref__Materiales4"/>
      <sheetName val="Subsistemas_DPP4"/>
      <sheetName val="Demanda_nova_ou_edição2"/>
      <sheetName val="CA_por_Gerência2"/>
      <sheetName val="Categ_Valor___Classe_de_custo2"/>
      <sheetName val="Critérios_priorização2"/>
      <sheetName val="Centro_de_Planejamento2"/>
      <sheetName val="Centro_de_custo2"/>
      <sheetName val="Centro_de_Custos_e_Classes2"/>
      <sheetName val="São_Paulo2"/>
      <sheetName val="99_cons_YTD3"/>
      <sheetName val="Returns_USD3"/>
      <sheetName val="AUT__TRSFT3"/>
      <sheetName val="RP-101_2_1_2"/>
      <sheetName val="OBRA_VIAL_S22"/>
      <sheetName val="CCMM_Enap2"/>
      <sheetName val="Inicio_Análisis_Cuentas2"/>
      <sheetName val="General_Data2"/>
      <sheetName val="AMORT_20102"/>
      <sheetName val="RLI_(AII-1)2"/>
      <sheetName val="_AnexoOpDiv992"/>
      <sheetName val="AII-0_2"/>
      <sheetName val="Index_(2)2"/>
      <sheetName val="ANEXO_18472"/>
      <sheetName val="ANEXO_142"/>
      <sheetName val="Report_12"/>
      <sheetName val="ELETROPAULO_capacidade_nova2"/>
      <sheetName val="CA_e_atividade1"/>
      <sheetName val="Dados_de_Entrada_-_Planejament1"/>
      <sheetName val="0_&lt;_VCM_&lt;_1_3501"/>
      <sheetName val="_PIB_Brasil_(_R$_de_1996_)1"/>
      <sheetName val="Dados_mensais1"/>
      <sheetName val="Matriz_de_covariância1"/>
      <sheetName val="tar__media1"/>
      <sheetName val="Compra_de_Energia1"/>
      <sheetName val="FLASH_REN1"/>
      <sheetName val="Parque_Gerador"/>
      <sheetName val="Resumo_detalhado"/>
      <sheetName val="Sheet2"/>
      <sheetName val="Service Offerings to Top-20"/>
      <sheetName val="Logistics Out. by Region"/>
      <sheetName val="Revenue by Segment"/>
      <sheetName val="Facilities Overview"/>
      <sheetName val="Control"/>
      <sheetName val=" "/>
    </sheetNames>
    <sheetDataSet>
      <sheetData sheetId="0" refreshError="1"/>
      <sheetData sheetId="1" refreshError="1"/>
      <sheetData sheetId="2" refreshError="1"/>
      <sheetData sheetId="3" refreshError="1">
        <row r="86">
          <cell r="B86">
            <v>14.2936554173952</v>
          </cell>
        </row>
        <row r="90">
          <cell r="D90">
            <v>13.297261859999997</v>
          </cell>
          <cell r="E90">
            <v>19.379258234999998</v>
          </cell>
        </row>
        <row r="91">
          <cell r="D91">
            <v>13.709517884999995</v>
          </cell>
          <cell r="E91">
            <v>18.845088383863636</v>
          </cell>
        </row>
        <row r="92">
          <cell r="D92">
            <v>14.121773909999996</v>
          </cell>
          <cell r="E92">
            <v>18.434301509999997</v>
          </cell>
        </row>
        <row r="93">
          <cell r="D93">
            <v>14.534029934999998</v>
          </cell>
          <cell r="E93">
            <v>18.118424618653844</v>
          </cell>
        </row>
        <row r="94">
          <cell r="D94">
            <v>14.946285959999994</v>
          </cell>
          <cell r="E94">
            <v>17.877119856428571</v>
          </cell>
        </row>
        <row r="95">
          <cell r="D95">
            <v>15.358541984999997</v>
          </cell>
          <cell r="E95">
            <v>17.695472797499995</v>
          </cell>
        </row>
        <row r="96">
          <cell r="D96">
            <v>15.770798009999998</v>
          </cell>
          <cell r="E96">
            <v>17.562297622499997</v>
          </cell>
        </row>
        <row r="97">
          <cell r="D97">
            <v>16.183054034999998</v>
          </cell>
          <cell r="E97">
            <v>17.469040469558824</v>
          </cell>
        </row>
        <row r="98">
          <cell r="D98">
            <v>16.595310059999996</v>
          </cell>
          <cell r="E98">
            <v>17.409048334999998</v>
          </cell>
        </row>
        <row r="99">
          <cell r="D99">
            <v>17.007566085000001</v>
          </cell>
          <cell r="E99">
            <v>17.377068847499999</v>
          </cell>
        </row>
        <row r="100">
          <cell r="B100">
            <v>14.917384895999996</v>
          </cell>
          <cell r="C100">
            <v>17.567727888</v>
          </cell>
          <cell r="D100">
            <v>17.419822109999998</v>
          </cell>
          <cell r="E100">
            <v>17.368900109999998</v>
          </cell>
        </row>
        <row r="101">
          <cell r="B101">
            <v>15.081375519299998</v>
          </cell>
          <cell r="C101">
            <v>17.445425617507141</v>
          </cell>
          <cell r="D101">
            <v>17.832078134999996</v>
          </cell>
          <cell r="E101">
            <v>17.381140586785712</v>
          </cell>
        </row>
        <row r="102">
          <cell r="B102">
            <v>15.245366142599998</v>
          </cell>
          <cell r="C102">
            <v>17.341695854481816</v>
          </cell>
          <cell r="D102">
            <v>18.244334159999998</v>
          </cell>
          <cell r="E102">
            <v>17.411007203181818</v>
          </cell>
        </row>
        <row r="103">
          <cell r="B103">
            <v>15.409356765899998</v>
          </cell>
          <cell r="C103">
            <v>17.254116097949996</v>
          </cell>
          <cell r="D103">
            <v>18.656590184999999</v>
          </cell>
          <cell r="E103">
            <v>17.456200897499997</v>
          </cell>
        </row>
        <row r="104">
          <cell r="B104">
            <v>15.573347389199997</v>
          </cell>
          <cell r="C104">
            <v>17.180667597099998</v>
          </cell>
          <cell r="D104">
            <v>19.068846209999997</v>
          </cell>
          <cell r="E104">
            <v>17.514805785</v>
          </cell>
        </row>
        <row r="105">
          <cell r="B105">
            <v>15.737338012499995</v>
          </cell>
          <cell r="C105">
            <v>17.119654601249998</v>
          </cell>
          <cell r="D105">
            <v>19.481102234999998</v>
          </cell>
          <cell r="E105">
            <v>17.585212522500001</v>
          </cell>
        </row>
        <row r="106">
          <cell r="B106">
            <v>15.901328635799997</v>
          </cell>
          <cell r="C106">
            <v>17.069642244438459</v>
          </cell>
        </row>
        <row r="107">
          <cell r="B107">
            <v>16.065319259099997</v>
          </cell>
          <cell r="C107">
            <v>17.02940823343889</v>
          </cell>
        </row>
        <row r="108">
          <cell r="B108">
            <v>16.229309882399999</v>
          </cell>
          <cell r="C108">
            <v>16.997904888342855</v>
          </cell>
        </row>
        <row r="109">
          <cell r="B109">
            <v>16.393300505699997</v>
          </cell>
          <cell r="C109">
            <v>16.974229036815515</v>
          </cell>
        </row>
        <row r="110">
          <cell r="B110">
            <v>16.557291128999996</v>
          </cell>
          <cell r="C110">
            <v>16.9575979295</v>
          </cell>
        </row>
        <row r="111">
          <cell r="B111">
            <v>16.721281752299998</v>
          </cell>
          <cell r="C111">
            <v>16.947329816956451</v>
          </cell>
        </row>
        <row r="112">
          <cell r="B112">
            <v>16.885272375599996</v>
          </cell>
          <cell r="C112">
            <v>16.942828168424999</v>
          </cell>
        </row>
        <row r="113">
          <cell r="B113">
            <v>17.049262998899998</v>
          </cell>
          <cell r="C113">
            <v>16.943568759904544</v>
          </cell>
        </row>
        <row r="114">
          <cell r="B114">
            <v>17.213253622199996</v>
          </cell>
          <cell r="C114">
            <v>16.949089040805884</v>
          </cell>
        </row>
        <row r="115">
          <cell r="B115">
            <v>17.377244245499998</v>
          </cell>
          <cell r="C115">
            <v>16.958979323464284</v>
          </cell>
        </row>
        <row r="116">
          <cell r="B116">
            <v>17.541234868799997</v>
          </cell>
          <cell r="C116">
            <v>16.972875441066666</v>
          </cell>
        </row>
        <row r="117">
          <cell r="B117">
            <v>17.705225492099999</v>
          </cell>
          <cell r="C117">
            <v>16.990452596185136</v>
          </cell>
        </row>
        <row r="118">
          <cell r="B118">
            <v>17.869216115399997</v>
          </cell>
          <cell r="C118">
            <v>17.011420180594737</v>
          </cell>
        </row>
        <row r="119">
          <cell r="B119">
            <v>18.033206738699992</v>
          </cell>
          <cell r="C119">
            <v>17.035517392042305</v>
          </cell>
        </row>
        <row r="120">
          <cell r="B120">
            <v>18.197197361999997</v>
          </cell>
          <cell r="C120">
            <v>17.062509508499996</v>
          </cell>
        </row>
        <row r="121">
          <cell r="B121">
            <v>18.361187985299996</v>
          </cell>
          <cell r="C121">
            <v>17.092184707649999</v>
          </cell>
        </row>
        <row r="122">
          <cell r="B122">
            <v>18.525178608599997</v>
          </cell>
          <cell r="C122">
            <v>17.12435134072857</v>
          </cell>
        </row>
        <row r="123">
          <cell r="B123">
            <v>18.689169231899996</v>
          </cell>
          <cell r="C123">
            <v>17.158835586763953</v>
          </cell>
        </row>
        <row r="124">
          <cell r="B124">
            <v>18.853159855199998</v>
          </cell>
          <cell r="C124">
            <v>17.195479426690909</v>
          </cell>
        </row>
        <row r="125">
          <cell r="B125">
            <v>19.017150478499996</v>
          </cell>
          <cell r="C125">
            <v>17.234138887583335</v>
          </cell>
        </row>
      </sheetData>
      <sheetData sheetId="4" refreshError="1">
        <row r="86">
          <cell r="B86">
            <v>12.852652706944001</v>
          </cell>
        </row>
        <row r="115">
          <cell r="B115">
            <v>12.15130352994</v>
          </cell>
          <cell r="C115">
            <v>14.854220254684288</v>
          </cell>
        </row>
        <row r="116">
          <cell r="B116">
            <v>12.219952805423997</v>
          </cell>
          <cell r="C116">
            <v>14.780092696711998</v>
          </cell>
        </row>
        <row r="117">
          <cell r="B117">
            <v>12.288602080907999</v>
          </cell>
          <cell r="C117">
            <v>14.711827419589133</v>
          </cell>
        </row>
        <row r="118">
          <cell r="B118">
            <v>12.357251356392</v>
          </cell>
          <cell r="C118">
            <v>14.648961611669682</v>
          </cell>
        </row>
        <row r="119">
          <cell r="B119">
            <v>12.425900631875999</v>
          </cell>
          <cell r="C119">
            <v>14.591079929168767</v>
          </cell>
        </row>
        <row r="120">
          <cell r="B120">
            <v>12.49454990736</v>
          </cell>
          <cell r="C120">
            <v>14.537808562679999</v>
          </cell>
        </row>
        <row r="121">
          <cell r="B121">
            <v>12.563199182843999</v>
          </cell>
          <cell r="C121">
            <v>14.488810172007364</v>
          </cell>
        </row>
        <row r="122">
          <cell r="B122">
            <v>12.631848458327999</v>
          </cell>
          <cell r="C122">
            <v>14.443779544592571</v>
          </cell>
        </row>
        <row r="123">
          <cell r="B123">
            <v>12.700497733811998</v>
          </cell>
          <cell r="C123">
            <v>14.402439859743209</v>
          </cell>
        </row>
        <row r="124">
          <cell r="B124">
            <v>12.769147009295999</v>
          </cell>
          <cell r="C124">
            <v>14.364539462284364</v>
          </cell>
        </row>
        <row r="125">
          <cell r="B125">
            <v>12.837796284779998</v>
          </cell>
          <cell r="C125">
            <v>14.329849066389999</v>
          </cell>
        </row>
        <row r="126">
          <cell r="B126">
            <v>12.906445560263998</v>
          </cell>
          <cell r="C126">
            <v>14.298159324132</v>
          </cell>
        </row>
        <row r="127">
          <cell r="B127">
            <v>12.975094835747999</v>
          </cell>
          <cell r="C127">
            <v>14.26927870442719</v>
          </cell>
        </row>
        <row r="128">
          <cell r="B128">
            <v>13.043744111232</v>
          </cell>
          <cell r="C128">
            <v>14.243031637115998</v>
          </cell>
        </row>
        <row r="129">
          <cell r="B129">
            <v>13.112393386715999</v>
          </cell>
          <cell r="C129">
            <v>14.219256884296774</v>
          </cell>
        </row>
        <row r="130">
          <cell r="B130">
            <v>13.181042662199999</v>
          </cell>
          <cell r="C130">
            <v>14.197806107099998</v>
          </cell>
        </row>
        <row r="131">
          <cell r="B131">
            <v>13.249691937683998</v>
          </cell>
          <cell r="C131">
            <v>14.178542601077293</v>
          </cell>
        </row>
        <row r="132">
          <cell r="B132">
            <v>13.318341213167999</v>
          </cell>
          <cell r="C132">
            <v>14.161340177507075</v>
          </cell>
        </row>
        <row r="133">
          <cell r="B133">
            <v>13.386990488652</v>
          </cell>
          <cell r="C133">
            <v>14.146082171344865</v>
          </cell>
        </row>
        <row r="134">
          <cell r="B134">
            <v>13.455639764136</v>
          </cell>
          <cell r="C134">
            <v>14.132660559401332</v>
          </cell>
        </row>
        <row r="135">
          <cell r="B135">
            <v>13.524289039619998</v>
          </cell>
          <cell r="C135">
            <v>14.120975174719089</v>
          </cell>
        </row>
        <row r="136">
          <cell r="B136">
            <v>13.592938315104</v>
          </cell>
          <cell r="C136">
            <v>14.110933005123426</v>
          </cell>
        </row>
        <row r="137">
          <cell r="B137">
            <v>13.661587590587999</v>
          </cell>
          <cell r="C137">
            <v>14.102447565609786</v>
          </cell>
        </row>
        <row r="138">
          <cell r="B138">
            <v>13.730236866072</v>
          </cell>
          <cell r="C138">
            <v>14.095438335656688</v>
          </cell>
        </row>
        <row r="139">
          <cell r="B139">
            <v>13.798886141555997</v>
          </cell>
          <cell r="C139">
            <v>14.089830253761049</v>
          </cell>
        </row>
        <row r="140">
          <cell r="B140">
            <v>13.867535417039999</v>
          </cell>
          <cell r="C140">
            <v>14.08555326252</v>
          </cell>
        </row>
        <row r="141">
          <cell r="B141">
            <v>13.936184692524</v>
          </cell>
          <cell r="C141">
            <v>14.08254189845872</v>
          </cell>
        </row>
        <row r="142">
          <cell r="B142">
            <v>14.004833968007999</v>
          </cell>
          <cell r="C142">
            <v>14.080734921552386</v>
          </cell>
        </row>
        <row r="143">
          <cell r="B143">
            <v>14.073483243491999</v>
          </cell>
          <cell r="C143">
            <v>14.080074980031711</v>
          </cell>
        </row>
        <row r="144">
          <cell r="B144">
            <v>14.142132518975998</v>
          </cell>
          <cell r="C144">
            <v>14.080508306612996</v>
          </cell>
        </row>
        <row r="145">
          <cell r="B145">
            <v>14.210781794460001</v>
          </cell>
          <cell r="C145">
            <v>14.081984442768459</v>
          </cell>
        </row>
        <row r="146">
          <cell r="B146">
            <v>14.279431069943998</v>
          </cell>
          <cell r="C146">
            <v>14.084455988062906</v>
          </cell>
        </row>
        <row r="147">
          <cell r="B147">
            <v>14.348080345428</v>
          </cell>
          <cell r="C147">
            <v>14.087878371937878</v>
          </cell>
        </row>
        <row r="148">
          <cell r="B148">
            <v>14.416729620911998</v>
          </cell>
          <cell r="C148">
            <v>14.092209645632469</v>
          </cell>
        </row>
        <row r="149">
          <cell r="B149">
            <v>14.485378896396</v>
          </cell>
          <cell r="C149">
            <v>14.097410292197997</v>
          </cell>
        </row>
        <row r="150">
          <cell r="B150">
            <v>14.554028171879997</v>
          </cell>
          <cell r="C150">
            <v>14.10344305279714</v>
          </cell>
        </row>
        <row r="151">
          <cell r="B151">
            <v>14.622677447364</v>
          </cell>
          <cell r="C151">
            <v>14.110272767682</v>
          </cell>
        </row>
        <row r="152">
          <cell r="B152">
            <v>14.691326722848</v>
          </cell>
          <cell r="C152">
            <v>14.117866230423996</v>
          </cell>
        </row>
        <row r="153">
          <cell r="B153">
            <v>14.759975998331999</v>
          </cell>
          <cell r="C153">
            <v>14.126192054124902</v>
          </cell>
        </row>
        <row r="154">
          <cell r="B154">
            <v>14.828625273815996</v>
          </cell>
          <cell r="C154">
            <v>14.135220548475564</v>
          </cell>
        </row>
        <row r="155">
          <cell r="B155">
            <v>14.897274549299999</v>
          </cell>
          <cell r="C155">
            <v>14.144923606649996</v>
          </cell>
        </row>
        <row r="156">
          <cell r="B156">
            <v>14.965923824783999</v>
          </cell>
          <cell r="C156">
            <v>14.155274601128838</v>
          </cell>
        </row>
        <row r="157">
          <cell r="B157">
            <v>15.034573100267998</v>
          </cell>
          <cell r="C157">
            <v>14.16624828764049</v>
          </cell>
        </row>
        <row r="158">
          <cell r="B158">
            <v>15.103222375751999</v>
          </cell>
          <cell r="C158">
            <v>14.177820716491382</v>
          </cell>
        </row>
        <row r="159">
          <cell r="B159">
            <v>15.171871651235998</v>
          </cell>
          <cell r="C159">
            <v>14.189969150630656</v>
          </cell>
        </row>
        <row r="160">
          <cell r="B160">
            <v>15.240520926719999</v>
          </cell>
          <cell r="C160">
            <v>14.202671989859997</v>
          </cell>
        </row>
      </sheetData>
      <sheetData sheetId="5" refreshError="1">
        <row r="8">
          <cell r="A8">
            <v>5</v>
          </cell>
        </row>
        <row r="90">
          <cell r="B90">
            <v>11.682603967871998</v>
          </cell>
          <cell r="C90">
            <v>25.950679633535998</v>
          </cell>
          <cell r="D90">
            <v>13.238451600000001</v>
          </cell>
          <cell r="E90">
            <v>18.599631599999999</v>
          </cell>
        </row>
        <row r="91">
          <cell r="B91">
            <v>11.7660115675392</v>
          </cell>
          <cell r="C91">
            <v>24.657373100278686</v>
          </cell>
          <cell r="D91">
            <v>13.305718800000001</v>
          </cell>
          <cell r="E91">
            <v>18.115309199999999</v>
          </cell>
        </row>
        <row r="92">
          <cell r="B92">
            <v>11.849419167206399</v>
          </cell>
          <cell r="C92">
            <v>23.586568289203196</v>
          </cell>
          <cell r="D92">
            <v>13.372986000000001</v>
          </cell>
          <cell r="E92">
            <v>17.717312800000002</v>
          </cell>
        </row>
        <row r="93">
          <cell r="B93">
            <v>11.932826766873598</v>
          </cell>
          <cell r="C93">
            <v>22.686918649036798</v>
          </cell>
          <cell r="D93">
            <v>13.440253200000001</v>
          </cell>
          <cell r="E93">
            <v>17.385721015384615</v>
          </cell>
        </row>
        <row r="94">
          <cell r="B94">
            <v>12.016234366540798</v>
          </cell>
          <cell r="C94">
            <v>21.921748071727542</v>
          </cell>
          <cell r="D94">
            <v>13.507520400000001</v>
          </cell>
          <cell r="E94">
            <v>17.106304285714284</v>
          </cell>
        </row>
        <row r="95">
          <cell r="B95">
            <v>12.099641966208001</v>
          </cell>
          <cell r="C95">
            <v>21.264160744703997</v>
          </cell>
          <cell r="D95">
            <v>13.574787600000001</v>
          </cell>
          <cell r="E95">
            <v>16.8686276</v>
          </cell>
        </row>
        <row r="96">
          <cell r="B96">
            <v>12.183049565875198</v>
          </cell>
          <cell r="C96">
            <v>20.693984808537596</v>
          </cell>
          <cell r="D96">
            <v>13.6420548</v>
          </cell>
          <cell r="E96">
            <v>16.664864699999999</v>
          </cell>
        </row>
        <row r="97">
          <cell r="B97">
            <v>12.266457165542398</v>
          </cell>
          <cell r="C97">
            <v>20.195794723665319</v>
          </cell>
          <cell r="D97">
            <v>13.709322</v>
          </cell>
          <cell r="E97">
            <v>16.489030799999998</v>
          </cell>
        </row>
        <row r="98">
          <cell r="B98">
            <v>12.349864765209599</v>
          </cell>
          <cell r="C98">
            <v>19.757592848204794</v>
          </cell>
          <cell r="D98">
            <v>13.7765892</v>
          </cell>
          <cell r="E98">
            <v>16.336471066666668</v>
          </cell>
        </row>
        <row r="99">
          <cell r="B99">
            <v>12.433272364876798</v>
          </cell>
          <cell r="C99">
            <v>19.369907359617343</v>
          </cell>
          <cell r="D99">
            <v>13.8438564</v>
          </cell>
          <cell r="E99">
            <v>16.203510631578951</v>
          </cell>
        </row>
        <row r="100">
          <cell r="B100">
            <v>14.355798864</v>
          </cell>
          <cell r="C100">
            <v>16.789061388</v>
          </cell>
          <cell r="D100">
            <v>13.9111236</v>
          </cell>
          <cell r="E100">
            <v>16.087209600000001</v>
          </cell>
        </row>
        <row r="101">
          <cell r="B101">
            <v>14.4086274816</v>
          </cell>
          <cell r="C101">
            <v>16.674449568228571</v>
          </cell>
          <cell r="D101">
            <v>13.9783908</v>
          </cell>
          <cell r="E101">
            <v>15.985188057142855</v>
          </cell>
        </row>
        <row r="102">
          <cell r="B102">
            <v>14.461456099200001</v>
          </cell>
          <cell r="C102">
            <v>16.572658305600001</v>
          </cell>
          <cell r="D102">
            <v>14.045658</v>
          </cell>
          <cell r="E102">
            <v>15.8954988</v>
          </cell>
        </row>
        <row r="103">
          <cell r="B103">
            <v>14.514284716800002</v>
          </cell>
          <cell r="C103">
            <v>16.482015353530436</v>
          </cell>
          <cell r="D103">
            <v>14.112925199999999</v>
          </cell>
          <cell r="E103">
            <v>15.816533269565216</v>
          </cell>
        </row>
        <row r="104">
          <cell r="B104">
            <v>14.5671133344</v>
          </cell>
          <cell r="C104">
            <v>16.401127173199999</v>
          </cell>
          <cell r="D104">
            <v>14.180192399999999</v>
          </cell>
          <cell r="E104">
            <v>15.746951000000001</v>
          </cell>
        </row>
        <row r="105">
          <cell r="B105">
            <v>14.619941952</v>
          </cell>
          <cell r="C105">
            <v>16.328823192000002</v>
          </cell>
          <cell r="D105">
            <v>14.247459600000001</v>
          </cell>
          <cell r="E105">
            <v>15.685626000000003</v>
          </cell>
        </row>
        <row r="106">
          <cell r="B106">
            <v>14.672770569600001</v>
          </cell>
          <cell r="C106">
            <v>16.264112925415386</v>
          </cell>
          <cell r="D106">
            <v>14.314726800000001</v>
          </cell>
          <cell r="E106">
            <v>15.63160550769231</v>
          </cell>
        </row>
        <row r="107">
          <cell r="B107">
            <v>14.725599187200002</v>
          </cell>
          <cell r="C107">
            <v>16.206152627377779</v>
          </cell>
          <cell r="D107">
            <v>14.381994000000001</v>
          </cell>
          <cell r="E107">
            <v>15.584077911111114</v>
          </cell>
        </row>
        <row r="108">
          <cell r="B108">
            <v>14.7784278048</v>
          </cell>
          <cell r="C108">
            <v>16.15421908697143</v>
          </cell>
          <cell r="D108">
            <v>14.4492612</v>
          </cell>
          <cell r="E108">
            <v>15.542347542857142</v>
          </cell>
        </row>
        <row r="109">
          <cell r="B109">
            <v>14.831256422400001</v>
          </cell>
          <cell r="C109">
            <v>16.107688846510346</v>
          </cell>
          <cell r="D109">
            <v>14.5165284</v>
          </cell>
          <cell r="E109">
            <v>15.505814689655173</v>
          </cell>
        </row>
        <row r="110">
          <cell r="B110">
            <v>14.88408504</v>
          </cell>
          <cell r="C110">
            <v>16.066021576000001</v>
          </cell>
          <cell r="D110">
            <v>14.5837956</v>
          </cell>
          <cell r="E110">
            <v>15.473959600000001</v>
          </cell>
        </row>
        <row r="111">
          <cell r="B111">
            <v>14.936913657600003</v>
          </cell>
          <cell r="C111">
            <v>16.028746665445162</v>
          </cell>
        </row>
        <row r="112">
          <cell r="B112">
            <v>14.989742275200001</v>
          </cell>
          <cell r="C112">
            <v>15.995452331100001</v>
          </cell>
        </row>
        <row r="113">
          <cell r="B113">
            <v>15.042570892800001</v>
          </cell>
          <cell r="C113">
            <v>15.965776702400001</v>
          </cell>
        </row>
        <row r="114">
          <cell r="B114">
            <v>15.0953995104</v>
          </cell>
          <cell r="C114">
            <v>15.939400481788239</v>
          </cell>
        </row>
        <row r="115">
          <cell r="B115">
            <v>15.148228128000003</v>
          </cell>
          <cell r="C115">
            <v>15.916040862857146</v>
          </cell>
        </row>
        <row r="116">
          <cell r="B116">
            <v>15.201056745600001</v>
          </cell>
          <cell r="C116">
            <v>15.895446462133338</v>
          </cell>
        </row>
        <row r="117">
          <cell r="B117">
            <v>15.2538853632</v>
          </cell>
          <cell r="C117">
            <v>15.877393072735135</v>
          </cell>
        </row>
        <row r="118">
          <cell r="B118">
            <v>15.306713980800001</v>
          </cell>
          <cell r="C118">
            <v>15.861680088505265</v>
          </cell>
        </row>
        <row r="119">
          <cell r="B119">
            <v>15.359542598400003</v>
          </cell>
          <cell r="C119">
            <v>15.848127478276924</v>
          </cell>
        </row>
        <row r="120">
          <cell r="B120">
            <v>15.412371216</v>
          </cell>
          <cell r="C120">
            <v>15.836573214000003</v>
          </cell>
        </row>
        <row r="121">
          <cell r="B121">
            <v>15.4651998336</v>
          </cell>
          <cell r="C121">
            <v>15.826871075239024</v>
          </cell>
        </row>
        <row r="122">
          <cell r="B122">
            <v>15.518028451200001</v>
          </cell>
          <cell r="C122">
            <v>15.818888767314288</v>
          </cell>
        </row>
        <row r="123">
          <cell r="B123">
            <v>15.570857068800002</v>
          </cell>
          <cell r="C123">
            <v>15.812506302027909</v>
          </cell>
        </row>
        <row r="124">
          <cell r="B124">
            <v>15.623685686400002</v>
          </cell>
          <cell r="C124">
            <v>15.807614599200001</v>
          </cell>
        </row>
        <row r="125">
          <cell r="B125">
            <v>15.676514304000001</v>
          </cell>
          <cell r="C125">
            <v>15.804114274666668</v>
          </cell>
        </row>
        <row r="126">
          <cell r="B126">
            <v>15.729342921600001</v>
          </cell>
          <cell r="C126">
            <v>15.801914586365216</v>
          </cell>
        </row>
        <row r="127">
          <cell r="B127">
            <v>15.782171539200004</v>
          </cell>
          <cell r="C127">
            <v>15.800932514961701</v>
          </cell>
        </row>
        <row r="128">
          <cell r="B128">
            <v>15.835000156800001</v>
          </cell>
          <cell r="C128">
            <v>15.801091959400004</v>
          </cell>
        </row>
        <row r="129">
          <cell r="B129">
            <v>15.887828774399999</v>
          </cell>
          <cell r="C129">
            <v>15.802323030955106</v>
          </cell>
        </row>
        <row r="130">
          <cell r="B130">
            <v>15.940657392000002</v>
          </cell>
          <cell r="C130">
            <v>15.804561432000003</v>
          </cell>
        </row>
        <row r="131">
          <cell r="B131">
            <v>15.993486009600002</v>
          </cell>
          <cell r="C131">
            <v>15.807747907858827</v>
          </cell>
        </row>
        <row r="132">
          <cell r="B132">
            <v>16.046314627200001</v>
          </cell>
          <cell r="C132">
            <v>15.811827761907693</v>
          </cell>
        </row>
        <row r="133">
          <cell r="B133">
            <v>16.0991432448</v>
          </cell>
          <cell r="C133">
            <v>15.816750425569815</v>
          </cell>
        </row>
        <row r="134">
          <cell r="B134">
            <v>16.1519718624</v>
          </cell>
          <cell r="C134">
            <v>15.822469076088892</v>
          </cell>
        </row>
        <row r="135">
          <cell r="B135">
            <v>16.204800480000003</v>
          </cell>
          <cell r="C135">
            <v>15.828940296000004</v>
          </cell>
        </row>
        <row r="136">
          <cell r="B136">
            <v>16.257629097599999</v>
          </cell>
          <cell r="C136">
            <v>15.836123769085713</v>
          </cell>
        </row>
        <row r="137">
          <cell r="B137">
            <v>16.310457715200002</v>
          </cell>
          <cell r="C137">
            <v>15.843982008336843</v>
          </cell>
        </row>
        <row r="138">
          <cell r="B138">
            <v>16.363286332800001</v>
          </cell>
          <cell r="C138">
            <v>15.852480112055174</v>
          </cell>
        </row>
        <row r="139">
          <cell r="B139">
            <v>16.416114950400004</v>
          </cell>
          <cell r="C139">
            <v>15.861585544759325</v>
          </cell>
        </row>
        <row r="140">
          <cell r="B140">
            <v>16.468943568</v>
          </cell>
          <cell r="C140">
            <v>15.871267939999999</v>
          </cell>
        </row>
      </sheetData>
      <sheetData sheetId="6" refreshError="1">
        <row r="86">
          <cell r="B86">
            <v>14.2936554173952</v>
          </cell>
        </row>
        <row r="115">
          <cell r="B115">
            <v>13.079862651959997</v>
          </cell>
          <cell r="C115">
            <v>18.186276850894288</v>
          </cell>
        </row>
        <row r="116">
          <cell r="B116">
            <v>13.113436548576001</v>
          </cell>
          <cell r="C116">
            <v>18.044898316154669</v>
          </cell>
        </row>
        <row r="117">
          <cell r="B117">
            <v>13.147010445191999</v>
          </cell>
          <cell r="C117">
            <v>17.912069266985188</v>
          </cell>
        </row>
        <row r="118">
          <cell r="B118">
            <v>13.180584341807998</v>
          </cell>
          <cell r="C118">
            <v>17.787114743998739</v>
          </cell>
        </row>
        <row r="119">
          <cell r="B119">
            <v>13.214158238424</v>
          </cell>
          <cell r="C119">
            <v>17.669429014412</v>
          </cell>
        </row>
        <row r="120">
          <cell r="B120">
            <v>13.24773213504</v>
          </cell>
          <cell r="C120">
            <v>17.558466918720001</v>
          </cell>
        </row>
        <row r="121">
          <cell r="B121">
            <v>13.281306031655999</v>
          </cell>
          <cell r="C121">
            <v>17.45373648371093</v>
          </cell>
        </row>
        <row r="122">
          <cell r="B122">
            <v>13.314879928272001</v>
          </cell>
          <cell r="C122">
            <v>17.354792590764571</v>
          </cell>
        </row>
        <row r="123">
          <cell r="B123">
            <v>13.348453824888001</v>
          </cell>
          <cell r="C123">
            <v>17.261231527644</v>
          </cell>
        </row>
        <row r="124">
          <cell r="B124">
            <v>13.382027721503999</v>
          </cell>
          <cell r="C124">
            <v>17.172686283224728</v>
          </cell>
        </row>
        <row r="125">
          <cell r="B125">
            <v>13.415601618119998</v>
          </cell>
          <cell r="C125">
            <v>17.088822469593332</v>
          </cell>
        </row>
        <row r="126">
          <cell r="B126">
            <v>13.449175514736</v>
          </cell>
          <cell r="C126">
            <v>17.009334776046263</v>
          </cell>
        </row>
        <row r="127">
          <cell r="B127">
            <v>13.482749411352</v>
          </cell>
          <cell r="C127">
            <v>16.933943875769618</v>
          </cell>
        </row>
        <row r="128">
          <cell r="B128">
            <v>13.516323307967998</v>
          </cell>
          <cell r="C128">
            <v>16.862393719184002</v>
          </cell>
        </row>
        <row r="129">
          <cell r="B129">
            <v>13.549897204584001</v>
          </cell>
          <cell r="C129">
            <v>16.794449158716489</v>
          </cell>
        </row>
        <row r="130">
          <cell r="B130">
            <v>13.583471101199999</v>
          </cell>
          <cell r="C130">
            <v>16.729893858600001</v>
          </cell>
        </row>
        <row r="131">
          <cell r="B131">
            <v>13.617044997815999</v>
          </cell>
          <cell r="C131">
            <v>16.668528450578592</v>
          </cell>
        </row>
        <row r="132">
          <cell r="B132">
            <v>13.650618894432</v>
          </cell>
          <cell r="C132">
            <v>16.610168902416003</v>
          </cell>
        </row>
        <row r="133">
          <cell r="B133">
            <v>13.684192791048</v>
          </cell>
          <cell r="C133">
            <v>16.554645071101362</v>
          </cell>
        </row>
        <row r="134">
          <cell r="B134">
            <v>13.717766687663998</v>
          </cell>
          <cell r="C134">
            <v>16.501799416809778</v>
          </cell>
        </row>
        <row r="135">
          <cell r="B135">
            <v>13.751340584279999</v>
          </cell>
          <cell r="C135">
            <v>16.451485857158183</v>
          </cell>
        </row>
        <row r="136">
          <cell r="B136">
            <v>13.784914480895999</v>
          </cell>
          <cell r="C136">
            <v>16.403568744219431</v>
          </cell>
        </row>
        <row r="137">
          <cell r="B137">
            <v>13.818488377512001</v>
          </cell>
          <cell r="C137">
            <v>16.357921949219161</v>
          </cell>
        </row>
        <row r="138">
          <cell r="B138">
            <v>13.852062274127999</v>
          </cell>
          <cell r="C138">
            <v>16.314428041919172</v>
          </cell>
        </row>
        <row r="139">
          <cell r="B139">
            <v>13.885636170744002</v>
          </cell>
          <cell r="C139">
            <v>16.272977553453355</v>
          </cell>
        </row>
        <row r="140">
          <cell r="B140">
            <v>13.91921006736</v>
          </cell>
          <cell r="C140">
            <v>16.233468312879999</v>
          </cell>
        </row>
        <row r="141">
          <cell r="B141">
            <v>13.952783963976</v>
          </cell>
          <cell r="C141">
            <v>16.19580484899128</v>
          </cell>
        </row>
        <row r="142">
          <cell r="B142">
            <v>13.986357860591998</v>
          </cell>
          <cell r="C142">
            <v>16.159897850012129</v>
          </cell>
        </row>
        <row r="143">
          <cell r="B143">
            <v>14.019931757208001</v>
          </cell>
          <cell r="C143">
            <v>16.125663674756382</v>
          </cell>
        </row>
        <row r="144">
          <cell r="B144">
            <v>14.053505653823999</v>
          </cell>
          <cell r="C144">
            <v>16.093023909612</v>
          </cell>
        </row>
        <row r="145">
          <cell r="B145">
            <v>14.087079550439997</v>
          </cell>
          <cell r="C145">
            <v>16.061904966420002</v>
          </cell>
        </row>
        <row r="146">
          <cell r="B146">
            <v>14.120653447056</v>
          </cell>
          <cell r="C146">
            <v>16.032237716909819</v>
          </cell>
        </row>
        <row r="147">
          <cell r="B147">
            <v>14.154227343671998</v>
          </cell>
          <cell r="C147">
            <v>16.003957159871824</v>
          </cell>
        </row>
        <row r="148">
          <cell r="B148">
            <v>14.187801240288</v>
          </cell>
          <cell r="C148">
            <v>15.977002117696944</v>
          </cell>
        </row>
        <row r="149">
          <cell r="B149">
            <v>14.221375136903999</v>
          </cell>
          <cell r="C149">
            <v>15.951314959304174</v>
          </cell>
        </row>
        <row r="150">
          <cell r="B150">
            <v>14.254949033519999</v>
          </cell>
          <cell r="C150">
            <v>15.926841346817143</v>
          </cell>
        </row>
        <row r="151">
          <cell r="B151">
            <v>14.288522930135999</v>
          </cell>
          <cell r="C151">
            <v>15.903530003648282</v>
          </cell>
        </row>
        <row r="152">
          <cell r="B152">
            <v>14.322096826752</v>
          </cell>
          <cell r="C152">
            <v>15.881332501909334</v>
          </cell>
        </row>
        <row r="153">
          <cell r="B153">
            <v>14.355670723368</v>
          </cell>
          <cell r="C153">
            <v>15.860203067294957</v>
          </cell>
        </row>
        <row r="154">
          <cell r="B154">
            <v>14.389244619984</v>
          </cell>
          <cell r="C154">
            <v>15.840098399786598</v>
          </cell>
        </row>
        <row r="155">
          <cell r="B155">
            <v>14.422818516599998</v>
          </cell>
          <cell r="C155">
            <v>15.8209775087</v>
          </cell>
        </row>
        <row r="156">
          <cell r="B156">
            <v>14.456392413216001</v>
          </cell>
          <cell r="C156">
            <v>15.80280156075537</v>
          </cell>
        </row>
        <row r="157">
          <cell r="B157">
            <v>14.489966309831999</v>
          </cell>
          <cell r="C157">
            <v>15.785533739986132</v>
          </cell>
        </row>
        <row r="158">
          <cell r="B158">
            <v>14.523540206447999</v>
          </cell>
          <cell r="C158">
            <v>15.769139118424</v>
          </cell>
        </row>
        <row r="159">
          <cell r="B159">
            <v>14.557114103064</v>
          </cell>
          <cell r="C159">
            <v>15.753584536605418</v>
          </cell>
        </row>
        <row r="160">
          <cell r="B160">
            <v>14.59068799968</v>
          </cell>
          <cell r="C160">
            <v>15.738838493040001</v>
          </cell>
        </row>
        <row r="161">
          <cell r="B161">
            <v>14.624261896295998</v>
          </cell>
          <cell r="C161">
            <v>15.724871041866519</v>
          </cell>
        </row>
        <row r="162">
          <cell r="B162">
            <v>14.657835792912</v>
          </cell>
          <cell r="C162">
            <v>15.711653697997463</v>
          </cell>
        </row>
        <row r="163">
          <cell r="B163">
            <v>14.691409689527999</v>
          </cell>
          <cell r="C163">
            <v>15.699159349120626</v>
          </cell>
        </row>
        <row r="164">
          <cell r="B164">
            <v>14.724983586144001</v>
          </cell>
          <cell r="C164">
            <v>15.687362173986287</v>
          </cell>
        </row>
        <row r="165">
          <cell r="B165">
            <v>14.758557482759999</v>
          </cell>
          <cell r="C165">
            <v>15.676237566462353</v>
          </cell>
        </row>
        <row r="166">
          <cell r="B166">
            <v>14.792131379376</v>
          </cell>
          <cell r="C166">
            <v>15.665762064887998</v>
          </cell>
        </row>
        <row r="167">
          <cell r="B167">
            <v>14.825705275992</v>
          </cell>
          <cell r="C167">
            <v>15.655913286299448</v>
          </cell>
        </row>
        <row r="168">
          <cell r="B168">
            <v>14.859279172607998</v>
          </cell>
          <cell r="C168">
            <v>15.646669865140364</v>
          </cell>
        </row>
        <row r="169">
          <cell r="B169">
            <v>14.892853069224001</v>
          </cell>
          <cell r="C169">
            <v>15.638011396104135</v>
          </cell>
        </row>
        <row r="170">
          <cell r="B170">
            <v>14.926426965839999</v>
          </cell>
          <cell r="C170">
            <v>15.629918380786666</v>
          </cell>
        </row>
        <row r="171">
          <cell r="B171">
            <v>14.960000862455999</v>
          </cell>
          <cell r="C171">
            <v>15.622372177856571</v>
          </cell>
        </row>
        <row r="172">
          <cell r="B172">
            <v>14.993574759072001</v>
          </cell>
          <cell r="C172">
            <v>15.61535495647513</v>
          </cell>
        </row>
        <row r="173">
          <cell r="B173">
            <v>15.027148655688</v>
          </cell>
          <cell r="C173">
            <v>15.608849652721419</v>
          </cell>
        </row>
        <row r="174">
          <cell r="B174">
            <v>15.060722552303998</v>
          </cell>
          <cell r="C174">
            <v>15.60283992879881</v>
          </cell>
        </row>
        <row r="175">
          <cell r="B175">
            <v>15.094296448919998</v>
          </cell>
          <cell r="C175">
            <v>15.597310134817896</v>
          </cell>
        </row>
        <row r="176">
          <cell r="B176">
            <v>15.127870345536</v>
          </cell>
          <cell r="C176">
            <v>15.592245272968</v>
          </cell>
        </row>
        <row r="177">
          <cell r="B177">
            <v>15.161444242151999</v>
          </cell>
          <cell r="C177">
            <v>15.587630963904868</v>
          </cell>
        </row>
        <row r="178">
          <cell r="B178">
            <v>15.195018138767999</v>
          </cell>
          <cell r="C178">
            <v>15.583453415196246</v>
          </cell>
        </row>
        <row r="179">
          <cell r="B179">
            <v>15.228592035384001</v>
          </cell>
          <cell r="C179">
            <v>15.579699391679879</v>
          </cell>
        </row>
        <row r="180">
          <cell r="B180">
            <v>15.262165932</v>
          </cell>
          <cell r="C180">
            <v>15.576356187600002</v>
          </cell>
        </row>
        <row r="181">
          <cell r="B181">
            <v>15.295739828616</v>
          </cell>
          <cell r="C181">
            <v>15.573411600399091</v>
          </cell>
        </row>
        <row r="182">
          <cell r="B182">
            <v>15.329313725231998</v>
          </cell>
          <cell r="C182">
            <v>15.570853906051292</v>
          </cell>
        </row>
        <row r="183">
          <cell r="B183">
            <v>15.362887621848001</v>
          </cell>
          <cell r="C183">
            <v>15.568671835832738</v>
          </cell>
        </row>
        <row r="184">
          <cell r="B184">
            <v>15.396461518463999</v>
          </cell>
          <cell r="C184">
            <v>15.566854554432</v>
          </cell>
        </row>
        <row r="185">
          <cell r="B185">
            <v>15.430035415080003</v>
          </cell>
          <cell r="C185">
            <v>15.565391639311429</v>
          </cell>
        </row>
        <row r="186">
          <cell r="C186">
            <v>15.56427306123668</v>
          </cell>
        </row>
        <row r="187">
          <cell r="C187">
            <v>15.563489165898055</v>
          </cell>
        </row>
        <row r="188">
          <cell r="C188">
            <v>15.563030656552892</v>
          </cell>
        </row>
        <row r="189">
          <cell r="C189">
            <v>15.562888577623376</v>
          </cell>
        </row>
        <row r="190">
          <cell r="C190">
            <v>15.563054299189091</v>
          </cell>
        </row>
      </sheetData>
      <sheetData sheetId="7" refreshError="1">
        <row r="86">
          <cell r="B86">
            <v>12.852652706944001</v>
          </cell>
          <cell r="E86">
            <v>23.21093860954667</v>
          </cell>
        </row>
        <row r="87">
          <cell r="E87">
            <v>21.620483059931427</v>
          </cell>
        </row>
        <row r="88">
          <cell r="B88">
            <v>13.432628553792</v>
          </cell>
          <cell r="C88">
            <v>30.356448940096005</v>
          </cell>
          <cell r="D88">
            <v>12.662539907679999</v>
          </cell>
          <cell r="E88">
            <v>20.476373909839999</v>
          </cell>
        </row>
        <row r="89">
          <cell r="B89">
            <v>13.722616477216</v>
          </cell>
          <cell r="C89">
            <v>28.492134892919111</v>
          </cell>
          <cell r="D89">
            <v>13.052400004639999</v>
          </cell>
          <cell r="E89">
            <v>19.629829026097777</v>
          </cell>
        </row>
        <row r="90">
          <cell r="B90">
            <v>14.012604400640003</v>
          </cell>
          <cell r="C90">
            <v>27.029682447520003</v>
          </cell>
          <cell r="D90">
            <v>13.442260101600001</v>
          </cell>
          <cell r="E90">
            <v>18.991579128800002</v>
          </cell>
        </row>
        <row r="91">
          <cell r="B91">
            <v>14.302592324063999</v>
          </cell>
          <cell r="C91">
            <v>25.859492985231999</v>
          </cell>
          <cell r="D91">
            <v>13.83212019856</v>
          </cell>
          <cell r="E91">
            <v>18.50481649437091</v>
          </cell>
        </row>
        <row r="92">
          <cell r="B92">
            <v>14.592580247488002</v>
          </cell>
          <cell r="C92">
            <v>24.908500760277331</v>
          </cell>
          <cell r="D92">
            <v>14.22198029552</v>
          </cell>
          <cell r="E92">
            <v>18.131669307093336</v>
          </cell>
        </row>
        <row r="93">
          <cell r="B93">
            <v>14.882568170912002</v>
          </cell>
          <cell r="C93">
            <v>24.126121794809844</v>
          </cell>
          <cell r="D93">
            <v>14.611840392479998</v>
          </cell>
          <cell r="E93">
            <v>17.845918617624616</v>
          </cell>
        </row>
        <row r="94">
          <cell r="B94">
            <v>15.172556094336</v>
          </cell>
          <cell r="C94">
            <v>23.476224676082289</v>
          </cell>
          <cell r="D94">
            <v>15.001700489439999</v>
          </cell>
          <cell r="E94">
            <v>17.628836605005716</v>
          </cell>
        </row>
        <row r="95">
          <cell r="B95">
            <v>15.462544017760001</v>
          </cell>
          <cell r="C95">
            <v>22.932313034746663</v>
          </cell>
          <cell r="D95">
            <v>15.391560586400001</v>
          </cell>
          <cell r="E95">
            <v>17.466689533866667</v>
          </cell>
        </row>
        <row r="96">
          <cell r="B96">
            <v>15.752531941184001</v>
          </cell>
          <cell r="C96">
            <v>22.474514593791998</v>
          </cell>
          <cell r="D96">
            <v>15.78142068336</v>
          </cell>
          <cell r="E96">
            <v>17.349177102679999</v>
          </cell>
        </row>
        <row r="97">
          <cell r="B97">
            <v>16.042519864608</v>
          </cell>
          <cell r="C97">
            <v>22.087632906092239</v>
          </cell>
          <cell r="D97">
            <v>16.17128078032</v>
          </cell>
          <cell r="E97">
            <v>17.26842261027765</v>
          </cell>
        </row>
        <row r="98">
          <cell r="B98">
            <v>16.332507788032</v>
          </cell>
          <cell r="C98">
            <v>21.759848512771555</v>
          </cell>
          <cell r="D98">
            <v>16.561140877280003</v>
          </cell>
          <cell r="E98">
            <v>17.218299733528891</v>
          </cell>
        </row>
        <row r="99">
          <cell r="B99">
            <v>16.622495711456001</v>
          </cell>
          <cell r="C99">
            <v>21.481830262085893</v>
          </cell>
          <cell r="D99">
            <v>16.951000974239999</v>
          </cell>
          <cell r="E99">
            <v>17.193971901541055</v>
          </cell>
        </row>
        <row r="100">
          <cell r="B100">
            <v>13.808259691999998</v>
          </cell>
          <cell r="C100">
            <v>17.326186787199997</v>
          </cell>
          <cell r="D100">
            <v>17.340861071199999</v>
          </cell>
          <cell r="E100">
            <v>17.191569857600001</v>
          </cell>
        </row>
        <row r="101">
          <cell r="B101">
            <v>14.065171983679999</v>
          </cell>
          <cell r="C101">
            <v>17.164783408659048</v>
          </cell>
          <cell r="D101">
            <v>17.730721168159999</v>
          </cell>
          <cell r="E101">
            <v>17.207961346270476</v>
          </cell>
        </row>
        <row r="102">
          <cell r="B102">
            <v>14.322084275359998</v>
          </cell>
          <cell r="C102">
            <v>17.029730895970911</v>
          </cell>
          <cell r="D102">
            <v>18.120581265119998</v>
          </cell>
          <cell r="E102">
            <v>17.240583613105454</v>
          </cell>
        </row>
        <row r="103">
          <cell r="B103">
            <v>14.578996567039997</v>
          </cell>
          <cell r="C103">
            <v>16.917592179676522</v>
          </cell>
          <cell r="D103">
            <v>18.510441362080002</v>
          </cell>
          <cell r="E103">
            <v>17.287319600083478</v>
          </cell>
        </row>
        <row r="104">
          <cell r="B104">
            <v>14.83590885872</v>
          </cell>
          <cell r="C104">
            <v>16.825503035226664</v>
          </cell>
          <cell r="D104">
            <v>18.900301459039998</v>
          </cell>
          <cell r="E104">
            <v>17.346405092186668</v>
          </cell>
        </row>
        <row r="105">
          <cell r="B105">
            <v>15.092821150399999</v>
          </cell>
          <cell r="C105">
            <v>16.751057513999996</v>
          </cell>
          <cell r="D105">
            <v>19.290161556000001</v>
          </cell>
          <cell r="E105">
            <v>17.416358148800001</v>
          </cell>
        </row>
        <row r="106">
          <cell r="B106">
            <v>15.349733442079998</v>
          </cell>
          <cell r="C106">
            <v>16.692219813316918</v>
          </cell>
          <cell r="D106">
            <v>19.680021652960001</v>
          </cell>
          <cell r="E106">
            <v>17.495924820172306</v>
          </cell>
        </row>
        <row r="107">
          <cell r="B107">
            <v>15.606645733759999</v>
          </cell>
          <cell r="C107">
            <v>16.647255730894816</v>
          </cell>
          <cell r="D107">
            <v>20.069881749919997</v>
          </cell>
          <cell r="E107">
            <v>17.584036926885926</v>
          </cell>
        </row>
        <row r="108">
          <cell r="B108">
            <v>15.863558025439998</v>
          </cell>
          <cell r="C108">
            <v>16.614678807634284</v>
          </cell>
          <cell r="D108">
            <v>20.45974184688</v>
          </cell>
          <cell r="E108">
            <v>17.679778886582856</v>
          </cell>
        </row>
        <row r="109">
          <cell r="B109">
            <v>16.120470317119999</v>
          </cell>
          <cell r="C109">
            <v>16.59320761327724</v>
          </cell>
          <cell r="D109">
            <v>20.84960194384</v>
          </cell>
          <cell r="E109">
            <v>17.782361404126895</v>
          </cell>
        </row>
        <row r="110">
          <cell r="B110">
            <v>16.377382608799998</v>
          </cell>
          <cell r="C110">
            <v>16.581731574933332</v>
          </cell>
          <cell r="D110">
            <v>21.239462040799999</v>
          </cell>
          <cell r="E110">
            <v>17.891100423733334</v>
          </cell>
        </row>
        <row r="111">
          <cell r="B111">
            <v>16.634294900479997</v>
          </cell>
          <cell r="C111">
            <v>16.579283419439999</v>
          </cell>
        </row>
        <row r="112">
          <cell r="B112">
            <v>16.891207192159996</v>
          </cell>
          <cell r="C112">
            <v>16.585016782779999</v>
          </cell>
        </row>
        <row r="113">
          <cell r="B113">
            <v>17.148119483839999</v>
          </cell>
          <cell r="C113">
            <v>16.598187890513938</v>
          </cell>
        </row>
        <row r="114">
          <cell r="B114">
            <v>17.405031775519998</v>
          </cell>
          <cell r="C114">
            <v>16.618140471077645</v>
          </cell>
        </row>
        <row r="115">
          <cell r="B115">
            <v>17.661944067199997</v>
          </cell>
          <cell r="C115">
            <v>16.644293255371426</v>
          </cell>
        </row>
        <row r="116">
          <cell r="B116">
            <v>17.918856358879996</v>
          </cell>
          <cell r="C116">
            <v>16.676129559751107</v>
          </cell>
        </row>
        <row r="117">
          <cell r="B117">
            <v>18.175768650559998</v>
          </cell>
          <cell r="C117">
            <v>16.713188558263784</v>
          </cell>
        </row>
        <row r="118">
          <cell r="B118">
            <v>18.432680942239998</v>
          </cell>
          <cell r="C118">
            <v>16.75505793295158</v>
          </cell>
        </row>
        <row r="119">
          <cell r="B119">
            <v>18.689593233919997</v>
          </cell>
          <cell r="C119">
            <v>16.80136765487795</v>
          </cell>
        </row>
        <row r="120">
          <cell r="B120">
            <v>18.946505525599999</v>
          </cell>
          <cell r="C120">
            <v>16.851784697999996</v>
          </cell>
        </row>
        <row r="121">
          <cell r="B121">
            <v>19.203417817279998</v>
          </cell>
          <cell r="C121">
            <v>16.906008526620486</v>
          </cell>
        </row>
        <row r="122">
          <cell r="B122">
            <v>19.460330108960001</v>
          </cell>
          <cell r="C122">
            <v>16.963767227489523</v>
          </cell>
        </row>
        <row r="123">
          <cell r="B123">
            <v>19.71724240064</v>
          </cell>
          <cell r="C123">
            <v>17.024814181613024</v>
          </cell>
        </row>
        <row r="124">
          <cell r="B124">
            <v>19.974154692319999</v>
          </cell>
          <cell r="C124">
            <v>17.088925189905453</v>
          </cell>
        </row>
        <row r="125">
          <cell r="B125">
            <v>20.231066984000002</v>
          </cell>
          <cell r="C125">
            <v>17.155895982088886</v>
          </cell>
        </row>
        <row r="126">
          <cell r="B126">
            <v>20.487979275679994</v>
          </cell>
          <cell r="C126">
            <v>17.225540050518259</v>
          </cell>
        </row>
        <row r="127">
          <cell r="B127">
            <v>20.744891567359996</v>
          </cell>
          <cell r="C127">
            <v>17.297686760539573</v>
          </cell>
        </row>
        <row r="128">
          <cell r="B128">
            <v>21.001803859040002</v>
          </cell>
          <cell r="C128">
            <v>17.372179697053333</v>
          </cell>
        </row>
        <row r="129">
          <cell r="B129">
            <v>21.258716150719994</v>
          </cell>
          <cell r="C129">
            <v>17.448875213539587</v>
          </cell>
        </row>
        <row r="130">
          <cell r="B130">
            <v>21.515628442399997</v>
          </cell>
          <cell r="C130">
            <v>17.527641155199998</v>
          </cell>
        </row>
      </sheetData>
      <sheetData sheetId="8" refreshError="1">
        <row r="8">
          <cell r="A8">
            <v>5</v>
          </cell>
        </row>
        <row r="88">
          <cell r="B88">
            <v>13.432628553792</v>
          </cell>
          <cell r="C88">
            <v>30.356448940096005</v>
          </cell>
          <cell r="D88">
            <v>10.89150688704</v>
          </cell>
          <cell r="E88">
            <v>25.568168502719999</v>
          </cell>
        </row>
        <row r="89">
          <cell r="B89">
            <v>13.722616477216</v>
          </cell>
          <cell r="C89">
            <v>28.492134892919111</v>
          </cell>
          <cell r="D89">
            <v>11.135890293120001</v>
          </cell>
          <cell r="E89">
            <v>23.951005179093336</v>
          </cell>
        </row>
        <row r="90">
          <cell r="B90">
            <v>11.682603967871998</v>
          </cell>
          <cell r="C90">
            <v>25.950679633535998</v>
          </cell>
          <cell r="D90">
            <v>11.3802736992</v>
          </cell>
          <cell r="E90">
            <v>22.681712860799998</v>
          </cell>
        </row>
        <row r="91">
          <cell r="B91">
            <v>11.7660115675392</v>
          </cell>
          <cell r="C91">
            <v>24.657373100278686</v>
          </cell>
          <cell r="D91">
            <v>11.624657105279999</v>
          </cell>
          <cell r="E91">
            <v>21.665417637294542</v>
          </cell>
        </row>
        <row r="92">
          <cell r="B92">
            <v>11.849419167206399</v>
          </cell>
          <cell r="C92">
            <v>23.586568289203196</v>
          </cell>
          <cell r="D92">
            <v>11.869040511360001</v>
          </cell>
          <cell r="E92">
            <v>20.838870234879998</v>
          </cell>
        </row>
        <row r="93">
          <cell r="B93">
            <v>11.932826766873598</v>
          </cell>
          <cell r="C93">
            <v>22.686918649036798</v>
          </cell>
          <cell r="D93">
            <v>12.11342391744</v>
          </cell>
          <cell r="E93">
            <v>20.158282694843077</v>
          </cell>
        </row>
        <row r="94">
          <cell r="B94">
            <v>12.016234366540798</v>
          </cell>
          <cell r="C94">
            <v>21.921748071727542</v>
          </cell>
          <cell r="D94">
            <v>12.357807323519998</v>
          </cell>
          <cell r="E94">
            <v>19.592377903817145</v>
          </cell>
        </row>
        <row r="95">
          <cell r="B95">
            <v>12.099641966208001</v>
          </cell>
          <cell r="C95">
            <v>21.264160744703997</v>
          </cell>
          <cell r="D95">
            <v>12.6021907296</v>
          </cell>
          <cell r="E95">
            <v>19.118219312000001</v>
          </cell>
        </row>
        <row r="96">
          <cell r="B96">
            <v>12.183049565875198</v>
          </cell>
          <cell r="C96">
            <v>20.693984808537596</v>
          </cell>
          <cell r="D96">
            <v>12.846574135680001</v>
          </cell>
          <cell r="E96">
            <v>18.718604507039998</v>
          </cell>
        </row>
        <row r="97">
          <cell r="B97">
            <v>12.266457165542398</v>
          </cell>
          <cell r="C97">
            <v>20.195794723665319</v>
          </cell>
          <cell r="D97">
            <v>13.09095754176</v>
          </cell>
          <cell r="E97">
            <v>18.380378703021176</v>
          </cell>
        </row>
        <row r="98">
          <cell r="B98">
            <v>12.349864765209599</v>
          </cell>
          <cell r="C98">
            <v>19.757592848204794</v>
          </cell>
          <cell r="D98">
            <v>13.335340947839999</v>
          </cell>
          <cell r="E98">
            <v>18.093310399786667</v>
          </cell>
        </row>
        <row r="99">
          <cell r="B99">
            <v>12.433272364876798</v>
          </cell>
          <cell r="C99">
            <v>19.369907359617343</v>
          </cell>
          <cell r="D99">
            <v>13.57972435392</v>
          </cell>
          <cell r="E99">
            <v>17.849322097212632</v>
          </cell>
        </row>
        <row r="100">
          <cell r="B100">
            <v>12.516679964544</v>
          </cell>
          <cell r="C100">
            <v>19.025160799871998</v>
          </cell>
          <cell r="D100">
            <v>13.82410776</v>
          </cell>
          <cell r="E100">
            <v>17.641951795199997</v>
          </cell>
        </row>
        <row r="101">
          <cell r="B101">
            <v>12.600087564211199</v>
          </cell>
          <cell r="C101">
            <v>18.717219036277026</v>
          </cell>
          <cell r="D101">
            <v>14.068491166080001</v>
          </cell>
          <cell r="E101">
            <v>17.465968350811426</v>
          </cell>
        </row>
        <row r="102">
          <cell r="B102">
            <v>12.683495163878398</v>
          </cell>
          <cell r="C102">
            <v>18.441063232993745</v>
          </cell>
          <cell r="D102">
            <v>14.312874572159998</v>
          </cell>
          <cell r="E102">
            <v>17.317091738007267</v>
          </cell>
        </row>
        <row r="103">
          <cell r="B103">
            <v>12.766902763545598</v>
          </cell>
          <cell r="C103">
            <v>18.192547395198886</v>
          </cell>
          <cell r="D103">
            <v>14.557257978240001</v>
          </cell>
          <cell r="E103">
            <v>17.191786283102608</v>
          </cell>
        </row>
        <row r="104">
          <cell r="B104">
            <v>12.850310363212799</v>
          </cell>
          <cell r="C104">
            <v>17.968216527206398</v>
          </cell>
          <cell r="D104">
            <v>14.801641384319998</v>
          </cell>
          <cell r="E104">
            <v>17.087105591359997</v>
          </cell>
        </row>
        <row r="105">
          <cell r="B105">
            <v>12.933717962879998</v>
          </cell>
          <cell r="C105">
            <v>17.765168432639999</v>
          </cell>
          <cell r="D105">
            <v>15.046024790399999</v>
          </cell>
          <cell r="E105">
            <v>17.000574691200001</v>
          </cell>
        </row>
        <row r="106">
          <cell r="B106">
            <v>13.017125562547198</v>
          </cell>
          <cell r="C106">
            <v>17.580947406873598</v>
          </cell>
          <cell r="D106">
            <v>15.29040819648</v>
          </cell>
          <cell r="E106">
            <v>16.930099375901538</v>
          </cell>
        </row>
        <row r="107">
          <cell r="B107">
            <v>13.100533162214399</v>
          </cell>
          <cell r="C107">
            <v>17.413461553373864</v>
          </cell>
          <cell r="D107">
            <v>15.534791602559999</v>
          </cell>
          <cell r="E107">
            <v>16.873895691591109</v>
          </cell>
        </row>
        <row r="108">
          <cell r="B108">
            <v>13.183940761881599</v>
          </cell>
          <cell r="C108">
            <v>17.260917817969368</v>
          </cell>
          <cell r="D108">
            <v>15.779175008640001</v>
          </cell>
          <cell r="E108">
            <v>16.830434534948569</v>
          </cell>
        </row>
        <row r="109">
          <cell r="B109">
            <v>13.267348361548798</v>
          </cell>
          <cell r="C109">
            <v>17.121770464305431</v>
          </cell>
          <cell r="D109">
            <v>16.023558414720004</v>
          </cell>
          <cell r="E109">
            <v>16.798397713456549</v>
          </cell>
        </row>
        <row r="110">
          <cell r="B110">
            <v>13.350755961215999</v>
          </cell>
          <cell r="C110">
            <v>16.994679854207995</v>
          </cell>
          <cell r="D110">
            <v>16.267941820800001</v>
          </cell>
          <cell r="E110">
            <v>16.776642793600001</v>
          </cell>
        </row>
        <row r="111">
          <cell r="B111">
            <v>13.434163560883198</v>
          </cell>
          <cell r="C111">
            <v>16.878479206041597</v>
          </cell>
        </row>
        <row r="112">
          <cell r="B112">
            <v>13.5175711605504</v>
          </cell>
          <cell r="C112">
            <v>16.772147585875196</v>
          </cell>
        </row>
        <row r="113">
          <cell r="B113">
            <v>13.600978760217599</v>
          </cell>
          <cell r="C113">
            <v>16.674787809345162</v>
          </cell>
        </row>
        <row r="114">
          <cell r="B114">
            <v>13.684386359884797</v>
          </cell>
          <cell r="C114">
            <v>16.585608243189455</v>
          </cell>
        </row>
        <row r="115">
          <cell r="B115">
            <v>13.767793959551998</v>
          </cell>
          <cell r="C115">
            <v>16.503907726518854</v>
          </cell>
        </row>
        <row r="116">
          <cell r="B116">
            <v>13.8512015592192</v>
          </cell>
          <cell r="C116">
            <v>16.429063005209596</v>
          </cell>
        </row>
        <row r="117">
          <cell r="B117">
            <v>13.934609158886399</v>
          </cell>
          <cell r="C117">
            <v>16.360518203962116</v>
          </cell>
        </row>
        <row r="118">
          <cell r="B118">
            <v>14.0180167585536</v>
          </cell>
          <cell r="C118">
            <v>16.297775960666268</v>
          </cell>
        </row>
        <row r="119">
          <cell r="B119">
            <v>14.101424358220799</v>
          </cell>
          <cell r="C119">
            <v>16.240389924710396</v>
          </cell>
        </row>
        <row r="120">
          <cell r="B120">
            <v>16.122657369599999</v>
          </cell>
          <cell r="C120">
            <v>16.789206374399999</v>
          </cell>
        </row>
        <row r="121">
          <cell r="B121">
            <v>16.508979548159999</v>
          </cell>
          <cell r="C121">
            <v>16.777660327680003</v>
          </cell>
        </row>
        <row r="122">
          <cell r="B122">
            <v>16.89530172672</v>
          </cell>
          <cell r="C122">
            <v>16.775862239817144</v>
          </cell>
        </row>
        <row r="123">
          <cell r="B123">
            <v>17.281623905280004</v>
          </cell>
          <cell r="C123">
            <v>16.783132020658606</v>
          </cell>
        </row>
        <row r="124">
          <cell r="B124">
            <v>17.66794608384</v>
          </cell>
          <cell r="C124">
            <v>16.79885140642909</v>
          </cell>
        </row>
        <row r="125">
          <cell r="B125">
            <v>18.054268262400001</v>
          </cell>
          <cell r="C125">
            <v>16.822457090133334</v>
          </cell>
        </row>
        <row r="126">
          <cell r="B126">
            <v>18.440590440960001</v>
          </cell>
          <cell r="C126">
            <v>16.853434747993045</v>
          </cell>
        </row>
        <row r="127">
          <cell r="B127">
            <v>18.826912619520002</v>
          </cell>
          <cell r="C127">
            <v>16.89131382846638</v>
          </cell>
        </row>
        <row r="128">
          <cell r="B128">
            <v>19.213234798079998</v>
          </cell>
          <cell r="C128">
            <v>16.935662992639998</v>
          </cell>
        </row>
        <row r="129">
          <cell r="B129">
            <v>19.599556976639999</v>
          </cell>
          <cell r="C129">
            <v>16.986086112940406</v>
          </cell>
        </row>
        <row r="130">
          <cell r="B130">
            <v>19.985879155199999</v>
          </cell>
          <cell r="C130">
            <v>17.042218752</v>
          </cell>
        </row>
      </sheetData>
      <sheetData sheetId="9" refreshError="1">
        <row r="86">
          <cell r="B86">
            <v>14.2936554173952</v>
          </cell>
          <cell r="C86">
            <v>42.024148111897595</v>
          </cell>
          <cell r="D86">
            <v>12.098936467200001</v>
          </cell>
          <cell r="E86">
            <v>32.547108316799999</v>
          </cell>
        </row>
        <row r="87">
          <cell r="B87">
            <v>14.556302705894399</v>
          </cell>
          <cell r="C87">
            <v>38.081409676147196</v>
          </cell>
          <cell r="D87">
            <v>13.261619184000001</v>
          </cell>
          <cell r="E87">
            <v>29.708989675200002</v>
          </cell>
        </row>
        <row r="88">
          <cell r="B88">
            <v>14.818949994393602</v>
          </cell>
          <cell r="C88">
            <v>35.157186760396797</v>
          </cell>
          <cell r="D88">
            <v>14.424301900800003</v>
          </cell>
          <cell r="E88">
            <v>27.7257360336</v>
          </cell>
        </row>
        <row r="89">
          <cell r="B89">
            <v>15.081597282892799</v>
          </cell>
          <cell r="C89">
            <v>32.911974191313071</v>
          </cell>
          <cell r="D89">
            <v>15.586984617600002</v>
          </cell>
          <cell r="E89">
            <v>26.312392392</v>
          </cell>
        </row>
        <row r="90">
          <cell r="B90">
            <v>15.344244571392</v>
          </cell>
          <cell r="C90">
            <v>31.142068864896004</v>
          </cell>
          <cell r="D90">
            <v>16.749667334400002</v>
          </cell>
          <cell r="E90">
            <v>25.297985750399999</v>
          </cell>
        </row>
        <row r="91">
          <cell r="B91">
            <v>15.606891859891201</v>
          </cell>
          <cell r="C91">
            <v>29.717841533145599</v>
          </cell>
          <cell r="D91">
            <v>17.912350051200001</v>
          </cell>
          <cell r="E91">
            <v>24.573715108800002</v>
          </cell>
        </row>
        <row r="92">
          <cell r="B92">
            <v>15.869539148390402</v>
          </cell>
          <cell r="C92">
            <v>28.552872697395198</v>
          </cell>
          <cell r="D92">
            <v>19.075032767999996</v>
          </cell>
          <cell r="E92">
            <v>24.067046467200001</v>
          </cell>
        </row>
        <row r="93">
          <cell r="B93">
            <v>16.132186436889601</v>
          </cell>
          <cell r="C93">
            <v>27.587333473952491</v>
          </cell>
          <cell r="D93">
            <v>20.237715484800002</v>
          </cell>
          <cell r="E93">
            <v>23.727763979446156</v>
          </cell>
        </row>
        <row r="94">
          <cell r="B94">
            <v>16.3948337253888</v>
          </cell>
          <cell r="C94">
            <v>26.778488945894399</v>
          </cell>
          <cell r="D94">
            <v>21.400398201600002</v>
          </cell>
          <cell r="E94">
            <v>23.519999184</v>
          </cell>
        </row>
        <row r="95">
          <cell r="B95">
            <v>16.657481013888003</v>
          </cell>
          <cell r="C95">
            <v>26.095000174144001</v>
          </cell>
          <cell r="D95">
            <v>22.563080918400001</v>
          </cell>
          <cell r="E95">
            <v>23.417448542399999</v>
          </cell>
        </row>
        <row r="96">
          <cell r="B96">
            <v>16.920128302387202</v>
          </cell>
          <cell r="C96">
            <v>25.5133629543936</v>
          </cell>
          <cell r="D96">
            <v>23.7257636352</v>
          </cell>
          <cell r="E96">
            <v>23.400384400800004</v>
          </cell>
        </row>
        <row r="97">
          <cell r="B97">
            <v>17.182775590886401</v>
          </cell>
          <cell r="C97">
            <v>25.015603483349079</v>
          </cell>
          <cell r="D97">
            <v>24.888446351999999</v>
          </cell>
          <cell r="E97">
            <v>23.453720906258827</v>
          </cell>
        </row>
        <row r="98">
          <cell r="B98">
            <v>17.4454228793856</v>
          </cell>
          <cell r="C98">
            <v>24.587742136226137</v>
          </cell>
          <cell r="D98">
            <v>26.051129068800002</v>
          </cell>
          <cell r="E98">
            <v>23.565724617599997</v>
          </cell>
        </row>
        <row r="99">
          <cell r="B99">
            <v>17.708070167884802</v>
          </cell>
          <cell r="C99">
            <v>24.218742367142401</v>
          </cell>
        </row>
        <row r="100">
          <cell r="B100">
            <v>17.970717456384001</v>
          </cell>
          <cell r="C100">
            <v>23.899774939391996</v>
          </cell>
        </row>
        <row r="101">
          <cell r="B101">
            <v>18.233364744883197</v>
          </cell>
          <cell r="C101">
            <v>23.623692375641596</v>
          </cell>
        </row>
        <row r="102">
          <cell r="B102">
            <v>18.496012033382403</v>
          </cell>
          <cell r="C102">
            <v>23.384646739891199</v>
          </cell>
        </row>
        <row r="103">
          <cell r="B103">
            <v>18.758659321881602</v>
          </cell>
          <cell r="C103">
            <v>23.177807128488627</v>
          </cell>
        </row>
        <row r="104">
          <cell r="B104">
            <v>19.021306610380801</v>
          </cell>
          <cell r="C104">
            <v>22.999147788390403</v>
          </cell>
        </row>
        <row r="105">
          <cell r="B105">
            <v>19.28395389888</v>
          </cell>
          <cell r="C105">
            <v>22.845287087040003</v>
          </cell>
        </row>
        <row r="106">
          <cell r="B106">
            <v>19.546601187379203</v>
          </cell>
          <cell r="C106">
            <v>22.713363643043447</v>
          </cell>
        </row>
        <row r="107">
          <cell r="B107">
            <v>19.809248475878398</v>
          </cell>
          <cell r="C107">
            <v>22.600939983361425</v>
          </cell>
        </row>
        <row r="108">
          <cell r="B108">
            <v>20.071895764377601</v>
          </cell>
          <cell r="C108">
            <v>22.505926845388803</v>
          </cell>
        </row>
        <row r="109">
          <cell r="B109">
            <v>25.084671131520004</v>
          </cell>
          <cell r="C109">
            <v>22.085034379001375</v>
          </cell>
        </row>
        <row r="110">
          <cell r="B110">
            <v>26.338579238400005</v>
          </cell>
          <cell r="C110">
            <v>22.2059207392</v>
          </cell>
        </row>
        <row r="111">
          <cell r="B111">
            <v>27.592487345280002</v>
          </cell>
          <cell r="C111">
            <v>22.359456627994838</v>
          </cell>
        </row>
        <row r="112">
          <cell r="B112">
            <v>28.846395452160003</v>
          </cell>
          <cell r="C112">
            <v>22.54258115208</v>
          </cell>
        </row>
      </sheetData>
      <sheetData sheetId="10" refreshError="1">
        <row r="86">
          <cell r="B86">
            <v>12.852652706944001</v>
          </cell>
          <cell r="C86">
            <v>36.094385043338669</v>
          </cell>
          <cell r="D86">
            <v>15.06698241248</v>
          </cell>
          <cell r="E86">
            <v>28.788060382506668</v>
          </cell>
        </row>
        <row r="87">
          <cell r="B87">
            <v>13.142640630368001</v>
          </cell>
          <cell r="C87">
            <v>32.794850989812566</v>
          </cell>
          <cell r="D87">
            <v>15.35972715136</v>
          </cell>
          <cell r="E87">
            <v>26.848816725279999</v>
          </cell>
        </row>
        <row r="88">
          <cell r="B88">
            <v>13.432628553792</v>
          </cell>
          <cell r="C88">
            <v>30.356448940096005</v>
          </cell>
          <cell r="D88">
            <v>15.652471890240001</v>
          </cell>
          <cell r="E88">
            <v>25.430977074719998</v>
          </cell>
        </row>
        <row r="89">
          <cell r="B89">
            <v>13.722616477216</v>
          </cell>
          <cell r="C89">
            <v>28.492134892919111</v>
          </cell>
          <cell r="D89">
            <v>15.945216629119999</v>
          </cell>
          <cell r="E89">
            <v>24.360740095271108</v>
          </cell>
        </row>
        <row r="90">
          <cell r="B90">
            <v>14.012604400640003</v>
          </cell>
          <cell r="C90">
            <v>27.029682447520003</v>
          </cell>
          <cell r="D90">
            <v>16.237961368000001</v>
          </cell>
          <cell r="E90">
            <v>23.533824985599999</v>
          </cell>
        </row>
        <row r="91">
          <cell r="B91">
            <v>14.302592324063999</v>
          </cell>
          <cell r="C91">
            <v>25.859492985231999</v>
          </cell>
          <cell r="D91">
            <v>16.53070610688</v>
          </cell>
          <cell r="E91">
            <v>22.883871235767273</v>
          </cell>
        </row>
        <row r="92">
          <cell r="B92">
            <v>14.592580247488002</v>
          </cell>
          <cell r="C92">
            <v>24.908500760277331</v>
          </cell>
          <cell r="D92">
            <v>16.82345084576</v>
          </cell>
          <cell r="E92">
            <v>22.366638505813331</v>
          </cell>
        </row>
        <row r="93">
          <cell r="B93">
            <v>14.882568170912002</v>
          </cell>
          <cell r="C93">
            <v>24.126121794809844</v>
          </cell>
          <cell r="D93">
            <v>17.116195584639996</v>
          </cell>
          <cell r="E93">
            <v>21.951498868073845</v>
          </cell>
        </row>
        <row r="94">
          <cell r="B94">
            <v>15.172556094336</v>
          </cell>
          <cell r="C94">
            <v>23.476224676082289</v>
          </cell>
          <cell r="D94">
            <v>17.40894032352</v>
          </cell>
          <cell r="E94">
            <v>21.616575231359999</v>
          </cell>
        </row>
        <row r="95">
          <cell r="B95">
            <v>15.462544017760001</v>
          </cell>
          <cell r="C95">
            <v>22.932313034746663</v>
          </cell>
          <cell r="D95">
            <v>17.701685062399999</v>
          </cell>
          <cell r="E95">
            <v>21.345824395466664</v>
          </cell>
        </row>
        <row r="96">
          <cell r="B96">
            <v>15.752531941184001</v>
          </cell>
          <cell r="C96">
            <v>22.474514593791998</v>
          </cell>
          <cell r="D96">
            <v>17.994429801279999</v>
          </cell>
          <cell r="E96">
            <v>21.127213960240002</v>
          </cell>
        </row>
        <row r="97">
          <cell r="B97">
            <v>16.042519864608</v>
          </cell>
          <cell r="C97">
            <v>22.087632906092239</v>
          </cell>
          <cell r="D97">
            <v>18.287174540160002</v>
          </cell>
          <cell r="E97">
            <v>20.951542678503529</v>
          </cell>
        </row>
        <row r="98">
          <cell r="B98">
            <v>16.332507788032</v>
          </cell>
          <cell r="C98">
            <v>21.759848512771555</v>
          </cell>
          <cell r="D98">
            <v>18.579919279040002</v>
          </cell>
          <cell r="E98">
            <v>20.811654024675555</v>
          </cell>
        </row>
        <row r="99">
          <cell r="B99">
            <v>16.622495711456001</v>
          </cell>
          <cell r="C99">
            <v>21.481830262085893</v>
          </cell>
        </row>
        <row r="100">
          <cell r="B100">
            <v>16.912483634880001</v>
          </cell>
          <cell r="C100">
            <v>21.246113232640003</v>
          </cell>
        </row>
        <row r="101">
          <cell r="B101">
            <v>17.202471558304001</v>
          </cell>
          <cell r="C101">
            <v>21.046654392828188</v>
          </cell>
        </row>
        <row r="102">
          <cell r="B102">
            <v>17.492459481728002</v>
          </cell>
          <cell r="C102">
            <v>20.878509444064004</v>
          </cell>
        </row>
        <row r="103">
          <cell r="B103">
            <v>17.782447405151999</v>
          </cell>
          <cell r="C103">
            <v>20.737593965776</v>
          </cell>
        </row>
        <row r="104">
          <cell r="B104">
            <v>18.072435328576002</v>
          </cell>
          <cell r="C104">
            <v>20.620504274154666</v>
          </cell>
        </row>
        <row r="105">
          <cell r="B105">
            <v>18.362423252000003</v>
          </cell>
          <cell r="C105">
            <v>20.5243812748</v>
          </cell>
        </row>
        <row r="106">
          <cell r="B106">
            <v>18.652411175424</v>
          </cell>
          <cell r="C106">
            <v>20.446805733988921</v>
          </cell>
        </row>
        <row r="107">
          <cell r="B107">
            <v>18.942399098848</v>
          </cell>
          <cell r="C107">
            <v>20.385716822994372</v>
          </cell>
        </row>
        <row r="108">
          <cell r="B108">
            <v>19.232387022272</v>
          </cell>
          <cell r="C108">
            <v>20.33934811719314</v>
          </cell>
        </row>
        <row r="109">
          <cell r="B109">
            <v>19.522374945696001</v>
          </cell>
          <cell r="C109">
            <v>20.306176836737652</v>
          </cell>
        </row>
        <row r="110">
          <cell r="B110">
            <v>19.812362869120001</v>
          </cell>
          <cell r="C110">
            <v>20.284883239093332</v>
          </cell>
        </row>
        <row r="111">
          <cell r="B111">
            <v>20.102350792544001</v>
          </cell>
          <cell r="C111">
            <v>20.274317871084904</v>
          </cell>
        </row>
        <row r="112">
          <cell r="B112">
            <v>20.392338715967998</v>
          </cell>
          <cell r="C112">
            <v>20.273474961184</v>
          </cell>
        </row>
        <row r="113">
          <cell r="B113">
            <v>28.368055485120003</v>
          </cell>
          <cell r="C113">
            <v>20.994096297953941</v>
          </cell>
        </row>
        <row r="114">
          <cell r="B114">
            <v>30.039614709760002</v>
          </cell>
          <cell r="C114">
            <v>21.235559203821179</v>
          </cell>
        </row>
        <row r="115">
          <cell r="B115">
            <v>31.711173934400005</v>
          </cell>
          <cell r="C115">
            <v>21.510983064342863</v>
          </cell>
        </row>
        <row r="116">
          <cell r="B116">
            <v>33.382733159040001</v>
          </cell>
          <cell r="C116">
            <v>21.817537799964448</v>
          </cell>
        </row>
      </sheetData>
      <sheetData sheetId="11" refreshError="1">
        <row r="8">
          <cell r="A8">
            <v>5</v>
          </cell>
        </row>
        <row r="230">
          <cell r="B230">
            <v>10.504353343619998</v>
          </cell>
          <cell r="C230">
            <v>16.229724111709995</v>
          </cell>
        </row>
        <row r="231">
          <cell r="B231">
            <v>10.508964495298798</v>
          </cell>
          <cell r="C231">
            <v>16.191823017721585</v>
          </cell>
        </row>
        <row r="232">
          <cell r="B232">
            <v>10.513575646977598</v>
          </cell>
          <cell r="C232">
            <v>16.15445095886248</v>
          </cell>
        </row>
        <row r="233">
          <cell r="B233">
            <v>10.518186798656398</v>
          </cell>
          <cell r="C233">
            <v>16.117597561894865</v>
          </cell>
        </row>
        <row r="234">
          <cell r="B234">
            <v>10.522797950335198</v>
          </cell>
          <cell r="C234">
            <v>16.081252723015648</v>
          </cell>
        </row>
        <row r="235">
          <cell r="B235">
            <v>10.527409102013998</v>
          </cell>
          <cell r="C235">
            <v>16.045406599165062</v>
          </cell>
        </row>
        <row r="236">
          <cell r="B236">
            <v>10.532020253692798</v>
          </cell>
          <cell r="C236">
            <v>16.010049599669475</v>
          </cell>
        </row>
        <row r="237">
          <cell r="B237">
            <v>10.536631405371597</v>
          </cell>
          <cell r="C237">
            <v>15.975172378203631</v>
          </cell>
        </row>
        <row r="238">
          <cell r="B238">
            <v>10.541242557050397</v>
          </cell>
          <cell r="C238">
            <v>15.940765825058106</v>
          </cell>
        </row>
        <row r="239">
          <cell r="B239">
            <v>10.545853708729197</v>
          </cell>
          <cell r="C239">
            <v>15.90682105969856</v>
          </cell>
        </row>
        <row r="240">
          <cell r="B240">
            <v>10.550464860407997</v>
          </cell>
          <cell r="C240">
            <v>15.873329423603996</v>
          </cell>
        </row>
        <row r="241">
          <cell r="B241">
            <v>10.555076012086797</v>
          </cell>
          <cell r="C241">
            <v>15.840282473371966</v>
          </cell>
        </row>
        <row r="242">
          <cell r="B242">
            <v>10.559687163765597</v>
          </cell>
          <cell r="C242">
            <v>15.807671974079094</v>
          </cell>
        </row>
        <row r="243">
          <cell r="B243">
            <v>10.564298315444397</v>
          </cell>
          <cell r="C243">
            <v>15.775489892885998</v>
          </cell>
        </row>
        <row r="244">
          <cell r="B244">
            <v>10.568909467123197</v>
          </cell>
          <cell r="C244">
            <v>15.74372839287623</v>
          </cell>
        </row>
        <row r="245">
          <cell r="B245">
            <v>10.573520618801997</v>
          </cell>
          <cell r="C245">
            <v>15.712379827119179</v>
          </cell>
        </row>
        <row r="246">
          <cell r="B246">
            <v>10.578131770480798</v>
          </cell>
          <cell r="C246">
            <v>15.681436732947624</v>
          </cell>
        </row>
        <row r="247">
          <cell r="B247">
            <v>10.582742922159596</v>
          </cell>
          <cell r="C247">
            <v>15.650891826440876</v>
          </cell>
        </row>
        <row r="248">
          <cell r="B248">
            <v>10.587354073838396</v>
          </cell>
          <cell r="C248">
            <v>15.620737997104911</v>
          </cell>
        </row>
        <row r="249">
          <cell r="B249">
            <v>10.5919652255172</v>
          </cell>
          <cell r="C249">
            <v>15.590968302741434</v>
          </cell>
        </row>
        <row r="250">
          <cell r="B250">
            <v>10.596576377195998</v>
          </cell>
          <cell r="C250">
            <v>15.561575964497997</v>
          </cell>
        </row>
        <row r="251">
          <cell r="B251">
            <v>10.601187528874798</v>
          </cell>
          <cell r="C251">
            <v>15.532554362091783</v>
          </cell>
        </row>
        <row r="252">
          <cell r="B252">
            <v>10.605798680553599</v>
          </cell>
          <cell r="C252">
            <v>15.503897029200054</v>
          </cell>
        </row>
        <row r="253">
          <cell r="B253">
            <v>10.610409832232397</v>
          </cell>
          <cell r="C253">
            <v>15.475597649010416</v>
          </cell>
        </row>
        <row r="254">
          <cell r="B254">
            <v>10.615020983911199</v>
          </cell>
          <cell r="C254">
            <v>15.447650049924562</v>
          </cell>
        </row>
        <row r="255">
          <cell r="B255">
            <v>10.619632135589997</v>
          </cell>
          <cell r="C255">
            <v>15.420048201409283</v>
          </cell>
        </row>
        <row r="256">
          <cell r="B256">
            <v>10.624243287268797</v>
          </cell>
          <cell r="C256">
            <v>15.392786209988941</v>
          </cell>
        </row>
        <row r="257">
          <cell r="B257">
            <v>10.628854438947599</v>
          </cell>
          <cell r="C257">
            <v>15.365858315373796</v>
          </cell>
        </row>
        <row r="258">
          <cell r="B258">
            <v>10.633465590626399</v>
          </cell>
          <cell r="C258">
            <v>15.339258886718817</v>
          </cell>
        </row>
        <row r="259">
          <cell r="B259">
            <v>10.638076742305197</v>
          </cell>
          <cell r="C259">
            <v>15.312982419007904</v>
          </cell>
        </row>
        <row r="260">
          <cell r="B260">
            <v>10.642687893983998</v>
          </cell>
          <cell r="C260">
            <v>15.287023529558663</v>
          </cell>
        </row>
        <row r="261">
          <cell r="B261">
            <v>10.647299045662797</v>
          </cell>
          <cell r="C261">
            <v>15.261376954643</v>
          </cell>
        </row>
        <row r="262">
          <cell r="B262">
            <v>10.651910197341598</v>
          </cell>
          <cell r="C262">
            <v>15.236037546219148</v>
          </cell>
        </row>
        <row r="263">
          <cell r="B263">
            <v>10.656521349020398</v>
          </cell>
          <cell r="C263">
            <v>15.211000268770851</v>
          </cell>
        </row>
        <row r="264">
          <cell r="B264">
            <v>10.661132500699196</v>
          </cell>
          <cell r="C264">
            <v>15.186260196249597</v>
          </cell>
        </row>
        <row r="265">
          <cell r="B265">
            <v>10.665743652377998</v>
          </cell>
          <cell r="C265">
            <v>15.161812509116023</v>
          </cell>
        </row>
        <row r="266">
          <cell r="B266">
            <v>10.670354804056798</v>
          </cell>
          <cell r="C266">
            <v>15.137652491476786</v>
          </cell>
        </row>
        <row r="267">
          <cell r="B267">
            <v>10.674965955735596</v>
          </cell>
          <cell r="C267">
            <v>15.113775528313251</v>
          </cell>
        </row>
        <row r="268">
          <cell r="B268">
            <v>10.679577107414397</v>
          </cell>
          <cell r="C268">
            <v>15.090177102798686</v>
          </cell>
        </row>
        <row r="269">
          <cell r="B269">
            <v>10.684188259093197</v>
          </cell>
          <cell r="C269">
            <v>15.066852793700566</v>
          </cell>
        </row>
        <row r="270">
          <cell r="B270">
            <v>10.688799410771997</v>
          </cell>
          <cell r="C270">
            <v>15.043798272864946</v>
          </cell>
        </row>
        <row r="271">
          <cell r="B271">
            <v>10.693410562450797</v>
          </cell>
          <cell r="C271">
            <v>15.021009302779849</v>
          </cell>
        </row>
        <row r="272">
          <cell r="B272">
            <v>10.698021714129599</v>
          </cell>
          <cell r="C272">
            <v>14.998481734214799</v>
          </cell>
        </row>
        <row r="273">
          <cell r="B273">
            <v>10.702632865808399</v>
          </cell>
          <cell r="C273">
            <v>14.97621150393373</v>
          </cell>
        </row>
        <row r="274">
          <cell r="B274">
            <v>10.707244017487199</v>
          </cell>
          <cell r="C274">
            <v>14.954194632478648</v>
          </cell>
        </row>
        <row r="275">
          <cell r="B275">
            <v>10.711855169165998</v>
          </cell>
          <cell r="C275">
            <v>14.932427222021458</v>
          </cell>
        </row>
        <row r="276">
          <cell r="B276">
            <v>10.716466320844798</v>
          </cell>
          <cell r="C276">
            <v>14.910905454281577</v>
          </cell>
        </row>
        <row r="277">
          <cell r="B277">
            <v>10.721077472523598</v>
          </cell>
          <cell r="C277">
            <v>14.889625588506977</v>
          </cell>
        </row>
        <row r="278">
          <cell r="B278">
            <v>10.725688624202398</v>
          </cell>
          <cell r="C278">
            <v>14.868583959516346</v>
          </cell>
        </row>
        <row r="279">
          <cell r="B279">
            <v>10.730299775881198</v>
          </cell>
          <cell r="C279">
            <v>14.847776975800395</v>
          </cell>
        </row>
        <row r="280">
          <cell r="B280">
            <v>10.734910927559998</v>
          </cell>
          <cell r="C280">
            <v>14.827201117679998</v>
          </cell>
        </row>
        <row r="281">
          <cell r="B281">
            <v>10.739522079238798</v>
          </cell>
          <cell r="C281">
            <v>14.806852935519396</v>
          </cell>
        </row>
        <row r="282">
          <cell r="B282">
            <v>10.744133230917598</v>
          </cell>
          <cell r="C282">
            <v>14.786729047992459</v>
          </cell>
        </row>
        <row r="283">
          <cell r="B283">
            <v>10.748744382596398</v>
          </cell>
          <cell r="C283">
            <v>14.766826140400168</v>
          </cell>
        </row>
        <row r="284">
          <cell r="B284">
            <v>10.753355534275197</v>
          </cell>
          <cell r="C284">
            <v>14.747140963037598</v>
          </cell>
        </row>
        <row r="285">
          <cell r="B285">
            <v>10.757966685953997</v>
          </cell>
          <cell r="C285">
            <v>14.727670329608705</v>
          </cell>
        </row>
        <row r="286">
          <cell r="B286">
            <v>10.762577837632797</v>
          </cell>
          <cell r="C286">
            <v>14.708411115687271</v>
          </cell>
        </row>
        <row r="287">
          <cell r="B287">
            <v>10.767188989311599</v>
          </cell>
          <cell r="C287">
            <v>14.689360257222464</v>
          </cell>
        </row>
        <row r="288">
          <cell r="B288">
            <v>10.771800140990397</v>
          </cell>
          <cell r="C288">
            <v>14.670514749087506</v>
          </cell>
        </row>
        <row r="289">
          <cell r="B289">
            <v>10.776411292669197</v>
          </cell>
          <cell r="C289">
            <v>14.651871643670006</v>
          </cell>
        </row>
        <row r="290">
          <cell r="B290">
            <v>10.781022444347997</v>
          </cell>
          <cell r="C290">
            <v>14.633428049502569</v>
          </cell>
        </row>
        <row r="291">
          <cell r="B291">
            <v>10.785633596026797</v>
          </cell>
          <cell r="C291">
            <v>14.615181129932354</v>
          </cell>
        </row>
        <row r="292">
          <cell r="B292">
            <v>10.790244747705596</v>
          </cell>
          <cell r="C292">
            <v>14.597128101828268</v>
          </cell>
        </row>
        <row r="293">
          <cell r="B293">
            <v>10.794855899384396</v>
          </cell>
          <cell r="C293">
            <v>14.579266234324592</v>
          </cell>
        </row>
        <row r="294">
          <cell r="B294">
            <v>10.799467051063196</v>
          </cell>
          <cell r="C294">
            <v>14.561592847599821</v>
          </cell>
        </row>
        <row r="295">
          <cell r="B295">
            <v>10.804078202741998</v>
          </cell>
          <cell r="C295">
            <v>14.544105311689602</v>
          </cell>
        </row>
        <row r="296">
          <cell r="B296">
            <v>10.808689354420798</v>
          </cell>
          <cell r="C296">
            <v>14.526801045332618</v>
          </cell>
        </row>
        <row r="297">
          <cell r="B297">
            <v>10.813300506099598</v>
          </cell>
          <cell r="C297">
            <v>14.509677514848415</v>
          </cell>
        </row>
        <row r="298">
          <cell r="B298">
            <v>10.817911657778399</v>
          </cell>
          <cell r="C298">
            <v>14.492732233046077</v>
          </cell>
        </row>
        <row r="299">
          <cell r="B299">
            <v>10.822522809457197</v>
          </cell>
          <cell r="C299">
            <v>14.475962758162842</v>
          </cell>
        </row>
        <row r="300">
          <cell r="B300">
            <v>10.827133961135997</v>
          </cell>
          <cell r="C300">
            <v>14.459366692831633</v>
          </cell>
        </row>
        <row r="301">
          <cell r="B301">
            <v>10.831745112814799</v>
          </cell>
          <cell r="C301">
            <v>14.442941683076628</v>
          </cell>
        </row>
        <row r="302">
          <cell r="B302">
            <v>10.836356264493597</v>
          </cell>
          <cell r="C302">
            <v>14.426685417335984</v>
          </cell>
        </row>
        <row r="303">
          <cell r="B303">
            <v>10.840967416172399</v>
          </cell>
          <cell r="C303">
            <v>14.41059562551086</v>
          </cell>
        </row>
        <row r="304">
          <cell r="B304">
            <v>10.845578567851199</v>
          </cell>
          <cell r="C304">
            <v>14.39467007803988</v>
          </cell>
        </row>
        <row r="305">
          <cell r="B305">
            <v>10.850189719529997</v>
          </cell>
          <cell r="C305">
            <v>14.378906584998331</v>
          </cell>
        </row>
        <row r="306">
          <cell r="B306">
            <v>10.854800871208798</v>
          </cell>
          <cell r="C306">
            <v>14.363302995221211</v>
          </cell>
        </row>
        <row r="307">
          <cell r="B307">
            <v>10.859412022887597</v>
          </cell>
          <cell r="C307">
            <v>14.347857195449523</v>
          </cell>
        </row>
        <row r="308">
          <cell r="B308">
            <v>10.864023174566396</v>
          </cell>
          <cell r="C308">
            <v>14.332567109498989</v>
          </cell>
        </row>
        <row r="309">
          <cell r="B309">
            <v>10.868634326245198</v>
          </cell>
          <cell r="C309">
            <v>14.317430697450545</v>
          </cell>
        </row>
        <row r="310">
          <cell r="B310">
            <v>10.873245477923998</v>
          </cell>
          <cell r="C310">
            <v>14.302445954861996</v>
          </cell>
        </row>
        <row r="311">
          <cell r="B311">
            <v>10.877856629602798</v>
          </cell>
          <cell r="C311">
            <v>14.287610912000098</v>
          </cell>
        </row>
        <row r="312">
          <cell r="B312">
            <v>10.882467781281598</v>
          </cell>
          <cell r="C312">
            <v>14.272923633092521</v>
          </cell>
        </row>
        <row r="313">
          <cell r="B313">
            <v>10.887078932960396</v>
          </cell>
          <cell r="C313">
            <v>14.258382215599083</v>
          </cell>
        </row>
        <row r="314">
          <cell r="B314">
            <v>10.891690084639198</v>
          </cell>
          <cell r="C314">
            <v>14.243984789501649</v>
          </cell>
        </row>
        <row r="315">
          <cell r="B315">
            <v>10.896301236317997</v>
          </cell>
          <cell r="C315">
            <v>14.229729516612187</v>
          </cell>
        </row>
        <row r="316">
          <cell r="B316">
            <v>10.900912387996796</v>
          </cell>
          <cell r="C316">
            <v>14.215614589898399</v>
          </cell>
        </row>
        <row r="317">
          <cell r="B317">
            <v>10.905523539675597</v>
          </cell>
          <cell r="C317">
            <v>14.201638232826406</v>
          </cell>
        </row>
        <row r="318">
          <cell r="B318">
            <v>10.910134691354397</v>
          </cell>
          <cell r="C318">
            <v>14.187798698720053</v>
          </cell>
        </row>
        <row r="319">
          <cell r="B319">
            <v>10.914745843033199</v>
          </cell>
          <cell r="C319">
            <v>14.174094270136262</v>
          </cell>
        </row>
        <row r="320">
          <cell r="B320">
            <v>10.919356994711999</v>
          </cell>
          <cell r="C320">
            <v>14.160523258255996</v>
          </cell>
        </row>
        <row r="321">
          <cell r="B321">
            <v>10.923968146390798</v>
          </cell>
          <cell r="C321">
            <v>14.147084002290416</v>
          </cell>
        </row>
        <row r="322">
          <cell r="B322">
            <v>10.928579298069598</v>
          </cell>
          <cell r="C322">
            <v>14.133774868901741</v>
          </cell>
        </row>
        <row r="323">
          <cell r="B323">
            <v>10.933190449748398</v>
          </cell>
          <cell r="C323">
            <v>14.120594251638394</v>
          </cell>
        </row>
        <row r="324">
          <cell r="B324">
            <v>10.937801601427198</v>
          </cell>
          <cell r="C324">
            <v>14.107540570384089</v>
          </cell>
        </row>
        <row r="325">
          <cell r="B325">
            <v>10.942412753105998</v>
          </cell>
          <cell r="C325">
            <v>14.094612270820344</v>
          </cell>
        </row>
        <row r="326">
          <cell r="B326">
            <v>10.947023904784798</v>
          </cell>
          <cell r="C326">
            <v>14.08180782390215</v>
          </cell>
        </row>
        <row r="327">
          <cell r="B327">
            <v>10.951635056463598</v>
          </cell>
          <cell r="C327">
            <v>14.069125725346373</v>
          </cell>
        </row>
        <row r="328">
          <cell r="B328">
            <v>10.956246208142398</v>
          </cell>
          <cell r="C328">
            <v>14.056564495132488</v>
          </cell>
        </row>
        <row r="329">
          <cell r="B329">
            <v>10.960857359821198</v>
          </cell>
          <cell r="C329">
            <v>14.044122677015416</v>
          </cell>
        </row>
        <row r="330">
          <cell r="B330">
            <v>10.965468511499997</v>
          </cell>
          <cell r="C330">
            <v>14.031798838049996</v>
          </cell>
        </row>
        <row r="331">
          <cell r="B331">
            <v>10.970079663178797</v>
          </cell>
          <cell r="C331">
            <v>14.019591568126847</v>
          </cell>
        </row>
        <row r="332">
          <cell r="B332">
            <v>10.974690814857597</v>
          </cell>
          <cell r="C332">
            <v>14.007499479519275</v>
          </cell>
        </row>
        <row r="333">
          <cell r="B333">
            <v>10.979301966536397</v>
          </cell>
          <cell r="C333">
            <v>13.995521206440923</v>
          </cell>
        </row>
        <row r="334">
          <cell r="B334">
            <v>10.983913118215197</v>
          </cell>
          <cell r="C334">
            <v>13.983655404613895</v>
          </cell>
        </row>
        <row r="335">
          <cell r="B335">
            <v>10.988524269893997</v>
          </cell>
          <cell r="C335">
            <v>13.971900750846997</v>
          </cell>
        </row>
        <row r="336">
          <cell r="B336">
            <v>10.993135421572797</v>
          </cell>
          <cell r="C336">
            <v>13.960255942623899</v>
          </cell>
        </row>
        <row r="337">
          <cell r="B337">
            <v>10.997746573251597</v>
          </cell>
          <cell r="C337">
            <v>13.948719697700893</v>
          </cell>
        </row>
        <row r="338">
          <cell r="B338">
            <v>11.002357724930397</v>
          </cell>
          <cell r="C338">
            <v>13.937290753714032</v>
          </cell>
        </row>
        <row r="339">
          <cell r="B339">
            <v>11.006968876609198</v>
          </cell>
          <cell r="C339">
            <v>13.925967867795331</v>
          </cell>
        </row>
        <row r="340">
          <cell r="B340">
            <v>11.011580028287996</v>
          </cell>
          <cell r="C340">
            <v>13.914749816197844</v>
          </cell>
        </row>
        <row r="341">
          <cell r="B341">
            <v>11.016191179966796</v>
          </cell>
          <cell r="C341">
            <v>13.903635393929374</v>
          </cell>
        </row>
        <row r="342">
          <cell r="B342">
            <v>11.020802331645596</v>
          </cell>
          <cell r="C342">
            <v>13.892623414394551</v>
          </cell>
        </row>
        <row r="343">
          <cell r="B343">
            <v>11.025413483324398</v>
          </cell>
          <cell r="C343">
            <v>13.88171270904509</v>
          </cell>
        </row>
        <row r="344">
          <cell r="B344">
            <v>11.030024635003199</v>
          </cell>
          <cell r="C344">
            <v>13.870902127037962</v>
          </cell>
        </row>
        <row r="345">
          <cell r="B345">
            <v>11.034635786681998</v>
          </cell>
          <cell r="C345">
            <v>13.860190534901372</v>
          </cell>
        </row>
        <row r="346">
          <cell r="B346">
            <v>11.039246938360797</v>
          </cell>
          <cell r="C346">
            <v>13.849576816208216</v>
          </cell>
        </row>
        <row r="347">
          <cell r="B347">
            <v>11.043858090039599</v>
          </cell>
          <cell r="C347">
            <v>13.839059871256875</v>
          </cell>
        </row>
        <row r="348">
          <cell r="B348">
            <v>11.048469241718397</v>
          </cell>
          <cell r="C348">
            <v>13.828638616759196</v>
          </cell>
        </row>
        <row r="349">
          <cell r="B349">
            <v>11.053080393397197</v>
          </cell>
          <cell r="C349">
            <v>13.818311985535399</v>
          </cell>
        </row>
        <row r="350">
          <cell r="B350">
            <v>11.057691545075999</v>
          </cell>
          <cell r="C350">
            <v>13.808078926215774</v>
          </cell>
        </row>
        <row r="351">
          <cell r="B351">
            <v>11.062302696754797</v>
          </cell>
          <cell r="C351">
            <v>13.797938402948983</v>
          </cell>
        </row>
        <row r="352">
          <cell r="B352">
            <v>11.066913848433598</v>
          </cell>
          <cell r="C352">
            <v>13.787889395116798</v>
          </cell>
        </row>
        <row r="353">
          <cell r="B353">
            <v>11.071525000112398</v>
          </cell>
          <cell r="C353">
            <v>13.777930897055098</v>
          </cell>
        </row>
        <row r="354">
          <cell r="B354">
            <v>11.076136151791196</v>
          </cell>
          <cell r="C354">
            <v>13.768061917781001</v>
          </cell>
        </row>
        <row r="355">
          <cell r="B355">
            <v>11.080747303469998</v>
          </cell>
          <cell r="C355">
            <v>13.758281480725906</v>
          </cell>
        </row>
        <row r="356">
          <cell r="B356">
            <v>11.085358455148798</v>
          </cell>
          <cell r="C356">
            <v>13.748588623474397</v>
          </cell>
        </row>
        <row r="357">
          <cell r="B357">
            <v>11.089969606827598</v>
          </cell>
          <cell r="C357">
            <v>13.738982397508744</v>
          </cell>
        </row>
        <row r="358">
          <cell r="B358">
            <v>11.094580758506396</v>
          </cell>
          <cell r="C358">
            <v>13.729461867958952</v>
          </cell>
        </row>
        <row r="359">
          <cell r="B359">
            <v>11.099191910185196</v>
          </cell>
          <cell r="C359">
            <v>13.720026113358188</v>
          </cell>
        </row>
        <row r="360">
          <cell r="B360">
            <v>11.103803061863998</v>
          </cell>
          <cell r="C360">
            <v>13.710674225403427</v>
          </cell>
        </row>
        <row r="361">
          <cell r="B361">
            <v>11.108414213542797</v>
          </cell>
          <cell r="C361">
            <v>13.701405308721217</v>
          </cell>
        </row>
        <row r="362">
          <cell r="B362">
            <v>11.113025365221597</v>
          </cell>
          <cell r="C362">
            <v>13.692218480638456</v>
          </cell>
        </row>
        <row r="363">
          <cell r="B363">
            <v>11.117636516900397</v>
          </cell>
          <cell r="C363">
            <v>13.68311287095797</v>
          </cell>
        </row>
        <row r="364">
          <cell r="B364">
            <v>11.122247668579195</v>
          </cell>
          <cell r="C364">
            <v>13.674087621738893</v>
          </cell>
        </row>
        <row r="365">
          <cell r="B365">
            <v>11.126858820257995</v>
          </cell>
          <cell r="C365">
            <v>13.66514188708163</v>
          </cell>
        </row>
        <row r="366">
          <cell r="B366">
            <v>11.131469971936799</v>
          </cell>
          <cell r="C366">
            <v>13.656274832917347</v>
          </cell>
        </row>
        <row r="367">
          <cell r="B367">
            <v>11.136081123615599</v>
          </cell>
          <cell r="C367">
            <v>13.647485636801871</v>
          </cell>
        </row>
        <row r="368">
          <cell r="B368">
            <v>11.140692275294398</v>
          </cell>
          <cell r="C368">
            <v>13.638773487713863</v>
          </cell>
        </row>
        <row r="369">
          <cell r="B369">
            <v>11.1453034269732</v>
          </cell>
          <cell r="C369">
            <v>13.630137585857186</v>
          </cell>
        </row>
        <row r="370">
          <cell r="B370">
            <v>11.149914578651996</v>
          </cell>
          <cell r="C370">
            <v>13.621577142467375</v>
          </cell>
        </row>
        <row r="371">
          <cell r="B371">
            <v>11.154525730330798</v>
          </cell>
          <cell r="C371">
            <v>13.613091379622098</v>
          </cell>
        </row>
        <row r="372">
          <cell r="B372">
            <v>11.159136882009598</v>
          </cell>
          <cell r="C372">
            <v>13.604679530055483</v>
          </cell>
        </row>
        <row r="373">
          <cell r="B373">
            <v>11.163748033688398</v>
          </cell>
          <cell r="C373">
            <v>13.596340836976278</v>
          </cell>
        </row>
        <row r="374">
          <cell r="B374">
            <v>11.168359185367198</v>
          </cell>
          <cell r="C374">
            <v>13.588074553889717</v>
          </cell>
        </row>
        <row r="375">
          <cell r="B375">
            <v>11.172970337045996</v>
          </cell>
          <cell r="C375">
            <v>13.579879944422997</v>
          </cell>
        </row>
        <row r="376">
          <cell r="B376">
            <v>11.177581488724798</v>
          </cell>
          <cell r="C376">
            <v>13.57175628215429</v>
          </cell>
        </row>
        <row r="377">
          <cell r="B377">
            <v>11.182192640403597</v>
          </cell>
          <cell r="C377">
            <v>13.56370285044523</v>
          </cell>
        </row>
        <row r="378">
          <cell r="B378">
            <v>11.186803792082397</v>
          </cell>
          <cell r="C378">
            <v>13.555718942276766</v>
          </cell>
        </row>
        <row r="379">
          <cell r="B379">
            <v>11.191414943761197</v>
          </cell>
          <cell r="C379">
            <v>13.54780386008829</v>
          </cell>
        </row>
        <row r="380">
          <cell r="B380">
            <v>11.196026095439999</v>
          </cell>
          <cell r="C380">
            <v>13.539956915619996</v>
          </cell>
        </row>
        <row r="381">
          <cell r="B381">
            <v>11.200637247118799</v>
          </cell>
          <cell r="C381">
            <v>13.532177429758399</v>
          </cell>
        </row>
        <row r="382">
          <cell r="B382">
            <v>11.205248398797597</v>
          </cell>
          <cell r="C382">
            <v>13.524464732384891</v>
          </cell>
        </row>
        <row r="383">
          <cell r="B383">
            <v>11.209859550476397</v>
          </cell>
          <cell r="C383">
            <v>13.516818162227308</v>
          </cell>
        </row>
        <row r="384">
          <cell r="B384">
            <v>11.214470702155197</v>
          </cell>
          <cell r="C384">
            <v>13.509237066714437</v>
          </cell>
        </row>
        <row r="385">
          <cell r="B385">
            <v>11.219081853833998</v>
          </cell>
          <cell r="C385">
            <v>13.501720801833391</v>
          </cell>
        </row>
        <row r="386">
          <cell r="B386">
            <v>11.223693005512798</v>
          </cell>
          <cell r="C386">
            <v>13.494268731989729</v>
          </cell>
        </row>
        <row r="387">
          <cell r="B387">
            <v>11.228304157191596</v>
          </cell>
          <cell r="C387">
            <v>13.486880229870387</v>
          </cell>
        </row>
        <row r="388">
          <cell r="B388">
            <v>11.232915308870396</v>
          </cell>
          <cell r="C388">
            <v>13.479554676309224</v>
          </cell>
        </row>
        <row r="389">
          <cell r="B389">
            <v>11.237526460549198</v>
          </cell>
          <cell r="C389">
            <v>13.47229146015518</v>
          </cell>
        </row>
        <row r="390">
          <cell r="B390">
            <v>11.242137612227998</v>
          </cell>
          <cell r="C390">
            <v>13.465089978143029</v>
          </cell>
        </row>
        <row r="391">
          <cell r="B391">
            <v>11.246748763906799</v>
          </cell>
          <cell r="C391">
            <v>13.45794963476658</v>
          </cell>
        </row>
        <row r="392">
          <cell r="B392">
            <v>11.251359915585599</v>
          </cell>
          <cell r="C392">
            <v>13.450869842154335</v>
          </cell>
        </row>
        <row r="393">
          <cell r="B393">
            <v>11.255971067264397</v>
          </cell>
          <cell r="C393">
            <v>13.443850019947531</v>
          </cell>
        </row>
        <row r="394">
          <cell r="B394">
            <v>11.260582218943197</v>
          </cell>
          <cell r="C394">
            <v>13.436889595180514</v>
          </cell>
        </row>
        <row r="395">
          <cell r="B395">
            <v>11.265193370621997</v>
          </cell>
          <cell r="C395">
            <v>13.429988002163379</v>
          </cell>
        </row>
        <row r="396">
          <cell r="B396">
            <v>11.269804522300799</v>
          </cell>
          <cell r="C396">
            <v>13.42314468236685</v>
          </cell>
        </row>
        <row r="397">
          <cell r="B397">
            <v>11.274415673979599</v>
          </cell>
          <cell r="C397">
            <v>13.416359084309354</v>
          </cell>
        </row>
        <row r="398">
          <cell r="B398">
            <v>11.279026825658399</v>
          </cell>
          <cell r="C398">
            <v>13.409630663446178</v>
          </cell>
        </row>
        <row r="399">
          <cell r="B399">
            <v>11.283637977337197</v>
          </cell>
          <cell r="C399">
            <v>13.40295888206076</v>
          </cell>
        </row>
        <row r="400">
          <cell r="B400">
            <v>11.288249129015997</v>
          </cell>
          <cell r="C400">
            <v>13.396343209157996</v>
          </cell>
        </row>
        <row r="401">
          <cell r="B401">
            <v>11.292860280694798</v>
          </cell>
          <cell r="C401">
            <v>13.389783120359548</v>
          </cell>
        </row>
        <row r="402">
          <cell r="B402">
            <v>11.297471432373598</v>
          </cell>
          <cell r="C402">
            <v>13.383278097801083</v>
          </cell>
        </row>
        <row r="403">
          <cell r="B403">
            <v>11.302082584052398</v>
          </cell>
          <cell r="C403">
            <v>13.37682763003146</v>
          </cell>
        </row>
        <row r="404">
          <cell r="B404">
            <v>11.306693735731196</v>
          </cell>
          <cell r="C404">
            <v>13.370431211913745</v>
          </cell>
        </row>
        <row r="405">
          <cell r="B405">
            <v>11.311304887409996</v>
          </cell>
          <cell r="C405">
            <v>13.364088344528074</v>
          </cell>
        </row>
        <row r="406">
          <cell r="B406">
            <v>11.315916039088796</v>
          </cell>
          <cell r="C406">
            <v>13.3577985350763</v>
          </cell>
        </row>
        <row r="407">
          <cell r="B407">
            <v>11.320527190767598</v>
          </cell>
          <cell r="C407">
            <v>13.351561296788384</v>
          </cell>
        </row>
        <row r="408">
          <cell r="B408">
            <v>11.325138342446397</v>
          </cell>
          <cell r="C408">
            <v>13.345376148830516</v>
          </cell>
        </row>
        <row r="409">
          <cell r="B409">
            <v>11.329749494125197</v>
          </cell>
          <cell r="C409">
            <v>13.339242616214877</v>
          </cell>
        </row>
        <row r="410">
          <cell r="B410">
            <v>11.334360645803999</v>
          </cell>
          <cell r="C410">
            <v>13.333160229711087</v>
          </cell>
        </row>
        <row r="411">
          <cell r="B411">
            <v>11.338971797482795</v>
          </cell>
          <cell r="C411">
            <v>13.327128525759223</v>
          </cell>
        </row>
        <row r="412">
          <cell r="B412">
            <v>11.343582949161597</v>
          </cell>
          <cell r="C412">
            <v>13.321147046384411</v>
          </cell>
        </row>
        <row r="413">
          <cell r="B413">
            <v>11.348194100840399</v>
          </cell>
          <cell r="C413">
            <v>13.31521533911299</v>
          </cell>
        </row>
        <row r="414">
          <cell r="B414">
            <v>11.352805252519198</v>
          </cell>
          <cell r="C414">
            <v>13.309332956890135</v>
          </cell>
        </row>
        <row r="415">
          <cell r="B415">
            <v>11.357416404197998</v>
          </cell>
          <cell r="C415">
            <v>13.303499457998997</v>
          </cell>
        </row>
        <row r="416">
          <cell r="B416">
            <v>11.362027555876796</v>
          </cell>
          <cell r="C416">
            <v>13.297714405981253</v>
          </cell>
        </row>
        <row r="417">
          <cell r="B417">
            <v>11.366638707555598</v>
          </cell>
          <cell r="C417">
            <v>13.291977369559104</v>
          </cell>
        </row>
        <row r="418">
          <cell r="B418">
            <v>11.371249859234398</v>
          </cell>
          <cell r="C418">
            <v>13.286287922558618</v>
          </cell>
        </row>
        <row r="419">
          <cell r="B419">
            <v>11.375861010913198</v>
          </cell>
          <cell r="C419">
            <v>13.280645643834472</v>
          </cell>
        </row>
        <row r="420">
          <cell r="B420">
            <v>11.380472162591998</v>
          </cell>
          <cell r="C420">
            <v>13.275050117195997</v>
          </cell>
        </row>
        <row r="421">
          <cell r="B421">
            <v>11.385083314270796</v>
          </cell>
          <cell r="C421">
            <v>13.269500931334516</v>
          </cell>
        </row>
        <row r="422">
          <cell r="B422">
            <v>11.389694465949596</v>
          </cell>
          <cell r="C422">
            <v>13.263997679751991</v>
          </cell>
        </row>
        <row r="423">
          <cell r="B423">
            <v>11.394305617628397</v>
          </cell>
          <cell r="C423">
            <v>13.258539960690875</v>
          </cell>
        </row>
        <row r="424">
          <cell r="B424">
            <v>11.398916769307197</v>
          </cell>
          <cell r="C424">
            <v>13.253127377065224</v>
          </cell>
        </row>
        <row r="425">
          <cell r="B425">
            <v>11.403527920985997</v>
          </cell>
          <cell r="C425">
            <v>13.247759536392996</v>
          </cell>
        </row>
        <row r="426">
          <cell r="B426">
            <v>11.408139072664799</v>
          </cell>
          <cell r="C426">
            <v>13.242436050729507</v>
          </cell>
        </row>
        <row r="427">
          <cell r="B427">
            <v>11.412750224343599</v>
          </cell>
          <cell r="C427">
            <v>13.237156536602058</v>
          </cell>
        </row>
        <row r="428">
          <cell r="B428">
            <v>11.417361376022397</v>
          </cell>
          <cell r="C428">
            <v>13.231920614945681</v>
          </cell>
        </row>
        <row r="429">
          <cell r="B429">
            <v>11.421972527701197</v>
          </cell>
          <cell r="C429">
            <v>13.226727911039998</v>
          </cell>
        </row>
        <row r="430">
          <cell r="B430">
            <v>11.426583679379997</v>
          </cell>
          <cell r="C430">
            <v>13.221578054447141</v>
          </cell>
        </row>
        <row r="431">
          <cell r="B431">
            <v>11.431194831058797</v>
          </cell>
          <cell r="C431">
            <v>13.216470678950763</v>
          </cell>
        </row>
        <row r="432">
          <cell r="B432">
            <v>11.435805982737598</v>
          </cell>
          <cell r="C432">
            <v>13.211405422496069</v>
          </cell>
        </row>
        <row r="433">
          <cell r="B433">
            <v>11.440417134416396</v>
          </cell>
          <cell r="C433">
            <v>13.206381927130861</v>
          </cell>
        </row>
        <row r="434">
          <cell r="B434">
            <v>11.445028286095196</v>
          </cell>
          <cell r="C434">
            <v>13.201399838947596</v>
          </cell>
        </row>
        <row r="435">
          <cell r="B435">
            <v>11.449639437773996</v>
          </cell>
          <cell r="C435">
            <v>13.196458808026433</v>
          </cell>
        </row>
        <row r="436">
          <cell r="B436">
            <v>11.454250589452798</v>
          </cell>
          <cell r="C436">
            <v>13.191558488379208</v>
          </cell>
        </row>
        <row r="437">
          <cell r="B437">
            <v>11.458861741131599</v>
          </cell>
          <cell r="C437">
            <v>13.186698537894369</v>
          </cell>
        </row>
        <row r="438">
          <cell r="B438">
            <v>11.463472892810399</v>
          </cell>
          <cell r="C438">
            <v>13.18187861828285</v>
          </cell>
        </row>
        <row r="439">
          <cell r="B439">
            <v>11.468084044489199</v>
          </cell>
          <cell r="C439">
            <v>13.177098395024823</v>
          </cell>
        </row>
        <row r="440">
          <cell r="B440">
            <v>11.472695196167997</v>
          </cell>
          <cell r="C440">
            <v>13.172357537317332</v>
          </cell>
        </row>
        <row r="441">
          <cell r="B441">
            <v>11.477306347846797</v>
          </cell>
          <cell r="C441">
            <v>13.167655718022845</v>
          </cell>
        </row>
        <row r="442">
          <cell r="B442">
            <v>11.481917499525599</v>
          </cell>
          <cell r="C442">
            <v>13.1629926136186</v>
          </cell>
        </row>
        <row r="443">
          <cell r="B443">
            <v>11.486528651204399</v>
          </cell>
          <cell r="C443">
            <v>13.158367904146827</v>
          </cell>
        </row>
        <row r="444">
          <cell r="B444">
            <v>11.491139802883199</v>
          </cell>
          <cell r="C444">
            <v>13.153781273165773</v>
          </cell>
        </row>
        <row r="445">
          <cell r="B445">
            <v>11.495750954561997</v>
          </cell>
          <cell r="C445">
            <v>13.149232407701545</v>
          </cell>
        </row>
        <row r="446">
          <cell r="B446">
            <v>11.500362106240797</v>
          </cell>
          <cell r="C446">
            <v>13.144720998200725</v>
          </cell>
        </row>
        <row r="447">
          <cell r="B447">
            <v>11.504973257919596</v>
          </cell>
          <cell r="C447">
            <v>13.140246738483777</v>
          </cell>
        </row>
        <row r="448">
          <cell r="B448">
            <v>11.509584409598398</v>
          </cell>
          <cell r="C448">
            <v>13.135809325699197</v>
          </cell>
        </row>
        <row r="449">
          <cell r="B449">
            <v>11.514195561277198</v>
          </cell>
          <cell r="C449">
            <v>13.131408460278434</v>
          </cell>
        </row>
        <row r="450">
          <cell r="B450">
            <v>11.518806712955996</v>
          </cell>
          <cell r="C450">
            <v>13.12704384589151</v>
          </cell>
        </row>
        <row r="451">
          <cell r="B451">
            <v>11.523417864634796</v>
          </cell>
          <cell r="C451">
            <v>13.122715189403381</v>
          </cell>
        </row>
        <row r="452">
          <cell r="B452">
            <v>11.528029016313596</v>
          </cell>
          <cell r="C452">
            <v>13.118422200830992</v>
          </cell>
        </row>
        <row r="453">
          <cell r="B453">
            <v>11.532640167992398</v>
          </cell>
          <cell r="C453">
            <v>13.114164593301021</v>
          </cell>
        </row>
        <row r="454">
          <cell r="B454">
            <v>11.537251319671197</v>
          </cell>
          <cell r="C454">
            <v>13.109942083008324</v>
          </cell>
        </row>
        <row r="455">
          <cell r="B455">
            <v>11.541862471349997</v>
          </cell>
          <cell r="C455">
            <v>13.105754389174997</v>
          </cell>
        </row>
        <row r="456">
          <cell r="B456">
            <v>11.546473623028797</v>
          </cell>
          <cell r="C456">
            <v>13.101601234010143</v>
          </cell>
        </row>
        <row r="457">
          <cell r="B457">
            <v>11.551084774707595</v>
          </cell>
          <cell r="C457">
            <v>13.097482342670244</v>
          </cell>
        </row>
        <row r="458">
          <cell r="B458">
            <v>11.555695926386397</v>
          </cell>
          <cell r="C458">
            <v>13.09339744322018</v>
          </cell>
        </row>
        <row r="459">
          <cell r="B459">
            <v>11.560307078065199</v>
          </cell>
          <cell r="C459">
            <v>13.089346266594866</v>
          </cell>
        </row>
        <row r="460">
          <cell r="B460">
            <v>11.564918229743999</v>
          </cell>
          <cell r="C460">
            <v>13.08532854656147</v>
          </cell>
        </row>
        <row r="461">
          <cell r="B461">
            <v>11.569529381422798</v>
          </cell>
          <cell r="C461">
            <v>13.081344019682264</v>
          </cell>
        </row>
        <row r="462">
          <cell r="B462">
            <v>11.574140533101597</v>
          </cell>
          <cell r="C462">
            <v>13.077392425278022</v>
          </cell>
        </row>
        <row r="463">
          <cell r="B463">
            <v>11.578751684780396</v>
          </cell>
          <cell r="C463">
            <v>13.073473505392025</v>
          </cell>
        </row>
        <row r="464">
          <cell r="B464">
            <v>11.583362836459198</v>
          </cell>
          <cell r="C464">
            <v>13.069587004754597</v>
          </cell>
        </row>
        <row r="465">
          <cell r="B465">
            <v>11.587973988137998</v>
          </cell>
          <cell r="C465">
            <v>13.065732670748217</v>
          </cell>
        </row>
        <row r="466">
          <cell r="B466">
            <v>11.592585139816798</v>
          </cell>
          <cell r="C466">
            <v>13.061910253373163</v>
          </cell>
        </row>
        <row r="467">
          <cell r="B467">
            <v>11.597196291495599</v>
          </cell>
          <cell r="C467">
            <v>13.058119505213689</v>
          </cell>
        </row>
        <row r="468">
          <cell r="B468">
            <v>11.601807443174396</v>
          </cell>
          <cell r="C468">
            <v>13.054360181404723</v>
          </cell>
        </row>
        <row r="469">
          <cell r="B469">
            <v>11.606418594853197</v>
          </cell>
          <cell r="C469">
            <v>13.050632039599092</v>
          </cell>
        </row>
        <row r="470">
          <cell r="B470">
            <v>11.611029746531997</v>
          </cell>
          <cell r="C470">
            <v>13.046934839935229</v>
          </cell>
        </row>
        <row r="471">
          <cell r="B471">
            <v>11.615640898210797</v>
          </cell>
          <cell r="C471">
            <v>13.043268345005398</v>
          </cell>
        </row>
        <row r="472">
          <cell r="B472">
            <v>11.620252049889597</v>
          </cell>
          <cell r="C472">
            <v>13.039632319824388</v>
          </cell>
        </row>
        <row r="473">
          <cell r="B473">
            <v>11.624863201568399</v>
          </cell>
          <cell r="C473">
            <v>13.036026531798703</v>
          </cell>
        </row>
        <row r="474">
          <cell r="B474">
            <v>11.629474353247197</v>
          </cell>
          <cell r="C474">
            <v>13.032450750696187</v>
          </cell>
        </row>
        <row r="475">
          <cell r="B475">
            <v>11.634085504925997</v>
          </cell>
          <cell r="C475">
            <v>13.028904748616162</v>
          </cell>
        </row>
        <row r="476">
          <cell r="B476">
            <v>11.638696656604797</v>
          </cell>
          <cell r="C476">
            <v>13.025388299959973</v>
          </cell>
        </row>
        <row r="477">
          <cell r="B477">
            <v>11.643307808283597</v>
          </cell>
          <cell r="C477">
            <v>13.021901181401999</v>
          </cell>
        </row>
        <row r="478">
          <cell r="B478">
            <v>11.647918959962398</v>
          </cell>
          <cell r="C478">
            <v>13.018443171861097</v>
          </cell>
        </row>
        <row r="479">
          <cell r="B479">
            <v>11.652530111641195</v>
          </cell>
          <cell r="C479">
            <v>13.015014052472475</v>
          </cell>
        </row>
        <row r="480">
          <cell r="B480">
            <v>11.657141263319996</v>
          </cell>
          <cell r="C480">
            <v>13.011613606559997</v>
          </cell>
        </row>
        <row r="481">
          <cell r="B481">
            <v>11.661752414998796</v>
          </cell>
          <cell r="C481">
            <v>13.008241619608874</v>
          </cell>
        </row>
        <row r="482">
          <cell r="B482">
            <v>11.666363566677596</v>
          </cell>
          <cell r="C482">
            <v>13.004897879238797</v>
          </cell>
        </row>
        <row r="483">
          <cell r="B483">
            <v>11.670974718356399</v>
          </cell>
          <cell r="C483">
            <v>13.001582175177454</v>
          </cell>
        </row>
        <row r="484">
          <cell r="B484">
            <v>11.675585870035199</v>
          </cell>
          <cell r="C484">
            <v>12.998294299234429</v>
          </cell>
        </row>
        <row r="485">
          <cell r="B485">
            <v>11.680197021713999</v>
          </cell>
          <cell r="C485">
            <v>12.995034045275515</v>
          </cell>
        </row>
        <row r="486">
          <cell r="B486">
            <v>11.684808173392797</v>
          </cell>
          <cell r="C486">
            <v>12.991801209197382</v>
          </cell>
        </row>
        <row r="487">
          <cell r="B487">
            <v>11.689419325071597</v>
          </cell>
          <cell r="C487">
            <v>12.988595588902628</v>
          </cell>
        </row>
        <row r="488">
          <cell r="B488">
            <v>11.694030476750397</v>
          </cell>
          <cell r="C488">
            <v>12.985416984275197</v>
          </cell>
        </row>
        <row r="489">
          <cell r="B489">
            <v>11.698641628429199</v>
          </cell>
          <cell r="C489">
            <v>12.982265197156162</v>
          </cell>
        </row>
        <row r="490">
          <cell r="B490">
            <v>11.703252780107999</v>
          </cell>
          <cell r="C490">
            <v>12.979140031319849</v>
          </cell>
        </row>
        <row r="491">
          <cell r="B491">
            <v>11.707863931786797</v>
          </cell>
          <cell r="C491">
            <v>12.976041292450331</v>
          </cell>
        </row>
        <row r="492">
          <cell r="B492">
            <v>11.712475083465597</v>
          </cell>
          <cell r="C492">
            <v>12.972968788118234</v>
          </cell>
        </row>
        <row r="493">
          <cell r="B493">
            <v>11.717086235144397</v>
          </cell>
          <cell r="C493">
            <v>12.969922327757914</v>
          </cell>
        </row>
        <row r="494">
          <cell r="B494">
            <v>11.721697386823198</v>
          </cell>
          <cell r="C494">
            <v>12.966901722644929</v>
          </cell>
        </row>
        <row r="495">
          <cell r="B495">
            <v>11.726308538501998</v>
          </cell>
          <cell r="C495">
            <v>12.96390678587389</v>
          </cell>
        </row>
        <row r="496">
          <cell r="B496">
            <v>11.730919690180798</v>
          </cell>
          <cell r="C496">
            <v>12.960937332336552</v>
          </cell>
        </row>
        <row r="497">
          <cell r="B497">
            <v>11.735530841859596</v>
          </cell>
          <cell r="C497">
            <v>12.957993178700301</v>
          </cell>
        </row>
        <row r="498">
          <cell r="B498">
            <v>11.740141993538396</v>
          </cell>
          <cell r="C498">
            <v>12.9550741433869</v>
          </cell>
        </row>
        <row r="499">
          <cell r="B499">
            <v>11.744753145217198</v>
          </cell>
          <cell r="C499">
            <v>12.952180046551558</v>
          </cell>
        </row>
        <row r="500">
          <cell r="B500">
            <v>11.749364296895997</v>
          </cell>
          <cell r="C500">
            <v>12.949310710062283</v>
          </cell>
        </row>
        <row r="501">
          <cell r="B501">
            <v>11.753975448574797</v>
          </cell>
          <cell r="C501">
            <v>12.946465957479559</v>
          </cell>
        </row>
        <row r="502">
          <cell r="B502">
            <v>11.758586600253597</v>
          </cell>
          <cell r="C502">
            <v>12.943645614036276</v>
          </cell>
        </row>
        <row r="503">
          <cell r="B503">
            <v>11.763197751932395</v>
          </cell>
          <cell r="C503">
            <v>12.940849506617971</v>
          </cell>
        </row>
        <row r="504">
          <cell r="B504">
            <v>11.767808903611195</v>
          </cell>
          <cell r="C504">
            <v>12.938077463743335</v>
          </cell>
        </row>
        <row r="505">
          <cell r="B505">
            <v>11.772420055289997</v>
          </cell>
          <cell r="C505">
            <v>12.935329315544998</v>
          </cell>
        </row>
        <row r="506">
          <cell r="B506">
            <v>11.777031206968799</v>
          </cell>
          <cell r="C506">
            <v>12.932604893750593</v>
          </cell>
        </row>
        <row r="507">
          <cell r="B507">
            <v>11.781642358647598</v>
          </cell>
          <cell r="C507">
            <v>12.929904031664078</v>
          </cell>
        </row>
        <row r="508">
          <cell r="B508">
            <v>11.786253510326397</v>
          </cell>
          <cell r="C508">
            <v>12.927226564147311</v>
          </cell>
        </row>
        <row r="509">
          <cell r="B509">
            <v>11.790864662005196</v>
          </cell>
          <cell r="C509">
            <v>12.924572327601897</v>
          </cell>
        </row>
        <row r="510">
          <cell r="B510">
            <v>11.795475813683998</v>
          </cell>
          <cell r="C510">
            <v>12.921941159951299</v>
          </cell>
        </row>
        <row r="511">
          <cell r="B511">
            <v>11.800086965362798</v>
          </cell>
          <cell r="C511">
            <v>12.919332900623163</v>
          </cell>
        </row>
        <row r="512">
          <cell r="B512">
            <v>11.804698117041598</v>
          </cell>
          <cell r="C512">
            <v>12.916747390531906</v>
          </cell>
        </row>
        <row r="513">
          <cell r="B513">
            <v>11.809309268720398</v>
          </cell>
          <cell r="C513">
            <v>12.914184472061581</v>
          </cell>
        </row>
        <row r="514">
          <cell r="B514">
            <v>11.813920420399199</v>
          </cell>
          <cell r="C514">
            <v>12.911643989048907</v>
          </cell>
        </row>
        <row r="515">
          <cell r="B515">
            <v>11.818531572077998</v>
          </cell>
          <cell r="C515">
            <v>12.909125786766586</v>
          </cell>
        </row>
        <row r="516">
          <cell r="B516">
            <v>11.823142723756797</v>
          </cell>
          <cell r="C516">
            <v>12.906629711906838</v>
          </cell>
        </row>
        <row r="517">
          <cell r="B517">
            <v>11.827753875435597</v>
          </cell>
          <cell r="C517">
            <v>12.904155612565166</v>
          </cell>
        </row>
        <row r="518">
          <cell r="B518">
            <v>11.832365027114397</v>
          </cell>
          <cell r="C518">
            <v>12.901703338224321</v>
          </cell>
        </row>
        <row r="519">
          <cell r="B519">
            <v>11.836976178793199</v>
          </cell>
          <cell r="C519">
            <v>12.899272739738509</v>
          </cell>
        </row>
        <row r="520">
          <cell r="B520">
            <v>11.841587330471995</v>
          </cell>
          <cell r="C520">
            <v>12.896863669317815</v>
          </cell>
        </row>
        <row r="521">
          <cell r="B521">
            <v>11.846198482150797</v>
          </cell>
          <cell r="C521">
            <v>12.89447598051281</v>
          </cell>
        </row>
        <row r="522">
          <cell r="B522">
            <v>11.850809633829597</v>
          </cell>
          <cell r="C522">
            <v>12.892109528199413</v>
          </cell>
        </row>
        <row r="523">
          <cell r="B523">
            <v>11.855420785508397</v>
          </cell>
          <cell r="C523">
            <v>12.889764168563905</v>
          </cell>
        </row>
        <row r="524">
          <cell r="B524">
            <v>11.860031937187198</v>
          </cell>
          <cell r="C524">
            <v>12.887439759088196</v>
          </cell>
        </row>
        <row r="525">
          <cell r="B525">
            <v>11.864643088865998</v>
          </cell>
          <cell r="C525">
            <v>12.885136158535245</v>
          </cell>
        </row>
        <row r="526">
          <cell r="B526">
            <v>11.869254240544796</v>
          </cell>
          <cell r="C526">
            <v>12.882853226934728</v>
          </cell>
        </row>
        <row r="527">
          <cell r="B527">
            <v>11.873865392223596</v>
          </cell>
          <cell r="C527">
            <v>12.880590825568845</v>
          </cell>
        </row>
        <row r="528">
          <cell r="B528">
            <v>11.878476543902396</v>
          </cell>
          <cell r="C528">
            <v>12.878348816958338</v>
          </cell>
        </row>
        <row r="529">
          <cell r="B529">
            <v>11.883087695581196</v>
          </cell>
          <cell r="C529">
            <v>12.876127064848724</v>
          </cell>
        </row>
        <row r="530">
          <cell r="B530">
            <v>11.887698847259999</v>
          </cell>
          <cell r="C530">
            <v>12.873925434196664</v>
          </cell>
        </row>
        <row r="531">
          <cell r="B531">
            <v>11.892309998938799</v>
          </cell>
          <cell r="C531">
            <v>12.871743791156536</v>
          </cell>
        </row>
        <row r="532">
          <cell r="B532">
            <v>11.896921150617597</v>
          </cell>
          <cell r="C532">
            <v>12.869582003067205</v>
          </cell>
        </row>
        <row r="533">
          <cell r="B533">
            <v>11.901532302296397</v>
          </cell>
          <cell r="C533">
            <v>12.867439938438926</v>
          </cell>
        </row>
        <row r="534">
          <cell r="B534">
            <v>11.906143453975197</v>
          </cell>
          <cell r="C534">
            <v>12.865317466940459</v>
          </cell>
        </row>
        <row r="535">
          <cell r="B535">
            <v>11.910754605653999</v>
          </cell>
          <cell r="C535">
            <v>12.863214459386338</v>
          </cell>
        </row>
        <row r="536">
          <cell r="B536">
            <v>11.915365757332799</v>
          </cell>
          <cell r="C536">
            <v>12.861130787724292</v>
          </cell>
        </row>
        <row r="537">
          <cell r="B537">
            <v>11.919976909011597</v>
          </cell>
          <cell r="C537">
            <v>12.859066325022866</v>
          </cell>
        </row>
        <row r="538">
          <cell r="B538">
            <v>11.924588060690397</v>
          </cell>
          <cell r="C538">
            <v>12.857020945459169</v>
          </cell>
        </row>
        <row r="539">
          <cell r="B539">
            <v>11.929199212369197</v>
          </cell>
          <cell r="C539">
            <v>12.854994524306818</v>
          </cell>
        </row>
        <row r="540">
          <cell r="B540">
            <v>11.933810364047998</v>
          </cell>
          <cell r="C540">
            <v>12.852986937923996</v>
          </cell>
        </row>
        <row r="541">
          <cell r="B541">
            <v>11.938421515726798</v>
          </cell>
          <cell r="C541">
            <v>12.850998063741702</v>
          </cell>
        </row>
        <row r="542">
          <cell r="B542">
            <v>11.943032667405598</v>
          </cell>
          <cell r="C542">
            <v>12.849027780252147</v>
          </cell>
        </row>
        <row r="543">
          <cell r="B543">
            <v>11.947643819084398</v>
          </cell>
          <cell r="C543">
            <v>12.847075966997274</v>
          </cell>
        </row>
        <row r="544">
          <cell r="B544">
            <v>11.952254970763196</v>
          </cell>
          <cell r="C544">
            <v>12.84514250455746</v>
          </cell>
        </row>
        <row r="545">
          <cell r="B545">
            <v>11.956866122441996</v>
          </cell>
          <cell r="C545">
            <v>12.84322727454035</v>
          </cell>
        </row>
        <row r="546">
          <cell r="B546">
            <v>11.961477274120798</v>
          </cell>
          <cell r="C546">
            <v>12.841330159569839</v>
          </cell>
        </row>
        <row r="547">
          <cell r="B547">
            <v>11.966088425799597</v>
          </cell>
          <cell r="C547">
            <v>12.839451043275172</v>
          </cell>
        </row>
        <row r="548">
          <cell r="B548">
            <v>11.970699577478397</v>
          </cell>
          <cell r="C548">
            <v>12.837589810280223</v>
          </cell>
        </row>
        <row r="549">
          <cell r="B549">
            <v>11.975310729157195</v>
          </cell>
          <cell r="C549">
            <v>12.835746346192881</v>
          </cell>
        </row>
        <row r="550">
          <cell r="B550">
            <v>11.979921880835995</v>
          </cell>
          <cell r="C550">
            <v>12.833920537594594</v>
          </cell>
        </row>
        <row r="551">
          <cell r="B551">
            <v>11.984533032514797</v>
          </cell>
          <cell r="C551">
            <v>12.832112272030008</v>
          </cell>
        </row>
        <row r="552">
          <cell r="B552">
            <v>11.989144184193597</v>
          </cell>
          <cell r="C552">
            <v>12.830321437996799</v>
          </cell>
        </row>
        <row r="553">
          <cell r="B553">
            <v>11.993755335872399</v>
          </cell>
          <cell r="C553">
            <v>12.828547924935563</v>
          </cell>
        </row>
        <row r="554">
          <cell r="B554">
            <v>11.998366487551198</v>
          </cell>
          <cell r="C554">
            <v>12.826791623219902</v>
          </cell>
        </row>
        <row r="555">
          <cell r="B555">
            <v>12.002977639229996</v>
          </cell>
          <cell r="C555">
            <v>12.825052424146577</v>
          </cell>
        </row>
        <row r="556">
          <cell r="B556">
            <v>12.007588790908798</v>
          </cell>
          <cell r="C556">
            <v>12.823330219925824</v>
          </cell>
        </row>
        <row r="557">
          <cell r="B557">
            <v>12.012199942587598</v>
          </cell>
          <cell r="C557">
            <v>12.821624903671784</v>
          </cell>
        </row>
        <row r="558">
          <cell r="B558">
            <v>12.016811094266398</v>
          </cell>
          <cell r="C558">
            <v>12.819936369393032</v>
          </cell>
        </row>
        <row r="559">
          <cell r="B559">
            <v>12.021422245945198</v>
          </cell>
          <cell r="C559">
            <v>12.818264511983244</v>
          </cell>
        </row>
        <row r="560">
          <cell r="B560">
            <v>12.026033397623999</v>
          </cell>
          <cell r="C560">
            <v>12.816609227211996</v>
          </cell>
        </row>
        <row r="561">
          <cell r="B561">
            <v>12.030644549302796</v>
          </cell>
          <cell r="C561">
            <v>12.81497041171564</v>
          </cell>
        </row>
        <row r="562">
          <cell r="B562">
            <v>12.035255700981597</v>
          </cell>
          <cell r="C562">
            <v>12.81334796298831</v>
          </cell>
        </row>
        <row r="563">
          <cell r="B563">
            <v>12.039866852660397</v>
          </cell>
          <cell r="C563">
            <v>12.811741779373055</v>
          </cell>
        </row>
        <row r="564">
          <cell r="B564">
            <v>12.044478004339197</v>
          </cell>
          <cell r="C564">
            <v>12.810151760053071</v>
          </cell>
        </row>
        <row r="565">
          <cell r="B565">
            <v>12.049089156017999</v>
          </cell>
          <cell r="C565">
            <v>12.808577805043019</v>
          </cell>
        </row>
        <row r="566">
          <cell r="B566">
            <v>12.053700307696795</v>
          </cell>
          <cell r="C566">
            <v>12.807019815180494</v>
          </cell>
        </row>
        <row r="567">
          <cell r="B567">
            <v>12.058311459375597</v>
          </cell>
          <cell r="C567">
            <v>12.805477692117572</v>
          </cell>
        </row>
        <row r="568">
          <cell r="B568">
            <v>12.062922611054397</v>
          </cell>
          <cell r="C568">
            <v>12.803951338312446</v>
          </cell>
        </row>
        <row r="569">
          <cell r="B569">
            <v>12.067533762733197</v>
          </cell>
          <cell r="C569">
            <v>12.802440657021197</v>
          </cell>
        </row>
        <row r="570">
          <cell r="B570">
            <v>12.072144914411997</v>
          </cell>
          <cell r="C570">
            <v>12.800945552289672</v>
          </cell>
        </row>
        <row r="571">
          <cell r="B571">
            <v>12.076756066090798</v>
          </cell>
          <cell r="C571">
            <v>12.799465928945397</v>
          </cell>
        </row>
        <row r="572">
          <cell r="B572">
            <v>12.081367217769598</v>
          </cell>
          <cell r="C572">
            <v>12.798001692589677</v>
          </cell>
        </row>
        <row r="573">
          <cell r="B573">
            <v>12.085978369448396</v>
          </cell>
          <cell r="C573">
            <v>12.796552749589715</v>
          </cell>
        </row>
        <row r="574">
          <cell r="B574">
            <v>12.090589521127196</v>
          </cell>
          <cell r="C574">
            <v>12.795119007070886</v>
          </cell>
        </row>
        <row r="575">
          <cell r="B575">
            <v>12.095200672805996</v>
          </cell>
          <cell r="C575">
            <v>12.793700372909058</v>
          </cell>
        </row>
        <row r="576">
          <cell r="B576">
            <v>12.099811824484799</v>
          </cell>
          <cell r="C576">
            <v>12.792296755723044</v>
          </cell>
        </row>
        <row r="577">
          <cell r="B577">
            <v>12.104422976163599</v>
          </cell>
          <cell r="C577">
            <v>12.790908064867107</v>
          </cell>
        </row>
        <row r="578">
          <cell r="B578">
            <v>12.109034127842397</v>
          </cell>
          <cell r="C578">
            <v>12.789534210423607</v>
          </cell>
        </row>
        <row r="579">
          <cell r="B579">
            <v>12.113645279521197</v>
          </cell>
          <cell r="C579">
            <v>12.788175103195664</v>
          </cell>
        </row>
        <row r="580">
          <cell r="B580">
            <v>12.118256431199997</v>
          </cell>
          <cell r="C580">
            <v>12.786830654699997</v>
          </cell>
        </row>
        <row r="581">
          <cell r="B581">
            <v>12.122867582878799</v>
          </cell>
          <cell r="C581">
            <v>12.785500777159758</v>
          </cell>
        </row>
        <row r="582">
          <cell r="B582">
            <v>12.127478734557599</v>
          </cell>
          <cell r="C582">
            <v>12.784185383497521</v>
          </cell>
        </row>
        <row r="583">
          <cell r="B583">
            <v>12.132089886236397</v>
          </cell>
          <cell r="C583">
            <v>12.782884387328336</v>
          </cell>
        </row>
        <row r="584">
          <cell r="B584">
            <v>12.136701037915197</v>
          </cell>
          <cell r="C584">
            <v>12.781597702952835</v>
          </cell>
        </row>
        <row r="585">
          <cell r="B585">
            <v>12.141312189593997</v>
          </cell>
          <cell r="C585">
            <v>12.780325245350461</v>
          </cell>
        </row>
        <row r="586">
          <cell r="B586">
            <v>12.145923341272796</v>
          </cell>
          <cell r="C586">
            <v>12.77906693017276</v>
          </cell>
        </row>
        <row r="587">
          <cell r="B587">
            <v>12.150534492951598</v>
          </cell>
          <cell r="C587">
            <v>12.777822673736745</v>
          </cell>
        </row>
        <row r="588">
          <cell r="B588">
            <v>12.155145644630398</v>
          </cell>
          <cell r="C588">
            <v>12.776592393018346</v>
          </cell>
        </row>
        <row r="589">
          <cell r="B589">
            <v>12.159756796309198</v>
          </cell>
          <cell r="C589">
            <v>12.775376005645954</v>
          </cell>
        </row>
        <row r="590">
          <cell r="B590">
            <v>12.164367947987996</v>
          </cell>
          <cell r="C590">
            <v>12.774173429893997</v>
          </cell>
        </row>
        <row r="591">
          <cell r="B591">
            <v>12.168979099666796</v>
          </cell>
          <cell r="C591">
            <v>12.772984584676646</v>
          </cell>
        </row>
        <row r="592">
          <cell r="B592">
            <v>12.173590251345598</v>
          </cell>
          <cell r="C592">
            <v>12.771809389541547</v>
          </cell>
        </row>
        <row r="593">
          <cell r="B593">
            <v>12.178201403024397</v>
          </cell>
          <cell r="C593">
            <v>12.770647764663659</v>
          </cell>
        </row>
        <row r="594">
          <cell r="B594">
            <v>12.182812554703197</v>
          </cell>
          <cell r="C594">
            <v>12.769499630839146</v>
          </cell>
        </row>
        <row r="595">
          <cell r="B595">
            <v>12.187423706381995</v>
          </cell>
          <cell r="C595">
            <v>12.768364909479343</v>
          </cell>
        </row>
        <row r="596">
          <cell r="B596">
            <v>12.192034858060795</v>
          </cell>
          <cell r="C596">
            <v>12.767243522604815</v>
          </cell>
        </row>
        <row r="597">
          <cell r="B597">
            <v>12.196646009739597</v>
          </cell>
          <cell r="C597">
            <v>12.766135392839427</v>
          </cell>
        </row>
        <row r="598">
          <cell r="B598">
            <v>12.201257161418397</v>
          </cell>
          <cell r="C598">
            <v>12.765040443404562</v>
          </cell>
        </row>
        <row r="599">
          <cell r="B599">
            <v>12.205868313097197</v>
          </cell>
          <cell r="C599">
            <v>12.763958598113339</v>
          </cell>
        </row>
        <row r="600">
          <cell r="B600">
            <v>12.210479464775998</v>
          </cell>
          <cell r="C600">
            <v>12.762889781364921</v>
          </cell>
        </row>
        <row r="601">
          <cell r="B601">
            <v>12.2150906164548</v>
          </cell>
          <cell r="C601">
            <v>12.761833918138914</v>
          </cell>
        </row>
        <row r="602">
          <cell r="B602">
            <v>12.219701768133596</v>
          </cell>
          <cell r="C602">
            <v>12.760790933989787</v>
          </cell>
        </row>
        <row r="603">
          <cell r="B603">
            <v>12.224312919812398</v>
          </cell>
          <cell r="C603">
            <v>12.759760755041377</v>
          </cell>
        </row>
        <row r="604">
          <cell r="B604">
            <v>12.228924071491198</v>
          </cell>
          <cell r="C604">
            <v>12.758743307981476</v>
          </cell>
        </row>
        <row r="605">
          <cell r="B605">
            <v>12.233535223169998</v>
          </cell>
          <cell r="C605">
            <v>12.757738520056428</v>
          </cell>
        </row>
        <row r="606">
          <cell r="B606">
            <v>12.2381463748488</v>
          </cell>
          <cell r="C606">
            <v>12.75674631906584</v>
          </cell>
        </row>
        <row r="607">
          <cell r="B607">
            <v>12.242757526527596</v>
          </cell>
          <cell r="C607">
            <v>12.755766633357347</v>
          </cell>
        </row>
        <row r="608">
          <cell r="B608">
            <v>12.247368678206398</v>
          </cell>
          <cell r="C608">
            <v>12.754799391821381</v>
          </cell>
        </row>
        <row r="609">
          <cell r="B609">
            <v>12.251979829885197</v>
          </cell>
          <cell r="C609">
            <v>12.753844523886075</v>
          </cell>
        </row>
        <row r="610">
          <cell r="B610">
            <v>12.256590981563997</v>
          </cell>
          <cell r="C610">
            <v>12.752901959512187</v>
          </cell>
        </row>
        <row r="611">
          <cell r="B611">
            <v>12.261202133242797</v>
          </cell>
          <cell r="C611">
            <v>12.751971629188063</v>
          </cell>
        </row>
        <row r="612">
          <cell r="B612">
            <v>12.265813284921595</v>
          </cell>
          <cell r="C612">
            <v>12.751053463924707</v>
          </cell>
        </row>
        <row r="613">
          <cell r="B613">
            <v>12.270424436600397</v>
          </cell>
          <cell r="C613">
            <v>12.750147395250851</v>
          </cell>
        </row>
        <row r="614">
          <cell r="B614">
            <v>12.275035588279197</v>
          </cell>
          <cell r="C614">
            <v>12.749253355208134</v>
          </cell>
        </row>
        <row r="615">
          <cell r="B615">
            <v>12.279646739957997</v>
          </cell>
          <cell r="C615">
            <v>12.748371276346289</v>
          </cell>
        </row>
        <row r="616">
          <cell r="B616">
            <v>12.284257891636797</v>
          </cell>
          <cell r="C616">
            <v>12.747501091718398</v>
          </cell>
        </row>
        <row r="617">
          <cell r="B617">
            <v>12.288869043315598</v>
          </cell>
          <cell r="C617">
            <v>12.746642734876232</v>
          </cell>
        </row>
        <row r="618">
          <cell r="B618">
            <v>12.293480194994398</v>
          </cell>
          <cell r="C618">
            <v>12.745796139865599</v>
          </cell>
        </row>
        <row r="619">
          <cell r="B619">
            <v>12.298091346673196</v>
          </cell>
          <cell r="C619">
            <v>12.744961241221754</v>
          </cell>
        </row>
        <row r="620">
          <cell r="B620">
            <v>12.302702498351996</v>
          </cell>
          <cell r="C620">
            <v>12.744137973964884</v>
          </cell>
        </row>
        <row r="621">
          <cell r="B621">
            <v>12.307313650030796</v>
          </cell>
          <cell r="C621">
            <v>12.743326273595621</v>
          </cell>
        </row>
        <row r="622">
          <cell r="B622">
            <v>12.311924801709598</v>
          </cell>
          <cell r="C622">
            <v>12.742526076090591</v>
          </cell>
        </row>
        <row r="623">
          <cell r="B623">
            <v>12.316535953388399</v>
          </cell>
          <cell r="C623">
            <v>12.741737317898066</v>
          </cell>
        </row>
        <row r="624">
          <cell r="B624">
            <v>12.321147105067197</v>
          </cell>
          <cell r="C624">
            <v>12.740959935933597</v>
          </cell>
        </row>
        <row r="625">
          <cell r="B625">
            <v>12.325758256745997</v>
          </cell>
          <cell r="C625">
            <v>12.740193867575748</v>
          </cell>
        </row>
        <row r="626">
          <cell r="B626">
            <v>12.330369408424797</v>
          </cell>
          <cell r="C626">
            <v>12.739439050661845</v>
          </cell>
        </row>
        <row r="627">
          <cell r="B627">
            <v>12.334980560103597</v>
          </cell>
          <cell r="C627">
            <v>12.73869542348379</v>
          </cell>
        </row>
        <row r="628">
          <cell r="B628">
            <v>12.339591711782399</v>
          </cell>
          <cell r="C628">
            <v>12.737962924783901</v>
          </cell>
        </row>
        <row r="629">
          <cell r="B629">
            <v>12.344202863461199</v>
          </cell>
          <cell r="C629">
            <v>12.737241493750815</v>
          </cell>
        </row>
        <row r="630">
          <cell r="B630">
            <v>12.348814015139997</v>
          </cell>
          <cell r="C630">
            <v>12.736531070015451</v>
          </cell>
        </row>
        <row r="631">
          <cell r="B631">
            <v>12.353425166818797</v>
          </cell>
          <cell r="C631">
            <v>12.735831593646967</v>
          </cell>
        </row>
        <row r="632">
          <cell r="B632">
            <v>12.358036318497597</v>
          </cell>
          <cell r="C632">
            <v>12.735143005148794</v>
          </cell>
        </row>
        <row r="633">
          <cell r="B633">
            <v>12.362647470176398</v>
          </cell>
          <cell r="C633">
            <v>12.734465245454743</v>
          </cell>
        </row>
        <row r="634">
          <cell r="B634">
            <v>12.367258621855198</v>
          </cell>
          <cell r="C634">
            <v>12.733798255925072</v>
          </cell>
        </row>
        <row r="635">
          <cell r="B635">
            <v>12.371869773533998</v>
          </cell>
          <cell r="C635">
            <v>12.733141978342671</v>
          </cell>
        </row>
        <row r="636">
          <cell r="B636">
            <v>12.376480925212796</v>
          </cell>
          <cell r="C636">
            <v>12.732496354909275</v>
          </cell>
        </row>
        <row r="637">
          <cell r="B637">
            <v>12.381092076891596</v>
          </cell>
          <cell r="C637">
            <v>12.731861328241669</v>
          </cell>
        </row>
        <row r="638">
          <cell r="B638">
            <v>12.385703228570398</v>
          </cell>
          <cell r="C638">
            <v>12.731236841367995</v>
          </cell>
        </row>
        <row r="639">
          <cell r="B639">
            <v>12.390314380249198</v>
          </cell>
          <cell r="C639">
            <v>12.730622837724059</v>
          </cell>
        </row>
        <row r="640">
          <cell r="B640">
            <v>12.394925531927997</v>
          </cell>
          <cell r="C640">
            <v>12.730019261149712</v>
          </cell>
        </row>
        <row r="641">
          <cell r="B641">
            <v>12.399536683606796</v>
          </cell>
          <cell r="C641">
            <v>12.729426055885213</v>
          </cell>
        </row>
        <row r="642">
          <cell r="B642">
            <v>12.404147835285595</v>
          </cell>
          <cell r="C642">
            <v>12.72884316656771</v>
          </cell>
        </row>
        <row r="643">
          <cell r="B643">
            <v>12.408758986964395</v>
          </cell>
          <cell r="C643">
            <v>12.728270538227669</v>
          </cell>
        </row>
        <row r="644">
          <cell r="B644">
            <v>12.413370138643197</v>
          </cell>
          <cell r="C644">
            <v>12.727708116285427</v>
          </cell>
        </row>
        <row r="645">
          <cell r="B645">
            <v>12.417981290321997</v>
          </cell>
          <cell r="C645">
            <v>12.727155846547721</v>
          </cell>
        </row>
        <row r="646">
          <cell r="B646">
            <v>12.422592442000798</v>
          </cell>
          <cell r="C646">
            <v>12.726613675204286</v>
          </cell>
        </row>
        <row r="647">
          <cell r="B647">
            <v>12.4272035936796</v>
          </cell>
          <cell r="C647">
            <v>12.726081548824453</v>
          </cell>
        </row>
        <row r="648">
          <cell r="B648">
            <v>12.431814745358396</v>
          </cell>
          <cell r="C648">
            <v>12.725559414353846</v>
          </cell>
        </row>
        <row r="649">
          <cell r="B649">
            <v>12.436425897037198</v>
          </cell>
          <cell r="C649">
            <v>12.725047219111037</v>
          </cell>
        </row>
        <row r="650">
          <cell r="B650">
            <v>12.441037048715998</v>
          </cell>
          <cell r="C650">
            <v>12.724544910784315</v>
          </cell>
        </row>
        <row r="651">
          <cell r="B651">
            <v>12.445648200394798</v>
          </cell>
          <cell r="C651">
            <v>12.724052437428396</v>
          </cell>
        </row>
        <row r="652">
          <cell r="B652">
            <v>12.450259352073598</v>
          </cell>
          <cell r="C652">
            <v>12.723569747461273</v>
          </cell>
        </row>
        <row r="653">
          <cell r="B653">
            <v>12.454870503752396</v>
          </cell>
          <cell r="C653">
            <v>12.723096789661016</v>
          </cell>
        </row>
        <row r="654">
          <cell r="B654">
            <v>12.459481655431198</v>
          </cell>
          <cell r="C654">
            <v>12.722633513162634</v>
          </cell>
        </row>
        <row r="655">
          <cell r="B655">
            <v>12.464092807109997</v>
          </cell>
          <cell r="C655">
            <v>12.722179867454997</v>
          </cell>
        </row>
        <row r="656">
          <cell r="B656">
            <v>12.468703958788797</v>
          </cell>
          <cell r="C656">
            <v>12.721735802377729</v>
          </cell>
        </row>
        <row r="657">
          <cell r="B657">
            <v>12.473315110467597</v>
          </cell>
          <cell r="C657">
            <v>12.721301268118197</v>
          </cell>
        </row>
        <row r="658">
          <cell r="B658">
            <v>12.477926262146399</v>
          </cell>
          <cell r="C658">
            <v>12.720876215208488</v>
          </cell>
        </row>
        <row r="659">
          <cell r="B659">
            <v>12.482537413825195</v>
          </cell>
          <cell r="C659">
            <v>12.720460594522441</v>
          </cell>
        </row>
        <row r="660">
          <cell r="B660">
            <v>12.487148565503997</v>
          </cell>
          <cell r="C660">
            <v>12.720054357272687</v>
          </cell>
        </row>
        <row r="661">
          <cell r="B661">
            <v>12.491759717182797</v>
          </cell>
          <cell r="C661">
            <v>12.71965745500775</v>
          </cell>
        </row>
        <row r="662">
          <cell r="B662">
            <v>12.496370868861597</v>
          </cell>
          <cell r="C662">
            <v>12.719269839609145</v>
          </cell>
        </row>
        <row r="663">
          <cell r="B663">
            <v>12.500982020540398</v>
          </cell>
          <cell r="C663">
            <v>12.71889146328855</v>
          </cell>
        </row>
        <row r="664">
          <cell r="B664">
            <v>12.505593172219198</v>
          </cell>
          <cell r="C664">
            <v>12.718522278584938</v>
          </cell>
        </row>
        <row r="665">
          <cell r="B665">
            <v>12.510204323897996</v>
          </cell>
          <cell r="C665">
            <v>12.718162238361815</v>
          </cell>
        </row>
        <row r="666">
          <cell r="B666">
            <v>12.514815475576796</v>
          </cell>
          <cell r="C666">
            <v>12.71781129580444</v>
          </cell>
        </row>
        <row r="667">
          <cell r="B667">
            <v>12.519426627255596</v>
          </cell>
          <cell r="C667">
            <v>12.717469404417065</v>
          </cell>
        </row>
        <row r="668">
          <cell r="B668">
            <v>12.524037778934396</v>
          </cell>
          <cell r="C668">
            <v>12.717136518020258</v>
          </cell>
        </row>
        <row r="669">
          <cell r="B669">
            <v>12.528648930613198</v>
          </cell>
          <cell r="C669">
            <v>12.716812590748193</v>
          </cell>
        </row>
        <row r="670">
          <cell r="B670">
            <v>12.533260082291998</v>
          </cell>
          <cell r="C670">
            <v>12.716497577045997</v>
          </cell>
        </row>
        <row r="671">
          <cell r="B671">
            <v>12.537871233970797</v>
          </cell>
          <cell r="C671">
            <v>12.71619143166712</v>
          </cell>
        </row>
        <row r="672">
          <cell r="B672">
            <v>12.542482385649597</v>
          </cell>
          <cell r="C672">
            <v>12.715894109670746</v>
          </cell>
        </row>
        <row r="673">
          <cell r="B673">
            <v>12.547093537328397</v>
          </cell>
          <cell r="C673">
            <v>12.715605566419171</v>
          </cell>
        </row>
        <row r="674">
          <cell r="B674">
            <v>12.551704689007199</v>
          </cell>
          <cell r="C674">
            <v>12.715325757575314</v>
          </cell>
        </row>
        <row r="675">
          <cell r="B675">
            <v>12.556315840685999</v>
          </cell>
          <cell r="C675">
            <v>12.715054639100142</v>
          </cell>
        </row>
        <row r="676">
          <cell r="B676">
            <v>12.560926992364799</v>
          </cell>
          <cell r="C676">
            <v>12.714792167250183</v>
          </cell>
        </row>
        <row r="677">
          <cell r="B677">
            <v>12.565538144043597</v>
          </cell>
          <cell r="C677">
            <v>12.714538298575061</v>
          </cell>
        </row>
        <row r="678">
          <cell r="B678">
            <v>12.570149295722397</v>
          </cell>
          <cell r="C678">
            <v>12.714292989915041</v>
          </cell>
        </row>
        <row r="679">
          <cell r="B679">
            <v>12.574760447401198</v>
          </cell>
          <cell r="C679">
            <v>12.714056198398595</v>
          </cell>
        </row>
        <row r="680">
          <cell r="B680">
            <v>12.579371599079998</v>
          </cell>
          <cell r="C680">
            <v>12.713827881439997</v>
          </cell>
        </row>
        <row r="681">
          <cell r="B681">
            <v>12.583982750758798</v>
          </cell>
          <cell r="C681">
            <v>12.71360799673697</v>
          </cell>
        </row>
        <row r="682">
          <cell r="B682">
            <v>12.588593902437596</v>
          </cell>
          <cell r="C682">
            <v>12.713396502268301</v>
          </cell>
        </row>
        <row r="683">
          <cell r="B683">
            <v>12.593205054116396</v>
          </cell>
          <cell r="C683">
            <v>12.713193356291528</v>
          </cell>
        </row>
        <row r="684">
          <cell r="B684">
            <v>12.597816205795196</v>
          </cell>
          <cell r="C684">
            <v>12.712998517340642</v>
          </cell>
        </row>
        <row r="685">
          <cell r="B685">
            <v>12.602427357473998</v>
          </cell>
          <cell r="C685">
            <v>12.712811944223775</v>
          </cell>
        </row>
        <row r="686">
          <cell r="B686">
            <v>12.607038509152797</v>
          </cell>
          <cell r="C686">
            <v>12.712633596020952</v>
          </cell>
        </row>
        <row r="687">
          <cell r="B687">
            <v>12.611649660831596</v>
          </cell>
          <cell r="C687">
            <v>12.712463432081861</v>
          </cell>
        </row>
        <row r="688">
          <cell r="B688">
            <v>12.616260812510397</v>
          </cell>
          <cell r="C688">
            <v>12.712301412023621</v>
          </cell>
        </row>
        <row r="689">
          <cell r="B689">
            <v>12.620871964189195</v>
          </cell>
          <cell r="C689">
            <v>12.71214749572859</v>
          </cell>
        </row>
        <row r="690">
          <cell r="B690">
            <v>12.625483115867997</v>
          </cell>
          <cell r="C690">
            <v>12.712001643342193</v>
          </cell>
        </row>
        <row r="691">
          <cell r="B691">
            <v>12.630094267546797</v>
          </cell>
          <cell r="C691">
            <v>12.711863815270778</v>
          </cell>
        </row>
        <row r="692">
          <cell r="B692">
            <v>12.634705419225597</v>
          </cell>
          <cell r="C692">
            <v>12.711733972179463</v>
          </cell>
        </row>
        <row r="693">
          <cell r="B693">
            <v>12.639316570904398</v>
          </cell>
          <cell r="C693">
            <v>12.711612074990045</v>
          </cell>
        </row>
        <row r="694">
          <cell r="B694">
            <v>12.643927722583197</v>
          </cell>
          <cell r="C694">
            <v>12.711498084878896</v>
          </cell>
        </row>
        <row r="695">
          <cell r="B695">
            <v>12.648538874261998</v>
          </cell>
          <cell r="C695">
            <v>12.711391963274901</v>
          </cell>
        </row>
        <row r="696">
          <cell r="B696">
            <v>12.653150025940798</v>
          </cell>
          <cell r="C696">
            <v>12.711293671857412</v>
          </cell>
        </row>
        <row r="697">
          <cell r="B697">
            <v>12.657761177619598</v>
          </cell>
          <cell r="C697">
            <v>12.711203172554205</v>
          </cell>
        </row>
        <row r="698">
          <cell r="B698">
            <v>12.662372329298398</v>
          </cell>
          <cell r="C698">
            <v>12.711120427539491</v>
          </cell>
        </row>
        <row r="699">
          <cell r="B699">
            <v>12.666983480977196</v>
          </cell>
          <cell r="C699">
            <v>12.711045399231892</v>
          </cell>
        </row>
        <row r="700">
          <cell r="B700">
            <v>12.671594632655996</v>
          </cell>
          <cell r="C700">
            <v>12.710978050292512</v>
          </cell>
        </row>
        <row r="701">
          <cell r="B701">
            <v>12.676205784334797</v>
          </cell>
          <cell r="C701">
            <v>12.710918343622955</v>
          </cell>
        </row>
        <row r="702">
          <cell r="B702">
            <v>12.680816936013597</v>
          </cell>
          <cell r="C702">
            <v>12.710866242363389</v>
          </cell>
        </row>
        <row r="703">
          <cell r="B703">
            <v>12.685428087692397</v>
          </cell>
          <cell r="C703">
            <v>12.710821709890658</v>
          </cell>
        </row>
        <row r="704">
          <cell r="B704">
            <v>12.690039239371199</v>
          </cell>
          <cell r="C704">
            <v>12.710784709816368</v>
          </cell>
        </row>
        <row r="705">
          <cell r="B705">
            <v>12.694650391049999</v>
          </cell>
          <cell r="C705">
            <v>12.710755205984995</v>
          </cell>
        </row>
        <row r="706">
          <cell r="B706">
            <v>12.699261542728797</v>
          </cell>
          <cell r="C706">
            <v>12.710733162472064</v>
          </cell>
        </row>
        <row r="707">
          <cell r="B707">
            <v>12.703872694407597</v>
          </cell>
          <cell r="C707">
            <v>12.710718543582267</v>
          </cell>
        </row>
        <row r="708">
          <cell r="B708">
            <v>12.708483846086397</v>
          </cell>
          <cell r="C708">
            <v>12.710711313847654</v>
          </cell>
        </row>
        <row r="709">
          <cell r="B709">
            <v>12.713094997765197</v>
          </cell>
          <cell r="C709">
            <v>12.710711438025841</v>
          </cell>
        </row>
        <row r="710">
          <cell r="B710">
            <v>12.717706149443998</v>
          </cell>
          <cell r="C710">
            <v>12.710718881098186</v>
          </cell>
        </row>
        <row r="711">
          <cell r="B711">
            <v>12.722317301122796</v>
          </cell>
          <cell r="C711">
            <v>12.710733608268056</v>
          </cell>
        </row>
        <row r="712">
          <cell r="B712">
            <v>12.726928452801596</v>
          </cell>
          <cell r="C712">
            <v>12.710755584959026</v>
          </cell>
        </row>
        <row r="713">
          <cell r="B713">
            <v>12.731539604480396</v>
          </cell>
          <cell r="C713">
            <v>12.710784776813185</v>
          </cell>
        </row>
        <row r="714">
          <cell r="B714">
            <v>12.736150756159196</v>
          </cell>
          <cell r="C714">
            <v>12.710821149689378</v>
          </cell>
        </row>
        <row r="715">
          <cell r="B715">
            <v>12.740761907837998</v>
          </cell>
          <cell r="C715">
            <v>12.710864669661515</v>
          </cell>
        </row>
        <row r="716">
          <cell r="B716">
            <v>12.745373059516794</v>
          </cell>
          <cell r="C716">
            <v>12.71091530301689</v>
          </cell>
        </row>
        <row r="717">
          <cell r="B717">
            <v>12.749984211195599</v>
          </cell>
          <cell r="C717">
            <v>12.710973016254469</v>
          </cell>
        </row>
        <row r="718">
          <cell r="B718">
            <v>12.754595362874397</v>
          </cell>
          <cell r="C718">
            <v>12.711037776083277</v>
          </cell>
        </row>
        <row r="719">
          <cell r="B719">
            <v>12.759206514553197</v>
          </cell>
          <cell r="C719">
            <v>12.711109549420728</v>
          </cell>
        </row>
        <row r="720">
          <cell r="B720">
            <v>12.763817666231999</v>
          </cell>
          <cell r="C720">
            <v>12.711188303390996</v>
          </cell>
        </row>
        <row r="721">
          <cell r="B721">
            <v>12.768428817910799</v>
          </cell>
          <cell r="C721">
            <v>12.711274005323416</v>
          </cell>
        </row>
        <row r="722">
          <cell r="B722">
            <v>12.773039969589599</v>
          </cell>
          <cell r="C722">
            <v>12.711366622750871</v>
          </cell>
        </row>
        <row r="723">
          <cell r="B723">
            <v>12.777651121268397</v>
          </cell>
          <cell r="C723">
            <v>12.711466123408226</v>
          </cell>
        </row>
        <row r="724">
          <cell r="B724">
            <v>12.782262272947197</v>
          </cell>
          <cell r="C724">
            <v>12.71157247523074</v>
          </cell>
        </row>
        <row r="725">
          <cell r="B725">
            <v>12.786873424625997</v>
          </cell>
          <cell r="C725">
            <v>12.711685646352533</v>
          </cell>
        </row>
        <row r="726">
          <cell r="B726">
            <v>12.791484576304798</v>
          </cell>
          <cell r="C726">
            <v>12.711805605105029</v>
          </cell>
        </row>
        <row r="727">
          <cell r="B727">
            <v>12.796095727983598</v>
          </cell>
          <cell r="C727">
            <v>12.711932320015448</v>
          </cell>
        </row>
        <row r="728">
          <cell r="B728">
            <v>12.800706879662396</v>
          </cell>
          <cell r="C728">
            <v>12.712065759805272</v>
          </cell>
        </row>
        <row r="729">
          <cell r="B729">
            <v>12.805318031341196</v>
          </cell>
          <cell r="C729">
            <v>12.712205893388775</v>
          </cell>
        </row>
        <row r="730">
          <cell r="B730">
            <v>12.809929183019996</v>
          </cell>
          <cell r="C730">
            <v>12.712352689871535</v>
          </cell>
        </row>
        <row r="731">
          <cell r="B731">
            <v>12.814540334698798</v>
          </cell>
          <cell r="C731">
            <v>12.712506118548937</v>
          </cell>
        </row>
        <row r="732">
          <cell r="B732">
            <v>12.819151486377597</v>
          </cell>
          <cell r="C732">
            <v>12.712666148904749</v>
          </cell>
        </row>
        <row r="733">
          <cell r="B733">
            <v>12.823762638056397</v>
          </cell>
          <cell r="C733">
            <v>12.712832750609671</v>
          </cell>
        </row>
        <row r="734">
          <cell r="B734">
            <v>12.828373789735197</v>
          </cell>
          <cell r="C734">
            <v>12.713005893519894</v>
          </cell>
        </row>
        <row r="735">
          <cell r="B735">
            <v>12.832984941413995</v>
          </cell>
          <cell r="C735">
            <v>12.713185547675698</v>
          </cell>
        </row>
        <row r="736">
          <cell r="B736">
            <v>12.837596093092797</v>
          </cell>
          <cell r="C736">
            <v>12.713371683300059</v>
          </cell>
        </row>
        <row r="737">
          <cell r="B737">
            <v>12.842207244771597</v>
          </cell>
          <cell r="C737">
            <v>12.71356427079721</v>
          </cell>
        </row>
        <row r="738">
          <cell r="B738">
            <v>12.846818396450397</v>
          </cell>
          <cell r="C738">
            <v>12.713763280751335</v>
          </cell>
        </row>
        <row r="739">
          <cell r="B739">
            <v>12.851429548129197</v>
          </cell>
          <cell r="C739">
            <v>12.713968683925147</v>
          </cell>
        </row>
        <row r="740">
          <cell r="B740">
            <v>12.856040699807997</v>
          </cell>
          <cell r="C740">
            <v>12.714180451258542</v>
          </cell>
        </row>
        <row r="741">
          <cell r="B741">
            <v>12.860651851486796</v>
          </cell>
          <cell r="C741">
            <v>12.7143985538673</v>
          </cell>
        </row>
        <row r="742">
          <cell r="B742">
            <v>12.865263003165598</v>
          </cell>
          <cell r="C742">
            <v>12.714622963041711</v>
          </cell>
        </row>
        <row r="743">
          <cell r="B743">
            <v>12.869874154844398</v>
          </cell>
          <cell r="C743">
            <v>12.714853650245274</v>
          </cell>
        </row>
        <row r="744">
          <cell r="B744">
            <v>12.874485306523198</v>
          </cell>
          <cell r="C744">
            <v>12.715090587113401</v>
          </cell>
        </row>
        <row r="745">
          <cell r="B745">
            <v>12.879096458201996</v>
          </cell>
          <cell r="C745">
            <v>12.715333745452122</v>
          </cell>
        </row>
        <row r="746">
          <cell r="B746">
            <v>12.883707609880799</v>
          </cell>
          <cell r="C746">
            <v>12.715583097236795</v>
          </cell>
        </row>
        <row r="747">
          <cell r="B747">
            <v>12.888318761559598</v>
          </cell>
          <cell r="C747">
            <v>12.71583861461083</v>
          </cell>
        </row>
        <row r="748">
          <cell r="B748">
            <v>12.892929913238397</v>
          </cell>
          <cell r="C748">
            <v>12.716100269884468</v>
          </cell>
        </row>
        <row r="749">
          <cell r="B749">
            <v>12.897541064917197</v>
          </cell>
          <cell r="C749">
            <v>12.716368035533485</v>
          </cell>
        </row>
        <row r="750">
          <cell r="B750">
            <v>12.902152216595997</v>
          </cell>
          <cell r="C750">
            <v>12.716641884197994</v>
          </cell>
        </row>
        <row r="751">
          <cell r="B751">
            <v>12.906763368274799</v>
          </cell>
          <cell r="C751">
            <v>12.716921788681214</v>
          </cell>
        </row>
        <row r="752">
          <cell r="B752">
            <v>12.911374519953597</v>
          </cell>
          <cell r="C752">
            <v>12.717207721948228</v>
          </cell>
        </row>
        <row r="753">
          <cell r="B753">
            <v>12.915985671632397</v>
          </cell>
          <cell r="C753">
            <v>12.717499657124815</v>
          </cell>
        </row>
        <row r="754">
          <cell r="B754">
            <v>12.920596823311197</v>
          </cell>
          <cell r="C754">
            <v>12.717797567496252</v>
          </cell>
        </row>
        <row r="755">
          <cell r="B755">
            <v>12.925207974989997</v>
          </cell>
          <cell r="C755">
            <v>12.718101426506106</v>
          </cell>
        </row>
      </sheetData>
      <sheetData sheetId="12" refreshError="1">
        <row r="86">
          <cell r="B86">
            <v>14.2936554173952</v>
          </cell>
        </row>
        <row r="145">
          <cell r="B145">
            <v>12.510079197084</v>
          </cell>
          <cell r="C145">
            <v>14.634942306070153</v>
          </cell>
        </row>
        <row r="146">
          <cell r="B146">
            <v>12.5295340136904</v>
          </cell>
          <cell r="C146">
            <v>14.602894795453745</v>
          </cell>
        </row>
        <row r="147">
          <cell r="B147">
            <v>12.548988830296798</v>
          </cell>
          <cell r="C147">
            <v>14.572094297342398</v>
          </cell>
        </row>
        <row r="148">
          <cell r="B148">
            <v>12.5684436469032</v>
          </cell>
          <cell r="C148">
            <v>14.542485796478541</v>
          </cell>
        </row>
        <row r="149">
          <cell r="B149">
            <v>12.587898463509598</v>
          </cell>
          <cell r="C149">
            <v>14.514017466894884</v>
          </cell>
        </row>
        <row r="150">
          <cell r="B150">
            <v>12.607353280116</v>
          </cell>
          <cell r="C150">
            <v>14.486640444108</v>
          </cell>
        </row>
        <row r="151">
          <cell r="B151">
            <v>12.626808096722399</v>
          </cell>
          <cell r="C151">
            <v>14.460308616563086</v>
          </cell>
        </row>
        <row r="152">
          <cell r="B152">
            <v>12.646262913328799</v>
          </cell>
          <cell r="C152">
            <v>14.434978434458401</v>
          </cell>
        </row>
        <row r="153">
          <cell r="B153">
            <v>12.665717729935199</v>
          </cell>
          <cell r="C153">
            <v>14.410608734282695</v>
          </cell>
        </row>
        <row r="154">
          <cell r="B154">
            <v>12.685172546541599</v>
          </cell>
          <cell r="C154">
            <v>14.387160577579392</v>
          </cell>
        </row>
        <row r="155">
          <cell r="B155">
            <v>12.704627363147999</v>
          </cell>
          <cell r="C155">
            <v>14.364597102609599</v>
          </cell>
        </row>
        <row r="156">
          <cell r="B156">
            <v>12.724082179754399</v>
          </cell>
          <cell r="C156">
            <v>14.342883387725934</v>
          </cell>
        </row>
        <row r="157">
          <cell r="B157">
            <v>12.743536996360799</v>
          </cell>
          <cell r="C157">
            <v>14.321986325392581</v>
          </cell>
        </row>
        <row r="158">
          <cell r="B158">
            <v>12.762991812967201</v>
          </cell>
          <cell r="C158">
            <v>14.301874505896061</v>
          </cell>
        </row>
        <row r="159">
          <cell r="B159">
            <v>12.782446629573599</v>
          </cell>
          <cell r="C159">
            <v>14.282518109888143</v>
          </cell>
        </row>
        <row r="160">
          <cell r="B160">
            <v>12.80190144618</v>
          </cell>
          <cell r="C160">
            <v>14.263888808988</v>
          </cell>
        </row>
        <row r="161">
          <cell r="B161">
            <v>12.821356262786399</v>
          </cell>
          <cell r="C161">
            <v>14.245959673747199</v>
          </cell>
        </row>
        <row r="162">
          <cell r="B162">
            <v>12.8408110793928</v>
          </cell>
          <cell r="C162">
            <v>14.228705088348935</v>
          </cell>
        </row>
        <row r="163">
          <cell r="B163">
            <v>12.8602658959992</v>
          </cell>
          <cell r="C163">
            <v>14.212100671473596</v>
          </cell>
        </row>
        <row r="164">
          <cell r="B164">
            <v>12.8797207126056</v>
          </cell>
          <cell r="C164">
            <v>14.196123202816798</v>
          </cell>
        </row>
        <row r="165">
          <cell r="B165">
            <v>12.899175529212</v>
          </cell>
          <cell r="C165">
            <v>14.180750554794349</v>
          </cell>
        </row>
        <row r="166">
          <cell r="B166">
            <v>12.9186303458184</v>
          </cell>
          <cell r="C166">
            <v>14.165961629012036</v>
          </cell>
        </row>
        <row r="167">
          <cell r="B167">
            <v>12.9380851624248</v>
          </cell>
          <cell r="C167">
            <v>14.151736297116745</v>
          </cell>
        </row>
        <row r="168">
          <cell r="B168">
            <v>12.957539979031198</v>
          </cell>
          <cell r="C168">
            <v>14.138055345680506</v>
          </cell>
        </row>
        <row r="169">
          <cell r="B169">
            <v>12.976994795637601</v>
          </cell>
          <cell r="C169">
            <v>14.124900424800215</v>
          </cell>
        </row>
        <row r="170">
          <cell r="B170">
            <v>12.996449612244</v>
          </cell>
          <cell r="C170">
            <v>14.112254000123997</v>
          </cell>
        </row>
        <row r="171">
          <cell r="B171">
            <v>13.015904428850401</v>
          </cell>
          <cell r="C171">
            <v>14.100099308040738</v>
          </cell>
        </row>
        <row r="172">
          <cell r="B172">
            <v>13.035359245456799</v>
          </cell>
          <cell r="C172">
            <v>14.088420313791964</v>
          </cell>
        </row>
        <row r="173">
          <cell r="B173">
            <v>13.054814062063201</v>
          </cell>
          <cell r="C173">
            <v>14.077201672286245</v>
          </cell>
        </row>
        <row r="174">
          <cell r="B174">
            <v>13.074268878669599</v>
          </cell>
          <cell r="C174">
            <v>14.066428691414757</v>
          </cell>
        </row>
        <row r="175">
          <cell r="B175">
            <v>13.093723695275997</v>
          </cell>
          <cell r="C175">
            <v>14.05608729768379</v>
          </cell>
        </row>
        <row r="176">
          <cell r="B176">
            <v>13.113178511882401</v>
          </cell>
          <cell r="C176">
            <v>14.046164003995196</v>
          </cell>
        </row>
        <row r="177">
          <cell r="B177">
            <v>13.132633328488799</v>
          </cell>
          <cell r="C177">
            <v>14.036645879419842</v>
          </cell>
        </row>
        <row r="178">
          <cell r="B178">
            <v>13.152088145095201</v>
          </cell>
          <cell r="C178">
            <v>14.0275205208216</v>
          </cell>
        </row>
        <row r="179">
          <cell r="B179">
            <v>13.171542961701599</v>
          </cell>
          <cell r="C179">
            <v>14.018776026201161</v>
          </cell>
        </row>
        <row r="180">
          <cell r="B180">
            <v>13.190997778308001</v>
          </cell>
          <cell r="C180">
            <v>14.010400969639198</v>
          </cell>
        </row>
        <row r="181">
          <cell r="B181">
            <v>13.210452594914399</v>
          </cell>
          <cell r="C181">
            <v>14.002384377728029</v>
          </cell>
        </row>
        <row r="182">
          <cell r="B182">
            <v>13.229907411520799</v>
          </cell>
          <cell r="C182">
            <v>13.994715707389693</v>
          </cell>
        </row>
        <row r="183">
          <cell r="B183">
            <v>13.2493622281272</v>
          </cell>
          <cell r="C183">
            <v>13.98738482498614</v>
          </cell>
        </row>
        <row r="184">
          <cell r="B184">
            <v>13.268817044733598</v>
          </cell>
          <cell r="C184">
            <v>13.980381986634645</v>
          </cell>
        </row>
        <row r="185">
          <cell r="B185">
            <v>13.28827186134</v>
          </cell>
          <cell r="C185">
            <v>13.973697819647997</v>
          </cell>
        </row>
        <row r="186">
          <cell r="B186">
            <v>13.307726677946398</v>
          </cell>
          <cell r="C186">
            <v>13.967323305025312</v>
          </cell>
        </row>
        <row r="187">
          <cell r="B187">
            <v>13.3271814945528</v>
          </cell>
          <cell r="C187">
            <v>13.961249760924604</v>
          </cell>
        </row>
        <row r="188">
          <cell r="B188">
            <v>13.346636311159198</v>
          </cell>
          <cell r="C188">
            <v>13.955468827053599</v>
          </cell>
        </row>
        <row r="189">
          <cell r="B189">
            <v>13.366091127765598</v>
          </cell>
          <cell r="C189">
            <v>13.949972449919736</v>
          </cell>
        </row>
        <row r="190">
          <cell r="B190">
            <v>13.385545944372</v>
          </cell>
          <cell r="C190">
            <v>13.944752868884729</v>
          </cell>
        </row>
        <row r="191">
          <cell r="B191">
            <v>13.405000760978398</v>
          </cell>
          <cell r="C191">
            <v>13.939802602972929</v>
          </cell>
        </row>
        <row r="192">
          <cell r="B192">
            <v>13.4244555775848</v>
          </cell>
          <cell r="C192">
            <v>13.935114438386398</v>
          </cell>
        </row>
        <row r="193">
          <cell r="B193">
            <v>13.443910394191198</v>
          </cell>
          <cell r="C193">
            <v>13.930681416682873</v>
          </cell>
        </row>
        <row r="194">
          <cell r="B194">
            <v>13.463365210797599</v>
          </cell>
          <cell r="C194">
            <v>13.926496823575954</v>
          </cell>
        </row>
        <row r="195">
          <cell r="B195">
            <v>13.482820027403999</v>
          </cell>
          <cell r="C195">
            <v>13.92255417831965</v>
          </cell>
        </row>
        <row r="196">
          <cell r="B196">
            <v>13.502274844010399</v>
          </cell>
          <cell r="C196">
            <v>13.918847223641956</v>
          </cell>
        </row>
        <row r="197">
          <cell r="B197">
            <v>13.521729660616799</v>
          </cell>
          <cell r="C197">
            <v>13.915369916194708</v>
          </cell>
        </row>
        <row r="198">
          <cell r="B198">
            <v>13.541184477223199</v>
          </cell>
          <cell r="C198">
            <v>13.912116417488988</v>
          </cell>
        </row>
        <row r="199">
          <cell r="B199">
            <v>13.560639293829599</v>
          </cell>
          <cell r="C199">
            <v>13.909081085287621</v>
          </cell>
        </row>
        <row r="200">
          <cell r="B200">
            <v>13.580094110435999</v>
          </cell>
          <cell r="C200">
            <v>13.906258465427998</v>
          </cell>
        </row>
        <row r="201">
          <cell r="B201">
            <v>13.599548927042401</v>
          </cell>
          <cell r="C201">
            <v>13.903643284050405</v>
          </cell>
        </row>
        <row r="202">
          <cell r="B202">
            <v>13.619003743648801</v>
          </cell>
          <cell r="C202">
            <v>13.901230440208561</v>
          </cell>
        </row>
        <row r="203">
          <cell r="B203">
            <v>13.6384585602552</v>
          </cell>
          <cell r="C203">
            <v>13.899014998840622</v>
          </cell>
        </row>
        <row r="204">
          <cell r="B204">
            <v>13.657913376861599</v>
          </cell>
          <cell r="C204">
            <v>13.896992184080281</v>
          </cell>
        </row>
        <row r="205">
          <cell r="B205">
            <v>13.677368193468</v>
          </cell>
          <cell r="C205">
            <v>13.895157372888958</v>
          </cell>
        </row>
        <row r="206">
          <cell r="B206">
            <v>13.696823010074398</v>
          </cell>
          <cell r="C206">
            <v>13.893506088991201</v>
          </cell>
        </row>
        <row r="207">
          <cell r="B207">
            <v>13.716277826680798</v>
          </cell>
          <cell r="C207">
            <v>13.892033997096604</v>
          </cell>
        </row>
        <row r="208">
          <cell r="B208">
            <v>13.7357326432872</v>
          </cell>
          <cell r="C208">
            <v>13.8907368973926</v>
          </cell>
        </row>
        <row r="209">
          <cell r="B209">
            <v>13.7551874598936</v>
          </cell>
          <cell r="C209">
            <v>13.889610720293357</v>
          </cell>
        </row>
        <row r="210">
          <cell r="B210">
            <v>13.7746422765</v>
          </cell>
          <cell r="C210">
            <v>13.888651521431076</v>
          </cell>
        </row>
        <row r="211">
          <cell r="B211">
            <v>13.7940970931064</v>
          </cell>
          <cell r="C211">
            <v>13.887855476876664</v>
          </cell>
        </row>
        <row r="212">
          <cell r="B212">
            <v>13.8135519097128</v>
          </cell>
          <cell r="C212">
            <v>13.887218878577672</v>
          </cell>
        </row>
        <row r="213">
          <cell r="B213">
            <v>13.8330067263192</v>
          </cell>
          <cell r="C213">
            <v>13.886738130002021</v>
          </cell>
        </row>
        <row r="214">
          <cell r="B214">
            <v>13.8524615429256</v>
          </cell>
          <cell r="C214">
            <v>13.886409741976797</v>
          </cell>
        </row>
        <row r="215">
          <cell r="B215">
            <v>13.871916359532001</v>
          </cell>
          <cell r="C215">
            <v>13.886230328711999</v>
          </cell>
        </row>
        <row r="216">
          <cell r="B216">
            <v>13.891371176138399</v>
          </cell>
          <cell r="C216">
            <v>13.886196603999668</v>
          </cell>
        </row>
        <row r="217">
          <cell r="B217">
            <v>13.910825992744801</v>
          </cell>
          <cell r="C217">
            <v>13.886305377579536</v>
          </cell>
        </row>
        <row r="218">
          <cell r="B218">
            <v>13.930280809351199</v>
          </cell>
          <cell r="C218">
            <v>13.886553551662644</v>
          </cell>
        </row>
        <row r="219">
          <cell r="B219">
            <v>13.949735625957601</v>
          </cell>
          <cell r="C219">
            <v>13.88693811760503</v>
          </cell>
        </row>
        <row r="220">
          <cell r="B220">
            <v>13.969190442563999</v>
          </cell>
          <cell r="C220">
            <v>13.887456152723999</v>
          </cell>
        </row>
        <row r="221">
          <cell r="B221">
            <v>13.988645259170399</v>
          </cell>
          <cell r="C221">
            <v>13.888104817249838</v>
          </cell>
        </row>
        <row r="222">
          <cell r="B222">
            <v>14.008100075776801</v>
          </cell>
          <cell r="C222">
            <v>13.888881351406344</v>
          </cell>
        </row>
        <row r="223">
          <cell r="B223">
            <v>14.027554892383199</v>
          </cell>
          <cell r="C223">
            <v>13.88978307261385</v>
          </cell>
        </row>
        <row r="224">
          <cell r="B224">
            <v>14.0470097089896</v>
          </cell>
          <cell r="C224">
            <v>13.8908073728088</v>
          </cell>
        </row>
        <row r="225">
          <cell r="B225">
            <v>14.066464525595999</v>
          </cell>
          <cell r="C225">
            <v>13.891951715874205</v>
          </cell>
        </row>
        <row r="226">
          <cell r="B226">
            <v>14.0859193422024</v>
          </cell>
          <cell r="C226">
            <v>13.893213635175746</v>
          </cell>
        </row>
        <row r="227">
          <cell r="B227">
            <v>14.1053741588088</v>
          </cell>
          <cell r="C227">
            <v>13.894590731198397</v>
          </cell>
        </row>
        <row r="228">
          <cell r="B228">
            <v>14.124828975415198</v>
          </cell>
          <cell r="C228">
            <v>13.896080669278895</v>
          </cell>
        </row>
        <row r="229">
          <cell r="B229">
            <v>14.1442837920216</v>
          </cell>
          <cell r="C229">
            <v>13.897681177429497</v>
          </cell>
        </row>
        <row r="230">
          <cell r="B230">
            <v>14.163738608627998</v>
          </cell>
          <cell r="C230">
            <v>13.899390044248801</v>
          </cell>
        </row>
        <row r="231">
          <cell r="B231">
            <v>14.1831934252344</v>
          </cell>
          <cell r="C231">
            <v>13.901205116915568</v>
          </cell>
        </row>
      </sheetData>
      <sheetData sheetId="13" refreshError="1">
        <row r="86">
          <cell r="B86">
            <v>12.852652706944001</v>
          </cell>
        </row>
        <row r="145">
          <cell r="B145">
            <v>12.661895733815999</v>
          </cell>
          <cell r="C145">
            <v>15.507303629554151</v>
          </cell>
        </row>
        <row r="146">
          <cell r="B146">
            <v>12.676902353942401</v>
          </cell>
          <cell r="C146">
            <v>15.464305075225745</v>
          </cell>
        </row>
        <row r="147">
          <cell r="B147">
            <v>12.691908974068799</v>
          </cell>
          <cell r="C147">
            <v>15.422814039237386</v>
          </cell>
        </row>
        <row r="148">
          <cell r="B148">
            <v>12.7069155941952</v>
          </cell>
          <cell r="C148">
            <v>15.382764013427009</v>
          </cell>
        </row>
        <row r="149">
          <cell r="B149">
            <v>12.721922214321602</v>
          </cell>
          <cell r="C149">
            <v>15.344092345178192</v>
          </cell>
        </row>
        <row r="150">
          <cell r="B150">
            <v>12.736928834447998</v>
          </cell>
          <cell r="C150">
            <v>15.306739962024</v>
          </cell>
        </row>
        <row r="151">
          <cell r="B151">
            <v>12.751935454574399</v>
          </cell>
          <cell r="C151">
            <v>15.270651119523816</v>
          </cell>
        </row>
        <row r="152">
          <cell r="B152">
            <v>12.766942074700799</v>
          </cell>
          <cell r="C152">
            <v>15.235773170150399</v>
          </cell>
        </row>
        <row r="153">
          <cell r="B153">
            <v>12.781948694827202</v>
          </cell>
          <cell r="C153">
            <v>15.202056351172503</v>
          </cell>
        </row>
        <row r="154">
          <cell r="B154">
            <v>12.7969553149536</v>
          </cell>
          <cell r="C154">
            <v>15.169453589736261</v>
          </cell>
        </row>
        <row r="155">
          <cell r="B155">
            <v>12.811961935079999</v>
          </cell>
          <cell r="C155">
            <v>15.13792032354</v>
          </cell>
        </row>
        <row r="156">
          <cell r="B156">
            <v>12.826968555206401</v>
          </cell>
          <cell r="C156">
            <v>15.107414335666357</v>
          </cell>
        </row>
        <row r="157">
          <cell r="B157">
            <v>12.841975175332797</v>
          </cell>
          <cell r="C157">
            <v>15.077895602284583</v>
          </cell>
        </row>
        <row r="158">
          <cell r="B158">
            <v>12.856981795459198</v>
          </cell>
          <cell r="C158">
            <v>15.04932615206806</v>
          </cell>
        </row>
        <row r="159">
          <cell r="B159">
            <v>12.8719884155856</v>
          </cell>
          <cell r="C159">
            <v>15.021669936288999</v>
          </cell>
        </row>
        <row r="160">
          <cell r="B160">
            <v>12.886995035712001</v>
          </cell>
          <cell r="C160">
            <v>14.994892708656</v>
          </cell>
        </row>
        <row r="161">
          <cell r="B161">
            <v>12.902001655838399</v>
          </cell>
          <cell r="C161">
            <v>14.968961914052535</v>
          </cell>
        </row>
        <row r="162">
          <cell r="B162">
            <v>12.917008275964799</v>
          </cell>
          <cell r="C162">
            <v>14.943846585416544</v>
          </cell>
        </row>
        <row r="163">
          <cell r="B163">
            <v>12.932014896091198</v>
          </cell>
          <cell r="C163">
            <v>14.919517248074515</v>
          </cell>
        </row>
        <row r="164">
          <cell r="B164">
            <v>12.947021516217601</v>
          </cell>
          <cell r="C164">
            <v>14.895945830908799</v>
          </cell>
        </row>
        <row r="165">
          <cell r="B165">
            <v>12.962028136343999</v>
          </cell>
          <cell r="C165">
            <v>14.873105583795528</v>
          </cell>
        </row>
        <row r="166">
          <cell r="B166">
            <v>12.977034756470399</v>
          </cell>
          <cell r="C166">
            <v>14.850971000802641</v>
          </cell>
        </row>
        <row r="167">
          <cell r="B167">
            <v>12.9920413765968</v>
          </cell>
          <cell r="C167">
            <v>14.829517748684605</v>
          </cell>
        </row>
        <row r="168">
          <cell r="B168">
            <v>13.0070479967232</v>
          </cell>
          <cell r="C168">
            <v>14.80872260025251</v>
          </cell>
        </row>
        <row r="169">
          <cell r="B169">
            <v>13.022054616849598</v>
          </cell>
          <cell r="C169">
            <v>14.788563372236036</v>
          </cell>
        </row>
        <row r="170">
          <cell r="B170">
            <v>13.037061236975999</v>
          </cell>
          <cell r="C170">
            <v>14.769018867287999</v>
          </cell>
        </row>
        <row r="171">
          <cell r="B171">
            <v>13.052067857102401</v>
          </cell>
          <cell r="C171">
            <v>14.750068819812737</v>
          </cell>
        </row>
        <row r="172">
          <cell r="B172">
            <v>13.067074477228799</v>
          </cell>
          <cell r="C172">
            <v>14.73169384532744</v>
          </cell>
        </row>
        <row r="173">
          <cell r="B173">
            <v>13.082081097355198</v>
          </cell>
          <cell r="C173">
            <v>14.713875393090502</v>
          </cell>
        </row>
        <row r="174">
          <cell r="B174">
            <v>13.0970877174816</v>
          </cell>
          <cell r="C174">
            <v>14.696595701753564</v>
          </cell>
        </row>
        <row r="175">
          <cell r="B175">
            <v>13.112094337608001</v>
          </cell>
          <cell r="C175">
            <v>14.679837757814527</v>
          </cell>
        </row>
        <row r="176">
          <cell r="B176">
            <v>13.127100957734399</v>
          </cell>
          <cell r="C176">
            <v>14.663585256667197</v>
          </cell>
        </row>
        <row r="177">
          <cell r="B177">
            <v>13.142107577860799</v>
          </cell>
          <cell r="C177">
            <v>14.647822566060297</v>
          </cell>
        </row>
        <row r="178">
          <cell r="B178">
            <v>13.1571141979872</v>
          </cell>
          <cell r="C178">
            <v>14.632534691793598</v>
          </cell>
        </row>
        <row r="179">
          <cell r="B179">
            <v>13.172120818113598</v>
          </cell>
          <cell r="C179">
            <v>14.617707245493163</v>
          </cell>
        </row>
        <row r="180">
          <cell r="B180">
            <v>13.187127438239997</v>
          </cell>
          <cell r="C180">
            <v>14.60332641432</v>
          </cell>
        </row>
        <row r="181">
          <cell r="B181">
            <v>13.202134058366401</v>
          </cell>
          <cell r="C181">
            <v>14.589378932478247</v>
          </cell>
        </row>
        <row r="182">
          <cell r="B182">
            <v>13.2171406784928</v>
          </cell>
          <cell r="C182">
            <v>14.57585205439934</v>
          </cell>
        </row>
        <row r="183">
          <cell r="B183">
            <v>13.232147298619198</v>
          </cell>
          <cell r="C183">
            <v>14.56273352948824</v>
          </cell>
        </row>
        <row r="184">
          <cell r="B184">
            <v>13.247153918745598</v>
          </cell>
          <cell r="C184">
            <v>14.550011578326645</v>
          </cell>
        </row>
        <row r="185">
          <cell r="B185">
            <v>13.262160538871999</v>
          </cell>
          <cell r="C185">
            <v>14.537674870236</v>
          </cell>
        </row>
        <row r="186">
          <cell r="B186">
            <v>13.277167158998401</v>
          </cell>
          <cell r="C186">
            <v>14.525712502110519</v>
          </cell>
        </row>
        <row r="187">
          <cell r="B187">
            <v>13.292173779124798</v>
          </cell>
          <cell r="C187">
            <v>14.514113978437164</v>
          </cell>
        </row>
        <row r="188">
          <cell r="B188">
            <v>13.3071803992512</v>
          </cell>
          <cell r="C188">
            <v>14.502869192425599</v>
          </cell>
        </row>
        <row r="189">
          <cell r="B189">
            <v>13.3221870193776</v>
          </cell>
          <cell r="C189">
            <v>14.49196840817687</v>
          </cell>
        </row>
        <row r="190">
          <cell r="B190">
            <v>13.337193639504001</v>
          </cell>
          <cell r="C190">
            <v>14.481402243824729</v>
          </cell>
        </row>
        <row r="191">
          <cell r="B191">
            <v>13.352200259630399</v>
          </cell>
          <cell r="C191">
            <v>14.471161655588173</v>
          </cell>
        </row>
        <row r="192">
          <cell r="B192">
            <v>13.3672068797568</v>
          </cell>
          <cell r="C192">
            <v>14.461237922678398</v>
          </cell>
        </row>
        <row r="193">
          <cell r="B193">
            <v>13.3822134998832</v>
          </cell>
          <cell r="C193">
            <v>14.451622633007087</v>
          </cell>
        </row>
        <row r="194">
          <cell r="B194">
            <v>13.397220120009598</v>
          </cell>
          <cell r="C194">
            <v>14.442307669646903</v>
          </cell>
        </row>
        <row r="195">
          <cell r="B195">
            <v>13.412226740135999</v>
          </cell>
          <cell r="C195">
            <v>14.433285197998433</v>
          </cell>
        </row>
        <row r="196">
          <cell r="B196">
            <v>13.427233360262399</v>
          </cell>
          <cell r="C196">
            <v>14.424547653620854</v>
          </cell>
        </row>
        <row r="197">
          <cell r="B197">
            <v>13.442239980388802</v>
          </cell>
          <cell r="C197">
            <v>14.416087730686709</v>
          </cell>
        </row>
        <row r="198">
          <cell r="B198">
            <v>13.457246600515198</v>
          </cell>
          <cell r="C198">
            <v>14.407898371023702</v>
          </cell>
        </row>
        <row r="199">
          <cell r="B199">
            <v>13.472253220641599</v>
          </cell>
          <cell r="C199">
            <v>14.399972753709037</v>
          </cell>
        </row>
        <row r="200">
          <cell r="B200">
            <v>13.487259840767999</v>
          </cell>
          <cell r="C200">
            <v>14.392304285183998</v>
          </cell>
        </row>
        <row r="201">
          <cell r="B201">
            <v>13.502266460894397</v>
          </cell>
          <cell r="C201">
            <v>14.38488658985877</v>
          </cell>
        </row>
        <row r="202">
          <cell r="B202">
            <v>13.5172730810208</v>
          </cell>
          <cell r="C202">
            <v>14.377713501179253</v>
          </cell>
        </row>
        <row r="203">
          <cell r="B203">
            <v>13.5322797011472</v>
          </cell>
          <cell r="C203">
            <v>14.370779053129697</v>
          </cell>
        </row>
        <row r="204">
          <cell r="B204">
            <v>13.547286321273601</v>
          </cell>
          <cell r="C204">
            <v>14.364077472146478</v>
          </cell>
        </row>
        <row r="205">
          <cell r="B205">
            <v>13.562292941400001</v>
          </cell>
          <cell r="C205">
            <v>14.357603169419997</v>
          </cell>
        </row>
        <row r="206">
          <cell r="B206">
            <v>13.577299561526399</v>
          </cell>
          <cell r="C206">
            <v>14.351350733563198</v>
          </cell>
        </row>
        <row r="207">
          <cell r="B207">
            <v>13.592306181652798</v>
          </cell>
          <cell r="C207">
            <v>14.345314923626399</v>
          </cell>
        </row>
        <row r="208">
          <cell r="B208">
            <v>13.607312801779202</v>
          </cell>
          <cell r="C208">
            <v>14.339490662439598</v>
          </cell>
        </row>
        <row r="209">
          <cell r="B209">
            <v>13.622319421905599</v>
          </cell>
          <cell r="C209">
            <v>14.333873030264426</v>
          </cell>
        </row>
        <row r="210">
          <cell r="B210">
            <v>13.637326042031999</v>
          </cell>
          <cell r="C210">
            <v>14.328457258739073</v>
          </cell>
        </row>
        <row r="211">
          <cell r="B211">
            <v>13.6523326621584</v>
          </cell>
          <cell r="C211">
            <v>14.323238725100575</v>
          </cell>
        </row>
        <row r="212">
          <cell r="B212">
            <v>13.6673392822848</v>
          </cell>
          <cell r="C212">
            <v>14.31821294666967</v>
          </cell>
        </row>
        <row r="213">
          <cell r="B213">
            <v>13.6823459024112</v>
          </cell>
          <cell r="C213">
            <v>14.313375575584544</v>
          </cell>
        </row>
        <row r="214">
          <cell r="B214">
            <v>13.697352522537599</v>
          </cell>
          <cell r="C214">
            <v>14.308722393770294</v>
          </cell>
        </row>
        <row r="215">
          <cell r="B215">
            <v>13.712359142664001</v>
          </cell>
          <cell r="C215">
            <v>14.304249308132</v>
          </cell>
        </row>
        <row r="216">
          <cell r="B216">
            <v>13.727365762790399</v>
          </cell>
          <cell r="C216">
            <v>14.299952345959907</v>
          </cell>
        </row>
        <row r="217">
          <cell r="B217">
            <v>13.742372382916798</v>
          </cell>
          <cell r="C217">
            <v>14.295827650535774</v>
          </cell>
        </row>
        <row r="218">
          <cell r="B218">
            <v>13.757379003043201</v>
          </cell>
          <cell r="C218">
            <v>14.291871476930295</v>
          </cell>
        </row>
        <row r="219">
          <cell r="B219">
            <v>13.772385623169601</v>
          </cell>
          <cell r="C219">
            <v>14.288080187981919</v>
          </cell>
        </row>
        <row r="220">
          <cell r="B220">
            <v>13.787392243295999</v>
          </cell>
          <cell r="C220">
            <v>14.284450250447998</v>
          </cell>
        </row>
        <row r="221">
          <cell r="B221">
            <v>13.802398863422399</v>
          </cell>
          <cell r="C221">
            <v>14.280978231319709</v>
          </cell>
        </row>
        <row r="222">
          <cell r="B222">
            <v>13.8174054835488</v>
          </cell>
          <cell r="C222">
            <v>14.277660794292705</v>
          </cell>
        </row>
        <row r="223">
          <cell r="B223">
            <v>13.832412103675198</v>
          </cell>
          <cell r="C223">
            <v>14.274494696385851</v>
          </cell>
        </row>
        <row r="224">
          <cell r="B224">
            <v>13.847418723801599</v>
          </cell>
          <cell r="C224">
            <v>14.2714767847008</v>
          </cell>
        </row>
        <row r="225">
          <cell r="B225">
            <v>13.862425343928001</v>
          </cell>
          <cell r="C225">
            <v>14.268603993315722</v>
          </cell>
        </row>
        <row r="226">
          <cell r="B226">
            <v>13.8774319640544</v>
          </cell>
          <cell r="C226">
            <v>14.265873340306651</v>
          </cell>
        </row>
        <row r="227">
          <cell r="B227">
            <v>13.8924385841808</v>
          </cell>
          <cell r="C227">
            <v>14.2632819248904</v>
          </cell>
        </row>
        <row r="228">
          <cell r="B228">
            <v>13.907445204307198</v>
          </cell>
          <cell r="C228">
            <v>14.260826924683329</v>
          </cell>
        </row>
        <row r="229">
          <cell r="B229">
            <v>13.922451824433601</v>
          </cell>
          <cell r="C229">
            <v>14.25850559307049</v>
          </cell>
        </row>
        <row r="230">
          <cell r="B230">
            <v>13.937458444560001</v>
          </cell>
          <cell r="C230">
            <v>14.256315256679997</v>
          </cell>
        </row>
        <row r="231">
          <cell r="B231">
            <v>13.952465064686399</v>
          </cell>
          <cell r="C231">
            <v>14.25425331295777</v>
          </cell>
        </row>
        <row r="232">
          <cell r="B232">
            <v>13.9674716848128</v>
          </cell>
        </row>
      </sheetData>
      <sheetData sheetId="14" refreshError="1"/>
      <sheetData sheetId="15" refreshError="1">
        <row r="8">
          <cell r="A8">
            <v>5</v>
          </cell>
          <cell r="AJ8">
            <v>10.936253750400001</v>
          </cell>
          <cell r="AK8">
            <v>36.753010958399997</v>
          </cell>
          <cell r="AL8">
            <v>15.361293475200002</v>
          </cell>
          <cell r="AM8">
            <v>32.815651792800004</v>
          </cell>
        </row>
        <row r="9">
          <cell r="A9">
            <v>6</v>
          </cell>
          <cell r="N9">
            <v>14.293655417395202</v>
          </cell>
          <cell r="O9">
            <v>42.024148111897603</v>
          </cell>
          <cell r="P9">
            <v>13.363354139007999</v>
          </cell>
          <cell r="Q9">
            <v>37.528599018570667</v>
          </cell>
          <cell r="AJ9">
            <v>12.0989364672</v>
          </cell>
          <cell r="AK9">
            <v>32.547108316799999</v>
          </cell>
          <cell r="AL9">
            <v>15.665670455359999</v>
          </cell>
          <cell r="AM9">
            <v>29.931956821546667</v>
          </cell>
        </row>
        <row r="10">
          <cell r="A10">
            <v>7</v>
          </cell>
          <cell r="N10">
            <v>14.556302705894398</v>
          </cell>
          <cell r="O10">
            <v>38.081409676147203</v>
          </cell>
          <cell r="P10">
            <v>13.664864761376</v>
          </cell>
          <cell r="Q10">
            <v>34.097957651659428</v>
          </cell>
          <cell r="AD10">
            <v>13.03665</v>
          </cell>
          <cell r="AE10">
            <v>20.940523371428572</v>
          </cell>
          <cell r="AH10">
            <v>10.647123480960001</v>
          </cell>
          <cell r="AI10">
            <v>27.682290405394287</v>
          </cell>
          <cell r="AJ10">
            <v>13.261619184000001</v>
          </cell>
          <cell r="AK10">
            <v>29.708989675200005</v>
          </cell>
          <cell r="AL10">
            <v>15.97004743552</v>
          </cell>
          <cell r="AM10">
            <v>27.915657124960003</v>
          </cell>
        </row>
        <row r="11">
          <cell r="A11">
            <v>8</v>
          </cell>
          <cell r="N11">
            <v>14.8189499943936</v>
          </cell>
          <cell r="O11">
            <v>35.157186760396804</v>
          </cell>
          <cell r="P11">
            <v>13.966375383743999</v>
          </cell>
          <cell r="Q11">
            <v>31.562665454272004</v>
          </cell>
          <cell r="AD11">
            <v>13.1039172</v>
          </cell>
          <cell r="AE11">
            <v>19.956743400000001</v>
          </cell>
          <cell r="AH11">
            <v>10.89150688704</v>
          </cell>
          <cell r="AI11">
            <v>25.568168502719999</v>
          </cell>
          <cell r="AJ11">
            <v>14.424301900800002</v>
          </cell>
          <cell r="AK11">
            <v>27.725736033600004</v>
          </cell>
          <cell r="AL11">
            <v>16.274424415680002</v>
          </cell>
          <cell r="AM11">
            <v>26.441479475039998</v>
          </cell>
        </row>
        <row r="12">
          <cell r="A12">
            <v>9</v>
          </cell>
          <cell r="N12">
            <v>15.081597282892799</v>
          </cell>
          <cell r="O12">
            <v>32.911974191313071</v>
          </cell>
          <cell r="P12">
            <v>14.267886006112001</v>
          </cell>
          <cell r="Q12">
            <v>29.624272703233785</v>
          </cell>
          <cell r="AD12">
            <v>13.171184400000001</v>
          </cell>
          <cell r="AE12">
            <v>19.199055333333334</v>
          </cell>
          <cell r="AH12">
            <v>11.135890293119999</v>
          </cell>
          <cell r="AI12">
            <v>23.951005179093336</v>
          </cell>
          <cell r="AJ12">
            <v>15.586984617600002</v>
          </cell>
          <cell r="AK12">
            <v>26.312392392</v>
          </cell>
          <cell r="AL12">
            <v>16.578801395839999</v>
          </cell>
          <cell r="AM12">
            <v>25.328716522897775</v>
          </cell>
        </row>
        <row r="13">
          <cell r="A13">
            <v>10</v>
          </cell>
          <cell r="L13">
            <v>11.682603967871998</v>
          </cell>
          <cell r="M13">
            <v>25.950679633535998</v>
          </cell>
          <cell r="N13">
            <v>15.344244571392002</v>
          </cell>
          <cell r="O13">
            <v>31.142068864896004</v>
          </cell>
          <cell r="P13">
            <v>14.56939662848</v>
          </cell>
          <cell r="Q13">
            <v>28.103709564640003</v>
          </cell>
          <cell r="AD13">
            <v>13.238451600000001</v>
          </cell>
          <cell r="AE13">
            <v>18.599631599999999</v>
          </cell>
          <cell r="AH13">
            <v>11.3802736992</v>
          </cell>
          <cell r="AI13">
            <v>22.681712860800001</v>
          </cell>
          <cell r="AJ13">
            <v>16.749667334400005</v>
          </cell>
          <cell r="AK13">
            <v>25.297985750399999</v>
          </cell>
          <cell r="AL13">
            <v>16.883178376</v>
          </cell>
          <cell r="AM13">
            <v>24.468943859199996</v>
          </cell>
        </row>
        <row r="14">
          <cell r="A14">
            <v>11</v>
          </cell>
          <cell r="L14">
            <v>11.7660115675392</v>
          </cell>
          <cell r="M14">
            <v>24.65737310027869</v>
          </cell>
          <cell r="N14">
            <v>15.606891859891201</v>
          </cell>
          <cell r="O14">
            <v>29.717841533145602</v>
          </cell>
          <cell r="P14">
            <v>14.870907250847999</v>
          </cell>
          <cell r="Q14">
            <v>26.887022507824</v>
          </cell>
          <cell r="AD14">
            <v>13.305718800000001</v>
          </cell>
          <cell r="AE14">
            <v>18.115309199999999</v>
          </cell>
          <cell r="AH14">
            <v>11.624657105279999</v>
          </cell>
          <cell r="AI14">
            <v>21.665417637294546</v>
          </cell>
          <cell r="AJ14">
            <v>17.912350051200001</v>
          </cell>
          <cell r="AK14">
            <v>24.573715108800005</v>
          </cell>
          <cell r="AL14">
            <v>17.187555356160001</v>
          </cell>
          <cell r="AM14">
            <v>23.793164132552729</v>
          </cell>
        </row>
        <row r="15">
          <cell r="A15">
            <v>12</v>
          </cell>
          <cell r="L15">
            <v>11.849419167206397</v>
          </cell>
          <cell r="M15">
            <v>23.586568289203196</v>
          </cell>
          <cell r="N15">
            <v>15.869539148390402</v>
          </cell>
          <cell r="O15">
            <v>28.552872697395202</v>
          </cell>
          <cell r="P15">
            <v>15.172417873216</v>
          </cell>
          <cell r="Q15">
            <v>25.89824251234133</v>
          </cell>
          <cell r="AD15">
            <v>13.372986000000001</v>
          </cell>
          <cell r="AE15">
            <v>17.717312800000002</v>
          </cell>
          <cell r="AH15">
            <v>11.869040511360001</v>
          </cell>
          <cell r="AI15">
            <v>20.838870234880002</v>
          </cell>
          <cell r="AJ15">
            <v>19.075032768</v>
          </cell>
          <cell r="AK15">
            <v>24.067046467200001</v>
          </cell>
          <cell r="AL15">
            <v>17.491932336320001</v>
          </cell>
          <cell r="AM15">
            <v>23.255379108693333</v>
          </cell>
        </row>
        <row r="16">
          <cell r="A16">
            <v>13</v>
          </cell>
          <cell r="L16">
            <v>11.9328267668736</v>
          </cell>
          <cell r="M16">
            <v>22.686918649036798</v>
          </cell>
          <cell r="N16">
            <v>16.132186436889601</v>
          </cell>
          <cell r="O16">
            <v>27.587333473952491</v>
          </cell>
          <cell r="P16">
            <v>15.473928495584001</v>
          </cell>
          <cell r="Q16">
            <v>25.084775640961233</v>
          </cell>
          <cell r="AD16">
            <v>13.440253200000001</v>
          </cell>
          <cell r="AE16">
            <v>17.385721015384615</v>
          </cell>
          <cell r="AH16">
            <v>12.11342391744</v>
          </cell>
          <cell r="AI16">
            <v>20.158282694843077</v>
          </cell>
          <cell r="AJ16">
            <v>20.237715484799999</v>
          </cell>
          <cell r="AK16">
            <v>23.727763979446156</v>
          </cell>
          <cell r="AL16">
            <v>17.796309316479999</v>
          </cell>
          <cell r="AM16">
            <v>22.82374385620923</v>
          </cell>
        </row>
        <row r="17">
          <cell r="A17">
            <v>14</v>
          </cell>
          <cell r="L17">
            <v>12.016234366540798</v>
          </cell>
          <cell r="M17">
            <v>21.921748071727542</v>
          </cell>
          <cell r="N17">
            <v>16.3948337253888</v>
          </cell>
          <cell r="O17">
            <v>26.778488945894399</v>
          </cell>
          <cell r="P17">
            <v>15.775439117951999</v>
          </cell>
          <cell r="Q17">
            <v>24.409054795661717</v>
          </cell>
          <cell r="AD17">
            <v>13.507520400000001</v>
          </cell>
          <cell r="AE17">
            <v>17.106304285714284</v>
          </cell>
          <cell r="AH17">
            <v>12.357807323519999</v>
          </cell>
          <cell r="AI17">
            <v>19.592377903817145</v>
          </cell>
          <cell r="AJ17">
            <v>21.400398201599998</v>
          </cell>
          <cell r="AK17">
            <v>23.519999184</v>
          </cell>
          <cell r="AL17">
            <v>18.100686296639999</v>
          </cell>
          <cell r="AM17">
            <v>22.475511995520002</v>
          </cell>
        </row>
        <row r="18">
          <cell r="A18">
            <v>15</v>
          </cell>
          <cell r="L18">
            <v>12.099641966207999</v>
          </cell>
          <cell r="M18">
            <v>21.264160744703997</v>
          </cell>
          <cell r="N18">
            <v>16.657481013887999</v>
          </cell>
          <cell r="O18">
            <v>26.095000174144001</v>
          </cell>
          <cell r="P18">
            <v>16.07694974032</v>
          </cell>
          <cell r="Q18">
            <v>23.843530771226668</v>
          </cell>
          <cell r="AD18">
            <v>13.574787600000001</v>
          </cell>
          <cell r="AE18">
            <v>16.8686276</v>
          </cell>
          <cell r="AH18">
            <v>12.6021907296</v>
          </cell>
          <cell r="AI18">
            <v>19.118219312000001</v>
          </cell>
          <cell r="AJ18">
            <v>22.563080918400001</v>
          </cell>
          <cell r="AK18">
            <v>23.417448542399999</v>
          </cell>
          <cell r="AL18">
            <v>18.4050632768</v>
          </cell>
          <cell r="AM18">
            <v>22.194002848266667</v>
          </cell>
        </row>
        <row r="19">
          <cell r="A19">
            <v>16</v>
          </cell>
          <cell r="L19">
            <v>12.1830495658752</v>
          </cell>
          <cell r="M19">
            <v>20.693984808537596</v>
          </cell>
          <cell r="N19">
            <v>16.920128302387198</v>
          </cell>
          <cell r="O19">
            <v>25.5133629543936</v>
          </cell>
          <cell r="P19">
            <v>16.378460362687999</v>
          </cell>
          <cell r="Q19">
            <v>23.367541663743999</v>
          </cell>
          <cell r="AD19">
            <v>13.6420548</v>
          </cell>
          <cell r="AE19">
            <v>16.664864699999999</v>
          </cell>
          <cell r="AH19">
            <v>12.846574135679999</v>
          </cell>
          <cell r="AI19">
            <v>18.718604507040002</v>
          </cell>
          <cell r="AJ19">
            <v>23.7257636352</v>
          </cell>
          <cell r="AK19">
            <v>23.400384400800004</v>
          </cell>
          <cell r="AL19">
            <v>18.709440256960001</v>
          </cell>
          <cell r="AM19">
            <v>21.966705905680001</v>
          </cell>
        </row>
        <row r="20">
          <cell r="A20">
            <v>17</v>
          </cell>
          <cell r="L20">
            <v>12.266457165542398</v>
          </cell>
          <cell r="M20">
            <v>20.195794723665315</v>
          </cell>
          <cell r="N20">
            <v>17.182775590886401</v>
          </cell>
          <cell r="O20">
            <v>25.015603483349079</v>
          </cell>
          <cell r="P20">
            <v>16.679970985056002</v>
          </cell>
          <cell r="Q20">
            <v>22.965287193751532</v>
          </cell>
          <cell r="AD20">
            <v>13.709322</v>
          </cell>
          <cell r="AE20">
            <v>16.489030799999998</v>
          </cell>
          <cell r="AH20">
            <v>13.09095754176</v>
          </cell>
          <cell r="AI20">
            <v>18.380378703021179</v>
          </cell>
          <cell r="AL20">
            <v>19.013817237120001</v>
          </cell>
          <cell r="AM20">
            <v>21.784054308112943</v>
          </cell>
        </row>
        <row r="21">
          <cell r="A21">
            <v>18</v>
          </cell>
          <cell r="L21">
            <v>12.349864765209599</v>
          </cell>
          <cell r="M21">
            <v>19.757592848204798</v>
          </cell>
          <cell r="N21">
            <v>17.4454228793856</v>
          </cell>
          <cell r="O21">
            <v>24.587742136226137</v>
          </cell>
          <cell r="P21">
            <v>16.981481607424001</v>
          </cell>
          <cell r="Q21">
            <v>22.624478255000888</v>
          </cell>
          <cell r="AD21">
            <v>13.7765892</v>
          </cell>
          <cell r="AE21">
            <v>16.336471066666668</v>
          </cell>
          <cell r="AH21">
            <v>13.335340947839999</v>
          </cell>
          <cell r="AI21">
            <v>18.093310399786667</v>
          </cell>
          <cell r="AL21">
            <v>19.318194217280002</v>
          </cell>
          <cell r="AM21">
            <v>21.638607164728889</v>
          </cell>
        </row>
        <row r="22">
          <cell r="A22">
            <v>19</v>
          </cell>
          <cell r="L22">
            <v>12.4332723648768</v>
          </cell>
          <cell r="M22">
            <v>19.369907359617343</v>
          </cell>
          <cell r="N22">
            <v>17.708070167884802</v>
          </cell>
          <cell r="O22">
            <v>24.218742367142404</v>
          </cell>
          <cell r="P22">
            <v>17.282992229792004</v>
          </cell>
          <cell r="Q22">
            <v>22.335412921506524</v>
          </cell>
          <cell r="AD22">
            <v>13.8438564</v>
          </cell>
          <cell r="AE22">
            <v>16.203510631578951</v>
          </cell>
          <cell r="AH22">
            <v>13.579724353920001</v>
          </cell>
          <cell r="AI22">
            <v>17.849322097212632</v>
          </cell>
        </row>
        <row r="23">
          <cell r="A23">
            <v>20</v>
          </cell>
          <cell r="F23">
            <v>13.937668800000001</v>
          </cell>
          <cell r="G23">
            <v>16.300059600000001</v>
          </cell>
          <cell r="L23">
            <v>12.516679964544</v>
          </cell>
          <cell r="M23">
            <v>19.025160799871998</v>
          </cell>
          <cell r="N23">
            <v>17.970717456384001</v>
          </cell>
          <cell r="O23">
            <v>23.899774939392</v>
          </cell>
          <cell r="P23">
            <v>17.58450285216</v>
          </cell>
          <cell r="Q23">
            <v>22.090329652480001</v>
          </cell>
          <cell r="AD23">
            <v>13.9111236</v>
          </cell>
          <cell r="AE23">
            <v>16.087209600000001</v>
          </cell>
          <cell r="AH23">
            <v>13.82410776</v>
          </cell>
          <cell r="AI23">
            <v>17.641951795199997</v>
          </cell>
        </row>
        <row r="24">
          <cell r="A24">
            <v>21</v>
          </cell>
          <cell r="F24">
            <v>13.988958719999999</v>
          </cell>
          <cell r="G24">
            <v>16.188785988571425</v>
          </cell>
          <cell r="L24">
            <v>12.600087564211197</v>
          </cell>
          <cell r="M24">
            <v>18.717219036277029</v>
          </cell>
          <cell r="N24">
            <v>18.2333647448832</v>
          </cell>
          <cell r="O24">
            <v>23.6236923756416</v>
          </cell>
          <cell r="P24">
            <v>17.886013474528003</v>
          </cell>
          <cell r="Q24">
            <v>21.882945295854476</v>
          </cell>
          <cell r="AD24">
            <v>13.9783908</v>
          </cell>
          <cell r="AE24">
            <v>15.985188057142855</v>
          </cell>
          <cell r="AH24">
            <v>14.068491166080001</v>
          </cell>
          <cell r="AI24">
            <v>17.465968350811426</v>
          </cell>
        </row>
        <row r="25">
          <cell r="A25">
            <v>22</v>
          </cell>
          <cell r="F25">
            <v>14.040248640000002</v>
          </cell>
          <cell r="G25">
            <v>16.089959519999997</v>
          </cell>
          <cell r="L25">
            <v>12.683495163878399</v>
          </cell>
          <cell r="M25">
            <v>18.441063232993745</v>
          </cell>
          <cell r="N25">
            <v>18.496012033382403</v>
          </cell>
          <cell r="O25">
            <v>23.384646739891199</v>
          </cell>
          <cell r="P25">
            <v>18.187524096896002</v>
          </cell>
          <cell r="Q25">
            <v>21.708119090848001</v>
          </cell>
          <cell r="AD25">
            <v>14.045658</v>
          </cell>
          <cell r="AE25">
            <v>15.8954988</v>
          </cell>
          <cell r="AH25">
            <v>14.31287457216</v>
          </cell>
          <cell r="AI25">
            <v>17.317091738007271</v>
          </cell>
        </row>
        <row r="26">
          <cell r="A26">
            <v>23</v>
          </cell>
          <cell r="F26">
            <v>14.091538560000002</v>
          </cell>
          <cell r="G26">
            <v>16.001956653913044</v>
          </cell>
          <cell r="L26">
            <v>12.766902763545598</v>
          </cell>
          <cell r="M26">
            <v>18.192547395198886</v>
          </cell>
          <cell r="N26">
            <v>18.758659321881598</v>
          </cell>
          <cell r="O26">
            <v>23.177807128488627</v>
          </cell>
          <cell r="P26">
            <v>18.489034719264001</v>
          </cell>
          <cell r="Q26">
            <v>21.561604322032</v>
          </cell>
          <cell r="AD26">
            <v>14.112925199999999</v>
          </cell>
          <cell r="AE26">
            <v>15.816533269565216</v>
          </cell>
          <cell r="AH26">
            <v>14.557257978239999</v>
          </cell>
          <cell r="AI26">
            <v>17.191786283102608</v>
          </cell>
        </row>
        <row r="27">
          <cell r="A27">
            <v>24</v>
          </cell>
          <cell r="F27">
            <v>14.14282848</v>
          </cell>
          <cell r="G27">
            <v>15.923424439999998</v>
          </cell>
          <cell r="L27">
            <v>12.850310363212797</v>
          </cell>
          <cell r="M27">
            <v>17.968216527206398</v>
          </cell>
          <cell r="N27">
            <v>19.021306610380798</v>
          </cell>
          <cell r="O27">
            <v>22.999147788390406</v>
          </cell>
          <cell r="P27">
            <v>18.790545341632001</v>
          </cell>
          <cell r="Q27">
            <v>21.439862059882667</v>
          </cell>
          <cell r="AD27">
            <v>14.180192399999999</v>
          </cell>
          <cell r="AE27">
            <v>15.746951000000001</v>
          </cell>
          <cell r="AH27">
            <v>14.801641384319998</v>
          </cell>
          <cell r="AI27">
            <v>17.087105591359997</v>
          </cell>
        </row>
        <row r="28">
          <cell r="A28">
            <v>25</v>
          </cell>
          <cell r="F28">
            <v>14.194118399999999</v>
          </cell>
          <cell r="G28">
            <v>15.8532264</v>
          </cell>
          <cell r="L28">
            <v>12.933717962879998</v>
          </cell>
          <cell r="M28">
            <v>17.765168432639999</v>
          </cell>
          <cell r="N28">
            <v>19.28395389888</v>
          </cell>
          <cell r="O28">
            <v>22.845287087040003</v>
          </cell>
          <cell r="P28">
            <v>19.092055964000004</v>
          </cell>
          <cell r="Q28">
            <v>21.339919603600002</v>
          </cell>
          <cell r="AD28">
            <v>14.247459600000001</v>
          </cell>
          <cell r="AE28">
            <v>15.685626000000003</v>
          </cell>
          <cell r="AH28">
            <v>15.046024790399999</v>
          </cell>
          <cell r="AI28">
            <v>17.000574691200001</v>
          </cell>
        </row>
        <row r="29">
          <cell r="A29">
            <v>26</v>
          </cell>
          <cell r="F29">
            <v>14.245408320000001</v>
          </cell>
          <cell r="G29">
            <v>15.79040089846154</v>
          </cell>
          <cell r="L29">
            <v>13.017125562547198</v>
          </cell>
          <cell r="M29">
            <v>17.580947406873598</v>
          </cell>
          <cell r="N29">
            <v>19.546601187379203</v>
          </cell>
          <cell r="O29">
            <v>22.713363643043447</v>
          </cell>
          <cell r="P29">
            <v>19.393566586367999</v>
          </cell>
          <cell r="Q29">
            <v>21.259261590968613</v>
          </cell>
          <cell r="AD29">
            <v>14.314726800000001</v>
          </cell>
          <cell r="AE29">
            <v>15.63160550769231</v>
          </cell>
        </row>
        <row r="30">
          <cell r="A30">
            <v>27</v>
          </cell>
          <cell r="F30">
            <v>14.296698240000001</v>
          </cell>
          <cell r="G30">
            <v>15.734128764444446</v>
          </cell>
          <cell r="L30">
            <v>13.100533162214401</v>
          </cell>
          <cell r="M30">
            <v>17.413461553373864</v>
          </cell>
          <cell r="N30">
            <v>19.809248475878402</v>
          </cell>
          <cell r="O30">
            <v>22.600939983361425</v>
          </cell>
          <cell r="P30">
            <v>19.695077208736002</v>
          </cell>
          <cell r="Q30">
            <v>21.195745306027263</v>
          </cell>
          <cell r="AD30">
            <v>14.381994000000001</v>
          </cell>
          <cell r="AE30">
            <v>15.584077911111114</v>
          </cell>
        </row>
        <row r="31">
          <cell r="A31">
            <v>28</v>
          </cell>
          <cell r="F31">
            <v>14.34798816</v>
          </cell>
          <cell r="G31">
            <v>15.68370785142857</v>
          </cell>
          <cell r="L31">
            <v>13.183940761881599</v>
          </cell>
          <cell r="M31">
            <v>17.260917817969368</v>
          </cell>
          <cell r="N31">
            <v>20.071895764377601</v>
          </cell>
          <cell r="O31">
            <v>22.505926845388803</v>
          </cell>
          <cell r="P31">
            <v>19.996587831104002</v>
          </cell>
          <cell r="Q31">
            <v>21.147534135094855</v>
          </cell>
          <cell r="AD31">
            <v>14.4492612</v>
          </cell>
          <cell r="AE31">
            <v>15.542347542857142</v>
          </cell>
        </row>
        <row r="32">
          <cell r="A32">
            <v>29</v>
          </cell>
          <cell r="F32">
            <v>14.39927808</v>
          </cell>
          <cell r="G32">
            <v>15.638532860689656</v>
          </cell>
          <cell r="L32">
            <v>13.267348361548798</v>
          </cell>
          <cell r="M32">
            <v>17.121770464305435</v>
          </cell>
          <cell r="N32">
            <v>25.084671131520004</v>
          </cell>
          <cell r="O32">
            <v>22.426523140672884</v>
          </cell>
          <cell r="P32">
            <v>20.298098453472001</v>
          </cell>
          <cell r="Q32">
            <v>21.11304479051531</v>
          </cell>
          <cell r="AD32">
            <v>14.5165284</v>
          </cell>
          <cell r="AE32">
            <v>15.505814689655173</v>
          </cell>
        </row>
        <row r="33">
          <cell r="A33">
            <v>30</v>
          </cell>
          <cell r="F33">
            <v>14.450568000000001</v>
          </cell>
          <cell r="G33">
            <v>15.598079200000001</v>
          </cell>
          <cell r="L33">
            <v>13.350755961215999</v>
          </cell>
          <cell r="M33">
            <v>16.994679854207995</v>
          </cell>
          <cell r="N33">
            <v>26.338579238400005</v>
          </cell>
          <cell r="O33">
            <v>22.361167925888005</v>
          </cell>
          <cell r="P33">
            <v>20.59960907584</v>
          </cell>
          <cell r="Q33">
            <v>21.090905089653333</v>
          </cell>
          <cell r="AD33">
            <v>14.5837956</v>
          </cell>
          <cell r="AE33">
            <v>15.473959600000001</v>
          </cell>
        </row>
        <row r="34">
          <cell r="A34">
            <v>31</v>
          </cell>
          <cell r="F34">
            <v>14.501857920000003</v>
          </cell>
          <cell r="G34">
            <v>15.561889966451611</v>
          </cell>
          <cell r="L34">
            <v>13.434163560883199</v>
          </cell>
          <cell r="M34">
            <v>16.878479206041597</v>
          </cell>
          <cell r="N34">
            <v>27.592487345280006</v>
          </cell>
          <cell r="O34">
            <v>22.308501669750505</v>
          </cell>
          <cell r="P34">
            <v>20.901119698208003</v>
          </cell>
          <cell r="Q34">
            <v>21.079919905697551</v>
          </cell>
        </row>
        <row r="35">
          <cell r="A35">
            <v>32</v>
          </cell>
          <cell r="F35">
            <v>14.553147840000001</v>
          </cell>
          <cell r="G35">
            <v>15.52956537</v>
          </cell>
          <cell r="L35">
            <v>13.517571160550398</v>
          </cell>
          <cell r="M35">
            <v>16.772147585875196</v>
          </cell>
          <cell r="N35">
            <v>28.846395452160007</v>
          </cell>
          <cell r="O35">
            <v>22.267334782387202</v>
          </cell>
          <cell r="P35">
            <v>21.202630320576002</v>
          </cell>
          <cell r="Q35">
            <v>21.079043502688002</v>
          </cell>
        </row>
        <row r="36">
          <cell r="A36">
            <v>33</v>
          </cell>
          <cell r="F36">
            <v>14.60443776</v>
          </cell>
          <cell r="G36">
            <v>15.50075408</v>
          </cell>
          <cell r="L36">
            <v>13.600978760217599</v>
          </cell>
          <cell r="M36">
            <v>16.674787809345162</v>
          </cell>
          <cell r="N36">
            <v>30.10030355904</v>
          </cell>
          <cell r="O36">
            <v>22.236621866636799</v>
          </cell>
          <cell r="P36">
            <v>29.495262987840007</v>
          </cell>
          <cell r="Q36">
            <v>21.087356900538666</v>
          </cell>
        </row>
        <row r="37">
          <cell r="A37">
            <v>34</v>
          </cell>
          <cell r="F37">
            <v>14.65572768</v>
          </cell>
          <cell r="G37">
            <v>15.475146098823533</v>
          </cell>
          <cell r="L37">
            <v>13.684386359884797</v>
          </cell>
          <cell r="M37">
            <v>16.585608243189455</v>
          </cell>
          <cell r="P37">
            <v>31.233241784320004</v>
          </cell>
          <cell r="Q37">
            <v>21.104049234467766</v>
          </cell>
        </row>
        <row r="38">
          <cell r="A38">
            <v>35</v>
          </cell>
          <cell r="D38">
            <v>19.63580208099</v>
          </cell>
          <cell r="E38">
            <v>24.003558817352143</v>
          </cell>
          <cell r="F38">
            <v>14.707017600000002</v>
          </cell>
          <cell r="G38">
            <v>15.452466857142859</v>
          </cell>
          <cell r="H38">
            <v>17.101838438999998</v>
          </cell>
          <cell r="I38">
            <v>23.778442999499998</v>
          </cell>
          <cell r="L38">
            <v>13.767793959551998</v>
          </cell>
          <cell r="M38">
            <v>16.503907726518854</v>
          </cell>
          <cell r="P38">
            <v>32.971220580800008</v>
          </cell>
          <cell r="Q38">
            <v>21.128402309954286</v>
          </cell>
        </row>
        <row r="39">
          <cell r="A39">
            <v>36</v>
          </cell>
          <cell r="D39">
            <v>19.746735330503999</v>
          </cell>
          <cell r="E39">
            <v>23.883772980918664</v>
          </cell>
          <cell r="F39">
            <v>14.758307520000001</v>
          </cell>
          <cell r="G39">
            <v>15.432472293333335</v>
          </cell>
          <cell r="H39">
            <v>17.1457360984</v>
          </cell>
          <cell r="I39">
            <v>23.59359145142222</v>
          </cell>
          <cell r="L39">
            <v>13.8512015592192</v>
          </cell>
          <cell r="M39">
            <v>16.429063005209599</v>
          </cell>
          <cell r="P39">
            <v>34.709199377280008</v>
          </cell>
          <cell r="Q39">
            <v>21.159777731868445</v>
          </cell>
        </row>
        <row r="40">
          <cell r="A40">
            <v>37</v>
          </cell>
          <cell r="D40">
            <v>19.857668580018</v>
          </cell>
          <cell r="E40">
            <v>23.773460250495486</v>
          </cell>
          <cell r="F40">
            <v>14.809597439999999</v>
          </cell>
          <cell r="G40">
            <v>15.414944730810811</v>
          </cell>
          <cell r="H40">
            <v>17.189633757799999</v>
          </cell>
          <cell r="I40">
            <v>23.419918302143241</v>
          </cell>
          <cell r="L40">
            <v>13.934609158886399</v>
          </cell>
          <cell r="M40">
            <v>16.360518203962116</v>
          </cell>
          <cell r="P40">
            <v>36.447178173760001</v>
          </cell>
          <cell r="Q40">
            <v>21.197606120770164</v>
          </cell>
        </row>
        <row r="41">
          <cell r="A41">
            <v>38</v>
          </cell>
          <cell r="D41">
            <v>19.968601829532002</v>
          </cell>
          <cell r="E41">
            <v>23.671872749292316</v>
          </cell>
          <cell r="F41">
            <v>14.860887360000001</v>
          </cell>
          <cell r="G41">
            <v>15.399689406315792</v>
          </cell>
          <cell r="H41">
            <v>17.233531417199998</v>
          </cell>
          <cell r="I41">
            <v>23.256541046494736</v>
          </cell>
          <cell r="L41">
            <v>14.0180167585536</v>
          </cell>
          <cell r="M41">
            <v>16.297775960666272</v>
          </cell>
          <cell r="P41">
            <v>38.185156970240008</v>
          </cell>
          <cell r="Q41">
            <v>21.241378031897266</v>
          </cell>
        </row>
        <row r="42">
          <cell r="A42">
            <v>39</v>
          </cell>
          <cell r="D42">
            <v>20.079535079046</v>
          </cell>
          <cell r="E42">
            <v>23.578339305830688</v>
          </cell>
          <cell r="F42">
            <v>14.912177280000002</v>
          </cell>
          <cell r="G42">
            <v>15.386531532307691</v>
          </cell>
          <cell r="H42">
            <v>17.277429076600001</v>
          </cell>
          <cell r="I42">
            <v>23.102667692658972</v>
          </cell>
          <cell r="L42">
            <v>14.101424358220799</v>
          </cell>
          <cell r="M42">
            <v>16.240389924710396</v>
          </cell>
        </row>
        <row r="43">
          <cell r="A43">
            <v>40</v>
          </cell>
          <cell r="D43">
            <v>20.190468328560002</v>
          </cell>
          <cell r="E43">
            <v>23.492255865779999</v>
          </cell>
          <cell r="F43">
            <v>14.9634672</v>
          </cell>
          <cell r="G43">
            <v>15.375313800000001</v>
          </cell>
          <cell r="H43">
            <v>17.321326736</v>
          </cell>
          <cell r="I43">
            <v>22.957585447999996</v>
          </cell>
          <cell r="L43">
            <v>14.184831957887999</v>
          </cell>
          <cell r="M43">
            <v>16.187958380544</v>
          </cell>
        </row>
        <row r="44">
          <cell r="A44">
            <v>41</v>
          </cell>
          <cell r="D44">
            <v>20.301401578074</v>
          </cell>
          <cell r="E44">
            <v>23.413077306939442</v>
          </cell>
          <cell r="F44">
            <v>15.014757119999999</v>
          </cell>
          <cell r="G44">
            <v>15.365894247804878</v>
          </cell>
          <cell r="H44">
            <v>17.365224395399999</v>
          </cell>
          <cell r="I44">
            <v>22.82065106062683</v>
          </cell>
          <cell r="L44">
            <v>14.268239557555198</v>
          </cell>
          <cell r="M44">
            <v>16.1401188043776</v>
          </cell>
        </row>
        <row r="45">
          <cell r="A45">
            <v>42</v>
          </cell>
          <cell r="D45">
            <v>20.412334827588001</v>
          </cell>
          <cell r="E45">
            <v>23.340310423508289</v>
          </cell>
          <cell r="F45">
            <v>15.066047040000001</v>
          </cell>
          <cell r="G45">
            <v>15.358144434285716</v>
          </cell>
          <cell r="H45">
            <v>17.409122054800001</v>
          </cell>
          <cell r="I45">
            <v>22.691282540733329</v>
          </cell>
          <cell r="L45">
            <v>14.351647157222398</v>
          </cell>
          <cell r="M45">
            <v>16.096543198496914</v>
          </cell>
        </row>
        <row r="46">
          <cell r="A46">
            <v>43</v>
          </cell>
          <cell r="D46">
            <v>20.523268077101999</v>
          </cell>
          <cell r="E46">
            <v>23.273507889295185</v>
          </cell>
          <cell r="F46">
            <v>15.117336960000001</v>
          </cell>
          <cell r="G46">
            <v>15.351947866046512</v>
          </cell>
          <cell r="H46">
            <v>17.4530197142</v>
          </cell>
          <cell r="I46">
            <v>22.568952037099997</v>
          </cell>
          <cell r="L46">
            <v>14.435054756889597</v>
          </cell>
          <cell r="M46">
            <v>16.056934076602939</v>
          </cell>
        </row>
        <row r="47">
          <cell r="A47">
            <v>44</v>
          </cell>
          <cell r="D47">
            <v>20.634201326616001</v>
          </cell>
          <cell r="E47">
            <v>23.212263044126185</v>
          </cell>
          <cell r="F47">
            <v>15.168626880000001</v>
          </cell>
          <cell r="G47">
            <v>15.34719864</v>
          </cell>
          <cell r="H47">
            <v>17.496917373599999</v>
          </cell>
          <cell r="I47">
            <v>22.453179684981819</v>
          </cell>
          <cell r="L47">
            <v>14.5184623565568</v>
          </cell>
          <cell r="M47">
            <v>16.021020996605671</v>
          </cell>
        </row>
        <row r="48">
          <cell r="A48">
            <v>45</v>
          </cell>
          <cell r="D48">
            <v>20.745134576129999</v>
          </cell>
          <cell r="E48">
            <v>23.156205375398333</v>
          </cell>
          <cell r="F48">
            <v>15.2199168</v>
          </cell>
          <cell r="G48">
            <v>15.343800266666669</v>
          </cell>
          <cell r="H48">
            <v>17.540815032999998</v>
          </cell>
          <cell r="I48">
            <v>22.343528274277777</v>
          </cell>
          <cell r="L48">
            <v>14.601869956224</v>
          </cell>
          <cell r="M48">
            <v>15.988557555711999</v>
          </cell>
        </row>
        <row r="49">
          <cell r="A49">
            <v>46</v>
          </cell>
          <cell r="D49">
            <v>20.856067825644004</v>
          </cell>
          <cell r="E49">
            <v>23.104996588995913</v>
          </cell>
          <cell r="F49">
            <v>15.27120672</v>
          </cell>
          <cell r="G49">
            <v>15.34166464695652</v>
          </cell>
          <cell r="H49">
            <v>17.5847126924</v>
          </cell>
          <cell r="I49">
            <v>22.23959861315652</v>
          </cell>
          <cell r="L49">
            <v>14.685277555891199</v>
          </cell>
          <cell r="M49">
            <v>15.959318777458641</v>
          </cell>
        </row>
        <row r="50">
          <cell r="A50">
            <v>47</v>
          </cell>
          <cell r="D50">
            <v>20.967001075158002</v>
          </cell>
          <cell r="E50">
            <v>23.058327181791768</v>
          </cell>
          <cell r="F50">
            <v>15.322496640000002</v>
          </cell>
          <cell r="G50">
            <v>15.340711179574466</v>
          </cell>
          <cell r="H50">
            <v>17.628610351799999</v>
          </cell>
          <cell r="I50">
            <v>22.141025483559577</v>
          </cell>
          <cell r="L50">
            <v>14.7686851555584</v>
          </cell>
          <cell r="M50">
            <v>15.93309883231537</v>
          </cell>
        </row>
        <row r="51">
          <cell r="A51">
            <v>48</v>
          </cell>
          <cell r="D51">
            <v>21.077934324672</v>
          </cell>
          <cell r="E51">
            <v>23.015913442585997</v>
          </cell>
          <cell r="F51">
            <v>15.373786560000001</v>
          </cell>
          <cell r="G51">
            <v>15.340865980000002</v>
          </cell>
          <cell r="H51">
            <v>17.672508011199998</v>
          </cell>
          <cell r="I51">
            <v>22.047474102266666</v>
          </cell>
          <cell r="L51">
            <v>14.852092755225598</v>
          </cell>
          <cell r="M51">
            <v>15.9097090432128</v>
          </cell>
        </row>
        <row r="52">
          <cell r="A52">
            <v>49</v>
          </cell>
          <cell r="D52">
            <v>21.188867574185998</v>
          </cell>
          <cell r="E52">
            <v>22.977494820276675</v>
          </cell>
          <cell r="F52">
            <v>15.42507648</v>
          </cell>
          <cell r="G52">
            <v>15.342061195102044</v>
          </cell>
          <cell r="H52">
            <v>17.716405670600004</v>
          </cell>
          <cell r="I52">
            <v>21.958637015299999</v>
          </cell>
          <cell r="L52">
            <v>14.935500354892799</v>
          </cell>
          <cell r="M52">
            <v>15.888976135291301</v>
          </cell>
        </row>
        <row r="53">
          <cell r="A53">
            <v>50</v>
          </cell>
          <cell r="D53">
            <v>21.2998008237</v>
          </cell>
          <cell r="E53">
            <v>22.94283160785</v>
          </cell>
          <cell r="F53">
            <v>15.476366400000002</v>
          </cell>
          <cell r="G53">
            <v>15.344234399999999</v>
          </cell>
          <cell r="H53">
            <v>17.760303329999999</v>
          </cell>
          <cell r="I53">
            <v>21.874231364999996</v>
          </cell>
          <cell r="L53">
            <v>15.018907954559999</v>
          </cell>
          <cell r="M53">
            <v>15.870740695679999</v>
          </cell>
        </row>
        <row r="54">
          <cell r="A54">
            <v>51</v>
          </cell>
          <cell r="D54">
            <v>21.410734073213998</v>
          </cell>
          <cell r="E54">
            <v>22.911702898842297</v>
          </cell>
          <cell r="F54">
            <v>15.527656320000002</v>
          </cell>
          <cell r="G54">
            <v>15.347328065882355</v>
          </cell>
          <cell r="H54">
            <v>17.804200989399998</v>
          </cell>
          <cell r="I54">
            <v>21.793996478621569</v>
          </cell>
        </row>
        <row r="55">
          <cell r="A55">
            <v>52</v>
          </cell>
          <cell r="D55">
            <v>21.521667322728</v>
          </cell>
          <cell r="E55">
            <v>22.883904779594769</v>
          </cell>
          <cell r="F55">
            <v>15.578946240000001</v>
          </cell>
          <cell r="G55">
            <v>15.35128908923077</v>
          </cell>
          <cell r="H55">
            <v>17.848098648800001</v>
          </cell>
          <cell r="I55">
            <v>21.717691735169232</v>
          </cell>
        </row>
        <row r="56">
          <cell r="A56">
            <v>53</v>
          </cell>
          <cell r="D56">
            <v>21.632600572242001</v>
          </cell>
          <cell r="E56">
            <v>22.859248726158736</v>
          </cell>
          <cell r="F56">
            <v>15.630236159999999</v>
          </cell>
          <cell r="G56">
            <v>15.356068374339625</v>
          </cell>
          <cell r="H56">
            <v>17.8919963082</v>
          </cell>
          <cell r="I56">
            <v>21.645094673722642</v>
          </cell>
        </row>
        <row r="57">
          <cell r="A57">
            <v>54</v>
          </cell>
          <cell r="D57">
            <v>21.743533821755999</v>
          </cell>
          <cell r="E57">
            <v>22.837560179322441</v>
          </cell>
          <cell r="F57">
            <v>15.681526080000001</v>
          </cell>
          <cell r="G57">
            <v>15.361620462222223</v>
          </cell>
          <cell r="H57">
            <v>17.935893967600002</v>
          </cell>
          <cell r="I57">
            <v>21.575999311948149</v>
          </cell>
        </row>
        <row r="58">
          <cell r="A58">
            <v>55</v>
          </cell>
          <cell r="D58">
            <v>21.854467071269998</v>
          </cell>
          <cell r="E58">
            <v>22.818677275089541</v>
          </cell>
          <cell r="F58">
            <v>15.732816000000001</v>
          </cell>
          <cell r="G58">
            <v>15.367903200000002</v>
          </cell>
          <cell r="H58">
            <v>17.979791626999997</v>
          </cell>
          <cell r="I58">
            <v>21.510214648045451</v>
          </cell>
        </row>
        <row r="59">
          <cell r="A59">
            <v>56</v>
          </cell>
          <cell r="D59">
            <v>21.965400320783999</v>
          </cell>
          <cell r="E59">
            <v>22.802449711177712</v>
          </cell>
          <cell r="H59">
            <v>18.0236892864</v>
          </cell>
          <cell r="I59">
            <v>21.447563323200001</v>
          </cell>
        </row>
        <row r="60">
          <cell r="A60">
            <v>57</v>
          </cell>
          <cell r="D60">
            <v>22.076333570298001</v>
          </cell>
          <cell r="E60">
            <v>22.788737732833209</v>
          </cell>
          <cell r="H60">
            <v>18.067586945799999</v>
          </cell>
          <cell r="I60">
            <v>21.387880424829824</v>
          </cell>
        </row>
        <row r="61">
          <cell r="A61">
            <v>58</v>
          </cell>
          <cell r="D61">
            <v>22.187266819811999</v>
          </cell>
          <cell r="E61">
            <v>22.77741122356117</v>
          </cell>
          <cell r="H61">
            <v>18.111484605199998</v>
          </cell>
          <cell r="I61">
            <v>21.331012413634479</v>
          </cell>
        </row>
        <row r="62">
          <cell r="A62">
            <v>59</v>
          </cell>
          <cell r="D62">
            <v>22.298200069325997</v>
          </cell>
          <cell r="E62">
            <v>22.768348888324013</v>
          </cell>
          <cell r="H62">
            <v>18.1553822646</v>
          </cell>
          <cell r="I62">
            <v>21.276816159757622</v>
          </cell>
        </row>
        <row r="63">
          <cell r="A63">
            <v>60</v>
          </cell>
          <cell r="D63">
            <v>22.409133318839999</v>
          </cell>
          <cell r="E63">
            <v>22.761437518420003</v>
          </cell>
          <cell r="H63">
            <v>18.199279923999999</v>
          </cell>
          <cell r="I63">
            <v>21.225158075333333</v>
          </cell>
        </row>
        <row r="64">
          <cell r="A64">
            <v>61</v>
          </cell>
          <cell r="D64">
            <v>22.520066568354</v>
          </cell>
          <cell r="E64">
            <v>22.756571328668802</v>
          </cell>
          <cell r="H64">
            <v>18.243177583399998</v>
          </cell>
          <cell r="I64">
            <v>21.175913332355734</v>
          </cell>
        </row>
        <row r="65">
          <cell r="A65">
            <v>62</v>
          </cell>
          <cell r="D65">
            <v>22.630999817867998</v>
          </cell>
          <cell r="E65">
            <v>22.753651358740449</v>
          </cell>
          <cell r="H65">
            <v>18.287075242799997</v>
          </cell>
          <cell r="I65">
            <v>21.128965156238706</v>
          </cell>
        </row>
        <row r="66">
          <cell r="A66">
            <v>63</v>
          </cell>
          <cell r="D66">
            <v>22.741933067382</v>
          </cell>
          <cell r="E66">
            <v>22.752584931500522</v>
          </cell>
          <cell r="H66">
            <v>18.330972902199999</v>
          </cell>
          <cell r="I66">
            <v>21.084204186655555</v>
          </cell>
        </row>
        <row r="67">
          <cell r="A67">
            <v>64</v>
          </cell>
          <cell r="D67">
            <v>22.852866316895998</v>
          </cell>
          <cell r="E67">
            <v>22.753285162135498</v>
          </cell>
          <cell r="H67">
            <v>18.374870561599998</v>
          </cell>
          <cell r="I67">
            <v>21.0415278983</v>
          </cell>
        </row>
        <row r="68">
          <cell r="A68">
            <v>65</v>
          </cell>
          <cell r="D68">
            <v>22.96379956641</v>
          </cell>
          <cell r="E68">
            <v>22.755670512589614</v>
          </cell>
          <cell r="H68">
            <v>18.418768220999997</v>
          </cell>
          <cell r="I68">
            <v>21.000840075115381</v>
          </cell>
        </row>
        <row r="69">
          <cell r="A69">
            <v>66</v>
          </cell>
          <cell r="D69">
            <v>23.074732815923998</v>
          </cell>
          <cell r="E69">
            <v>22.759664386507453</v>
          </cell>
          <cell r="H69">
            <v>18.462665880400003</v>
          </cell>
          <cell r="I69">
            <v>20.962050332321212</v>
          </cell>
        </row>
        <row r="70">
          <cell r="A70">
            <v>67</v>
          </cell>
          <cell r="D70">
            <v>23.185666065438003</v>
          </cell>
          <cell r="E70">
            <v>22.765194760450342</v>
          </cell>
          <cell r="H70">
            <v>18.506563539799998</v>
          </cell>
          <cell r="I70">
            <v>20.925073681243287</v>
          </cell>
        </row>
        <row r="71">
          <cell r="A71">
            <v>68</v>
          </cell>
          <cell r="D71">
            <v>23.296599314952001</v>
          </cell>
          <cell r="E71">
            <v>22.772193847652467</v>
          </cell>
          <cell r="H71">
            <v>18.550461199199997</v>
          </cell>
          <cell r="I71">
            <v>20.889830132541174</v>
          </cell>
        </row>
        <row r="72">
          <cell r="A72">
            <v>69</v>
          </cell>
          <cell r="D72">
            <v>23.407532564466003</v>
          </cell>
          <cell r="E72">
            <v>22.780597791015609</v>
          </cell>
          <cell r="H72">
            <v>18.5943588586</v>
          </cell>
          <cell r="I72">
            <v>20.856244333937681</v>
          </cell>
        </row>
        <row r="73">
          <cell r="A73">
            <v>70</v>
          </cell>
          <cell r="D73">
            <v>23.518465813980001</v>
          </cell>
          <cell r="E73">
            <v>22.790346382418566</v>
          </cell>
          <cell r="H73">
            <v>18.638256517999999</v>
          </cell>
          <cell r="I73">
            <v>20.824245239000003</v>
          </cell>
        </row>
        <row r="74">
          <cell r="A74">
            <v>71</v>
          </cell>
          <cell r="D74">
            <v>23.629399063494002</v>
          </cell>
          <cell r="E74">
            <v>22.801382805747</v>
          </cell>
          <cell r="H74">
            <v>18.682154177400001</v>
          </cell>
          <cell r="I74">
            <v>20.793765803911267</v>
          </cell>
        </row>
        <row r="75">
          <cell r="A75">
            <v>72</v>
          </cell>
          <cell r="D75">
            <v>23.740332313008004</v>
          </cell>
          <cell r="E75">
            <v>22.813653401337334</v>
          </cell>
          <cell r="H75">
            <v>18.7260518368</v>
          </cell>
          <cell r="I75">
            <v>20.764742709511111</v>
          </cell>
        </row>
        <row r="76">
          <cell r="A76">
            <v>73</v>
          </cell>
          <cell r="D76">
            <v>23.851265562522002</v>
          </cell>
          <cell r="E76">
            <v>22.827107449781543</v>
          </cell>
          <cell r="H76">
            <v>18.769949496199999</v>
          </cell>
          <cell r="I76">
            <v>20.737116106182189</v>
          </cell>
        </row>
        <row r="77">
          <cell r="A77">
            <v>74</v>
          </cell>
          <cell r="D77">
            <v>23.962198812035997</v>
          </cell>
          <cell r="E77">
            <v>22.841696973261243</v>
          </cell>
          <cell r="H77">
            <v>18.813847155599998</v>
          </cell>
          <cell r="I77">
            <v>20.710829379421622</v>
          </cell>
        </row>
        <row r="78">
          <cell r="A78">
            <v>75</v>
          </cell>
          <cell r="D78">
            <v>24.073132061549998</v>
          </cell>
          <cell r="E78">
            <v>22.857376552774994</v>
          </cell>
          <cell r="H78">
            <v>18.857744814999997</v>
          </cell>
          <cell r="I78">
            <v>20.685828934166668</v>
          </cell>
        </row>
        <row r="79">
          <cell r="A79">
            <v>76</v>
          </cell>
          <cell r="D79">
            <v>24.184065311064</v>
          </cell>
          <cell r="E79">
            <v>22.874103159795155</v>
          </cell>
          <cell r="H79">
            <v>18.901642474400003</v>
          </cell>
          <cell r="I79">
            <v>20.662063996147371</v>
          </cell>
        </row>
        <row r="80">
          <cell r="A80">
            <v>77</v>
          </cell>
          <cell r="D80">
            <v>24.294998560577998</v>
          </cell>
          <cell r="E80">
            <v>22.891836001042243</v>
          </cell>
          <cell r="H80">
            <v>18.945540133799998</v>
          </cell>
          <cell r="I80">
            <v>20.639486428718179</v>
          </cell>
        </row>
        <row r="81">
          <cell r="A81">
            <v>78</v>
          </cell>
          <cell r="D81">
            <v>24.405931810092</v>
          </cell>
          <cell r="E81">
            <v>22.910536375199847</v>
          </cell>
          <cell r="H81">
            <v>18.9894377932</v>
          </cell>
          <cell r="I81">
            <v>20.618050563779487</v>
          </cell>
        </row>
        <row r="82">
          <cell r="A82">
            <v>79</v>
          </cell>
          <cell r="D82">
            <v>24.516865059605998</v>
          </cell>
          <cell r="E82">
            <v>22.930167540511857</v>
          </cell>
          <cell r="H82">
            <v>19.033335452599999</v>
          </cell>
          <cell r="I82">
            <v>20.597713045540505</v>
          </cell>
        </row>
        <row r="83">
          <cell r="A83">
            <v>80</v>
          </cell>
          <cell r="D83">
            <v>24.627798309119999</v>
          </cell>
          <cell r="E83">
            <v>22.950694592309993</v>
          </cell>
          <cell r="H83">
            <v>19.077233111999998</v>
          </cell>
          <cell r="I83">
            <v>20.578432685999996</v>
          </cell>
          <cell r="T83">
            <v>18.985132756920002</v>
          </cell>
          <cell r="U83">
            <v>21.153250070472005</v>
          </cell>
          <cell r="V83">
            <v>19.111325971328004</v>
          </cell>
          <cell r="W83">
            <v>22.237323880864004</v>
          </cell>
        </row>
        <row r="84">
          <cell r="A84">
            <v>81</v>
          </cell>
          <cell r="H84">
            <v>19.121130771400001</v>
          </cell>
          <cell r="I84">
            <v>20.560170331132099</v>
          </cell>
          <cell r="T84">
            <v>19.013984117601602</v>
          </cell>
          <cell r="U84">
            <v>21.126661284876803</v>
          </cell>
          <cell r="V84">
            <v>19.133580686889601</v>
          </cell>
          <cell r="W84">
            <v>22.198868688867023</v>
          </cell>
        </row>
        <row r="85">
          <cell r="A85">
            <v>82</v>
          </cell>
          <cell r="H85">
            <v>19.165028430799996</v>
          </cell>
          <cell r="I85">
            <v>20.542888736863414</v>
          </cell>
          <cell r="T85">
            <v>19.042835478283202</v>
          </cell>
          <cell r="U85">
            <v>21.101072852109308</v>
          </cell>
          <cell r="V85">
            <v>19.155835402451203</v>
          </cell>
          <cell r="W85">
            <v>22.161622827352431</v>
          </cell>
        </row>
        <row r="86">
          <cell r="A86">
            <v>83</v>
          </cell>
          <cell r="H86">
            <v>19.208926090200002</v>
          </cell>
          <cell r="I86">
            <v>20.526552454015661</v>
          </cell>
          <cell r="T86">
            <v>19.071686838964801</v>
          </cell>
          <cell r="U86">
            <v>21.076448614838402</v>
          </cell>
          <cell r="V86">
            <v>19.178090118012801</v>
          </cell>
          <cell r="W86">
            <v>22.125542585579897</v>
          </cell>
        </row>
        <row r="87">
          <cell r="A87">
            <v>84</v>
          </cell>
          <cell r="H87">
            <v>19.252823749599997</v>
          </cell>
          <cell r="I87">
            <v>20.511127721466664</v>
          </cell>
          <cell r="T87">
            <v>19.100538199646405</v>
          </cell>
          <cell r="U87">
            <v>21.052754137510629</v>
          </cell>
          <cell r="V87">
            <v>19.200344833574402</v>
          </cell>
          <cell r="W87">
            <v>22.090586334272913</v>
          </cell>
        </row>
        <row r="88">
          <cell r="A88">
            <v>85</v>
          </cell>
          <cell r="H88">
            <v>19.296721408999996</v>
          </cell>
          <cell r="I88">
            <v>20.496582366852937</v>
          </cell>
          <cell r="T88">
            <v>19.129389560328001</v>
          </cell>
          <cell r="U88">
            <v>21.029956605069174</v>
          </cell>
          <cell r="V88">
            <v>19.222599549136</v>
          </cell>
          <cell r="W88">
            <v>22.056714403179765</v>
          </cell>
        </row>
        <row r="89">
          <cell r="A89">
            <v>86</v>
          </cell>
          <cell r="H89">
            <v>19.340619068400002</v>
          </cell>
          <cell r="I89">
            <v>20.482885714199995</v>
          </cell>
          <cell r="T89">
            <v>19.158240921009604</v>
          </cell>
          <cell r="U89">
            <v>21.008024728738938</v>
          </cell>
          <cell r="V89">
            <v>19.244854264697601</v>
          </cell>
          <cell r="W89">
            <v>22.023888967176706</v>
          </cell>
        </row>
        <row r="90">
          <cell r="A90">
            <v>87</v>
          </cell>
          <cell r="H90">
            <v>19.384516727799998</v>
          </cell>
          <cell r="I90">
            <v>20.470008497922986</v>
          </cell>
          <cell r="T90">
            <v>19.187092281691204</v>
          </cell>
          <cell r="U90">
            <v>20.986928658309189</v>
          </cell>
          <cell r="V90">
            <v>19.267108980259199</v>
          </cell>
          <cell r="W90">
            <v>21.992073940226156</v>
          </cell>
        </row>
        <row r="91">
          <cell r="A91">
            <v>88</v>
          </cell>
          <cell r="H91">
            <v>19.4284143872</v>
          </cell>
          <cell r="I91">
            <v>20.457922782690908</v>
          </cell>
          <cell r="T91">
            <v>19.2159436423728</v>
          </cell>
          <cell r="U91">
            <v>20.966639900396945</v>
          </cell>
          <cell r="V91">
            <v>19.289363695820803</v>
          </cell>
          <cell r="W91">
            <v>21.961234876564948</v>
          </cell>
        </row>
        <row r="92">
          <cell r="A92">
            <v>89</v>
          </cell>
          <cell r="H92">
            <v>19.472312046599999</v>
          </cell>
          <cell r="I92">
            <v>20.446601888693259</v>
          </cell>
          <cell r="T92">
            <v>19.244795003054403</v>
          </cell>
          <cell r="U92">
            <v>20.947131242220728</v>
          </cell>
          <cell r="V92">
            <v>19.311618411382401</v>
          </cell>
          <cell r="W92">
            <v>21.931338878554122</v>
          </cell>
        </row>
        <row r="93">
          <cell r="A93">
            <v>90</v>
          </cell>
          <cell r="H93">
            <v>19.516209706000001</v>
          </cell>
          <cell r="I93">
            <v>20.436020321888886</v>
          </cell>
          <cell r="T93">
            <v>19.273646363736002</v>
          </cell>
          <cell r="U93">
            <v>20.928376680456001</v>
          </cell>
          <cell r="V93">
            <v>19.333873126944003</v>
          </cell>
          <cell r="W93">
            <v>21.902354510672001</v>
          </cell>
        </row>
        <row r="94">
          <cell r="A94">
            <v>91</v>
          </cell>
          <cell r="H94">
            <v>19.560107365399997</v>
          </cell>
          <cell r="I94">
            <v>20.426153708853846</v>
          </cell>
          <cell r="T94">
            <v>19.302497724417606</v>
          </cell>
          <cell r="U94">
            <v>20.910351354781508</v>
          </cell>
          <cell r="V94">
            <v>19.356127842505604</v>
          </cell>
          <cell r="W94">
            <v>21.874251719178073</v>
          </cell>
        </row>
        <row r="95">
          <cell r="A95">
            <v>92</v>
          </cell>
          <cell r="H95">
            <v>19.604005024799999</v>
          </cell>
          <cell r="I95">
            <v>20.41697873587826</v>
          </cell>
          <cell r="T95">
            <v>19.331349085099198</v>
          </cell>
          <cell r="U95">
            <v>20.893031485759511</v>
          </cell>
          <cell r="V95">
            <v>19.378382558067198</v>
          </cell>
          <cell r="W95">
            <v>21.847001757016209</v>
          </cell>
        </row>
        <row r="96">
          <cell r="A96">
            <v>93</v>
          </cell>
          <cell r="H96">
            <v>19.647902684200002</v>
          </cell>
          <cell r="I96">
            <v>20.408473091992473</v>
          </cell>
          <cell r="T96">
            <v>19.360200445780801</v>
          </cell>
          <cell r="U96">
            <v>20.876394316723822</v>
          </cell>
          <cell r="V96">
            <v>19.400637273628799</v>
          </cell>
          <cell r="W96">
            <v>21.820577113562788</v>
          </cell>
        </row>
        <row r="97">
          <cell r="A97">
            <v>94</v>
          </cell>
          <cell r="H97">
            <v>19.691800343599997</v>
          </cell>
          <cell r="I97">
            <v>20.400615415629787</v>
          </cell>
          <cell r="T97">
            <v>19.389051806462401</v>
          </cell>
          <cell r="U97">
            <v>20.86041805937699</v>
          </cell>
          <cell r="V97">
            <v>19.422891989190401</v>
          </cell>
          <cell r="W97">
            <v>21.794951448859031</v>
          </cell>
        </row>
        <row r="98">
          <cell r="A98">
            <v>95</v>
          </cell>
          <cell r="H98">
            <v>19.735698003</v>
          </cell>
          <cell r="I98">
            <v>20.393385244657896</v>
          </cell>
          <cell r="T98">
            <v>19.417903167143997</v>
          </cell>
          <cell r="U98">
            <v>20.845081842823582</v>
          </cell>
          <cell r="V98">
            <v>19.445146704752005</v>
          </cell>
          <cell r="W98">
            <v>21.770099531997054</v>
          </cell>
        </row>
        <row r="99">
          <cell r="A99">
            <v>96</v>
          </cell>
          <cell r="H99">
            <v>19.779595662399998</v>
          </cell>
          <cell r="I99">
            <v>20.386762969533333</v>
          </cell>
          <cell r="T99">
            <v>19.4467545278256</v>
          </cell>
          <cell r="U99">
            <v>20.830365665788801</v>
          </cell>
          <cell r="V99">
            <v>19.4674014203136</v>
          </cell>
          <cell r="W99">
            <v>21.745997183356803</v>
          </cell>
        </row>
        <row r="100">
          <cell r="A100">
            <v>97</v>
          </cell>
          <cell r="H100">
            <v>19.823493321799997</v>
          </cell>
          <cell r="I100">
            <v>20.380729789353605</v>
          </cell>
          <cell r="T100">
            <v>19.4756058885072</v>
          </cell>
          <cell r="U100">
            <v>20.816250351792693</v>
          </cell>
          <cell r="V100">
            <v>19.489656135875201</v>
          </cell>
          <cell r="W100">
            <v>21.722621220415949</v>
          </cell>
        </row>
        <row r="101">
          <cell r="A101">
            <v>98</v>
          </cell>
          <cell r="H101">
            <v>19.8673909812</v>
          </cell>
          <cell r="I101">
            <v>20.3752676706</v>
          </cell>
          <cell r="T101">
            <v>19.5044572491888</v>
          </cell>
          <cell r="U101">
            <v>20.802717507068767</v>
          </cell>
          <cell r="V101">
            <v>19.511910851436802</v>
          </cell>
          <cell r="W101">
            <v>21.699949406877582</v>
          </cell>
        </row>
        <row r="102">
          <cell r="A102">
            <v>99</v>
          </cell>
          <cell r="H102">
            <v>19.911288640599999</v>
          </cell>
          <cell r="I102">
            <v>20.370359308380806</v>
          </cell>
          <cell r="T102">
            <v>19.533308609870399</v>
          </cell>
          <cell r="U102">
            <v>20.789749481033017</v>
          </cell>
          <cell r="V102">
            <v>19.5341655669984</v>
          </cell>
          <cell r="W102">
            <v>21.677960404881016</v>
          </cell>
        </row>
        <row r="103">
          <cell r="A103">
            <v>100</v>
          </cell>
          <cell r="H103">
            <v>19.955186300000001</v>
          </cell>
          <cell r="I103">
            <v>20.365988090000002</v>
          </cell>
          <cell r="T103">
            <v>19.562159970552003</v>
          </cell>
          <cell r="U103">
            <v>20.7773293291248</v>
          </cell>
          <cell r="V103">
            <v>19.556420282559998</v>
          </cell>
          <cell r="W103">
            <v>21.656633730080003</v>
          </cell>
        </row>
        <row r="104">
          <cell r="A104">
            <v>101</v>
          </cell>
          <cell r="H104">
            <v>19.999083959399997</v>
          </cell>
          <cell r="I104">
            <v>20.3621380606901</v>
          </cell>
          <cell r="T104">
            <v>19.591011331233602</v>
          </cell>
          <cell r="U104">
            <v>20.765440777855176</v>
          </cell>
          <cell r="V104">
            <v>19.578674998121599</v>
          </cell>
          <cell r="W104">
            <v>21.635949709389514</v>
          </cell>
        </row>
        <row r="105">
          <cell r="A105">
            <v>102</v>
          </cell>
          <cell r="H105">
            <v>20.042981618799995</v>
          </cell>
          <cell r="I105">
            <v>20.358793891360783</v>
          </cell>
          <cell r="T105">
            <v>19.619862691915198</v>
          </cell>
          <cell r="U105">
            <v>20.754068191911248</v>
          </cell>
          <cell r="V105">
            <v>19.600929713683204</v>
          </cell>
          <cell r="W105">
            <v>21.615889441218073</v>
          </cell>
        </row>
        <row r="106">
          <cell r="A106">
            <v>103</v>
          </cell>
          <cell r="H106">
            <v>20.086879278200001</v>
          </cell>
          <cell r="I106">
            <v>20.355940848226215</v>
          </cell>
          <cell r="T106">
            <v>19.648714052596802</v>
          </cell>
          <cell r="U106">
            <v>20.74319654317673</v>
          </cell>
          <cell r="V106">
            <v>19.623184429244802</v>
          </cell>
          <cell r="W106">
            <v>21.596434758016578</v>
          </cell>
        </row>
        <row r="107">
          <cell r="A107">
            <v>104</v>
          </cell>
          <cell r="H107">
            <v>20.130776937599997</v>
          </cell>
          <cell r="I107">
            <v>20.353564764184611</v>
          </cell>
          <cell r="T107">
            <v>19.677565413278401</v>
          </cell>
          <cell r="U107">
            <v>20.732811381539818</v>
          </cell>
          <cell r="V107">
            <v>19.645439144806403</v>
          </cell>
          <cell r="W107">
            <v>21.577568190987815</v>
          </cell>
        </row>
        <row r="108">
          <cell r="A108">
            <v>105</v>
          </cell>
          <cell r="T108">
            <v>19.706416773960001</v>
          </cell>
          <cell r="U108">
            <v>20.722898807369145</v>
          </cell>
          <cell r="V108">
            <v>19.667693860368001</v>
          </cell>
          <cell r="W108">
            <v>21.559272936812572</v>
          </cell>
        </row>
        <row r="109">
          <cell r="A109">
            <v>106</v>
          </cell>
          <cell r="T109">
            <v>19.735268134641601</v>
          </cell>
          <cell r="U109">
            <v>20.713445445547745</v>
          </cell>
          <cell r="V109">
            <v>19.689948575929602</v>
          </cell>
          <cell r="W109">
            <v>21.541532826259139</v>
          </cell>
        </row>
        <row r="110">
          <cell r="A110">
            <v>107</v>
          </cell>
          <cell r="T110">
            <v>19.764119495323204</v>
          </cell>
          <cell r="U110">
            <v>20.704438420963022</v>
          </cell>
          <cell r="V110">
            <v>19.7122032914912</v>
          </cell>
          <cell r="W110">
            <v>21.524332294553076</v>
          </cell>
        </row>
        <row r="111">
          <cell r="A111">
            <v>108</v>
          </cell>
          <cell r="T111">
            <v>19.7929708560048</v>
          </cell>
          <cell r="U111">
            <v>20.695865335358398</v>
          </cell>
          <cell r="V111">
            <v>19.734458007052801</v>
          </cell>
          <cell r="W111">
            <v>21.507656353393063</v>
          </cell>
        </row>
        <row r="112">
          <cell r="A112">
            <v>109</v>
          </cell>
          <cell r="T112">
            <v>19.8218222166864</v>
          </cell>
          <cell r="U112">
            <v>20.687714245459201</v>
          </cell>
          <cell r="V112">
            <v>19.756712722614399</v>
          </cell>
          <cell r="W112">
            <v>21.491490564507195</v>
          </cell>
        </row>
        <row r="113">
          <cell r="A113">
            <v>110</v>
          </cell>
          <cell r="T113">
            <v>19.850673577368003</v>
          </cell>
          <cell r="U113">
            <v>20.679973642291642</v>
          </cell>
          <cell r="V113">
            <v>19.778967438176004</v>
          </cell>
          <cell r="W113">
            <v>21.475821014651636</v>
          </cell>
        </row>
        <row r="114">
          <cell r="A114">
            <v>111</v>
          </cell>
          <cell r="T114">
            <v>19.879524938049602</v>
          </cell>
          <cell r="U114">
            <v>20.672632431619718</v>
          </cell>
          <cell r="V114">
            <v>19.801222153737601</v>
          </cell>
          <cell r="W114">
            <v>21.460634291960694</v>
          </cell>
        </row>
        <row r="115">
          <cell r="A115">
            <v>112</v>
          </cell>
          <cell r="T115">
            <v>19.908376298731202</v>
          </cell>
          <cell r="U115">
            <v>20.665679915430172</v>
          </cell>
          <cell r="V115">
            <v>19.823476869299203</v>
          </cell>
          <cell r="W115">
            <v>21.445917463563887</v>
          </cell>
        </row>
        <row r="116">
          <cell r="A116">
            <v>113</v>
          </cell>
          <cell r="T116">
            <v>19.937227659412802</v>
          </cell>
          <cell r="U116">
            <v>20.659105774400455</v>
          </cell>
          <cell r="V116">
            <v>19.8457315848608</v>
          </cell>
          <cell r="W116">
            <v>21.431658054391463</v>
          </cell>
        </row>
        <row r="117">
          <cell r="A117">
            <v>114</v>
          </cell>
          <cell r="T117">
            <v>19.966079020094405</v>
          </cell>
          <cell r="U117">
            <v>20.652900051289514</v>
          </cell>
          <cell r="V117">
            <v>19.867986300422398</v>
          </cell>
          <cell r="W117">
            <v>21.417844027095409</v>
          </cell>
        </row>
        <row r="118">
          <cell r="A118">
            <v>115</v>
          </cell>
          <cell r="T118">
            <v>19.994930380776001</v>
          </cell>
          <cell r="U118">
            <v>20.647053135195133</v>
          </cell>
          <cell r="V118">
            <v>19.890241015984</v>
          </cell>
          <cell r="W118">
            <v>21.404463763018086</v>
          </cell>
        </row>
        <row r="119">
          <cell r="A119">
            <v>116</v>
          </cell>
          <cell r="T119">
            <v>20.023781741457601</v>
          </cell>
          <cell r="U119">
            <v>20.641555746625489</v>
          </cell>
          <cell r="V119">
            <v>19.912495731545601</v>
          </cell>
          <cell r="W119">
            <v>21.391506044145217</v>
          </cell>
        </row>
        <row r="120">
          <cell r="A120">
            <v>117</v>
          </cell>
          <cell r="T120">
            <v>20.052633102139204</v>
          </cell>
          <cell r="U120">
            <v>20.636398923336372</v>
          </cell>
          <cell r="V120">
            <v>19.934750447107206</v>
          </cell>
          <cell r="W120">
            <v>21.378960035984374</v>
          </cell>
        </row>
        <row r="121">
          <cell r="A121">
            <v>118</v>
          </cell>
          <cell r="T121">
            <v>20.081484462820796</v>
          </cell>
          <cell r="U121">
            <v>20.631574006888439</v>
          </cell>
          <cell r="V121">
            <v>19.9570051626688</v>
          </cell>
          <cell r="W121">
            <v>21.36681527131406</v>
          </cell>
        </row>
        <row r="122">
          <cell r="A122">
            <v>119</v>
          </cell>
          <cell r="T122">
            <v>20.1103358235024</v>
          </cell>
          <cell r="U122">
            <v>20.627072629882324</v>
          </cell>
          <cell r="V122">
            <v>19.979259878230401</v>
          </cell>
          <cell r="W122">
            <v>21.355061634752179</v>
          </cell>
        </row>
        <row r="123">
          <cell r="A123">
            <v>120</v>
          </cell>
          <cell r="T123">
            <v>20.139187184183999</v>
          </cell>
          <cell r="U123">
            <v>20.622886703831998</v>
          </cell>
          <cell r="V123">
            <v>20.001514593792002</v>
          </cell>
          <cell r="W123">
            <v>21.343689348096003</v>
          </cell>
        </row>
        <row r="124">
          <cell r="A124">
            <v>121</v>
          </cell>
          <cell r="T124">
            <v>20.168038544865603</v>
          </cell>
          <cell r="U124">
            <v>20.619008407639377</v>
          </cell>
          <cell r="V124">
            <v>20.0237693093536</v>
          </cell>
          <cell r="W124">
            <v>21.332688956389198</v>
          </cell>
        </row>
        <row r="125">
          <cell r="A125">
            <v>122</v>
          </cell>
          <cell r="T125">
            <v>20.196889905547199</v>
          </cell>
          <cell r="U125">
            <v>20.615430176635829</v>
          </cell>
          <cell r="V125">
            <v>20.046024024915198</v>
          </cell>
          <cell r="W125">
            <v>21.322051314673995</v>
          </cell>
        </row>
        <row r="126">
          <cell r="A126">
            <v>123</v>
          </cell>
          <cell r="T126">
            <v>20.225741266228802</v>
          </cell>
          <cell r="U126">
            <v>20.612144692158207</v>
          </cell>
          <cell r="V126">
            <v>20.068278740476799</v>
          </cell>
          <cell r="W126">
            <v>21.31176757538962</v>
          </cell>
        </row>
        <row r="127">
          <cell r="A127">
            <v>124</v>
          </cell>
          <cell r="T127">
            <v>20.254592626910402</v>
          </cell>
          <cell r="U127">
            <v>20.609144871629265</v>
          </cell>
          <cell r="V127">
            <v>20.090533456038401</v>
          </cell>
          <cell r="W127">
            <v>21.30182917638049</v>
          </cell>
        </row>
        <row r="128">
          <cell r="A128">
            <v>125</v>
          </cell>
          <cell r="T128">
            <v>20.283443987592001</v>
          </cell>
          <cell r="U128">
            <v>20.606423859114237</v>
          </cell>
          <cell r="V128">
            <v>20.112788171600005</v>
          </cell>
          <cell r="W128">
            <v>21.292227829479998</v>
          </cell>
        </row>
        <row r="129">
          <cell r="A129">
            <v>126</v>
          </cell>
          <cell r="T129">
            <v>20.312295348273601</v>
          </cell>
          <cell r="U129">
            <v>20.603975016327087</v>
          </cell>
          <cell r="V129">
            <v>20.135042887161603</v>
          </cell>
          <cell r="W129">
            <v>21.282955509637944</v>
          </cell>
        </row>
        <row r="130">
          <cell r="A130">
            <v>127</v>
          </cell>
          <cell r="T130">
            <v>20.3411467089552</v>
          </cell>
          <cell r="U130">
            <v>20.601791914061636</v>
          </cell>
          <cell r="V130">
            <v>20.157297602723201</v>
          </cell>
          <cell r="W130">
            <v>21.274004444561601</v>
          </cell>
        </row>
        <row r="131">
          <cell r="A131">
            <v>128</v>
          </cell>
          <cell r="T131">
            <v>20.3699980696368</v>
          </cell>
          <cell r="U131">
            <v>20.599868324024399</v>
          </cell>
          <cell r="V131">
            <v>20.179552318284802</v>
          </cell>
          <cell r="W131">
            <v>21.265367104842401</v>
          </cell>
        </row>
        <row r="132">
          <cell r="A132">
            <v>129</v>
          </cell>
          <cell r="T132">
            <v>20.3988494303184</v>
          </cell>
          <cell r="U132">
            <v>20.598198211047293</v>
          </cell>
          <cell r="V132">
            <v>20.2018070338464</v>
          </cell>
          <cell r="W132">
            <v>21.257036194541804</v>
          </cell>
        </row>
        <row r="133">
          <cell r="A133">
            <v>130</v>
          </cell>
          <cell r="T133">
            <v>20.427700791000003</v>
          </cell>
          <cell r="U133">
            <v>20.596775725659693</v>
          </cell>
          <cell r="V133">
            <v>20.224061749408001</v>
          </cell>
          <cell r="W133">
            <v>21.249004642211691</v>
          </cell>
        </row>
        <row r="134">
          <cell r="A134">
            <v>131</v>
          </cell>
          <cell r="T134">
            <v>20.456552151681599</v>
          </cell>
          <cell r="U134">
            <v>20.595595197000769</v>
          </cell>
          <cell r="V134">
            <v>20.246316464969599</v>
          </cell>
          <cell r="W134">
            <v>21.241265592326027</v>
          </cell>
        </row>
        <row r="135">
          <cell r="A135">
            <v>132</v>
          </cell>
          <cell r="T135">
            <v>20.485403512363202</v>
          </cell>
          <cell r="U135">
            <v>20.594651126053964</v>
          </cell>
          <cell r="V135">
            <v>20.268571180531204</v>
          </cell>
          <cell r="W135">
            <v>21.233812397101964</v>
          </cell>
        </row>
        <row r="136">
          <cell r="A136">
            <v>133</v>
          </cell>
          <cell r="T136">
            <v>20.514254873044802</v>
          </cell>
          <cell r="U136">
            <v>20.593938179186672</v>
          </cell>
          <cell r="V136">
            <v>20.290825896092802</v>
          </cell>
          <cell r="W136">
            <v>21.226638608690006</v>
          </cell>
        </row>
        <row r="137">
          <cell r="A137">
            <v>134</v>
          </cell>
          <cell r="T137">
            <v>20.543106233726402</v>
          </cell>
          <cell r="U137">
            <v>20.593451181979201</v>
          </cell>
          <cell r="V137">
            <v>20.313080611654403</v>
          </cell>
          <cell r="W137">
            <v>21.219737971713773</v>
          </cell>
        </row>
        <row r="138">
          <cell r="A138">
            <v>135</v>
          </cell>
          <cell r="T138">
            <v>20.571957594408001</v>
          </cell>
          <cell r="U138">
            <v>20.593185113328001</v>
          </cell>
          <cell r="V138">
            <v>20.335335327216001</v>
          </cell>
          <cell r="W138">
            <v>21.213104416141338</v>
          </cell>
        </row>
        <row r="139">
          <cell r="A139">
            <v>136</v>
          </cell>
          <cell r="T139">
            <v>20.600808955089601</v>
          </cell>
          <cell r="U139">
            <v>20.593135099809036</v>
          </cell>
          <cell r="V139">
            <v>20.357590042777598</v>
          </cell>
          <cell r="W139">
            <v>21.206732050471157</v>
          </cell>
        </row>
        <row r="140">
          <cell r="A140">
            <v>137</v>
          </cell>
          <cell r="T140">
            <v>20.629660315771204</v>
          </cell>
          <cell r="U140">
            <v>20.593296410288023</v>
          </cell>
          <cell r="V140">
            <v>20.3798447583392</v>
          </cell>
          <cell r="W140">
            <v>21.200615155216319</v>
          </cell>
        </row>
        <row r="141">
          <cell r="A141">
            <v>138</v>
          </cell>
          <cell r="T141">
            <v>20.6585116764528</v>
          </cell>
          <cell r="U141">
            <v>20.593664450765008</v>
          </cell>
          <cell r="V141">
            <v>20.402099473900801</v>
          </cell>
          <cell r="W141">
            <v>21.194748176672142</v>
          </cell>
        </row>
        <row r="142">
          <cell r="A142">
            <v>139</v>
          </cell>
          <cell r="T142">
            <v>20.687363037134403</v>
          </cell>
          <cell r="U142">
            <v>20.594234759441473</v>
          </cell>
          <cell r="V142">
            <v>20.424354189462406</v>
          </cell>
          <cell r="W142">
            <v>21.189125720952781</v>
          </cell>
        </row>
        <row r="143">
          <cell r="A143">
            <v>140</v>
          </cell>
          <cell r="T143">
            <v>20.716214397816003</v>
          </cell>
          <cell r="U143">
            <v>20.595003001998858</v>
          </cell>
          <cell r="V143">
            <v>20.446608905024</v>
          </cell>
          <cell r="W143">
            <v>21.18374254828343</v>
          </cell>
        </row>
        <row r="144">
          <cell r="A144">
            <v>141</v>
          </cell>
          <cell r="T144">
            <v>20.745065758497599</v>
          </cell>
          <cell r="U144">
            <v>20.595964967077993</v>
          </cell>
          <cell r="V144">
            <v>20.468863620585601</v>
          </cell>
          <cell r="W144">
            <v>21.178593567535351</v>
          </cell>
        </row>
        <row r="145">
          <cell r="A145">
            <v>142</v>
          </cell>
          <cell r="T145">
            <v>20.773917119179202</v>
          </cell>
          <cell r="U145">
            <v>20.597116561949548</v>
          </cell>
          <cell r="V145">
            <v>20.491118336147203</v>
          </cell>
          <cell r="W145">
            <v>21.173673830991905</v>
          </cell>
        </row>
        <row r="146">
          <cell r="A146">
            <v>143</v>
          </cell>
          <cell r="T146">
            <v>20.802768479860802</v>
          </cell>
          <cell r="U146">
            <v>20.598453808366123</v>
          </cell>
          <cell r="V146">
            <v>20.5133730517088</v>
          </cell>
          <cell r="W146">
            <v>21.168978529334119</v>
          </cell>
        </row>
        <row r="147">
          <cell r="A147">
            <v>144</v>
          </cell>
          <cell r="T147">
            <v>20.831619840542405</v>
          </cell>
          <cell r="U147">
            <v>20.599972838587203</v>
          </cell>
          <cell r="V147">
            <v>20.535627767270398</v>
          </cell>
          <cell r="W147">
            <v>21.164502986835203</v>
          </cell>
        </row>
        <row r="148">
          <cell r="A148">
            <v>145</v>
          </cell>
          <cell r="T148">
            <v>20.860471201223998</v>
          </cell>
          <cell r="U148">
            <v>20.601669891568552</v>
          </cell>
          <cell r="V148">
            <v>20.557882482831999</v>
          </cell>
          <cell r="W148">
            <v>21.16024265675393</v>
          </cell>
        </row>
        <row r="149">
          <cell r="A149">
            <v>146</v>
          </cell>
          <cell r="T149">
            <v>20.889322561905601</v>
          </cell>
          <cell r="U149">
            <v>20.603541309308255</v>
          </cell>
          <cell r="V149">
            <v>20.580137198393601</v>
          </cell>
          <cell r="W149">
            <v>21.156193116917347</v>
          </cell>
        </row>
        <row r="150">
          <cell r="A150">
            <v>147</v>
          </cell>
          <cell r="T150">
            <v>20.918173922587201</v>
          </cell>
          <cell r="U150">
            <v>20.605583533341843</v>
          </cell>
          <cell r="V150">
            <v>20.602391913955206</v>
          </cell>
          <cell r="W150">
            <v>21.152350065483724</v>
          </cell>
        </row>
        <row r="151">
          <cell r="A151">
            <v>148</v>
          </cell>
          <cell r="T151">
            <v>20.947025283268797</v>
          </cell>
          <cell r="U151">
            <v>20.607793101379588</v>
          </cell>
          <cell r="V151">
            <v>20.6246466295168</v>
          </cell>
          <cell r="W151">
            <v>21.148709316877319</v>
          </cell>
        </row>
        <row r="152">
          <cell r="A152">
            <v>149</v>
          </cell>
          <cell r="T152">
            <v>20.9758766439504</v>
          </cell>
          <cell r="U152">
            <v>20.610166644079122</v>
          </cell>
          <cell r="V152">
            <v>20.646901345078401</v>
          </cell>
          <cell r="W152">
            <v>21.145266797886851</v>
          </cell>
        </row>
        <row r="153">
          <cell r="A153">
            <v>150</v>
          </cell>
          <cell r="R153">
            <v>10.862110305322998</v>
          </cell>
          <cell r="S153">
            <v>16.78247558507983</v>
          </cell>
          <cell r="T153">
            <v>21.004728004632</v>
          </cell>
          <cell r="U153">
            <v>20.612700881947202</v>
          </cell>
          <cell r="V153">
            <v>20.669156060640002</v>
          </cell>
          <cell r="W153">
            <v>21.142018543919995</v>
          </cell>
          <cell r="X153" t="e">
            <v>#REF!</v>
          </cell>
          <cell r="Y153" t="e">
            <v>#REF!</v>
          </cell>
          <cell r="Z153" t="e">
            <v>#REF!</v>
          </cell>
          <cell r="AA153" t="e">
            <v>#REF!</v>
          </cell>
          <cell r="AB153" t="e">
            <v>#REF!</v>
          </cell>
          <cell r="AC153" t="e">
            <v>#REF!</v>
          </cell>
        </row>
        <row r="154">
          <cell r="A154">
            <v>151</v>
          </cell>
          <cell r="R154">
            <v>10.866878503472019</v>
          </cell>
          <cell r="S154">
            <v>16.743283656730942</v>
          </cell>
          <cell r="X154" t="e">
            <v>#REF!</v>
          </cell>
          <cell r="Y154" t="e">
            <v>#REF!</v>
          </cell>
          <cell r="Z154" t="e">
            <v>#REF!</v>
          </cell>
          <cell r="AA154" t="e">
            <v>#REF!</v>
          </cell>
          <cell r="AB154" t="e">
            <v>#REF!</v>
          </cell>
          <cell r="AC154" t="e">
            <v>#REF!</v>
          </cell>
        </row>
        <row r="155">
          <cell r="A155">
            <v>152</v>
          </cell>
          <cell r="R155">
            <v>10.871646701621039</v>
          </cell>
          <cell r="S155">
            <v>16.704638781374467</v>
          </cell>
          <cell r="X155" t="e">
            <v>#REF!</v>
          </cell>
          <cell r="Y155" t="e">
            <v>#REF!</v>
          </cell>
          <cell r="Z155" t="e">
            <v>#REF!</v>
          </cell>
          <cell r="AA155" t="e">
            <v>#REF!</v>
          </cell>
          <cell r="AB155" t="e">
            <v>#REF!</v>
          </cell>
          <cell r="AC155" t="e">
            <v>#REF!</v>
          </cell>
        </row>
        <row r="156">
          <cell r="A156">
            <v>153</v>
          </cell>
          <cell r="R156">
            <v>10.876414899770058</v>
          </cell>
          <cell r="S156">
            <v>16.666530232481144</v>
          </cell>
          <cell r="X156" t="e">
            <v>#REF!</v>
          </cell>
          <cell r="Y156" t="e">
            <v>#REF!</v>
          </cell>
          <cell r="Z156" t="e">
            <v>#REF!</v>
          </cell>
          <cell r="AA156" t="e">
            <v>#REF!</v>
          </cell>
          <cell r="AB156" t="e">
            <v>#REF!</v>
          </cell>
          <cell r="AC156" t="e">
            <v>#REF!</v>
          </cell>
        </row>
        <row r="157">
          <cell r="A157">
            <v>154</v>
          </cell>
          <cell r="R157">
            <v>10.881183097919079</v>
          </cell>
          <cell r="S157">
            <v>16.628947562132851</v>
          </cell>
          <cell r="X157" t="e">
            <v>#REF!</v>
          </cell>
          <cell r="Y157" t="e">
            <v>#REF!</v>
          </cell>
          <cell r="Z157" t="e">
            <v>#REF!</v>
          </cell>
          <cell r="AA157" t="e">
            <v>#REF!</v>
          </cell>
          <cell r="AB157" t="e">
            <v>#REF!</v>
          </cell>
          <cell r="AC157" t="e">
            <v>#REF!</v>
          </cell>
        </row>
        <row r="158">
          <cell r="A158">
            <v>155</v>
          </cell>
          <cell r="R158">
            <v>10.885951296068098</v>
          </cell>
          <cell r="S158">
            <v>16.591880592035178</v>
          </cell>
          <cell r="X158" t="e">
            <v>#REF!</v>
          </cell>
          <cell r="Y158" t="e">
            <v>#REF!</v>
          </cell>
          <cell r="Z158" t="e">
            <v>#REF!</v>
          </cell>
          <cell r="AA158" t="e">
            <v>#REF!</v>
          </cell>
          <cell r="AB158" t="e">
            <v>#REF!</v>
          </cell>
          <cell r="AC158" t="e">
            <v>#REF!</v>
          </cell>
        </row>
        <row r="159">
          <cell r="A159">
            <v>156</v>
          </cell>
          <cell r="R159">
            <v>10.890719494217119</v>
          </cell>
          <cell r="S159">
            <v>16.555319404875611</v>
          </cell>
          <cell r="X159" t="e">
            <v>#REF!</v>
          </cell>
          <cell r="Y159" t="e">
            <v>#REF!</v>
          </cell>
          <cell r="Z159" t="e">
            <v>#REF!</v>
          </cell>
          <cell r="AA159" t="e">
            <v>#REF!</v>
          </cell>
          <cell r="AB159" t="e">
            <v>#REF!</v>
          </cell>
          <cell r="AC159" t="e">
            <v>#REF!</v>
          </cell>
        </row>
        <row r="160">
          <cell r="A160">
            <v>157</v>
          </cell>
          <cell r="R160">
            <v>10.895487692366139</v>
          </cell>
          <cell r="S160">
            <v>16.519254336012018</v>
          </cell>
          <cell r="X160" t="e">
            <v>#REF!</v>
          </cell>
          <cell r="Y160" t="e">
            <v>#REF!</v>
          </cell>
          <cell r="Z160" t="e">
            <v>#REF!</v>
          </cell>
          <cell r="AA160" t="e">
            <v>#REF!</v>
          </cell>
          <cell r="AB160" t="e">
            <v>#REF!</v>
          </cell>
          <cell r="AC160" t="e">
            <v>#REF!</v>
          </cell>
        </row>
        <row r="161">
          <cell r="A161">
            <v>158</v>
          </cell>
          <cell r="R161">
            <v>10.900255890515158</v>
          </cell>
          <cell r="S161">
            <v>16.483675965476756</v>
          </cell>
          <cell r="X161" t="e">
            <v>#REF!</v>
          </cell>
          <cell r="Y161" t="e">
            <v>#REF!</v>
          </cell>
          <cell r="Z161" t="e">
            <v>#REF!</v>
          </cell>
          <cell r="AA161" t="e">
            <v>#REF!</v>
          </cell>
          <cell r="AB161" t="e">
            <v>#REF!</v>
          </cell>
          <cell r="AC161" t="e">
            <v>#REF!</v>
          </cell>
        </row>
        <row r="162">
          <cell r="A162">
            <v>159</v>
          </cell>
          <cell r="R162">
            <v>10.905024088664179</v>
          </cell>
          <cell r="S162">
            <v>16.448575110282498</v>
          </cell>
          <cell r="X162" t="e">
            <v>#REF!</v>
          </cell>
          <cell r="Y162" t="e">
            <v>#REF!</v>
          </cell>
          <cell r="Z162" t="e">
            <v>#REF!</v>
          </cell>
          <cell r="AA162" t="e">
            <v>#REF!</v>
          </cell>
          <cell r="AB162" t="e">
            <v>#REF!</v>
          </cell>
          <cell r="AC162" t="e">
            <v>#REF!</v>
          </cell>
        </row>
        <row r="163">
          <cell r="A163">
            <v>160</v>
          </cell>
          <cell r="R163">
            <v>10.9097922868132</v>
          </cell>
          <cell r="S163">
            <v>16.413942817016597</v>
          </cell>
          <cell r="X163" t="e">
            <v>#REF!</v>
          </cell>
          <cell r="Y163" t="e">
            <v>#REF!</v>
          </cell>
          <cell r="Z163" t="e">
            <v>#REF!</v>
          </cell>
          <cell r="AA163" t="e">
            <v>#REF!</v>
          </cell>
          <cell r="AB163" t="e">
            <v>#REF!</v>
          </cell>
          <cell r="AC163" t="e">
            <v>#REF!</v>
          </cell>
        </row>
        <row r="164">
          <cell r="A164">
            <v>161</v>
          </cell>
          <cell r="R164">
            <v>10.914560484962218</v>
          </cell>
          <cell r="S164">
            <v>16.37977035471145</v>
          </cell>
          <cell r="X164" t="e">
            <v>#REF!</v>
          </cell>
          <cell r="Y164" t="e">
            <v>#REF!</v>
          </cell>
          <cell r="Z164" t="e">
            <v>#REF!</v>
          </cell>
          <cell r="AA164" t="e">
            <v>#REF!</v>
          </cell>
          <cell r="AB164" t="e">
            <v>#REF!</v>
          </cell>
          <cell r="AC164" t="e">
            <v>#REF!</v>
          </cell>
        </row>
        <row r="165">
          <cell r="A165">
            <v>162</v>
          </cell>
          <cell r="R165">
            <v>10.919328683111239</v>
          </cell>
          <cell r="S165">
            <v>16.34604920797889</v>
          </cell>
          <cell r="X165" t="e">
            <v>#REF!</v>
          </cell>
          <cell r="Y165" t="e">
            <v>#REF!</v>
          </cell>
          <cell r="Z165" t="e">
            <v>#REF!</v>
          </cell>
          <cell r="AA165" t="e">
            <v>#REF!</v>
          </cell>
          <cell r="AB165" t="e">
            <v>#REF!</v>
          </cell>
          <cell r="AC165" t="e">
            <v>#REF!</v>
          </cell>
        </row>
        <row r="166">
          <cell r="A166">
            <v>163</v>
          </cell>
          <cell r="R166">
            <v>10.924096881260258</v>
          </cell>
          <cell r="S166">
            <v>16.312771070397336</v>
          </cell>
          <cell r="X166" t="e">
            <v>#REF!</v>
          </cell>
          <cell r="Y166" t="e">
            <v>#REF!</v>
          </cell>
          <cell r="Z166" t="e">
            <v>#REF!</v>
          </cell>
          <cell r="AA166" t="e">
            <v>#REF!</v>
          </cell>
          <cell r="AB166" t="e">
            <v>#REF!</v>
          </cell>
          <cell r="AC166" t="e">
            <v>#REF!</v>
          </cell>
        </row>
        <row r="167">
          <cell r="A167">
            <v>164</v>
          </cell>
          <cell r="R167">
            <v>10.928865079409277</v>
          </cell>
          <cell r="S167">
            <v>16.279927838140861</v>
          </cell>
          <cell r="X167" t="e">
            <v>#REF!</v>
          </cell>
          <cell r="Y167" t="e">
            <v>#REF!</v>
          </cell>
          <cell r="Z167" t="e">
            <v>#REF!</v>
          </cell>
          <cell r="AA167" t="e">
            <v>#REF!</v>
          </cell>
          <cell r="AB167" t="e">
            <v>#REF!</v>
          </cell>
          <cell r="AC167" t="e">
            <v>#REF!</v>
          </cell>
        </row>
        <row r="168">
          <cell r="A168">
            <v>165</v>
          </cell>
          <cell r="R168">
            <v>10.933633277558299</v>
          </cell>
          <cell r="S168">
            <v>16.247511603839907</v>
          </cell>
          <cell r="X168" t="e">
            <v>#REF!</v>
          </cell>
          <cell r="Y168" t="e">
            <v>#REF!</v>
          </cell>
          <cell r="Z168" t="e">
            <v>#REF!</v>
          </cell>
          <cell r="AA168" t="e">
            <v>#REF!</v>
          </cell>
          <cell r="AB168" t="e">
            <v>#REF!</v>
          </cell>
          <cell r="AC168" t="e">
            <v>#REF!</v>
          </cell>
        </row>
        <row r="169">
          <cell r="A169">
            <v>166</v>
          </cell>
          <cell r="R169">
            <v>10.93840147570732</v>
          </cell>
          <cell r="S169">
            <v>16.215514650663959</v>
          </cell>
          <cell r="X169" t="e">
            <v>#REF!</v>
          </cell>
          <cell r="Y169" t="e">
            <v>#REF!</v>
          </cell>
          <cell r="Z169" t="e">
            <v>#REF!</v>
          </cell>
          <cell r="AA169" t="e">
            <v>#REF!</v>
          </cell>
          <cell r="AB169" t="e">
            <v>#REF!</v>
          </cell>
          <cell r="AC169" t="e">
            <v>#REF!</v>
          </cell>
        </row>
        <row r="170">
          <cell r="A170">
            <v>167</v>
          </cell>
          <cell r="R170">
            <v>10.943169673856339</v>
          </cell>
          <cell r="S170">
            <v>16.183929446616759</v>
          </cell>
          <cell r="X170" t="e">
            <v>#REF!</v>
          </cell>
          <cell r="Y170" t="e">
            <v>#REF!</v>
          </cell>
          <cell r="Z170" t="e">
            <v>#REF!</v>
          </cell>
          <cell r="AA170" t="e">
            <v>#REF!</v>
          </cell>
          <cell r="AB170" t="e">
            <v>#REF!</v>
          </cell>
          <cell r="AC170" t="e">
            <v>#REF!</v>
          </cell>
        </row>
        <row r="171">
          <cell r="A171">
            <v>168</v>
          </cell>
          <cell r="R171">
            <v>10.947937872005358</v>
          </cell>
          <cell r="S171">
            <v>16.152748639035298</v>
          </cell>
          <cell r="X171" t="e">
            <v>#REF!</v>
          </cell>
          <cell r="Y171" t="e">
            <v>#REF!</v>
          </cell>
          <cell r="Z171" t="e">
            <v>#REF!</v>
          </cell>
          <cell r="AA171" t="e">
            <v>#REF!</v>
          </cell>
          <cell r="AB171" t="e">
            <v>#REF!</v>
          </cell>
          <cell r="AC171" t="e">
            <v>#REF!</v>
          </cell>
        </row>
        <row r="172">
          <cell r="A172">
            <v>169</v>
          </cell>
          <cell r="R172">
            <v>10.952706070154379</v>
          </cell>
          <cell r="S172">
            <v>16.121965049284082</v>
          </cell>
          <cell r="X172" t="e">
            <v>#REF!</v>
          </cell>
          <cell r="Y172" t="e">
            <v>#REF!</v>
          </cell>
          <cell r="Z172" t="e">
            <v>#REF!</v>
          </cell>
          <cell r="AA172" t="e">
            <v>#REF!</v>
          </cell>
          <cell r="AB172" t="e">
            <v>#REF!</v>
          </cell>
          <cell r="AC172" t="e">
            <v>#REF!</v>
          </cell>
        </row>
        <row r="173">
          <cell r="A173">
            <v>170</v>
          </cell>
          <cell r="R173">
            <v>10.957474268303399</v>
          </cell>
          <cell r="S173">
            <v>16.091571667636696</v>
          </cell>
          <cell r="X173" t="e">
            <v>#REF!</v>
          </cell>
          <cell r="Y173" t="e">
            <v>#REF!</v>
          </cell>
          <cell r="Z173" t="e">
            <v>#REF!</v>
          </cell>
          <cell r="AA173" t="e">
            <v>#REF!</v>
          </cell>
          <cell r="AB173" t="e">
            <v>#REF!</v>
          </cell>
          <cell r="AC173" t="e">
            <v>#REF!</v>
          </cell>
        </row>
        <row r="174">
          <cell r="A174">
            <v>171</v>
          </cell>
          <cell r="R174">
            <v>10.96224246645242</v>
          </cell>
          <cell r="S174">
            <v>16.061561648336941</v>
          </cell>
          <cell r="X174" t="e">
            <v>#REF!</v>
          </cell>
          <cell r="Y174" t="e">
            <v>#REF!</v>
          </cell>
          <cell r="Z174" t="e">
            <v>#REF!</v>
          </cell>
          <cell r="AA174" t="e">
            <v>#REF!</v>
          </cell>
          <cell r="AB174" t="e">
            <v>#REF!</v>
          </cell>
          <cell r="AC174" t="e">
            <v>#REF!</v>
          </cell>
        </row>
        <row r="175">
          <cell r="A175">
            <v>172</v>
          </cell>
          <cell r="R175">
            <v>10.967010664601439</v>
          </cell>
          <cell r="S175">
            <v>16.031928304832228</v>
          </cell>
          <cell r="X175" t="e">
            <v>#REF!</v>
          </cell>
          <cell r="Y175" t="e">
            <v>#REF!</v>
          </cell>
          <cell r="Z175" t="e">
            <v>#REF!</v>
          </cell>
          <cell r="AA175" t="e">
            <v>#REF!</v>
          </cell>
          <cell r="AB175" t="e">
            <v>#REF!</v>
          </cell>
          <cell r="AC175" t="e">
            <v>#REF!</v>
          </cell>
        </row>
        <row r="176">
          <cell r="A176">
            <v>173</v>
          </cell>
          <cell r="R176">
            <v>10.971778862750458</v>
          </cell>
          <cell r="S176">
            <v>16.002665105172369</v>
          </cell>
          <cell r="X176" t="e">
            <v>#REF!</v>
          </cell>
          <cell r="Y176" t="e">
            <v>#REF!</v>
          </cell>
          <cell r="Z176" t="e">
            <v>#REF!</v>
          </cell>
          <cell r="AA176" t="e">
            <v>#REF!</v>
          </cell>
          <cell r="AB176" t="e">
            <v>#REF!</v>
          </cell>
          <cell r="AC176" t="e">
            <v>#REF!</v>
          </cell>
        </row>
        <row r="177">
          <cell r="A177">
            <v>174</v>
          </cell>
          <cell r="R177">
            <v>10.976547060899479</v>
          </cell>
          <cell r="S177">
            <v>15.973765667566921</v>
          </cell>
          <cell r="X177" t="e">
            <v>#REF!</v>
          </cell>
          <cell r="Y177" t="e">
            <v>#REF!</v>
          </cell>
          <cell r="Z177" t="e">
            <v>#REF!</v>
          </cell>
          <cell r="AA177" t="e">
            <v>#REF!</v>
          </cell>
          <cell r="AB177" t="e">
            <v>#REF!</v>
          </cell>
          <cell r="AC177" t="e">
            <v>#REF!</v>
          </cell>
        </row>
        <row r="178">
          <cell r="A178">
            <v>175</v>
          </cell>
          <cell r="R178">
            <v>10.981315259048499</v>
          </cell>
          <cell r="S178">
            <v>15.945223756094963</v>
          </cell>
          <cell r="X178" t="e">
            <v>#REF!</v>
          </cell>
          <cell r="Y178" t="e">
            <v>#REF!</v>
          </cell>
          <cell r="Z178" t="e">
            <v>#REF!</v>
          </cell>
          <cell r="AA178" t="e">
            <v>#REF!</v>
          </cell>
          <cell r="AB178" t="e">
            <v>#REF!</v>
          </cell>
          <cell r="AC178" t="e">
            <v>#REF!</v>
          </cell>
        </row>
        <row r="179">
          <cell r="A179">
            <v>176</v>
          </cell>
          <cell r="R179">
            <v>10.986083457197518</v>
          </cell>
          <cell r="S179">
            <v>15.91703327656103</v>
          </cell>
          <cell r="X179" t="e">
            <v>#REF!</v>
          </cell>
          <cell r="Y179" t="e">
            <v>#REF!</v>
          </cell>
          <cell r="Z179" t="e">
            <v>#REF!</v>
          </cell>
          <cell r="AA179" t="e">
            <v>#REF!</v>
          </cell>
          <cell r="AB179" t="e">
            <v>#REF!</v>
          </cell>
          <cell r="AC179" t="e">
            <v>#REF!</v>
          </cell>
        </row>
        <row r="180">
          <cell r="A180">
            <v>177</v>
          </cell>
          <cell r="R180">
            <v>10.990851655346539</v>
          </cell>
          <cell r="S180">
            <v>15.889188272491602</v>
          </cell>
          <cell r="X180" t="e">
            <v>#REF!</v>
          </cell>
          <cell r="Y180" t="e">
            <v>#REF!</v>
          </cell>
          <cell r="Z180" t="e">
            <v>#REF!</v>
          </cell>
          <cell r="AA180" t="e">
            <v>#REF!</v>
          </cell>
          <cell r="AB180" t="e">
            <v>#REF!</v>
          </cell>
          <cell r="AC180" t="e">
            <v>#REF!</v>
          </cell>
        </row>
        <row r="181">
          <cell r="A181">
            <v>178</v>
          </cell>
          <cell r="R181">
            <v>10.99561985349556</v>
          </cell>
          <cell r="S181">
            <v>15.861682921266487</v>
          </cell>
          <cell r="X181" t="e">
            <v>#REF!</v>
          </cell>
          <cell r="Y181" t="e">
            <v>#REF!</v>
          </cell>
          <cell r="Z181" t="e">
            <v>#REF!</v>
          </cell>
          <cell r="AA181" t="e">
            <v>#REF!</v>
          </cell>
          <cell r="AB181" t="e">
            <v>#REF!</v>
          </cell>
          <cell r="AC181" t="e">
            <v>#REF!</v>
          </cell>
        </row>
        <row r="182">
          <cell r="A182">
            <v>179</v>
          </cell>
          <cell r="R182">
            <v>11.000388051644579</v>
          </cell>
          <cell r="S182">
            <v>15.834511530379913</v>
          </cell>
          <cell r="X182" t="e">
            <v>#REF!</v>
          </cell>
          <cell r="Y182" t="e">
            <v>#REF!</v>
          </cell>
          <cell r="Z182" t="e">
            <v>#REF!</v>
          </cell>
          <cell r="AA182" t="e">
            <v>#REF!</v>
          </cell>
          <cell r="AB182" t="e">
            <v>#REF!</v>
          </cell>
          <cell r="AC182" t="e">
            <v>#REF!</v>
          </cell>
        </row>
        <row r="183">
          <cell r="A183">
            <v>180</v>
          </cell>
          <cell r="R183">
            <v>11.005156249793599</v>
          </cell>
          <cell r="S183">
            <v>15.807668533826243</v>
          </cell>
          <cell r="X183" t="e">
            <v>#REF!</v>
          </cell>
          <cell r="Y183" t="e">
            <v>#REF!</v>
          </cell>
          <cell r="Z183" t="e">
            <v>#REF!</v>
          </cell>
          <cell r="AA183" t="e">
            <v>#REF!</v>
          </cell>
          <cell r="AB183" t="e">
            <v>#REF!</v>
          </cell>
          <cell r="AC183" t="e">
            <v>#REF!</v>
          </cell>
        </row>
        <row r="184">
          <cell r="A184">
            <v>181</v>
          </cell>
          <cell r="R184">
            <v>11.009924447942618</v>
          </cell>
          <cell r="S184">
            <v>15.781148488605481</v>
          </cell>
          <cell r="X184" t="e">
            <v>#REF!</v>
          </cell>
          <cell r="Y184" t="e">
            <v>#REF!</v>
          </cell>
          <cell r="Z184" t="e">
            <v>#REF!</v>
          </cell>
          <cell r="AA184" t="e">
            <v>#REF!</v>
          </cell>
          <cell r="AB184" t="e">
            <v>#REF!</v>
          </cell>
          <cell r="AC184" t="e">
            <v>#REF!</v>
          </cell>
        </row>
        <row r="185">
          <cell r="A185">
            <v>182</v>
          </cell>
          <cell r="R185">
            <v>11.014692646091639</v>
          </cell>
          <cell r="S185">
            <v>15.754946071344007</v>
          </cell>
          <cell r="X185" t="e">
            <v>#REF!</v>
          </cell>
          <cell r="Y185" t="e">
            <v>#REF!</v>
          </cell>
          <cell r="Z185" t="e">
            <v>#REF!</v>
          </cell>
          <cell r="AA185" t="e">
            <v>#REF!</v>
          </cell>
          <cell r="AB185" t="e">
            <v>#REF!</v>
          </cell>
          <cell r="AC185" t="e">
            <v>#REF!</v>
          </cell>
        </row>
        <row r="186">
          <cell r="A186">
            <v>183</v>
          </cell>
          <cell r="R186">
            <v>11.01946084424066</v>
          </cell>
          <cell r="S186">
            <v>15.729056075026092</v>
          </cell>
          <cell r="X186" t="e">
            <v>#REF!</v>
          </cell>
          <cell r="Y186" t="e">
            <v>#REF!</v>
          </cell>
          <cell r="Z186" t="e">
            <v>#REF!</v>
          </cell>
          <cell r="AA186" t="e">
            <v>#REF!</v>
          </cell>
          <cell r="AB186" t="e">
            <v>#REF!</v>
          </cell>
          <cell r="AC186" t="e">
            <v>#REF!</v>
          </cell>
        </row>
        <row r="187">
          <cell r="A187">
            <v>184</v>
          </cell>
          <cell r="R187">
            <v>11.024229042389679</v>
          </cell>
          <cell r="S187">
            <v>15.703473405832014</v>
          </cell>
          <cell r="X187" t="e">
            <v>#REF!</v>
          </cell>
          <cell r="Y187" t="e">
            <v>#REF!</v>
          </cell>
          <cell r="Z187" t="e">
            <v>#REF!</v>
          </cell>
          <cell r="AA187" t="e">
            <v>#REF!</v>
          </cell>
          <cell r="AB187" t="e">
            <v>#REF!</v>
          </cell>
          <cell r="AC187" t="e">
            <v>#REF!</v>
          </cell>
        </row>
        <row r="188">
          <cell r="A188">
            <v>185</v>
          </cell>
          <cell r="R188">
            <v>11.028997240538699</v>
          </cell>
          <cell r="S188">
            <v>15.678193080078673</v>
          </cell>
          <cell r="X188" t="e">
            <v>#REF!</v>
          </cell>
          <cell r="Y188" t="e">
            <v>#REF!</v>
          </cell>
          <cell r="Z188" t="e">
            <v>#REF!</v>
          </cell>
          <cell r="AA188" t="e">
            <v>#REF!</v>
          </cell>
          <cell r="AB188" t="e">
            <v>#REF!</v>
          </cell>
          <cell r="AC188" t="e">
            <v>#REF!</v>
          </cell>
        </row>
        <row r="189">
          <cell r="A189">
            <v>186</v>
          </cell>
          <cell r="R189">
            <v>11.033765438687718</v>
          </cell>
          <cell r="S189">
            <v>15.653210221258968</v>
          </cell>
          <cell r="X189" t="e">
            <v>#REF!</v>
          </cell>
          <cell r="Y189" t="e">
            <v>#REF!</v>
          </cell>
          <cell r="Z189" t="e">
            <v>#REF!</v>
          </cell>
          <cell r="AA189" t="e">
            <v>#REF!</v>
          </cell>
          <cell r="AB189" t="e">
            <v>#REF!</v>
          </cell>
          <cell r="AC189" t="e">
            <v>#REF!</v>
          </cell>
        </row>
        <row r="190">
          <cell r="A190">
            <v>187</v>
          </cell>
          <cell r="R190">
            <v>11.038533636836737</v>
          </cell>
          <cell r="S190">
            <v>15.628520057176095</v>
          </cell>
          <cell r="X190" t="e">
            <v>#REF!</v>
          </cell>
          <cell r="Y190" t="e">
            <v>#REF!</v>
          </cell>
          <cell r="Z190" t="e">
            <v>#REF!</v>
          </cell>
          <cell r="AA190" t="e">
            <v>#REF!</v>
          </cell>
          <cell r="AB190" t="e">
            <v>#REF!</v>
          </cell>
          <cell r="AC190" t="e">
            <v>#REF!</v>
          </cell>
        </row>
        <row r="191">
          <cell r="A191">
            <v>188</v>
          </cell>
          <cell r="R191">
            <v>11.043301834985758</v>
          </cell>
          <cell r="S191">
            <v>15.604117917169368</v>
          </cell>
          <cell r="X191" t="e">
            <v>#REF!</v>
          </cell>
          <cell r="Y191" t="e">
            <v>#REF!</v>
          </cell>
          <cell r="Z191" t="e">
            <v>#REF!</v>
          </cell>
          <cell r="AA191" t="e">
            <v>#REF!</v>
          </cell>
          <cell r="AB191" t="e">
            <v>#REF!</v>
          </cell>
          <cell r="AC191" t="e">
            <v>#REF!</v>
          </cell>
        </row>
        <row r="192">
          <cell r="A192">
            <v>189</v>
          </cell>
          <cell r="R192">
            <v>11.048070033134779</v>
          </cell>
          <cell r="S192">
            <v>15.579999229428051</v>
          </cell>
          <cell r="X192" t="e">
            <v>#REF!</v>
          </cell>
          <cell r="Y192" t="e">
            <v>#REF!</v>
          </cell>
          <cell r="Z192" t="e">
            <v>#REF!</v>
          </cell>
          <cell r="AA192" t="e">
            <v>#REF!</v>
          </cell>
          <cell r="AB192" t="e">
            <v>#REF!</v>
          </cell>
          <cell r="AC192" t="e">
            <v>#REF!</v>
          </cell>
        </row>
        <row r="193">
          <cell r="A193">
            <v>190</v>
          </cell>
          <cell r="R193">
            <v>11.052838231283799</v>
          </cell>
          <cell r="S193">
            <v>15.556159518390057</v>
          </cell>
          <cell r="X193" t="e">
            <v>#REF!</v>
          </cell>
          <cell r="Y193" t="e">
            <v>#REF!</v>
          </cell>
          <cell r="Z193" t="e">
            <v>#REF!</v>
          </cell>
          <cell r="AA193" t="e">
            <v>#REF!</v>
          </cell>
          <cell r="AB193" t="e">
            <v>#REF!</v>
          </cell>
          <cell r="AC193" t="e">
            <v>#REF!</v>
          </cell>
        </row>
        <row r="194">
          <cell r="A194">
            <v>191</v>
          </cell>
          <cell r="R194">
            <v>11.057606429432818</v>
          </cell>
          <cell r="S194">
            <v>15.532594402222353</v>
          </cell>
          <cell r="X194" t="e">
            <v>#REF!</v>
          </cell>
          <cell r="Y194" t="e">
            <v>#REF!</v>
          </cell>
          <cell r="Z194" t="e">
            <v>#REF!</v>
          </cell>
          <cell r="AA194" t="e">
            <v>#REF!</v>
          </cell>
          <cell r="AB194" t="e">
            <v>#REF!</v>
          </cell>
          <cell r="AC194" t="e">
            <v>#REF!</v>
          </cell>
        </row>
        <row r="195">
          <cell r="A195">
            <v>192</v>
          </cell>
          <cell r="R195">
            <v>11.062374627581839</v>
          </cell>
          <cell r="S195">
            <v>15.509299590380087</v>
          </cell>
          <cell r="X195" t="e">
            <v>#REF!</v>
          </cell>
          <cell r="Y195" t="e">
            <v>#REF!</v>
          </cell>
          <cell r="Z195" t="e">
            <v>#REF!</v>
          </cell>
          <cell r="AA195" t="e">
            <v>#REF!</v>
          </cell>
          <cell r="AB195" t="e">
            <v>#REF!</v>
          </cell>
          <cell r="AC195" t="e">
            <v>#REF!</v>
          </cell>
        </row>
        <row r="196">
          <cell r="A196">
            <v>193</v>
          </cell>
          <cell r="R196">
            <v>11.067142825730858</v>
          </cell>
          <cell r="S196">
            <v>15.486270881241621</v>
          </cell>
          <cell r="X196" t="e">
            <v>#REF!</v>
          </cell>
          <cell r="Y196" t="e">
            <v>#REF!</v>
          </cell>
          <cell r="Z196" t="e">
            <v>#REF!</v>
          </cell>
          <cell r="AA196" t="e">
            <v>#REF!</v>
          </cell>
          <cell r="AB196" t="e">
            <v>#REF!</v>
          </cell>
          <cell r="AC196" t="e">
            <v>#REF!</v>
          </cell>
        </row>
        <row r="197">
          <cell r="A197">
            <v>194</v>
          </cell>
          <cell r="R197">
            <v>11.071911023879879</v>
          </cell>
          <cell r="S197">
            <v>15.463504159816692</v>
          </cell>
          <cell r="X197" t="e">
            <v>#REF!</v>
          </cell>
          <cell r="Y197" t="e">
            <v>#REF!</v>
          </cell>
          <cell r="Z197" t="e">
            <v>#REF!</v>
          </cell>
          <cell r="AA197" t="e">
            <v>#REF!</v>
          </cell>
          <cell r="AB197" t="e">
            <v>#REF!</v>
          </cell>
          <cell r="AC197" t="e">
            <v>#REF!</v>
          </cell>
        </row>
        <row r="198">
          <cell r="A198">
            <v>195</v>
          </cell>
          <cell r="R198">
            <v>11.076679222028899</v>
          </cell>
          <cell r="S198">
            <v>15.440995395525091</v>
          </cell>
          <cell r="X198" t="e">
            <v>#REF!</v>
          </cell>
          <cell r="Y198" t="e">
            <v>#REF!</v>
          </cell>
          <cell r="Z198" t="e">
            <v>#REF!</v>
          </cell>
          <cell r="AA198" t="e">
            <v>#REF!</v>
          </cell>
          <cell r="AB198" t="e">
            <v>#REF!</v>
          </cell>
          <cell r="AC198" t="e">
            <v>#REF!</v>
          </cell>
        </row>
        <row r="199">
          <cell r="A199">
            <v>196</v>
          </cell>
          <cell r="R199">
            <v>11.081447420177918</v>
          </cell>
          <cell r="S199">
            <v>15.418740640043346</v>
          </cell>
          <cell r="X199" t="e">
            <v>#REF!</v>
          </cell>
          <cell r="Y199" t="e">
            <v>#REF!</v>
          </cell>
          <cell r="Z199" t="e">
            <v>#REF!</v>
          </cell>
          <cell r="AA199" t="e">
            <v>#REF!</v>
          </cell>
          <cell r="AB199" t="e">
            <v>#REF!</v>
          </cell>
          <cell r="AC199" t="e">
            <v>#REF!</v>
          </cell>
        </row>
        <row r="200">
          <cell r="A200">
            <v>197</v>
          </cell>
          <cell r="R200">
            <v>11.086215618326939</v>
          </cell>
          <cell r="S200">
            <v>15.396736025216997</v>
          </cell>
          <cell r="X200" t="e">
            <v>#REF!</v>
          </cell>
          <cell r="Y200" t="e">
            <v>#REF!</v>
          </cell>
          <cell r="Z200" t="e">
            <v>#REF!</v>
          </cell>
          <cell r="AA200" t="e">
            <v>#REF!</v>
          </cell>
          <cell r="AB200" t="e">
            <v>#REF!</v>
          </cell>
          <cell r="AC200" t="e">
            <v>#REF!</v>
          </cell>
        </row>
        <row r="201">
          <cell r="A201">
            <v>198</v>
          </cell>
          <cell r="R201">
            <v>11.090983816475958</v>
          </cell>
          <cell r="S201">
            <v>15.37497776103611</v>
          </cell>
          <cell r="X201" t="e">
            <v>#REF!</v>
          </cell>
          <cell r="Y201" t="e">
            <v>#REF!</v>
          </cell>
          <cell r="Z201" t="e">
            <v>#REF!</v>
          </cell>
          <cell r="AA201" t="e">
            <v>#REF!</v>
          </cell>
          <cell r="AB201" t="e">
            <v>#REF!</v>
          </cell>
          <cell r="AC201" t="e">
            <v>#REF!</v>
          </cell>
        </row>
        <row r="202">
          <cell r="A202">
            <v>199</v>
          </cell>
          <cell r="R202">
            <v>11.095752014624978</v>
          </cell>
          <cell r="S202">
            <v>15.353462133671858</v>
          </cell>
          <cell r="X202" t="e">
            <v>#REF!</v>
          </cell>
          <cell r="Y202" t="e">
            <v>#REF!</v>
          </cell>
          <cell r="Z202" t="e">
            <v>#REF!</v>
          </cell>
          <cell r="AA202" t="e">
            <v>#REF!</v>
          </cell>
          <cell r="AB202" t="e">
            <v>#REF!</v>
          </cell>
          <cell r="AC202" t="e">
            <v>#REF!</v>
          </cell>
        </row>
        <row r="203">
          <cell r="A203">
            <v>200</v>
          </cell>
          <cell r="R203">
            <v>11.100520212773999</v>
          </cell>
          <cell r="S203">
            <v>15.332185503571997</v>
          </cell>
          <cell r="X203" t="e">
            <v>#REF!</v>
          </cell>
          <cell r="Y203" t="e">
            <v>#REF!</v>
          </cell>
          <cell r="Z203" t="e">
            <v>#REF!</v>
          </cell>
          <cell r="AA203" t="e">
            <v>#REF!</v>
          </cell>
          <cell r="AB203" t="e">
            <v>#REF!</v>
          </cell>
          <cell r="AC203" t="e">
            <v>#REF!</v>
          </cell>
        </row>
        <row r="204">
          <cell r="A204">
            <v>201</v>
          </cell>
          <cell r="R204">
            <v>11.10528841092302</v>
          </cell>
          <cell r="S204">
            <v>15.311144303613176</v>
          </cell>
          <cell r="X204" t="e">
            <v>#REF!</v>
          </cell>
          <cell r="Y204" t="e">
            <v>#REF!</v>
          </cell>
          <cell r="Z204" t="e">
            <v>#REF!</v>
          </cell>
          <cell r="AA204" t="e">
            <v>#REF!</v>
          </cell>
          <cell r="AB204" t="e">
            <v>#REF!</v>
          </cell>
          <cell r="AC204" t="e">
            <v>#REF!</v>
          </cell>
        </row>
        <row r="205">
          <cell r="A205">
            <v>202</v>
          </cell>
          <cell r="R205">
            <v>11.110056609072039</v>
          </cell>
          <cell r="S205">
            <v>15.290335037308147</v>
          </cell>
          <cell r="X205" t="e">
            <v>#REF!</v>
          </cell>
          <cell r="Y205" t="e">
            <v>#REF!</v>
          </cell>
          <cell r="Z205" t="e">
            <v>#REF!</v>
          </cell>
          <cell r="AA205" t="e">
            <v>#REF!</v>
          </cell>
          <cell r="AB205" t="e">
            <v>#REF!</v>
          </cell>
          <cell r="AC205" t="e">
            <v>#REF!</v>
          </cell>
        </row>
        <row r="206">
          <cell r="A206">
            <v>203</v>
          </cell>
          <cell r="R206">
            <v>11.114824807221058</v>
          </cell>
          <cell r="S206">
            <v>15.269754277065973</v>
          </cell>
          <cell r="X206" t="e">
            <v>#REF!</v>
          </cell>
          <cell r="Y206" t="e">
            <v>#REF!</v>
          </cell>
          <cell r="Z206" t="e">
            <v>#REF!</v>
          </cell>
          <cell r="AA206" t="e">
            <v>#REF!</v>
          </cell>
          <cell r="AB206" t="e">
            <v>#REF!</v>
          </cell>
          <cell r="AC206" t="e">
            <v>#REF!</v>
          </cell>
        </row>
        <row r="207">
          <cell r="A207">
            <v>204</v>
          </cell>
          <cell r="R207">
            <v>11.119593005370078</v>
          </cell>
          <cell r="S207">
            <v>15.249398662503372</v>
          </cell>
          <cell r="X207" t="e">
            <v>#REF!</v>
          </cell>
          <cell r="Y207" t="e">
            <v>#REF!</v>
          </cell>
          <cell r="Z207" t="e">
            <v>#REF!</v>
          </cell>
          <cell r="AA207" t="e">
            <v>#REF!</v>
          </cell>
          <cell r="AB207" t="e">
            <v>#REF!</v>
          </cell>
          <cell r="AC207" t="e">
            <v>#REF!</v>
          </cell>
        </row>
        <row r="208">
          <cell r="A208">
            <v>205</v>
          </cell>
          <cell r="R208">
            <v>11.124361203519099</v>
          </cell>
          <cell r="S208">
            <v>15.229264898805525</v>
          </cell>
          <cell r="X208" t="e">
            <v>#REF!</v>
          </cell>
          <cell r="Y208" t="e">
            <v>#REF!</v>
          </cell>
          <cell r="Z208" t="e">
            <v>#REF!</v>
          </cell>
          <cell r="AA208" t="e">
            <v>#REF!</v>
          </cell>
          <cell r="AB208" t="e">
            <v>#REF!</v>
          </cell>
          <cell r="AC208" t="e">
            <v>#REF!</v>
          </cell>
        </row>
        <row r="209">
          <cell r="A209">
            <v>206</v>
          </cell>
          <cell r="R209">
            <v>11.12912940166812</v>
          </cell>
          <cell r="S209">
            <v>15.209349755134596</v>
          </cell>
          <cell r="X209" t="e">
            <v>#REF!</v>
          </cell>
          <cell r="Y209" t="e">
            <v>#REF!</v>
          </cell>
          <cell r="Z209" t="e">
            <v>#REF!</v>
          </cell>
          <cell r="AA209" t="e">
            <v>#REF!</v>
          </cell>
          <cell r="AB209" t="e">
            <v>#REF!</v>
          </cell>
          <cell r="AC209" t="e">
            <v>#REF!</v>
          </cell>
        </row>
        <row r="210">
          <cell r="A210">
            <v>207</v>
          </cell>
          <cell r="R210">
            <v>11.133897599817139</v>
          </cell>
          <cell r="S210">
            <v>15.189650063084393</v>
          </cell>
          <cell r="X210" t="e">
            <v>#REF!</v>
          </cell>
          <cell r="Y210" t="e">
            <v>#REF!</v>
          </cell>
          <cell r="Z210" t="e">
            <v>#REF!</v>
          </cell>
          <cell r="AA210" t="e">
            <v>#REF!</v>
          </cell>
          <cell r="AB210" t="e">
            <v>#REF!</v>
          </cell>
          <cell r="AC210" t="e">
            <v>#REF!</v>
          </cell>
        </row>
        <row r="211">
          <cell r="A211">
            <v>208</v>
          </cell>
          <cell r="R211">
            <v>11.138665797966159</v>
          </cell>
          <cell r="S211">
            <v>15.170162715179618</v>
          </cell>
          <cell r="X211" t="e">
            <v>#REF!</v>
          </cell>
          <cell r="Y211" t="e">
            <v>#REF!</v>
          </cell>
          <cell r="Z211" t="e">
            <v>#REF!</v>
          </cell>
          <cell r="AA211" t="e">
            <v>#REF!</v>
          </cell>
          <cell r="AB211" t="e">
            <v>#REF!</v>
          </cell>
          <cell r="AC211" t="e">
            <v>#REF!</v>
          </cell>
        </row>
        <row r="212">
          <cell r="A212">
            <v>209</v>
          </cell>
          <cell r="R212">
            <v>11.14343399611518</v>
          </cell>
          <cell r="S212">
            <v>15.150884663418186</v>
          </cell>
          <cell r="X212" t="e">
            <v>#REF!</v>
          </cell>
          <cell r="Y212" t="e">
            <v>#REF!</v>
          </cell>
          <cell r="Z212" t="e">
            <v>#REF!</v>
          </cell>
          <cell r="AA212" t="e">
            <v>#REF!</v>
          </cell>
          <cell r="AB212" t="e">
            <v>#REF!</v>
          </cell>
          <cell r="AC212" t="e">
            <v>#REF!</v>
          </cell>
        </row>
        <row r="213">
          <cell r="A213">
            <v>210</v>
          </cell>
          <cell r="R213">
            <v>11.148202194264199</v>
          </cell>
          <cell r="S213">
            <v>15.131812917855195</v>
          </cell>
          <cell r="X213" t="e">
            <v>#REF!</v>
          </cell>
          <cell r="Y213" t="e">
            <v>#REF!</v>
          </cell>
          <cell r="Z213" t="e">
            <v>#REF!</v>
          </cell>
          <cell r="AA213" t="e">
            <v>#REF!</v>
          </cell>
          <cell r="AB213" t="e">
            <v>#REF!</v>
          </cell>
          <cell r="AC213" t="e">
            <v>#REF!</v>
          </cell>
        </row>
        <row r="214">
          <cell r="A214">
            <v>211</v>
          </cell>
          <cell r="R214">
            <v>11.152970392413218</v>
          </cell>
          <cell r="S214">
            <v>15.112944545227156</v>
          </cell>
          <cell r="X214" t="e">
            <v>#REF!</v>
          </cell>
          <cell r="Y214" t="e">
            <v>#REF!</v>
          </cell>
          <cell r="Z214" t="e">
            <v>#REF!</v>
          </cell>
          <cell r="AA214" t="e">
            <v>#REF!</v>
          </cell>
          <cell r="AB214" t="e">
            <v>#REF!</v>
          </cell>
          <cell r="AC214" t="e">
            <v>#REF!</v>
          </cell>
        </row>
        <row r="215">
          <cell r="A215">
            <v>212</v>
          </cell>
          <cell r="R215">
            <v>11.157738590562239</v>
          </cell>
          <cell r="S215">
            <v>15.094276667615178</v>
          </cell>
          <cell r="X215" t="e">
            <v>#REF!</v>
          </cell>
          <cell r="Y215" t="e">
            <v>#REF!</v>
          </cell>
          <cell r="Z215" t="e">
            <v>#REF!</v>
          </cell>
          <cell r="AA215" t="e">
            <v>#REF!</v>
          </cell>
          <cell r="AB215" t="e">
            <v>#REF!</v>
          </cell>
          <cell r="AC215" t="e">
            <v>#REF!</v>
          </cell>
        </row>
        <row r="216">
          <cell r="A216">
            <v>213</v>
          </cell>
          <cell r="R216">
            <v>11.162506788711259</v>
          </cell>
          <cell r="S216">
            <v>15.075806461145795</v>
          </cell>
          <cell r="X216" t="e">
            <v>#REF!</v>
          </cell>
          <cell r="Y216" t="e">
            <v>#REF!</v>
          </cell>
          <cell r="Z216" t="e">
            <v>#REF!</v>
          </cell>
          <cell r="AA216" t="e">
            <v>#REF!</v>
          </cell>
          <cell r="AB216" t="e">
            <v>#REF!</v>
          </cell>
          <cell r="AC216" t="e">
            <v>#REF!</v>
          </cell>
        </row>
        <row r="217">
          <cell r="A217">
            <v>214</v>
          </cell>
          <cell r="R217">
            <v>11.167274986860278</v>
          </cell>
          <cell r="S217">
            <v>15.057531154728224</v>
          </cell>
          <cell r="X217" t="e">
            <v>#REF!</v>
          </cell>
          <cell r="Y217" t="e">
            <v>#REF!</v>
          </cell>
          <cell r="Z217" t="e">
            <v>#REF!</v>
          </cell>
          <cell r="AA217" t="e">
            <v>#REF!</v>
          </cell>
          <cell r="AB217" t="e">
            <v>#REF!</v>
          </cell>
          <cell r="AC217" t="e">
            <v>#REF!</v>
          </cell>
        </row>
        <row r="218">
          <cell r="A218">
            <v>215</v>
          </cell>
          <cell r="R218">
            <v>11.172043185009299</v>
          </cell>
          <cell r="S218">
            <v>15.039448028826857</v>
          </cell>
          <cell r="X218" t="e">
            <v>#REF!</v>
          </cell>
          <cell r="Y218" t="e">
            <v>#REF!</v>
          </cell>
          <cell r="Z218" t="e">
            <v>#REF!</v>
          </cell>
          <cell r="AA218" t="e">
            <v>#REF!</v>
          </cell>
          <cell r="AB218" t="e">
            <v>#REF!</v>
          </cell>
          <cell r="AC218" t="e">
            <v>#REF!</v>
          </cell>
        </row>
        <row r="219">
          <cell r="A219">
            <v>216</v>
          </cell>
          <cell r="R219">
            <v>11.176811383158318</v>
          </cell>
          <cell r="S219">
            <v>15.021554414267863</v>
          </cell>
          <cell r="X219" t="e">
            <v>#REF!</v>
          </cell>
          <cell r="Y219" t="e">
            <v>#REF!</v>
          </cell>
          <cell r="Z219" t="e">
            <v>#REF!</v>
          </cell>
          <cell r="AA219" t="e">
            <v>#REF!</v>
          </cell>
          <cell r="AB219" t="e">
            <v>#REF!</v>
          </cell>
          <cell r="AC219" t="e">
            <v>#REF!</v>
          </cell>
        </row>
        <row r="220">
          <cell r="A220">
            <v>217</v>
          </cell>
          <cell r="R220">
            <v>11.181579581307338</v>
          </cell>
          <cell r="S220">
            <v>15.003847691078763</v>
          </cell>
          <cell r="X220" t="e">
            <v>#REF!</v>
          </cell>
          <cell r="Y220" t="e">
            <v>#REF!</v>
          </cell>
          <cell r="Z220" t="e">
            <v>#REF!</v>
          </cell>
          <cell r="AA220" t="e">
            <v>#REF!</v>
          </cell>
          <cell r="AB220" t="e">
            <v>#REF!</v>
          </cell>
          <cell r="AC220" t="e">
            <v>#REF!</v>
          </cell>
        </row>
        <row r="221">
          <cell r="A221">
            <v>218</v>
          </cell>
          <cell r="R221">
            <v>11.186347779456359</v>
          </cell>
          <cell r="S221">
            <v>14.986325287359966</v>
          </cell>
          <cell r="X221" t="e">
            <v>#REF!</v>
          </cell>
          <cell r="Y221" t="e">
            <v>#REF!</v>
          </cell>
          <cell r="Z221" t="e">
            <v>#REF!</v>
          </cell>
          <cell r="AA221" t="e">
            <v>#REF!</v>
          </cell>
          <cell r="AB221" t="e">
            <v>#REF!</v>
          </cell>
          <cell r="AC221" t="e">
            <v>#REF!</v>
          </cell>
        </row>
        <row r="222">
          <cell r="A222">
            <v>219</v>
          </cell>
          <cell r="R222">
            <v>11.191115977605378</v>
          </cell>
          <cell r="S222">
            <v>14.968984678187232</v>
          </cell>
          <cell r="X222" t="e">
            <v>#REF!</v>
          </cell>
          <cell r="Y222" t="e">
            <v>#REF!</v>
          </cell>
          <cell r="Z222" t="e">
            <v>#REF!</v>
          </cell>
          <cell r="AA222" t="e">
            <v>#REF!</v>
          </cell>
          <cell r="AB222" t="e">
            <v>#REF!</v>
          </cell>
          <cell r="AC222" t="e">
            <v>#REF!</v>
          </cell>
        </row>
        <row r="223">
          <cell r="A223">
            <v>220</v>
          </cell>
          <cell r="R223">
            <v>11.195884175754399</v>
          </cell>
          <cell r="S223">
            <v>14.951823384544017</v>
          </cell>
          <cell r="X223" t="e">
            <v>#REF!</v>
          </cell>
          <cell r="Y223" t="e">
            <v>#REF!</v>
          </cell>
          <cell r="Z223" t="e">
            <v>#REF!</v>
          </cell>
          <cell r="AA223" t="e">
            <v>#REF!</v>
          </cell>
          <cell r="AB223" t="e">
            <v>#REF!</v>
          </cell>
          <cell r="AC223" t="e">
            <v>#REF!</v>
          </cell>
        </row>
        <row r="224">
          <cell r="A224">
            <v>221</v>
          </cell>
          <cell r="R224">
            <v>11.200652373903418</v>
          </cell>
          <cell r="S224">
            <v>14.934838972282861</v>
          </cell>
          <cell r="X224" t="e">
            <v>#REF!</v>
          </cell>
          <cell r="Y224" t="e">
            <v>#REF!</v>
          </cell>
          <cell r="Z224" t="e">
            <v>#REF!</v>
          </cell>
          <cell r="AA224" t="e">
            <v>#REF!</v>
          </cell>
          <cell r="AB224" t="e">
            <v>#REF!</v>
          </cell>
          <cell r="AC224" t="e">
            <v>#REF!</v>
          </cell>
        </row>
        <row r="225">
          <cell r="A225">
            <v>222</v>
          </cell>
          <cell r="R225">
            <v>11.205420572052438</v>
          </cell>
          <cell r="S225">
            <v>14.918029051114821</v>
          </cell>
          <cell r="X225" t="e">
            <v>#REF!</v>
          </cell>
          <cell r="Y225" t="e">
            <v>#REF!</v>
          </cell>
          <cell r="Z225" t="e">
            <v>#REF!</v>
          </cell>
          <cell r="AA225" t="e">
            <v>#REF!</v>
          </cell>
          <cell r="AB225" t="e">
            <v>#REF!</v>
          </cell>
          <cell r="AC225" t="e">
            <v>#REF!</v>
          </cell>
        </row>
        <row r="226">
          <cell r="A226">
            <v>223</v>
          </cell>
          <cell r="R226">
            <v>11.210188770201459</v>
          </cell>
          <cell r="S226">
            <v>14.901391273626086</v>
          </cell>
          <cell r="X226" t="e">
            <v>#REF!</v>
          </cell>
          <cell r="Y226" t="e">
            <v>#REF!</v>
          </cell>
          <cell r="Z226" t="e">
            <v>#REF!</v>
          </cell>
          <cell r="AA226" t="e">
            <v>#REF!</v>
          </cell>
          <cell r="AB226" t="e">
            <v>#REF!</v>
          </cell>
          <cell r="AC226" t="e">
            <v>#REF!</v>
          </cell>
        </row>
        <row r="227">
          <cell r="A227">
            <v>224</v>
          </cell>
          <cell r="R227">
            <v>11.21495696835048</v>
          </cell>
          <cell r="S227">
            <v>14.88492333432095</v>
          </cell>
          <cell r="X227" t="e">
            <v>#REF!</v>
          </cell>
          <cell r="Y227" t="e">
            <v>#REF!</v>
          </cell>
          <cell r="Z227" t="e">
            <v>#REF!</v>
          </cell>
          <cell r="AA227" t="e">
            <v>#REF!</v>
          </cell>
          <cell r="AB227" t="e">
            <v>#REF!</v>
          </cell>
          <cell r="AC227" t="e">
            <v>#REF!</v>
          </cell>
        </row>
        <row r="228">
          <cell r="A228">
            <v>225</v>
          </cell>
          <cell r="R228">
            <v>11.219725166499499</v>
          </cell>
          <cell r="S228">
            <v>14.868622968690303</v>
          </cell>
          <cell r="X228" t="e">
            <v>#REF!</v>
          </cell>
          <cell r="Y228" t="e">
            <v>#REF!</v>
          </cell>
          <cell r="Z228" t="e">
            <v>#REF!</v>
          </cell>
          <cell r="AA228" t="e">
            <v>#REF!</v>
          </cell>
          <cell r="AB228" t="e">
            <v>#REF!</v>
          </cell>
          <cell r="AC228" t="e">
            <v>#REF!</v>
          </cell>
        </row>
        <row r="229">
          <cell r="A229">
            <v>226</v>
          </cell>
          <cell r="R229">
            <v>11.224493364648518</v>
          </cell>
          <cell r="S229">
            <v>14.852487952304832</v>
          </cell>
          <cell r="X229" t="e">
            <v>#REF!</v>
          </cell>
          <cell r="Y229" t="e">
            <v>#REF!</v>
          </cell>
          <cell r="Z229" t="e">
            <v>#REF!</v>
          </cell>
          <cell r="AA229" t="e">
            <v>#REF!</v>
          </cell>
          <cell r="AB229" t="e">
            <v>#REF!</v>
          </cell>
          <cell r="AC229" t="e">
            <v>#REF!</v>
          </cell>
        </row>
        <row r="230">
          <cell r="A230">
            <v>227</v>
          </cell>
          <cell r="R230">
            <v>11.229261562797538</v>
          </cell>
          <cell r="S230">
            <v>14.836516099932227</v>
          </cell>
          <cell r="X230" t="e">
            <v>#REF!</v>
          </cell>
          <cell r="Y230" t="e">
            <v>#REF!</v>
          </cell>
          <cell r="Z230" t="e">
            <v>#REF!</v>
          </cell>
          <cell r="AA230" t="e">
            <v>#REF!</v>
          </cell>
          <cell r="AB230" t="e">
            <v>#REF!</v>
          </cell>
          <cell r="AC230" t="e">
            <v>#REF!</v>
          </cell>
        </row>
        <row r="231">
          <cell r="A231">
            <v>228</v>
          </cell>
          <cell r="R231">
            <v>11.234029760946559</v>
          </cell>
          <cell r="S231">
            <v>14.820705264677578</v>
          </cell>
          <cell r="X231" t="e">
            <v>#REF!</v>
          </cell>
          <cell r="Y231" t="e">
            <v>#REF!</v>
          </cell>
          <cell r="Z231" t="e">
            <v>#REF!</v>
          </cell>
          <cell r="AA231" t="e">
            <v>#REF!</v>
          </cell>
          <cell r="AB231" t="e">
            <v>#REF!</v>
          </cell>
          <cell r="AC231" t="e">
            <v>#REF!</v>
          </cell>
        </row>
        <row r="232">
          <cell r="A232">
            <v>229</v>
          </cell>
          <cell r="R232">
            <v>11.23879795909558</v>
          </cell>
          <cell r="S232">
            <v>14.805053337146328</v>
          </cell>
          <cell r="X232" t="e">
            <v>#REF!</v>
          </cell>
          <cell r="Y232" t="e">
            <v>#REF!</v>
          </cell>
          <cell r="Z232" t="e">
            <v>#REF!</v>
          </cell>
          <cell r="AA232" t="e">
            <v>#REF!</v>
          </cell>
          <cell r="AB232" t="e">
            <v>#REF!</v>
          </cell>
          <cell r="AC232" t="e">
            <v>#REF!</v>
          </cell>
        </row>
        <row r="233">
          <cell r="A233">
            <v>230</v>
          </cell>
          <cell r="R233">
            <v>11.243566157244599</v>
          </cell>
          <cell r="S233">
            <v>14.78955824462904</v>
          </cell>
          <cell r="X233" t="e">
            <v>#REF!</v>
          </cell>
          <cell r="Y233" t="e">
            <v>#REF!</v>
          </cell>
          <cell r="Z233" t="e">
            <v>#REF!</v>
          </cell>
          <cell r="AA233" t="e">
            <v>#REF!</v>
          </cell>
          <cell r="AB233" t="e">
            <v>#REF!</v>
          </cell>
          <cell r="AC233" t="e">
            <v>#REF!</v>
          </cell>
        </row>
        <row r="234">
          <cell r="A234">
            <v>231</v>
          </cell>
          <cell r="R234">
            <v>11.248334355393618</v>
          </cell>
          <cell r="S234">
            <v>14.774217950307351</v>
          </cell>
          <cell r="X234" t="e">
            <v>#REF!</v>
          </cell>
          <cell r="Y234" t="e">
            <v>#REF!</v>
          </cell>
          <cell r="Z234" t="e">
            <v>#REF!</v>
          </cell>
          <cell r="AA234" t="e">
            <v>#REF!</v>
          </cell>
          <cell r="AB234" t="e">
            <v>#REF!</v>
          </cell>
          <cell r="AC234" t="e">
            <v>#REF!</v>
          </cell>
        </row>
        <row r="235">
          <cell r="A235">
            <v>232</v>
          </cell>
          <cell r="R235">
            <v>11.253102553542639</v>
          </cell>
          <cell r="S235">
            <v>14.759030452480456</v>
          </cell>
          <cell r="X235" t="e">
            <v>#REF!</v>
          </cell>
          <cell r="Y235" t="e">
            <v>#REF!</v>
          </cell>
          <cell r="Z235" t="e">
            <v>#REF!</v>
          </cell>
          <cell r="AA235" t="e">
            <v>#REF!</v>
          </cell>
          <cell r="AB235" t="e">
            <v>#REF!</v>
          </cell>
          <cell r="AC235" t="e">
            <v>#REF!</v>
          </cell>
        </row>
        <row r="236">
          <cell r="A236">
            <v>233</v>
          </cell>
          <cell r="R236">
            <v>11.257870751691659</v>
          </cell>
          <cell r="S236">
            <v>14.743993783811517</v>
          </cell>
          <cell r="X236" t="e">
            <v>#REF!</v>
          </cell>
          <cell r="Y236" t="e">
            <v>#REF!</v>
          </cell>
          <cell r="Z236" t="e">
            <v>#REF!</v>
          </cell>
          <cell r="AA236" t="e">
            <v>#REF!</v>
          </cell>
          <cell r="AB236" t="e">
            <v>#REF!</v>
          </cell>
          <cell r="AC236" t="e">
            <v>#REF!</v>
          </cell>
        </row>
        <row r="237">
          <cell r="A237">
            <v>234</v>
          </cell>
          <cell r="R237">
            <v>11.26263894984068</v>
          </cell>
          <cell r="S237">
            <v>14.729106010593375</v>
          </cell>
          <cell r="X237" t="e">
            <v>#REF!</v>
          </cell>
          <cell r="Y237" t="e">
            <v>#REF!</v>
          </cell>
          <cell r="Z237" t="e">
            <v>#REF!</v>
          </cell>
          <cell r="AA237" t="e">
            <v>#REF!</v>
          </cell>
          <cell r="AB237" t="e">
            <v>#REF!</v>
          </cell>
          <cell r="AC237" t="e">
            <v>#REF!</v>
          </cell>
        </row>
        <row r="238">
          <cell r="A238">
            <v>235</v>
          </cell>
          <cell r="R238">
            <v>11.267407147989699</v>
          </cell>
          <cell r="S238">
            <v>14.714365232033041</v>
          </cell>
          <cell r="X238" t="e">
            <v>#REF!</v>
          </cell>
          <cell r="Y238" t="e">
            <v>#REF!</v>
          </cell>
          <cell r="Z238" t="e">
            <v>#REF!</v>
          </cell>
          <cell r="AA238" t="e">
            <v>#REF!</v>
          </cell>
          <cell r="AB238" t="e">
            <v>#REF!</v>
          </cell>
          <cell r="AC238" t="e">
            <v>#REF!</v>
          </cell>
        </row>
        <row r="239">
          <cell r="A239">
            <v>236</v>
          </cell>
          <cell r="R239">
            <v>11.272175346138718</v>
          </cell>
          <cell r="S239">
            <v>14.699769579554362</v>
          </cell>
          <cell r="X239" t="e">
            <v>#REF!</v>
          </cell>
          <cell r="Y239" t="e">
            <v>#REF!</v>
          </cell>
          <cell r="Z239" t="e">
            <v>#REF!</v>
          </cell>
          <cell r="AA239" t="e">
            <v>#REF!</v>
          </cell>
          <cell r="AB239" t="e">
            <v>#REF!</v>
          </cell>
          <cell r="AC239" t="e">
            <v>#REF!</v>
          </cell>
        </row>
        <row r="240">
          <cell r="A240">
            <v>237</v>
          </cell>
          <cell r="R240">
            <v>11.276943544287738</v>
          </cell>
          <cell r="S240">
            <v>14.685317216118323</v>
          </cell>
          <cell r="X240" t="e">
            <v>#REF!</v>
          </cell>
          <cell r="Y240" t="e">
            <v>#REF!</v>
          </cell>
          <cell r="Z240" t="e">
            <v>#REF!</v>
          </cell>
          <cell r="AA240" t="e">
            <v>#REF!</v>
          </cell>
          <cell r="AB240" t="e">
            <v>#REF!</v>
          </cell>
          <cell r="AC240" t="e">
            <v>#REF!</v>
          </cell>
        </row>
        <row r="241">
          <cell r="A241">
            <v>238</v>
          </cell>
          <cell r="R241">
            <v>11.281711742436759</v>
          </cell>
          <cell r="S241">
            <v>14.671006335560522</v>
          </cell>
          <cell r="X241" t="e">
            <v>#REF!</v>
          </cell>
          <cell r="Y241" t="e">
            <v>#REF!</v>
          </cell>
          <cell r="Z241" t="e">
            <v>#REF!</v>
          </cell>
          <cell r="AA241" t="e">
            <v>#REF!</v>
          </cell>
          <cell r="AB241" t="e">
            <v>#REF!</v>
          </cell>
          <cell r="AC241" t="e">
            <v>#REF!</v>
          </cell>
        </row>
        <row r="242">
          <cell r="A242">
            <v>239</v>
          </cell>
          <cell r="R242">
            <v>11.286479940585778</v>
          </cell>
          <cell r="S242">
            <v>14.656835161945251</v>
          </cell>
          <cell r="X242" t="e">
            <v>#REF!</v>
          </cell>
          <cell r="Y242" t="e">
            <v>#REF!</v>
          </cell>
          <cell r="Z242" t="e">
            <v>#REF!</v>
          </cell>
          <cell r="AA242" t="e">
            <v>#REF!</v>
          </cell>
          <cell r="AB242" t="e">
            <v>#REF!</v>
          </cell>
          <cell r="AC242" t="e">
            <v>#REF!</v>
          </cell>
        </row>
        <row r="243">
          <cell r="A243">
            <v>240</v>
          </cell>
          <cell r="R243">
            <v>11.291248138734797</v>
          </cell>
          <cell r="S243">
            <v>14.64280194893573</v>
          </cell>
          <cell r="X243" t="e">
            <v>#REF!</v>
          </cell>
          <cell r="Y243" t="e">
            <v>#REF!</v>
          </cell>
          <cell r="Z243" t="e">
            <v>#REF!</v>
          </cell>
          <cell r="AA243" t="e">
            <v>#REF!</v>
          </cell>
          <cell r="AB243" t="e">
            <v>#REF!</v>
          </cell>
          <cell r="AC243" t="e">
            <v>#REF!</v>
          </cell>
        </row>
        <row r="244">
          <cell r="A244">
            <v>241</v>
          </cell>
          <cell r="R244">
            <v>11.296016336883818</v>
          </cell>
          <cell r="S244">
            <v>14.628904979180021</v>
          </cell>
          <cell r="X244" t="e">
            <v>#REF!</v>
          </cell>
          <cell r="Y244" t="e">
            <v>#REF!</v>
          </cell>
          <cell r="Z244" t="e">
            <v>#REF!</v>
          </cell>
          <cell r="AA244" t="e">
            <v>#REF!</v>
          </cell>
          <cell r="AB244" t="e">
            <v>#REF!</v>
          </cell>
          <cell r="AC244" t="e">
            <v>#REF!</v>
          </cell>
        </row>
        <row r="245">
          <cell r="A245">
            <v>242</v>
          </cell>
          <cell r="R245">
            <v>11.300784535032838</v>
          </cell>
          <cell r="S245">
            <v>14.615142563712164</v>
          </cell>
          <cell r="X245" t="e">
            <v>#REF!</v>
          </cell>
          <cell r="Y245" t="e">
            <v>#REF!</v>
          </cell>
          <cell r="Z245" t="e">
            <v>#REF!</v>
          </cell>
          <cell r="AA245" t="e">
            <v>#REF!</v>
          </cell>
          <cell r="AB245" t="e">
            <v>#REF!</v>
          </cell>
          <cell r="AC245" t="e">
            <v>#REF!</v>
          </cell>
        </row>
        <row r="246">
          <cell r="A246">
            <v>243</v>
          </cell>
          <cell r="R246">
            <v>11.305552733181859</v>
          </cell>
          <cell r="S246">
            <v>14.601513041368111</v>
          </cell>
          <cell r="X246" t="e">
            <v>#REF!</v>
          </cell>
          <cell r="Y246" t="e">
            <v>#REF!</v>
          </cell>
          <cell r="Z246" t="e">
            <v>#REF!</v>
          </cell>
          <cell r="AA246" t="e">
            <v>#REF!</v>
          </cell>
          <cell r="AB246" t="e">
            <v>#REF!</v>
          </cell>
          <cell r="AC246" t="e">
            <v>#REF!</v>
          </cell>
        </row>
        <row r="247">
          <cell r="A247">
            <v>244</v>
          </cell>
          <cell r="R247">
            <v>11.310320931330878</v>
          </cell>
          <cell r="S247">
            <v>14.588014778216012</v>
          </cell>
          <cell r="X247" t="e">
            <v>#REF!</v>
          </cell>
          <cell r="Y247" t="e">
            <v>#REF!</v>
          </cell>
          <cell r="Z247" t="e">
            <v>#REF!</v>
          </cell>
          <cell r="AA247" t="e">
            <v>#REF!</v>
          </cell>
          <cell r="AB247" t="e">
            <v>#REF!</v>
          </cell>
          <cell r="AC247" t="e">
            <v>#REF!</v>
          </cell>
        </row>
        <row r="248">
          <cell r="A248">
            <v>245</v>
          </cell>
          <cell r="R248">
            <v>11.315089129479897</v>
          </cell>
          <cell r="S248">
            <v>14.574646167000457</v>
          </cell>
          <cell r="X248" t="e">
            <v>#REF!</v>
          </cell>
          <cell r="Y248" t="e">
            <v>#REF!</v>
          </cell>
          <cell r="Z248" t="e">
            <v>#REF!</v>
          </cell>
          <cell r="AA248" t="e">
            <v>#REF!</v>
          </cell>
          <cell r="AB248" t="e">
            <v>#REF!</v>
          </cell>
          <cell r="AC248" t="e">
            <v>#REF!</v>
          </cell>
        </row>
        <row r="249">
          <cell r="A249">
            <v>246</v>
          </cell>
          <cell r="R249">
            <v>11.319857327628918</v>
          </cell>
          <cell r="S249">
            <v>14.561405626600269</v>
          </cell>
          <cell r="X249" t="e">
            <v>#REF!</v>
          </cell>
          <cell r="Y249" t="e">
            <v>#REF!</v>
          </cell>
          <cell r="Z249" t="e">
            <v>#REF!</v>
          </cell>
          <cell r="AA249" t="e">
            <v>#REF!</v>
          </cell>
          <cell r="AB249" t="e">
            <v>#REF!</v>
          </cell>
          <cell r="AC249" t="e">
            <v>#REF!</v>
          </cell>
        </row>
        <row r="250">
          <cell r="A250">
            <v>247</v>
          </cell>
          <cell r="R250">
            <v>11.32462552577794</v>
          </cell>
          <cell r="S250">
            <v>14.548291601499477</v>
          </cell>
          <cell r="X250" t="e">
            <v>#REF!</v>
          </cell>
          <cell r="Y250" t="e">
            <v>#REF!</v>
          </cell>
          <cell r="Z250" t="e">
            <v>#REF!</v>
          </cell>
          <cell r="AA250" t="e">
            <v>#REF!</v>
          </cell>
          <cell r="AB250" t="e">
            <v>#REF!</v>
          </cell>
          <cell r="AC250" t="e">
            <v>#REF!</v>
          </cell>
        </row>
        <row r="251">
          <cell r="A251">
            <v>248</v>
          </cell>
          <cell r="R251">
            <v>11.329393723926959</v>
          </cell>
          <cell r="S251">
            <v>14.53530256127106</v>
          </cell>
          <cell r="X251" t="e">
            <v>#REF!</v>
          </cell>
          <cell r="Y251" t="e">
            <v>#REF!</v>
          </cell>
          <cell r="Z251" t="e">
            <v>#REF!</v>
          </cell>
          <cell r="AA251" t="e">
            <v>#REF!</v>
          </cell>
          <cell r="AB251" t="e">
            <v>#REF!</v>
          </cell>
          <cell r="AC251" t="e">
            <v>#REF!</v>
          </cell>
        </row>
        <row r="252">
          <cell r="A252">
            <v>249</v>
          </cell>
          <cell r="R252">
            <v>11.334161922075978</v>
          </cell>
          <cell r="S252">
            <v>14.522437000073189</v>
          </cell>
          <cell r="X252" t="e">
            <v>#REF!</v>
          </cell>
          <cell r="Y252" t="e">
            <v>#REF!</v>
          </cell>
          <cell r="Z252" t="e">
            <v>#REF!</v>
          </cell>
          <cell r="AA252" t="e">
            <v>#REF!</v>
          </cell>
          <cell r="AB252" t="e">
            <v>#REF!</v>
          </cell>
          <cell r="AC252" t="e">
            <v>#REF!</v>
          </cell>
        </row>
        <row r="253">
          <cell r="A253">
            <v>250</v>
          </cell>
          <cell r="R253">
            <v>11.338930120224999</v>
          </cell>
          <cell r="S253">
            <v>14.509693436157496</v>
          </cell>
          <cell r="X253" t="e">
            <v>#REF!</v>
          </cell>
          <cell r="Y253" t="e">
            <v>#REF!</v>
          </cell>
          <cell r="Z253" t="e">
            <v>#REF!</v>
          </cell>
          <cell r="AA253" t="e">
            <v>#REF!</v>
          </cell>
          <cell r="AB253" t="e">
            <v>#REF!</v>
          </cell>
          <cell r="AC253" t="e">
            <v>#REF!</v>
          </cell>
        </row>
        <row r="254">
          <cell r="A254">
            <v>251</v>
          </cell>
          <cell r="R254">
            <v>11.343698318374019</v>
          </cell>
          <cell r="S254">
            <v>14.49707041138914</v>
          </cell>
          <cell r="X254" t="e">
            <v>#REF!</v>
          </cell>
          <cell r="Y254" t="e">
            <v>#REF!</v>
          </cell>
          <cell r="Z254" t="e">
            <v>#REF!</v>
          </cell>
          <cell r="AA254" t="e">
            <v>#REF!</v>
          </cell>
          <cell r="AB254" t="e">
            <v>#REF!</v>
          </cell>
          <cell r="AC254" t="e">
            <v>#REF!</v>
          </cell>
        </row>
        <row r="255">
          <cell r="A255">
            <v>252</v>
          </cell>
          <cell r="R255">
            <v>11.34846651652304</v>
          </cell>
          <cell r="S255">
            <v>14.484566490778269</v>
          </cell>
          <cell r="X255" t="e">
            <v>#REF!</v>
          </cell>
          <cell r="Y255" t="e">
            <v>#REF!</v>
          </cell>
          <cell r="Z255" t="e">
            <v>#REF!</v>
          </cell>
          <cell r="AA255" t="e">
            <v>#REF!</v>
          </cell>
          <cell r="AB255" t="e">
            <v>#REF!</v>
          </cell>
          <cell r="AC255" t="e">
            <v>#REF!</v>
          </cell>
        </row>
        <row r="256">
          <cell r="A256">
            <v>253</v>
          </cell>
          <cell r="R256">
            <v>11.353234714672059</v>
          </cell>
          <cell r="S256">
            <v>14.47218026202261</v>
          </cell>
          <cell r="X256" t="e">
            <v>#REF!</v>
          </cell>
          <cell r="Y256" t="e">
            <v>#REF!</v>
          </cell>
          <cell r="Z256" t="e">
            <v>#REF!</v>
          </cell>
          <cell r="AA256" t="e">
            <v>#REF!</v>
          </cell>
          <cell r="AB256" t="e">
            <v>#REF!</v>
          </cell>
          <cell r="AC256" t="e">
            <v>#REF!</v>
          </cell>
        </row>
        <row r="257">
          <cell r="A257">
            <v>254</v>
          </cell>
          <cell r="R257">
            <v>11.358002912821078</v>
          </cell>
          <cell r="S257">
            <v>14.459910335060892</v>
          </cell>
          <cell r="X257" t="e">
            <v>#REF!</v>
          </cell>
          <cell r="Y257" t="e">
            <v>#REF!</v>
          </cell>
          <cell r="Z257" t="e">
            <v>#REF!</v>
          </cell>
          <cell r="AA257" t="e">
            <v>#REF!</v>
          </cell>
          <cell r="AB257" t="e">
            <v>#REF!</v>
          </cell>
          <cell r="AC257" t="e">
            <v>#REF!</v>
          </cell>
        </row>
        <row r="258">
          <cell r="A258">
            <v>255</v>
          </cell>
          <cell r="R258">
            <v>11.362771110970099</v>
          </cell>
          <cell r="S258">
            <v>14.447755341636716</v>
          </cell>
          <cell r="X258" t="e">
            <v>#REF!</v>
          </cell>
          <cell r="Y258" t="e">
            <v>#REF!</v>
          </cell>
          <cell r="Z258" t="e">
            <v>#REF!</v>
          </cell>
          <cell r="AA258" t="e">
            <v>#REF!</v>
          </cell>
          <cell r="AB258" t="e">
            <v>#REF!</v>
          </cell>
          <cell r="AC258" t="e">
            <v>#REF!</v>
          </cell>
        </row>
        <row r="259">
          <cell r="A259">
            <v>256</v>
          </cell>
          <cell r="R259">
            <v>11.367539309119119</v>
          </cell>
          <cell r="S259">
            <v>14.435713934872686</v>
          </cell>
          <cell r="X259" t="e">
            <v>#REF!</v>
          </cell>
          <cell r="Y259" t="e">
            <v>#REF!</v>
          </cell>
          <cell r="Z259" t="e">
            <v>#REF!</v>
          </cell>
          <cell r="AA259" t="e">
            <v>#REF!</v>
          </cell>
          <cell r="AB259" t="e">
            <v>#REF!</v>
          </cell>
          <cell r="AC259" t="e">
            <v>#REF!</v>
          </cell>
        </row>
        <row r="260">
          <cell r="A260">
            <v>257</v>
          </cell>
          <cell r="R260">
            <v>11.37230750726814</v>
          </cell>
          <cell r="S260">
            <v>14.423784788854478</v>
          </cell>
          <cell r="X260" t="e">
            <v>#REF!</v>
          </cell>
          <cell r="Y260" t="e">
            <v>#REF!</v>
          </cell>
          <cell r="Z260" t="e">
            <v>#REF!</v>
          </cell>
          <cell r="AA260" t="e">
            <v>#REF!</v>
          </cell>
          <cell r="AB260" t="e">
            <v>#REF!</v>
          </cell>
          <cell r="AC260" t="e">
            <v>#REF!</v>
          </cell>
        </row>
        <row r="261">
          <cell r="A261">
            <v>258</v>
          </cell>
          <cell r="R261">
            <v>11.377075705417159</v>
          </cell>
          <cell r="S261">
            <v>14.411966598224584</v>
          </cell>
          <cell r="X261" t="e">
            <v>#REF!</v>
          </cell>
          <cell r="Y261" t="e">
            <v>#REF!</v>
          </cell>
          <cell r="Z261" t="e">
            <v>#REF!</v>
          </cell>
          <cell r="AA261" t="e">
            <v>#REF!</v>
          </cell>
          <cell r="AB261" t="e">
            <v>#REF!</v>
          </cell>
          <cell r="AC261" t="e">
            <v>#REF!</v>
          </cell>
        </row>
        <row r="262">
          <cell r="A262">
            <v>259</v>
          </cell>
          <cell r="R262">
            <v>11.38184390356618</v>
          </cell>
          <cell r="S262">
            <v>14.400258077785464</v>
          </cell>
          <cell r="X262" t="e">
            <v>#REF!</v>
          </cell>
          <cell r="Y262" t="e">
            <v>#REF!</v>
          </cell>
          <cell r="Z262" t="e">
            <v>#REF!</v>
          </cell>
          <cell r="AA262" t="e">
            <v>#REF!</v>
          </cell>
          <cell r="AB262" t="e">
            <v>#REF!</v>
          </cell>
          <cell r="AC262" t="e">
            <v>#REF!</v>
          </cell>
        </row>
        <row r="263">
          <cell r="A263">
            <v>260</v>
          </cell>
          <cell r="R263">
            <v>11.386612101715199</v>
          </cell>
          <cell r="S263">
            <v>14.388657962111832</v>
          </cell>
          <cell r="X263" t="e">
            <v>#REF!</v>
          </cell>
          <cell r="Y263" t="e">
            <v>#REF!</v>
          </cell>
          <cell r="Z263" t="e">
            <v>#REF!</v>
          </cell>
          <cell r="AA263" t="e">
            <v>#REF!</v>
          </cell>
          <cell r="AB263" t="e">
            <v>#REF!</v>
          </cell>
          <cell r="AC263" t="e">
            <v>#REF!</v>
          </cell>
        </row>
        <row r="264">
          <cell r="A264">
            <v>261</v>
          </cell>
          <cell r="R264">
            <v>11.39138029986422</v>
          </cell>
          <cell r="S264">
            <v>14.377165005171896</v>
          </cell>
          <cell r="X264" t="e">
            <v>#REF!</v>
          </cell>
          <cell r="Y264" t="e">
            <v>#REF!</v>
          </cell>
          <cell r="Z264" t="e">
            <v>#REF!</v>
          </cell>
          <cell r="AA264" t="e">
            <v>#REF!</v>
          </cell>
          <cell r="AB264" t="e">
            <v>#REF!</v>
          </cell>
          <cell r="AC264" t="e">
            <v>#REF!</v>
          </cell>
        </row>
        <row r="265">
          <cell r="A265">
            <v>262</v>
          </cell>
          <cell r="R265">
            <v>11.396148498013238</v>
          </cell>
          <cell r="S265">
            <v>14.365777979957265</v>
          </cell>
          <cell r="X265" t="e">
            <v>#REF!</v>
          </cell>
          <cell r="Y265" t="e">
            <v>#REF!</v>
          </cell>
          <cell r="Z265" t="e">
            <v>#REF!</v>
          </cell>
          <cell r="AA265" t="e">
            <v>#REF!</v>
          </cell>
          <cell r="AB265" t="e">
            <v>#REF!</v>
          </cell>
          <cell r="AC265" t="e">
            <v>#REF!</v>
          </cell>
        </row>
        <row r="266">
          <cell r="A266">
            <v>263</v>
          </cell>
          <cell r="R266">
            <v>11.400916696162257</v>
          </cell>
          <cell r="S266">
            <v>14.354495678121266</v>
          </cell>
          <cell r="X266" t="e">
            <v>#REF!</v>
          </cell>
          <cell r="Y266" t="e">
            <v>#REF!</v>
          </cell>
          <cell r="Z266" t="e">
            <v>#REF!</v>
          </cell>
          <cell r="AA266" t="e">
            <v>#REF!</v>
          </cell>
          <cell r="AB266" t="e">
            <v>#REF!</v>
          </cell>
          <cell r="AC266" t="e">
            <v>#REF!</v>
          </cell>
        </row>
        <row r="267">
          <cell r="A267">
            <v>264</v>
          </cell>
          <cell r="R267">
            <v>11.405684894311278</v>
          </cell>
          <cell r="S267">
            <v>14.343316909625488</v>
          </cell>
          <cell r="X267" t="e">
            <v>#REF!</v>
          </cell>
          <cell r="Y267" t="e">
            <v>#REF!</v>
          </cell>
          <cell r="Z267" t="e">
            <v>#REF!</v>
          </cell>
          <cell r="AA267" t="e">
            <v>#REF!</v>
          </cell>
          <cell r="AB267" t="e">
            <v>#REF!</v>
          </cell>
          <cell r="AC267" t="e">
            <v>#REF!</v>
          </cell>
        </row>
        <row r="268">
          <cell r="A268">
            <v>265</v>
          </cell>
          <cell r="R268">
            <v>11.410453092460298</v>
          </cell>
          <cell r="S268">
            <v>14.332240502394392</v>
          </cell>
          <cell r="X268" t="e">
            <v>#REF!</v>
          </cell>
          <cell r="Y268" t="e">
            <v>#REF!</v>
          </cell>
          <cell r="Z268" t="e">
            <v>#REF!</v>
          </cell>
          <cell r="AA268" t="e">
            <v>#REF!</v>
          </cell>
          <cell r="AB268" t="e">
            <v>#REF!</v>
          </cell>
          <cell r="AC268" t="e">
            <v>#REF!</v>
          </cell>
        </row>
        <row r="269">
          <cell r="A269">
            <v>266</v>
          </cell>
          <cell r="R269">
            <v>11.415221290609319</v>
          </cell>
          <cell r="S269">
            <v>14.321265301977629</v>
          </cell>
          <cell r="X269" t="e">
            <v>#REF!</v>
          </cell>
          <cell r="Y269" t="e">
            <v>#REF!</v>
          </cell>
          <cell r="Z269" t="e">
            <v>#REF!</v>
          </cell>
          <cell r="AA269" t="e">
            <v>#REF!</v>
          </cell>
          <cell r="AB269" t="e">
            <v>#REF!</v>
          </cell>
          <cell r="AC269" t="e">
            <v>#REF!</v>
          </cell>
        </row>
        <row r="270">
          <cell r="A270">
            <v>267</v>
          </cell>
          <cell r="R270">
            <v>11.41998948875834</v>
          </cell>
          <cell r="S270">
            <v>14.310390171219975</v>
          </cell>
          <cell r="X270" t="e">
            <v>#REF!</v>
          </cell>
          <cell r="Y270" t="e">
            <v>#REF!</v>
          </cell>
          <cell r="Z270" t="e">
            <v>#REF!</v>
          </cell>
          <cell r="AA270" t="e">
            <v>#REF!</v>
          </cell>
          <cell r="AB270" t="e">
            <v>#REF!</v>
          </cell>
          <cell r="AC270" t="e">
            <v>#REF!</v>
          </cell>
        </row>
        <row r="271">
          <cell r="A271">
            <v>268</v>
          </cell>
          <cell r="R271">
            <v>11.424757686907359</v>
          </cell>
          <cell r="S271">
            <v>14.299613989938678</v>
          </cell>
          <cell r="X271" t="e">
            <v>#REF!</v>
          </cell>
          <cell r="Y271" t="e">
            <v>#REF!</v>
          </cell>
          <cell r="Z271" t="e">
            <v>#REF!</v>
          </cell>
          <cell r="AA271" t="e">
            <v>#REF!</v>
          </cell>
          <cell r="AB271" t="e">
            <v>#REF!</v>
          </cell>
          <cell r="AC271" t="e">
            <v>#REF!</v>
          </cell>
        </row>
        <row r="272">
          <cell r="A272">
            <v>269</v>
          </cell>
          <cell r="R272">
            <v>11.429525885056378</v>
          </cell>
          <cell r="S272">
            <v>14.288935654607984</v>
          </cell>
          <cell r="X272" t="e">
            <v>#REF!</v>
          </cell>
          <cell r="Y272" t="e">
            <v>#REF!</v>
          </cell>
          <cell r="Z272" t="e">
            <v>#REF!</v>
          </cell>
          <cell r="AA272" t="e">
            <v>#REF!</v>
          </cell>
          <cell r="AB272" t="e">
            <v>#REF!</v>
          </cell>
          <cell r="AC272" t="e">
            <v>#REF!</v>
          </cell>
        </row>
        <row r="273">
          <cell r="A273">
            <v>270</v>
          </cell>
          <cell r="R273">
            <v>11.434294083205399</v>
          </cell>
          <cell r="S273">
            <v>14.278354078050661</v>
          </cell>
          <cell r="X273" t="e">
            <v>#REF!</v>
          </cell>
          <cell r="Y273" t="e">
            <v>#REF!</v>
          </cell>
          <cell r="Z273" t="e">
            <v>#REF!</v>
          </cell>
          <cell r="AA273" t="e">
            <v>#REF!</v>
          </cell>
          <cell r="AB273" t="e">
            <v>#REF!</v>
          </cell>
          <cell r="AC273" t="e">
            <v>#REF!</v>
          </cell>
        </row>
        <row r="274">
          <cell r="A274">
            <v>271</v>
          </cell>
          <cell r="R274">
            <v>11.439062281354419</v>
          </cell>
          <cell r="S274">
            <v>14.267868189136379</v>
          </cell>
          <cell r="X274" t="e">
            <v>#REF!</v>
          </cell>
          <cell r="Y274" t="e">
            <v>#REF!</v>
          </cell>
          <cell r="Z274" t="e">
            <v>#REF!</v>
          </cell>
          <cell r="AA274" t="e">
            <v>#REF!</v>
          </cell>
          <cell r="AB274" t="e">
            <v>#REF!</v>
          </cell>
          <cell r="AC274" t="e">
            <v>#REF!</v>
          </cell>
        </row>
        <row r="275">
          <cell r="A275">
            <v>272</v>
          </cell>
          <cell r="R275">
            <v>11.443830479503438</v>
          </cell>
          <cell r="S275">
            <v>14.257476932486718</v>
          </cell>
          <cell r="X275" t="e">
            <v>#REF!</v>
          </cell>
          <cell r="Y275" t="e">
            <v>#REF!</v>
          </cell>
          <cell r="Z275" t="e">
            <v>#REF!</v>
          </cell>
          <cell r="AA275" t="e">
            <v>#REF!</v>
          </cell>
          <cell r="AB275" t="e">
            <v>#REF!</v>
          </cell>
          <cell r="AC275" t="e">
            <v>#REF!</v>
          </cell>
        </row>
        <row r="276">
          <cell r="A276">
            <v>273</v>
          </cell>
          <cell r="R276">
            <v>11.448598677652461</v>
          </cell>
          <cell r="S276">
            <v>14.247179268186688</v>
          </cell>
          <cell r="X276" t="e">
            <v>#REF!</v>
          </cell>
          <cell r="Y276" t="e">
            <v>#REF!</v>
          </cell>
          <cell r="Z276" t="e">
            <v>#REF!</v>
          </cell>
          <cell r="AA276" t="e">
            <v>#REF!</v>
          </cell>
          <cell r="AB276" t="e">
            <v>#REF!</v>
          </cell>
          <cell r="AC276" t="e">
            <v>#REF!</v>
          </cell>
        </row>
        <row r="277">
          <cell r="A277">
            <v>274</v>
          </cell>
          <cell r="R277">
            <v>11.45336687580148</v>
          </cell>
          <cell r="S277">
            <v>14.236974171502528</v>
          </cell>
          <cell r="X277" t="e">
            <v>#REF!</v>
          </cell>
          <cell r="Y277" t="e">
            <v>#REF!</v>
          </cell>
          <cell r="Z277" t="e">
            <v>#REF!</v>
          </cell>
          <cell r="AA277" t="e">
            <v>#REF!</v>
          </cell>
          <cell r="AB277" t="e">
            <v>#REF!</v>
          </cell>
          <cell r="AC277" t="e">
            <v>#REF!</v>
          </cell>
        </row>
        <row r="278">
          <cell r="A278">
            <v>275</v>
          </cell>
          <cell r="R278">
            <v>11.458135073950499</v>
          </cell>
          <cell r="S278">
            <v>14.226860632605703</v>
          </cell>
          <cell r="X278" t="e">
            <v>#REF!</v>
          </cell>
          <cell r="Y278" t="e">
            <v>#REF!</v>
          </cell>
          <cell r="Z278" t="e">
            <v>#REF!</v>
          </cell>
          <cell r="AA278" t="e">
            <v>#REF!</v>
          </cell>
          <cell r="AB278" t="e">
            <v>#REF!</v>
          </cell>
          <cell r="AC278" t="e">
            <v>#REF!</v>
          </cell>
        </row>
        <row r="279">
          <cell r="A279">
            <v>276</v>
          </cell>
          <cell r="R279">
            <v>11.462903272099519</v>
          </cell>
          <cell r="S279">
            <v>14.216837656302877</v>
          </cell>
          <cell r="X279" t="e">
            <v>#REF!</v>
          </cell>
          <cell r="Y279" t="e">
            <v>#REF!</v>
          </cell>
          <cell r="Z279" t="e">
            <v>#REF!</v>
          </cell>
          <cell r="AA279" t="e">
            <v>#REF!</v>
          </cell>
          <cell r="AB279" t="e">
            <v>#REF!</v>
          </cell>
          <cell r="AC279" t="e">
            <v>#REF!</v>
          </cell>
        </row>
        <row r="280">
          <cell r="A280">
            <v>277</v>
          </cell>
          <cell r="R280">
            <v>11.46767147024854</v>
          </cell>
          <cell r="S280">
            <v>14.206904261771724</v>
          </cell>
          <cell r="X280" t="e">
            <v>#REF!</v>
          </cell>
          <cell r="Y280" t="e">
            <v>#REF!</v>
          </cell>
          <cell r="Z280" t="e">
            <v>#REF!</v>
          </cell>
          <cell r="AA280" t="e">
            <v>#REF!</v>
          </cell>
          <cell r="AB280" t="e">
            <v>#REF!</v>
          </cell>
          <cell r="AC280" t="e">
            <v>#REF!</v>
          </cell>
        </row>
        <row r="281">
          <cell r="A281">
            <v>278</v>
          </cell>
          <cell r="R281">
            <v>11.472439668397557</v>
          </cell>
          <cell r="S281">
            <v>14.197059482302485</v>
          </cell>
          <cell r="X281" t="e">
            <v>#REF!</v>
          </cell>
          <cell r="Y281" t="e">
            <v>#REF!</v>
          </cell>
          <cell r="Z281" t="e">
            <v>#REF!</v>
          </cell>
          <cell r="AA281" t="e">
            <v>#REF!</v>
          </cell>
          <cell r="AB281" t="e">
            <v>#REF!</v>
          </cell>
          <cell r="AC281" t="e">
            <v>#REF!</v>
          </cell>
        </row>
        <row r="282">
          <cell r="A282">
            <v>279</v>
          </cell>
          <cell r="R282">
            <v>11.477207866546578</v>
          </cell>
          <cell r="S282">
            <v>14.187302365045026</v>
          </cell>
          <cell r="X282" t="e">
            <v>#REF!</v>
          </cell>
          <cell r="Y282" t="e">
            <v>#REF!</v>
          </cell>
          <cell r="Z282" t="e">
            <v>#REF!</v>
          </cell>
          <cell r="AA282" t="e">
            <v>#REF!</v>
          </cell>
          <cell r="AB282" t="e">
            <v>#REF!</v>
          </cell>
          <cell r="AC282" t="e">
            <v>#REF!</v>
          </cell>
        </row>
        <row r="283">
          <cell r="A283">
            <v>280</v>
          </cell>
          <cell r="R283">
            <v>11.481976064695598</v>
          </cell>
          <cell r="S283">
            <v>14.17763197076137</v>
          </cell>
          <cell r="X283" t="e">
            <v>#REF!</v>
          </cell>
          <cell r="Y283" t="e">
            <v>#REF!</v>
          </cell>
          <cell r="Z283" t="e">
            <v>#REF!</v>
          </cell>
          <cell r="AA283" t="e">
            <v>#REF!</v>
          </cell>
          <cell r="AB283" t="e">
            <v>#REF!</v>
          </cell>
          <cell r="AC283" t="e">
            <v>#REF!</v>
          </cell>
        </row>
        <row r="284">
          <cell r="A284">
            <v>281</v>
          </cell>
          <cell r="R284">
            <v>11.486744262844619</v>
          </cell>
          <cell r="S284">
            <v>14.168047373583462</v>
          </cell>
          <cell r="X284" t="e">
            <v>#REF!</v>
          </cell>
          <cell r="Y284" t="e">
            <v>#REF!</v>
          </cell>
          <cell r="Z284" t="e">
            <v>#REF!</v>
          </cell>
          <cell r="AA284" t="e">
            <v>#REF!</v>
          </cell>
          <cell r="AB284" t="e">
            <v>#REF!</v>
          </cell>
          <cell r="AC284" t="e">
            <v>#REF!</v>
          </cell>
        </row>
        <row r="285">
          <cell r="A285">
            <v>282</v>
          </cell>
          <cell r="R285">
            <v>11.491512460993638</v>
          </cell>
          <cell r="S285">
            <v>14.158547660776145</v>
          </cell>
          <cell r="X285" t="e">
            <v>#REF!</v>
          </cell>
          <cell r="Y285" t="e">
            <v>#REF!</v>
          </cell>
          <cell r="Z285" t="e">
            <v>#REF!</v>
          </cell>
          <cell r="AA285" t="e">
            <v>#REF!</v>
          </cell>
          <cell r="AB285" t="e">
            <v>#REF!</v>
          </cell>
          <cell r="AC285" t="e">
            <v>#REF!</v>
          </cell>
        </row>
        <row r="286">
          <cell r="A286">
            <v>283</v>
          </cell>
          <cell r="R286">
            <v>11.496280659142661</v>
          </cell>
          <cell r="S286">
            <v>14.149131932505091</v>
          </cell>
          <cell r="X286" t="e">
            <v>#REF!</v>
          </cell>
          <cell r="Y286" t="e">
            <v>#REF!</v>
          </cell>
          <cell r="Z286" t="e">
            <v>#REF!</v>
          </cell>
          <cell r="AA286" t="e">
            <v>#REF!</v>
          </cell>
          <cell r="AB286" t="e">
            <v>#REF!</v>
          </cell>
          <cell r="AC286" t="e">
            <v>#REF!</v>
          </cell>
        </row>
        <row r="287">
          <cell r="A287">
            <v>284</v>
          </cell>
          <cell r="R287">
            <v>11.501048857291677</v>
          </cell>
          <cell r="S287">
            <v>14.139799301609713</v>
          </cell>
          <cell r="X287" t="e">
            <v>#REF!</v>
          </cell>
          <cell r="Y287" t="e">
            <v>#REF!</v>
          </cell>
          <cell r="Z287" t="e">
            <v>#REF!</v>
          </cell>
          <cell r="AA287" t="e">
            <v>#REF!</v>
          </cell>
          <cell r="AB287" t="e">
            <v>#REF!</v>
          </cell>
          <cell r="AC287" t="e">
            <v>#REF!</v>
          </cell>
        </row>
        <row r="288">
          <cell r="A288">
            <v>285</v>
          </cell>
          <cell r="R288">
            <v>11.505817055440698</v>
          </cell>
          <cell r="S288">
            <v>14.130548893380787</v>
          </cell>
          <cell r="X288" t="e">
            <v>#REF!</v>
          </cell>
          <cell r="Y288" t="e">
            <v>#REF!</v>
          </cell>
          <cell r="Z288" t="e">
            <v>#REF!</v>
          </cell>
          <cell r="AA288" t="e">
            <v>#REF!</v>
          </cell>
          <cell r="AB288" t="e">
            <v>#REF!</v>
          </cell>
          <cell r="AC288" t="e">
            <v>#REF!</v>
          </cell>
        </row>
        <row r="289">
          <cell r="A289">
            <v>286</v>
          </cell>
          <cell r="R289">
            <v>11.510585253589717</v>
          </cell>
          <cell r="S289">
            <v>14.121379845342798</v>
          </cell>
          <cell r="X289" t="e">
            <v>#REF!</v>
          </cell>
          <cell r="Y289" t="e">
            <v>#REF!</v>
          </cell>
          <cell r="Z289" t="e">
            <v>#REF!</v>
          </cell>
          <cell r="AA289" t="e">
            <v>#REF!</v>
          </cell>
          <cell r="AB289" t="e">
            <v>#REF!</v>
          </cell>
          <cell r="AC289" t="e">
            <v>#REF!</v>
          </cell>
        </row>
        <row r="290">
          <cell r="A290">
            <v>287</v>
          </cell>
          <cell r="R290">
            <v>11.51535345173874</v>
          </cell>
          <cell r="S290">
            <v>14.112291307040778</v>
          </cell>
          <cell r="X290" t="e">
            <v>#REF!</v>
          </cell>
          <cell r="Y290" t="e">
            <v>#REF!</v>
          </cell>
          <cell r="Z290" t="e">
            <v>#REF!</v>
          </cell>
          <cell r="AA290" t="e">
            <v>#REF!</v>
          </cell>
          <cell r="AB290" t="e">
            <v>#REF!</v>
          </cell>
          <cell r="AC290" t="e">
            <v>#REF!</v>
          </cell>
        </row>
        <row r="291">
          <cell r="A291">
            <v>288</v>
          </cell>
          <cell r="R291">
            <v>11.520121649887759</v>
          </cell>
          <cell r="S291">
            <v>14.103282439831657</v>
          </cell>
          <cell r="X291" t="e">
            <v>#REF!</v>
          </cell>
          <cell r="Y291" t="e">
            <v>#REF!</v>
          </cell>
          <cell r="Z291" t="e">
            <v>#REF!</v>
          </cell>
          <cell r="AA291" t="e">
            <v>#REF!</v>
          </cell>
          <cell r="AB291" t="e">
            <v>#REF!</v>
          </cell>
          <cell r="AC291" t="e">
            <v>#REF!</v>
          </cell>
        </row>
        <row r="292">
          <cell r="A292">
            <v>289</v>
          </cell>
          <cell r="R292">
            <v>11.52488984803678</v>
          </cell>
          <cell r="S292">
            <v>14.094352416679859</v>
          </cell>
          <cell r="X292" t="e">
            <v>#REF!</v>
          </cell>
          <cell r="Y292" t="e">
            <v>#REF!</v>
          </cell>
          <cell r="Z292" t="e">
            <v>#REF!</v>
          </cell>
          <cell r="AA292" t="e">
            <v>#REF!</v>
          </cell>
          <cell r="AB292" t="e">
            <v>#REF!</v>
          </cell>
          <cell r="AC292" t="e">
            <v>#REF!</v>
          </cell>
        </row>
        <row r="293">
          <cell r="A293">
            <v>290</v>
          </cell>
          <cell r="R293">
            <v>11.529658046185798</v>
          </cell>
          <cell r="S293">
            <v>14.085500421957208</v>
          </cell>
          <cell r="X293" t="e">
            <v>#REF!</v>
          </cell>
          <cell r="Y293" t="e">
            <v>#REF!</v>
          </cell>
          <cell r="Z293" t="e">
            <v>#REF!</v>
          </cell>
          <cell r="AA293" t="e">
            <v>#REF!</v>
          </cell>
          <cell r="AB293" t="e">
            <v>#REF!</v>
          </cell>
          <cell r="AC293" t="e">
            <v>#REF!</v>
          </cell>
        </row>
        <row r="294">
          <cell r="A294">
            <v>291</v>
          </cell>
          <cell r="R294">
            <v>11.534426244334819</v>
          </cell>
          <cell r="S294">
            <v>14.07672565124691</v>
          </cell>
          <cell r="X294" t="e">
            <v>#REF!</v>
          </cell>
          <cell r="Y294" t="e">
            <v>#REF!</v>
          </cell>
          <cell r="Z294" t="e">
            <v>#REF!</v>
          </cell>
          <cell r="AA294" t="e">
            <v>#REF!</v>
          </cell>
          <cell r="AB294" t="e">
            <v>#REF!</v>
          </cell>
          <cell r="AC294" t="e">
            <v>#REF!</v>
          </cell>
        </row>
        <row r="295">
          <cell r="A295">
            <v>292</v>
          </cell>
          <cell r="R295">
            <v>11.539194442483838</v>
          </cell>
          <cell r="S295">
            <v>14.068027311151575</v>
          </cell>
          <cell r="X295" t="e">
            <v>#REF!</v>
          </cell>
          <cell r="Y295" t="e">
            <v>#REF!</v>
          </cell>
          <cell r="Z295" t="e">
            <v>#REF!</v>
          </cell>
          <cell r="AA295" t="e">
            <v>#REF!</v>
          </cell>
          <cell r="AB295" t="e">
            <v>#REF!</v>
          </cell>
          <cell r="AC295" t="e">
            <v>#REF!</v>
          </cell>
        </row>
        <row r="296">
          <cell r="A296">
            <v>293</v>
          </cell>
          <cell r="R296">
            <v>11.543962640632859</v>
          </cell>
          <cell r="S296">
            <v>14.059404619105184</v>
          </cell>
          <cell r="X296" t="e">
            <v>#REF!</v>
          </cell>
          <cell r="Y296" t="e">
            <v>#REF!</v>
          </cell>
          <cell r="Z296" t="e">
            <v>#REF!</v>
          </cell>
          <cell r="AA296" t="e">
            <v>#REF!</v>
          </cell>
          <cell r="AB296" t="e">
            <v>#REF!</v>
          </cell>
          <cell r="AC296" t="e">
            <v>#REF!</v>
          </cell>
        </row>
        <row r="297">
          <cell r="A297">
            <v>294</v>
          </cell>
          <cell r="R297">
            <v>11.548730838781879</v>
          </cell>
          <cell r="S297">
            <v>14.050856803188863</v>
          </cell>
          <cell r="X297" t="e">
            <v>#REF!</v>
          </cell>
          <cell r="Y297" t="e">
            <v>#REF!</v>
          </cell>
          <cell r="Z297" t="e">
            <v>#REF!</v>
          </cell>
          <cell r="AA297" t="e">
            <v>#REF!</v>
          </cell>
          <cell r="AB297" t="e">
            <v>#REF!</v>
          </cell>
          <cell r="AC297" t="e">
            <v>#REF!</v>
          </cell>
        </row>
        <row r="298">
          <cell r="A298">
            <v>295</v>
          </cell>
          <cell r="R298">
            <v>11.553499036930898</v>
          </cell>
          <cell r="S298">
            <v>14.042383101950451</v>
          </cell>
          <cell r="X298" t="e">
            <v>#REF!</v>
          </cell>
          <cell r="Y298" t="e">
            <v>#REF!</v>
          </cell>
          <cell r="Z298" t="e">
            <v>#REF!</v>
          </cell>
          <cell r="AA298" t="e">
            <v>#REF!</v>
          </cell>
          <cell r="AB298" t="e">
            <v>#REF!</v>
          </cell>
          <cell r="AC298" t="e">
            <v>#REF!</v>
          </cell>
        </row>
        <row r="299">
          <cell r="A299">
            <v>296</v>
          </cell>
          <cell r="R299">
            <v>11.558267235079917</v>
          </cell>
          <cell r="S299">
            <v>14.033982764227661</v>
          </cell>
          <cell r="X299" t="e">
            <v>#REF!</v>
          </cell>
          <cell r="Y299" t="e">
            <v>#REF!</v>
          </cell>
          <cell r="Z299" t="e">
            <v>#REF!</v>
          </cell>
          <cell r="AA299" t="e">
            <v>#REF!</v>
          </cell>
          <cell r="AB299" t="e">
            <v>#REF!</v>
          </cell>
          <cell r="AC299" t="e">
            <v>#REF!</v>
          </cell>
        </row>
        <row r="300">
          <cell r="A300">
            <v>297</v>
          </cell>
          <cell r="R300">
            <v>11.56303543322894</v>
          </cell>
          <cell r="S300">
            <v>14.02565504897489</v>
          </cell>
          <cell r="X300" t="e">
            <v>#REF!</v>
          </cell>
          <cell r="Y300" t="e">
            <v>#REF!</v>
          </cell>
          <cell r="Z300" t="e">
            <v>#REF!</v>
          </cell>
          <cell r="AA300" t="e">
            <v>#REF!</v>
          </cell>
          <cell r="AB300" t="e">
            <v>#REF!</v>
          </cell>
          <cell r="AC300" t="e">
            <v>#REF!</v>
          </cell>
        </row>
        <row r="301">
          <cell r="A301">
            <v>298</v>
          </cell>
          <cell r="R301">
            <v>11.567803631377959</v>
          </cell>
          <cell r="S301">
            <v>14.01739922509344</v>
          </cell>
          <cell r="X301" t="e">
            <v>#REF!</v>
          </cell>
          <cell r="Y301" t="e">
            <v>#REF!</v>
          </cell>
          <cell r="Z301" t="e">
            <v>#REF!</v>
          </cell>
          <cell r="AA301" t="e">
            <v>#REF!</v>
          </cell>
          <cell r="AB301" t="e">
            <v>#REF!</v>
          </cell>
          <cell r="AC301" t="e">
            <v>#REF!</v>
          </cell>
        </row>
        <row r="302">
          <cell r="A302">
            <v>299</v>
          </cell>
          <cell r="R302">
            <v>11.57257182952698</v>
          </cell>
          <cell r="S302">
            <v>14.009214571265215</v>
          </cell>
          <cell r="X302" t="e">
            <v>#REF!</v>
          </cell>
          <cell r="Y302" t="e">
            <v>#REF!</v>
          </cell>
          <cell r="Z302" t="e">
            <v>#REF!</v>
          </cell>
          <cell r="AA302" t="e">
            <v>#REF!</v>
          </cell>
          <cell r="AB302" t="e">
            <v>#REF!</v>
          </cell>
          <cell r="AC302" t="e">
            <v>#REF!</v>
          </cell>
        </row>
        <row r="303">
          <cell r="A303">
            <v>300</v>
          </cell>
          <cell r="R303">
            <v>11.577340027676</v>
          </cell>
          <cell r="S303">
            <v>14.001100375789665</v>
          </cell>
          <cell r="X303" t="e">
            <v>#REF!</v>
          </cell>
          <cell r="Y303" t="e">
            <v>#REF!</v>
          </cell>
          <cell r="Z303" t="e">
            <v>#REF!</v>
          </cell>
          <cell r="AA303" t="e">
            <v>#REF!</v>
          </cell>
          <cell r="AB303" t="e">
            <v>#REF!</v>
          </cell>
          <cell r="AC303" t="e">
            <v>#REF!</v>
          </cell>
        </row>
        <row r="304">
          <cell r="A304">
            <v>301</v>
          </cell>
          <cell r="R304">
            <v>11.582108225825019</v>
          </cell>
          <cell r="S304">
            <v>13.993055936424085</v>
          </cell>
          <cell r="X304" t="e">
            <v>#REF!</v>
          </cell>
          <cell r="Y304" t="e">
            <v>#REF!</v>
          </cell>
          <cell r="Z304" t="e">
            <v>#REF!</v>
          </cell>
          <cell r="AA304" t="e">
            <v>#REF!</v>
          </cell>
          <cell r="AB304" t="e">
            <v>#REF!</v>
          </cell>
          <cell r="AC304" t="e">
            <v>#REF!</v>
          </cell>
        </row>
        <row r="305">
          <cell r="A305">
            <v>302</v>
          </cell>
          <cell r="R305">
            <v>11.586876423974038</v>
          </cell>
          <cell r="S305">
            <v>13.985080560226987</v>
          </cell>
          <cell r="X305" t="e">
            <v>#REF!</v>
          </cell>
          <cell r="Y305" t="e">
            <v>#REF!</v>
          </cell>
          <cell r="Z305" t="e">
            <v>#REF!</v>
          </cell>
          <cell r="AA305" t="e">
            <v>#REF!</v>
          </cell>
          <cell r="AB305" t="e">
            <v>#REF!</v>
          </cell>
          <cell r="AC305" t="e">
            <v>#REF!</v>
          </cell>
        </row>
        <row r="306">
          <cell r="A306">
            <v>303</v>
          </cell>
          <cell r="R306">
            <v>11.591644622123058</v>
          </cell>
          <cell r="S306">
            <v>13.977173563404616</v>
          </cell>
          <cell r="X306" t="e">
            <v>#REF!</v>
          </cell>
          <cell r="Y306" t="e">
            <v>#REF!</v>
          </cell>
          <cell r="Z306" t="e">
            <v>#REF!</v>
          </cell>
          <cell r="AA306" t="e">
            <v>#REF!</v>
          </cell>
          <cell r="AB306" t="e">
            <v>#REF!</v>
          </cell>
          <cell r="AC306" t="e">
            <v>#REF!</v>
          </cell>
        </row>
        <row r="307">
          <cell r="A307">
            <v>304</v>
          </cell>
          <cell r="R307">
            <v>11.596412820272079</v>
          </cell>
          <cell r="S307">
            <v>13.969334271160511</v>
          </cell>
          <cell r="X307" t="e">
            <v>#REF!</v>
          </cell>
          <cell r="Y307" t="e">
            <v>#REF!</v>
          </cell>
          <cell r="Z307" t="e">
            <v>#REF!</v>
          </cell>
          <cell r="AA307" t="e">
            <v>#REF!</v>
          </cell>
          <cell r="AB307" t="e">
            <v>#REF!</v>
          </cell>
          <cell r="AC307" t="e">
            <v>#REF!</v>
          </cell>
        </row>
        <row r="308">
          <cell r="A308">
            <v>305</v>
          </cell>
          <cell r="R308">
            <v>11.601181018421098</v>
          </cell>
          <cell r="S308">
            <v>13.96156201754801</v>
          </cell>
          <cell r="X308" t="e">
            <v>#REF!</v>
          </cell>
          <cell r="Y308" t="e">
            <v>#REF!</v>
          </cell>
          <cell r="Z308" t="e">
            <v>#REF!</v>
          </cell>
          <cell r="AA308" t="e">
            <v>#REF!</v>
          </cell>
          <cell r="AB308" t="e">
            <v>#REF!</v>
          </cell>
          <cell r="AC308" t="e">
            <v>#REF!</v>
          </cell>
        </row>
        <row r="309">
          <cell r="A309">
            <v>306</v>
          </cell>
          <cell r="R309">
            <v>11.605949216570121</v>
          </cell>
          <cell r="S309">
            <v>13.953856145325615</v>
          </cell>
          <cell r="X309" t="e">
            <v>#REF!</v>
          </cell>
          <cell r="Y309" t="e">
            <v>#REF!</v>
          </cell>
          <cell r="Z309" t="e">
            <v>#REF!</v>
          </cell>
          <cell r="AA309" t="e">
            <v>#REF!</v>
          </cell>
          <cell r="AB309" t="e">
            <v>#REF!</v>
          </cell>
          <cell r="AC309" t="e">
            <v>#REF!</v>
          </cell>
        </row>
        <row r="310">
          <cell r="A310">
            <v>307</v>
          </cell>
          <cell r="R310">
            <v>11.610717414719137</v>
          </cell>
          <cell r="S310">
            <v>13.946216005815252</v>
          </cell>
          <cell r="X310" t="e">
            <v>#REF!</v>
          </cell>
          <cell r="Y310" t="e">
            <v>#REF!</v>
          </cell>
          <cell r="Z310" t="e">
            <v>#REF!</v>
          </cell>
          <cell r="AA310" t="e">
            <v>#REF!</v>
          </cell>
          <cell r="AB310" t="e">
            <v>#REF!</v>
          </cell>
          <cell r="AC310" t="e">
            <v>#REF!</v>
          </cell>
        </row>
        <row r="311">
          <cell r="A311">
            <v>308</v>
          </cell>
          <cell r="R311">
            <v>11.615485612868158</v>
          </cell>
          <cell r="S311">
            <v>13.938640958763235</v>
          </cell>
          <cell r="X311" t="e">
            <v>#REF!</v>
          </cell>
          <cell r="Y311" t="e">
            <v>#REF!</v>
          </cell>
          <cell r="Z311" t="e">
            <v>#REF!</v>
          </cell>
          <cell r="AA311" t="e">
            <v>#REF!</v>
          </cell>
          <cell r="AB311" t="e">
            <v>#REF!</v>
          </cell>
          <cell r="AC311" t="e">
            <v>#REF!</v>
          </cell>
        </row>
        <row r="312">
          <cell r="A312">
            <v>309</v>
          </cell>
          <cell r="R312">
            <v>11.620253811017177</v>
          </cell>
          <cell r="S312">
            <v>13.931130372203947</v>
          </cell>
          <cell r="X312" t="e">
            <v>#REF!</v>
          </cell>
          <cell r="Y312" t="e">
            <v>#REF!</v>
          </cell>
          <cell r="Z312" t="e">
            <v>#REF!</v>
          </cell>
          <cell r="AA312" t="e">
            <v>#REF!</v>
          </cell>
          <cell r="AB312" t="e">
            <v>#REF!</v>
          </cell>
          <cell r="AC312" t="e">
            <v>#REF!</v>
          </cell>
        </row>
        <row r="313">
          <cell r="A313">
            <v>310</v>
          </cell>
          <cell r="R313">
            <v>11.6250220091662</v>
          </cell>
          <cell r="S313">
            <v>13.923683622326163</v>
          </cell>
          <cell r="X313" t="e">
            <v>#REF!</v>
          </cell>
          <cell r="Y313" t="e">
            <v>#REF!</v>
          </cell>
          <cell r="Z313" t="e">
            <v>#REF!</v>
          </cell>
          <cell r="AA313" t="e">
            <v>#REF!</v>
          </cell>
          <cell r="AB313" t="e">
            <v>#REF!</v>
          </cell>
          <cell r="AC313" t="e">
            <v>#REF!</v>
          </cell>
        </row>
        <row r="314">
          <cell r="A314">
            <v>311</v>
          </cell>
          <cell r="R314">
            <v>11.629790207315219</v>
          </cell>
          <cell r="S314">
            <v>13.916300093341963</v>
          </cell>
          <cell r="Z314" t="e">
            <v>#REF!</v>
          </cell>
          <cell r="AA314" t="e">
            <v>#REF!</v>
          </cell>
          <cell r="AB314" t="e">
            <v>#REF!</v>
          </cell>
          <cell r="AC314" t="e">
            <v>#REF!</v>
          </cell>
        </row>
        <row r="315">
          <cell r="A315">
            <v>312</v>
          </cell>
          <cell r="R315">
            <v>11.63455840546424</v>
          </cell>
          <cell r="S315">
            <v>13.908979177358143</v>
          </cell>
          <cell r="Z315" t="e">
            <v>#REF!</v>
          </cell>
          <cell r="AA315" t="e">
            <v>#REF!</v>
          </cell>
          <cell r="AB315" t="e">
            <v>#REF!</v>
          </cell>
          <cell r="AC315" t="e">
            <v>#REF!</v>
          </cell>
        </row>
        <row r="316">
          <cell r="A316">
            <v>313</v>
          </cell>
          <cell r="R316">
            <v>11.639326603613258</v>
          </cell>
          <cell r="S316">
            <v>13.901720274250094</v>
          </cell>
          <cell r="AB316" t="e">
            <v>#REF!</v>
          </cell>
          <cell r="AC316" t="e">
            <v>#REF!</v>
          </cell>
        </row>
        <row r="317">
          <cell r="A317">
            <v>314</v>
          </cell>
          <cell r="R317">
            <v>11.644094801762279</v>
          </cell>
          <cell r="S317">
            <v>13.894522791538114</v>
          </cell>
          <cell r="AB317" t="e">
            <v>#REF!</v>
          </cell>
          <cell r="AC317" t="e">
            <v>#REF!</v>
          </cell>
        </row>
        <row r="318">
          <cell r="A318">
            <v>315</v>
          </cell>
          <cell r="R318">
            <v>11.648862999911298</v>
          </cell>
          <cell r="S318">
            <v>13.887386144266046</v>
          </cell>
          <cell r="AB318" t="e">
            <v>#REF!</v>
          </cell>
          <cell r="AC318" t="e">
            <v>#REF!</v>
          </cell>
        </row>
        <row r="319">
          <cell r="A319">
            <v>316</v>
          </cell>
          <cell r="R319">
            <v>11.653631198060319</v>
          </cell>
          <cell r="S319">
            <v>13.880309754882246</v>
          </cell>
          <cell r="AB319" t="e">
            <v>#REF!</v>
          </cell>
          <cell r="AC319" t="e">
            <v>#REF!</v>
          </cell>
        </row>
        <row r="320">
          <cell r="A320">
            <v>317</v>
          </cell>
          <cell r="R320">
            <v>11.658399396209338</v>
          </cell>
          <cell r="S320">
            <v>13.873293053122792</v>
          </cell>
          <cell r="AB320" t="e">
            <v>#REF!</v>
          </cell>
          <cell r="AC320" t="e">
            <v>#REF!</v>
          </cell>
        </row>
        <row r="321">
          <cell r="A321">
            <v>318</v>
          </cell>
          <cell r="R321">
            <v>11.663167594358361</v>
          </cell>
          <cell r="S321">
            <v>13.866335475896884</v>
          </cell>
          <cell r="AB321" t="e">
            <v>#REF!</v>
          </cell>
          <cell r="AC321" t="e">
            <v>#REF!</v>
          </cell>
        </row>
        <row r="322">
          <cell r="A322">
            <v>319</v>
          </cell>
          <cell r="R322">
            <v>11.667935792507377</v>
          </cell>
          <cell r="S322">
            <v>13.859436467174424</v>
          </cell>
          <cell r="AB322" t="e">
            <v>#REF!</v>
          </cell>
          <cell r="AC322" t="e">
            <v>#REF!</v>
          </cell>
        </row>
        <row r="323">
          <cell r="A323">
            <v>320</v>
          </cell>
          <cell r="R323">
            <v>11.6727039906564</v>
          </cell>
          <cell r="S323">
            <v>13.852595477875699</v>
          </cell>
          <cell r="AB323" t="e">
            <v>#REF!</v>
          </cell>
          <cell r="AC323" t="e">
            <v>#REF!</v>
          </cell>
        </row>
        <row r="324">
          <cell r="A324">
            <v>321</v>
          </cell>
          <cell r="R324">
            <v>11.677472188805419</v>
          </cell>
          <cell r="S324">
            <v>13.845811965763099</v>
          </cell>
          <cell r="AB324" t="e">
            <v>#REF!</v>
          </cell>
          <cell r="AC324" t="e">
            <v>#REF!</v>
          </cell>
        </row>
        <row r="325">
          <cell r="A325">
            <v>322</v>
          </cell>
          <cell r="R325">
            <v>11.68224038695444</v>
          </cell>
          <cell r="S325">
            <v>13.839085395334889</v>
          </cell>
          <cell r="AB325" t="e">
            <v>#REF!</v>
          </cell>
          <cell r="AC325" t="e">
            <v>#REF!</v>
          </cell>
        </row>
        <row r="326">
          <cell r="A326">
            <v>323</v>
          </cell>
          <cell r="R326">
            <v>11.68700858510346</v>
          </cell>
          <cell r="S326">
            <v>13.832415237720939</v>
          </cell>
        </row>
        <row r="327">
          <cell r="A327">
            <v>324</v>
          </cell>
          <cell r="R327">
            <v>11.691776783252479</v>
          </cell>
          <cell r="S327">
            <v>13.825800970580374</v>
          </cell>
        </row>
        <row r="328">
          <cell r="A328">
            <v>325</v>
          </cell>
          <cell r="R328">
            <v>11.696544981401498</v>
          </cell>
          <cell r="S328">
            <v>13.819242078001135</v>
          </cell>
        </row>
        <row r="329">
          <cell r="A329">
            <v>326</v>
          </cell>
          <cell r="R329">
            <v>11.701313179550517</v>
          </cell>
          <cell r="S329">
            <v>13.812738050401363</v>
          </cell>
        </row>
        <row r="330">
          <cell r="A330">
            <v>327</v>
          </cell>
          <cell r="R330">
            <v>11.706081377699538</v>
          </cell>
          <cell r="S330">
            <v>13.806288384432628</v>
          </cell>
        </row>
        <row r="331">
          <cell r="A331">
            <v>328</v>
          </cell>
          <cell r="R331">
            <v>11.710849575848558</v>
          </cell>
          <cell r="S331">
            <v>13.799892582884889</v>
          </cell>
        </row>
        <row r="332">
          <cell r="A332">
            <v>329</v>
          </cell>
          <cell r="R332">
            <v>11.715617773997581</v>
          </cell>
          <cell r="S332">
            <v>13.793550154593211</v>
          </cell>
        </row>
        <row r="333">
          <cell r="A333">
            <v>330</v>
          </cell>
          <cell r="R333">
            <v>11.720385972146598</v>
          </cell>
          <cell r="S333">
            <v>13.787260614346177</v>
          </cell>
        </row>
        <row r="334">
          <cell r="A334">
            <v>331</v>
          </cell>
          <cell r="R334">
            <v>11.725154170295617</v>
          </cell>
          <cell r="S334">
            <v>13.78102348279595</v>
          </cell>
        </row>
        <row r="335">
          <cell r="A335">
            <v>332</v>
          </cell>
          <cell r="R335">
            <v>11.729922368444637</v>
          </cell>
          <cell r="S335">
            <v>13.77483828636997</v>
          </cell>
        </row>
        <row r="336">
          <cell r="A336">
            <v>333</v>
          </cell>
          <cell r="R336">
            <v>11.73469056659366</v>
          </cell>
          <cell r="S336">
            <v>13.768704557184231</v>
          </cell>
        </row>
        <row r="337">
          <cell r="A337">
            <v>334</v>
          </cell>
          <cell r="R337">
            <v>11.739458764742679</v>
          </cell>
          <cell r="S337">
            <v>13.762621832958136</v>
          </cell>
        </row>
        <row r="338">
          <cell r="A338">
            <v>335</v>
          </cell>
          <cell r="R338">
            <v>11.7442269628917</v>
          </cell>
          <cell r="S338">
            <v>13.756589656930847</v>
          </cell>
        </row>
        <row r="339">
          <cell r="A339">
            <v>336</v>
          </cell>
          <cell r="R339">
            <v>11.748995161040718</v>
          </cell>
          <cell r="S339">
            <v>13.750607577779167</v>
          </cell>
        </row>
        <row r="340">
          <cell r="A340">
            <v>337</v>
          </cell>
          <cell r="R340">
            <v>11.753763359189739</v>
          </cell>
          <cell r="S340">
            <v>13.744675149536842</v>
          </cell>
        </row>
        <row r="341">
          <cell r="A341">
            <v>338</v>
          </cell>
          <cell r="R341">
            <v>11.758531557338758</v>
          </cell>
          <cell r="S341">
            <v>13.738791931515324</v>
          </cell>
        </row>
        <row r="342">
          <cell r="A342">
            <v>339</v>
          </cell>
          <cell r="R342">
            <v>11.763299755487779</v>
          </cell>
          <cell r="S342">
            <v>13.73295748822594</v>
          </cell>
        </row>
        <row r="343">
          <cell r="A343">
            <v>340</v>
          </cell>
          <cell r="R343">
            <v>11.768067953636798</v>
          </cell>
          <cell r="S343">
            <v>13.727171389303399</v>
          </cell>
        </row>
        <row r="344">
          <cell r="A344">
            <v>341</v>
          </cell>
          <cell r="R344">
            <v>11.772836151785818</v>
          </cell>
          <cell r="S344">
            <v>13.721433209430694</v>
          </cell>
        </row>
        <row r="345">
          <cell r="A345">
            <v>342</v>
          </cell>
          <cell r="R345">
            <v>11.777604349934837</v>
          </cell>
          <cell r="S345">
            <v>13.715742528265286</v>
          </cell>
        </row>
        <row r="346">
          <cell r="A346">
            <v>343</v>
          </cell>
          <cell r="R346">
            <v>11.78237254808386</v>
          </cell>
          <cell r="S346">
            <v>13.710098930366581</v>
          </cell>
        </row>
        <row r="347">
          <cell r="A347">
            <v>344</v>
          </cell>
          <cell r="R347">
            <v>11.787140746232879</v>
          </cell>
          <cell r="S347">
            <v>13.704502005124693</v>
          </cell>
        </row>
        <row r="348">
          <cell r="A348">
            <v>345</v>
          </cell>
          <cell r="R348">
            <v>11.7919089443819</v>
          </cell>
          <cell r="S348">
            <v>13.698951346690441</v>
          </cell>
        </row>
        <row r="349">
          <cell r="A349">
            <v>346</v>
          </cell>
          <cell r="R349">
            <v>11.796677142530919</v>
          </cell>
          <cell r="S349">
            <v>13.693446553906529</v>
          </cell>
        </row>
        <row r="350">
          <cell r="A350">
            <v>347</v>
          </cell>
          <cell r="R350">
            <v>11.80144534067994</v>
          </cell>
          <cell r="S350">
            <v>13.687987230239955</v>
          </cell>
        </row>
        <row r="351">
          <cell r="A351">
            <v>348</v>
          </cell>
          <cell r="R351">
            <v>11.806213538828958</v>
          </cell>
          <cell r="S351">
            <v>13.682572983715572</v>
          </cell>
        </row>
        <row r="352">
          <cell r="A352">
            <v>349</v>
          </cell>
          <cell r="R352">
            <v>11.810981736977979</v>
          </cell>
          <cell r="S352">
            <v>13.677203426850779</v>
          </cell>
        </row>
        <row r="353">
          <cell r="A353">
            <v>350</v>
          </cell>
          <cell r="R353">
            <v>11.815749935126998</v>
          </cell>
          <cell r="S353">
            <v>13.671878176591358</v>
          </cell>
        </row>
        <row r="354">
          <cell r="A354">
            <v>351</v>
          </cell>
          <cell r="R354">
            <v>11.820518133276018</v>
          </cell>
          <cell r="S354">
            <v>13.666596854248365</v>
          </cell>
        </row>
        <row r="355">
          <cell r="A355">
            <v>352</v>
          </cell>
          <cell r="R355">
            <v>11.82528633142504</v>
          </cell>
          <cell r="S355">
            <v>13.661359085436157</v>
          </cell>
        </row>
        <row r="356">
          <cell r="A356">
            <v>353</v>
          </cell>
          <cell r="R356">
            <v>11.830054529574056</v>
          </cell>
          <cell r="S356">
            <v>13.656164500011405</v>
          </cell>
        </row>
        <row r="357">
          <cell r="A357">
            <v>354</v>
          </cell>
          <cell r="R357">
            <v>11.834822727723077</v>
          </cell>
          <cell r="S357">
            <v>13.651012732013205</v>
          </cell>
        </row>
        <row r="358">
          <cell r="A358">
            <v>355</v>
          </cell>
          <cell r="R358">
            <v>11.839590925872097</v>
          </cell>
          <cell r="S358">
            <v>13.645903419604146</v>
          </cell>
        </row>
        <row r="359">
          <cell r="A359">
            <v>356</v>
          </cell>
          <cell r="R359">
            <v>11.844359124021119</v>
          </cell>
          <cell r="S359">
            <v>13.640836205012414</v>
          </cell>
        </row>
        <row r="360">
          <cell r="A360">
            <v>357</v>
          </cell>
          <cell r="R360">
            <v>11.849127322170139</v>
          </cell>
          <cell r="S360">
            <v>13.635810734474829</v>
          </cell>
        </row>
        <row r="361">
          <cell r="A361">
            <v>358</v>
          </cell>
          <cell r="R361">
            <v>11.85389552031916</v>
          </cell>
          <cell r="S361">
            <v>13.630826658180892</v>
          </cell>
        </row>
        <row r="362">
          <cell r="A362">
            <v>359</v>
          </cell>
          <cell r="R362">
            <v>11.858663718468179</v>
          </cell>
          <cell r="S362">
            <v>13.625883630217697</v>
          </cell>
        </row>
        <row r="363">
          <cell r="A363">
            <v>360</v>
          </cell>
          <cell r="R363">
            <v>11.863431916617198</v>
          </cell>
          <cell r="S363">
            <v>13.62098130851582</v>
          </cell>
        </row>
        <row r="364">
          <cell r="A364">
            <v>361</v>
          </cell>
          <cell r="R364">
            <v>11.868200114766218</v>
          </cell>
          <cell r="S364">
            <v>13.616119354796087</v>
          </cell>
        </row>
        <row r="365">
          <cell r="A365">
            <v>362</v>
          </cell>
          <cell r="R365">
            <v>11.872968312915239</v>
          </cell>
          <cell r="S365">
            <v>13.611297434517207</v>
          </cell>
        </row>
        <row r="366">
          <cell r="A366">
            <v>363</v>
          </cell>
          <cell r="R366">
            <v>11.877736511064258</v>
          </cell>
          <cell r="S366">
            <v>13.606515216824292</v>
          </cell>
        </row>
        <row r="367">
          <cell r="A367">
            <v>364</v>
          </cell>
          <cell r="R367">
            <v>11.882504709213281</v>
          </cell>
          <cell r="S367">
            <v>13.60177237449823</v>
          </cell>
        </row>
        <row r="368">
          <cell r="A368">
            <v>365</v>
          </cell>
          <cell r="R368">
            <v>11.887272907362297</v>
          </cell>
          <cell r="S368">
            <v>13.597068583905875</v>
          </cell>
        </row>
        <row r="369">
          <cell r="A369">
            <v>366</v>
          </cell>
          <cell r="R369">
            <v>11.89204110551132</v>
          </cell>
          <cell r="S369">
            <v>13.59240352495104</v>
          </cell>
        </row>
        <row r="370">
          <cell r="A370">
            <v>367</v>
          </cell>
          <cell r="R370">
            <v>11.896809303660339</v>
          </cell>
          <cell r="S370">
            <v>13.587776881026342</v>
          </cell>
        </row>
        <row r="371">
          <cell r="A371">
            <v>368</v>
          </cell>
          <cell r="R371">
            <v>11.90157750180936</v>
          </cell>
          <cell r="S371">
            <v>13.583188338965765</v>
          </cell>
        </row>
        <row r="372">
          <cell r="A372">
            <v>369</v>
          </cell>
          <cell r="R372">
            <v>11.906345699958379</v>
          </cell>
          <cell r="S372">
            <v>13.578637588998065</v>
          </cell>
        </row>
        <row r="373">
          <cell r="A373">
            <v>370</v>
          </cell>
          <cell r="R373">
            <v>11.911113898107399</v>
          </cell>
          <cell r="S373">
            <v>13.574124324700861</v>
          </cell>
        </row>
        <row r="374">
          <cell r="A374">
            <v>371</v>
          </cell>
          <cell r="R374">
            <v>11.915882096256418</v>
          </cell>
          <cell r="S374">
            <v>13.569648242955529</v>
          </cell>
        </row>
        <row r="375">
          <cell r="A375">
            <v>372</v>
          </cell>
          <cell r="R375">
            <v>11.920650294405439</v>
          </cell>
          <cell r="S375">
            <v>13.565209043902774</v>
          </cell>
        </row>
        <row r="376">
          <cell r="A376">
            <v>373</v>
          </cell>
          <cell r="R376">
            <v>11.925418492554458</v>
          </cell>
          <cell r="S376">
            <v>13.560806430898959</v>
          </cell>
        </row>
        <row r="377">
          <cell r="A377">
            <v>374</v>
          </cell>
          <cell r="R377">
            <v>11.930186690703481</v>
          </cell>
          <cell r="S377">
            <v>13.556440110473103</v>
          </cell>
        </row>
        <row r="378">
          <cell r="A378">
            <v>375</v>
          </cell>
          <cell r="R378">
            <v>11.934954888852499</v>
          </cell>
          <cell r="S378">
            <v>13.552109792284583</v>
          </cell>
        </row>
        <row r="379">
          <cell r="A379">
            <v>376</v>
          </cell>
          <cell r="R379">
            <v>11.939723087001518</v>
          </cell>
          <cell r="S379">
            <v>13.547815189081506</v>
          </cell>
        </row>
        <row r="380">
          <cell r="A380">
            <v>377</v>
          </cell>
          <cell r="R380">
            <v>11.944491285150537</v>
          </cell>
          <cell r="S380">
            <v>13.543556016659737</v>
          </cell>
        </row>
        <row r="381">
          <cell r="A381">
            <v>378</v>
          </cell>
          <cell r="R381">
            <v>11.949259483299556</v>
          </cell>
          <cell r="S381">
            <v>13.539331993822611</v>
          </cell>
        </row>
        <row r="382">
          <cell r="A382">
            <v>379</v>
          </cell>
          <cell r="R382">
            <v>11.954027681448579</v>
          </cell>
          <cell r="S382">
            <v>13.535142842341214</v>
          </cell>
        </row>
        <row r="383">
          <cell r="A383">
            <v>380</v>
          </cell>
          <cell r="R383">
            <v>11.958795879597599</v>
          </cell>
          <cell r="S383">
            <v>13.530988286915377</v>
          </cell>
        </row>
        <row r="384">
          <cell r="A384">
            <v>381</v>
          </cell>
          <cell r="R384">
            <v>11.96356407774662</v>
          </cell>
          <cell r="S384">
            <v>13.526868055135212</v>
          </cell>
        </row>
        <row r="385">
          <cell r="A385">
            <v>382</v>
          </cell>
          <cell r="R385">
            <v>11.968332275895637</v>
          </cell>
          <cell r="S385">
            <v>13.522781877443292</v>
          </cell>
        </row>
        <row r="386">
          <cell r="A386">
            <v>383</v>
          </cell>
          <cell r="R386">
            <v>11.973100474044658</v>
          </cell>
          <cell r="S386">
            <v>13.518729487097408</v>
          </cell>
        </row>
        <row r="387">
          <cell r="A387">
            <v>384</v>
          </cell>
          <cell r="R387">
            <v>11.977868672193678</v>
          </cell>
          <cell r="S387">
            <v>13.51471062013392</v>
          </cell>
        </row>
        <row r="388">
          <cell r="A388">
            <v>385</v>
          </cell>
          <cell r="R388">
            <v>11.982636870342699</v>
          </cell>
          <cell r="S388">
            <v>13.510725015331673</v>
          </cell>
        </row>
        <row r="389">
          <cell r="A389">
            <v>386</v>
          </cell>
          <cell r="R389">
            <v>11.987405068491718</v>
          </cell>
          <cell r="S389">
            <v>13.506772414176455</v>
          </cell>
        </row>
        <row r="390">
          <cell r="A390">
            <v>387</v>
          </cell>
          <cell r="R390">
            <v>11.992173266640741</v>
          </cell>
          <cell r="S390">
            <v>13.502852560826041</v>
          </cell>
        </row>
        <row r="391">
          <cell r="A391">
            <v>388</v>
          </cell>
          <cell r="R391">
            <v>11.996941464789757</v>
          </cell>
          <cell r="S391">
            <v>13.498965202075754</v>
          </cell>
        </row>
        <row r="392">
          <cell r="A392">
            <v>389</v>
          </cell>
          <cell r="R392">
            <v>12.001709662938779</v>
          </cell>
          <cell r="S392">
            <v>13.495110087324568</v>
          </cell>
        </row>
        <row r="393">
          <cell r="A393">
            <v>390</v>
          </cell>
          <cell r="R393">
            <v>12.006477861087799</v>
          </cell>
          <cell r="S393">
            <v>13.49128696854172</v>
          </cell>
        </row>
        <row r="394">
          <cell r="A394">
            <v>391</v>
          </cell>
          <cell r="R394">
            <v>12.01124605923682</v>
          </cell>
          <cell r="S394">
            <v>13.487495600233844</v>
          </cell>
        </row>
        <row r="395">
          <cell r="A395">
            <v>392</v>
          </cell>
          <cell r="R395">
            <v>12.016014257385839</v>
          </cell>
          <cell r="S395">
            <v>13.483735739412614</v>
          </cell>
        </row>
        <row r="396">
          <cell r="A396">
            <v>393</v>
          </cell>
          <cell r="R396">
            <v>12.02078245553486</v>
          </cell>
          <cell r="S396">
            <v>13.480007145562862</v>
          </cell>
        </row>
        <row r="397">
          <cell r="A397">
            <v>394</v>
          </cell>
          <cell r="R397">
            <v>12.025550653683878</v>
          </cell>
          <cell r="S397">
            <v>13.476309580611202</v>
          </cell>
        </row>
        <row r="398">
          <cell r="A398">
            <v>395</v>
          </cell>
          <cell r="R398">
            <v>12.030318851832899</v>
          </cell>
          <cell r="S398">
            <v>13.47264280889512</v>
          </cell>
        </row>
        <row r="399">
          <cell r="A399">
            <v>396</v>
          </cell>
          <cell r="R399">
            <v>12.035087049981918</v>
          </cell>
          <cell r="S399">
            <v>13.469006597132523</v>
          </cell>
        </row>
        <row r="400">
          <cell r="A400">
            <v>397</v>
          </cell>
          <cell r="R400">
            <v>12.039855248130941</v>
          </cell>
          <cell r="S400">
            <v>13.465400714391778</v>
          </cell>
        </row>
        <row r="401">
          <cell r="A401">
            <v>398</v>
          </cell>
          <cell r="R401">
            <v>12.044623446279958</v>
          </cell>
          <cell r="S401">
            <v>13.461824932062164</v>
          </cell>
        </row>
        <row r="402">
          <cell r="A402">
            <v>399</v>
          </cell>
          <cell r="R402">
            <v>12.049391644428978</v>
          </cell>
          <cell r="S402">
            <v>13.458279023824801</v>
          </cell>
        </row>
        <row r="403">
          <cell r="A403">
            <v>400</v>
          </cell>
          <cell r="R403">
            <v>12.054159842577997</v>
          </cell>
          <cell r="S403">
            <v>13.454762765624</v>
          </cell>
        </row>
        <row r="404">
          <cell r="A404">
            <v>401</v>
          </cell>
          <cell r="R404">
            <v>12.058928040727016</v>
          </cell>
          <cell r="S404">
            <v>13.451275935639032</v>
          </cell>
        </row>
        <row r="405">
          <cell r="A405">
            <v>402</v>
          </cell>
          <cell r="R405">
            <v>12.063696238876039</v>
          </cell>
          <cell r="S405">
            <v>13.447818314256352</v>
          </cell>
        </row>
        <row r="406">
          <cell r="A406">
            <v>403</v>
          </cell>
          <cell r="R406">
            <v>12.068464437025058</v>
          </cell>
          <cell r="S406">
            <v>13.444389684042196</v>
          </cell>
        </row>
        <row r="407">
          <cell r="A407">
            <v>404</v>
          </cell>
          <cell r="R407">
            <v>12.07323263517408</v>
          </cell>
          <cell r="S407">
            <v>13.440989829715601</v>
          </cell>
        </row>
        <row r="408">
          <cell r="A408">
            <v>405</v>
          </cell>
          <cell r="R408">
            <v>12.078000833323099</v>
          </cell>
          <cell r="S408">
            <v>13.437618538121859</v>
          </cell>
        </row>
        <row r="409">
          <cell r="A409">
            <v>406</v>
          </cell>
          <cell r="R409">
            <v>12.082769031472118</v>
          </cell>
          <cell r="S409">
            <v>13.434275598206279</v>
          </cell>
        </row>
        <row r="410">
          <cell r="A410">
            <v>407</v>
          </cell>
          <cell r="R410">
            <v>12.087537229621137</v>
          </cell>
          <cell r="S410">
            <v>13.430960800988442</v>
          </cell>
        </row>
        <row r="411">
          <cell r="A411">
            <v>408</v>
          </cell>
          <cell r="R411">
            <v>12.092305427770158</v>
          </cell>
          <cell r="S411">
            <v>13.427673939536746</v>
          </cell>
        </row>
        <row r="412">
          <cell r="A412">
            <v>409</v>
          </cell>
          <cell r="R412">
            <v>12.097073625919178</v>
          </cell>
          <cell r="S412">
            <v>13.424414808943368</v>
          </cell>
        </row>
        <row r="413">
          <cell r="A413">
            <v>410</v>
          </cell>
          <cell r="R413">
            <v>12.101841824068201</v>
          </cell>
          <cell r="S413">
            <v>13.421183206299585</v>
          </cell>
        </row>
        <row r="414">
          <cell r="A414">
            <v>411</v>
          </cell>
          <cell r="R414">
            <v>12.106610022217216</v>
          </cell>
          <cell r="S414">
            <v>13.417978930671467</v>
          </cell>
        </row>
        <row r="415">
          <cell r="A415">
            <v>412</v>
          </cell>
          <cell r="R415">
            <v>12.111378220366239</v>
          </cell>
          <cell r="S415">
            <v>13.414801783075887</v>
          </cell>
        </row>
        <row r="416">
          <cell r="A416">
            <v>413</v>
          </cell>
          <cell r="R416">
            <v>12.116146418515259</v>
          </cell>
          <cell r="S416">
            <v>13.411651566456916</v>
          </cell>
        </row>
        <row r="417">
          <cell r="A417">
            <v>414</v>
          </cell>
          <cell r="R417">
            <v>12.12091461666428</v>
          </cell>
          <cell r="S417">
            <v>13.408528085662548</v>
          </cell>
        </row>
        <row r="418">
          <cell r="A418">
            <v>415</v>
          </cell>
          <cell r="R418">
            <v>12.125682814813299</v>
          </cell>
          <cell r="S418">
            <v>13.405431147421771</v>
          </cell>
        </row>
        <row r="419">
          <cell r="A419">
            <v>416</v>
          </cell>
          <cell r="R419">
            <v>12.13045101296232</v>
          </cell>
          <cell r="S419">
            <v>13.402360560321929</v>
          </cell>
        </row>
        <row r="420">
          <cell r="A420">
            <v>417</v>
          </cell>
          <cell r="R420">
            <v>12.135219211111338</v>
          </cell>
          <cell r="S420">
            <v>13.399316134786472</v>
          </cell>
        </row>
        <row r="421">
          <cell r="A421">
            <v>418</v>
          </cell>
          <cell r="R421">
            <v>12.139987409260359</v>
          </cell>
          <cell r="S421">
            <v>13.396297683052978</v>
          </cell>
        </row>
        <row r="422">
          <cell r="A422">
            <v>419</v>
          </cell>
          <cell r="R422">
            <v>12.144755607409378</v>
          </cell>
          <cell r="S422">
            <v>13.393305019151503</v>
          </cell>
        </row>
        <row r="423">
          <cell r="A423">
            <v>420</v>
          </cell>
          <cell r="R423">
            <v>12.149523805558399</v>
          </cell>
          <cell r="S423">
            <v>13.390337958883245</v>
          </cell>
        </row>
        <row r="424">
          <cell r="A424">
            <v>421</v>
          </cell>
          <cell r="R424">
            <v>12.154292003707418</v>
          </cell>
          <cell r="S424">
            <v>13.387396319799517</v>
          </cell>
        </row>
        <row r="425">
          <cell r="A425">
            <v>422</v>
          </cell>
          <cell r="R425">
            <v>12.159060201856441</v>
          </cell>
          <cell r="S425">
            <v>13.384479921180992</v>
          </cell>
        </row>
        <row r="426">
          <cell r="A426">
            <v>423</v>
          </cell>
          <cell r="R426">
            <v>12.163828400005457</v>
          </cell>
          <cell r="S426">
            <v>13.381588584017278</v>
          </cell>
        </row>
        <row r="427">
          <cell r="A427">
            <v>424</v>
          </cell>
          <cell r="R427">
            <v>12.16859659815448</v>
          </cell>
          <cell r="S427">
            <v>13.378722130986768</v>
          </cell>
        </row>
        <row r="428">
          <cell r="A428">
            <v>425</v>
          </cell>
          <cell r="R428">
            <v>12.173364796303499</v>
          </cell>
          <cell r="S428">
            <v>13.375880386436748</v>
          </cell>
        </row>
        <row r="429">
          <cell r="A429">
            <v>426</v>
          </cell>
          <cell r="R429">
            <v>12.17813299445252</v>
          </cell>
          <cell r="S429">
            <v>13.373063176363841</v>
          </cell>
        </row>
        <row r="430">
          <cell r="A430">
            <v>427</v>
          </cell>
          <cell r="R430">
            <v>12.182901192601539</v>
          </cell>
          <cell r="S430">
            <v>13.370270328394669</v>
          </cell>
        </row>
        <row r="431">
          <cell r="A431">
            <v>428</v>
          </cell>
          <cell r="R431">
            <v>12.187669390750557</v>
          </cell>
          <cell r="S431">
            <v>13.367501671766822</v>
          </cell>
        </row>
        <row r="432">
          <cell r="A432">
            <v>429</v>
          </cell>
          <cell r="R432">
            <v>12.192437588899578</v>
          </cell>
          <cell r="S432">
            <v>13.364757037310079</v>
          </cell>
        </row>
        <row r="433">
          <cell r="A433">
            <v>430</v>
          </cell>
          <cell r="R433">
            <v>12.197205787048597</v>
          </cell>
          <cell r="S433">
            <v>13.362036257427903</v>
          </cell>
        </row>
        <row r="434">
          <cell r="A434">
            <v>431</v>
          </cell>
          <cell r="R434">
            <v>12.201973985197618</v>
          </cell>
          <cell r="S434">
            <v>13.359339166079167</v>
          </cell>
        </row>
        <row r="435">
          <cell r="A435">
            <v>432</v>
          </cell>
          <cell r="R435">
            <v>12.206742183346638</v>
          </cell>
          <cell r="S435">
            <v>13.35666559876017</v>
          </cell>
        </row>
        <row r="436">
          <cell r="A436">
            <v>433</v>
          </cell>
          <cell r="R436">
            <v>12.21151038149566</v>
          </cell>
          <cell r="S436">
            <v>13.35401539248687</v>
          </cell>
        </row>
        <row r="437">
          <cell r="A437">
            <v>434</v>
          </cell>
          <cell r="R437">
            <v>12.21627857964468</v>
          </cell>
          <cell r="S437">
            <v>13.351388385777387</v>
          </cell>
        </row>
        <row r="438">
          <cell r="A438">
            <v>435</v>
          </cell>
          <cell r="R438">
            <v>12.221046777793699</v>
          </cell>
          <cell r="S438">
            <v>13.348784418634724</v>
          </cell>
        </row>
        <row r="439">
          <cell r="A439">
            <v>436</v>
          </cell>
          <cell r="R439">
            <v>12.225814975942717</v>
          </cell>
          <cell r="S439">
            <v>13.346203332529754</v>
          </cell>
        </row>
        <row r="440">
          <cell r="A440">
            <v>437</v>
          </cell>
          <cell r="R440">
            <v>12.230583174091739</v>
          </cell>
          <cell r="S440">
            <v>13.343644970384416</v>
          </cell>
        </row>
        <row r="441">
          <cell r="A441">
            <v>438</v>
          </cell>
          <cell r="R441">
            <v>12.235351372240759</v>
          </cell>
          <cell r="S441">
            <v>13.34110917655515</v>
          </cell>
        </row>
        <row r="442">
          <cell r="A442">
            <v>439</v>
          </cell>
          <cell r="R442">
            <v>12.24011957038978</v>
          </cell>
          <cell r="S442">
            <v>13.338595796816563</v>
          </cell>
        </row>
        <row r="443">
          <cell r="A443">
            <v>440</v>
          </cell>
          <cell r="R443">
            <v>12.244887768538797</v>
          </cell>
          <cell r="S443">
            <v>13.336104678345308</v>
          </cell>
        </row>
        <row r="444">
          <cell r="A444">
            <v>441</v>
          </cell>
          <cell r="R444">
            <v>12.249655966687818</v>
          </cell>
          <cell r="S444">
            <v>13.333635669704192</v>
          </cell>
        </row>
        <row r="445">
          <cell r="A445">
            <v>442</v>
          </cell>
          <cell r="R445">
            <v>12.254424164836838</v>
          </cell>
          <cell r="S445">
            <v>13.331188620826497</v>
          </cell>
        </row>
        <row r="446">
          <cell r="A446">
            <v>443</v>
          </cell>
          <cell r="R446">
            <v>12.259192362985859</v>
          </cell>
          <cell r="S446">
            <v>13.328763383000503</v>
          </cell>
        </row>
        <row r="447">
          <cell r="A447">
            <v>444</v>
          </cell>
          <cell r="R447">
            <v>12.263960561134878</v>
          </cell>
          <cell r="S447">
            <v>13.326359808854244</v>
          </cell>
        </row>
        <row r="448">
          <cell r="A448">
            <v>445</v>
          </cell>
          <cell r="R448">
            <v>12.268728759283901</v>
          </cell>
          <cell r="S448">
            <v>13.323977752340435</v>
          </cell>
        </row>
        <row r="449">
          <cell r="A449">
            <v>446</v>
          </cell>
          <cell r="R449">
            <v>12.273496957432917</v>
          </cell>
          <cell r="S449">
            <v>13.321617068721634</v>
          </cell>
        </row>
        <row r="450">
          <cell r="A450">
            <v>447</v>
          </cell>
          <cell r="R450">
            <v>12.27826515558194</v>
          </cell>
          <cell r="S450">
            <v>13.319277614555611</v>
          </cell>
        </row>
        <row r="451">
          <cell r="A451">
            <v>448</v>
          </cell>
          <cell r="R451">
            <v>12.283033353730959</v>
          </cell>
          <cell r="S451">
            <v>13.316959247680833</v>
          </cell>
        </row>
        <row r="452">
          <cell r="A452">
            <v>449</v>
          </cell>
          <cell r="R452">
            <v>12.28780155187998</v>
          </cell>
          <cell r="S452">
            <v>13.31466182720227</v>
          </cell>
        </row>
        <row r="453">
          <cell r="A453">
            <v>450</v>
          </cell>
          <cell r="R453">
            <v>12.292569750028999</v>
          </cell>
          <cell r="S453">
            <v>13.312385213477276</v>
          </cell>
        </row>
        <row r="454">
          <cell r="A454">
            <v>451</v>
          </cell>
          <cell r="R454">
            <v>12.29733794817802</v>
          </cell>
          <cell r="S454">
            <v>13.310129268101726</v>
          </cell>
        </row>
        <row r="455">
          <cell r="A455">
            <v>452</v>
          </cell>
          <cell r="R455">
            <v>12.302106146327038</v>
          </cell>
          <cell r="S455">
            <v>13.307893853896308</v>
          </cell>
        </row>
        <row r="456">
          <cell r="A456">
            <v>453</v>
          </cell>
          <cell r="R456">
            <v>12.306874344476057</v>
          </cell>
          <cell r="S456">
            <v>13.305678834893008</v>
          </cell>
        </row>
        <row r="457">
          <cell r="A457">
            <v>454</v>
          </cell>
          <cell r="R457">
            <v>12.311642542625078</v>
          </cell>
          <cell r="S457">
            <v>13.303484076321768</v>
          </cell>
        </row>
        <row r="458">
          <cell r="A458">
            <v>455</v>
          </cell>
          <cell r="R458">
            <v>12.316410740774097</v>
          </cell>
          <cell r="S458">
            <v>13.301309444597326</v>
          </cell>
        </row>
        <row r="459">
          <cell r="A459">
            <v>456</v>
          </cell>
          <cell r="R459">
            <v>12.32117893892312</v>
          </cell>
          <cell r="S459">
            <v>13.299154807306209</v>
          </cell>
        </row>
        <row r="460">
          <cell r="A460">
            <v>457</v>
          </cell>
          <cell r="R460">
            <v>12.325947137072136</v>
          </cell>
          <cell r="S460">
            <v>13.297020033193936</v>
          </cell>
        </row>
        <row r="461">
          <cell r="A461">
            <v>458</v>
          </cell>
          <cell r="R461">
            <v>12.330715335221159</v>
          </cell>
          <cell r="S461">
            <v>13.294904992152345</v>
          </cell>
        </row>
        <row r="462">
          <cell r="A462">
            <v>459</v>
          </cell>
          <cell r="R462">
            <v>12.335483533370176</v>
          </cell>
          <cell r="S462">
            <v>13.292809555207125</v>
          </cell>
        </row>
        <row r="463">
          <cell r="A463">
            <v>460</v>
          </cell>
          <cell r="R463">
            <v>12.340251731519199</v>
          </cell>
          <cell r="S463">
            <v>13.290733594505467</v>
          </cell>
        </row>
        <row r="464">
          <cell r="A464">
            <v>461</v>
          </cell>
          <cell r="R464">
            <v>12.345019929668219</v>
          </cell>
          <cell r="S464">
            <v>13.288676983303921</v>
          </cell>
        </row>
        <row r="465">
          <cell r="A465">
            <v>462</v>
          </cell>
          <cell r="R465">
            <v>12.34978812781724</v>
          </cell>
          <cell r="S465">
            <v>13.286639595956389</v>
          </cell>
        </row>
        <row r="466">
          <cell r="A466">
            <v>463</v>
          </cell>
          <cell r="R466">
            <v>12.354556325966259</v>
          </cell>
          <cell r="S466">
            <v>13.284621307902256</v>
          </cell>
        </row>
        <row r="467">
          <cell r="A467">
            <v>464</v>
          </cell>
          <cell r="R467">
            <v>12.359324524115278</v>
          </cell>
          <cell r="S467">
            <v>13.282621995654708</v>
          </cell>
        </row>
        <row r="468">
          <cell r="A468">
            <v>465</v>
          </cell>
          <cell r="R468">
            <v>12.364092722264298</v>
          </cell>
          <cell r="S468">
            <v>13.280641536789192</v>
          </cell>
        </row>
        <row r="469">
          <cell r="A469">
            <v>466</v>
          </cell>
          <cell r="R469">
            <v>12.368860920413319</v>
          </cell>
          <cell r="S469">
            <v>13.278679809932004</v>
          </cell>
        </row>
        <row r="470">
          <cell r="A470">
            <v>467</v>
          </cell>
          <cell r="R470">
            <v>12.373629118562338</v>
          </cell>
          <cell r="S470">
            <v>13.276736694749038</v>
          </cell>
        </row>
        <row r="471">
          <cell r="A471">
            <v>468</v>
          </cell>
          <cell r="R471">
            <v>12.378397316711361</v>
          </cell>
          <cell r="S471">
            <v>13.274812071934697</v>
          </cell>
        </row>
        <row r="472">
          <cell r="A472">
            <v>469</v>
          </cell>
          <cell r="R472">
            <v>12.383165514860377</v>
          </cell>
          <cell r="S472">
            <v>13.272905823200901</v>
          </cell>
        </row>
        <row r="473">
          <cell r="A473">
            <v>470</v>
          </cell>
          <cell r="R473">
            <v>12.387933713009399</v>
          </cell>
          <cell r="S473">
            <v>13.271017831266297</v>
          </cell>
        </row>
        <row r="474">
          <cell r="A474">
            <v>471</v>
          </cell>
          <cell r="R474">
            <v>12.392701911158419</v>
          </cell>
          <cell r="S474">
            <v>13.269147979845526</v>
          </cell>
        </row>
        <row r="475">
          <cell r="A475">
            <v>472</v>
          </cell>
          <cell r="R475">
            <v>12.39747010930744</v>
          </cell>
          <cell r="S475">
            <v>13.26729615363872</v>
          </cell>
        </row>
        <row r="476">
          <cell r="A476">
            <v>473</v>
          </cell>
          <cell r="R476">
            <v>12.402238307456459</v>
          </cell>
          <cell r="S476">
            <v>13.265462238321051</v>
          </cell>
        </row>
        <row r="477">
          <cell r="A477">
            <v>474</v>
          </cell>
          <cell r="R477">
            <v>12.40700650560548</v>
          </cell>
          <cell r="S477">
            <v>13.263646120532467</v>
          </cell>
        </row>
        <row r="478">
          <cell r="A478">
            <v>475</v>
          </cell>
          <cell r="R478">
            <v>12.411774703754498</v>
          </cell>
          <cell r="S478">
            <v>13.261847687867514</v>
          </cell>
        </row>
        <row r="479">
          <cell r="A479">
            <v>476</v>
          </cell>
          <cell r="R479">
            <v>12.416542901903519</v>
          </cell>
          <cell r="S479">
            <v>13.260066828865329</v>
          </cell>
        </row>
        <row r="480">
          <cell r="A480">
            <v>477</v>
          </cell>
          <cell r="R480">
            <v>12.421311100052538</v>
          </cell>
          <cell r="S480">
            <v>13.258303432999737</v>
          </cell>
        </row>
        <row r="481">
          <cell r="A481">
            <v>478</v>
          </cell>
          <cell r="R481">
            <v>12.426079298201557</v>
          </cell>
          <cell r="S481">
            <v>13.256557390669462</v>
          </cell>
        </row>
        <row r="482">
          <cell r="A482">
            <v>479</v>
          </cell>
          <cell r="R482">
            <v>12.43084749635058</v>
          </cell>
          <cell r="S482">
            <v>13.254828593188472</v>
          </cell>
        </row>
        <row r="483">
          <cell r="A483">
            <v>480</v>
          </cell>
          <cell r="R483">
            <v>12.435615694499599</v>
          </cell>
          <cell r="S483">
            <v>13.253116932776466</v>
          </cell>
        </row>
        <row r="484">
          <cell r="A484">
            <v>481</v>
          </cell>
          <cell r="R484">
            <v>12.440383892648617</v>
          </cell>
          <cell r="S484">
            <v>13.251422302549434</v>
          </cell>
        </row>
        <row r="485">
          <cell r="A485">
            <v>482</v>
          </cell>
          <cell r="R485">
            <v>12.445152090797636</v>
          </cell>
          <cell r="S485">
            <v>13.249744596510377</v>
          </cell>
        </row>
        <row r="486">
          <cell r="A486">
            <v>483</v>
          </cell>
          <cell r="R486">
            <v>12.449920288946659</v>
          </cell>
          <cell r="S486">
            <v>13.248083709540111</v>
          </cell>
        </row>
        <row r="487">
          <cell r="A487">
            <v>484</v>
          </cell>
          <cell r="R487">
            <v>12.454688487095678</v>
          </cell>
          <cell r="S487">
            <v>13.246439537388213</v>
          </cell>
        </row>
        <row r="488">
          <cell r="A488">
            <v>485</v>
          </cell>
          <cell r="R488">
            <v>12.4594566852447</v>
          </cell>
          <cell r="S488">
            <v>13.244811976664051</v>
          </cell>
        </row>
        <row r="489">
          <cell r="A489">
            <v>486</v>
          </cell>
          <cell r="R489">
            <v>12.464224883393717</v>
          </cell>
          <cell r="S489">
            <v>13.243200924827947</v>
          </cell>
        </row>
        <row r="490">
          <cell r="A490">
            <v>487</v>
          </cell>
          <cell r="R490">
            <v>12.468993081542738</v>
          </cell>
          <cell r="S490">
            <v>13.241606280182449</v>
          </cell>
        </row>
        <row r="491">
          <cell r="A491">
            <v>488</v>
          </cell>
          <cell r="R491">
            <v>12.473761279691757</v>
          </cell>
          <cell r="S491">
            <v>13.240027941863667</v>
          </cell>
        </row>
        <row r="492">
          <cell r="A492">
            <v>489</v>
          </cell>
          <cell r="R492">
            <v>12.478529477840778</v>
          </cell>
          <cell r="S492">
            <v>13.238465809832793</v>
          </cell>
        </row>
        <row r="493">
          <cell r="A493">
            <v>490</v>
          </cell>
          <cell r="R493">
            <v>12.483297675989798</v>
          </cell>
          <cell r="S493">
            <v>13.236919784867657</v>
          </cell>
        </row>
        <row r="494">
          <cell r="A494">
            <v>491</v>
          </cell>
          <cell r="R494">
            <v>12.488065874138821</v>
          </cell>
          <cell r="S494">
            <v>13.235389768554411</v>
          </cell>
        </row>
        <row r="495">
          <cell r="A495">
            <v>492</v>
          </cell>
          <cell r="R495">
            <v>12.49283407228784</v>
          </cell>
          <cell r="S495">
            <v>13.233875663279328</v>
          </cell>
        </row>
        <row r="496">
          <cell r="A496">
            <v>493</v>
          </cell>
          <cell r="R496">
            <v>12.497602270436859</v>
          </cell>
          <cell r="S496">
            <v>13.232377372220668</v>
          </cell>
        </row>
        <row r="497">
          <cell r="A497">
            <v>494</v>
          </cell>
          <cell r="R497">
            <v>12.502370468585879</v>
          </cell>
          <cell r="S497">
            <v>13.230894799340692</v>
          </cell>
        </row>
        <row r="498">
          <cell r="A498">
            <v>495</v>
          </cell>
          <cell r="R498">
            <v>12.5071386667349</v>
          </cell>
          <cell r="S498">
            <v>13.229427849377702</v>
          </cell>
        </row>
        <row r="499">
          <cell r="A499">
            <v>496</v>
          </cell>
          <cell r="R499">
            <v>12.511906864883919</v>
          </cell>
          <cell r="S499">
            <v>13.22797642783825</v>
          </cell>
        </row>
        <row r="500">
          <cell r="A500">
            <v>497</v>
          </cell>
          <cell r="R500">
            <v>12.51667506303294</v>
          </cell>
          <cell r="S500">
            <v>13.226540440989396</v>
          </cell>
        </row>
        <row r="501">
          <cell r="A501">
            <v>498</v>
          </cell>
          <cell r="R501">
            <v>12.521443261181957</v>
          </cell>
          <cell r="S501">
            <v>13.225119795851077</v>
          </cell>
        </row>
        <row r="502">
          <cell r="A502">
            <v>499</v>
          </cell>
          <cell r="R502">
            <v>12.526211459330979</v>
          </cell>
          <cell r="S502">
            <v>13.223714400188562</v>
          </cell>
        </row>
        <row r="503">
          <cell r="A503">
            <v>500</v>
          </cell>
          <cell r="R503">
            <v>12.530979657479998</v>
          </cell>
          <cell r="S503">
            <v>13.222324162505</v>
          </cell>
        </row>
        <row r="504">
          <cell r="A504">
            <v>501</v>
          </cell>
          <cell r="R504">
            <v>12.535747855629021</v>
          </cell>
          <cell r="S504">
            <v>13.220948992034041</v>
          </cell>
        </row>
        <row r="505">
          <cell r="A505">
            <v>502</v>
          </cell>
          <cell r="R505">
            <v>12.54051605377804</v>
          </cell>
          <cell r="S505">
            <v>13.219588798732584</v>
          </cell>
        </row>
        <row r="506">
          <cell r="A506">
            <v>503</v>
          </cell>
          <cell r="R506">
            <v>12.545284251927056</v>
          </cell>
          <cell r="S506">
            <v>13.21824349327358</v>
          </cell>
        </row>
        <row r="507">
          <cell r="A507">
            <v>504</v>
          </cell>
          <cell r="R507">
            <v>12.550052450076077</v>
          </cell>
          <cell r="S507">
            <v>13.216912987038913</v>
          </cell>
        </row>
        <row r="508">
          <cell r="A508">
            <v>505</v>
          </cell>
          <cell r="R508">
            <v>12.554820648225096</v>
          </cell>
          <cell r="S508">
            <v>13.2155971921124</v>
          </cell>
        </row>
        <row r="509">
          <cell r="A509">
            <v>506</v>
          </cell>
          <cell r="R509">
            <v>12.559588846374119</v>
          </cell>
          <cell r="S509">
            <v>13.214296021272849</v>
          </cell>
        </row>
        <row r="510">
          <cell r="A510">
            <v>507</v>
          </cell>
          <cell r="R510">
            <v>12.564357044523138</v>
          </cell>
          <cell r="S510">
            <v>13.213009387987203</v>
          </cell>
        </row>
        <row r="511">
          <cell r="A511">
            <v>508</v>
          </cell>
          <cell r="R511">
            <v>12.569125242672159</v>
          </cell>
          <cell r="S511">
            <v>13.211737206403756</v>
          </cell>
        </row>
        <row r="512">
          <cell r="A512">
            <v>509</v>
          </cell>
          <cell r="R512">
            <v>12.573893440821179</v>
          </cell>
          <cell r="S512">
            <v>13.210479391345492</v>
          </cell>
        </row>
        <row r="513">
          <cell r="A513">
            <v>510</v>
          </cell>
          <cell r="R513">
            <v>12.578661638970198</v>
          </cell>
          <cell r="S513">
            <v>13.209235858303433</v>
          </cell>
        </row>
        <row r="514">
          <cell r="A514">
            <v>511</v>
          </cell>
          <cell r="R514">
            <v>12.583429837119217</v>
          </cell>
          <cell r="S514">
            <v>13.208006523430129</v>
          </cell>
        </row>
        <row r="515">
          <cell r="A515">
            <v>512</v>
          </cell>
          <cell r="R515">
            <v>12.588198035268238</v>
          </cell>
          <cell r="S515">
            <v>13.206791303533183</v>
          </cell>
        </row>
        <row r="516">
          <cell r="A516">
            <v>513</v>
          </cell>
          <cell r="R516">
            <v>12.592966233417258</v>
          </cell>
          <cell r="S516">
            <v>13.205590116068869</v>
          </cell>
        </row>
        <row r="517">
          <cell r="A517">
            <v>514</v>
          </cell>
          <cell r="R517">
            <v>12.59773443156628</v>
          </cell>
          <cell r="S517">
            <v>13.204402879135841</v>
          </cell>
        </row>
        <row r="518">
          <cell r="A518">
            <v>515</v>
          </cell>
          <cell r="R518">
            <v>12.602502629715296</v>
          </cell>
          <cell r="S518">
            <v>13.203229511468859</v>
          </cell>
        </row>
        <row r="519">
          <cell r="A519">
            <v>516</v>
          </cell>
          <cell r="R519">
            <v>12.607270827864319</v>
          </cell>
          <cell r="S519">
            <v>13.202069932432661</v>
          </cell>
        </row>
        <row r="520">
          <cell r="A520">
            <v>517</v>
          </cell>
          <cell r="R520">
            <v>12.612039026013338</v>
          </cell>
          <cell r="S520">
            <v>13.200924062015845</v>
          </cell>
        </row>
        <row r="521">
          <cell r="A521">
            <v>518</v>
          </cell>
          <cell r="R521">
            <v>12.616807224162359</v>
          </cell>
          <cell r="S521">
            <v>13.199791820824863</v>
          </cell>
        </row>
        <row r="522">
          <cell r="A522">
            <v>519</v>
          </cell>
          <cell r="R522">
            <v>12.621575422311379</v>
          </cell>
          <cell r="S522">
            <v>13.19867313007807</v>
          </cell>
        </row>
        <row r="523">
          <cell r="A523">
            <v>520</v>
          </cell>
          <cell r="R523">
            <v>12.6263436204604</v>
          </cell>
          <cell r="S523">
            <v>13.197567911599817</v>
          </cell>
        </row>
        <row r="524">
          <cell r="A524">
            <v>521</v>
          </cell>
          <cell r="R524">
            <v>12.631111818609419</v>
          </cell>
          <cell r="S524">
            <v>13.196476087814661</v>
          </cell>
        </row>
        <row r="525">
          <cell r="A525">
            <v>522</v>
          </cell>
          <cell r="R525">
            <v>12.635880016758438</v>
          </cell>
          <cell r="S525">
            <v>13.195397581741615</v>
          </cell>
        </row>
        <row r="526">
          <cell r="A526">
            <v>523</v>
          </cell>
          <cell r="R526">
            <v>12.640648214907458</v>
          </cell>
          <cell r="S526">
            <v>13.19433231698844</v>
          </cell>
        </row>
        <row r="527">
          <cell r="A527">
            <v>524</v>
          </cell>
          <cell r="R527">
            <v>12.645416413056481</v>
          </cell>
          <cell r="S527">
            <v>13.193280217746064</v>
          </cell>
        </row>
        <row r="528">
          <cell r="A528">
            <v>525</v>
          </cell>
          <cell r="R528">
            <v>12.6501846112055</v>
          </cell>
          <cell r="S528">
            <v>13.19224120878299</v>
          </cell>
        </row>
        <row r="529">
          <cell r="A529">
            <v>526</v>
          </cell>
          <cell r="R529">
            <v>12.654952809354521</v>
          </cell>
          <cell r="S529">
            <v>13.191215215439824</v>
          </cell>
        </row>
        <row r="530">
          <cell r="A530">
            <v>527</v>
          </cell>
          <cell r="R530">
            <v>12.659721007503537</v>
          </cell>
          <cell r="S530">
            <v>13.190202163623868</v>
          </cell>
        </row>
        <row r="531">
          <cell r="A531">
            <v>528</v>
          </cell>
          <cell r="R531">
            <v>12.664489205652556</v>
          </cell>
          <cell r="S531">
            <v>13.189201979803705</v>
          </cell>
        </row>
        <row r="532">
          <cell r="A532">
            <v>529</v>
          </cell>
          <cell r="R532">
            <v>12.669257403801579</v>
          </cell>
          <cell r="S532">
            <v>13.188214591003936</v>
          </cell>
        </row>
        <row r="533">
          <cell r="A533">
            <v>530</v>
          </cell>
          <cell r="R533">
            <v>12.674025601950598</v>
          </cell>
          <cell r="S533">
            <v>13.187239924799922</v>
          </cell>
        </row>
        <row r="534">
          <cell r="A534">
            <v>531</v>
          </cell>
          <cell r="R534">
            <v>12.678793800099619</v>
          </cell>
          <cell r="S534">
            <v>13.186277909312585</v>
          </cell>
        </row>
        <row r="535">
          <cell r="A535">
            <v>532</v>
          </cell>
          <cell r="R535">
            <v>12.683561998248637</v>
          </cell>
          <cell r="S535">
            <v>13.185328473203304</v>
          </cell>
        </row>
        <row r="536">
          <cell r="A536">
            <v>533</v>
          </cell>
          <cell r="R536">
            <v>12.688330196397658</v>
          </cell>
          <cell r="S536">
            <v>13.184391545668817</v>
          </cell>
        </row>
        <row r="537">
          <cell r="A537">
            <v>534</v>
          </cell>
          <cell r="R537">
            <v>12.693098394546677</v>
          </cell>
          <cell r="S537">
            <v>13.183467056436239</v>
          </cell>
        </row>
        <row r="538">
          <cell r="A538">
            <v>535</v>
          </cell>
          <cell r="R538">
            <v>12.697866592695698</v>
          </cell>
          <cell r="S538">
            <v>13.182554935758082</v>
          </cell>
        </row>
        <row r="539">
          <cell r="A539">
            <v>536</v>
          </cell>
          <cell r="R539">
            <v>12.702634790844717</v>
          </cell>
          <cell r="S539">
            <v>13.181655114407359</v>
          </cell>
        </row>
        <row r="540">
          <cell r="A540">
            <v>537</v>
          </cell>
          <cell r="R540">
            <v>12.70740298899374</v>
          </cell>
          <cell r="S540">
            <v>13.180767523672744</v>
          </cell>
        </row>
        <row r="541">
          <cell r="A541">
            <v>538</v>
          </cell>
          <cell r="R541">
            <v>12.71217118714276</v>
          </cell>
          <cell r="S541">
            <v>13.179892095353777</v>
          </cell>
        </row>
        <row r="542">
          <cell r="A542">
            <v>539</v>
          </cell>
          <cell r="R542">
            <v>12.716939385291779</v>
          </cell>
          <cell r="S542">
            <v>13.17902876175612</v>
          </cell>
        </row>
        <row r="543">
          <cell r="A543">
            <v>540</v>
          </cell>
          <cell r="R543">
            <v>12.721707583440798</v>
          </cell>
          <cell r="S543">
            <v>13.17817745568688</v>
          </cell>
        </row>
        <row r="544">
          <cell r="A544">
            <v>541</v>
          </cell>
          <cell r="R544">
            <v>12.726475781589819</v>
          </cell>
          <cell r="S544">
            <v>13.177338110449966</v>
          </cell>
        </row>
        <row r="545">
          <cell r="A545">
            <v>542</v>
          </cell>
          <cell r="R545">
            <v>12.731243979738839</v>
          </cell>
          <cell r="S545">
            <v>13.176510659841506</v>
          </cell>
        </row>
        <row r="546">
          <cell r="A546">
            <v>543</v>
          </cell>
          <cell r="R546">
            <v>12.73601217788786</v>
          </cell>
          <cell r="S546">
            <v>13.175695038145319</v>
          </cell>
        </row>
        <row r="547">
          <cell r="A547">
            <v>544</v>
          </cell>
          <cell r="R547">
            <v>12.740780376036877</v>
          </cell>
          <cell r="S547">
            <v>13.174891180128439</v>
          </cell>
        </row>
        <row r="548">
          <cell r="A548">
            <v>545</v>
          </cell>
          <cell r="R548">
            <v>12.745548574185898</v>
          </cell>
          <cell r="S548">
            <v>13.174099021036662</v>
          </cell>
        </row>
        <row r="549">
          <cell r="A549">
            <v>546</v>
          </cell>
          <cell r="R549">
            <v>12.750316772334918</v>
          </cell>
          <cell r="S549">
            <v>13.173318496590188</v>
          </cell>
        </row>
        <row r="550">
          <cell r="A550">
            <v>547</v>
          </cell>
          <cell r="R550">
            <v>12.75508497048394</v>
          </cell>
          <cell r="S550">
            <v>13.172549542979255</v>
          </cell>
        </row>
        <row r="551">
          <cell r="A551">
            <v>548</v>
          </cell>
          <cell r="R551">
            <v>12.75985316863296</v>
          </cell>
          <cell r="S551">
            <v>13.171792096859875</v>
          </cell>
        </row>
        <row r="552">
          <cell r="A552">
            <v>549</v>
          </cell>
          <cell r="R552">
            <v>12.764621366781981</v>
          </cell>
          <cell r="S552">
            <v>13.171046095349578</v>
          </cell>
        </row>
        <row r="553">
          <cell r="A553">
            <v>550</v>
          </cell>
          <cell r="R553">
            <v>12.769389564930997</v>
          </cell>
          <cell r="S553">
            <v>13.170311476023224</v>
          </cell>
        </row>
        <row r="554">
          <cell r="A554">
            <v>551</v>
          </cell>
          <cell r="R554">
            <v>12.774157763080019</v>
          </cell>
          <cell r="S554">
            <v>13.169588176908858</v>
          </cell>
        </row>
        <row r="555">
          <cell r="A555">
            <v>552</v>
          </cell>
          <cell r="R555">
            <v>12.778925961229039</v>
          </cell>
          <cell r="S555">
            <v>13.168876136483574</v>
          </cell>
        </row>
        <row r="556">
          <cell r="A556">
            <v>553</v>
          </cell>
          <cell r="R556">
            <v>12.78369415937806</v>
          </cell>
          <cell r="S556">
            <v>13.168175293669508</v>
          </cell>
        </row>
        <row r="557">
          <cell r="A557">
            <v>554</v>
          </cell>
          <cell r="R557">
            <v>12.788462357527079</v>
          </cell>
          <cell r="S557">
            <v>13.167485587829766</v>
          </cell>
        </row>
        <row r="558">
          <cell r="A558">
            <v>555</v>
          </cell>
          <cell r="R558">
            <v>12.793230555676098</v>
          </cell>
          <cell r="S558">
            <v>13.166806958764489</v>
          </cell>
        </row>
        <row r="559">
          <cell r="A559">
            <v>556</v>
          </cell>
          <cell r="R559">
            <v>12.797998753825118</v>
          </cell>
          <cell r="S559">
            <v>13.16613934670691</v>
          </cell>
        </row>
        <row r="560">
          <cell r="A560">
            <v>557</v>
          </cell>
          <cell r="R560">
            <v>12.802766951974137</v>
          </cell>
          <cell r="S560">
            <v>13.165482692319468</v>
          </cell>
        </row>
        <row r="561">
          <cell r="A561">
            <v>558</v>
          </cell>
          <cell r="R561">
            <v>12.807535150123158</v>
          </cell>
          <cell r="S561">
            <v>13.16483693668995</v>
          </cell>
        </row>
        <row r="562">
          <cell r="A562">
            <v>559</v>
          </cell>
          <cell r="R562">
            <v>12.812303348272177</v>
          </cell>
          <cell r="S562">
            <v>13.164202021327709</v>
          </cell>
        </row>
        <row r="563">
          <cell r="A563">
            <v>560</v>
          </cell>
          <cell r="R563">
            <v>12.8170715464212</v>
          </cell>
          <cell r="S563">
            <v>13.163577888159883</v>
          </cell>
        </row>
        <row r="564">
          <cell r="A564">
            <v>561</v>
          </cell>
          <cell r="R564">
            <v>12.821839744570216</v>
          </cell>
          <cell r="S564">
            <v>13.162964479527682</v>
          </cell>
        </row>
        <row r="565">
          <cell r="A565">
            <v>562</v>
          </cell>
          <cell r="R565">
            <v>12.826607942719239</v>
          </cell>
          <cell r="S565">
            <v>13.1623617381827</v>
          </cell>
        </row>
        <row r="566">
          <cell r="A566">
            <v>563</v>
          </cell>
          <cell r="R566">
            <v>12.831376140868258</v>
          </cell>
          <cell r="S566">
            <v>13.161769607283251</v>
          </cell>
        </row>
        <row r="567">
          <cell r="A567">
            <v>564</v>
          </cell>
          <cell r="R567">
            <v>12.836144339017279</v>
          </cell>
          <cell r="S567">
            <v>13.161188030390802</v>
          </cell>
        </row>
        <row r="568">
          <cell r="A568">
            <v>565</v>
          </cell>
          <cell r="R568">
            <v>12.840912537166298</v>
          </cell>
          <cell r="S568">
            <v>13.160616951466379</v>
          </cell>
        </row>
        <row r="569">
          <cell r="A569">
            <v>566</v>
          </cell>
          <cell r="R569">
            <v>12.84568073531532</v>
          </cell>
          <cell r="S569">
            <v>13.160056314867044</v>
          </cell>
        </row>
        <row r="570">
          <cell r="A570">
            <v>567</v>
          </cell>
          <cell r="R570">
            <v>12.850448933464339</v>
          </cell>
          <cell r="S570">
            <v>13.159506065342388</v>
          </cell>
        </row>
        <row r="571">
          <cell r="A571">
            <v>568</v>
          </cell>
          <cell r="R571">
            <v>12.855217131613358</v>
          </cell>
          <cell r="S571">
            <v>13.158966148031116</v>
          </cell>
        </row>
        <row r="572">
          <cell r="A572">
            <v>569</v>
          </cell>
          <cell r="R572">
            <v>12.859985329762377</v>
          </cell>
          <cell r="S572">
            <v>13.158436508457577</v>
          </cell>
        </row>
        <row r="573">
          <cell r="A573">
            <v>570</v>
          </cell>
          <cell r="R573">
            <v>12.8647535279114</v>
          </cell>
          <cell r="S573">
            <v>13.157917092528422</v>
          </cell>
        </row>
        <row r="574">
          <cell r="A574">
            <v>571</v>
          </cell>
          <cell r="R574">
            <v>12.869521726060418</v>
          </cell>
          <cell r="S574">
            <v>13.157407846529221</v>
          </cell>
        </row>
        <row r="575">
          <cell r="A575">
            <v>572</v>
          </cell>
          <cell r="R575">
            <v>12.874289924209441</v>
          </cell>
          <cell r="S575">
            <v>13.156908717121187</v>
          </cell>
        </row>
        <row r="576">
          <cell r="A576">
            <v>573</v>
          </cell>
          <cell r="R576">
            <v>12.879058122358456</v>
          </cell>
          <cell r="S576">
            <v>13.156419651337877</v>
          </cell>
        </row>
        <row r="577">
          <cell r="A577">
            <v>574</v>
          </cell>
          <cell r="R577">
            <v>12.883826320507479</v>
          </cell>
          <cell r="S577">
            <v>13.155940596581942</v>
          </cell>
        </row>
        <row r="578">
          <cell r="A578">
            <v>575</v>
          </cell>
          <cell r="R578">
            <v>12.888594518656499</v>
          </cell>
          <cell r="S578">
            <v>13.155471500621944</v>
          </cell>
        </row>
        <row r="579">
          <cell r="A579">
            <v>576</v>
          </cell>
          <cell r="R579">
            <v>12.89336271680552</v>
          </cell>
          <cell r="S579">
            <v>13.155012311589148</v>
          </cell>
        </row>
        <row r="580">
          <cell r="A580">
            <v>577</v>
          </cell>
          <cell r="R580">
            <v>12.898130914954539</v>
          </cell>
          <cell r="S580">
            <v>13.154562977974399</v>
          </cell>
        </row>
        <row r="581">
          <cell r="A581">
            <v>578</v>
          </cell>
          <cell r="R581">
            <v>12.90289911310356</v>
          </cell>
          <cell r="S581">
            <v>13.154123448625013</v>
          </cell>
        </row>
        <row r="582">
          <cell r="A582">
            <v>579</v>
          </cell>
          <cell r="R582">
            <v>12.907667311252577</v>
          </cell>
          <cell r="S582">
            <v>13.153693672741685</v>
          </cell>
        </row>
        <row r="583">
          <cell r="A583">
            <v>580</v>
          </cell>
          <cell r="R583">
            <v>12.912435509401597</v>
          </cell>
          <cell r="S583">
            <v>13.153273599875453</v>
          </cell>
        </row>
        <row r="584">
          <cell r="A584">
            <v>581</v>
          </cell>
          <cell r="R584">
            <v>12.917203707550618</v>
          </cell>
          <cell r="S584">
            <v>13.152863179924685</v>
          </cell>
        </row>
        <row r="585">
          <cell r="A585">
            <v>582</v>
          </cell>
          <cell r="R585">
            <v>12.921971905699637</v>
          </cell>
          <cell r="S585">
            <v>13.152462363132067</v>
          </cell>
        </row>
        <row r="586">
          <cell r="A586">
            <v>583</v>
          </cell>
          <cell r="R586">
            <v>12.92674010384866</v>
          </cell>
          <cell r="S586">
            <v>13.152071100081711</v>
          </cell>
        </row>
        <row r="587">
          <cell r="A587">
            <v>584</v>
          </cell>
          <cell r="R587">
            <v>12.931508301997679</v>
          </cell>
          <cell r="S587">
            <v>13.151689341696166</v>
          </cell>
        </row>
        <row r="588">
          <cell r="A588">
            <v>585</v>
          </cell>
          <cell r="R588">
            <v>12.936276500146699</v>
          </cell>
          <cell r="S588">
            <v>13.151317039233561</v>
          </cell>
        </row>
        <row r="589">
          <cell r="A589">
            <v>586</v>
          </cell>
          <cell r="R589">
            <v>12.941044698295718</v>
          </cell>
          <cell r="S589">
            <v>13.150954144284739</v>
          </cell>
        </row>
        <row r="590">
          <cell r="A590">
            <v>587</v>
          </cell>
          <cell r="R590">
            <v>12.945812896444739</v>
          </cell>
          <cell r="S590">
            <v>13.150600608770398</v>
          </cell>
        </row>
        <row r="591">
          <cell r="A591">
            <v>588</v>
          </cell>
          <cell r="R591">
            <v>12.950581094593758</v>
          </cell>
          <cell r="S591">
            <v>13.15025638493834</v>
          </cell>
        </row>
        <row r="592">
          <cell r="A592">
            <v>589</v>
          </cell>
          <cell r="R592">
            <v>12.955349292742779</v>
          </cell>
          <cell r="S592">
            <v>13.149921425360635</v>
          </cell>
        </row>
        <row r="593">
          <cell r="A593">
            <v>590</v>
          </cell>
          <cell r="R593">
            <v>12.960117490891797</v>
          </cell>
          <cell r="S593">
            <v>13.149595682930899</v>
          </cell>
        </row>
        <row r="594">
          <cell r="A594">
            <v>591</v>
          </cell>
          <cell r="R594">
            <v>12.964885689040818</v>
          </cell>
          <cell r="S594">
            <v>13.149279110861583</v>
          </cell>
        </row>
        <row r="595">
          <cell r="A595">
            <v>592</v>
          </cell>
          <cell r="R595">
            <v>12.969653887189837</v>
          </cell>
          <cell r="S595">
            <v>13.148971662681273</v>
          </cell>
        </row>
        <row r="596">
          <cell r="A596">
            <v>593</v>
          </cell>
          <cell r="R596">
            <v>12.97442208533886</v>
          </cell>
          <cell r="S596">
            <v>13.148673292231999</v>
          </cell>
        </row>
        <row r="597">
          <cell r="A597">
            <v>594</v>
          </cell>
          <cell r="R597">
            <v>12.979190283487878</v>
          </cell>
          <cell r="S597">
            <v>13.148383953666649</v>
          </cell>
        </row>
        <row r="598">
          <cell r="A598">
            <v>595</v>
          </cell>
          <cell r="R598">
            <v>12.9839584816369</v>
          </cell>
          <cell r="S598">
            <v>13.148103601446307</v>
          </cell>
        </row>
        <row r="599">
          <cell r="A599">
            <v>596</v>
          </cell>
          <cell r="R599">
            <v>12.98872667978592</v>
          </cell>
          <cell r="S599">
            <v>13.147832190337692</v>
          </cell>
        </row>
        <row r="600">
          <cell r="A600">
            <v>597</v>
          </cell>
          <cell r="R600">
            <v>12.993494877934939</v>
          </cell>
          <cell r="S600">
            <v>13.147569675410592</v>
          </cell>
        </row>
        <row r="601">
          <cell r="A601">
            <v>598</v>
          </cell>
          <cell r="R601">
            <v>12.998263076083958</v>
          </cell>
          <cell r="S601">
            <v>13.14731601203534</v>
          </cell>
        </row>
        <row r="602">
          <cell r="A602">
            <v>599</v>
          </cell>
          <cell r="R602">
            <v>13.003031274232979</v>
          </cell>
          <cell r="S602">
            <v>13.147071155880289</v>
          </cell>
        </row>
        <row r="603">
          <cell r="A603">
            <v>600</v>
          </cell>
          <cell r="R603">
            <v>13.007799472381999</v>
          </cell>
          <cell r="S603">
            <v>13.146835062909332</v>
          </cell>
        </row>
        <row r="604">
          <cell r="A604">
            <v>601</v>
          </cell>
          <cell r="R604">
            <v>13.01256767053102</v>
          </cell>
          <cell r="S604">
            <v>13.146607689379463</v>
          </cell>
        </row>
        <row r="605">
          <cell r="A605">
            <v>602</v>
          </cell>
          <cell r="R605">
            <v>13.017335868680037</v>
          </cell>
          <cell r="S605">
            <v>13.146388991838309</v>
          </cell>
        </row>
        <row r="606">
          <cell r="A606">
            <v>603</v>
          </cell>
          <cell r="R606">
            <v>13.022104066829058</v>
          </cell>
          <cell r="S606">
            <v>13.146178927121751</v>
          </cell>
        </row>
        <row r="607">
          <cell r="A607">
            <v>604</v>
          </cell>
          <cell r="R607">
            <v>13.026872264978078</v>
          </cell>
          <cell r="S607">
            <v>13.14597745235152</v>
          </cell>
        </row>
        <row r="608">
          <cell r="A608">
            <v>605</v>
          </cell>
          <cell r="R608">
            <v>13.031640463127097</v>
          </cell>
          <cell r="S608">
            <v>13.145784524932846</v>
          </cell>
        </row>
        <row r="609">
          <cell r="A609">
            <v>606</v>
          </cell>
          <cell r="R609">
            <v>13.03640866127612</v>
          </cell>
          <cell r="S609">
            <v>13.145600102552102</v>
          </cell>
        </row>
        <row r="610">
          <cell r="A610">
            <v>607</v>
          </cell>
          <cell r="R610">
            <v>13.041176859425136</v>
          </cell>
          <cell r="S610">
            <v>13.145424143174507</v>
          </cell>
        </row>
        <row r="611">
          <cell r="A611">
            <v>608</v>
          </cell>
          <cell r="R611">
            <v>13.04594505757416</v>
          </cell>
          <cell r="S611">
            <v>13.145256605041817</v>
          </cell>
        </row>
        <row r="612">
          <cell r="A612">
            <v>609</v>
          </cell>
          <cell r="R612">
            <v>13.050713255723178</v>
          </cell>
          <cell r="S612">
            <v>13.145097446670073</v>
          </cell>
        </row>
        <row r="613">
          <cell r="A613">
            <v>610</v>
          </cell>
          <cell r="R613">
            <v>13.055481453872199</v>
          </cell>
          <cell r="S613">
            <v>13.144946626847327</v>
          </cell>
        </row>
        <row r="614">
          <cell r="A614">
            <v>611</v>
          </cell>
          <cell r="R614">
            <v>13.060249652021218</v>
          </cell>
          <cell r="S614">
            <v>13.144804104631453</v>
          </cell>
        </row>
        <row r="615">
          <cell r="A615">
            <v>612</v>
          </cell>
          <cell r="R615">
            <v>13.065017850170239</v>
          </cell>
          <cell r="S615">
            <v>13.144669839347896</v>
          </cell>
        </row>
        <row r="616">
          <cell r="A616">
            <v>613</v>
          </cell>
          <cell r="R616">
            <v>13.069786048319258</v>
          </cell>
          <cell r="S616">
            <v>13.144543790587532</v>
          </cell>
        </row>
        <row r="617">
          <cell r="A617">
            <v>614</v>
          </cell>
          <cell r="R617">
            <v>13.074554246468278</v>
          </cell>
          <cell r="S617">
            <v>13.144425918204481</v>
          </cell>
        </row>
        <row r="618">
          <cell r="A618">
            <v>615</v>
          </cell>
          <cell r="R618">
            <v>13.079322444617297</v>
          </cell>
          <cell r="S618">
            <v>13.144316182313977</v>
          </cell>
        </row>
        <row r="619">
          <cell r="A619">
            <v>616</v>
          </cell>
          <cell r="R619">
            <v>13.084090642766318</v>
          </cell>
          <cell r="S619">
            <v>13.144214543290239</v>
          </cell>
        </row>
        <row r="620">
          <cell r="A620">
            <v>617</v>
          </cell>
          <cell r="R620">
            <v>13.088858840915337</v>
          </cell>
          <cell r="S620">
            <v>13.144120961764386</v>
          </cell>
        </row>
        <row r="621">
          <cell r="A621">
            <v>618</v>
          </cell>
          <cell r="R621">
            <v>13.09362703906436</v>
          </cell>
          <cell r="S621">
            <v>13.144035398622359</v>
          </cell>
        </row>
        <row r="622">
          <cell r="A622">
            <v>619</v>
          </cell>
          <cell r="R622">
            <v>13.098395237213376</v>
          </cell>
          <cell r="S622">
            <v>13.143957815002837</v>
          </cell>
        </row>
        <row r="623">
          <cell r="A623">
            <v>620</v>
          </cell>
          <cell r="R623">
            <v>13.103163435362399</v>
          </cell>
          <cell r="S623">
            <v>13.143888172295229</v>
          </cell>
        </row>
        <row r="624">
          <cell r="A624">
            <v>621</v>
          </cell>
          <cell r="R624">
            <v>13.107931633511418</v>
          </cell>
          <cell r="S624">
            <v>13.143826432137651</v>
          </cell>
        </row>
        <row r="625">
          <cell r="A625">
            <v>622</v>
          </cell>
          <cell r="R625">
            <v>13.112699831660439</v>
          </cell>
          <cell r="S625">
            <v>13.143772556414898</v>
          </cell>
        </row>
        <row r="626">
          <cell r="A626">
            <v>623</v>
          </cell>
          <cell r="R626">
            <v>13.117468029809459</v>
          </cell>
          <cell r="S626">
            <v>13.143726507256499</v>
          </cell>
        </row>
        <row r="627">
          <cell r="A627">
            <v>624</v>
          </cell>
          <cell r="R627">
            <v>13.12223622795848</v>
          </cell>
          <cell r="S627">
            <v>13.143688247034753</v>
          </cell>
        </row>
        <row r="628">
          <cell r="A628">
            <v>625</v>
          </cell>
          <cell r="R628">
            <v>13.127004426107499</v>
          </cell>
          <cell r="S628">
            <v>13.143657738362748</v>
          </cell>
        </row>
        <row r="629">
          <cell r="A629">
            <v>626</v>
          </cell>
          <cell r="R629">
            <v>13.131772624256518</v>
          </cell>
          <cell r="S629">
            <v>13.14363494409249</v>
          </cell>
        </row>
        <row r="630">
          <cell r="A630">
            <v>627</v>
          </cell>
          <cell r="R630">
            <v>13.136540822405538</v>
          </cell>
          <cell r="S630">
            <v>13.143619827312968</v>
          </cell>
        </row>
        <row r="631">
          <cell r="A631">
            <v>628</v>
          </cell>
          <cell r="R631">
            <v>13.14130902055456</v>
          </cell>
          <cell r="S631">
            <v>13.143612351348263</v>
          </cell>
        </row>
        <row r="632">
          <cell r="A632">
            <v>629</v>
          </cell>
          <cell r="R632">
            <v>13.14607721870358</v>
          </cell>
          <cell r="S632">
            <v>13.14361247975571</v>
          </cell>
        </row>
        <row r="633">
          <cell r="A633">
            <v>630</v>
          </cell>
          <cell r="R633">
            <v>13.150845416852599</v>
          </cell>
          <cell r="S633">
            <v>13.143620176323996</v>
          </cell>
        </row>
        <row r="634">
          <cell r="A634">
            <v>631</v>
          </cell>
          <cell r="R634">
            <v>13.155613615001618</v>
          </cell>
          <cell r="S634">
            <v>13.143635405071388</v>
          </cell>
        </row>
        <row r="635">
          <cell r="A635">
            <v>632</v>
          </cell>
          <cell r="R635">
            <v>13.160381813150638</v>
          </cell>
          <cell r="S635">
            <v>13.143658130243864</v>
          </cell>
        </row>
        <row r="636">
          <cell r="A636">
            <v>633</v>
          </cell>
          <cell r="R636">
            <v>13.165150011299659</v>
          </cell>
          <cell r="S636">
            <v>13.143688316313344</v>
          </cell>
        </row>
        <row r="637">
          <cell r="A637">
            <v>634</v>
          </cell>
          <cell r="R637">
            <v>13.169918209448678</v>
          </cell>
          <cell r="S637">
            <v>13.143725927975902</v>
          </cell>
        </row>
        <row r="638">
          <cell r="A638">
            <v>635</v>
          </cell>
          <cell r="R638">
            <v>13.174686407597699</v>
          </cell>
          <cell r="S638">
            <v>13.143770930149991</v>
          </cell>
        </row>
        <row r="639">
          <cell r="A639">
            <v>636</v>
          </cell>
          <cell r="R639">
            <v>13.179454605746717</v>
          </cell>
          <cell r="S639">
            <v>13.143823287974714</v>
          </cell>
        </row>
        <row r="640">
          <cell r="A640">
            <v>637</v>
          </cell>
          <cell r="R640">
            <v>13.184222803895741</v>
          </cell>
          <cell r="S640">
            <v>13.143882966808063</v>
          </cell>
        </row>
        <row r="641">
          <cell r="A641">
            <v>638</v>
          </cell>
          <cell r="R641">
            <v>13.188991002044757</v>
          </cell>
          <cell r="S641">
            <v>13.143949932225244</v>
          </cell>
        </row>
        <row r="642">
          <cell r="A642">
            <v>639</v>
          </cell>
          <cell r="R642">
            <v>13.193759200193778</v>
          </cell>
          <cell r="S642">
            <v>13.144024150016945</v>
          </cell>
        </row>
        <row r="643">
          <cell r="A643">
            <v>640</v>
          </cell>
          <cell r="R643">
            <v>13.198527398342797</v>
          </cell>
          <cell r="S643">
            <v>13.144105586187646</v>
          </cell>
        </row>
        <row r="644">
          <cell r="A644">
            <v>641</v>
          </cell>
          <cell r="R644">
            <v>13.20329559649182</v>
          </cell>
          <cell r="S644">
            <v>13.144194206953998</v>
          </cell>
        </row>
        <row r="645">
          <cell r="A645">
            <v>642</v>
          </cell>
          <cell r="R645">
            <v>13.208063794640839</v>
          </cell>
          <cell r="S645">
            <v>13.144289978743112</v>
          </cell>
        </row>
        <row r="646">
          <cell r="A646">
            <v>643</v>
          </cell>
          <cell r="R646">
            <v>13.212831992789859</v>
          </cell>
          <cell r="S646">
            <v>13.144392868190971</v>
          </cell>
        </row>
        <row r="647">
          <cell r="A647">
            <v>644</v>
          </cell>
          <cell r="R647">
            <v>13.217600190938878</v>
          </cell>
          <cell r="S647">
            <v>13.144502842140776</v>
          </cell>
        </row>
        <row r="648">
          <cell r="A648">
            <v>645</v>
          </cell>
          <cell r="R648">
            <v>13.222368389087899</v>
          </cell>
          <cell r="S648">
            <v>13.144619867641351</v>
          </cell>
        </row>
        <row r="649">
          <cell r="A649">
            <v>646</v>
          </cell>
          <cell r="R649">
            <v>13.227136587236918</v>
          </cell>
          <cell r="S649">
            <v>13.144743911945566</v>
          </cell>
        </row>
        <row r="650">
          <cell r="A650">
            <v>647</v>
          </cell>
          <cell r="R650">
            <v>13.23190478538594</v>
          </cell>
          <cell r="S650">
            <v>13.144874942508727</v>
          </cell>
        </row>
        <row r="651">
          <cell r="A651">
            <v>648</v>
          </cell>
          <cell r="R651">
            <v>13.236672983534957</v>
          </cell>
          <cell r="S651">
            <v>13.145012926987047</v>
          </cell>
        </row>
        <row r="652">
          <cell r="A652">
            <v>649</v>
          </cell>
          <cell r="R652">
            <v>13.241441181683978</v>
          </cell>
          <cell r="S652">
            <v>13.145157833236077</v>
          </cell>
        </row>
        <row r="653">
          <cell r="A653">
            <v>650</v>
          </cell>
          <cell r="R653">
            <v>13.246209379832997</v>
          </cell>
          <cell r="S653">
            <v>13.145309629309192</v>
          </cell>
        </row>
        <row r="654">
          <cell r="A654">
            <v>651</v>
          </cell>
          <cell r="R654">
            <v>13.25097757798202</v>
          </cell>
          <cell r="S654">
            <v>13.14546828345604</v>
          </cell>
        </row>
        <row r="655">
          <cell r="A655">
            <v>652</v>
          </cell>
          <cell r="R655">
            <v>13.25574577613104</v>
          </cell>
          <cell r="S655">
            <v>13.145633764121071</v>
          </cell>
        </row>
        <row r="656">
          <cell r="A656">
            <v>653</v>
          </cell>
          <cell r="R656">
            <v>13.260513974280061</v>
          </cell>
          <cell r="S656">
            <v>13.145806039942032</v>
          </cell>
        </row>
        <row r="657">
          <cell r="A657">
            <v>654</v>
          </cell>
          <cell r="R657">
            <v>13.26528217242908</v>
          </cell>
          <cell r="S657">
            <v>13.145985079748471</v>
          </cell>
        </row>
        <row r="658">
          <cell r="A658">
            <v>655</v>
          </cell>
          <cell r="R658">
            <v>13.270050370578096</v>
          </cell>
          <cell r="S658">
            <v>13.146170852560306</v>
          </cell>
        </row>
        <row r="659">
          <cell r="A659">
            <v>656</v>
          </cell>
          <cell r="R659">
            <v>13.274818568727119</v>
          </cell>
          <cell r="S659">
            <v>13.146363327586366</v>
          </cell>
        </row>
        <row r="660">
          <cell r="A660">
            <v>657</v>
          </cell>
          <cell r="R660">
            <v>13.279586766876138</v>
          </cell>
          <cell r="S660">
            <v>13.146562474222913</v>
          </cell>
        </row>
        <row r="661">
          <cell r="A661">
            <v>658</v>
          </cell>
          <cell r="R661">
            <v>13.284354965025159</v>
          </cell>
          <cell r="S661">
            <v>13.146768262052289</v>
          </cell>
        </row>
        <row r="662">
          <cell r="A662">
            <v>659</v>
          </cell>
          <cell r="R662">
            <v>13.289123163174178</v>
          </cell>
          <cell r="S662">
            <v>13.146980660841439</v>
          </cell>
        </row>
        <row r="663">
          <cell r="A663">
            <v>660</v>
          </cell>
          <cell r="R663">
            <v>13.293891361323197</v>
          </cell>
          <cell r="S663">
            <v>13.147199640540538</v>
          </cell>
        </row>
        <row r="664">
          <cell r="A664">
            <v>661</v>
          </cell>
          <cell r="R664">
            <v>13.298659559472217</v>
          </cell>
          <cell r="S664">
            <v>13.14742517128162</v>
          </cell>
        </row>
        <row r="665">
          <cell r="A665">
            <v>662</v>
          </cell>
          <cell r="R665">
            <v>13.303427757621238</v>
          </cell>
          <cell r="S665">
            <v>13.147657223377193</v>
          </cell>
        </row>
        <row r="666">
          <cell r="A666">
            <v>663</v>
          </cell>
          <cell r="R666">
            <v>13.308195955770257</v>
          </cell>
          <cell r="S666">
            <v>13.147895767318845</v>
          </cell>
        </row>
        <row r="667">
          <cell r="A667">
            <v>664</v>
          </cell>
          <cell r="R667">
            <v>13.31296415391928</v>
          </cell>
          <cell r="S667">
            <v>13.148140773775962</v>
          </cell>
        </row>
        <row r="668">
          <cell r="A668">
            <v>665</v>
          </cell>
          <cell r="R668">
            <v>13.317732352068296</v>
          </cell>
          <cell r="S668">
            <v>13.148392213594335</v>
          </cell>
        </row>
        <row r="669">
          <cell r="A669">
            <v>666</v>
          </cell>
          <cell r="R669">
            <v>13.32250055021732</v>
          </cell>
          <cell r="S669">
            <v>13.14865005779486</v>
          </cell>
        </row>
        <row r="670">
          <cell r="A670">
            <v>667</v>
          </cell>
          <cell r="R670">
            <v>13.327268748366338</v>
          </cell>
          <cell r="S670">
            <v>13.148914277572217</v>
          </cell>
        </row>
        <row r="671">
          <cell r="A671">
            <v>668</v>
          </cell>
          <cell r="R671">
            <v>13.332036946515359</v>
          </cell>
          <cell r="S671">
            <v>13.149184844293579</v>
          </cell>
        </row>
        <row r="672">
          <cell r="A672">
            <v>669</v>
          </cell>
          <cell r="R672">
            <v>13.336805144664378</v>
          </cell>
          <cell r="S672">
            <v>13.149461729497306</v>
          </cell>
        </row>
        <row r="673">
          <cell r="A673">
            <v>670</v>
          </cell>
          <cell r="R673">
            <v>13.341573342813399</v>
          </cell>
          <cell r="S673">
            <v>13.149744904891694</v>
          </cell>
        </row>
        <row r="674">
          <cell r="A674">
            <v>671</v>
          </cell>
          <cell r="R674">
            <v>13.346341540962419</v>
          </cell>
          <cell r="S674">
            <v>13.150034342353692</v>
          </cell>
        </row>
        <row r="675">
          <cell r="A675">
            <v>672</v>
          </cell>
          <cell r="R675">
            <v>13.351109739111438</v>
          </cell>
          <cell r="S675">
            <v>13.150330013927626</v>
          </cell>
        </row>
        <row r="676">
          <cell r="A676">
            <v>673</v>
          </cell>
          <cell r="R676">
            <v>13.355877937260457</v>
          </cell>
          <cell r="S676">
            <v>13.150631891823993</v>
          </cell>
        </row>
        <row r="677">
          <cell r="A677">
            <v>674</v>
          </cell>
          <cell r="R677">
            <v>13.36064613540948</v>
          </cell>
          <cell r="S677">
            <v>13.150939948418227</v>
          </cell>
        </row>
        <row r="678">
          <cell r="A678">
            <v>675</v>
          </cell>
          <cell r="R678">
            <v>13.365414333558499</v>
          </cell>
          <cell r="S678">
            <v>13.151254156249431</v>
          </cell>
        </row>
        <row r="679">
          <cell r="A679">
            <v>676</v>
          </cell>
          <cell r="R679">
            <v>13.37018253170752</v>
          </cell>
          <cell r="S679">
            <v>13.151574488019232</v>
          </cell>
        </row>
        <row r="680">
          <cell r="A680">
            <v>677</v>
          </cell>
          <cell r="R680">
            <v>13.374950729856538</v>
          </cell>
          <cell r="S680">
            <v>13.151900916590522</v>
          </cell>
        </row>
        <row r="681">
          <cell r="A681">
            <v>678</v>
          </cell>
          <cell r="R681">
            <v>13.379718928005559</v>
          </cell>
          <cell r="S681">
            <v>13.152233414986304</v>
          </cell>
        </row>
        <row r="682">
          <cell r="A682">
            <v>679</v>
          </cell>
          <cell r="R682">
            <v>13.384487126154578</v>
          </cell>
          <cell r="S682">
            <v>13.152571956388503</v>
          </cell>
        </row>
        <row r="683">
          <cell r="A683">
            <v>680</v>
          </cell>
          <cell r="R683">
            <v>13.389255324303598</v>
          </cell>
          <cell r="S683">
            <v>13.152916514136798</v>
          </cell>
        </row>
        <row r="684">
          <cell r="A684">
            <v>681</v>
          </cell>
          <cell r="R684">
            <v>13.394023522452619</v>
          </cell>
          <cell r="S684">
            <v>13.153267061727462</v>
          </cell>
        </row>
        <row r="685">
          <cell r="A685">
            <v>682</v>
          </cell>
          <cell r="R685">
            <v>13.398791720601636</v>
          </cell>
          <cell r="S685">
            <v>13.153623572812212</v>
          </cell>
        </row>
        <row r="686">
          <cell r="A686">
            <v>683</v>
          </cell>
          <cell r="R686">
            <v>13.403559918750661</v>
          </cell>
          <cell r="S686">
            <v>13.153986021197079</v>
          </cell>
        </row>
        <row r="687">
          <cell r="A687">
            <v>684</v>
          </cell>
          <cell r="R687">
            <v>13.408328116899677</v>
          </cell>
          <cell r="S687">
            <v>13.154354380841269</v>
          </cell>
        </row>
        <row r="688">
          <cell r="A688">
            <v>685</v>
          </cell>
          <cell r="R688">
            <v>13.413096315048698</v>
          </cell>
          <cell r="S688">
            <v>13.154728625856063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Índice"/>
      <sheetName val="Consumidores"/>
      <sheetName val="Forfait"/>
      <sheetName val="Venda-MWh"/>
      <sheetName val="Outros"/>
      <sheetName val="Compra-Mwh"/>
      <sheetName val="Compra-R$"/>
      <sheetName val="Fatur. Bruto-Comercial"/>
      <sheetName val="T I P"/>
      <sheetName val="ICMS Fat."/>
      <sheetName val="Importe-Comercial"/>
      <sheetName val="Importe-Contábil"/>
      <sheetName val="ICMS Contábil"/>
      <sheetName val="Importe+ICMS"/>
      <sheetName val="Tarifa Comercial"/>
      <sheetName val="Tarifa Contabilidade"/>
      <sheetName val="Arrec. Bruta"/>
      <sheetName val="ICMS  Arrec."/>
      <sheetName val="Arrec.Líquida"/>
      <sheetName val="Pessoal"/>
      <sheetName val="Mercado"/>
      <sheetName val=" PIB Brasil ( R$ de 1996 )"/>
      <sheetName val="FORMULÁRIO"/>
      <sheetName val="tarifas abertas internet"/>
      <sheetName val="PAGAMENTO"/>
      <sheetName val="BM&amp;F"/>
      <sheetName val="Plan1"/>
      <sheetName val="Suporte"/>
      <sheetName val="2000"/>
      <sheetName val="Banco"/>
      <sheetName val="Balanço"/>
      <sheetName val="INDIECO1"/>
      <sheetName val="ASSUM"/>
      <sheetName val="Sist.Transm.Dist.Glob. "/>
      <sheetName val="Spot"/>
      <sheetName val="Taxes"/>
      <sheetName val="RESUMO"/>
      <sheetName val="Dados2"/>
      <sheetName val="LISTAS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SETTINGS"/>
      <sheetName val="Metalúrgica"/>
      <sheetName val="TermoPE"/>
      <sheetName val="DRE e FLUXO CAIXA"/>
      <sheetName val="Índices"/>
      <sheetName val="Tabela aux."/>
      <sheetName val="DRE"/>
      <sheetName val="Lead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Dados"/>
      <sheetName val="ce"/>
      <sheetName val="CECO"/>
      <sheetName val="TESTE"/>
      <sheetName val="DEBE"/>
      <sheetName val="EOFI"/>
      <sheetName val="Validacao_Dados"/>
      <sheetName val="Consol. Energia Ger"/>
      <sheetName val="DRE_Cemar_Orçam"/>
      <sheetName val="  "/>
      <sheetName val="AA-10(Op.63)"/>
      <sheetName val="Inventário PA"/>
      <sheetName val="Aquisição"/>
      <sheetName val="ABRIL 2000"/>
      <sheetName val="FF3"/>
      <sheetName val="Apoio"/>
      <sheetName val="Classificação"/>
      <sheetName val="OTR.CRED."/>
      <sheetName val="Plan1 (2)"/>
      <sheetName val="tarifas_abertas_internet"/>
      <sheetName val="Sist_Transm_Dist_Glob__"/>
      <sheetName val="Base_Calc"/>
      <sheetName val="Base_Dados"/>
      <sheetName val="Taxas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1"/>
      <sheetName val="Sist_Transm_Dist_Glob__1"/>
      <sheetName val="AUXILIAR"/>
      <sheetName val="Cursos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BASE RATEIO DIRETORIA"/>
      <sheetName val="Validação de Dados"/>
      <sheetName val="AVC Garabi II Set18"/>
      <sheetName val="Listas e Tabelas"/>
      <sheetName val="Siglas e Legendas"/>
      <sheetName val="IREM"/>
      <sheetName val="Plan2"/>
      <sheetName val="Plan3"/>
      <sheetName val="CVA_Projetada12meses"/>
      <sheetName val="CUSTOS"/>
      <sheetName val="Tabela_valores_módulos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_PIB_Brasil_(_R$_de_1996_)2"/>
      <sheetName val="tarifas_abertas_internet2"/>
      <sheetName val="Sist_Transm_Dist_Glob__2"/>
      <sheetName val="Base_FIN-NNG-PRE1"/>
      <sheetName val="Base_O&amp;M1"/>
      <sheetName val="DRE_e_FLUXO_CAIXA1"/>
      <sheetName val="Tabela_aux_1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Consol__Energia_Ger1"/>
      <sheetName val="ABRIL_20001"/>
      <sheetName val="__1"/>
      <sheetName val="AA-10(Op_63)1"/>
      <sheetName val="Inventário_PA1"/>
      <sheetName val="OTR_CRED_"/>
      <sheetName val="BASE_RATEIO_DIRETORIA"/>
      <sheetName val="Validação_de_Dados"/>
      <sheetName val="Plan1_(2)"/>
      <sheetName val="AVC_Garabi_II_Set18"/>
      <sheetName val="Listas_e_Tabelas"/>
      <sheetName val="Siglas_e_Legendas"/>
      <sheetName val="Receivables"/>
      <sheetName val="Cash"/>
      <sheetName val="Avaliação"/>
      <sheetName val="#REF"/>
      <sheetName val="CSCCincSKR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_data"/>
      <sheetName val="APOIO_LISTA"/>
      <sheetName val="RECEITAS_DE_TARIFAS"/>
      <sheetName val="SUBSIDIOS_CDE_TARIFAS"/>
      <sheetName val="Fatur__Bruto-Comercial3"/>
      <sheetName val="T_I_P3"/>
      <sheetName val="ICMS_Fat_3"/>
      <sheetName val="ICMS_Contábil3"/>
      <sheetName val="Tarifa_Comercial3"/>
      <sheetName val="Tarifa_Contabilidade3"/>
      <sheetName val="Arrec__Bruta3"/>
      <sheetName val="ICMS__Arrec_3"/>
      <sheetName val="Arrec_Líquida3"/>
      <sheetName val="_PIB_Brasil_(_R$_de_1996_)3"/>
      <sheetName val="tarifas_abertas_internet3"/>
      <sheetName val="Sist_Transm_Dist_Glob__3"/>
      <sheetName val="Comparativos_-_Abr-022"/>
      <sheetName val="Comparativos___Abr_022"/>
      <sheetName val="Comparativos_-_Fev-022"/>
      <sheetName val="Comparativos___Fev_022"/>
      <sheetName val="Comparativos_-_Jan-022"/>
      <sheetName val="Comparativos___Jan_022"/>
      <sheetName val="Comparativos_-_Mar-022"/>
      <sheetName val="Comparativos___Mar_022"/>
      <sheetName val="Comentários_Jan-02_2"/>
      <sheetName val="Comentários_Jan_02_2"/>
      <sheetName val="DRE_e_FLUXO_CAIXA2"/>
      <sheetName val="Tabela_aux_2"/>
      <sheetName val="Base_FIN-NNG-PRE2"/>
      <sheetName val="Base_O&amp;M2"/>
      <sheetName val="Consol__Energia_Ger2"/>
      <sheetName val="Plan1_(2)1"/>
      <sheetName val="__2"/>
      <sheetName val="AA-10(Op_63)2"/>
      <sheetName val="Inventário_PA2"/>
      <sheetName val="ABRIL_20002"/>
      <sheetName val="OTR_CRED_1"/>
      <sheetName val="BASE_RATEIO_DIRETORIA1"/>
      <sheetName val="Validação_de_Dados1"/>
      <sheetName val="AVC_Garabi_II_Set181"/>
      <sheetName val="Listas_e_Tabelas1"/>
      <sheetName val="Siglas_e_Legendas1"/>
      <sheetName val="OCRE"/>
      <sheetName val="MENSAL"/>
      <sheetName val="FX_RES"/>
      <sheetName val="TENSÃO"/>
      <sheetName val="VALIDADOR"/>
      <sheetName val="1996"/>
      <sheetName val="Projeção Receita"/>
      <sheetName val="Simulação Mensal"/>
      <sheetName val="Cotação Areva SE's 2008"/>
      <sheetName val="Planilha1"/>
      <sheetName val="Drivers IAR 1 a 4 (3)"/>
      <sheetName val="Drivers IAR 1 a 4 (2)"/>
      <sheetName val="Drivers IAR 1 a 4"/>
      <sheetName val="Drivers IAR Global"/>
      <sheetName val="IAR Cepisa"/>
      <sheetName val="IAR Historico"/>
      <sheetName val="Simulação Anual"/>
      <sheetName val="PDD CNR"/>
      <sheetName val="Projeção CNR"/>
      <sheetName val="Dívida Serviço Publico (2)"/>
      <sheetName val="Dívida Serviço Publico"/>
      <sheetName val="CR CEPISA"/>
      <sheetName val="Planilha3"/>
      <sheetName val="Drivers 2"/>
      <sheetName val="Distribuidoras (2)"/>
      <sheetName val="Distribuidoras"/>
      <sheetName val="Plan7"/>
      <sheetName val="Evolução 2014 2015 2016"/>
      <sheetName val="IAR Longo Prazo Desafio"/>
      <sheetName val="IAR Longo Prazo Meta"/>
      <sheetName val="Drivers Novo"/>
      <sheetName val="Drivers Antigo"/>
      <sheetName val="Drivers"/>
      <sheetName val="Simuladores Desafio 45"/>
      <sheetName val="Simuladores Atual Plus"/>
      <sheetName val="Tarifas"/>
      <sheetName val="Arrecadação CNR Desafio"/>
      <sheetName val="Arrecadação CNR"/>
      <sheetName val="Evolução desde 2012 Desafio"/>
      <sheetName val="Gráficos"/>
      <sheetName val="Evolução 2014 2015 2016 Des"/>
      <sheetName val="Evolução 2014 2015 2016 Haiama"/>
      <sheetName val="Evolução 2014 2015 2016 Beto"/>
      <sheetName val="Evolução Anual"/>
      <sheetName val="Contas Aberto Com CNR"/>
      <sheetName val="Demais distribuidoras (2)"/>
      <sheetName val="Cemar x Celpa (2)"/>
      <sheetName val="Cemar x Celpa"/>
      <sheetName val="Cemar Liquido de PDD"/>
      <sheetName val="Demais distribuidoras"/>
      <sheetName val="Contas Comercial Com CNR Perdas"/>
      <sheetName val="Contas Comercial Com CNR"/>
      <sheetName val="Build Up_Celpa_Set"/>
      <sheetName val="Build Up_frentes_Comaprativo"/>
      <sheetName val="Mercado_Receita"/>
      <sheetName val="Cotação_Areva_SE's_2008"/>
      <sheetName val="Fatur__Bruto-Comercial4"/>
      <sheetName val="T_I_P4"/>
      <sheetName val="ICMS_Fat_4"/>
      <sheetName val="ICMS_Contábil4"/>
      <sheetName val="Tarifa_Comercial4"/>
      <sheetName val="Tarifa_Contabilidade4"/>
      <sheetName val="Arrec__Bruta4"/>
      <sheetName val="ICMS__Arrec_4"/>
      <sheetName val="Arrec_Líquida4"/>
      <sheetName val="_PIB_Brasil_(_R$_de_1996_)4"/>
      <sheetName val="tarifas_abertas_internet4"/>
      <sheetName val="Sist_Transm_Dist_Glob__4"/>
      <sheetName val="Base_FIN-NNG-PRE3"/>
      <sheetName val="Base_O&amp;M3"/>
      <sheetName val="DRE_e_FLUXO_CAIXA3"/>
      <sheetName val="Tabela_aux_3"/>
      <sheetName val="Comparativos_-_Abr-023"/>
      <sheetName val="Comparativos___Abr_023"/>
      <sheetName val="Comparativos_-_Fev-023"/>
      <sheetName val="Comparativos___Fev_023"/>
      <sheetName val="Comparativos_-_Jan-023"/>
      <sheetName val="Comparativos___Jan_023"/>
      <sheetName val="Comparativos_-_Mar-023"/>
      <sheetName val="Comparativos___Mar_023"/>
      <sheetName val="Comentários_Jan-02_3"/>
      <sheetName val="Comentários_Jan_02_3"/>
      <sheetName val="Consol__Energia_Ger3"/>
      <sheetName val="__3"/>
      <sheetName val="AA-10(Op_63)3"/>
      <sheetName val="Inventário_PA3"/>
      <sheetName val="ABRIL_20003"/>
      <sheetName val="OTR_CRED_2"/>
      <sheetName val="Plan1_(2)2"/>
      <sheetName val="BASE_RATEIO_DIRETORIA2"/>
      <sheetName val="Validação_de_Dados2"/>
      <sheetName val="AVC_Garabi_II_Set182"/>
      <sheetName val="Listas_e_Tabelas2"/>
      <sheetName val="Siglas_e_Legendas2"/>
      <sheetName val="GASTOS LE2000"/>
      <sheetName val="SELIC"/>
      <sheetName val="Balancete"/>
      <sheetName val="Referência Macro"/>
      <sheetName val="FATORES"/>
      <sheetName val="Base Geral"/>
      <sheetName val="Planilha2"/>
      <sheetName val="DIN_19"/>
      <sheetName val="DIN_18"/>
      <sheetName val="DIN_OBZ"/>
      <sheetName val="Centro de Custo"/>
      <sheetName val="Painel"/>
      <sheetName val="DRE (Projetado)"/>
      <sheetName val="DRE_19"/>
      <sheetName val="DRE_18"/>
      <sheetName val="DRE_OBZ"/>
      <sheetName val="OP_COMP"/>
      <sheetName val="OP_19"/>
      <sheetName val="OP_18"/>
      <sheetName val="OP_OBZ"/>
      <sheetName val="Balanco"/>
      <sheetName val="Cash-flow"/>
      <sheetName val="BD_Tkt_18"/>
      <sheetName val="BD_Tkt_19"/>
      <sheetName val="BD_Saldo_18"/>
      <sheetName val="BD_Saldo_19"/>
      <sheetName val="Form09"/>
      <sheetName val="0_&lt;_VCM_&lt;_1_350"/>
      <sheetName val="BancoSegment"/>
      <sheetName val="CÁLCULO_GRÁFICO"/>
      <sheetName val="Dados_mensais"/>
      <sheetName val="DRA"/>
      <sheetName val="DRP"/>
      <sheetName val="FEV99"/>
      <sheetName val="Critérios"/>
      <sheetName val="RDEG fev 07"/>
      <sheetName val="PROCV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 refreshError="1"/>
      <sheetData sheetId="283" refreshError="1"/>
      <sheetData sheetId="284" refreshError="1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 refreshError="1"/>
      <sheetData sheetId="36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3_1"/>
      <sheetName val="Q3_2"/>
      <sheetName val="Q3_3"/>
      <sheetName val="Q3_4"/>
      <sheetName val="Q3_5"/>
      <sheetName val="Q3_6"/>
      <sheetName val="Q3_7"/>
      <sheetName val="Q3_8"/>
      <sheetName val="Q3_9"/>
      <sheetName val="Q3_10"/>
      <sheetName val="Q3_11"/>
      <sheetName val="ApoioGraf"/>
      <sheetName val="Plan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1_1"/>
      <sheetName val="Q2_1"/>
      <sheetName val="Q2_2"/>
      <sheetName val="Q2_3"/>
      <sheetName val="Q2_4"/>
      <sheetName val="Q2_5"/>
      <sheetName val="Q2_6"/>
      <sheetName val="Q2_7"/>
      <sheetName val="Q2_8"/>
      <sheetName val="Q2_9"/>
      <sheetName val="Q2_10"/>
      <sheetName val="Q2_11"/>
      <sheetName val="Q2_12"/>
      <sheetName val="Q2_13"/>
      <sheetName val="Q2_14"/>
      <sheetName val="Q2_15"/>
      <sheetName val="Q2_16"/>
      <sheetName val="Q2_17"/>
      <sheetName val="Q2_18"/>
      <sheetName val="Q2_19"/>
      <sheetName val="Q2_20"/>
      <sheetName val="Fonte de Gráficos"/>
      <sheetName val="Configuração"/>
      <sheetName val="Custeio"/>
      <sheetName val="Tabelas de Apoio"/>
      <sheetName val="Fonte_de_Gráficos"/>
      <sheetName val="Tabelas_de_Apoio"/>
      <sheetName val="Fonte_de_Gráficos1"/>
      <sheetName val="Tabelas_de_Apoio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SAL"/>
      <sheetName val="MENSAL (2)"/>
      <sheetName val="Acumulado"/>
      <sheetName val="Mercado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"/>
      <sheetName val="apoio_data"/>
      <sheetName val="APOIO_LISTA"/>
      <sheetName val="RECEITAS_DE_TARIFAS"/>
      <sheetName val="SUBSIDIOS_CDE_TARIFAS"/>
      <sheetName val="MENSAL_(2)"/>
      <sheetName val="GoEight"/>
      <sheetName val="GrFour"/>
      <sheetName val="Calc"/>
      <sheetName val="MOne"/>
      <sheetName val="MTwo"/>
      <sheetName val="KOne"/>
      <sheetName val="GoSeven"/>
      <sheetName val="GrThree"/>
      <sheetName val="HTwo"/>
      <sheetName val="JOne"/>
      <sheetName val="JTwo"/>
      <sheetName val="HOne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e"/>
      <sheetName val="Detail"/>
      <sheetName val="Cash"/>
      <sheetName val="EPEnergy"/>
      <sheetName val="Debt"/>
      <sheetName val="ProjBal"/>
      <sheetName val="Drawdn"/>
      <sheetName val="USBal"/>
      <sheetName val="Sheet1"/>
      <sheetName val="Information"/>
      <sheetName val="Macros"/>
      <sheetName val="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Nomes"/>
      <sheetName val="BD"/>
      <sheetName val="Resultado"/>
      <sheetName val="Entrada"/>
      <sheetName val="Mercado"/>
      <sheetName val="Mercado_Receita"/>
      <sheetName val="VPB e Fator X"/>
      <sheetName val="Encargos"/>
      <sheetName val="CUSD"/>
      <sheetName val="Rede B."/>
      <sheetName val="Energia"/>
      <sheetName val="VPB1"/>
      <sheetName val="CVA"/>
      <sheetName val="Financeiros"/>
      <sheetName val="Indexador"/>
      <sheetName val="Índices"/>
      <sheetName val="Tarifa_GD-desv"/>
      <sheetName val="BD-NET"/>
      <sheetName val="Votos e NTs"/>
      <sheetName val="Gráficos"/>
      <sheetName val="Aj.Subsidio"/>
      <sheetName val="Entrada de Dados"/>
      <sheetName val="Dados Base"/>
      <sheetName val="Avaliação IRT Contratual"/>
      <sheetName val="Avaliação IRT com Efeito  RTE"/>
      <sheetName val="Avaliação Efeito Médio"/>
      <sheetName val="Dados"/>
      <sheetName val="NT 3CRTP"/>
      <sheetName val="Plan1"/>
      <sheetName val="SPARTA 0.931 COELBA 2015"/>
    </sheetNames>
    <sheetDataSet>
      <sheetData sheetId="0" refreshError="1"/>
      <sheetData sheetId="1" refreshError="1"/>
      <sheetData sheetId="2" refreshError="1"/>
      <sheetData sheetId="3">
        <row r="10">
          <cell r="L10">
            <v>0.1143</v>
          </cell>
        </row>
      </sheetData>
      <sheetData sheetId="4" refreshError="1"/>
      <sheetData sheetId="5">
        <row r="67">
          <cell r="E67">
            <v>198557.17196474626</v>
          </cell>
        </row>
      </sheetData>
      <sheetData sheetId="6">
        <row r="1">
          <cell r="A1" t="str">
            <v>id_MercProj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5">
          <cell r="R5" t="str">
            <v>COMPONENTES FINANCEIROS</v>
          </cell>
        </row>
      </sheetData>
      <sheetData sheetId="20" refreshError="1"/>
      <sheetData sheetId="21" refreshError="1"/>
      <sheetData sheetId="22" refreshError="1"/>
      <sheetData sheetId="23"/>
      <sheetData sheetId="24" refreshError="1"/>
      <sheetData sheetId="25">
        <row r="114">
          <cell r="CQ114" t="str">
            <v>Total</v>
          </cell>
        </row>
      </sheetData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trada de Dados"/>
      <sheetName val="Dados Base"/>
      <sheetName val="Avaliação RT PRORET - Proporção"/>
      <sheetName val="Avaliação RT com RTE - Mercado"/>
      <sheetName val="Avaliação RT PRORET - Mercado "/>
      <sheetName val="Avaliação RT com RTE-Proporção"/>
      <sheetName val="Códigos Empresas "/>
      <sheetName val="Dados"/>
      <sheetName val="Dados 3CRTP"/>
      <sheetName val="Dados Energia"/>
      <sheetName val="Plan2"/>
      <sheetName val="Comparativo Novo"/>
    </sheetNames>
    <sheetDataSet>
      <sheetData sheetId="0">
        <row r="3">
          <cell r="O3">
            <v>2015</v>
          </cell>
        </row>
      </sheetData>
      <sheetData sheetId="1"/>
      <sheetData sheetId="2"/>
      <sheetData sheetId="3">
        <row r="195">
          <cell r="K195" t="str">
            <v>IGPM - Fator X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GROPEC"/>
      <sheetName val="IND TOTAL"/>
      <sheetName val="IG"/>
      <sheetName val="CC"/>
      <sheetName val="siup "/>
      <sheetName val="comercio"/>
      <sheetName val="transporte"/>
      <sheetName val="comunicac"/>
      <sheetName val="IF"/>
      <sheetName val="APU"/>
      <sheetName val="OS"/>
      <sheetName val="TOTAL SERV"/>
      <sheetName val="DUMMY"/>
      <sheetName val="PIB(total uf)"/>
      <sheetName val=" PIB Brasil ( R$ de 1996 )"/>
      <sheetName val="Real_2004"/>
      <sheetName val="_PIB Brasil _ R_ de 1996 _"/>
      <sheetName val="pibr96"/>
      <sheetName val="#REF"/>
      <sheetName val="Grafico Cntr"/>
      <sheetName val="Dados de entrada"/>
      <sheetName val="PPA Tariff"/>
      <sheetName val="CVA_Projetada12meses"/>
      <sheetName val="INDIECO1"/>
      <sheetName val=""/>
      <sheetName val="IND_TOTAL"/>
      <sheetName val="siup_"/>
      <sheetName val="TOTAL_SERV"/>
      <sheetName val="PIB(total_uf)"/>
      <sheetName val="_PIB_Brasil_(_R$_de_1996_)"/>
      <sheetName val="Form09"/>
      <sheetName val="Auxiliar"/>
      <sheetName val="PROTOCOLO"/>
      <sheetName val="IND_TOTAL1"/>
      <sheetName val="siup_1"/>
      <sheetName val="TOTAL_SERV1"/>
      <sheetName val="PIB(total_uf)1"/>
      <sheetName val="_PIB_Brasil_(_R$_de_1996_)1"/>
      <sheetName val="_PIB_Brasil___R__de_1996__"/>
      <sheetName val="Grafico_Cntr"/>
      <sheetName val="Dados_de_entrada"/>
      <sheetName val="PPA_Tariff"/>
      <sheetName val="IND_TOTAL2"/>
      <sheetName val="siup_2"/>
      <sheetName val="TOTAL_SERV2"/>
      <sheetName val="PIB(total_uf)2"/>
      <sheetName val="_PIB_Brasil_(_R$_de_1996_)2"/>
      <sheetName val="_PIB_Brasil___R__de_1996__1"/>
      <sheetName val="Grafico_Cntr1"/>
      <sheetName val="Dados_de_entrada1"/>
      <sheetName val="PPA_Tariff1"/>
      <sheetName val="Variables"/>
      <sheetName val="Adtos Diversos"/>
      <sheetName val="ce"/>
      <sheetName val="Mercado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"/>
      <sheetName val="apoio_data"/>
      <sheetName val="APOIO_LISTA"/>
      <sheetName val="RECEITAS_DE_TARIFAS"/>
      <sheetName val="SUBSIDIOS_CDE_TARIFAS"/>
      <sheetName val="GDP"/>
      <sheetName val="Taxas"/>
      <sheetName val="Parque Gerador"/>
      <sheetName val="ResGeral-NOV01"/>
      <sheetName val="ResGeral_NOV01"/>
      <sheetName val="Base de dados"/>
      <sheetName val="Base de dados_EDV"/>
      <sheetName val="NATUREZA ORÇAMENTARIA"/>
      <sheetName val="Base de dados_UG"/>
      <sheetName val="COD_GERENCIAL"/>
      <sheetName val="HIDRAULICA"/>
      <sheetName val="Cosméticos"/>
      <sheetName val="ACUMULADO"/>
      <sheetName val="DADOS - 2007 Apl Finan"/>
      <sheetName val="Bal03200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BD"/>
      <sheetName val="Entrada"/>
      <sheetName val="Resultado"/>
      <sheetName val="Votos e NTs"/>
      <sheetName val="NT Revisao"/>
      <sheetName val="Apresentação"/>
      <sheetName val="AP x Final"/>
      <sheetName val="Mercado"/>
      <sheetName val="Mercado_Receita"/>
      <sheetName val="VPB1"/>
      <sheetName val="VPB e Fator X"/>
      <sheetName val="Avaliação Parcela B"/>
      <sheetName val="Fator Q"/>
      <sheetName val="UDEROR"/>
      <sheetName val="Energia"/>
      <sheetName val="RB e Conexão"/>
      <sheetName val="CUSD"/>
      <sheetName val="Encargos"/>
      <sheetName val="Financeiros"/>
      <sheetName val="CVA"/>
      <sheetName val="Neutralidade"/>
      <sheetName val="COVID"/>
      <sheetName val="Postergação"/>
      <sheetName val="Suprimento"/>
      <sheetName val="Financeiro RTE"/>
      <sheetName val="Aj.Subsidio"/>
      <sheetName val="Indexador"/>
      <sheetName val="Índices"/>
      <sheetName val="BD_Upload_novo"/>
      <sheetName val="BD-NET"/>
      <sheetName val="SPARTA ADMIN"/>
      <sheetName val="SPARTAmatrixNC-SEM AJUSTE CVA"/>
    </sheetNames>
    <sheetDataSet>
      <sheetData sheetId="0">
        <row r="6">
          <cell r="B6" t="str">
            <v>IENERGIA</v>
          </cell>
        </row>
        <row r="8">
          <cell r="G8">
            <v>44356.447187500002</v>
          </cell>
        </row>
        <row r="10">
          <cell r="C10">
            <v>44437</v>
          </cell>
        </row>
        <row r="22">
          <cell r="G22">
            <v>44356.429201388892</v>
          </cell>
        </row>
        <row r="23">
          <cell r="G23">
            <v>44330.400173611109</v>
          </cell>
        </row>
        <row r="26">
          <cell r="G26">
            <v>44356.447199074071</v>
          </cell>
        </row>
      </sheetData>
      <sheetData sheetId="1">
        <row r="8">
          <cell r="B8" t="str">
            <v>CDE Energia: Conta ACR</v>
          </cell>
          <cell r="C8">
            <v>0</v>
          </cell>
          <cell r="S8">
            <v>201</v>
          </cell>
          <cell r="T8" t="str">
            <v>Financeiro de RTP</v>
          </cell>
          <cell r="U8" t="str">
            <v>Conselho de Consumidor</v>
          </cell>
          <cell r="V8">
            <v>0</v>
          </cell>
        </row>
        <row r="9">
          <cell r="B9" t="str">
            <v>CDE Energia: Decreto</v>
          </cell>
          <cell r="C9">
            <v>0</v>
          </cell>
          <cell r="S9">
            <v>202</v>
          </cell>
          <cell r="T9" t="str">
            <v>Financeiro de RTP</v>
          </cell>
          <cell r="U9" t="str">
            <v>Conselho de Consumidor</v>
          </cell>
          <cell r="V9">
            <v>7.5999999999999998E-2</v>
          </cell>
        </row>
        <row r="10">
          <cell r="B10" t="str">
            <v>TFSEE</v>
          </cell>
          <cell r="C10">
            <v>84545.547871877701</v>
          </cell>
          <cell r="S10">
            <v>203</v>
          </cell>
          <cell r="T10" t="str">
            <v>Financeiro de RTP</v>
          </cell>
          <cell r="U10" t="str">
            <v>Conselho de Consumidor</v>
          </cell>
          <cell r="V10">
            <v>0.92400000000000004</v>
          </cell>
        </row>
        <row r="11">
          <cell r="B11" t="str">
            <v>CDE</v>
          </cell>
          <cell r="C11">
            <v>7384977.1632637102</v>
          </cell>
        </row>
        <row r="13">
          <cell r="B13" t="str">
            <v>ESS/ERR</v>
          </cell>
          <cell r="C13">
            <v>1374239.6</v>
          </cell>
        </row>
        <row r="14">
          <cell r="B14" t="str">
            <v>PROINFA</v>
          </cell>
          <cell r="C14">
            <v>981764.82961709797</v>
          </cell>
        </row>
        <row r="15">
          <cell r="B15" t="str">
            <v>P&amp;D</v>
          </cell>
          <cell r="C15">
            <v>622769.271711768</v>
          </cell>
        </row>
        <row r="16">
          <cell r="B16" t="str">
            <v>ONS</v>
          </cell>
          <cell r="C16">
            <v>0</v>
          </cell>
        </row>
        <row r="18">
          <cell r="B18" t="str">
            <v>Pmix</v>
          </cell>
          <cell r="C18">
            <v>184.61518466107199</v>
          </cell>
        </row>
        <row r="19">
          <cell r="B19" t="str">
            <v>PN2020</v>
          </cell>
          <cell r="C19">
            <v>2.3945528587070851E-2</v>
          </cell>
        </row>
        <row r="20">
          <cell r="B20" t="str">
            <v>PN2021</v>
          </cell>
          <cell r="C20">
            <v>1.894552858707085E-2</v>
          </cell>
        </row>
        <row r="21">
          <cell r="B21" t="str">
            <v>PT2017</v>
          </cell>
          <cell r="C21">
            <v>4.99E-2</v>
          </cell>
        </row>
        <row r="22">
          <cell r="B22" t="str">
            <v>Perda RB total</v>
          </cell>
          <cell r="C22">
            <v>2.54353800939882E-2</v>
          </cell>
        </row>
        <row r="24">
          <cell r="B24" t="str">
            <v>CVA RB</v>
          </cell>
          <cell r="C24">
            <v>858691.66249999998</v>
          </cell>
          <cell r="G24" t="str">
            <v>Data Postergada</v>
          </cell>
          <cell r="H24">
            <v>44399</v>
          </cell>
        </row>
        <row r="25">
          <cell r="B25" t="str">
            <v>CVA CCC</v>
          </cell>
          <cell r="C25">
            <v>0</v>
          </cell>
          <cell r="G25" t="str">
            <v>Data Anterior</v>
          </cell>
          <cell r="H25">
            <v>44399</v>
          </cell>
        </row>
        <row r="26">
          <cell r="B26" t="str">
            <v>CVA CDE</v>
          </cell>
          <cell r="C26">
            <v>638909.55469999998</v>
          </cell>
          <cell r="G26" t="str">
            <v>Diferença de Dias</v>
          </cell>
          <cell r="H26">
            <v>23</v>
          </cell>
        </row>
        <row r="27">
          <cell r="B27" t="str">
            <v>CVA CFURH</v>
          </cell>
          <cell r="G27" t="str">
            <v>MesesAdin</v>
          </cell>
          <cell r="H27">
            <v>0</v>
          </cell>
        </row>
        <row r="28">
          <cell r="B28" t="str">
            <v>CVA ESS\ERR</v>
          </cell>
          <cell r="C28">
            <v>-1382637.3193999999</v>
          </cell>
          <cell r="G28" t="str">
            <v>Reversão Subvenção CDE</v>
          </cell>
          <cell r="H28">
            <v>0</v>
          </cell>
        </row>
        <row r="29">
          <cell r="B29" t="str">
            <v>CVA PROINFA</v>
          </cell>
          <cell r="C29">
            <v>-150842.01629999999</v>
          </cell>
          <cell r="G29" t="str">
            <v>Data 4CRT</v>
          </cell>
          <cell r="H29">
            <v>42938</v>
          </cell>
        </row>
        <row r="30">
          <cell r="B30" t="str">
            <v>CVA TRANS. ITAIPU</v>
          </cell>
          <cell r="C30">
            <v>94853.391699999993</v>
          </cell>
        </row>
        <row r="31">
          <cell r="B31" t="str">
            <v>CVA ENERGIA</v>
          </cell>
          <cell r="C31">
            <v>2258257.0518999998</v>
          </cell>
        </row>
        <row r="32">
          <cell r="B32" t="str">
            <v>CVA CDE E</v>
          </cell>
          <cell r="C32">
            <v>-107498.8217</v>
          </cell>
        </row>
        <row r="36">
          <cell r="G36" t="str">
            <v>TUSDg Export DRP</v>
          </cell>
          <cell r="H36">
            <v>0</v>
          </cell>
        </row>
        <row r="37">
          <cell r="G37" t="str">
            <v>TUSDg ONS DRP</v>
          </cell>
          <cell r="H37">
            <v>0</v>
          </cell>
        </row>
        <row r="38">
          <cell r="G38" t="str">
            <v>TUSDg ONS DRA</v>
          </cell>
          <cell r="H38">
            <v>0</v>
          </cell>
        </row>
        <row r="39">
          <cell r="G39" t="str">
            <v>TUSDg Export DRA</v>
          </cell>
          <cell r="H39">
            <v>0</v>
          </cell>
        </row>
        <row r="40">
          <cell r="C40">
            <v>1453043.85800593</v>
          </cell>
        </row>
        <row r="43">
          <cell r="G43" t="str">
            <v>fatorx_t</v>
          </cell>
          <cell r="H43">
            <v>0</v>
          </cell>
        </row>
        <row r="44">
          <cell r="G44" t="str">
            <v>fatorx_pd</v>
          </cell>
          <cell r="H44">
            <v>0</v>
          </cell>
        </row>
        <row r="45">
          <cell r="C45">
            <v>138591.58199999999</v>
          </cell>
        </row>
        <row r="46">
          <cell r="C46">
            <v>71909034.088653773</v>
          </cell>
        </row>
        <row r="47">
          <cell r="G47" t="str">
            <v>DEC A-2</v>
          </cell>
          <cell r="H47">
            <v>0</v>
          </cell>
        </row>
        <row r="48">
          <cell r="G48" t="str">
            <v>DEC A-1</v>
          </cell>
          <cell r="H48">
            <v>0</v>
          </cell>
        </row>
        <row r="49">
          <cell r="G49" t="str">
            <v>FEC A-2</v>
          </cell>
          <cell r="H49">
            <v>0</v>
          </cell>
        </row>
        <row r="50">
          <cell r="G50" t="str">
            <v>FEC A-1</v>
          </cell>
          <cell r="H50">
            <v>0</v>
          </cell>
        </row>
        <row r="53">
          <cell r="B53" t="str">
            <v>Ciclo de Revisão</v>
          </cell>
          <cell r="C53">
            <v>5</v>
          </cell>
          <cell r="G53" t="str">
            <v>Dólar médio</v>
          </cell>
          <cell r="H53">
            <v>5.0489409090909083</v>
          </cell>
        </row>
        <row r="54">
          <cell r="G54" t="str">
            <v>Data Inicial</v>
          </cell>
          <cell r="H54">
            <v>44354</v>
          </cell>
        </row>
        <row r="55">
          <cell r="G55" t="str">
            <v>Data Final</v>
          </cell>
          <cell r="H55">
            <v>44383</v>
          </cell>
        </row>
        <row r="56">
          <cell r="G56" t="str">
            <v>Último Dado Diponível</v>
          </cell>
          <cell r="H56">
            <v>44355</v>
          </cell>
        </row>
        <row r="57">
          <cell r="L57" t="str">
            <v>Perdas RB</v>
          </cell>
          <cell r="M57">
            <v>3503.2460000000001</v>
          </cell>
        </row>
        <row r="58">
          <cell r="L58" t="str">
            <v>Perdas DITs</v>
          </cell>
          <cell r="M58">
            <v>1311.2459999999999</v>
          </cell>
        </row>
        <row r="59">
          <cell r="B59">
            <v>44013</v>
          </cell>
          <cell r="C59">
            <v>0</v>
          </cell>
          <cell r="D59">
            <v>0</v>
          </cell>
          <cell r="E59">
            <v>0</v>
          </cell>
          <cell r="F59">
            <v>1221.4108333333299</v>
          </cell>
          <cell r="G59">
            <v>267.72083333333302</v>
          </cell>
          <cell r="H59">
            <v>0</v>
          </cell>
        </row>
        <row r="63">
          <cell r="L63" t="str">
            <v>Fator PB1</v>
          </cell>
          <cell r="M63">
            <v>1.0760528761761401</v>
          </cell>
        </row>
        <row r="67">
          <cell r="L67" t="str">
            <v>PctRIResidencial</v>
          </cell>
          <cell r="M67">
            <v>7.6999999999999996E-4</v>
          </cell>
          <cell r="O67">
            <v>44013</v>
          </cell>
          <cell r="P67">
            <v>8.3000000000000007</v>
          </cell>
        </row>
        <row r="68">
          <cell r="L68" t="str">
            <v>PctRIIndustrial</v>
          </cell>
          <cell r="M68">
            <v>1.0000000000000001E-5</v>
          </cell>
          <cell r="O68">
            <v>44044</v>
          </cell>
          <cell r="P68">
            <v>379.02</v>
          </cell>
        </row>
        <row r="69">
          <cell r="L69" t="str">
            <v>PctRICOMERCIAL</v>
          </cell>
          <cell r="M69">
            <v>5.1999999999999995E-4</v>
          </cell>
          <cell r="O69">
            <v>44075</v>
          </cell>
          <cell r="P69">
            <v>40.76</v>
          </cell>
        </row>
        <row r="70">
          <cell r="L70" t="str">
            <v>PctRIRURAL</v>
          </cell>
          <cell r="M70">
            <v>1.3499999999999997E-4</v>
          </cell>
          <cell r="O70">
            <v>44105</v>
          </cell>
          <cell r="P70">
            <v>37.35</v>
          </cell>
        </row>
        <row r="71">
          <cell r="L71" t="str">
            <v>PctRILUMPUBLICA</v>
          </cell>
          <cell r="M71">
            <v>0</v>
          </cell>
          <cell r="O71">
            <v>44136</v>
          </cell>
          <cell r="P71">
            <v>0</v>
          </cell>
        </row>
        <row r="72">
          <cell r="L72" t="str">
            <v>PctRIPODERPUBLICO</v>
          </cell>
          <cell r="M72">
            <v>0</v>
          </cell>
          <cell r="O72">
            <v>44166</v>
          </cell>
          <cell r="P72">
            <v>512747.67</v>
          </cell>
        </row>
        <row r="73">
          <cell r="L73" t="str">
            <v>PctRISERVPUBLICO</v>
          </cell>
          <cell r="M73">
            <v>0</v>
          </cell>
          <cell r="O73">
            <v>44197</v>
          </cell>
          <cell r="P73">
            <v>415828.77</v>
          </cell>
        </row>
        <row r="74">
          <cell r="O74">
            <v>44228</v>
          </cell>
          <cell r="P74">
            <v>154805.07999999999</v>
          </cell>
        </row>
        <row r="75">
          <cell r="O75">
            <v>44256</v>
          </cell>
          <cell r="P75">
            <v>164402.82</v>
          </cell>
        </row>
        <row r="76">
          <cell r="O76">
            <v>44287</v>
          </cell>
          <cell r="P76">
            <v>159783.51</v>
          </cell>
        </row>
        <row r="77">
          <cell r="O77">
            <v>44317</v>
          </cell>
          <cell r="P77">
            <v>159783.51</v>
          </cell>
        </row>
        <row r="78">
          <cell r="O78">
            <v>44348</v>
          </cell>
          <cell r="P78">
            <v>159783.51</v>
          </cell>
        </row>
        <row r="87">
          <cell r="I87" t="str">
            <v>BILATERAL</v>
          </cell>
          <cell r="K87" t="str">
            <v>valor</v>
          </cell>
          <cell r="L87">
            <v>79489.680000000051</v>
          </cell>
          <cell r="M87">
            <v>13594913.842635242</v>
          </cell>
        </row>
        <row r="88">
          <cell r="I88" t="str">
            <v>CCEN</v>
          </cell>
          <cell r="K88" t="str">
            <v>valor</v>
          </cell>
          <cell r="L88">
            <v>5166.7314284060103</v>
          </cell>
          <cell r="M88">
            <v>1393725.8028125244</v>
          </cell>
        </row>
        <row r="89">
          <cell r="I89" t="str">
            <v>CCGF</v>
          </cell>
          <cell r="K89" t="str">
            <v>valor</v>
          </cell>
          <cell r="L89">
            <v>38012.814149201615</v>
          </cell>
          <cell r="M89">
            <v>4258195.4409935633</v>
          </cell>
        </row>
        <row r="90">
          <cell r="I90" t="str">
            <v>GERAÇÃO PRÓPRIA</v>
          </cell>
          <cell r="K90" t="str">
            <v>valor</v>
          </cell>
          <cell r="L90">
            <v>3555.3004999999998</v>
          </cell>
          <cell r="M90">
            <v>373979.10137444508</v>
          </cell>
        </row>
        <row r="91">
          <cell r="I91" t="str">
            <v>ITAIPU</v>
          </cell>
          <cell r="K91" t="str">
            <v>valor</v>
          </cell>
          <cell r="L91">
            <v>27487.082076314164</v>
          </cell>
          <cell r="M91">
            <v>9372526.0462869033</v>
          </cell>
        </row>
        <row r="92">
          <cell r="I92" t="str">
            <v>PROINFA</v>
          </cell>
          <cell r="K92" t="str">
            <v>valor</v>
          </cell>
          <cell r="L92">
            <v>3258.9491387774601</v>
          </cell>
        </row>
        <row r="93">
          <cell r="I93" t="str">
            <v>SOBRA/EXPOSIÇÃO</v>
          </cell>
          <cell r="K93" t="str">
            <v>valor</v>
          </cell>
          <cell r="L93">
            <v>-3542.2101485896274</v>
          </cell>
          <cell r="M93">
            <v>-668137.59384983778</v>
          </cell>
        </row>
        <row r="459">
          <cell r="B459" t="str">
            <v>ENCARGO</v>
          </cell>
          <cell r="C459" t="str">
            <v>CDE</v>
          </cell>
          <cell r="D459">
            <v>85170.845719363992</v>
          </cell>
          <cell r="G459" t="str">
            <v>CUSTO</v>
          </cell>
          <cell r="H459" t="str">
            <v>CONEXÃO D</v>
          </cell>
          <cell r="J459" t="str">
            <v>R$</v>
          </cell>
          <cell r="K459">
            <v>0</v>
          </cell>
        </row>
        <row r="460">
          <cell r="B460" t="str">
            <v>ENCARGO</v>
          </cell>
          <cell r="C460" t="str">
            <v>CDE Energia</v>
          </cell>
          <cell r="D460">
            <v>-9402.6885537669805</v>
          </cell>
          <cell r="G460" t="str">
            <v>CUSTO</v>
          </cell>
          <cell r="H460" t="str">
            <v>CONEXÃO T</v>
          </cell>
          <cell r="J460" t="str">
            <v>R$</v>
          </cell>
          <cell r="K460">
            <v>1453043.85800593</v>
          </cell>
        </row>
        <row r="461">
          <cell r="B461" t="str">
            <v>ENCARGO</v>
          </cell>
          <cell r="C461" t="str">
            <v>ESS/ERR</v>
          </cell>
          <cell r="D461">
            <v>-21710.3391704764</v>
          </cell>
          <cell r="G461" t="str">
            <v>CUSTO</v>
          </cell>
          <cell r="H461" t="str">
            <v>EUSD</v>
          </cell>
          <cell r="J461" t="str">
            <v>R$</v>
          </cell>
          <cell r="K461">
            <v>0</v>
          </cell>
        </row>
        <row r="462">
          <cell r="B462" t="str">
            <v>ENCARGO</v>
          </cell>
          <cell r="C462" t="str">
            <v>P&amp;D</v>
          </cell>
          <cell r="D462">
            <v>-23.8003810262862</v>
          </cell>
          <cell r="G462" t="str">
            <v>CUSTO</v>
          </cell>
          <cell r="H462" t="str">
            <v>EUST - FR</v>
          </cell>
          <cell r="J462" t="str">
            <v>R$</v>
          </cell>
          <cell r="K462">
            <v>6132300</v>
          </cell>
        </row>
        <row r="463">
          <cell r="B463" t="str">
            <v>ENCARGO</v>
          </cell>
          <cell r="C463" t="str">
            <v>PROINFA</v>
          </cell>
          <cell r="D463">
            <v>-9373.8430473696008</v>
          </cell>
          <cell r="G463" t="str">
            <v>CUSTO</v>
          </cell>
          <cell r="H463" t="str">
            <v>EUST - ITAIPU</v>
          </cell>
          <cell r="J463" t="str">
            <v>R$</v>
          </cell>
          <cell r="K463">
            <v>589255.76737051597</v>
          </cell>
        </row>
        <row r="464">
          <cell r="B464" t="str">
            <v>ENCARGO</v>
          </cell>
          <cell r="C464" t="str">
            <v>TFSEE</v>
          </cell>
          <cell r="D464">
            <v>-1702.9369871967799</v>
          </cell>
          <cell r="G464" t="str">
            <v>CUSTO</v>
          </cell>
          <cell r="H464" t="str">
            <v>EUST - RB</v>
          </cell>
          <cell r="J464" t="str">
            <v>R$</v>
          </cell>
          <cell r="K464">
            <v>6944628</v>
          </cell>
        </row>
        <row r="465">
          <cell r="B465" t="str">
            <v>ENERGIA</v>
          </cell>
          <cell r="C465" t="str">
            <v>ENERGIA REQUERIDA SEM PERDAS</v>
          </cell>
          <cell r="D465">
            <v>387401.49063635472</v>
          </cell>
          <cell r="G465" t="str">
            <v>CUSTO</v>
          </cell>
          <cell r="H465" t="str">
            <v>TRANSPORTE ITAIPU</v>
          </cell>
          <cell r="J465" t="str">
            <v>R$</v>
          </cell>
          <cell r="K465">
            <v>730472.40618974098</v>
          </cell>
        </row>
        <row r="466">
          <cell r="B466" t="str">
            <v>ENERGIA</v>
          </cell>
          <cell r="C466" t="str">
            <v>PERDAS NA RB (sobre as perdas na D)</v>
          </cell>
          <cell r="D466">
            <v>784.29559312006631</v>
          </cell>
          <cell r="G466" t="str">
            <v>CUSTO</v>
          </cell>
          <cell r="H466" t="str">
            <v>TUSDg ONS (A2)</v>
          </cell>
          <cell r="J466" t="str">
            <v>R$</v>
          </cell>
          <cell r="K466">
            <v>0</v>
          </cell>
        </row>
        <row r="467">
          <cell r="B467" t="str">
            <v>ENERGIA</v>
          </cell>
          <cell r="C467" t="str">
            <v>PERDAS NA RB (sobre o mercado cativo)</v>
          </cell>
          <cell r="D467">
            <v>9853.704163313123</v>
          </cell>
          <cell r="G467" t="str">
            <v>CUSTO</v>
          </cell>
          <cell r="H467" t="str">
            <v>TUSDg T (A2)</v>
          </cell>
          <cell r="J467" t="str">
            <v>R$</v>
          </cell>
          <cell r="K467">
            <v>0</v>
          </cell>
        </row>
        <row r="468">
          <cell r="B468" t="str">
            <v>ENERGIA</v>
          </cell>
          <cell r="C468" t="str">
            <v>PERDAS NÃO TÉCNICAS</v>
          </cell>
          <cell r="D468">
            <v>7334.0255043241959</v>
          </cell>
          <cell r="G468" t="str">
            <v>PARÂMETRO</v>
          </cell>
          <cell r="I468" t="str">
            <v>FORA PONTA</v>
          </cell>
          <cell r="J468" t="str">
            <v>MW</v>
          </cell>
          <cell r="K468">
            <v>684</v>
          </cell>
        </row>
        <row r="469">
          <cell r="B469" t="str">
            <v>ENERGIA</v>
          </cell>
          <cell r="C469" t="str">
            <v>PERDAS TÉCNICAS</v>
          </cell>
          <cell r="D469">
            <v>23500.803392352886</v>
          </cell>
          <cell r="G469" t="str">
            <v>PARÂMETRO</v>
          </cell>
          <cell r="I469" t="str">
            <v>PONTA</v>
          </cell>
          <cell r="J469" t="str">
            <v>MW</v>
          </cell>
          <cell r="K469">
            <v>672</v>
          </cell>
        </row>
        <row r="470">
          <cell r="B470" t="str">
            <v>ENERGIA</v>
          </cell>
          <cell r="C470" t="str">
            <v>reservado para energia</v>
          </cell>
          <cell r="D470">
            <v>861963.42812765168</v>
          </cell>
          <cell r="G470" t="str">
            <v>PARÂMETRO</v>
          </cell>
          <cell r="H470" t="str">
            <v>EUST - FR</v>
          </cell>
          <cell r="I470" t="str">
            <v>FORA PONTA</v>
          </cell>
          <cell r="J470" t="str">
            <v>R$</v>
          </cell>
          <cell r="K470">
            <v>3111084</v>
          </cell>
        </row>
        <row r="471">
          <cell r="B471" t="str">
            <v>Receita Irrecuperável</v>
          </cell>
          <cell r="D471">
            <v>-58.453018468566803</v>
          </cell>
          <cell r="G471" t="str">
            <v>PARÂMETRO</v>
          </cell>
          <cell r="H471" t="str">
            <v>EUST - FR</v>
          </cell>
          <cell r="I471" t="str">
            <v>PONTA</v>
          </cell>
          <cell r="J471" t="str">
            <v>R$</v>
          </cell>
          <cell r="K471">
            <v>3021216</v>
          </cell>
        </row>
        <row r="472">
          <cell r="B472" t="str">
            <v>TRANSPORTE TERCEIROS</v>
          </cell>
          <cell r="C472" t="str">
            <v>CONEXÃO T</v>
          </cell>
          <cell r="D472">
            <v>-7519.7435915168799</v>
          </cell>
          <cell r="G472" t="str">
            <v>PARÂMETRO</v>
          </cell>
          <cell r="H472" t="str">
            <v>EUST - RB</v>
          </cell>
          <cell r="I472" t="str">
            <v>FORA PONTA</v>
          </cell>
          <cell r="J472" t="str">
            <v>R$</v>
          </cell>
          <cell r="K472">
            <v>3572532</v>
          </cell>
        </row>
        <row r="473">
          <cell r="B473" t="str">
            <v>TRANSPORTE TERCEIROS</v>
          </cell>
          <cell r="C473" t="str">
            <v>EUST - FR</v>
          </cell>
          <cell r="D473">
            <v>235115.34254195701</v>
          </cell>
          <cell r="G473" t="str">
            <v>PARÂMETRO</v>
          </cell>
          <cell r="H473" t="str">
            <v>EUST - RB</v>
          </cell>
          <cell r="I473" t="str">
            <v>PONTA</v>
          </cell>
          <cell r="J473" t="str">
            <v>R$</v>
          </cell>
          <cell r="K473">
            <v>3372096</v>
          </cell>
        </row>
        <row r="474">
          <cell r="B474" t="str">
            <v>TRANSPORTE TERCEIROS</v>
          </cell>
          <cell r="C474" t="str">
            <v>EUST - ITAIPU</v>
          </cell>
          <cell r="D474">
            <v>51123.654817887938</v>
          </cell>
        </row>
        <row r="475">
          <cell r="B475" t="str">
            <v>TRANSPORTE TERCEIROS</v>
          </cell>
          <cell r="C475" t="str">
            <v>EUST - RB</v>
          </cell>
          <cell r="D475">
            <v>302226.77621791465</v>
          </cell>
        </row>
        <row r="476">
          <cell r="B476" t="str">
            <v>TRANSPORTE TERCEIROS</v>
          </cell>
          <cell r="C476" t="str">
            <v>TRANSPORTE ITAIPU</v>
          </cell>
          <cell r="D476">
            <v>19200.261289466798</v>
          </cell>
        </row>
      </sheetData>
      <sheetData sheetId="2"/>
      <sheetData sheetId="3">
        <row r="39">
          <cell r="D39" t="e">
            <v>#DIV/0!</v>
          </cell>
        </row>
      </sheetData>
      <sheetData sheetId="4">
        <row r="29">
          <cell r="R29" t="e">
            <v>#DIV/0!</v>
          </cell>
        </row>
        <row r="286">
          <cell r="BP286">
            <v>0</v>
          </cell>
        </row>
      </sheetData>
      <sheetData sheetId="5"/>
      <sheetData sheetId="6"/>
      <sheetData sheetId="7"/>
      <sheetData sheetId="8">
        <row r="29">
          <cell r="B29" t="str">
            <v>DESCRIÇÃO - Tipo</v>
          </cell>
          <cell r="C29" t="str">
            <v>RECEITA (R$)</v>
          </cell>
          <cell r="G29" t="str">
            <v>Percentual RI</v>
          </cell>
          <cell r="H29" t="str">
            <v>Reais RI (c/tributos)</v>
          </cell>
        </row>
        <row r="30">
          <cell r="B30" t="str">
            <v>Residencial</v>
          </cell>
          <cell r="C30">
            <v>0</v>
          </cell>
          <cell r="G30">
            <v>0</v>
          </cell>
          <cell r="H30" t="e">
            <v>#DIV/0!</v>
          </cell>
        </row>
        <row r="31">
          <cell r="B31" t="str">
            <v>Industrial</v>
          </cell>
          <cell r="C31">
            <v>0</v>
          </cell>
          <cell r="G31">
            <v>0</v>
          </cell>
          <cell r="H31" t="e">
            <v>#DIV/0!</v>
          </cell>
        </row>
        <row r="32">
          <cell r="B32" t="str">
            <v>Comercial</v>
          </cell>
          <cell r="C32">
            <v>0</v>
          </cell>
          <cell r="G32">
            <v>0</v>
          </cell>
          <cell r="H32" t="e">
            <v>#DIV/0!</v>
          </cell>
        </row>
        <row r="33">
          <cell r="B33" t="str">
            <v>Rural</v>
          </cell>
          <cell r="C33">
            <v>0</v>
          </cell>
          <cell r="G33">
            <v>0</v>
          </cell>
          <cell r="H33" t="e">
            <v>#DIV/0!</v>
          </cell>
        </row>
        <row r="34">
          <cell r="B34" t="str">
            <v>Iluminação Pública</v>
          </cell>
          <cell r="C34">
            <v>0</v>
          </cell>
          <cell r="G34">
            <v>0</v>
          </cell>
          <cell r="H34" t="e">
            <v>#DIV/0!</v>
          </cell>
        </row>
        <row r="35">
          <cell r="B35" t="str">
            <v>Poder Público</v>
          </cell>
          <cell r="C35">
            <v>0</v>
          </cell>
          <cell r="G35">
            <v>0</v>
          </cell>
          <cell r="H35" t="e">
            <v>#DIV/0!</v>
          </cell>
        </row>
        <row r="36">
          <cell r="B36" t="str">
            <v>Serviço Público</v>
          </cell>
          <cell r="C36">
            <v>0</v>
          </cell>
          <cell r="G36">
            <v>0</v>
          </cell>
          <cell r="H36" t="e">
            <v>#DIV/0!</v>
          </cell>
        </row>
        <row r="37">
          <cell r="B37" t="str">
            <v>Demais</v>
          </cell>
          <cell r="C37">
            <v>0</v>
          </cell>
          <cell r="G37">
            <v>0</v>
          </cell>
          <cell r="H37" t="e">
            <v>#DIV/0!</v>
          </cell>
        </row>
        <row r="38">
          <cell r="B38" t="str">
            <v xml:space="preserve">TOTAL </v>
          </cell>
          <cell r="C38">
            <v>0</v>
          </cell>
          <cell r="H38" t="e">
            <v>#DIV/0!</v>
          </cell>
        </row>
        <row r="67">
          <cell r="K67" t="e">
            <v>#N/A</v>
          </cell>
        </row>
      </sheetData>
      <sheetData sheetId="9"/>
      <sheetData sheetId="10">
        <row r="44">
          <cell r="F44">
            <v>7.7076422376114589E-2</v>
          </cell>
        </row>
      </sheetData>
      <sheetData sheetId="11">
        <row r="33">
          <cell r="C33">
            <v>1.8084300000000006E-3</v>
          </cell>
        </row>
      </sheetData>
      <sheetData sheetId="12"/>
      <sheetData sheetId="13"/>
      <sheetData sheetId="14"/>
      <sheetData sheetId="15">
        <row r="38">
          <cell r="E38">
            <v>0</v>
          </cell>
        </row>
      </sheetData>
      <sheetData sheetId="16"/>
      <sheetData sheetId="17"/>
      <sheetData sheetId="18"/>
      <sheetData sheetId="19">
        <row r="90">
          <cell r="D90">
            <v>0</v>
          </cell>
        </row>
      </sheetData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2">
          <cell r="B2" t="str">
            <v>INDICADORES ECONÔMICOS</v>
          </cell>
        </row>
      </sheetData>
      <sheetData sheetId="29"/>
      <sheetData sheetId="30"/>
      <sheetData sheetId="31"/>
      <sheetData sheetId="3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marks"/>
      <sheetName val="EPC Costs"/>
      <sheetName val="Assume"/>
      <sheetName val="Drawdn"/>
      <sheetName val="Cash"/>
      <sheetName val="Detail"/>
      <sheetName val="EPEnergy"/>
      <sheetName val="Loans in US$"/>
      <sheetName val="Loans in R$"/>
      <sheetName val="Debt"/>
      <sheetName val="Plan1"/>
      <sheetName val="ProjBal"/>
      <sheetName val="USBal"/>
      <sheetName val="Price Curve"/>
      <sheetName val="Sensitiviy"/>
      <sheetName val="Macros"/>
      <sheetName val="Module1"/>
      <sheetName val="Module2"/>
      <sheetName val="Module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Resultado"/>
      <sheetName val="Tabelas e Gráficos"/>
      <sheetName val="Financeiros"/>
      <sheetName val="Indexador"/>
      <sheetName val="Calc_Mercado"/>
      <sheetName val="Encargos"/>
      <sheetName val="CUSD"/>
      <sheetName val="Energia"/>
      <sheetName val="Verif Mercado"/>
      <sheetName val="BD MERCADO"/>
      <sheetName val="Financ Encargos"/>
      <sheetName val="BD SUPRIMENTO"/>
      <sheetName val="Novo EFEITO"/>
      <sheetName val="AnexoApp"/>
      <sheetName val="TrResumTran"/>
      <sheetName val="TarBE"/>
      <sheetName val="Conexão "/>
      <sheetName val="Rede Básica + Ajuste"/>
      <sheetName val="BD Processos Anteriores"/>
      <sheetName val="RBBD"/>
      <sheetName val="RA0BD"/>
      <sheetName val="SimuBD"/>
      <sheetName val="Validação"/>
      <sheetName val="Índices"/>
      <sheetName val="BD-NET"/>
      <sheetName val="COEFICIENTES"/>
      <sheetName val="REN 473"/>
      <sheetName val="ERD"/>
      <sheetName val="Glossário Vínculos"/>
    </sheetNames>
    <sheetDataSet>
      <sheetData sheetId="0" refreshError="1">
        <row r="13">
          <cell r="C13">
            <v>2018</v>
          </cell>
        </row>
        <row r="59">
          <cell r="X59" t="e">
            <v>#DIV/0!</v>
          </cell>
        </row>
        <row r="62">
          <cell r="Q62" t="str">
            <v>André Pepitone da Nóbrega</v>
          </cell>
        </row>
        <row r="63">
          <cell r="Q63" t="str">
            <v>José Jurhosa Junior</v>
          </cell>
        </row>
        <row r="64">
          <cell r="Q64" t="str">
            <v>Reive Barros dos Santos</v>
          </cell>
        </row>
        <row r="65">
          <cell r="Q65" t="str">
            <v>Tiago de Barros Correia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Índice"/>
      <sheetName val="Consumidores"/>
      <sheetName val="Forfait"/>
      <sheetName val="Venda-MWh"/>
      <sheetName val="Outros"/>
      <sheetName val="Compra-Mwh"/>
      <sheetName val="Compra-R$"/>
      <sheetName val="Fatur. Bruto-Comercial"/>
      <sheetName val="T I P"/>
      <sheetName val="ICMS Fat."/>
      <sheetName val="Importe-Comercial"/>
      <sheetName val="Importe-Contábil"/>
      <sheetName val="ICMS Contábil"/>
      <sheetName val="Importe+ICMS"/>
      <sheetName val="Tarifa Comercial"/>
      <sheetName val="Tarifa Contabilidade"/>
      <sheetName val="Arrec. Bruta"/>
      <sheetName val="ICMS  Arrec."/>
      <sheetName val="Arrec.Líquida"/>
      <sheetName val="Pessoal"/>
      <sheetName val="Mercado"/>
      <sheetName val="DRE"/>
      <sheetName val="Lead"/>
      <sheetName val="Banco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Cursos"/>
      <sheetName val="Listas"/>
      <sheetName val="Mercado_Receita"/>
      <sheetName val="VALIDADOR"/>
      <sheetName val=" PIB Brasil ( R$ de 1996 )"/>
      <sheetName val="FORMULÁRIO"/>
      <sheetName val="tarifas abertas internet"/>
      <sheetName val="BM&amp;F"/>
      <sheetName val="Plan1"/>
      <sheetName val="PAGAMENTO"/>
      <sheetName val="Suporte"/>
      <sheetName val="2000"/>
      <sheetName val="Balanço"/>
      <sheetName val="INDIECO1"/>
      <sheetName val="ASSUM"/>
      <sheetName val="Sist.Transm.Dist.Glob. "/>
      <sheetName val="Spot"/>
      <sheetName val="Taxes"/>
      <sheetName val="RESUMO"/>
      <sheetName val="Dados2"/>
      <sheetName val="SETTINGS"/>
      <sheetName val="Metalúrgica"/>
      <sheetName val="TermoPE"/>
      <sheetName val="DRE e FLUXO CAIXA"/>
      <sheetName val="Índices"/>
      <sheetName val="Tabela aux.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Dados"/>
      <sheetName val="DRE_Cemar_Orçam"/>
      <sheetName val="  "/>
      <sheetName val="ce"/>
      <sheetName val="CECO"/>
      <sheetName val="TESTE"/>
      <sheetName val="DEBE"/>
      <sheetName val="EOFI"/>
      <sheetName val="Consol. Energia Ger"/>
      <sheetName val="Validacao_Dados"/>
      <sheetName val="AA-10(Op.63)"/>
      <sheetName val="Inventário PA"/>
      <sheetName val="Aquisição"/>
      <sheetName val="ABRIL 2000"/>
      <sheetName val="FF3"/>
      <sheetName val="Apoio"/>
      <sheetName val="OTR.CRED."/>
      <sheetName val="Classificação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"/>
      <sheetName val="Sist_Transm_Dist_Glob__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IREM"/>
      <sheetName val="Plan2"/>
      <sheetName val="Plan3"/>
      <sheetName val="CVA_Projetada12meses"/>
      <sheetName val="Tabela_valores_módulos"/>
      <sheetName val="1996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_PIB_Brasil_(_R$_de_1996_)2"/>
      <sheetName val="tarifas_abertas_internet1"/>
      <sheetName val="Sist_Transm_Dist_Glob__1"/>
      <sheetName val="DRE_e_FLUXO_CAIXA1"/>
      <sheetName val="Tabela_aux_1"/>
      <sheetName val="Base_FIN-NNG-PRE1"/>
      <sheetName val="Base_O&amp;M1"/>
      <sheetName val="__1"/>
      <sheetName val="Consol__Energia_Ger1"/>
      <sheetName val="AA-10(Op_63)1"/>
      <sheetName val="Inventário_PA1"/>
      <sheetName val="ABRIL_20001"/>
      <sheetName val="OTR_CRED_"/>
      <sheetName val="Plan1 (2)"/>
      <sheetName val="Base_Calc"/>
      <sheetName val="Base_Dados"/>
      <sheetName val="Taxas"/>
      <sheetName val="AUXILIAR"/>
      <sheetName val="Avaliação"/>
      <sheetName val="Projeção Receita"/>
      <sheetName val="Simulação Mensal"/>
      <sheetName val="BASE RATEIO DIRETORIA"/>
      <sheetName val="Validação de Dados"/>
      <sheetName val="Cotação Areva SE's 2008"/>
      <sheetName val="Inputs_Unidades_Geradoras"/>
      <sheetName val="Fatur__Bruto-Comercial3"/>
      <sheetName val="T_I_P3"/>
      <sheetName val="ICMS_Fat_3"/>
      <sheetName val="ICMS_Contábil3"/>
      <sheetName val="Tarifa_Comercial3"/>
      <sheetName val="Tarifa_Contabilidade3"/>
      <sheetName val="Arrec__Bruta3"/>
      <sheetName val="ICMS__Arrec_3"/>
      <sheetName val="Arrec_Líquida3"/>
      <sheetName val="Comparativos_-_Abr-022"/>
      <sheetName val="Comparativos___Abr_022"/>
      <sheetName val="Comparativos_-_Fev-022"/>
      <sheetName val="Comparativos___Fev_022"/>
      <sheetName val="Comparativos_-_Jan-022"/>
      <sheetName val="Comparativos___Jan_022"/>
      <sheetName val="Comparativos_-_Mar-022"/>
      <sheetName val="Comparativos___Mar_022"/>
      <sheetName val="Comentários_Jan-02_2"/>
      <sheetName val="Comentários_Jan_02_2"/>
      <sheetName val="_PIB_Brasil_(_R$_de_1996_)3"/>
      <sheetName val="tarifas_abertas_internet2"/>
      <sheetName val="Sist_Transm_Dist_Glob__2"/>
      <sheetName val="DRE_e_FLUXO_CAIXA2"/>
      <sheetName val="Tabela_aux_2"/>
      <sheetName val="Base_FIN-NNG-PRE2"/>
      <sheetName val="Base_O&amp;M2"/>
      <sheetName val="__2"/>
      <sheetName val="Consol__Energia_Ger2"/>
      <sheetName val="AA-10(Op_63)2"/>
      <sheetName val="Inventário_PA2"/>
      <sheetName val="ABRIL_20002"/>
      <sheetName val="OTR_CRED_1"/>
      <sheetName val="Plan1_(2)"/>
      <sheetName val="Projeção_Receita"/>
      <sheetName val="Simulação_Mensal"/>
      <sheetName val="BASE_RATEIO_DIRETORIA"/>
      <sheetName val="Validação_de_Dados"/>
      <sheetName val="Cotação_Areva_SE's_2008"/>
      <sheetName val="Mapa Completo"/>
      <sheetName val="Plan4"/>
      <sheetName val="Fatur__Bruto-Comercial4"/>
      <sheetName val="T_I_P4"/>
      <sheetName val="ICMS_Fat_4"/>
      <sheetName val="ICMS_Contábil4"/>
      <sheetName val="Tarifa_Comercial4"/>
      <sheetName val="Tarifa_Contabilidade4"/>
      <sheetName val="Arrec__Bruta4"/>
      <sheetName val="ICMS__Arrec_4"/>
      <sheetName val="Arrec_Líquida4"/>
      <sheetName val="Comparativos_-_Abr-023"/>
      <sheetName val="Comparativos___Abr_023"/>
      <sheetName val="Comparativos_-_Fev-023"/>
      <sheetName val="Comparativos___Fev_023"/>
      <sheetName val="Comparativos_-_Jan-023"/>
      <sheetName val="Comparativos___Jan_023"/>
      <sheetName val="Comparativos_-_Mar-023"/>
      <sheetName val="Comparativos___Mar_023"/>
      <sheetName val="Comentários_Jan-02_3"/>
      <sheetName val="Comentários_Jan_02_3"/>
      <sheetName val="_PIB_Brasil_(_R$_de_1996_)4"/>
      <sheetName val="tarifas_abertas_internet3"/>
      <sheetName val="Sist_Transm_Dist_Glob__3"/>
      <sheetName val="DRE_e_FLUXO_CAIXA3"/>
      <sheetName val="Tabela_aux_3"/>
      <sheetName val="Base_FIN-NNG-PRE3"/>
      <sheetName val="Base_O&amp;M3"/>
      <sheetName val="__3"/>
      <sheetName val="Consol__Energia_Ger3"/>
      <sheetName val="AA-10(Op_63)3"/>
      <sheetName val="Inventário_PA3"/>
      <sheetName val="ABRIL_20003"/>
      <sheetName val="OTR_CRED_2"/>
      <sheetName val="Plan1_(2)1"/>
      <sheetName val="Projeção_Receita1"/>
      <sheetName val="Simulação_Mensal1"/>
      <sheetName val="BASE_RATEIO_DIRETORIA1"/>
      <sheetName val="Validação_de_Dados1"/>
      <sheetName val="Cotação_Areva_SE's_2008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 refreshError="1"/>
      <sheetData sheetId="161"/>
      <sheetData sheetId="162"/>
      <sheetData sheetId="163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rcado"/>
      <sheetName val="Capa"/>
      <sheetName val="Índice"/>
      <sheetName val="Balanço"/>
      <sheetName val="Compra-Mwh"/>
      <sheetName val="Venda-MWh"/>
      <sheetName val="Consumidores"/>
      <sheetName val="Forfait"/>
      <sheetName val="Outros"/>
      <sheetName val="Compra-R$"/>
      <sheetName val="Fatur. Bruto-Comercial"/>
      <sheetName val="Importe-Comercial"/>
      <sheetName val="ICMS Fat."/>
      <sheetName val="T I P"/>
      <sheetName val="Tarifa Comercial"/>
      <sheetName val="Arrec. Bruta"/>
      <sheetName val="Arrec.Líquida"/>
      <sheetName val="ICMS  Arrec."/>
      <sheetName val="Importe+ICMS"/>
      <sheetName val="Importe-Contábil"/>
      <sheetName val="ICMS Contábil"/>
      <sheetName val="Tarifa Contabilidade"/>
      <sheetName val="INDIECO1"/>
      <sheetName val="ASSUM"/>
      <sheetName val="Sist.Transm.Dist.Glob. "/>
      <sheetName val="Spot"/>
      <sheetName val="Taxes"/>
      <sheetName val="RESUMO"/>
      <sheetName val="Pessoal"/>
      <sheetName val=" PIB Brasil ( R$ de 1996 )"/>
      <sheetName val="FORMULÁRIO"/>
      <sheetName val="tarifas abertas internet"/>
      <sheetName val="BM&amp;F"/>
      <sheetName val="Plan1"/>
      <sheetName val="PAGAMENTO"/>
      <sheetName val="Metalúrgica"/>
      <sheetName val="SETTINGS"/>
      <sheetName val="Suporte"/>
      <sheetName val="2000"/>
      <sheetName val="Banco"/>
      <sheetName val="TermoPE"/>
      <sheetName val="DRE e FLUXO CAIXA"/>
      <sheetName val="Índices"/>
      <sheetName val="Tabela aux."/>
      <sheetName val="DRE_Cemar_Orçam"/>
      <sheetName val="  "/>
      <sheetName val="Dados2"/>
      <sheetName val="LISTAS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AA-10(Op.63)"/>
      <sheetName val="Inventário PA"/>
      <sheetName val="Aquisição"/>
      <sheetName val="ABRIL 2000"/>
      <sheetName val="FF3"/>
      <sheetName val="DRE"/>
      <sheetName val="Lead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Consol. Energia Ger"/>
      <sheetName val="DEBE"/>
      <sheetName val="EOFI"/>
      <sheetName val="ce"/>
      <sheetName val="CECO"/>
      <sheetName val="TESTE"/>
      <sheetName val="Dados"/>
      <sheetName val="Validacao_Dados"/>
      <sheetName val="OTR.CRED."/>
      <sheetName val="Apoio"/>
      <sheetName val="Classificação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"/>
      <sheetName val="Sist_Transm_Dist_Glob__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Cursos"/>
      <sheetName val="CUSTOS"/>
      <sheetName val="IREM"/>
      <sheetName val="Plan2"/>
      <sheetName val="Plan3"/>
      <sheetName val="CVA_Projetada12meses"/>
      <sheetName val="Tabela_valores_módulos"/>
      <sheetName val="Avaliação"/>
      <sheetName val="Plan1 (2)"/>
      <sheetName val="Base_Calc"/>
      <sheetName val="Base_Dados"/>
      <sheetName val="Taxas"/>
      <sheetName val="tarifas_abertas_internet1"/>
      <sheetName val="Sist_Transm_Dist_Glob__1"/>
      <sheetName val="AUXILIAR"/>
      <sheetName val="Projeção Receita"/>
      <sheetName val="Simulação Mensal"/>
      <sheetName val="BASE RATEIO DIRETORIA"/>
      <sheetName val="Validação de Dados"/>
      <sheetName val="VALIDADOR"/>
      <sheetName val="1996"/>
      <sheetName val="Cotação Areva SE's 2008"/>
      <sheetName val="Listas e Tabelas"/>
      <sheetName val="Siglas e Legendas"/>
      <sheetName val="AVC Garabi II Set18"/>
      <sheetName val="#REF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_PIB_Brasil_(_R$_de_1996_)2"/>
      <sheetName val="tarifas_abertas_internet2"/>
      <sheetName val="Sist_Transm_Dist_Glob__2"/>
      <sheetName val="Base_FIN-NNG-PRE1"/>
      <sheetName val="Base_O&amp;M1"/>
      <sheetName val="DRE_e_FLUXO_CAIXA1"/>
      <sheetName val="Tabela_aux_1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Consol__Energia_Ger1"/>
      <sheetName val="ABRIL_20001"/>
      <sheetName val="__1"/>
      <sheetName val="AA-10(Op_63)1"/>
      <sheetName val="Inventário_PA1"/>
      <sheetName val="OTR_CRED_"/>
      <sheetName val="BASE_RATEIO_DIRETORIA"/>
      <sheetName val="Validação_de_Dados"/>
      <sheetName val="Plan1_(2)"/>
      <sheetName val="AVC_Garabi_II_Set18"/>
      <sheetName val="Listas_e_Tabelas"/>
      <sheetName val="Siglas_e_Legendas"/>
      <sheetName val="Receivables"/>
      <sheetName val="Cash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_data"/>
      <sheetName val="APOIO_LISTA"/>
      <sheetName val="RECEITAS_DE_TARIFAS"/>
      <sheetName val="SUBSIDIOS_CDE_TARIFAS"/>
      <sheetName val="Garantia"/>
      <sheetName val="1A"/>
      <sheetName val="2B"/>
      <sheetName val="Planilha1"/>
      <sheetName val="Drivers IAR 1 a 4 (3)"/>
      <sheetName val="Drivers IAR 1 a 4 (2)"/>
      <sheetName val="Drivers IAR 1 a 4"/>
      <sheetName val="Drivers IAR Global"/>
      <sheetName val="IAR Cepisa"/>
      <sheetName val="IAR Historico"/>
      <sheetName val="Simulação Anual"/>
      <sheetName val="PDD CNR"/>
      <sheetName val="Projeção CNR"/>
      <sheetName val="Dívida Serviço Publico (2)"/>
      <sheetName val="Dívida Serviço Publico"/>
      <sheetName val="CR CEPISA"/>
      <sheetName val="Planilha3"/>
      <sheetName val="Drivers 2"/>
      <sheetName val="Distribuidoras (2)"/>
      <sheetName val="Distribuidoras"/>
      <sheetName val="Plan7"/>
      <sheetName val="Evolução 2014 2015 2016"/>
      <sheetName val="IAR Longo Prazo Desafio"/>
      <sheetName val="IAR Longo Prazo Meta"/>
      <sheetName val="Drivers Novo"/>
      <sheetName val="Drivers Antigo"/>
      <sheetName val="Drivers"/>
      <sheetName val="Simuladores Desafio 45"/>
      <sheetName val="Simuladores Atual Plus"/>
      <sheetName val="Tarifas"/>
      <sheetName val="Arrecadação CNR Desafio"/>
      <sheetName val="Arrecadação CNR"/>
      <sheetName val="Evolução desde 2012 Desafio"/>
      <sheetName val="Gráficos"/>
      <sheetName val="Evolução 2014 2015 2016 Des"/>
      <sheetName val="Evolução 2014 2015 2016 Haiama"/>
      <sheetName val="Evolução 2014 2015 2016 Beto"/>
      <sheetName val="Evolução Anual"/>
      <sheetName val="Contas Aberto Com CNR"/>
      <sheetName val="Demais distribuidoras (2)"/>
      <sheetName val="Cemar x Celpa (2)"/>
      <sheetName val="Cemar x Celpa"/>
      <sheetName val="Cemar Liquido de PDD"/>
      <sheetName val="Demais distribuidoras"/>
      <sheetName val="Contas Comercial Com CNR Perdas"/>
      <sheetName val="Contas Comercial Com CNR"/>
      <sheetName val="Build Up_Celpa_Set"/>
      <sheetName val="Build Up_frentes_Comaprativo"/>
      <sheetName val="Mercado_Receita"/>
      <sheetName val="Cotação_Areva_SE's_2008"/>
      <sheetName val="Datos"/>
      <sheetName val="Projeção_Receita"/>
      <sheetName val="Simulação_Mensal"/>
      <sheetName val="GASTOS LE2000"/>
      <sheetName val="SELIC"/>
      <sheetName val="Balancete"/>
      <sheetName val="PARAM"/>
      <sheetName val="Inputs"/>
      <sheetName val="NBASE"/>
      <sheetName val="Empresas e Datas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/>
      <sheetData sheetId="142"/>
      <sheetData sheetId="143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 refreshError="1"/>
      <sheetData sheetId="197" refreshError="1"/>
      <sheetData sheetId="198" refreshError="1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 refreshError="1"/>
      <sheetData sheetId="243" refreshError="1"/>
      <sheetData sheetId="244" refreshError="1"/>
      <sheetData sheetId="245"/>
      <sheetData sheetId="246" refreshError="1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 Mercado"/>
      <sheetName val="2. Receita"/>
      <sheetName val="3. Projeção de Mercado"/>
      <sheetName val="4. Outras Receitas"/>
      <sheetName val="5. Compra_Venda Energia (MWh)"/>
      <sheetName val="CCEAR 2005_2006_2007"/>
      <sheetName val="Tarifa Média"/>
      <sheetName val="6. Compra_Venda Energia (kW)"/>
      <sheetName val="7. Tarifa_Compra_Venda (R$|MWh)"/>
      <sheetName val="8. Tarifa_Compra_Venda (R$|kW)"/>
      <sheetName val="9. Perdas"/>
      <sheetName val="10. ICMS"/>
      <sheetName val="11. PIS COFINS"/>
      <sheetName val="12. Estrutura de Capital"/>
      <sheetName val="13. Financiamentos"/>
      <sheetName val="14. Gastos O&amp;M"/>
      <sheetName val="15. Consumidores"/>
      <sheetName val="16. CO RP"/>
      <sheetName val="17. Dados Fisicos"/>
      <sheetName val="18. Veículos"/>
      <sheetName val="18.1 Equipamento 2005"/>
      <sheetName val="18.2 Equipamento 2006"/>
      <sheetName val="18.3 Veículos Empreiteiras"/>
      <sheetName val="18.4 Eqptos Empreiteiras"/>
      <sheetName val="19. Informática"/>
      <sheetName val="20. Edificações"/>
      <sheetName val="21. LPT"/>
      <sheetName val="21.1. Rural-EBRÁS-Lpt1"/>
      <sheetName val="21.1. Rural-EBRÁS-Lpt2"/>
      <sheetName val="21.2. Rural-GovEstado-Lpt1"/>
      <sheetName val="21.2. Rural-GovEstado-Lpt2"/>
      <sheetName val="21.3. Subestação-EBRÁS-Lpt1"/>
      <sheetName val="21.3. Subestação-EBRÁS-Lpt2"/>
      <sheetName val="21.4. Subestação-GovEstado"/>
      <sheetName val="21.5. Fonte Alternativa-EBRÁS"/>
      <sheetName val="21.6. Fonte Alternativa-GovEsta"/>
      <sheetName val="21.7.Geração Fóssil-EBRÁS"/>
      <sheetName val="21.8. Geração Fóssil-GovEstado"/>
      <sheetName val="21.9. Diversos-EBRÁS-Lpt1"/>
      <sheetName val="21.9. Diversos-EBRÁS-Lpt2"/>
      <sheetName val="21.10. Diversos-GovEstado-Lpt1"/>
      <sheetName val="21.10. Diversos-GovEstado-Lpt2"/>
      <sheetName val="21.11. Financeiro-EBRÁS"/>
      <sheetName val="21.12. Financeiro-GovEstadual"/>
      <sheetName val="21.13. RD Particular Inc 04-06"/>
      <sheetName val="21.13. RD Particular Inc 07"/>
      <sheetName val="21.14 Pioneiro EBRÁS UPP-025-04"/>
      <sheetName val="21.14 Pioneiro EBRÁS UPP-026-04"/>
      <sheetName val="21.14 Pioneiro EBRÁS UPP-027-04"/>
      <sheetName val="21.14 Pioneiro EBRÁS UPP-028-04"/>
      <sheetName val="22.  Despesa Uso Sistema Distr "/>
      <sheetName val="Mercado"/>
      <sheetName val="27"/>
      <sheetName val="1__Mercado"/>
      <sheetName val="2__Receita"/>
      <sheetName val="3__Projeção_de_Mercado"/>
      <sheetName val="4__Outras_Receitas"/>
      <sheetName val="5__Compra_Venda_Energia_(MWh)"/>
      <sheetName val="CCEAR_2005_2006_2007"/>
      <sheetName val="Tarifa_Média"/>
      <sheetName val="6__Compra_Venda_Energia_(kW)"/>
      <sheetName val="7__Tarifa_Compra_Venda_(R$|MWh)"/>
      <sheetName val="8__Tarifa_Compra_Venda_(R$|kW)"/>
      <sheetName val="9__Perdas"/>
      <sheetName val="10__ICMS"/>
      <sheetName val="11__PIS_COFINS"/>
      <sheetName val="12__Estrutura_de_Capital"/>
      <sheetName val="13__Financiamentos"/>
      <sheetName val="14__Gastos_O&amp;M"/>
      <sheetName val="15__Consumidores"/>
      <sheetName val="16__CO_RP"/>
      <sheetName val="17__Dados_Fisicos"/>
      <sheetName val="18__Veículos"/>
      <sheetName val="18_1_Equipamento_2005"/>
      <sheetName val="18_2_Equipamento_2006"/>
      <sheetName val="18_3_Veículos_Empreiteiras"/>
      <sheetName val="18_4_Eqptos_Empreiteiras"/>
      <sheetName val="19__Informática"/>
      <sheetName val="20__Edificações"/>
      <sheetName val="21__LPT"/>
      <sheetName val="21_1__Rural-EBRÁS-Lpt1"/>
      <sheetName val="21_1__Rural-EBRÁS-Lpt2"/>
      <sheetName val="21_2__Rural-GovEstado-Lpt1"/>
      <sheetName val="21_2__Rural-GovEstado-Lpt2"/>
      <sheetName val="21_3__Subestação-EBRÁS-Lpt1"/>
      <sheetName val="21_3__Subestação-EBRÁS-Lpt2"/>
      <sheetName val="21_4__Subestação-GovEstado"/>
      <sheetName val="21_5__Fonte_Alternativa-EBRÁS"/>
      <sheetName val="21_6__Fonte_Alternativa-GovEsta"/>
      <sheetName val="21_7_Geração_Fóssil-EBRÁS"/>
      <sheetName val="21_8__Geração_Fóssil-GovEstado"/>
      <sheetName val="21_9__Diversos-EBRÁS-Lpt1"/>
      <sheetName val="21_9__Diversos-EBRÁS-Lpt2"/>
      <sheetName val="21_10__Diversos-GovEstado-Lpt1"/>
      <sheetName val="21_10__Diversos-GovEstado-Lpt2"/>
      <sheetName val="21_11__Financeiro-EBRÁS"/>
      <sheetName val="21_12__Financeiro-GovEstadual"/>
      <sheetName val="21_13__RD_Particular_Inc_04-06"/>
      <sheetName val="21_13__RD_Particular_Inc_07"/>
      <sheetName val="21_14_Pioneiro_EBRÁS_UPP-025-04"/>
      <sheetName val="21_14_Pioneiro_EBRÁS_UPP-026-04"/>
      <sheetName val="21_14_Pioneiro_EBRÁS_UPP-027-04"/>
      <sheetName val="21_14_Pioneiro_EBRÁS_UPP-028-04"/>
      <sheetName val="22___Despesa_Uso_Sistema_Distr_"/>
      <sheetName val="BDG20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Cecilia Magalhães Francisco (SGT)" id="{ADE79481-5EE4-4A9A-958F-EC4E352E411D}" userId="S::cecilia@aneel.gov.br::d2d5a2af-293f-4b63-bea5-ebfa09493a53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363.776537384256" createdVersion="5" refreshedVersion="7" minRefreshableVersion="3" recordCount="0" xr:uid="{00000000-000A-0000-FFFF-FFFF02000000}">
  <cacheSource type="external" connectionId="1"/>
  <cacheFields count="40">
    <cacheField name="EmpresaC" numFmtId="0">
      <sharedItems count="31">
        <s v="Cergral" u="1"/>
        <s v="Coorsel" u="1"/>
        <s v="Creral" u="1"/>
        <s v="Creluz" u="1"/>
        <s v="Coopercocal" u="1"/>
        <s v="Coprel" u="1"/>
        <s v="Coopera" u="1"/>
        <s v="Cooperluz" u="1"/>
        <s v="Ceriluz" u="1"/>
        <s v="Cerej" u="1"/>
        <s v="Cerpalo" u="1"/>
        <s v="Ceprag" u="1"/>
        <s v="Cedrap" u="1"/>
        <s v="Cerim" u="1"/>
        <s v="Cersul" u="1"/>
        <s v="Cetril" u="1"/>
        <s v="Cerbranorte" u="1"/>
        <s v="Ceral Anitápolis" u="1"/>
        <s v="Ceraçá" u="1"/>
        <s v="Ceris" u="1"/>
        <s v="Ceral Dis" u="1"/>
        <s v="Cermoful" u="1"/>
        <s v="Coopermila" u="1"/>
        <s v="Cermissões" u="1"/>
        <s v="Cergapa" u="1"/>
        <s v="CERMC" u="1"/>
        <s v="Cergal" u="1"/>
        <s v="Cejama" u="1"/>
        <s v="Cedri" u="1"/>
        <s v="Certrel" u="1"/>
        <s v="Certel" u="1"/>
      </sharedItems>
    </cacheField>
    <cacheField name="Ano" numFmtId="0">
      <sharedItems containsSemiMixedTypes="0" containsString="0"/>
    </cacheField>
    <cacheField name="Mês" numFmtId="0">
      <sharedItems containsSemiMixedTypes="0" containsString="0"/>
    </cacheField>
    <cacheField name="Vencimento" numFmtId="0">
      <sharedItems containsSemiMixedTypes="0" containsNonDate="0" containsString="0"/>
    </cacheField>
    <cacheField name="Data de Medição Atual" numFmtId="0">
      <sharedItems containsSemiMixedTypes="0" containsNonDate="0" containsString="0"/>
    </cacheField>
    <cacheField name="Data de Medição Anterior" numFmtId="0">
      <sharedItems containsSemiMixedTypes="0" containsNonDate="0" containsString="0"/>
    </cacheField>
    <cacheField name="Número da Unidade Consumidora" numFmtId="0">
      <sharedItems containsSemiMixedTypes="0" containsString="0"/>
    </cacheField>
    <cacheField name="Número da Fatura" numFmtId="0">
      <sharedItems containsSemiMixedTypes="0" containsString="0"/>
    </cacheField>
    <cacheField name="Supridora" numFmtId="0">
      <sharedItems containsBlank="1" count="13">
        <m u="1"/>
        <s v="EDP-SP" u="1"/>
        <s v="Copel" u="1"/>
        <s v="RGE-SUL" u="1"/>
        <s v="ELEKTRO" u="1"/>
        <s v="CEEE" u="1"/>
        <s v="CERSUL" u="1"/>
        <s v="CERBRANORTE" u="1"/>
        <s v="RGE" u="1"/>
        <s v="CPFL PIRATININGA" u="1"/>
        <s v="CELESC" u="1"/>
        <s v="EFLUL" u="1"/>
        <s v="Eletropaulo" u="1"/>
      </sharedItems>
    </cacheField>
    <cacheField name="Descrição do Ponto" numFmtId="0">
      <sharedItems containsSemiMixedTypes="0" containsString="0"/>
    </cacheField>
    <cacheField name="Subgrupo" numFmtId="0">
      <sharedItems count="6">
        <s v="A1" u="1"/>
        <s v="A3" u="1"/>
        <s v="A2" u="1"/>
        <s v="A4" u="1"/>
        <s v="BT" u="1"/>
        <s v="A3a" u="1"/>
      </sharedItems>
    </cacheField>
    <cacheField name="Demanda Contratada Ponta" numFmtId="0">
      <sharedItems containsSemiMixedTypes="0" containsString="0"/>
    </cacheField>
    <cacheField name="Demanda Contratada Fora de Ponta" numFmtId="0">
      <sharedItems containsSemiMixedTypes="0" containsString="0"/>
    </cacheField>
    <cacheField name="Demanda Medida Ponta" numFmtId="0">
      <sharedItems containsSemiMixedTypes="0" containsString="0"/>
    </cacheField>
    <cacheField name="Demanda Medida Fora de Ponta" numFmtId="0">
      <sharedItems containsSemiMixedTypes="0" containsString="0"/>
    </cacheField>
    <cacheField name="Demanda Faturada Ponta" numFmtId="0">
      <sharedItems containsSemiMixedTypes="0" containsString="0"/>
    </cacheField>
    <cacheField name="Demanda Faturada Fora de Ponta" numFmtId="0">
      <sharedItems containsSemiMixedTypes="0" containsString="0"/>
    </cacheField>
    <cacheField name="TUSD Ponta(R$/KW)" numFmtId="0">
      <sharedItems containsSemiMixedTypes="0" containsString="0"/>
    </cacheField>
    <cacheField name="TUSD Fora de Ponta (R$/KW)" numFmtId="0">
      <sharedItems containsSemiMixedTypes="0" containsString="0"/>
    </cacheField>
    <cacheField name="Consumo TE Ponta" numFmtId="0">
      <sharedItems containsSemiMixedTypes="0" containsString="0"/>
    </cacheField>
    <cacheField name="Consumo TE Fora de Ponta" numFmtId="0">
      <sharedItems containsSemiMixedTypes="0" containsString="0"/>
    </cacheField>
    <cacheField name="Energia ponta TUSD" numFmtId="0">
      <sharedItems containsSemiMixedTypes="0" containsString="0"/>
    </cacheField>
    <cacheField name="Energia fora de ponta TUSD" numFmtId="0">
      <sharedItems containsSemiMixedTypes="0" containsString="0"/>
    </cacheField>
    <cacheField name="PROINFA" numFmtId="0">
      <sharedItems containsSemiMixedTypes="0" containsString="0"/>
    </cacheField>
    <cacheField name="Geração Distribuída na área de permissão" numFmtId="0">
      <sharedItems containsSemiMixedTypes="0" containsString="0"/>
    </cacheField>
    <cacheField name="TUSD (R$/MWh)" numFmtId="0">
      <sharedItems containsSemiMixedTypes="0" containsString="0"/>
    </cacheField>
    <cacheField name="TE (R$/MWh)" numFmtId="0">
      <sharedItems containsSemiMixedTypes="0" containsString="0"/>
    </cacheField>
    <cacheField name="PIS/COFINS (R$)" numFmtId="0">
      <sharedItems containsSemiMixedTypes="0" containsString="0"/>
    </cacheField>
    <cacheField name="ICMS (R$)" numFmtId="0">
      <sharedItems containsSemiMixedTypes="0" containsString="0"/>
    </cacheField>
    <cacheField name="DIC/FIC (R$)" numFmtId="0">
      <sharedItems containsSemiMixedTypes="0" containsString="0"/>
    </cacheField>
    <cacheField name="OUTROS (R$)" numFmtId="0">
      <sharedItems containsSemiMixedTypes="0" containsString="0"/>
    </cacheField>
    <cacheField name="Total (R$)" numFmtId="0">
      <sharedItems containsSemiMixedTypes="0" containsString="0"/>
    </cacheField>
    <cacheField name="Total Calculado" numFmtId="0">
      <sharedItems containsSemiMixedTypes="0" containsString="0"/>
    </cacheField>
    <cacheField name="Item" numFmtId="0">
      <sharedItems containsSemiMixedTypes="0" containsString="0"/>
    </cacheField>
    <cacheField name="Avaliação" numFmtId="0">
      <sharedItems containsSemiMixedTypes="0" containsString="0"/>
    </cacheField>
    <cacheField name="DATA" numFmtId="0">
      <sharedItems containsSemiMixedTypes="0" containsString="0" containsNumber="1" containsInteger="1" minValue="201701" maxValue="201906" count="30">
        <n v="201805" u="1"/>
        <n v="201903" u="1"/>
        <n v="201708" u="1"/>
        <n v="201806" u="1"/>
        <n v="201904" u="1"/>
        <n v="201709" u="1"/>
        <n v="201807" u="1"/>
        <n v="201905" u="1"/>
        <n v="201701" u="1"/>
        <n v="201710" u="1"/>
        <n v="201808" u="1"/>
        <n v="201906" u="1"/>
        <n v="201702" u="1"/>
        <n v="201711" u="1"/>
        <n v="201809" u="1"/>
        <n v="201703" u="1"/>
        <n v="201712" u="1"/>
        <n v="201801" u="1"/>
        <n v="201810" u="1"/>
        <n v="201704" u="1"/>
        <n v="201802" u="1"/>
        <n v="201811" u="1"/>
        <n v="201705" u="1"/>
        <n v="201803" u="1"/>
        <n v="201812" u="1"/>
        <n v="201901" u="1"/>
        <n v="201706" u="1"/>
        <n v="201804" u="1"/>
        <n v="201902" u="1"/>
        <n v="201707" u="1"/>
      </sharedItems>
    </cacheField>
    <cacheField name="Criado por" numFmtId="0">
      <sharedItems containsSemiMixedTypes="0" containsString="0"/>
    </cacheField>
    <cacheField name="Caminho" numFmtId="0">
      <sharedItems containsSemiMixedTypes="0" containsString="0"/>
    </cacheField>
    <cacheField name="Tipo de Item" numFmtId="0">
      <sharedItems containsSemiMixedTypes="0" containsString="0"/>
    </cacheField>
    <cacheField name="Aplicativo Criado por" numFmtId="0">
      <sharedItems containsSemiMixedTypes="0" containsString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757.411330208335" createdVersion="4" refreshedVersion="8" minRefreshableVersion="3" recordCount="258" xr:uid="{00000000-000A-0000-FFFF-FFFF03000000}">
  <cacheSource type="worksheet">
    <worksheetSource name="dados_MercadoBase"/>
  </cacheSource>
  <cacheFields count="165">
    <cacheField name="Código" numFmtId="4">
      <sharedItems containsSemiMixedTypes="0" containsString="0" containsNumber="1" containsInteger="1" minValue="1" maxValue="258"/>
    </cacheField>
    <cacheField name="TipoMercado" numFmtId="4">
      <sharedItems/>
    </cacheField>
    <cacheField name="Modalidade" numFmtId="4">
      <sharedItems/>
    </cacheField>
    <cacheField name="Subgrupo" numFmtId="4">
      <sharedItems/>
    </cacheField>
    <cacheField name="Classe" numFmtId="4">
      <sharedItems/>
    </cacheField>
    <cacheField name="Subclasse" numFmtId="4">
      <sharedItems/>
    </cacheField>
    <cacheField name="Detalhe" numFmtId="4">
      <sharedItems/>
    </cacheField>
    <cacheField name="Agente" numFmtId="4">
      <sharedItems/>
    </cacheField>
    <cacheField name="Posto" numFmtId="4">
      <sharedItems/>
    </cacheField>
    <cacheField name="OPÇÃO" numFmtId="4">
      <sharedItems/>
    </cacheField>
    <cacheField name="AnoMes" numFmtId="204">
      <sharedItems containsSemiMixedTypes="0" containsNonDate="0" containsDate="1" containsString="0" minDate="2017-08-01T00:00:00" maxDate="2022-06-02T00:00:00" count="59"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  <d v="2018-05-01T00:00:00" u="1"/>
        <d v="2019-05-01T00:00:00" u="1"/>
        <d v="2020-05-01T00:00:00" u="1"/>
        <d v="2021-05-01T00:00:00" u="1"/>
        <d v="2017-11-01T00:00:00" u="1"/>
        <d v="2018-11-01T00:00:00" u="1"/>
        <d v="2019-11-01T00:00:00" u="1"/>
        <d v="2020-11-01T00:00:00" u="1"/>
        <d v="2018-06-01T00:00:00" u="1"/>
        <d v="2019-06-01T00:00:00" u="1"/>
        <d v="2020-06-01T00:00:00" u="1"/>
        <d v="2021-06-01T00:00:00" u="1"/>
        <d v="2017-12-01T00:00:00" u="1"/>
        <d v="2018-12-01T00:00:00" u="1"/>
        <d v="2019-12-01T00:00:00" u="1"/>
        <d v="2020-12-01T00:00:00" u="1"/>
        <d v="2018-01-01T00:00:00" u="1"/>
        <d v="2019-01-01T00:00:00" u="1"/>
        <d v="2020-01-01T00:00:00" u="1"/>
        <d v="2021-01-01T00:00:00" u="1"/>
        <d v="2018-07-01T00:00:00" u="1"/>
        <d v="2019-07-01T00:00:00" u="1"/>
        <d v="2020-07-01T00:00:00" u="1"/>
        <d v="2018-02-01T00:00:00" u="1"/>
        <d v="2019-02-01T00:00:00" u="1"/>
        <d v="2020-02-01T00:00:00" u="1"/>
        <d v="2021-02-01T00:00:00" u="1"/>
        <d v="2017-08-01T00:00:00" u="1"/>
        <d v="2018-08-01T00:00:00" u="1"/>
        <d v="2019-08-01T00:00:00" u="1"/>
        <d v="2020-08-01T00:00:00" u="1"/>
        <d v="2018-03-01T00:00:00" u="1"/>
        <d v="2019-03-01T00:00:00" u="1"/>
        <d v="2020-03-01T00:00:00" u="1"/>
        <d v="2021-03-01T00:00:00" u="1"/>
        <d v="2017-09-01T00:00:00" u="1"/>
        <d v="2018-09-01T00:00:00" u="1"/>
        <d v="2019-09-01T00:00:00" u="1"/>
        <d v="2020-09-01T00:00:00" u="1"/>
        <d v="2018-04-01T00:00:00" u="1"/>
        <d v="2019-04-01T00:00:00" u="1"/>
        <d v="2020-04-01T00:00:00" u="1"/>
        <d v="2021-04-01T00:00:00" u="1"/>
        <d v="2017-10-01T00:00:00" u="1"/>
        <d v="2018-10-01T00:00:00" u="1"/>
        <d v="2019-10-01T00:00:00" u="1"/>
        <d v="2020-10-01T00:00:00" u="1"/>
      </sharedItems>
    </cacheField>
    <cacheField name="D" numFmtId="4">
      <sharedItems containsSemiMixedTypes="0" containsString="0" containsNumber="1" containsInteger="1" minValue="0" maxValue="522"/>
    </cacheField>
    <cacheField name="Daj" numFmtId="4">
      <sharedItems containsSemiMixedTypes="0" containsString="0" containsNumber="1" containsInteger="1" minValue="0" maxValue="522"/>
    </cacheField>
    <cacheField name="TUSD_E" numFmtId="4">
      <sharedItems containsSemiMixedTypes="0" containsString="0" containsNumber="1" minValue="-1.371" maxValue="1096.056"/>
    </cacheField>
    <cacheField name="TUSD_Eaj" numFmtId="4">
      <sharedItems containsSemiMixedTypes="0" containsString="0" containsNumber="1" minValue="-1.371" maxValue="1096.056"/>
    </cacheField>
    <cacheField name="TE_E" numFmtId="4">
      <sharedItems containsSemiMixedTypes="0" containsString="0" containsNumber="1" minValue="-1.371" maxValue="1096.056"/>
    </cacheField>
    <cacheField name="TE_Eaj" numFmtId="4">
      <sharedItems containsSemiMixedTypes="0" containsString="0" containsNumber="1" minValue="-1.371" maxValue="1096.056"/>
    </cacheField>
    <cacheField name="TUSD/KW" numFmtId="4">
      <sharedItems containsString="0" containsBlank="1" containsNumber="1" minValue="39.56" maxValue="39.56"/>
    </cacheField>
    <cacheField name="TUSD/MWh" numFmtId="4">
      <sharedItems containsString="0" containsBlank="1" containsNumber="1" minValue="68.78" maxValue="2075.9499999999998"/>
    </cacheField>
    <cacheField name="TE" numFmtId="4">
      <sharedItems containsString="0" containsBlank="1" containsNumber="1" minValue="70.319999999999993" maxValue="127.85"/>
    </cacheField>
    <cacheField name="ReceitaD" numFmtId="4">
      <sharedItems containsString="0" containsBlank="1" containsNumber="1" minValue="3995.5600000000004" maxValue="20650.32"/>
    </cacheField>
    <cacheField name="ReceitaE" numFmtId="4">
      <sharedItems containsString="0" containsBlank="1" containsNumber="1" minValue="-1149.40527" maxValue="918900.46872"/>
    </cacheField>
    <cacheField name="Total" numFmtId="4">
      <sharedItems containsString="0" containsBlank="1" containsNumber="1" minValue="-1149.40527" maxValue="918900.46872"/>
    </cacheField>
    <cacheField name="Total com Tar de aplicação" numFmtId="4">
      <sharedItems containsString="0" containsBlank="1" containsNumber="1" minValue="-944.22140999999999" maxValue="754864.72776000004"/>
    </cacheField>
    <cacheField name="CCC" numFmtId="4">
      <sharedItems containsString="0" containsBlank="1" containsNumber="1" containsInteger="1" minValue="0" maxValue="0"/>
    </cacheField>
    <cacheField name="CDE" numFmtId="4">
      <sharedItems containsString="0" containsBlank="1" containsNumber="1" minValue="-83.733930082109381" maxValue="66941.704208662646"/>
    </cacheField>
    <cacheField name="CFURH" numFmtId="4">
      <sharedItems containsSemiMixedTypes="0" containsString="0" containsNumber="1" containsInteger="1" minValue="0" maxValue="0"/>
    </cacheField>
    <cacheField name="Conexao_D" numFmtId="4">
      <sharedItems containsString="0" containsBlank="1" containsNumber="1" containsInteger="1" minValue="0" maxValue="0"/>
    </cacheField>
    <cacheField name="Conexao_T" numFmtId="4">
      <sharedItems containsString="0" containsBlank="1" containsNumber="1" containsInteger="1" minValue="0" maxValue="0"/>
    </cacheField>
    <cacheField name="CUSD" numFmtId="4">
      <sharedItems containsString="0" containsBlank="1" containsNumber="1" minValue="-149.90850523788035" maxValue="119845.45340409206"/>
    </cacheField>
    <cacheField name="DISTRIBUICAO" numFmtId="4">
      <sharedItems containsString="0" containsBlank="1" containsNumber="1" minValue="-682.98735223440542" maxValue="546019.24532504263"/>
    </cacheField>
    <cacheField name="EnergiaRevenda" numFmtId="4">
      <sharedItems containsString="0" containsBlank="1" containsNumber="1" minValue="-175.27878018879747" maxValue="140127.90568826592"/>
    </cacheField>
    <cacheField name="ESSERR" numFmtId="4">
      <sharedItems containsString="0" containsBlank="1" containsNumber="1" containsInteger="1" minValue="0" maxValue="0"/>
    </cacheField>
    <cacheField name="ITAIPU" numFmtId="4">
      <sharedItems containsString="0" containsBlank="1" containsNumber="1" containsInteger="1" minValue="0" maxValue="0"/>
    </cacheField>
    <cacheField name="ONS" numFmtId="4">
      <sharedItems containsString="0" containsBlank="1" containsNumber="1" containsInteger="1" minValue="0" maxValue="0"/>
    </cacheField>
    <cacheField name="OUTROS" numFmtId="4">
      <sharedItems containsString="0" containsBlank="1" containsNumber="1" containsInteger="1" minValue="0" maxValue="0"/>
    </cacheField>
    <cacheField name="PeD" numFmtId="4">
      <sharedItems containsString="0" containsBlank="1" containsNumber="1" containsInteger="1" minValue="0" maxValue="0"/>
    </cacheField>
    <cacheField name="PROINFA" numFmtId="4">
      <sharedItems containsString="0" containsBlank="1" containsNumber="1" minValue="-12.949502758206037" maxValue="10352.574905286854"/>
    </cacheField>
    <cacheField name="RGR" numFmtId="4">
      <sharedItems containsNonDate="0" containsString="0" containsBlank="1"/>
    </cacheField>
    <cacheField name="TFSEE" numFmtId="4">
      <sharedItems containsString="0" containsBlank="1" containsNumber="1" minValue="-3.1406364735523473" maxValue="2510.8048509525106"/>
    </cacheField>
    <cacheField name="TUST_FR" numFmtId="4">
      <sharedItems containsString="0" containsBlank="1" containsNumber="1" containsInteger="1" minValue="0" maxValue="0"/>
    </cacheField>
    <cacheField name="TUST_RB" numFmtId="4">
      <sharedItems containsString="0" containsBlank="1" containsNumber="1" containsInteger="1" minValue="0" maxValue="0"/>
    </cacheField>
    <cacheField name="TUSDG_ONS" numFmtId="4">
      <sharedItems containsString="0" containsBlank="1" containsNumber="1" containsInteger="1" minValue="0" maxValue="0"/>
    </cacheField>
    <cacheField name="TUSDG_T" numFmtId="4">
      <sharedItems containsString="0" containsBlank="1" containsNumber="1" containsInteger="1" minValue="0" maxValue="0"/>
    </cacheField>
    <cacheField name="TUST_CI" numFmtId="4">
      <sharedItems containsString="0" containsBlank="1" containsNumber="1" containsInteger="1" minValue="0" maxValue="0"/>
    </cacheField>
    <cacheField name="TUST_ITAIPU" numFmtId="4">
      <sharedItems containsString="0" containsBlank="1" containsNumber="1" containsInteger="1" minValue="0" maxValue="0"/>
    </cacheField>
    <cacheField name="CVA_CCC" numFmtId="4">
      <sharedItems containsString="0" containsBlank="1" containsNumber="1" containsInteger="1" minValue="0" maxValue="0"/>
    </cacheField>
    <cacheField name="CVA_CDE" numFmtId="4">
      <sharedItems containsString="0" containsBlank="1" containsNumber="1" containsInteger="1" minValue="0" maxValue="0"/>
    </cacheField>
    <cacheField name="CVA_PROINFA" numFmtId="4">
      <sharedItems containsString="0" containsBlank="1" containsNumber="1" containsInteger="1" minValue="0" maxValue="0"/>
    </cacheField>
    <cacheField name="CVA_TranItaipu" numFmtId="4">
      <sharedItems containsString="0" containsBlank="1" containsNumber="1" containsInteger="1" minValue="0" maxValue="0"/>
    </cacheField>
    <cacheField name="CVA_ESSERR" numFmtId="4">
      <sharedItems containsString="0" containsBlank="1" containsNumber="1" containsInteger="1" minValue="0" maxValue="0"/>
    </cacheField>
    <cacheField name="CVA_CFURH" numFmtId="4">
      <sharedItems containsSemiMixedTypes="0" containsString="0" containsNumber="1" containsInteger="1" minValue="0" maxValue="0"/>
    </cacheField>
    <cacheField name="CVA_CDE_E" numFmtId="4">
      <sharedItems containsNonDate="0" containsString="0" containsBlank="1"/>
    </cacheField>
    <cacheField name="CVA_Energia" numFmtId="4">
      <sharedItems containsString="0" containsBlank="1" containsNumber="1" containsInteger="1" minValue="0" maxValue="0"/>
    </cacheField>
    <cacheField name="CVA_RB" numFmtId="4">
      <sharedItems containsString="0" containsBlank="1" containsNumber="1" containsInteger="1" minValue="0" maxValue="0"/>
    </cacheField>
    <cacheField name="perdasnt" numFmtId="4">
      <sharedItems containsString="0" containsBlank="1" containsNumber="1" containsInteger="1" minValue="0" maxValue="0"/>
    </cacheField>
    <cacheField name="perdasrb_d" numFmtId="4">
      <sharedItems containsString="0" containsBlank="1" containsNumber="1" containsInteger="1" minValue="0" maxValue="0"/>
    </cacheField>
    <cacheField name="perdasrb_c" numFmtId="4">
      <sharedItems containsString="0" containsBlank="1" containsNumber="1" containsInteger="1" minValue="0" maxValue="0"/>
    </cacheField>
    <cacheField name="perdastec" numFmtId="4">
      <sharedItems containsString="0" containsBlank="1" containsNumber="1" minValue="-41.401723526361643" maxValue="33098.911364996238"/>
    </cacheField>
    <cacheField name="RI" numFmtId="4">
      <sharedItems containsString="0" containsBlank="1" containsNumber="1" containsInteger="1" minValue="0" maxValue="0"/>
    </cacheField>
    <cacheField name="PisPasep" numFmtId="4">
      <sharedItems containsSemiMixedTypes="0" containsString="0" containsNumber="1" minValue="-5.04" maxValue="5347.68"/>
    </cacheField>
    <cacheField name="Cofins" numFmtId="4">
      <sharedItems containsSemiMixedTypes="0" containsString="0" containsNumber="1" minValue="-23.27" maxValue="24823.77"/>
    </cacheField>
    <cacheField name="ICMS" numFmtId="4">
      <sharedItems containsSemiMixedTypes="0" containsString="0" containsNumber="1" minValue="-328.8" maxValue="228954.29"/>
    </cacheField>
    <cacheField name="UC" numFmtId="4">
      <sharedItems containsSemiMixedTypes="0" containsString="0" containsNumber="1" containsInteger="1" minValue="0" maxValue="6077"/>
    </cacheField>
    <cacheField name="total_dummy" numFmtId="4">
      <sharedItems containsNonDate="0" containsString="0" containsBlank="1"/>
    </cacheField>
    <cacheField name="Subs_CarFI" numFmtId="4">
      <sharedItems containsNonDate="0" containsString="0" containsBlank="1"/>
    </cacheField>
    <cacheField name="Subs_GerFI" numFmtId="4">
      <sharedItems containsNonDate="0" containsString="0" containsBlank="1"/>
    </cacheField>
    <cacheField name="Subs_Dist" numFmtId="4">
      <sharedItems containsNonDate="0" containsString="0" containsBlank="1"/>
    </cacheField>
    <cacheField name="Subs_AguaEsgoto" numFmtId="4">
      <sharedItems containsString="0" containsBlank="1" containsNumber="1" minValue="169.42265999999969" maxValue="367.77114000000046"/>
    </cacheField>
    <cacheField name="Subs_Rural" numFmtId="4">
      <sharedItems containsString="0" containsBlank="1" containsNumber="1" minValue="10.082080000000008" maxValue="5090.0455200000042"/>
    </cacheField>
    <cacheField name="Subs_Irrigante" numFmtId="4">
      <sharedItems containsNonDate="0" containsString="0" containsBlank="1"/>
    </cacheField>
    <cacheField name="Subs_BaixaRenda" numFmtId="4">
      <sharedItems containsString="0" containsBlank="1" containsNumber="1" minValue="1.2395999999999994" maxValue="9995.0800999999992"/>
    </cacheField>
    <cacheField name="CDE_E" numFmtId="4">
      <sharedItems containsNonDate="0" containsString="0" containsBlank="1"/>
    </cacheField>
    <cacheField name="DespesaEnergia" numFmtId="4">
      <sharedItems containsString="0" containsBlank="1" containsNumber="1" minValue="-216.68050371515912" maxValue="173226.81705326214"/>
    </cacheField>
    <cacheField name="RTE_CUSD" numFmtId="4">
      <sharedItems containsNonDate="0" containsString="0" containsBlank="1"/>
    </cacheField>
    <cacheField name="RTE_Energia" numFmtId="4">
      <sharedItems containsNonDate="0" containsString="0" containsBlank="1"/>
    </cacheField>
    <cacheField name="RTE_CDE_USO" numFmtId="4">
      <sharedItems containsNonDate="0" containsString="0" containsBlank="1"/>
    </cacheField>
    <cacheField name="RTE_CDE_E" numFmtId="4">
      <sharedItems containsNonDate="0" containsString="0" containsBlank="1"/>
    </cacheField>
    <cacheField name="RTE_PeD" numFmtId="4">
      <sharedItems containsNonDate="0" containsString="0" containsBlank="1"/>
    </cacheField>
    <cacheField name="Dif_Subs_Car" numFmtId="4">
      <sharedItems containsNonDate="0" containsString="0" containsBlank="1"/>
    </cacheField>
    <cacheField name="Dif_Subs_Ger" numFmtId="4">
      <sharedItems containsNonDate="0" containsString="0" containsBlank="1"/>
    </cacheField>
    <cacheField name="Dif_Subs_D" numFmtId="4">
      <sharedItems containsNonDate="0" containsString="0" containsBlank="1"/>
    </cacheField>
    <cacheField name="Dif_Subs_Agua" numFmtId="4">
      <sharedItems containsNonDate="0" containsString="0" containsBlank="1"/>
    </cacheField>
    <cacheField name="Dif_Subs_Ru" numFmtId="4">
      <sharedItems containsNonDate="0" containsString="0" containsBlank="1"/>
    </cacheField>
    <cacheField name="Dif_Subs_Irr" numFmtId="4">
      <sharedItems containsNonDate="0" containsString="0" containsBlank="1"/>
    </cacheField>
    <cacheField name="dif_subs_baixa" numFmtId="4">
      <sharedItems containsNonDate="0" containsString="0" containsBlank="1"/>
    </cacheField>
    <cacheField name="FinTotAj" numFmtId="4">
      <sharedItems containsString="0" containsBlank="1" containsNumber="1" minValue="-943.5327000000002" maxValue="754867.48259999999"/>
    </cacheField>
    <cacheField name="FinAj" numFmtId="4">
      <sharedItems containsSemiMixedTypes="0" containsString="0" containsNumber="1" minValue="-164033.01612000004" maxValue="371.55731000000742"/>
    </cacheField>
    <cacheField name="RTE_CDE_E_Dec" numFmtId="4">
      <sharedItems containsNonDate="0" containsString="0" containsBlank="1"/>
    </cacheField>
    <cacheField name="RTE_CDE_E_ACR" numFmtId="4">
      <sharedItems containsNonDate="0" containsString="0" containsBlank="1"/>
    </cacheField>
    <cacheField name="CDE_E_Dec" numFmtId="4">
      <sharedItems containsNonDate="0" containsString="0" containsBlank="1"/>
    </cacheField>
    <cacheField name="CDE_E_ACR" numFmtId="4">
      <sharedItems containsNonDate="0" containsString="0" containsBlank="1"/>
    </cacheField>
    <cacheField name="FinPostTUSD" numFmtId="4">
      <sharedItems containsSemiMixedTypes="0" containsString="0" containsNumber="1" minValue="-168441.88607999994" maxValue="210.69527999999994"/>
    </cacheField>
    <cacheField name="FinPostTE" numFmtId="4">
      <sharedItems containsSemiMixedTypes="0" containsString="0" containsNumber="1" minValue="-5.5114200000000144" maxValue="4406.145120000011"/>
    </cacheField>
    <cacheField name="FinPostQtddias" numFmtId="4">
      <sharedItems containsString="0" containsBlank="1" containsNumber="1" containsInteger="1" minValue="29" maxValue="31"/>
    </cacheField>
    <cacheField name="FinCT_Geral" numFmtId="4">
      <sharedItems containsString="0" containsBlank="1" containsNumber="1" minValue="-2616.3100887999171" maxValue="372.55742963010925"/>
    </cacheField>
    <cacheField name="finCT_TUST_FR" numFmtId="4">
      <sharedItems containsString="0" containsBlank="1" containsNumber="1" containsInteger="1" minValue="0" maxValue="0"/>
    </cacheField>
    <cacheField name="finCT_TUST_RB" numFmtId="4">
      <sharedItems containsString="0" containsBlank="1" containsNumber="1" containsInteger="1" minValue="0" maxValue="0"/>
    </cacheField>
    <cacheField name="FINCT_TUSDG_ONS" numFmtId="4">
      <sharedItems containsString="0" containsBlank="1" containsNumber="1" containsInteger="1" minValue="0" maxValue="0"/>
    </cacheField>
    <cacheField name="FINCT_TUSDG_T" numFmtId="4">
      <sharedItems containsString="0" containsBlank="1" containsNumber="1" containsInteger="1" minValue="0" maxValue="0"/>
    </cacheField>
    <cacheField name="FINCT_TUST_CI" numFmtId="4">
      <sharedItems containsString="0" containsBlank="1" containsNumber="1" containsInteger="1" minValue="0" maxValue="0"/>
    </cacheField>
    <cacheField name="FINCT_TUST_ITAIPU" numFmtId="4">
      <sharedItems containsString="0" containsBlank="1" containsNumber="1" containsInteger="1" minValue="0" maxValue="0"/>
    </cacheField>
    <cacheField name="FinCT_Itaipu" numFmtId="4">
      <sharedItems containsString="0" containsBlank="1" containsNumber="1" containsInteger="1" minValue="0" maxValue="0"/>
    </cacheField>
    <cacheField name="FinCT_CUSD" numFmtId="4">
      <sharedItems containsString="0" containsBlank="1" containsNumber="1" minValue="-6287.178204896336" maxValue="7.8643074066588383"/>
    </cacheField>
    <cacheField name="FinCT_Conexao_D" numFmtId="4">
      <sharedItems containsString="0" containsBlank="1" containsNumber="1" containsInteger="1" minValue="0" maxValue="0"/>
    </cacheField>
    <cacheField name="FinCT_Conexao_T" numFmtId="4">
      <sharedItems containsString="0" containsBlank="1" containsNumber="1" containsInteger="1" minValue="0" maxValue="0"/>
    </cacheField>
    <cacheField name="FinCT_EnergiaRevenda" numFmtId="4">
      <sharedItems containsString="0" containsBlank="1" containsNumber="1" minValue="-5.5153592788433627" maxValue="4409.2944053479005"/>
    </cacheField>
    <cacheField name="FINCT_perdasrb_c" numFmtId="4">
      <sharedItems containsString="0" containsBlank="1" containsNumber="1" containsInteger="1" minValue="0" maxValue="0"/>
    </cacheField>
    <cacheField name="FINCT_perdasrb_d" numFmtId="4">
      <sharedItems containsString="0" containsBlank="1" containsNumber="1" containsInteger="1" minValue="0" maxValue="0"/>
    </cacheField>
    <cacheField name="FinCT_perdasnt" numFmtId="4">
      <sharedItems containsString="0" containsBlank="1" containsNumber="1" containsInteger="1" minValue="0" maxValue="0"/>
    </cacheField>
    <cacheField name="FinCT_perdastec" numFmtId="4">
      <sharedItems containsString="0" containsBlank="1" containsNumber="1" minValue="-1.3027554149182663" maxValue="1041.4973661952245"/>
    </cacheField>
    <cacheField name="FinCT_CCC" numFmtId="4">
      <sharedItems containsString="0" containsBlank="1" containsNumber="1" containsInteger="1" minValue="0" maxValue="0"/>
    </cacheField>
    <cacheField name="FinCT_CDE" numFmtId="4">
      <sharedItems containsString="0" containsBlank="1" containsNumber="1" minValue="-1524.4937737309519" maxValue="1.9069107452403244"/>
    </cacheField>
    <cacheField name="FinCT_CDE_E" numFmtId="4">
      <sharedItems containsNonDate="0" containsString="0" containsBlank="1"/>
    </cacheField>
    <cacheField name="FinCT_CFURH" numFmtId="4">
      <sharedItems containsSemiMixedTypes="0" containsString="0" containsNumber="1" containsInteger="1" minValue="0" maxValue="0"/>
    </cacheField>
    <cacheField name="FinCT_ONS" numFmtId="4">
      <sharedItems containsString="0" containsBlank="1" containsNumber="1" containsInteger="1" minValue="0" maxValue="0"/>
    </cacheField>
    <cacheField name="FinCT_ESSERR" numFmtId="4">
      <sharedItems containsString="0" containsBlank="1" containsNumber="1" containsInteger="1" minValue="0" maxValue="0"/>
    </cacheField>
    <cacheField name="FinCT_Ped" numFmtId="4">
      <sharedItems containsString="0" containsBlank="1" containsNumber="1" containsInteger="1" minValue="0" maxValue="0"/>
    </cacheField>
    <cacheField name="finCT_PROINFA" numFmtId="4">
      <sharedItems containsString="0" containsBlank="1" containsNumber="1" minValue="-197.54817024547265" maxValue="0.24710283179558701"/>
    </cacheField>
    <cacheField name="finCT_TFSEE" numFmtId="4">
      <sharedItems containsString="0" containsBlank="1" containsNumber="1" minValue="-57.881711470291066" maxValue="7.2401251784369514E-2"/>
    </cacheField>
    <cacheField name="FINCT_Liminar" numFmtId="4">
      <sharedItems containsString="0" containsBlank="1" containsNumber="1" containsInteger="1" minValue="0" maxValue="0"/>
    </cacheField>
    <cacheField name="FinCT_Subsidio" numFmtId="4">
      <sharedItems containsString="0" containsBlank="1" containsNumber="1" containsInteger="1" minValue="0" maxValue="0"/>
    </cacheField>
    <cacheField name="FINCT_RGR" numFmtId="4">
      <sharedItems containsNonDate="0" containsString="0" containsBlank="1"/>
    </cacheField>
    <cacheField name="Tipo_ato" numFmtId="4">
      <sharedItems containsNonDate="0" containsString="0" containsBlank="1"/>
    </cacheField>
    <cacheField name="DIST_D" numFmtId="4">
      <sharedItems containsString="0" containsBlank="1" containsNumber="1" minValue="2664.8781411481455" maxValue="13772.934551280516"/>
    </cacheField>
    <cacheField name="DIST_E" numFmtId="4">
      <sharedItems containsString="0" containsBlank="1" containsNumber="1" minValue="-682.98735223440542" maxValue="546019.24532504263"/>
    </cacheField>
    <cacheField name="FIN_RI" numFmtId="4">
      <sharedItems containsString="0" containsBlank="1" containsNumber="1" containsInteger="1" minValue="0" maxValue="0"/>
    </cacheField>
    <cacheField name="FINCT_RI" numFmtId="4">
      <sharedItems containsString="0" containsBlank="1" containsNumber="1" containsInteger="1" minValue="0" maxValue="0"/>
    </cacheField>
    <cacheField name="Fin_TUSD" numFmtId="4">
      <sharedItems containsString="0" containsBlank="1" containsNumber="1" minValue="-168441.88607999997" maxValue="210.69528000000003"/>
    </cacheField>
    <cacheField name="Fin_TE" numFmtId="4">
      <sharedItems containsString="0" containsBlank="1" containsNumber="1" minValue="-5.5114200000000153" maxValue="4406.1451200000301"/>
    </cacheField>
    <cacheField name="CVA_TUSD" numFmtId="4">
      <sharedItems containsString="0" containsBlank="1" containsNumber="1" containsInteger="1" minValue="0" maxValue="0"/>
    </cacheField>
    <cacheField name="CVA_TE" numFmtId="4">
      <sharedItems containsString="0" containsBlank="1" containsNumber="1" containsInteger="1" minValue="0" maxValue="0"/>
    </cacheField>
    <cacheField name="FinCT_ParcelaB" numFmtId="4">
      <sharedItems containsString="0" containsBlank="1" containsNumber="1" minValue="-161411.9079928401" maxValue="201.90184247719441"/>
    </cacheField>
    <cacheField name="CVA_EnergiaRevenda" numFmtId="4">
      <sharedItems containsString="0" containsBlank="1" containsNumber="1" containsInteger="1" minValue="0" maxValue="0"/>
    </cacheField>
    <cacheField name="CVA_perdasnt" numFmtId="4">
      <sharedItems containsString="0" containsBlank="1" containsNumber="1" containsInteger="1" minValue="0" maxValue="0"/>
    </cacheField>
    <cacheField name="CVA_perdasrb_d" numFmtId="4">
      <sharedItems containsString="0" containsBlank="1" containsNumber="1" containsInteger="1" minValue="0" maxValue="0"/>
    </cacheField>
    <cacheField name="CVA_perdasrb_c" numFmtId="4">
      <sharedItems containsString="0" containsBlank="1" containsNumber="1" containsInteger="1" minValue="0" maxValue="0"/>
    </cacheField>
    <cacheField name="CVA_perdastec" numFmtId="4">
      <sharedItems containsString="0" containsBlank="1" containsNumber="1" containsInteger="1" minValue="0" maxValue="0"/>
    </cacheField>
    <cacheField name="CVA_TUST_RB" numFmtId="4">
      <sharedItems containsString="0" containsBlank="1" containsNumber="1" containsInteger="1" minValue="0" maxValue="0"/>
    </cacheField>
    <cacheField name="CVA_TUST_FR" numFmtId="4">
      <sharedItems containsString="0" containsBlank="1" containsNumber="1" containsInteger="1" minValue="0" maxValue="0"/>
    </cacheField>
    <cacheField name="CVA_TUSDG_ONS" numFmtId="4">
      <sharedItems containsString="0" containsBlank="1" containsNumber="1" containsInteger="1" minValue="0" maxValue="0"/>
    </cacheField>
    <cacheField name="CVA_TUSDG_T" numFmtId="4">
      <sharedItems containsString="0" containsBlank="1" containsNumber="1" containsInteger="1" minValue="0" maxValue="0"/>
    </cacheField>
    <cacheField name="CVA_TUST_CI" numFmtId="4">
      <sharedItems containsString="0" containsBlank="1" containsNumber="1" containsInteger="1" minValue="0" maxValue="0"/>
    </cacheField>
    <cacheField name="CVA_TUST_ITAIPU" numFmtId="4">
      <sharedItems containsString="0" containsBlank="1" containsNumber="1" containsInteger="1" minValue="0" maxValue="0"/>
    </cacheField>
    <cacheField name="CVA_liminar" numFmtId="4">
      <sharedItems containsString="0" containsBlank="1" containsNumber="1" containsInteger="1" minValue="0" maxValue="0"/>
    </cacheField>
    <cacheField name="covidTusdEco" numFmtId="4">
      <sharedItems containsString="0" containsBlank="1" containsNumber="1" containsInteger="1" minValue="0" maxValue="0"/>
    </cacheField>
    <cacheField name="covidTeEco" numFmtId="4">
      <sharedItems containsString="0" containsBlank="1" containsNumber="1" containsInteger="1" minValue="0" maxValue="0"/>
    </cacheField>
    <cacheField name="CVA_CovidTusd" numFmtId="4">
      <sharedItems containsString="0" containsBlank="1" containsNumber="1" containsInteger="1" minValue="0" maxValue="0"/>
    </cacheField>
    <cacheField name="CVA_CovidTe_ou_CVA_CDE_E" numFmtId="4">
      <sharedItems containsString="0" containsBlank="1" containsNumber="1" containsInteger="1" minValue="0" maxValue="0"/>
    </cacheField>
    <cacheField name="FinCT_CDECOVIDTUSD" numFmtId="4">
      <sharedItems containsString="0" containsBlank="1" containsNumber="1" containsInteger="1" minValue="0" maxValue="0"/>
    </cacheField>
    <cacheField name="FinCT_CDECOVIDTE_ou_FinCT_CDE_E" numFmtId="4">
      <sharedItems containsString="0" containsBlank="1" containsNumber="1" containsInteger="1" minValue="0" maxValue="0"/>
    </cacheField>
    <cacheField name="idsreag" numFmtId="4">
      <sharedItems containsSemiMixedTypes="0" containsString="0" containsNumber="1" containsInteger="1" minValue="207" maxValue="207"/>
    </cacheField>
    <cacheField name="FinCTAn3En" numFmtId="4">
      <sharedItems containsString="0" containsBlank="1" containsNumber="1" containsInteger="1" minValue="0" maxValue="0"/>
    </cacheField>
    <cacheField name="An3En" numFmtId="4">
      <sharedItems containsString="0" containsBlank="1" containsNumber="1" containsInteger="1" minValue="0" maxValue="0"/>
    </cacheField>
    <cacheField name="CVA_An3En" numFmtId="4">
      <sharedItems containsString="0" containsBlank="1" containsNumber="1" containsInteger="1" minValue="0" maxValue="0"/>
    </cacheField>
    <cacheField name="Fin_An3En" numFmtId="4">
      <sharedItems containsNonDate="0" containsString="0" containsBlank="1"/>
    </cacheField>
    <cacheField name="FIN_CFURH" numFmtId="4">
      <sharedItems containsSemiMixedTypes="0" containsString="0" containsNumber="1" containsInteger="1" minValue="0" maxValue="0"/>
    </cacheField>
    <cacheField name="TEAngra" numFmtId="4">
      <sharedItems containsNonDate="0" containsString="0" containsBlank="1"/>
    </cacheField>
    <cacheField name="TUSDAngra" numFmtId="4">
      <sharedItems containsNonDate="0" containsString="0" containsBlank="1"/>
    </cacheField>
    <cacheField name="teCheia" numFmtId="4">
      <sharedItems containsNonDate="0" containsString="0" containsBlank="1"/>
    </cacheField>
    <cacheField name="tusdcheia" numFmtId="4">
      <sharedItems containsNonDate="0" containsString="0" containsBlank="1"/>
    </cacheField>
    <cacheField name="AngraIII_TE" numFmtId="4">
      <sharedItems containsSemiMixedTypes="0" containsString="0" containsNumber="1" containsInteger="1" minValue="0" maxValue="0"/>
    </cacheField>
    <cacheField name="AngraIII_TUSD" numFmtId="4">
      <sharedItems containsSemiMixedTypes="0" containsString="0" containsNumber="1" containsInteger="1" minValue="0" maxValue="0"/>
    </cacheField>
    <cacheField name="AngraIII_Desc_TE" numFmtId="4">
      <sharedItems containsSemiMixedTypes="0" containsString="0" containsNumber="1" containsInteger="1" minValue="0" maxValue="0"/>
    </cacheField>
    <cacheField name="AngraIII_Desc_TUSD" numFmtId="4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0"/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8">
  <r>
    <n v="1"/>
    <s v="Regular"/>
    <s v="Convencional"/>
    <s v="B1"/>
    <s v="Residencial"/>
    <s v="Residencial"/>
    <s v="Não se aplica"/>
    <s v="Não se aplica"/>
    <s v="Não se aplica"/>
    <s v="CATIVO"/>
    <x v="0"/>
    <n v="0"/>
    <n v="0"/>
    <n v="990.41099999999994"/>
    <n v="990.41099999999994"/>
    <n v="990.41099999999994"/>
    <n v="990.41099999999994"/>
    <m/>
    <n v="710.52"/>
    <n v="127.85"/>
    <m/>
    <n v="830330.87006999995"/>
    <n v="830330.87006999995"/>
    <n v="682105.95980999991"/>
    <n v="0"/>
    <n v="60489.427736361802"/>
    <n v="0"/>
    <n v="0"/>
    <n v="0"/>
    <n v="108293.96978931752"/>
    <n v="493390.36215450737"/>
    <n v="126621.467516825"/>
    <n v="0"/>
    <n v="0"/>
    <n v="0"/>
    <n v="0"/>
    <n v="0"/>
    <n v="9354.7264597064914"/>
    <m/>
    <n v="2268.79716295219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908.623194359854"/>
    <n v="0"/>
    <n v="3048.93"/>
    <n v="14214.95"/>
    <n v="162376.45000000001"/>
    <n v="6042"/>
    <m/>
    <m/>
    <m/>
    <m/>
    <m/>
    <m/>
    <m/>
    <m/>
    <m/>
    <n v="156530.09071118484"/>
    <m/>
    <m/>
    <m/>
    <m/>
    <m/>
    <m/>
    <m/>
    <m/>
    <m/>
    <m/>
    <m/>
    <m/>
    <n v="682105.27110000001"/>
    <n v="-148225.62896999996"/>
    <m/>
    <m/>
    <m/>
    <m/>
    <n v="-152206.36247999995"/>
    <n v="3981.4522200000101"/>
    <n v="31"/>
    <n v="-2364.1331203501322"/>
    <n v="0"/>
    <n v="0"/>
    <n v="0"/>
    <n v="0"/>
    <n v="0"/>
    <n v="0"/>
    <n v="0"/>
    <n v="-5681.1791122803697"/>
    <n v="0"/>
    <n v="0"/>
    <n v="3984.2979567604198"/>
    <n v="0"/>
    <n v="0"/>
    <n v="0"/>
    <n v="941.11108187061473"/>
    <n v="0"/>
    <n v="-1377.553156895854"/>
    <m/>
    <n v="0"/>
    <n v="0"/>
    <n v="0"/>
    <n v="0"/>
    <n v="-178.50719383041542"/>
    <n v="-52.302695974477956"/>
    <n v="0"/>
    <n v="0"/>
    <m/>
    <m/>
    <m/>
    <n v="493390.36215450737"/>
    <n v="0"/>
    <n v="0"/>
    <n v="-152206.36248000001"/>
    <n v="3981.4522200000065"/>
    <n v="0"/>
    <n v="0"/>
    <n v="-145853.979365193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2"/>
    <s v="Refaturamento - Regular"/>
    <s v="Convencional"/>
    <s v="B1"/>
    <s v="Residencial"/>
    <s v="Residencial"/>
    <s v="Não se aplica"/>
    <s v="Não se aplica"/>
    <s v="Não se aplica"/>
    <s v="CATIVO"/>
    <x v="0"/>
    <n v="0"/>
    <n v="0"/>
    <n v="-1.371"/>
    <n v="-1.371"/>
    <n v="-1.371"/>
    <n v="-1.371"/>
    <m/>
    <n v="710.52"/>
    <n v="127.85"/>
    <m/>
    <n v="-1149.40527"/>
    <n v="-1149.40527"/>
    <n v="-944.22140999999999"/>
    <n v="0"/>
    <n v="-83.733930082109381"/>
    <n v="0"/>
    <n v="0"/>
    <n v="0"/>
    <n v="-149.90850523788035"/>
    <n v="-682.98735223440542"/>
    <n v="-175.27878018879747"/>
    <n v="0"/>
    <n v="0"/>
    <n v="0"/>
    <n v="0"/>
    <n v="0"/>
    <n v="-12.949502758206037"/>
    <m/>
    <n v="-3.14063647355234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-41.401723526361643"/>
    <n v="0"/>
    <n v="-5.04"/>
    <n v="-23.27"/>
    <n v="-328.8"/>
    <n v="0"/>
    <m/>
    <m/>
    <m/>
    <m/>
    <m/>
    <m/>
    <m/>
    <m/>
    <m/>
    <n v="-216.68050371515912"/>
    <m/>
    <m/>
    <m/>
    <m/>
    <m/>
    <m/>
    <m/>
    <m/>
    <m/>
    <m/>
    <m/>
    <m/>
    <n v="-943.5327000000002"/>
    <n v="205.8425699999998"/>
    <m/>
    <m/>
    <m/>
    <m/>
    <n v="210.69527999999994"/>
    <n v="-5.5114200000000144"/>
    <n v="31"/>
    <n v="3.2726075417174911"/>
    <n v="0"/>
    <n v="0"/>
    <n v="0"/>
    <n v="0"/>
    <n v="0"/>
    <n v="0"/>
    <n v="0"/>
    <n v="7.8643074066588383"/>
    <n v="0"/>
    <n v="0"/>
    <n v="-5.5153592788433627"/>
    <n v="0"/>
    <n v="0"/>
    <n v="0"/>
    <n v="-1.3027554149182663"/>
    <n v="0"/>
    <n v="1.9069107452403244"/>
    <m/>
    <n v="0"/>
    <n v="0"/>
    <n v="0"/>
    <n v="0"/>
    <n v="0.24710283179558701"/>
    <n v="7.2401251784369514E-2"/>
    <n v="0"/>
    <n v="0"/>
    <m/>
    <m/>
    <m/>
    <n v="-682.98735223440542"/>
    <n v="0"/>
    <n v="0"/>
    <n v="210.69528000000003"/>
    <n v="-5.5114200000000153"/>
    <n v="0"/>
    <n v="0"/>
    <n v="201.901842477194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3"/>
    <s v="Sistema de Compensação"/>
    <s v="Convencional"/>
    <s v="B1"/>
    <s v="Residencial"/>
    <s v="Residencial"/>
    <s v="Não se aplica"/>
    <s v="Não se aplica"/>
    <s v="Não se aplica"/>
    <s v="CATIVO"/>
    <x v="0"/>
    <n v="0"/>
    <n v="0"/>
    <n v="1.0529999999999999"/>
    <n v="1.0529999999999999"/>
    <n v="1.0529999999999999"/>
    <n v="1.0529999999999999"/>
    <m/>
    <n v="710.52"/>
    <n v="127.85"/>
    <m/>
    <n v="882.80360999999994"/>
    <n v="882.80360999999994"/>
    <n v="725.21163000000001"/>
    <n v="0"/>
    <n v="64.312055708578541"/>
    <n v="0"/>
    <n v="0"/>
    <n v="0"/>
    <n v="115.13760467942232"/>
    <n v="524.57015456077954"/>
    <n v="134.62330819752276"/>
    <n v="0"/>
    <n v="0"/>
    <n v="0"/>
    <n v="0"/>
    <n v="0"/>
    <n v="9.9458981797162345"/>
    <m/>
    <n v="2.41217374664523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.79869793819023"/>
    <n v="0"/>
    <n v="2.57"/>
    <n v="12.15"/>
    <n v="391.48"/>
    <n v="9"/>
    <m/>
    <m/>
    <m/>
    <m/>
    <m/>
    <m/>
    <m/>
    <m/>
    <m/>
    <n v="166.42200613571299"/>
    <m/>
    <m/>
    <m/>
    <m/>
    <m/>
    <m/>
    <m/>
    <m/>
    <m/>
    <m/>
    <m/>
    <m/>
    <n v="723.14550000000008"/>
    <n v="-159.68810999999982"/>
    <m/>
    <m/>
    <m/>
    <m/>
    <n v="-161.82503999999994"/>
    <n v="4.2330600000000107"/>
    <n v="31"/>
    <n v="-2.5135344576429475"/>
    <n v="0"/>
    <n v="0"/>
    <n v="0"/>
    <n v="0"/>
    <n v="0"/>
    <n v="0"/>
    <n v="0"/>
    <n v="-6.0402010935169699"/>
    <n v="0"/>
    <n v="0"/>
    <n v="4.2360855730285039"/>
    <n v="0"/>
    <n v="0"/>
    <n v="0"/>
    <n v="1.000584574696525"/>
    <n v="0"/>
    <n v="-1.4646075964537317"/>
    <m/>
    <n v="0"/>
    <n v="0"/>
    <n v="0"/>
    <n v="0"/>
    <n v="-0.18978795177297947"/>
    <n v="-5.5607963624318746E-2"/>
    <n v="0"/>
    <n v="0"/>
    <m/>
    <m/>
    <m/>
    <n v="524.57015456077954"/>
    <n v="0"/>
    <n v="0"/>
    <n v="-161.82503999999994"/>
    <n v="4.2330599999999947"/>
    <n v="0"/>
    <n v="0"/>
    <n v="-155.071218182702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4"/>
    <s v="Regular"/>
    <s v="Convencional"/>
    <s v="B1"/>
    <s v="Residencial"/>
    <s v="Residencial baixa renda – faixa 01"/>
    <s v="Não se aplica"/>
    <s v="Não se aplica"/>
    <s v="Não se aplica"/>
    <s v="CATIVO"/>
    <x v="0"/>
    <n v="0"/>
    <n v="0"/>
    <n v="3.75"/>
    <n v="3.75"/>
    <n v="3.75"/>
    <n v="3.75"/>
    <m/>
    <n v="640"/>
    <n v="127.85"/>
    <m/>
    <n v="2879.4375"/>
    <n v="2879.4375"/>
    <n v="2324.1"/>
    <n v="0"/>
    <n v="0"/>
    <n v="0"/>
    <n v="0"/>
    <n v="0"/>
    <n v="410.03420469879745"/>
    <n v="1868.1273310569075"/>
    <n v="479.42773574616371"/>
    <n v="0"/>
    <n v="0"/>
    <n v="0"/>
    <n v="0"/>
    <n v="0"/>
    <n v="0"/>
    <m/>
    <n v="8.5903623456027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3.24322627560625"/>
    <n v="0"/>
    <n v="9.67"/>
    <n v="46.2"/>
    <n v="461.88"/>
    <n v="3"/>
    <m/>
    <m/>
    <m/>
    <m/>
    <m/>
    <m/>
    <m/>
    <n v="1510.6875"/>
    <m/>
    <n v="592.67096202176992"/>
    <m/>
    <m/>
    <m/>
    <m/>
    <m/>
    <m/>
    <m/>
    <m/>
    <m/>
    <m/>
    <m/>
    <m/>
    <n v="813.41249999999991"/>
    <n v="-194.43000000000006"/>
    <m/>
    <m/>
    <m/>
    <m/>
    <n v="-570.41250000000002"/>
    <n v="15.075000000000038"/>
    <n v="31"/>
    <n v="-3.0596115007700746"/>
    <n v="0"/>
    <n v="0"/>
    <n v="0"/>
    <n v="0"/>
    <n v="0"/>
    <n v="0"/>
    <n v="0"/>
    <n v="-21.510687654974902"/>
    <n v="0"/>
    <n v="0"/>
    <n v="15.08577483272262"/>
    <n v="0"/>
    <n v="0"/>
    <n v="0"/>
    <n v="3.5633353799733811"/>
    <n v="0"/>
    <n v="0"/>
    <m/>
    <n v="0"/>
    <n v="0"/>
    <n v="0"/>
    <n v="0"/>
    <n v="0"/>
    <n v="-0.19803405849116373"/>
    <n v="0"/>
    <n v="0"/>
    <m/>
    <m/>
    <m/>
    <n v="1868.1273310569075"/>
    <n v="0"/>
    <n v="0"/>
    <n v="-570.41250000000014"/>
    <n v="15.075000000000045"/>
    <n v="0"/>
    <n v="0"/>
    <n v="-552.247928001078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5"/>
    <s v="Regular"/>
    <s v="Convencional"/>
    <s v="B1"/>
    <s v="Residencial"/>
    <s v="Residencial baixa renda – faixa 02"/>
    <s v="Não se aplica"/>
    <s v="Não se aplica"/>
    <s v="Não se aplica"/>
    <s v="CATIVO"/>
    <x v="0"/>
    <n v="0"/>
    <n v="0"/>
    <n v="8.2100000000000009"/>
    <n v="8.2100000000000009"/>
    <n v="8.2100000000000009"/>
    <n v="8.2100000000000009"/>
    <m/>
    <n v="640"/>
    <n v="127.85"/>
    <m/>
    <n v="6304.0485000000008"/>
    <n v="6304.0485000000008"/>
    <n v="5088.2296000000006"/>
    <n v="0"/>
    <n v="0"/>
    <n v="0"/>
    <n v="0"/>
    <n v="0"/>
    <n v="897.70155215390071"/>
    <n v="4089.9534367939232"/>
    <n v="1049.6271227936013"/>
    <n v="0"/>
    <n v="0"/>
    <n v="0"/>
    <n v="0"/>
    <n v="0"/>
    <n v="0"/>
    <m/>
    <n v="18.8071666286395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7.92717005939397"/>
    <n v="0"/>
    <n v="22.36"/>
    <n v="103.42"/>
    <n v="1082.48"/>
    <n v="13"/>
    <m/>
    <m/>
    <m/>
    <m/>
    <m/>
    <m/>
    <m/>
    <n v="2035.259"/>
    <m/>
    <n v="1297.5542928529953"/>
    <m/>
    <m/>
    <m/>
    <m/>
    <m/>
    <m/>
    <m/>
    <m/>
    <m/>
    <m/>
    <m/>
    <m/>
    <n v="3052.9706000000006"/>
    <n v="-729.48850000000039"/>
    <m/>
    <m/>
    <m/>
    <m/>
    <n v="-1248.8231000000003"/>
    <n v="33.00420000000009"/>
    <n v="31"/>
    <n v="-6.6985094456863408"/>
    <n v="0"/>
    <n v="0"/>
    <n v="0"/>
    <n v="0"/>
    <n v="0"/>
    <n v="0"/>
    <n v="0"/>
    <n v="-47.094065505958497"/>
    <n v="0"/>
    <n v="0"/>
    <n v="33.027789700440508"/>
    <n v="0"/>
    <n v="0"/>
    <n v="0"/>
    <n v="7.8013289252216964"/>
    <n v="0"/>
    <n v="0"/>
    <m/>
    <n v="0"/>
    <n v="0"/>
    <n v="0"/>
    <n v="0"/>
    <n v="0"/>
    <n v="-0.4335625653899875"/>
    <n v="0"/>
    <n v="0"/>
    <m/>
    <m/>
    <m/>
    <n v="4089.9534367939232"/>
    <n v="0"/>
    <n v="0"/>
    <n v="-1248.8231000000001"/>
    <n v="33.004200000000083"/>
    <n v="0"/>
    <n v="0"/>
    <n v="-1209.05479703702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6"/>
    <s v="Regular"/>
    <s v="Convencional"/>
    <s v="B1"/>
    <s v="Residencial"/>
    <s v="Residencial baixa renda – faixa 03"/>
    <s v="Não se aplica"/>
    <s v="Não se aplica"/>
    <s v="Não se aplica"/>
    <s v="CATIVO"/>
    <x v="0"/>
    <n v="0"/>
    <n v="0"/>
    <n v="8.4429999999999996"/>
    <n v="8.4429999999999996"/>
    <n v="8.4429999999999996"/>
    <n v="8.4429999999999996"/>
    <m/>
    <n v="640"/>
    <n v="127.85"/>
    <m/>
    <n v="6482.9575499999992"/>
    <n v="6482.9575499999992"/>
    <n v="5232.6336799999999"/>
    <n v="0"/>
    <n v="0"/>
    <n v="0"/>
    <n v="0"/>
    <n v="0"/>
    <n v="923.17834407251917"/>
    <n v="4206.0264149635914"/>
    <n v="1079.4155661079626"/>
    <n v="0"/>
    <n v="0"/>
    <n v="0"/>
    <n v="0"/>
    <n v="0"/>
    <n v="0"/>
    <m/>
    <n v="19.340914475712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4.96334918531826"/>
    <n v="0"/>
    <n v="27.34"/>
    <n v="126.48"/>
    <n v="1554.96"/>
    <n v="70"/>
    <m/>
    <m/>
    <m/>
    <m/>
    <m/>
    <m/>
    <m/>
    <n v="523.29713999999967"/>
    <m/>
    <n v="1334.3789152932809"/>
    <m/>
    <m/>
    <m/>
    <m/>
    <m/>
    <m/>
    <m/>
    <m/>
    <m/>
    <m/>
    <m/>
    <m/>
    <n v="4707.6632"/>
    <n v="-1126.9863800000003"/>
    <m/>
    <m/>
    <m/>
    <m/>
    <n v="-1284.2647300000001"/>
    <n v="33.940860000000086"/>
    <n v="31"/>
    <n v="-6.8886133069336211"/>
    <n v="0"/>
    <n v="0"/>
    <n v="0"/>
    <n v="0"/>
    <n v="0"/>
    <n v="0"/>
    <n v="0"/>
    <n v="-48.430596232254288"/>
    <n v="0"/>
    <n v="0"/>
    <n v="33.96511917671387"/>
    <n v="0"/>
    <n v="0"/>
    <n v="0"/>
    <n v="8.022730830164079"/>
    <n v="0"/>
    <n v="0"/>
    <m/>
    <n v="0"/>
    <n v="0"/>
    <n v="0"/>
    <n v="0"/>
    <n v="0"/>
    <n v="-0.44586708155757293"/>
    <n v="0"/>
    <n v="0"/>
    <m/>
    <m/>
    <m/>
    <n v="4206.0264149635914"/>
    <n v="0"/>
    <n v="0"/>
    <n v="-1284.2647299999999"/>
    <n v="33.940860000000157"/>
    <n v="0"/>
    <n v="0"/>
    <n v="-1243.36780163016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7"/>
    <s v="Regular"/>
    <s v="Convencional"/>
    <s v="B1"/>
    <s v="Residencial"/>
    <s v="Residencial baixa renda – faixa 04"/>
    <s v="Não se aplica"/>
    <s v="Não se aplica"/>
    <s v="Não se aplica"/>
    <s v="CATIVO"/>
    <x v="0"/>
    <n v="0"/>
    <n v="0"/>
    <n v="2.835"/>
    <n v="2.835"/>
    <n v="2.835"/>
    <n v="2.835"/>
    <m/>
    <n v="640"/>
    <n v="127.85"/>
    <m/>
    <n v="2176.85475"/>
    <n v="2176.85475"/>
    <n v="1757.0196000000001"/>
    <n v="0"/>
    <n v="0"/>
    <n v="0"/>
    <n v="0"/>
    <n v="0"/>
    <n v="309.98585875229088"/>
    <n v="1412.3042622790219"/>
    <n v="362.44736822409976"/>
    <n v="0"/>
    <n v="0"/>
    <n v="0"/>
    <n v="0"/>
    <n v="0"/>
    <n v="0"/>
    <m/>
    <n v="6.49431393327564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85.61187906435832"/>
    <n v="0"/>
    <n v="12.68"/>
    <n v="59.49"/>
    <n v="893.44"/>
    <n v="39"/>
    <m/>
    <m/>
    <m/>
    <m/>
    <m/>
    <m/>
    <m/>
    <m/>
    <m/>
    <n v="448.0592472884581"/>
    <m/>
    <m/>
    <m/>
    <m/>
    <m/>
    <m/>
    <m/>
    <m/>
    <m/>
    <m/>
    <m/>
    <m/>
    <n v="1760.1183999999998"/>
    <n v="-416.76635000000033"/>
    <m/>
    <m/>
    <m/>
    <m/>
    <n v="-431.23185000000001"/>
    <n v="11.396700000000029"/>
    <n v="31"/>
    <n v="-2.3130662945823133"/>
    <n v="0"/>
    <n v="0"/>
    <n v="0"/>
    <n v="0"/>
    <n v="0"/>
    <n v="0"/>
    <n v="0"/>
    <n v="-16.262079867161049"/>
    <n v="0"/>
    <n v="0"/>
    <n v="11.404845773538284"/>
    <n v="0"/>
    <n v="0"/>
    <n v="0"/>
    <n v="2.6938815472598776"/>
    <n v="0"/>
    <n v="0"/>
    <m/>
    <n v="0"/>
    <n v="0"/>
    <n v="0"/>
    <n v="0"/>
    <n v="0"/>
    <n v="-0.1497137482193196"/>
    <n v="0"/>
    <n v="0"/>
    <m/>
    <m/>
    <m/>
    <n v="1412.3042622790219"/>
    <n v="0"/>
    <n v="0"/>
    <n v="-431.23185000000012"/>
    <n v="11.39670000000001"/>
    <n v="0"/>
    <n v="0"/>
    <n v="-417.499433568815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8"/>
    <s v="Regular"/>
    <s v="Branca"/>
    <s v="B1"/>
    <s v="Residencial"/>
    <s v="Residencial"/>
    <s v="Não se aplica"/>
    <s v="Não se aplica"/>
    <s v="Ponta"/>
    <s v="CATIVO"/>
    <x v="0"/>
    <n v="0"/>
    <n v="0"/>
    <n v="2.1999999999999999E-2"/>
    <n v="2.1999999999999999E-2"/>
    <n v="2.1999999999999999E-2"/>
    <n v="2.1999999999999999E-2"/>
    <m/>
    <n v="1864.71"/>
    <n v="127.85"/>
    <m/>
    <n v="43.836320000000001"/>
    <n v="43.836320000000001"/>
    <n v="34.148619999999994"/>
    <n v="0"/>
    <n v="1.3436516862191148"/>
    <n v="0"/>
    <n v="0"/>
    <n v="0"/>
    <n v="6.9744251972657452"/>
    <n v="31.783078159800656"/>
    <n v="2.8126427163774936"/>
    <n v="0"/>
    <n v="0"/>
    <n v="0"/>
    <n v="0"/>
    <n v="0"/>
    <n v="0.20779654316596119"/>
    <m/>
    <n v="5.0396792427535843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66436026081688992"/>
    <n v="0"/>
    <n v="0"/>
    <n v="0"/>
    <n v="0"/>
    <n v="0"/>
    <m/>
    <m/>
    <m/>
    <m/>
    <m/>
    <m/>
    <m/>
    <m/>
    <m/>
    <n v="3.4770029771943838"/>
    <m/>
    <m/>
    <m/>
    <m/>
    <m/>
    <m/>
    <m/>
    <m/>
    <m/>
    <m/>
    <m/>
    <m/>
    <n v="31.0442"/>
    <n v="-12.822119999999995"/>
    <m/>
    <m/>
    <m/>
    <m/>
    <n v="-9.7761400000000016"/>
    <n v="8.8440000000000227E-2"/>
    <n v="31"/>
    <n v="-0.29220179014855141"/>
    <n v="0"/>
    <n v="0"/>
    <n v="0"/>
    <n v="0"/>
    <n v="0"/>
    <n v="0"/>
    <n v="0"/>
    <n v="-0.36588333429786513"/>
    <n v="0"/>
    <n v="0"/>
    <n v="8.8503212351972671E-2"/>
    <n v="0"/>
    <n v="0"/>
    <n v="0"/>
    <n v="2.0904900895843848E-2"/>
    <n v="0"/>
    <n v="-3.0599588909764552E-2"/>
    <m/>
    <n v="0"/>
    <n v="0"/>
    <n v="0"/>
    <n v="0"/>
    <n v="-3.9651803789226003E-3"/>
    <n v="-1.1617998098148313E-3"/>
    <n v="0"/>
    <n v="0"/>
    <m/>
    <m/>
    <m/>
    <n v="31.783078159800656"/>
    <n v="0"/>
    <n v="0"/>
    <n v="-9.7761400000000052"/>
    <n v="8.8440000000000296E-2"/>
    <n v="0"/>
    <n v="0"/>
    <n v="-9.39557960929565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9"/>
    <s v="Regular"/>
    <s v="Branca"/>
    <s v="B1"/>
    <s v="Residencial"/>
    <s v="Residencial"/>
    <s v="Não se aplica"/>
    <s v="Não se aplica"/>
    <s v="Fora ponta"/>
    <s v="CATIVO"/>
    <x v="0"/>
    <n v="0"/>
    <n v="0"/>
    <n v="0.20899999999999999"/>
    <n v="0.20899999999999999"/>
    <n v="0.20899999999999999"/>
    <n v="0.20899999999999999"/>
    <m/>
    <n v="455.34"/>
    <n v="127.85"/>
    <m/>
    <n v="121.88670999999999"/>
    <n v="121.88670999999999"/>
    <n v="104.0402"/>
    <n v="0"/>
    <n v="12.764691019081591"/>
    <n v="0"/>
    <n v="0"/>
    <n v="0"/>
    <n v="13.249345833477745"/>
    <n v="60.387815776632905"/>
    <n v="26.72010580558619"/>
    <n v="0"/>
    <n v="0"/>
    <n v="0"/>
    <n v="0"/>
    <n v="0"/>
    <n v="1.9740671600766315"/>
    <m/>
    <n v="0.478769528061590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3114224777604546"/>
    <n v="0"/>
    <n v="0"/>
    <n v="0"/>
    <n v="0"/>
    <n v="0"/>
    <m/>
    <m/>
    <m/>
    <m/>
    <m/>
    <m/>
    <m/>
    <m/>
    <m/>
    <n v="33.031528283346645"/>
    <m/>
    <m/>
    <m/>
    <m/>
    <m/>
    <m/>
    <m/>
    <m/>
    <m/>
    <m/>
    <m/>
    <m/>
    <n v="104.538"/>
    <n v="-17.378710000000012"/>
    <m/>
    <m/>
    <m/>
    <m/>
    <n v="-18.686689999999992"/>
    <n v="0.84018000000000215"/>
    <n v="31"/>
    <n v="4.9045104154004093E-3"/>
    <n v="0"/>
    <n v="0"/>
    <n v="0"/>
    <n v="0"/>
    <n v="0"/>
    <n v="0"/>
    <n v="0"/>
    <n v="-0.69507015900308211"/>
    <n v="0"/>
    <n v="0"/>
    <n v="0.84078051734373815"/>
    <n v="0"/>
    <n v="0"/>
    <n v="0"/>
    <n v="0.19859655851051627"/>
    <n v="0"/>
    <n v="-0.29069609464276347"/>
    <m/>
    <n v="0"/>
    <n v="0"/>
    <n v="0"/>
    <n v="0"/>
    <n v="-3.7669213599764939E-2"/>
    <n v="-1.1037098193240891E-2"/>
    <n v="0"/>
    <n v="0"/>
    <m/>
    <m/>
    <m/>
    <n v="60.387815776632905"/>
    <n v="0"/>
    <n v="0"/>
    <n v="-18.686689999999984"/>
    <n v="0.84018000000000015"/>
    <n v="0"/>
    <n v="0"/>
    <n v="-17.8515915830473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10"/>
    <s v="Regular"/>
    <s v="Branca"/>
    <s v="B1"/>
    <s v="Residencial"/>
    <s v="Residencial"/>
    <s v="Não se aplica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76"/>
    <n v="3.5"/>
    <n v="52.92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7"/>
    <m/>
    <m/>
    <m/>
    <m/>
    <n v="0"/>
    <m/>
    <m/>
    <m/>
    <m/>
    <n v="0"/>
    <n v="0"/>
    <n v="0"/>
    <n v="0"/>
  </r>
  <r>
    <n v="11"/>
    <s v="Regular"/>
    <s v="Branca"/>
    <s v="B1"/>
    <s v="Residencial"/>
    <s v="Residencial"/>
    <s v="Não se aplica"/>
    <s v="Não se aplica"/>
    <s v="Intermediário"/>
    <s v="CATIVO"/>
    <x v="0"/>
    <n v="0"/>
    <n v="0"/>
    <n v="1.4999999999999999E-2"/>
    <n v="1.4999999999999999E-2"/>
    <n v="1.4999999999999999E-2"/>
    <n v="1.4999999999999999E-2"/>
    <m/>
    <n v="1160"/>
    <n v="127.85"/>
    <m/>
    <n v="19.317749999999997"/>
    <n v="19.317749999999997"/>
    <n v="15.374699999999999"/>
    <n v="0"/>
    <n v="0.91612614969485096"/>
    <n v="0"/>
    <n v="0"/>
    <n v="0"/>
    <n v="2.8527315057438147"/>
    <n v="13.002166324820084"/>
    <n v="1.9177109429846548"/>
    <n v="0"/>
    <n v="0"/>
    <n v="0"/>
    <n v="0"/>
    <n v="0"/>
    <n v="0.141679461249519"/>
    <m/>
    <n v="3.4361449382410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45297290510242494"/>
    <n v="0"/>
    <n v="0"/>
    <n v="0"/>
    <n v="0"/>
    <n v="0"/>
    <m/>
    <m/>
    <m/>
    <m/>
    <m/>
    <m/>
    <m/>
    <m/>
    <m/>
    <n v="2.3706838480870798"/>
    <m/>
    <m/>
    <m/>
    <m/>
    <m/>
    <m/>
    <m/>
    <m/>
    <m/>
    <m/>
    <m/>
    <m/>
    <n v="20.499600000000001"/>
    <n v="1.1518499999999996"/>
    <m/>
    <m/>
    <m/>
    <m/>
    <n v="-4.0033499999999993"/>
    <n v="6.0300000000000152E-2"/>
    <n v="31"/>
    <n v="-9.9418918738694906E-2"/>
    <n v="0"/>
    <n v="0"/>
    <n v="0"/>
    <n v="0"/>
    <n v="0"/>
    <n v="0"/>
    <n v="0"/>
    <n v="-0.1496563352041349"/>
    <n v="0"/>
    <n v="0"/>
    <n v="6.0343099330890215E-2"/>
    <n v="0"/>
    <n v="0"/>
    <n v="0"/>
    <n v="1.4253341519893548E-2"/>
    <n v="0"/>
    <n v="-2.0863356074839468E-2"/>
    <m/>
    <n v="0"/>
    <n v="0"/>
    <n v="0"/>
    <n v="0"/>
    <n v="-2.7035320765381454E-3"/>
    <n v="-7.9213623396465205E-4"/>
    <n v="0"/>
    <n v="0"/>
    <m/>
    <m/>
    <m/>
    <n v="13.002166324820084"/>
    <n v="0"/>
    <n v="0"/>
    <n v="-4.0033499999999993"/>
    <n v="6.0300000000000242E-2"/>
    <n v="0"/>
    <n v="0"/>
    <n v="-3.84364560864538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12"/>
    <s v="Regular"/>
    <s v="Convencional"/>
    <s v="B3"/>
    <s v="Comercial"/>
    <s v="Não se aplica"/>
    <s v="Não se aplica"/>
    <s v="Não se aplica"/>
    <s v="Não se aplica"/>
    <s v="CATIVO"/>
    <x v="0"/>
    <n v="0"/>
    <n v="0"/>
    <n v="99.745999999999995"/>
    <n v="99.745999999999995"/>
    <n v="99.745999999999995"/>
    <n v="99.745999999999995"/>
    <m/>
    <n v="710.52"/>
    <n v="127.85"/>
    <m/>
    <n v="83624.054019999996"/>
    <n v="83624.054019999996"/>
    <n v="68696.067660000001"/>
    <n v="0"/>
    <n v="6091.9945951641739"/>
    <n v="0"/>
    <n v="0"/>
    <n v="0"/>
    <n v="10906.472475169667"/>
    <n v="49690.194336960609"/>
    <n v="12752.266381263158"/>
    <n v="0"/>
    <n v="0"/>
    <n v="0"/>
    <n v="0"/>
    <n v="0"/>
    <n v="942.1306361196348"/>
    <m/>
    <n v="228.494475339863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12.1490261564318"/>
    <n v="0"/>
    <n v="306.14"/>
    <n v="1414.82"/>
    <n v="15358.06"/>
    <n v="88"/>
    <m/>
    <m/>
    <m/>
    <m/>
    <m/>
    <m/>
    <m/>
    <m/>
    <m/>
    <n v="15764.41540741959"/>
    <m/>
    <m/>
    <m/>
    <m/>
    <m/>
    <m/>
    <m/>
    <m/>
    <m/>
    <m/>
    <m/>
    <m/>
    <n v="68698.822500000009"/>
    <n v="-14925.261519999971"/>
    <m/>
    <m/>
    <m/>
    <m/>
    <n v="-15328.965279999995"/>
    <n v="400.97892000000098"/>
    <n v="31"/>
    <n v="-238.09592403803981"/>
    <n v="0"/>
    <n v="0"/>
    <n v="0"/>
    <n v="0"/>
    <n v="0"/>
    <n v="0"/>
    <n v="0"/>
    <n v="-572.1613468888354"/>
    <n v="0"/>
    <n v="0"/>
    <n v="401.26551905726592"/>
    <n v="0"/>
    <n v="0"/>
    <n v="0"/>
    <n v="94.780920216220238"/>
    <n v="0"/>
    <n v="-138.73575433606311"/>
    <m/>
    <n v="0"/>
    <n v="0"/>
    <n v="0"/>
    <n v="0"/>
    <n v="-17.977767367091587"/>
    <n v="-5.2674947195359039"/>
    <n v="0"/>
    <n v="0"/>
    <m/>
    <m/>
    <m/>
    <n v="49690.194336960609"/>
    <n v="0"/>
    <n v="0"/>
    <n v="-15328.965279999989"/>
    <n v="400.97892000000138"/>
    <n v="0"/>
    <n v="0"/>
    <n v="-14689.2058203721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13"/>
    <s v="Regular"/>
    <s v="Verde"/>
    <s v="A4"/>
    <s v="Comercial"/>
    <s v="Não se aplica"/>
    <s v="Não se aplica"/>
    <s v="Não se aplica"/>
    <s v="Ponta"/>
    <s v="CATIVO"/>
    <x v="0"/>
    <n v="0"/>
    <n v="0"/>
    <n v="1.4350000000000001"/>
    <n v="1.4350000000000001"/>
    <n v="1.4350000000000001"/>
    <n v="1.4350000000000001"/>
    <m/>
    <n v="2075.9499999999998"/>
    <n v="127.85"/>
    <m/>
    <n v="3162.453"/>
    <n v="3162.453"/>
    <n v="2534.79835"/>
    <n v="0"/>
    <n v="76.249179439102519"/>
    <n v="0"/>
    <n v="0"/>
    <n v="0"/>
    <n v="904.06279651621435"/>
    <n v="1976.2299886291146"/>
    <n v="183.46101354553198"/>
    <n v="0"/>
    <n v="0"/>
    <n v="0"/>
    <n v="0"/>
    <n v="0"/>
    <n v="13.554001792870652"/>
    <m/>
    <n v="1.44131990086896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4499208529150511"/>
    <n v="0"/>
    <n v="0"/>
    <n v="0"/>
    <n v="0"/>
    <n v="0"/>
    <m/>
    <m/>
    <m/>
    <m/>
    <m/>
    <m/>
    <m/>
    <m/>
    <m/>
    <n v="190.91093439844704"/>
    <m/>
    <m/>
    <m/>
    <m/>
    <m/>
    <m/>
    <m/>
    <m/>
    <m/>
    <m/>
    <m/>
    <m/>
    <n v="2543.6304"/>
    <n v="-618.85260000000062"/>
    <m/>
    <m/>
    <m/>
    <m/>
    <n v="-633.4233499999998"/>
    <n v="5.768700000000015"/>
    <n v="31"/>
    <n v="-43.448858824682702"/>
    <n v="0"/>
    <n v="0"/>
    <n v="0"/>
    <n v="0"/>
    <n v="0"/>
    <n v="0"/>
    <n v="0"/>
    <n v="-47.427780935079113"/>
    <n v="0"/>
    <n v="0"/>
    <n v="5.772823169321839"/>
    <n v="0"/>
    <n v="0"/>
    <n v="0"/>
    <n v="0.23442078988976345"/>
    <n v="0"/>
    <n v="-1.7364571261090589"/>
    <m/>
    <n v="0"/>
    <n v="0"/>
    <n v="0"/>
    <n v="0"/>
    <n v="-0.25863790198881631"/>
    <n v="-3.3226820717205063E-2"/>
    <n v="0"/>
    <n v="0"/>
    <m/>
    <m/>
    <m/>
    <n v="1976.2299886291146"/>
    <n v="0"/>
    <n v="0"/>
    <n v="-633.42335000000003"/>
    <n v="5.7686999999999955"/>
    <n v="0"/>
    <n v="0"/>
    <n v="-584.204780011739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14"/>
    <s v="Regular"/>
    <s v="Verde"/>
    <s v="A4"/>
    <s v="Comercial"/>
    <s v="Não se aplica"/>
    <s v="Não se aplica"/>
    <s v="Não se aplica"/>
    <s v="Fora ponta"/>
    <s v="CATIVO"/>
    <x v="0"/>
    <n v="0"/>
    <n v="0"/>
    <n v="49.872999999999998"/>
    <n v="49.872999999999998"/>
    <n v="49.872999999999998"/>
    <n v="49.872999999999998"/>
    <m/>
    <n v="68.78"/>
    <n v="127.85"/>
    <m/>
    <n v="9806.5279899999987"/>
    <n v="9806.5279899999987"/>
    <n v="9944.6761999999999"/>
    <n v="0"/>
    <n v="2650.0176488964175"/>
    <n v="0"/>
    <n v="0"/>
    <n v="0"/>
    <n v="0"/>
    <n v="0"/>
    <n v="6376.1331906315791"/>
    <n v="0"/>
    <n v="0"/>
    <n v="0"/>
    <n v="0"/>
    <n v="0"/>
    <n v="471.0653180598174"/>
    <m/>
    <n v="50.0926462829533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8.91979282051034"/>
    <n v="0"/>
    <n v="0"/>
    <n v="0"/>
    <n v="0"/>
    <n v="0"/>
    <m/>
    <m/>
    <m/>
    <m/>
    <m/>
    <m/>
    <m/>
    <m/>
    <m/>
    <n v="6635.0529834520894"/>
    <m/>
    <m/>
    <m/>
    <m/>
    <m/>
    <m/>
    <m/>
    <m/>
    <m/>
    <m/>
    <m/>
    <m/>
    <n v="9944.0779999999995"/>
    <n v="137.52001000000018"/>
    <m/>
    <m/>
    <m/>
    <m/>
    <n v="-62.341249999999995"/>
    <n v="200.48946000000049"/>
    <n v="31"/>
    <n v="138.28625952042239"/>
    <n v="0"/>
    <n v="0"/>
    <n v="0"/>
    <n v="0"/>
    <n v="0"/>
    <n v="0"/>
    <n v="0"/>
    <n v="0"/>
    <n v="0"/>
    <n v="0"/>
    <n v="200.63275952863296"/>
    <n v="0"/>
    <n v="0"/>
    <n v="0"/>
    <n v="8.1472251248586645"/>
    <n v="0"/>
    <n v="-60.350053136192855"/>
    <m/>
    <n v="0"/>
    <n v="0"/>
    <n v="0"/>
    <n v="0"/>
    <n v="-8.9888836835457937"/>
    <n v="-1.1547883133304353"/>
    <n v="0"/>
    <n v="0"/>
    <m/>
    <m/>
    <m/>
    <n v="0"/>
    <n v="0"/>
    <n v="0"/>
    <n v="-62.341249999999945"/>
    <n v="200.489460000000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15"/>
    <s v="Regular"/>
    <s v="Verde"/>
    <s v="A4"/>
    <s v="Comercial"/>
    <s v="Não se aplica"/>
    <s v="Não se aplica"/>
    <s v="Não se aplica"/>
    <s v="Não se aplica"/>
    <s v="CATIVO"/>
    <x v="0"/>
    <n v="292"/>
    <n v="292"/>
    <n v="0"/>
    <n v="0"/>
    <n v="0"/>
    <n v="0"/>
    <n v="39.56"/>
    <m/>
    <m/>
    <n v="11551.52"/>
    <m/>
    <n v="11551.52"/>
    <n v="9069.52"/>
    <n v="0"/>
    <n v="0"/>
    <n v="0"/>
    <n v="0"/>
    <n v="0"/>
    <n v="3845.7222856355652"/>
    <n v="7704.400170448104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07.3"/>
    <n v="495.26"/>
    <n v="5248.05"/>
    <n v="2"/>
    <m/>
    <m/>
    <m/>
    <m/>
    <m/>
    <m/>
    <m/>
    <m/>
    <m/>
    <n v="0"/>
    <m/>
    <m/>
    <m/>
    <m/>
    <m/>
    <m/>
    <m/>
    <m/>
    <m/>
    <m/>
    <m/>
    <m/>
    <n v="9069.52"/>
    <n v="-2482.0300000000007"/>
    <m/>
    <m/>
    <m/>
    <m/>
    <n v="-2482.0000000000009"/>
    <n v="0"/>
    <n v="31"/>
    <n v="-201.74934175270755"/>
    <n v="0"/>
    <n v="0"/>
    <n v="0"/>
    <n v="0"/>
    <m/>
    <m/>
    <m/>
    <n v="-201.74934175270755"/>
    <n v="0"/>
    <n v="0"/>
    <m/>
    <m/>
    <n v="0"/>
    <n v="0"/>
    <n v="0"/>
    <n v="0"/>
    <n v="0"/>
    <m/>
    <n v="0"/>
    <n v="0"/>
    <m/>
    <n v="0"/>
    <n v="0"/>
    <n v="0"/>
    <n v="0"/>
    <n v="0"/>
    <m/>
    <m/>
    <n v="7704.4001704481043"/>
    <m/>
    <n v="0"/>
    <n v="0"/>
    <n v="-2482"/>
    <m/>
    <n v="0"/>
    <m/>
    <n v="-2277.542306612464"/>
    <m/>
    <n v="0"/>
    <n v="0"/>
    <m/>
    <n v="0"/>
    <n v="0"/>
    <n v="0"/>
    <n v="0"/>
    <n v="0"/>
    <m/>
    <m/>
    <n v="0"/>
    <n v="0"/>
    <m/>
    <n v="0"/>
    <m/>
    <n v="0"/>
    <m/>
    <n v="207"/>
    <m/>
    <m/>
    <m/>
    <m/>
    <n v="0"/>
    <m/>
    <m/>
    <m/>
    <m/>
    <n v="0"/>
    <n v="0"/>
    <n v="0"/>
    <n v="0"/>
  </r>
  <r>
    <n v="16"/>
    <s v="Regular"/>
    <s v="Convencional"/>
    <s v="B2"/>
    <s v="Rural"/>
    <s v="Não se aplica"/>
    <s v="Não se aplica"/>
    <s v="Não se aplica"/>
    <s v="Não se aplica"/>
    <s v="CATIVO"/>
    <x v="0"/>
    <n v="0"/>
    <n v="0"/>
    <n v="54.207999999999998"/>
    <n v="54.207999999999998"/>
    <n v="54.207999999999998"/>
    <n v="54.207999999999998"/>
    <m/>
    <n v="710.52"/>
    <n v="127.85"/>
    <m/>
    <n v="45446.360959999998"/>
    <n v="45446.360959999998"/>
    <n v="37333.591679999998"/>
    <n v="0"/>
    <n v="3310.757754843899"/>
    <n v="0"/>
    <n v="0"/>
    <n v="0"/>
    <n v="5927.2357782166437"/>
    <n v="27004.652363182089"/>
    <n v="6930.3516531541445"/>
    <n v="0"/>
    <n v="0"/>
    <n v="0"/>
    <n v="0"/>
    <n v="0"/>
    <n v="512.0106823609284"/>
    <m/>
    <n v="124.177696541448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36.9836826528169"/>
    <n v="0"/>
    <n v="136.03"/>
    <n v="628.67999999999995"/>
    <n v="0"/>
    <n v="41"/>
    <m/>
    <m/>
    <m/>
    <m/>
    <m/>
    <n v="4479.7491200000031"/>
    <m/>
    <m/>
    <m/>
    <n v="8567.3353358069617"/>
    <m/>
    <m/>
    <m/>
    <m/>
    <m/>
    <m/>
    <m/>
    <m/>
    <m/>
    <m/>
    <m/>
    <m/>
    <n v="32855.054700000001"/>
    <n v="-7138.0114600000015"/>
    <m/>
    <m/>
    <m/>
    <m/>
    <n v="-8330.6854399999975"/>
    <n v="217.91616000000056"/>
    <n v="31"/>
    <n v="-129.39570358965648"/>
    <n v="0"/>
    <n v="0"/>
    <n v="0"/>
    <n v="0"/>
    <n v="0"/>
    <n v="0"/>
    <n v="0"/>
    <n v="-310.94702837356908"/>
    <n v="0"/>
    <n v="0"/>
    <n v="218.07191523526035"/>
    <n v="0"/>
    <n v="0"/>
    <n v="0"/>
    <n v="51.509675807359145"/>
    <n v="0"/>
    <n v="-75.397387073659957"/>
    <m/>
    <n v="0"/>
    <n v="0"/>
    <n v="0"/>
    <n v="0"/>
    <n v="-9.7702044536653148"/>
    <n v="-2.8626747313837342"/>
    <n v="0"/>
    <n v="0"/>
    <m/>
    <m/>
    <m/>
    <n v="27004.652363182089"/>
    <n v="0"/>
    <n v="0"/>
    <n v="-8330.6854399999975"/>
    <n v="217.91616000000067"/>
    <n v="0"/>
    <n v="0"/>
    <n v="-7983.00151495532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17"/>
    <s v="Regular"/>
    <s v="Convencional"/>
    <s v="B3"/>
    <s v="Poder público"/>
    <s v="Não se aplica"/>
    <s v="Não se aplica"/>
    <s v="Não se aplica"/>
    <s v="Não se aplica"/>
    <s v="CATIVO"/>
    <x v="0"/>
    <n v="0"/>
    <n v="0"/>
    <n v="5.0599999999999996"/>
    <n v="5.0599999999999996"/>
    <n v="5.0599999999999996"/>
    <n v="5.0599999999999996"/>
    <m/>
    <n v="710.52"/>
    <n v="127.85"/>
    <m/>
    <n v="4242.1521999999995"/>
    <n v="4242.1521999999995"/>
    <n v="3484.8726000000001"/>
    <n v="0"/>
    <n v="309.03988783039637"/>
    <n v="0"/>
    <n v="0"/>
    <n v="0"/>
    <n v="553.27282020691064"/>
    <n v="2520.7264787061204"/>
    <n v="646.90782476682352"/>
    <n v="0"/>
    <n v="0"/>
    <n v="0"/>
    <n v="0"/>
    <n v="0"/>
    <n v="47.793204928171079"/>
    <m/>
    <n v="11.5912622583332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2.80285998788469"/>
    <n v="0"/>
    <n v="15.39"/>
    <n v="71.33"/>
    <n v="774.66"/>
    <n v="18"/>
    <m/>
    <m/>
    <m/>
    <m/>
    <m/>
    <m/>
    <m/>
    <m/>
    <m/>
    <n v="799.71068475470815"/>
    <m/>
    <m/>
    <m/>
    <m/>
    <m/>
    <m/>
    <m/>
    <m/>
    <m/>
    <m/>
    <m/>
    <m/>
    <n v="3484.8726000000001"/>
    <n v="-757.30960000000005"/>
    <m/>
    <m/>
    <m/>
    <m/>
    <n v="-777.62079999999969"/>
    <n v="20.34120000000005"/>
    <n v="31"/>
    <n v="-12.078332721436936"/>
    <n v="0"/>
    <n v="0"/>
    <n v="0"/>
    <n v="0"/>
    <n v="0"/>
    <n v="0"/>
    <n v="0"/>
    <n v="-29.025087875779491"/>
    <n v="0"/>
    <n v="0"/>
    <n v="20.355738840953677"/>
    <n v="0"/>
    <n v="0"/>
    <n v="0"/>
    <n v="4.8081272060440767"/>
    <n v="0"/>
    <n v="-7.0379054492458408"/>
    <m/>
    <n v="0"/>
    <n v="0"/>
    <n v="0"/>
    <n v="0"/>
    <n v="-0.91199148715220701"/>
    <n v="-0.26721395625741096"/>
    <n v="0"/>
    <n v="0"/>
    <m/>
    <m/>
    <m/>
    <n v="2520.7264787061204"/>
    <n v="0"/>
    <n v="0"/>
    <n v="-777.62079999999969"/>
    <n v="20.341200000000072"/>
    <n v="0"/>
    <n v="0"/>
    <n v="-745.166537516122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18"/>
    <s v="Regular"/>
    <s v="Convencional"/>
    <s v="B4"/>
    <s v="Iluminação pública"/>
    <s v="Iluminação pública – B4a"/>
    <s v="Não se aplica"/>
    <s v="Não se aplica"/>
    <s v="Não se aplica"/>
    <s v="CATIVO"/>
    <x v="0"/>
    <n v="0"/>
    <n v="0"/>
    <n v="40.082999999999998"/>
    <n v="40.082999999999998"/>
    <n v="40.082999999999998"/>
    <n v="40.082999999999998"/>
    <m/>
    <n v="390.79"/>
    <n v="70.319999999999993"/>
    <m/>
    <n v="18482.672129999999"/>
    <n v="18482.672129999999"/>
    <n v="15183.039569999999"/>
    <n v="0"/>
    <n v="1346.4397634680206"/>
    <n v="0"/>
    <n v="0"/>
    <n v="0"/>
    <n v="2410.5254839514746"/>
    <n v="10982.421678910585"/>
    <n v="2818.4789500139791"/>
    <n v="0"/>
    <n v="0"/>
    <n v="0"/>
    <n v="0"/>
    <n v="0"/>
    <n v="208.22772099303054"/>
    <m/>
    <n v="50.5013657718231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665.73880835808711"/>
    <n v="0"/>
    <n v="73.290000000000006"/>
    <n v="338.98"/>
    <n v="3679.49"/>
    <n v="35"/>
    <m/>
    <m/>
    <m/>
    <m/>
    <m/>
    <m/>
    <m/>
    <m/>
    <m/>
    <n v="3484.2177583720663"/>
    <m/>
    <m/>
    <m/>
    <m/>
    <m/>
    <m/>
    <m/>
    <m/>
    <m/>
    <m/>
    <m/>
    <m/>
    <n v="15181.903199999999"/>
    <n v="-3300.798929999999"/>
    <m/>
    <m/>
    <m/>
    <m/>
    <n v="-3388.2159900000011"/>
    <n v="88.58343000000032"/>
    <n v="31"/>
    <n v="-52.623457660157328"/>
    <n v="0"/>
    <n v="0"/>
    <n v="0"/>
    <n v="0"/>
    <n v="0"/>
    <n v="0"/>
    <n v="0"/>
    <n v="-126.45789101357332"/>
    <n v="0"/>
    <n v="0"/>
    <n v="88.686856517602337"/>
    <n v="0"/>
    <n v="0"/>
    <n v="0"/>
    <n v="20.948278565198734"/>
    <n v="0"/>
    <n v="-30.663083056755795"/>
    <m/>
    <n v="0"/>
    <n v="0"/>
    <n v="0"/>
    <n v="0"/>
    <n v="-3.9734081282090301"/>
    <n v="-1.1642105444201647"/>
    <n v="0"/>
    <n v="0"/>
    <m/>
    <m/>
    <m/>
    <n v="10982.421678910585"/>
    <n v="0"/>
    <n v="0"/>
    <n v="-3388.2159900000006"/>
    <n v="88.58343000000059"/>
    <n v="0"/>
    <n v="0"/>
    <n v="-3246.57720904987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19"/>
    <s v="Regular"/>
    <s v="Convencional"/>
    <s v="B3"/>
    <s v="Serviço público"/>
    <s v="Água, esgoto e saneamento"/>
    <s v="Não se aplica"/>
    <s v="Não se aplica"/>
    <s v="Não se aplica"/>
    <s v="CATIVO"/>
    <x v="0"/>
    <n v="0"/>
    <n v="0"/>
    <n v="5.45"/>
    <n v="5.1230000000000002"/>
    <n v="5.45"/>
    <n v="5.1230000000000002"/>
    <m/>
    <n v="710.52"/>
    <n v="127.85"/>
    <m/>
    <n v="4569.1165000000001"/>
    <n v="4569.1165000000001"/>
    <n v="3753.4695000000002"/>
    <n v="0"/>
    <n v="332.85916772246253"/>
    <n v="0"/>
    <n v="0"/>
    <n v="0"/>
    <n v="595.91637749558572"/>
    <n v="2715.0117211360389"/>
    <n v="696.76830928442462"/>
    <n v="0"/>
    <n v="0"/>
    <n v="0"/>
    <n v="0"/>
    <n v="0"/>
    <n v="51.476870920658577"/>
    <m/>
    <n v="12.4846599422759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4.58015552054775"/>
    <n v="0"/>
    <n v="16.38"/>
    <n v="75.599999999999994"/>
    <n v="755.62"/>
    <n v="1"/>
    <m/>
    <m/>
    <m/>
    <m/>
    <n v="225.20816999999997"/>
    <m/>
    <m/>
    <m/>
    <m/>
    <n v="861.34846480497231"/>
    <m/>
    <m/>
    <m/>
    <m/>
    <m/>
    <m/>
    <m/>
    <m/>
    <m/>
    <m/>
    <m/>
    <m/>
    <n v="3526.1952000000001"/>
    <n v="-768.80431000000044"/>
    <m/>
    <m/>
    <m/>
    <m/>
    <n v="-837.5559999999997"/>
    <n v="21.909000000000056"/>
    <n v="31"/>
    <n v="-13.009271409453049"/>
    <n v="0"/>
    <n v="0"/>
    <n v="0"/>
    <n v="0"/>
    <n v="0"/>
    <n v="0"/>
    <n v="0"/>
    <n v="-31.262199391896957"/>
    <n v="0"/>
    <n v="0"/>
    <n v="21.924659423556818"/>
    <n v="0"/>
    <n v="0"/>
    <n v="0"/>
    <n v="5.1787140855613245"/>
    <n v="0"/>
    <n v="-7.5803527071916506"/>
    <m/>
    <n v="0"/>
    <n v="0"/>
    <n v="0"/>
    <n v="0"/>
    <n v="-0.98228332114219796"/>
    <n v="-0.28780949834049174"/>
    <n v="0"/>
    <n v="0"/>
    <m/>
    <m/>
    <m/>
    <n v="2715.0117211360389"/>
    <n v="0"/>
    <n v="0"/>
    <n v="-837.55599999999959"/>
    <n v="21.908999999999992"/>
    <n v="0"/>
    <n v="0"/>
    <n v="-802.600322028234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20"/>
    <s v="Regular"/>
    <s v="Convencional"/>
    <s v="B1"/>
    <s v="Residencial"/>
    <s v="Residencial"/>
    <s v="Não se aplica"/>
    <s v="Não se aplica"/>
    <s v="Não se aplica"/>
    <s v="CATIVO"/>
    <x v="1"/>
    <n v="0"/>
    <n v="0"/>
    <n v="1058.614"/>
    <n v="1058.614"/>
    <n v="1058.614"/>
    <n v="1058.614"/>
    <m/>
    <n v="710.52"/>
    <n v="127.85"/>
    <m/>
    <n v="887510.21918000001"/>
    <n v="887510.21918000001"/>
    <n v="729078.04794000008"/>
    <n v="0"/>
    <n v="64654.931188871007"/>
    <n v="0"/>
    <n v="0"/>
    <n v="0"/>
    <n v="115751.45321947009"/>
    <n v="527366.86571719393"/>
    <n v="135341.04347978384"/>
    <n v="0"/>
    <n v="0"/>
    <n v="0"/>
    <n v="0"/>
    <n v="0"/>
    <n v="9998.924079413222"/>
    <m/>
    <n v="2425.03409176742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968.230597473234"/>
    <n v="0"/>
    <n v="5241.2700000000004"/>
    <n v="24318.92"/>
    <n v="200493.48"/>
    <n v="6049"/>
    <m/>
    <m/>
    <m/>
    <m/>
    <m/>
    <m/>
    <m/>
    <m/>
    <m/>
    <n v="167309.27407725708"/>
    <m/>
    <m/>
    <m/>
    <m/>
    <m/>
    <m/>
    <m/>
    <m/>
    <m/>
    <m/>
    <m/>
    <m/>
    <n v="729075.29310000001"/>
    <n v="-158434.95608000003"/>
    <m/>
    <m/>
    <m/>
    <m/>
    <n v="-162687.79951999994"/>
    <n v="4255.6282800000108"/>
    <n v="31"/>
    <n v="-2526.9352007059497"/>
    <n v="0"/>
    <n v="0"/>
    <n v="0"/>
    <n v="0"/>
    <n v="0"/>
    <n v="0"/>
    <n v="0"/>
    <n v="-6072.4040269823163"/>
    <n v="0"/>
    <n v="0"/>
    <n v="4258.669983671396"/>
    <n v="0"/>
    <n v="0"/>
    <n v="0"/>
    <n v="1005.9191253160425"/>
    <n v="0"/>
    <n v="-1472.4160551873429"/>
    <m/>
    <n v="0"/>
    <n v="0"/>
    <n v="0"/>
    <n v="0"/>
    <n v="-190.79979371149057"/>
    <n v="-55.904433812150728"/>
    <n v="0"/>
    <n v="0"/>
    <m/>
    <m/>
    <m/>
    <n v="527366.86571719393"/>
    <n v="0"/>
    <n v="0"/>
    <n v="-162687.79952"/>
    <n v="4255.6282800000045"/>
    <n v="0"/>
    <n v="0"/>
    <n v="-155897.970147449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21"/>
    <s v="Sistema de Compensação"/>
    <s v="Convencional"/>
    <s v="B1"/>
    <s v="Residencial"/>
    <s v="Residencial"/>
    <s v="Não se aplica"/>
    <s v="Não se aplica"/>
    <s v="Não se aplica"/>
    <s v="CATIVO"/>
    <x v="1"/>
    <n v="0"/>
    <n v="0"/>
    <n v="1.0389999999999999"/>
    <n v="1.0389999999999999"/>
    <n v="1.0389999999999999"/>
    <n v="1.0389999999999999"/>
    <m/>
    <n v="710.52"/>
    <n v="127.85"/>
    <m/>
    <n v="871.06642999999985"/>
    <n v="871.06642999999985"/>
    <n v="715.56968999999992"/>
    <n v="0"/>
    <n v="63.457004635530012"/>
    <n v="0"/>
    <n v="0"/>
    <n v="0"/>
    <n v="113.60681031521348"/>
    <n v="517.59581252483383"/>
    <n v="132.83344465073708"/>
    <n v="0"/>
    <n v="0"/>
    <n v="0"/>
    <n v="0"/>
    <n v="0"/>
    <n v="9.813664015883349"/>
    <m/>
    <n v="2.38010306055498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.375923226761302"/>
    <n v="0"/>
    <n v="3.67"/>
    <n v="17.170000000000002"/>
    <n v="503.34"/>
    <n v="9"/>
    <m/>
    <m/>
    <m/>
    <m/>
    <m/>
    <m/>
    <m/>
    <m/>
    <m/>
    <n v="164.20936787749838"/>
    <m/>
    <m/>
    <m/>
    <m/>
    <m/>
    <m/>
    <m/>
    <m/>
    <m/>
    <m/>
    <m/>
    <m/>
    <n v="716.25840000000005"/>
    <n v="-154.83802999999978"/>
    <m/>
    <m/>
    <m/>
    <m/>
    <n v="-159.67351999999994"/>
    <n v="4.1767800000000106"/>
    <n v="31"/>
    <n v="-2.4801161457655212"/>
    <n v="0"/>
    <n v="0"/>
    <n v="0"/>
    <n v="0"/>
    <n v="0"/>
    <n v="0"/>
    <n v="0"/>
    <n v="-5.9598945262717251"/>
    <n v="0"/>
    <n v="0"/>
    <n v="4.1797653469863292"/>
    <n v="0"/>
    <n v="0"/>
    <n v="0"/>
    <n v="0.98728145594462546"/>
    <n v="0"/>
    <n v="-1.445135130783882"/>
    <m/>
    <n v="0"/>
    <n v="0"/>
    <n v="0"/>
    <n v="0"/>
    <n v="-0.18726465516820845"/>
    <n v="-5.4868636472618526E-2"/>
    <n v="0"/>
    <n v="0"/>
    <m/>
    <m/>
    <m/>
    <n v="517.59581252483383"/>
    <n v="0"/>
    <n v="0"/>
    <n v="-159.67351999999994"/>
    <n v="4.1767800000000079"/>
    <n v="0"/>
    <n v="0"/>
    <n v="-153.00949258483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22"/>
    <s v="Regular"/>
    <s v="Convencional"/>
    <s v="B1"/>
    <s v="Residencial"/>
    <s v="Residencial baixa renda – faixa 01"/>
    <s v="Não se aplica"/>
    <s v="Não se aplica"/>
    <s v="Não se aplica"/>
    <s v="CATIVO"/>
    <x v="1"/>
    <n v="0"/>
    <n v="0"/>
    <n v="3.9"/>
    <n v="3.9"/>
    <n v="3.9"/>
    <n v="3.9"/>
    <m/>
    <n v="640"/>
    <n v="127.85"/>
    <m/>
    <n v="2994.6149999999998"/>
    <n v="2994.6149999999998"/>
    <n v="2417.0639999999999"/>
    <n v="0"/>
    <n v="0"/>
    <n v="0"/>
    <n v="0"/>
    <n v="0"/>
    <n v="426.43557288674936"/>
    <n v="1942.8524242991837"/>
    <n v="498.60484517601026"/>
    <n v="0"/>
    <n v="0"/>
    <n v="0"/>
    <n v="0"/>
    <n v="0"/>
    <n v="0"/>
    <m/>
    <n v="8.93397683942680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7.77295532663049"/>
    <n v="0"/>
    <n v="17.899999999999999"/>
    <n v="83.21"/>
    <n v="523.91"/>
    <n v="1"/>
    <m/>
    <m/>
    <m/>
    <m/>
    <m/>
    <m/>
    <m/>
    <n v="1571.115"/>
    <m/>
    <n v="616.37780050264075"/>
    <m/>
    <m/>
    <m/>
    <m/>
    <m/>
    <m/>
    <m/>
    <m/>
    <m/>
    <m/>
    <m/>
    <m/>
    <n v="845.94899999999996"/>
    <n v="-202.20600000000002"/>
    <m/>
    <m/>
    <m/>
    <m/>
    <n v="-593.22900000000004"/>
    <n v="15.67800000000004"/>
    <n v="31"/>
    <n v="-3.1819959608008048"/>
    <n v="0"/>
    <n v="0"/>
    <n v="0"/>
    <n v="0"/>
    <n v="0"/>
    <n v="0"/>
    <n v="0"/>
    <n v="-22.371115161173918"/>
    <n v="0"/>
    <n v="0"/>
    <n v="15.689205826031525"/>
    <n v="0"/>
    <n v="0"/>
    <n v="0"/>
    <n v="3.7058687951723073"/>
    <n v="0"/>
    <n v="0"/>
    <m/>
    <n v="0"/>
    <n v="0"/>
    <n v="0"/>
    <n v="0"/>
    <n v="0"/>
    <n v="-0.20595542083080964"/>
    <n v="0"/>
    <n v="0"/>
    <m/>
    <m/>
    <m/>
    <n v="1942.8524242991837"/>
    <n v="0"/>
    <n v="0"/>
    <n v="-593.22900000000004"/>
    <n v="15.678000000000054"/>
    <n v="0"/>
    <n v="0"/>
    <n v="-574.337845121121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23"/>
    <s v="Regular"/>
    <s v="Convencional"/>
    <s v="B1"/>
    <s v="Residencial"/>
    <s v="Residencial baixa renda – faixa 02"/>
    <s v="Não se aplica"/>
    <s v="Não se aplica"/>
    <s v="Não se aplica"/>
    <s v="CATIVO"/>
    <x v="1"/>
    <n v="0"/>
    <n v="0"/>
    <n v="8.6159999999999997"/>
    <n v="8.6159999999999997"/>
    <n v="8.6159999999999997"/>
    <n v="8.6159999999999997"/>
    <m/>
    <n v="640"/>
    <n v="127.85"/>
    <m/>
    <n v="6615.7955999999995"/>
    <n v="6615.7955999999995"/>
    <n v="5339.8521600000004"/>
    <n v="0"/>
    <n v="0"/>
    <n v="0"/>
    <n v="0"/>
    <n v="0"/>
    <n v="942.094588715957"/>
    <n v="4292.2093558363504"/>
    <n v="1101.5331656503859"/>
    <n v="0"/>
    <n v="0"/>
    <n v="0"/>
    <n v="0"/>
    <n v="0"/>
    <n v="0"/>
    <m/>
    <n v="19.7372165252567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0.1876366908329"/>
    <n v="0"/>
    <n v="40.69"/>
    <n v="189.21"/>
    <n v="1225.49"/>
    <n v="13"/>
    <m/>
    <m/>
    <m/>
    <m/>
    <m/>
    <m/>
    <m/>
    <n v="2135.9063999999998"/>
    <m/>
    <n v="1361.7208023412188"/>
    <m/>
    <m/>
    <m/>
    <m/>
    <m/>
    <m/>
    <m/>
    <m/>
    <m/>
    <m/>
    <m/>
    <m/>
    <n v="3205.4331999999999"/>
    <n v="-764.07416000000057"/>
    <m/>
    <m/>
    <m/>
    <m/>
    <n v="-1310.5797600000001"/>
    <n v="34.63632000000009"/>
    <n v="31"/>
    <n v="-7.0297633841701099"/>
    <n v="0"/>
    <n v="0"/>
    <n v="0"/>
    <n v="0"/>
    <n v="0"/>
    <n v="0"/>
    <n v="0"/>
    <n v="-49.422955956070382"/>
    <n v="0"/>
    <n v="0"/>
    <n v="34.661076255663147"/>
    <n v="0"/>
    <n v="0"/>
    <n v="0"/>
    <n v="8.1871193690268456"/>
    <n v="0"/>
    <n v="0"/>
    <m/>
    <n v="0"/>
    <n v="0"/>
    <n v="0"/>
    <n v="0"/>
    <n v="0"/>
    <n v="-0.45500305278929787"/>
    <n v="0"/>
    <n v="0"/>
    <m/>
    <m/>
    <m/>
    <n v="4292.2093558363504"/>
    <n v="0"/>
    <n v="0"/>
    <n v="-1310.5797599999996"/>
    <n v="34.636320000000069"/>
    <n v="0"/>
    <n v="0"/>
    <n v="-1268.84483937527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24"/>
    <s v="Regular"/>
    <s v="Convencional"/>
    <s v="B1"/>
    <s v="Residencial"/>
    <s v="Residencial baixa renda – faixa 03"/>
    <s v="Não se aplica"/>
    <s v="Não se aplica"/>
    <s v="Não se aplica"/>
    <s v="CATIVO"/>
    <x v="1"/>
    <n v="0"/>
    <n v="0"/>
    <n v="9.3889999999999993"/>
    <n v="9.3889999999999993"/>
    <n v="9.3889999999999993"/>
    <n v="9.3889999999999993"/>
    <m/>
    <n v="640"/>
    <n v="127.85"/>
    <m/>
    <n v="7209.3436499999989"/>
    <n v="7209.3436499999989"/>
    <n v="5818.9266399999997"/>
    <n v="0"/>
    <n v="0"/>
    <n v="0"/>
    <n v="0"/>
    <n v="0"/>
    <n v="1026.6163061112024"/>
    <n v="4677.2926696782142"/>
    <n v="1200.3592029121949"/>
    <n v="0"/>
    <n v="0"/>
    <n v="0"/>
    <n v="0"/>
    <n v="0"/>
    <n v="0"/>
    <m/>
    <n v="21.5079765500969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3.5308404004445"/>
    <n v="0"/>
    <n v="53.11"/>
    <n v="245.22"/>
    <n v="1832.38"/>
    <n v="72"/>
    <m/>
    <m/>
    <m/>
    <m/>
    <m/>
    <m/>
    <m/>
    <n v="581.93021999999962"/>
    <m/>
    <n v="1483.8900433126394"/>
    <m/>
    <m/>
    <m/>
    <m/>
    <m/>
    <m/>
    <m/>
    <m/>
    <m/>
    <m/>
    <m/>
    <m/>
    <n v="5237.5542000000005"/>
    <n v="-1250.8381399999998"/>
    <m/>
    <m/>
    <m/>
    <m/>
    <n v="-1428.1607900000001"/>
    <n v="37.743780000000093"/>
    <n v="31"/>
    <n v="-7.6604513015281555"/>
    <n v="0"/>
    <n v="0"/>
    <n v="0"/>
    <n v="0"/>
    <n v="0"/>
    <n v="0"/>
    <n v="0"/>
    <n v="-53.857025704682542"/>
    <n v="0"/>
    <n v="0"/>
    <n v="37.770757307848726"/>
    <n v="0"/>
    <n v="0"/>
    <n v="0"/>
    <n v="8.9216415686853452"/>
    <n v="0"/>
    <n v="0"/>
    <m/>
    <n v="0"/>
    <n v="0"/>
    <n v="0"/>
    <n v="0"/>
    <n v="0"/>
    <n v="-0.49582447337960645"/>
    <n v="0"/>
    <n v="0"/>
    <m/>
    <m/>
    <m/>
    <n v="4677.2926696782142"/>
    <n v="0"/>
    <n v="0"/>
    <n v="-1428.1607899999999"/>
    <n v="37.743780000000243"/>
    <n v="0"/>
    <n v="0"/>
    <n v="-1382.68154560056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25"/>
    <s v="Regular"/>
    <s v="Convencional"/>
    <s v="B1"/>
    <s v="Residencial"/>
    <s v="Residencial baixa renda – faixa 04"/>
    <s v="Não se aplica"/>
    <s v="Não se aplica"/>
    <s v="Não se aplica"/>
    <s v="CATIVO"/>
    <x v="1"/>
    <n v="0"/>
    <n v="0"/>
    <n v="3.5529999999999999"/>
    <n v="3.5529999999999999"/>
    <n v="3.5529999999999999"/>
    <n v="3.5529999999999999"/>
    <m/>
    <n v="640"/>
    <n v="127.85"/>
    <m/>
    <n v="2728.1710499999999"/>
    <n v="2728.1710499999999"/>
    <n v="2202.0072799999998"/>
    <n v="0"/>
    <n v="0"/>
    <n v="0"/>
    <n v="0"/>
    <n v="0"/>
    <n v="388.49374114528729"/>
    <n v="1769.9883752653845"/>
    <n v="454.24179869496527"/>
    <n v="0"/>
    <n v="0"/>
    <n v="0"/>
    <n v="0"/>
    <n v="0"/>
    <n v="0"/>
    <m/>
    <n v="8.1390819770470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7.29418212192773"/>
    <n v="0"/>
    <n v="28.57"/>
    <n v="132.52000000000001"/>
    <n v="1244.1400000000001"/>
    <n v="44"/>
    <m/>
    <m/>
    <m/>
    <m/>
    <m/>
    <m/>
    <m/>
    <m/>
    <m/>
    <n v="561.53598081689302"/>
    <m/>
    <m/>
    <m/>
    <m/>
    <m/>
    <m/>
    <m/>
    <m/>
    <m/>
    <m/>
    <m/>
    <m/>
    <n v="2200.1479999999997"/>
    <n v="-528.05305000000089"/>
    <m/>
    <m/>
    <m/>
    <m/>
    <n v="-540.44683000000009"/>
    <n v="14.283060000000036"/>
    <n v="31"/>
    <n v="-2.8988799099295193"/>
    <n v="0"/>
    <n v="0"/>
    <n v="0"/>
    <n v="0"/>
    <n v="0"/>
    <n v="0"/>
    <n v="0"/>
    <n v="-20.380659530166895"/>
    <n v="0"/>
    <n v="0"/>
    <n v="14.293268794843527"/>
    <n v="0"/>
    <n v="0"/>
    <n v="0"/>
    <n v="3.3761414946787767"/>
    <n v="0"/>
    <n v="0"/>
    <m/>
    <n v="0"/>
    <n v="0"/>
    <n v="0"/>
    <n v="0"/>
    <n v="0"/>
    <n v="-0.18763066928509442"/>
    <n v="0"/>
    <n v="0"/>
    <m/>
    <m/>
    <m/>
    <n v="1769.9883752653845"/>
    <n v="0"/>
    <n v="0"/>
    <n v="-540.44683000000009"/>
    <n v="14.283060000000035"/>
    <n v="0"/>
    <n v="0"/>
    <n v="-523.236503516755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26"/>
    <s v="Regular"/>
    <s v="Branca"/>
    <s v="B1"/>
    <s v="Residencial"/>
    <s v="Residencial"/>
    <s v="Não se aplica"/>
    <s v="Não se aplica"/>
    <s v="Ponta"/>
    <s v="CATIVO"/>
    <x v="1"/>
    <n v="0"/>
    <n v="0"/>
    <n v="2.3E-2"/>
    <n v="2.3E-2"/>
    <n v="2.3E-2"/>
    <n v="2.3E-2"/>
    <m/>
    <n v="1864.71"/>
    <n v="127.85"/>
    <m/>
    <n v="45.828880000000005"/>
    <n v="45.828880000000005"/>
    <n v="35.700829999999996"/>
    <n v="0"/>
    <n v="1.4047267628654383"/>
    <n v="0"/>
    <n v="0"/>
    <n v="0"/>
    <n v="7.2914445244141888"/>
    <n v="33.227763530700692"/>
    <n v="2.9404901125764709"/>
    <n v="0"/>
    <n v="0"/>
    <n v="0"/>
    <n v="0"/>
    <n v="0"/>
    <n v="0.21724184058259582"/>
    <m/>
    <n v="5.2687555719696563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694558454490385"/>
    <n v="0"/>
    <n v="0"/>
    <n v="0"/>
    <n v="0"/>
    <n v="0"/>
    <m/>
    <m/>
    <m/>
    <m/>
    <m/>
    <m/>
    <m/>
    <m/>
    <m/>
    <n v="3.635048567066856"/>
    <m/>
    <m/>
    <m/>
    <m/>
    <m/>
    <m/>
    <m/>
    <m/>
    <m/>
    <m/>
    <m/>
    <m/>
    <n v="31.0442"/>
    <n v="-14.814679999999999"/>
    <m/>
    <m/>
    <m/>
    <m/>
    <n v="-10.220510000000003"/>
    <n v="9.2460000000000236E-2"/>
    <n v="31"/>
    <n v="-0.30548368970075757"/>
    <n v="0"/>
    <n v="0"/>
    <n v="0"/>
    <n v="0"/>
    <n v="0"/>
    <n v="0"/>
    <n v="0"/>
    <n v="-0.38251439494776829"/>
    <n v="0"/>
    <n v="0"/>
    <n v="9.2526085640698419E-2"/>
    <n v="0"/>
    <n v="0"/>
    <n v="0"/>
    <n v="2.1855123663836684E-2"/>
    <n v="0"/>
    <n v="-3.199047931475385E-2"/>
    <m/>
    <n v="0"/>
    <n v="0"/>
    <n v="0"/>
    <n v="0"/>
    <n v="-4.1454158506918359E-3"/>
    <n v="-1.2146088920791387E-3"/>
    <n v="0"/>
    <n v="0"/>
    <m/>
    <m/>
    <m/>
    <n v="33.227763530700692"/>
    <n v="0"/>
    <n v="0"/>
    <n v="-10.220510000000004"/>
    <n v="9.2459999999999987E-2"/>
    <n v="0"/>
    <n v="0"/>
    <n v="-9.82265140971819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27"/>
    <s v="Regular"/>
    <s v="Branca"/>
    <s v="B1"/>
    <s v="Residencial"/>
    <s v="Residencial"/>
    <s v="Não se aplica"/>
    <s v="Não se aplica"/>
    <s v="Fora ponta"/>
    <s v="CATIVO"/>
    <x v="1"/>
    <n v="0"/>
    <n v="0"/>
    <n v="0.20200000000000001"/>
    <n v="0.20200000000000001"/>
    <n v="0.20200000000000001"/>
    <n v="0.20200000000000001"/>
    <m/>
    <n v="455.34"/>
    <n v="127.85"/>
    <m/>
    <n v="117.80437999999999"/>
    <n v="117.80437999999999"/>
    <n v="100.5556"/>
    <n v="0"/>
    <n v="12.337165482557328"/>
    <n v="0"/>
    <n v="0"/>
    <n v="0"/>
    <n v="12.805587839055047"/>
    <n v="58.365257353492098"/>
    <n v="25.825174032193356"/>
    <n v="0"/>
    <n v="0"/>
    <n v="0"/>
    <n v="0"/>
    <n v="0"/>
    <n v="1.9079500781601895"/>
    <m/>
    <n v="0.46273418501646552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1000351220459903"/>
    <n v="0"/>
    <n v="0"/>
    <n v="0"/>
    <n v="0"/>
    <n v="0"/>
    <m/>
    <m/>
    <m/>
    <m/>
    <m/>
    <m/>
    <m/>
    <m/>
    <m/>
    <n v="31.925209154239347"/>
    <m/>
    <m/>
    <m/>
    <m/>
    <m/>
    <m/>
    <m/>
    <m/>
    <m/>
    <m/>
    <m/>
    <m/>
    <n v="99.56"/>
    <n v="-18.274380000000008"/>
    <m/>
    <m/>
    <m/>
    <m/>
    <n v="-18.060819999999996"/>
    <n v="0.81204000000000209"/>
    <n v="31"/>
    <n v="4.7402445163271523E-3"/>
    <n v="0"/>
    <n v="0"/>
    <n v="0"/>
    <n v="0"/>
    <n v="0"/>
    <n v="0"/>
    <n v="0"/>
    <n v="-0.67179029721829053"/>
    <n v="0"/>
    <n v="0"/>
    <n v="0.81262040432265437"/>
    <n v="0"/>
    <n v="0"/>
    <n v="0"/>
    <n v="0.19194499913456564"/>
    <n v="0"/>
    <n v="-0.28095986180783861"/>
    <m/>
    <n v="0"/>
    <n v="0"/>
    <n v="0"/>
    <n v="0"/>
    <n v="-3.640756529738054E-2"/>
    <n v="-1.0667434617390725E-2"/>
    <n v="0"/>
    <n v="0"/>
    <m/>
    <m/>
    <m/>
    <n v="58.365257353492098"/>
    <n v="0"/>
    <n v="0"/>
    <n v="-18.060819999999993"/>
    <n v="0.81203999999999965"/>
    <n v="0"/>
    <n v="0"/>
    <n v="-17.2536913864859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28"/>
    <s v="Regular"/>
    <s v="Branca"/>
    <s v="B1"/>
    <s v="Residencial"/>
    <s v="Residencial"/>
    <s v="Não se aplica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92"/>
    <n v="4.28"/>
    <n v="58.17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7"/>
    <m/>
    <m/>
    <m/>
    <m/>
    <n v="0"/>
    <m/>
    <m/>
    <m/>
    <m/>
    <n v="0"/>
    <n v="0"/>
    <n v="0"/>
    <n v="0"/>
  </r>
  <r>
    <n v="29"/>
    <s v="Regular"/>
    <s v="Branca"/>
    <s v="B1"/>
    <s v="Residencial"/>
    <s v="Residencial"/>
    <s v="Não se aplica"/>
    <s v="Não se aplica"/>
    <s v="Intermediário"/>
    <s v="CATIVO"/>
    <x v="1"/>
    <n v="0"/>
    <n v="0"/>
    <n v="1.6E-2"/>
    <n v="1.6E-2"/>
    <n v="1.6E-2"/>
    <n v="1.6E-2"/>
    <m/>
    <n v="1160"/>
    <n v="127.85"/>
    <m/>
    <n v="20.605599999999999"/>
    <n v="20.605599999999999"/>
    <n v="16.39968"/>
    <n v="0"/>
    <n v="0.97720122634117446"/>
    <n v="0"/>
    <n v="0"/>
    <n v="0"/>
    <n v="3.0429136061267359"/>
    <n v="13.868977413141424"/>
    <n v="2.0455583391836321"/>
    <n v="0"/>
    <n v="0"/>
    <n v="0"/>
    <n v="0"/>
    <n v="0"/>
    <n v="0.1511247586661536"/>
    <m/>
    <n v="3.665221267457152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48317109877591996"/>
    <n v="0"/>
    <n v="0"/>
    <n v="0"/>
    <n v="0"/>
    <n v="0"/>
    <m/>
    <m/>
    <m/>
    <m/>
    <m/>
    <m/>
    <m/>
    <m/>
    <m/>
    <n v="2.528729437959552"/>
    <m/>
    <m/>
    <m/>
    <m/>
    <m/>
    <m/>
    <m/>
    <m/>
    <m/>
    <m/>
    <m/>
    <m/>
    <n v="20.499600000000001"/>
    <n v="-0.13600000000000279"/>
    <m/>
    <m/>
    <m/>
    <m/>
    <n v="-4.2702400000000003"/>
    <n v="6.4320000000000169E-2"/>
    <n v="31"/>
    <n v="-0.10604684665460606"/>
    <n v="0"/>
    <n v="0"/>
    <n v="0"/>
    <n v="0"/>
    <n v="0"/>
    <n v="0"/>
    <n v="0"/>
    <n v="-0.15963342421774396"/>
    <n v="0"/>
    <n v="0"/>
    <n v="6.4365972619616407E-2"/>
    <n v="0"/>
    <n v="0"/>
    <n v="0"/>
    <n v="1.520356428788644E-2"/>
    <n v="0"/>
    <n v="-2.2254246479828765E-2"/>
    <m/>
    <n v="0"/>
    <n v="0"/>
    <n v="0"/>
    <n v="0"/>
    <n v="-2.8837675483073533E-3"/>
    <n v="-8.4494531622895941E-4"/>
    <n v="0"/>
    <n v="0"/>
    <m/>
    <m/>
    <m/>
    <n v="13.868977413141424"/>
    <n v="0"/>
    <n v="0"/>
    <n v="-4.2702399999999976"/>
    <n v="6.4320000000000377E-2"/>
    <n v="0"/>
    <n v="0"/>
    <n v="-4.0998886492217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30"/>
    <s v="Regular"/>
    <s v="Convencional"/>
    <s v="B3"/>
    <s v="Comercial"/>
    <s v="Não se aplica"/>
    <s v="Não se aplica"/>
    <s v="Não se aplica"/>
    <s v="Não se aplica"/>
    <s v="CATIVO"/>
    <x v="1"/>
    <n v="0"/>
    <n v="0"/>
    <n v="122.646"/>
    <n v="122.646"/>
    <n v="122.646"/>
    <n v="122.646"/>
    <m/>
    <n v="710.52"/>
    <n v="127.85"/>
    <m/>
    <n v="102822.72702000001"/>
    <n v="102822.72702000001"/>
    <n v="84467.526660000003"/>
    <n v="0"/>
    <n v="7490.61385036498"/>
    <n v="0"/>
    <n v="0"/>
    <n v="0"/>
    <n v="13410.414685196991"/>
    <n v="61098.225238614796"/>
    <n v="15679.971754219732"/>
    <n v="0"/>
    <n v="0"/>
    <n v="0"/>
    <n v="0"/>
    <n v="0"/>
    <n v="1158.4279469605672"/>
    <m/>
    <n v="280.952954730343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03.6876612794676"/>
    <n v="0"/>
    <n v="586.63"/>
    <n v="2709.6"/>
    <n v="20863.23"/>
    <n v="88"/>
    <m/>
    <m/>
    <m/>
    <m/>
    <m/>
    <m/>
    <m/>
    <m/>
    <m/>
    <n v="19383.659415499198"/>
    <m/>
    <m/>
    <m/>
    <m/>
    <m/>
    <m/>
    <m/>
    <m/>
    <m/>
    <m/>
    <m/>
    <m/>
    <n v="84470.281500000012"/>
    <n v="-18352.475519999978"/>
    <m/>
    <m/>
    <m/>
    <m/>
    <n v="-18848.237279999994"/>
    <n v="493.03692000000126"/>
    <n v="31"/>
    <n v="-292.75873418051924"/>
    <n v="0"/>
    <n v="0"/>
    <n v="0"/>
    <n v="0"/>
    <n v="0"/>
    <n v="0"/>
    <n v="0"/>
    <n v="-703.5199461685479"/>
    <n v="0"/>
    <n v="0"/>
    <n v="493.38931736909217"/>
    <n v="0"/>
    <n v="0"/>
    <n v="0"/>
    <n v="116.54102160325738"/>
    <n v="0"/>
    <n v="-170.58714461031741"/>
    <m/>
    <n v="0"/>
    <n v="0"/>
    <n v="0"/>
    <n v="0"/>
    <n v="-22.105159670606554"/>
    <n v="-6.4768227033885637"/>
    <n v="0"/>
    <n v="0"/>
    <m/>
    <m/>
    <m/>
    <n v="61098.225238614796"/>
    <n v="0"/>
    <n v="0"/>
    <n v="-18848.237280000001"/>
    <n v="493.03692000000228"/>
    <n v="0"/>
    <n v="0"/>
    <n v="-18061.599834032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31"/>
    <s v="Regular"/>
    <s v="Verde"/>
    <s v="A4"/>
    <s v="Comercial"/>
    <s v="Não se aplica"/>
    <s v="Não se aplica"/>
    <s v="Não se aplica"/>
    <s v="Ponta"/>
    <s v="CATIVO"/>
    <x v="1"/>
    <n v="0"/>
    <n v="0"/>
    <n v="2.7229999999999999"/>
    <n v="2.7229999999999999"/>
    <n v="2.7229999999999999"/>
    <n v="2.7229999999999999"/>
    <m/>
    <n v="2075.9499999999998"/>
    <n v="127.85"/>
    <m/>
    <n v="6000.9473999999991"/>
    <n v="6000.9473999999991"/>
    <n v="4809.9344299999993"/>
    <n v="0"/>
    <n v="144.68746732590671"/>
    <n v="0"/>
    <n v="0"/>
    <n v="0"/>
    <n v="1715.5142821697921"/>
    <n v="3750.0169052523192"/>
    <n v="348.12845984981436"/>
    <n v="0"/>
    <n v="0"/>
    <n v="0"/>
    <n v="0"/>
    <n v="0"/>
    <n v="25.719544865496015"/>
    <m/>
    <n v="2.73499239725867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136679081872948"/>
    <n v="0"/>
    <n v="0"/>
    <n v="0"/>
    <n v="0"/>
    <n v="0"/>
    <m/>
    <m/>
    <m/>
    <m/>
    <m/>
    <m/>
    <m/>
    <m/>
    <m/>
    <n v="362.26513893168732"/>
    <m/>
    <m/>
    <m/>
    <m/>
    <m/>
    <m/>
    <m/>
    <m/>
    <m/>
    <m/>
    <m/>
    <m/>
    <n v="4804.6352000000006"/>
    <n v="-1196.3421999999991"/>
    <m/>
    <m/>
    <m/>
    <m/>
    <n v="-1201.9594299999997"/>
    <n v="10.946460000000027"/>
    <n v="31"/>
    <n v="-82.446858940495531"/>
    <n v="0"/>
    <n v="0"/>
    <n v="0"/>
    <n v="0"/>
    <n v="0"/>
    <n v="0"/>
    <n v="0"/>
    <n v="-89.997106262174611"/>
    <n v="0"/>
    <n v="0"/>
    <n v="10.954283965200943"/>
    <n v="0"/>
    <n v="0"/>
    <n v="0"/>
    <n v="0.44482774276642978"/>
    <n v="0"/>
    <n v="-3.2950332783240128"/>
    <m/>
    <n v="0"/>
    <n v="0"/>
    <n v="0"/>
    <n v="0"/>
    <n v="-0.49078118962755823"/>
    <n v="-6.3049918336550714E-2"/>
    <n v="0"/>
    <n v="0"/>
    <m/>
    <m/>
    <m/>
    <n v="3750.0169052523192"/>
    <n v="0"/>
    <n v="0"/>
    <n v="-1201.9594299999999"/>
    <n v="10.946460000000002"/>
    <n v="0"/>
    <n v="0"/>
    <n v="-1108.56419231495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32"/>
    <s v="Regular"/>
    <s v="Verde"/>
    <s v="A4"/>
    <s v="Comercial"/>
    <s v="Não se aplica"/>
    <s v="Não se aplica"/>
    <s v="Não se aplica"/>
    <s v="Fora ponta"/>
    <s v="CATIVO"/>
    <x v="1"/>
    <n v="0"/>
    <n v="0"/>
    <n v="59.265999999999998"/>
    <n v="59.265999999999998"/>
    <n v="59.265999999999998"/>
    <n v="59.265999999999998"/>
    <m/>
    <n v="68.78"/>
    <n v="127.85"/>
    <m/>
    <n v="11653.47358"/>
    <n v="11653.47358"/>
    <n v="11817.6404"/>
    <n v="0"/>
    <n v="3149.1176784932745"/>
    <n v="0"/>
    <n v="0"/>
    <n v="0"/>
    <n v="0"/>
    <n v="0"/>
    <n v="7577.0037831285699"/>
    <n v="0"/>
    <n v="0"/>
    <n v="0"/>
    <n v="0"/>
    <n v="0"/>
    <n v="559.78499669426617"/>
    <m/>
    <n v="59.527014107944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7.68432701662954"/>
    <n v="0"/>
    <n v="0"/>
    <n v="0"/>
    <n v="0"/>
    <n v="0"/>
    <m/>
    <m/>
    <m/>
    <m/>
    <m/>
    <m/>
    <m/>
    <m/>
    <m/>
    <n v="7884.6881101451991"/>
    <m/>
    <m/>
    <m/>
    <m/>
    <m/>
    <m/>
    <m/>
    <m/>
    <m/>
    <m/>
    <m/>
    <m/>
    <n v="11818.438000000002"/>
    <n v="164.93442000000141"/>
    <m/>
    <m/>
    <m/>
    <m/>
    <n v="-74.082499999999996"/>
    <n v="238.24932000000061"/>
    <n v="31"/>
    <n v="164.33086954338796"/>
    <n v="0"/>
    <n v="0"/>
    <n v="0"/>
    <n v="0"/>
    <n v="0"/>
    <n v="0"/>
    <n v="0"/>
    <n v="0"/>
    <n v="0"/>
    <n v="0"/>
    <n v="238.4196083296365"/>
    <n v="0"/>
    <n v="0"/>
    <n v="0"/>
    <n v="9.6816603021649712"/>
    <n v="0"/>
    <n v="-71.716284345629902"/>
    <m/>
    <n v="0"/>
    <n v="0"/>
    <n v="0"/>
    <n v="0"/>
    <n v="-10.681835469873931"/>
    <n v="-1.3722792729100277"/>
    <n v="0"/>
    <n v="0"/>
    <m/>
    <m/>
    <m/>
    <n v="0"/>
    <n v="0"/>
    <n v="0"/>
    <n v="-74.082499999999982"/>
    <n v="238.249320000000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33"/>
    <s v="Regular"/>
    <s v="Verde"/>
    <s v="A4"/>
    <s v="Comercial"/>
    <s v="Não se aplica"/>
    <s v="Não se aplica"/>
    <s v="Não se aplica"/>
    <s v="Não se aplica"/>
    <s v="CATIVO"/>
    <x v="1"/>
    <n v="297"/>
    <n v="297"/>
    <n v="0"/>
    <n v="0"/>
    <n v="0"/>
    <n v="0"/>
    <n v="39.56"/>
    <m/>
    <m/>
    <n v="11749.320000000002"/>
    <m/>
    <n v="11749.320000000002"/>
    <n v="9224.82"/>
    <n v="0"/>
    <n v="0"/>
    <n v="0"/>
    <n v="0"/>
    <n v="0"/>
    <n v="3911.5736946361744"/>
    <n v="7836.324830900982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70.88"/>
    <n v="1250.29"/>
    <n v="7362.4"/>
    <n v="2"/>
    <m/>
    <m/>
    <m/>
    <m/>
    <m/>
    <m/>
    <m/>
    <m/>
    <m/>
    <n v="0"/>
    <m/>
    <m/>
    <m/>
    <m/>
    <m/>
    <m/>
    <m/>
    <m/>
    <m/>
    <m/>
    <m/>
    <m/>
    <n v="9224.82"/>
    <n v="-2524.5300000000025"/>
    <m/>
    <m/>
    <m/>
    <m/>
    <n v="-2524.5000000000009"/>
    <n v="0"/>
    <n v="31"/>
    <n v="-205.20395376902161"/>
    <n v="0"/>
    <n v="0"/>
    <n v="0"/>
    <n v="0"/>
    <m/>
    <m/>
    <m/>
    <n v="-205.20395376902161"/>
    <n v="0"/>
    <n v="0"/>
    <m/>
    <m/>
    <n v="0"/>
    <n v="0"/>
    <n v="0"/>
    <n v="0"/>
    <n v="0"/>
    <m/>
    <n v="0"/>
    <n v="0"/>
    <m/>
    <n v="0"/>
    <n v="0"/>
    <n v="0"/>
    <n v="0"/>
    <n v="0"/>
    <m/>
    <m/>
    <n v="7836.3248309009823"/>
    <m/>
    <n v="0"/>
    <n v="0"/>
    <n v="-2524.5000000000018"/>
    <m/>
    <n v="0"/>
    <m/>
    <n v="-2316.5413187119921"/>
    <m/>
    <n v="0"/>
    <n v="0"/>
    <m/>
    <n v="0"/>
    <n v="0"/>
    <n v="0"/>
    <n v="0"/>
    <n v="0"/>
    <m/>
    <m/>
    <n v="0"/>
    <n v="0"/>
    <m/>
    <n v="0"/>
    <m/>
    <n v="0"/>
    <m/>
    <n v="207"/>
    <m/>
    <m/>
    <m/>
    <m/>
    <n v="0"/>
    <m/>
    <m/>
    <m/>
    <m/>
    <n v="0"/>
    <n v="0"/>
    <n v="0"/>
    <n v="0"/>
  </r>
  <r>
    <n v="34"/>
    <s v="Regular"/>
    <s v="Convencional"/>
    <s v="B2"/>
    <s v="Rural"/>
    <s v="Não se aplica"/>
    <s v="Não se aplica"/>
    <s v="Não se aplica"/>
    <s v="Não se aplica"/>
    <s v="CATIVO"/>
    <x v="1"/>
    <n v="0"/>
    <n v="0"/>
    <n v="59.506"/>
    <n v="59.506"/>
    <n v="59.506"/>
    <n v="59.506"/>
    <m/>
    <n v="710.52"/>
    <n v="127.85"/>
    <m/>
    <n v="49888.04522"/>
    <n v="49888.04522"/>
    <n v="40982.377260000001"/>
    <n v="0"/>
    <n v="3634.3335109161203"/>
    <n v="0"/>
    <n v="0"/>
    <n v="0"/>
    <n v="6506.532102615105"/>
    <n v="29643.94265649929"/>
    <n v="7607.6871582163249"/>
    <n v="0"/>
    <n v="0"/>
    <n v="0"/>
    <n v="0"/>
    <n v="0"/>
    <n v="562.05186807425855"/>
    <m/>
    <n v="136.31416046331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96.9737127349933"/>
    <n v="0"/>
    <n v="195.18"/>
    <n v="901.77"/>
    <n v="0"/>
    <n v="41"/>
    <m/>
    <m/>
    <m/>
    <m/>
    <m/>
    <n v="4917.5758400000032"/>
    <m/>
    <m/>
    <m/>
    <n v="9404.6608709513184"/>
    <m/>
    <m/>
    <m/>
    <m/>
    <m/>
    <m/>
    <m/>
    <m/>
    <m/>
    <m/>
    <m/>
    <m/>
    <n v="36067.225699999995"/>
    <n v="-7834.5459200000114"/>
    <m/>
    <m/>
    <m/>
    <m/>
    <n v="-9144.8820799999976"/>
    <n v="239.21412000000061"/>
    <n v="31"/>
    <n v="-142.04214761301409"/>
    <n v="0"/>
    <n v="0"/>
    <n v="0"/>
    <n v="0"/>
    <n v="0"/>
    <n v="0"/>
    <n v="0"/>
    <n v="-341.33732789251735"/>
    <n v="0"/>
    <n v="0"/>
    <n v="239.38509791893102"/>
    <n v="0"/>
    <n v="0"/>
    <n v="0"/>
    <n v="56.543956032185633"/>
    <n v="0"/>
    <n v="-82.76632443929293"/>
    <m/>
    <n v="0"/>
    <n v="0"/>
    <n v="0"/>
    <n v="0"/>
    <n v="-10.72509198309865"/>
    <n v="-3.1424572492200298"/>
    <n v="0"/>
    <n v="0"/>
    <m/>
    <m/>
    <m/>
    <n v="29643.94265649929"/>
    <n v="0"/>
    <n v="0"/>
    <n v="-9144.8820799999958"/>
    <n v="239.21412000000055"/>
    <n v="0"/>
    <n v="0"/>
    <n v="-8763.21738763524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35"/>
    <s v="Regular"/>
    <s v="Convencional"/>
    <s v="B3"/>
    <s v="Poder público"/>
    <s v="Não se aplica"/>
    <s v="Não se aplica"/>
    <s v="Não se aplica"/>
    <s v="Não se aplica"/>
    <s v="CATIVO"/>
    <x v="1"/>
    <n v="0"/>
    <n v="0"/>
    <n v="5.2249999999999996"/>
    <n v="5.2249999999999996"/>
    <n v="5.2249999999999996"/>
    <n v="5.2249999999999996"/>
    <m/>
    <n v="710.52"/>
    <n v="127.85"/>
    <m/>
    <n v="4380.4832499999993"/>
    <n v="4380.4832499999993"/>
    <n v="3598.5097500000002"/>
    <n v="0"/>
    <n v="319.11727547703975"/>
    <n v="0"/>
    <n v="0"/>
    <n v="0"/>
    <n v="571.31432521365775"/>
    <n v="2602.9240812726243"/>
    <n v="668.00264513965476"/>
    <n v="0"/>
    <n v="0"/>
    <n v="0"/>
    <n v="0"/>
    <n v="0"/>
    <n v="49.351679001915784"/>
    <m/>
    <n v="11.9692382015397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7.78556194401136"/>
    <n v="0"/>
    <n v="22.44"/>
    <n v="104.08"/>
    <n v="874.73"/>
    <n v="18"/>
    <m/>
    <m/>
    <m/>
    <m/>
    <m/>
    <m/>
    <m/>
    <m/>
    <m/>
    <n v="825.78820708366607"/>
    <m/>
    <m/>
    <m/>
    <m/>
    <m/>
    <m/>
    <m/>
    <m/>
    <m/>
    <m/>
    <m/>
    <m/>
    <n v="3601.9533000000006"/>
    <n v="-778.55994999999939"/>
    <m/>
    <m/>
    <m/>
    <m/>
    <n v="-802.97799999999972"/>
    <n v="21.004500000000053"/>
    <n v="31"/>
    <n v="-12.472191397136612"/>
    <n v="0"/>
    <n v="0"/>
    <n v="0"/>
    <n v="0"/>
    <n v="0"/>
    <n v="0"/>
    <n v="0"/>
    <n v="-29.971558132598375"/>
    <n v="0"/>
    <n v="0"/>
    <n v="21.019512933593433"/>
    <n v="0"/>
    <n v="0"/>
    <n v="0"/>
    <n v="4.9649139627628927"/>
    <n v="0"/>
    <n v="-7.2674023660690636"/>
    <m/>
    <n v="0"/>
    <n v="0"/>
    <n v="0"/>
    <n v="0"/>
    <n v="-0.94173033999412326"/>
    <n v="-0.27592745483102199"/>
    <n v="0"/>
    <n v="0"/>
    <m/>
    <m/>
    <m/>
    <n v="2602.9240812726243"/>
    <n v="0"/>
    <n v="0"/>
    <n v="-802.97799999999961"/>
    <n v="21.004500000000121"/>
    <n v="0"/>
    <n v="0"/>
    <n v="-769.465446348169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36"/>
    <s v="Regular"/>
    <s v="Convencional"/>
    <s v="B4"/>
    <s v="Iluminação pública"/>
    <s v="Iluminação pública – B4a"/>
    <s v="Não se aplica"/>
    <s v="Não se aplica"/>
    <s v="Não se aplica"/>
    <s v="CATIVO"/>
    <x v="1"/>
    <n v="0"/>
    <n v="0"/>
    <n v="41.420999999999999"/>
    <n v="41.420999999999999"/>
    <n v="41.420999999999999"/>
    <n v="41.420999999999999"/>
    <m/>
    <n v="390.79"/>
    <n v="70.319999999999993"/>
    <m/>
    <n v="19099.637309999998"/>
    <n v="19099.637309999998"/>
    <n v="15689.860589999998"/>
    <n v="0"/>
    <n v="1391.3849123720502"/>
    <n v="0"/>
    <n v="0"/>
    <n v="0"/>
    <n v="2490.9905962815665"/>
    <n v="11349.022986357193"/>
    <n v="2912.5618488768064"/>
    <n v="0"/>
    <n v="0"/>
    <n v="0"/>
    <n v="0"/>
    <n v="0"/>
    <n v="215.17851536193197"/>
    <m/>
    <n v="52.1871384785242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687.9616590824121"/>
    <n v="0"/>
    <n v="92.29"/>
    <n v="426.98"/>
    <n v="4190.1099999999997"/>
    <n v="35"/>
    <m/>
    <m/>
    <m/>
    <m/>
    <m/>
    <m/>
    <m/>
    <m/>
    <m/>
    <n v="3600.5235079592185"/>
    <m/>
    <m/>
    <m/>
    <m/>
    <m/>
    <m/>
    <m/>
    <m/>
    <m/>
    <m/>
    <m/>
    <m/>
    <n v="15689.4818"/>
    <n v="-3410.1855099999975"/>
    <m/>
    <m/>
    <m/>
    <m/>
    <n v="-3501.3171300000013"/>
    <n v="91.540410000000335"/>
    <n v="31"/>
    <n v="-54.380067353776212"/>
    <n v="0"/>
    <n v="0"/>
    <n v="0"/>
    <n v="0"/>
    <n v="0"/>
    <n v="0"/>
    <n v="0"/>
    <n v="-130.67914835898546"/>
    <n v="0"/>
    <n v="0"/>
    <n v="91.647288970775662"/>
    <n v="0"/>
    <n v="0"/>
    <n v="0"/>
    <n v="21.647547500164706"/>
    <n v="0"/>
    <n v="-31.686639305787594"/>
    <m/>
    <n v="0"/>
    <n v="0"/>
    <n v="0"/>
    <n v="0"/>
    <n v="-4.1060434118840305"/>
    <n v="-1.2030727480584673"/>
    <n v="0"/>
    <n v="0"/>
    <m/>
    <m/>
    <m/>
    <n v="11349.022986357193"/>
    <n v="0"/>
    <n v="0"/>
    <n v="-3501.3171300000013"/>
    <n v="91.54041000000052"/>
    <n v="0"/>
    <n v="0"/>
    <n v="-3354.95034244081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37"/>
    <s v="Regular"/>
    <s v="Convencional"/>
    <s v="B3"/>
    <s v="Serviço público"/>
    <s v="Água, esgoto e saneamento"/>
    <s v="Não se aplica"/>
    <s v="Não se aplica"/>
    <s v="Não se aplica"/>
    <s v="CATIVO"/>
    <x v="1"/>
    <n v="0"/>
    <n v="0"/>
    <n v="6.55"/>
    <n v="6.1569999999999991"/>
    <n v="6.55"/>
    <n v="6.1569999999999991"/>
    <m/>
    <n v="710.52"/>
    <n v="127.85"/>
    <m/>
    <n v="5491.3234999999995"/>
    <n v="5491.3234999999995"/>
    <n v="4511.0505000000003"/>
    <n v="0"/>
    <n v="400.04175203341828"/>
    <n v="0"/>
    <n v="0"/>
    <n v="0"/>
    <n v="716.19307754056626"/>
    <n v="3262.9957382460648"/>
    <n v="837.40044510329926"/>
    <n v="0"/>
    <n v="0"/>
    <n v="0"/>
    <n v="0"/>
    <n v="0"/>
    <n v="61.866698078956631"/>
    <m/>
    <n v="15.0044995636527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7.79816856139223"/>
    <n v="0"/>
    <n v="38.72"/>
    <n v="178.72"/>
    <n v="996.59"/>
    <n v="1"/>
    <m/>
    <m/>
    <m/>
    <m/>
    <n v="270.6630300000005"/>
    <m/>
    <m/>
    <m/>
    <m/>
    <n v="1035.1986136646915"/>
    <m/>
    <m/>
    <m/>
    <m/>
    <m/>
    <m/>
    <m/>
    <m/>
    <m/>
    <m/>
    <m/>
    <m/>
    <n v="4242.4536000000007"/>
    <n v="-919.42048999999952"/>
    <m/>
    <m/>
    <m/>
    <m/>
    <n v="-1006.6039999999997"/>
    <n v="26.331000000000067"/>
    <n v="31"/>
    <n v="-15.634995914113006"/>
    <n v="0"/>
    <n v="0"/>
    <n v="0"/>
    <n v="0"/>
    <n v="0"/>
    <n v="0"/>
    <n v="0"/>
    <n v="-37.572001104022888"/>
    <n v="0"/>
    <n v="0"/>
    <n v="26.349820041155454"/>
    <n v="0"/>
    <n v="0"/>
    <n v="0"/>
    <n v="6.2239591303535065"/>
    <n v="0"/>
    <n v="-9.1103321526799164"/>
    <m/>
    <n v="0"/>
    <n v="0"/>
    <n v="0"/>
    <n v="0"/>
    <n v="-1.1805423400883228"/>
    <n v="-0.34589948883123256"/>
    <n v="0"/>
    <n v="0"/>
    <m/>
    <m/>
    <m/>
    <n v="3262.9957382460648"/>
    <n v="0"/>
    <n v="0"/>
    <n v="-1006.6039999999998"/>
    <n v="26.331000000000131"/>
    <n v="0"/>
    <n v="0"/>
    <n v="-964.593047575217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38"/>
    <s v="Regular"/>
    <s v="Convencional"/>
    <s v="B1"/>
    <s v="Residencial"/>
    <s v="Residencial"/>
    <s v="Não se aplica"/>
    <s v="Não se aplica"/>
    <s v="Não se aplica"/>
    <s v="CATIVO"/>
    <x v="2"/>
    <n v="0"/>
    <n v="0"/>
    <n v="1019.7910000000001"/>
    <n v="1019.7910000000001"/>
    <n v="1019.7910000000001"/>
    <n v="1019.7910000000001"/>
    <m/>
    <n v="710.52"/>
    <n v="127.85"/>
    <m/>
    <n v="854962.18067000003"/>
    <n v="854962.18067000003"/>
    <n v="702340.25961000007"/>
    <n v="0"/>
    <n v="62283.813488230793"/>
    <n v="0"/>
    <n v="0"/>
    <n v="0"/>
    <n v="111506.45110506438"/>
    <n v="508026.51708422793"/>
    <n v="130377.62401715096"/>
    <n v="0"/>
    <n v="0"/>
    <n v="0"/>
    <n v="0"/>
    <n v="0"/>
    <n v="9632.2292978072164"/>
    <m/>
    <n v="2336.09978847587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795.84612448714"/>
    <n v="0"/>
    <n v="5347.68"/>
    <n v="24823.77"/>
    <n v="202152.46"/>
    <n v="6068"/>
    <m/>
    <m/>
    <m/>
    <m/>
    <m/>
    <m/>
    <m/>
    <m/>
    <m/>
    <n v="161173.4701416381"/>
    <m/>
    <m/>
    <m/>
    <m/>
    <m/>
    <m/>
    <m/>
    <m/>
    <m/>
    <m/>
    <m/>
    <m/>
    <n v="702339.57090000005"/>
    <n v="-152622.63977000001"/>
    <m/>
    <m/>
    <m/>
    <m/>
    <n v="-156721.48087999996"/>
    <n v="4099.5598200000104"/>
    <n v="30"/>
    <n v="-2434.263834847312"/>
    <n v="0"/>
    <n v="0"/>
    <n v="0"/>
    <n v="0"/>
    <n v="0"/>
    <n v="0"/>
    <n v="0"/>
    <n v="-5849.7081798278814"/>
    <n v="0"/>
    <n v="0"/>
    <n v="4102.4899739832035"/>
    <n v="0"/>
    <n v="0"/>
    <n v="0"/>
    <n v="969.02862679425016"/>
    <n v="0"/>
    <n v="-1418.4175169944428"/>
    <m/>
    <n v="0"/>
    <n v="0"/>
    <n v="0"/>
    <n v="0"/>
    <n v="-183.80251199099439"/>
    <n v="-53.85422681140335"/>
    <n v="0"/>
    <n v="0"/>
    <m/>
    <m/>
    <m/>
    <n v="508026.51708422793"/>
    <n v="0"/>
    <n v="0"/>
    <n v="-156721.48088000005"/>
    <n v="4099.559820000024"/>
    <n v="0"/>
    <n v="0"/>
    <n v="-150180.65779843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39"/>
    <s v="Refaturamento - Regular"/>
    <s v="Convencional"/>
    <s v="B1"/>
    <s v="Residencial"/>
    <s v="Residencial"/>
    <s v="Não se aplica"/>
    <s v="Não se aplica"/>
    <s v="Não se aplica"/>
    <s v="CATIVO"/>
    <x v="2"/>
    <n v="0"/>
    <n v="0"/>
    <n v="-0.21299999999999999"/>
    <n v="-0.21299999999999999"/>
    <n v="-0.21299999999999999"/>
    <n v="-0.21299999999999999"/>
    <m/>
    <n v="710.52"/>
    <n v="127.85"/>
    <m/>
    <n v="-178.57280999999998"/>
    <n v="-178.57280999999998"/>
    <n v="-146.69523000000001"/>
    <n v="0"/>
    <n v="-13.008991325666884"/>
    <n v="0"/>
    <n v="0"/>
    <n v="0"/>
    <n v="-23.289942826891696"/>
    <n v="-106.10963240403234"/>
    <n v="-27.231495390382101"/>
    <n v="0"/>
    <n v="0"/>
    <n v="0"/>
    <n v="0"/>
    <n v="0"/>
    <n v="-2.0118483497431701"/>
    <m/>
    <n v="-0.487932581230233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-6.4322152524544345"/>
    <n v="0"/>
    <n v="-1.67"/>
    <n v="-7.74"/>
    <n v="-87.32"/>
    <n v="0"/>
    <m/>
    <m/>
    <m/>
    <m/>
    <m/>
    <m/>
    <m/>
    <m/>
    <m/>
    <n v="-33.663710642836534"/>
    <m/>
    <m/>
    <m/>
    <m/>
    <m/>
    <m/>
    <m/>
    <m/>
    <m/>
    <m/>
    <m/>
    <m/>
    <n v="-144.62909999999999"/>
    <n v="33.913710000000009"/>
    <m/>
    <m/>
    <m/>
    <m/>
    <n v="32.733839999999987"/>
    <n v="-0.85626000000000213"/>
    <n v="30"/>
    <n v="0.50843574499332078"/>
    <n v="0"/>
    <n v="0"/>
    <n v="0"/>
    <n v="0"/>
    <n v="0"/>
    <n v="0"/>
    <n v="0"/>
    <n v="1.2218070588025789"/>
    <n v="0"/>
    <n v="0"/>
    <n v="-0.85687201049864115"/>
    <n v="0"/>
    <n v="0"/>
    <n v="0"/>
    <n v="-0.20239744958248806"/>
    <n v="0"/>
    <n v="0.29625965626271977"/>
    <m/>
    <n v="0"/>
    <n v="0"/>
    <n v="0"/>
    <n v="0"/>
    <n v="3.8390155486841993E-2"/>
    <n v="1.1248334522298065E-2"/>
    <n v="0"/>
    <n v="0"/>
    <m/>
    <m/>
    <m/>
    <n v="-106.10963240403234"/>
    <n v="0"/>
    <n v="0"/>
    <n v="32.733839999999987"/>
    <n v="-0.85626000000000246"/>
    <n v="0"/>
    <n v="0"/>
    <n v="31.3676823104612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40"/>
    <s v="Sistema de Compensação"/>
    <s v="Convencional"/>
    <s v="B1"/>
    <s v="Residencial"/>
    <s v="Residencial"/>
    <s v="Não se aplica"/>
    <s v="Não se aplica"/>
    <s v="Não se aplica"/>
    <s v="CATIVO"/>
    <x v="2"/>
    <n v="0"/>
    <n v="0"/>
    <n v="1.869"/>
    <n v="1.869"/>
    <n v="1.869"/>
    <n v="1.869"/>
    <m/>
    <n v="710.52"/>
    <n v="127.85"/>
    <m/>
    <n v="1566.91353"/>
    <n v="1566.91353"/>
    <n v="1287.1989900000001"/>
    <n v="0"/>
    <n v="114.14931825197844"/>
    <n v="0"/>
    <n v="0"/>
    <n v="0"/>
    <n v="204.36104762188066"/>
    <n v="931.07466179876269"/>
    <n v="238.94678349588801"/>
    <n v="0"/>
    <n v="0"/>
    <n v="0"/>
    <n v="0"/>
    <n v="0"/>
    <n v="17.653260871690069"/>
    <m/>
    <n v="4.28143659304838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.440423975762151"/>
    <n v="0"/>
    <n v="7"/>
    <n v="32.54"/>
    <n v="766.24"/>
    <n v="11"/>
    <m/>
    <m/>
    <m/>
    <m/>
    <m/>
    <m/>
    <m/>
    <m/>
    <m/>
    <n v="295.38720747165019"/>
    <m/>
    <m/>
    <m/>
    <m/>
    <m/>
    <m/>
    <m/>
    <m/>
    <m/>
    <m/>
    <m/>
    <m/>
    <n v="1287.8877000000002"/>
    <n v="-279.05582999999979"/>
    <m/>
    <m/>
    <m/>
    <m/>
    <n v="-287.22791999999993"/>
    <n v="7.5133800000000193"/>
    <n v="30"/>
    <n v="-4.4613446356455597"/>
    <n v="0"/>
    <n v="0"/>
    <n v="0"/>
    <n v="0"/>
    <n v="0"/>
    <n v="0"/>
    <n v="0"/>
    <n v="-10.720926727239515"/>
    <n v="0"/>
    <n v="0"/>
    <n v="7.5187501766289131"/>
    <n v="0"/>
    <n v="0"/>
    <n v="0"/>
    <n v="1.7759663533787347"/>
    <n v="0"/>
    <n v="-2.5995741669250094"/>
    <m/>
    <n v="0"/>
    <n v="0"/>
    <n v="0"/>
    <n v="0"/>
    <n v="-0.33686009673665396"/>
    <n v="-9.8700174751995995E-2"/>
    <n v="0"/>
    <n v="0"/>
    <m/>
    <m/>
    <m/>
    <n v="931.07466179876269"/>
    <n v="0"/>
    <n v="0"/>
    <n v="-287.22792000000004"/>
    <n v="7.5133800000000122"/>
    <n v="0"/>
    <n v="0"/>
    <n v="-275.240367315737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41"/>
    <s v="Regular"/>
    <s v="Convencional"/>
    <s v="B1"/>
    <s v="Residencial"/>
    <s v="Residencial baixa renda – faixa 01"/>
    <s v="Não se aplica"/>
    <s v="Não se aplica"/>
    <s v="Não se aplica"/>
    <s v="CATIVO"/>
    <x v="2"/>
    <n v="0"/>
    <n v="0"/>
    <n v="3.78"/>
    <n v="3.78"/>
    <n v="3.78"/>
    <n v="3.78"/>
    <m/>
    <n v="640"/>
    <n v="127.85"/>
    <m/>
    <n v="2902.473"/>
    <n v="2902.473"/>
    <n v="2342.6927999999998"/>
    <n v="0"/>
    <n v="0"/>
    <n v="0"/>
    <n v="0"/>
    <n v="0"/>
    <n v="413.31447833638782"/>
    <n v="1883.0723497053627"/>
    <n v="483.26315763213302"/>
    <n v="0"/>
    <n v="0"/>
    <n v="0"/>
    <n v="0"/>
    <n v="0"/>
    <n v="0"/>
    <m/>
    <n v="8.6590852443675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4.14917208581109"/>
    <n v="0"/>
    <n v="18.41"/>
    <n v="84.16"/>
    <n v="521.69000000000005"/>
    <n v="0"/>
    <m/>
    <m/>
    <m/>
    <m/>
    <m/>
    <m/>
    <m/>
    <n v="1522.7729999999999"/>
    <m/>
    <n v="597.41232971794409"/>
    <m/>
    <m/>
    <m/>
    <m/>
    <m/>
    <m/>
    <m/>
    <m/>
    <m/>
    <m/>
    <m/>
    <m/>
    <n v="819.9197999999999"/>
    <n v="-195.98519999999996"/>
    <m/>
    <m/>
    <m/>
    <m/>
    <n v="-574.97580000000005"/>
    <n v="15.195600000000038"/>
    <n v="30"/>
    <n v="-3.0840883927763798"/>
    <n v="0"/>
    <n v="0"/>
    <n v="0"/>
    <n v="0"/>
    <n v="0"/>
    <n v="0"/>
    <n v="0"/>
    <n v="-21.682773156214751"/>
    <n v="0"/>
    <n v="0"/>
    <n v="15.206461031384322"/>
    <n v="0"/>
    <n v="0"/>
    <n v="0"/>
    <n v="3.5918420630131607"/>
    <n v="0"/>
    <n v="0"/>
    <m/>
    <n v="0"/>
    <n v="0"/>
    <n v="0"/>
    <n v="0"/>
    <n v="0"/>
    <n v="-0.19961833095909221"/>
    <n v="0"/>
    <n v="0"/>
    <m/>
    <m/>
    <m/>
    <n v="1883.0723497053627"/>
    <n v="0"/>
    <n v="0"/>
    <n v="-574.97579999999994"/>
    <n v="15.195600000000013"/>
    <n v="0"/>
    <n v="0"/>
    <n v="-556.665911425087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42"/>
    <s v="Regular"/>
    <s v="Convencional"/>
    <s v="B1"/>
    <s v="Residencial"/>
    <s v="Residencial baixa renda – faixa 02"/>
    <s v="Não se aplica"/>
    <s v="Não se aplica"/>
    <s v="Não se aplica"/>
    <s v="CATIVO"/>
    <x v="2"/>
    <n v="0"/>
    <n v="0"/>
    <n v="8.3450000000000006"/>
    <n v="8.3450000000000006"/>
    <n v="8.3450000000000006"/>
    <n v="8.3450000000000006"/>
    <m/>
    <n v="640"/>
    <n v="127.85"/>
    <m/>
    <n v="6407.7082499999997"/>
    <n v="6407.7082499999997"/>
    <n v="5171.8972000000003"/>
    <n v="0"/>
    <n v="0"/>
    <n v="0"/>
    <n v="0"/>
    <n v="0"/>
    <n v="912.4627835230574"/>
    <n v="4157.2060207119721"/>
    <n v="1066.8865212804631"/>
    <n v="0"/>
    <n v="0"/>
    <n v="0"/>
    <n v="0"/>
    <n v="0"/>
    <n v="0"/>
    <m/>
    <n v="19.1164196730812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2.00392620531579"/>
    <n v="0"/>
    <n v="41.61"/>
    <n v="192.77"/>
    <n v="1221.96"/>
    <n v="15"/>
    <m/>
    <m/>
    <m/>
    <m/>
    <m/>
    <m/>
    <m/>
    <n v="2068.7255"/>
    <m/>
    <n v="1318.8904474857789"/>
    <m/>
    <m/>
    <m/>
    <m/>
    <m/>
    <m/>
    <m/>
    <m/>
    <m/>
    <m/>
    <m/>
    <m/>
    <n v="3105.0309999999999"/>
    <n v="-739.62395000000106"/>
    <m/>
    <m/>
    <m/>
    <m/>
    <n v="-1269.3579500000003"/>
    <n v="33.546900000000086"/>
    <n v="30"/>
    <n v="-6.8086554597143731"/>
    <n v="0"/>
    <n v="0"/>
    <n v="0"/>
    <n v="0"/>
    <n v="0"/>
    <n v="0"/>
    <n v="0"/>
    <n v="-47.868450261537646"/>
    <n v="0"/>
    <n v="0"/>
    <n v="33.570877594418562"/>
    <n v="0"/>
    <n v="0"/>
    <n v="0"/>
    <n v="7.9296089989007328"/>
    <n v="0"/>
    <n v="0"/>
    <m/>
    <n v="0"/>
    <n v="0"/>
    <n v="0"/>
    <n v="0"/>
    <n v="0"/>
    <n v="-0.44069179149567006"/>
    <n v="0"/>
    <n v="0"/>
    <m/>
    <m/>
    <m/>
    <n v="4157.2060207119721"/>
    <n v="0"/>
    <n v="0"/>
    <n v="-1269.3579500000001"/>
    <n v="33.546900000000278"/>
    <n v="0"/>
    <n v="0"/>
    <n v="-1228.93572244506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43"/>
    <s v="Regular"/>
    <s v="Convencional"/>
    <s v="B1"/>
    <s v="Residencial"/>
    <s v="Residencial baixa renda – faixa 03"/>
    <s v="Não se aplica"/>
    <s v="Não se aplica"/>
    <s v="Não se aplica"/>
    <s v="CATIVO"/>
    <x v="2"/>
    <n v="0"/>
    <n v="0"/>
    <n v="8.8919999999999995"/>
    <n v="8.8919999999999995"/>
    <n v="8.8919999999999995"/>
    <n v="8.8919999999999995"/>
    <m/>
    <n v="640"/>
    <n v="127.85"/>
    <m/>
    <n v="6827.7221999999992"/>
    <n v="6827.7221999999992"/>
    <n v="5510.9059199999992"/>
    <n v="0"/>
    <n v="0"/>
    <n v="0"/>
    <n v="0"/>
    <n v="0"/>
    <n v="972.27310618178853"/>
    <n v="4429.7035274021391"/>
    <n v="1136.8190470013033"/>
    <n v="0"/>
    <n v="0"/>
    <n v="0"/>
    <n v="0"/>
    <n v="0"/>
    <n v="0"/>
    <m/>
    <n v="20.3694671938931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8.52233814471748"/>
    <n v="0"/>
    <n v="53.59"/>
    <n v="249.03"/>
    <n v="1828.91"/>
    <n v="70"/>
    <m/>
    <m/>
    <m/>
    <m/>
    <m/>
    <m/>
    <m/>
    <n v="551.12615999999957"/>
    <m/>
    <n v="1405.3413851460207"/>
    <m/>
    <m/>
    <m/>
    <m/>
    <m/>
    <m/>
    <m/>
    <m/>
    <m/>
    <m/>
    <m/>
    <m/>
    <n v="4958.6642000000011"/>
    <n v="-1186.2713199999989"/>
    <m/>
    <m/>
    <m/>
    <m/>
    <n v="-1352.56212"/>
    <n v="35.745840000000086"/>
    <n v="30"/>
    <n v="-7.254950790626026"/>
    <n v="0"/>
    <n v="0"/>
    <n v="0"/>
    <n v="0"/>
    <n v="0"/>
    <n v="0"/>
    <n v="0"/>
    <n v="-51.006142567476672"/>
    <n v="0"/>
    <n v="0"/>
    <n v="35.771389283351937"/>
    <n v="0"/>
    <n v="0"/>
    <n v="0"/>
    <n v="8.4493808529929311"/>
    <n v="0"/>
    <n v="0"/>
    <m/>
    <n v="0"/>
    <n v="0"/>
    <n v="0"/>
    <n v="0"/>
    <n v="0"/>
    <n v="-0.4695783594942462"/>
    <n v="0"/>
    <n v="0"/>
    <m/>
    <m/>
    <m/>
    <n v="4429.7035274021391"/>
    <n v="0"/>
    <n v="0"/>
    <n v="-1352.5621199999996"/>
    <n v="35.745840000000044"/>
    <n v="0"/>
    <n v="0"/>
    <n v="-1309.49028687615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44"/>
    <s v="Regular"/>
    <s v="Convencional"/>
    <s v="B1"/>
    <s v="Residencial"/>
    <s v="Residencial baixa renda – faixa 04"/>
    <s v="Não se aplica"/>
    <s v="Não se aplica"/>
    <s v="Não se aplica"/>
    <s v="CATIVO"/>
    <x v="2"/>
    <n v="0"/>
    <n v="0"/>
    <n v="2.9350000000000001"/>
    <n v="2.9350000000000001"/>
    <n v="2.9350000000000001"/>
    <n v="2.9350000000000001"/>
    <m/>
    <n v="640"/>
    <n v="127.85"/>
    <m/>
    <n v="2253.6397500000003"/>
    <n v="2253.6397500000003"/>
    <n v="1818.9956"/>
    <n v="0"/>
    <n v="0"/>
    <n v="0"/>
    <n v="0"/>
    <n v="0"/>
    <n v="320.9201042109255"/>
    <n v="1462.1209911072062"/>
    <n v="375.23210784399748"/>
    <n v="0"/>
    <n v="0"/>
    <n v="0"/>
    <n v="0"/>
    <n v="0"/>
    <n v="0"/>
    <m/>
    <n v="6.72339026249171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88.631698431707818"/>
    <n v="0"/>
    <n v="28.58"/>
    <n v="132.97999999999999"/>
    <n v="1185.26"/>
    <n v="41"/>
    <m/>
    <m/>
    <m/>
    <m/>
    <m/>
    <m/>
    <m/>
    <m/>
    <m/>
    <n v="463.86380627570531"/>
    <m/>
    <m/>
    <m/>
    <m/>
    <m/>
    <m/>
    <m/>
    <m/>
    <m/>
    <m/>
    <m/>
    <m/>
    <n v="1822.0944"/>
    <n v="-431.57535000000053"/>
    <m/>
    <m/>
    <m/>
    <m/>
    <n v="-446.44285000000002"/>
    <n v="11.79870000000003"/>
    <n v="30"/>
    <n v="-2.394655934602838"/>
    <n v="0"/>
    <n v="0"/>
    <n v="0"/>
    <n v="0"/>
    <n v="0"/>
    <n v="0"/>
    <n v="0"/>
    <n v="-16.835698204627079"/>
    <n v="0"/>
    <n v="0"/>
    <n v="11.807133102410887"/>
    <n v="0"/>
    <n v="0"/>
    <n v="0"/>
    <n v="2.7889038240591759"/>
    <n v="0"/>
    <n v="0"/>
    <m/>
    <n v="0"/>
    <n v="0"/>
    <n v="0"/>
    <n v="0"/>
    <n v="0"/>
    <n v="-0.15499465644575139"/>
    <n v="0"/>
    <n v="0"/>
    <m/>
    <m/>
    <m/>
    <n v="1462.1209911072062"/>
    <n v="0"/>
    <n v="0"/>
    <n v="-446.44285000000013"/>
    <n v="11.798699999999997"/>
    <n v="0"/>
    <n v="0"/>
    <n v="-432.226044982177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45"/>
    <s v="Regular"/>
    <s v="Branca"/>
    <s v="B1"/>
    <s v="Residencial"/>
    <s v="Residencial"/>
    <s v="Não se aplica"/>
    <s v="Não se aplica"/>
    <s v="Ponta"/>
    <s v="CATIVO"/>
    <x v="2"/>
    <n v="0"/>
    <n v="0"/>
    <n v="2.5999999999999999E-2"/>
    <n v="2.5999999999999999E-2"/>
    <n v="2.5999999999999999E-2"/>
    <n v="2.5999999999999999E-2"/>
    <m/>
    <n v="1864.71"/>
    <n v="127.85"/>
    <m/>
    <n v="51.806559999999998"/>
    <n v="51.806559999999998"/>
    <n v="40.357459999999996"/>
    <n v="0"/>
    <n v="1.5879519928044084"/>
    <n v="0"/>
    <n v="0"/>
    <n v="0"/>
    <n v="8.2425025058595178"/>
    <n v="37.561819643400774"/>
    <n v="3.3240323011734016"/>
    <n v="0"/>
    <n v="0"/>
    <n v="0"/>
    <n v="0"/>
    <n v="0"/>
    <n v="0.24557773283249962"/>
    <m/>
    <n v="5.9559845596178725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7851530355108699"/>
    <n v="0"/>
    <n v="0"/>
    <n v="0"/>
    <n v="0"/>
    <n v="0"/>
    <m/>
    <m/>
    <m/>
    <m/>
    <m/>
    <m/>
    <m/>
    <m/>
    <m/>
    <n v="4.1091853366842717"/>
    <m/>
    <m/>
    <m/>
    <m/>
    <m/>
    <m/>
    <m/>
    <m/>
    <m/>
    <m/>
    <m/>
    <m/>
    <n v="46.566299999999998"/>
    <n v="-5.2702599999999933"/>
    <m/>
    <m/>
    <m/>
    <m/>
    <n v="-11.553620000000002"/>
    <n v="0.10452000000000027"/>
    <n v="30"/>
    <n v="-0.34532938835737603"/>
    <n v="0"/>
    <n v="0"/>
    <n v="0"/>
    <n v="0"/>
    <n v="0"/>
    <n v="0"/>
    <n v="0"/>
    <n v="-0.43240757689747777"/>
    <n v="0"/>
    <n v="0"/>
    <n v="0.10459470550687655"/>
    <n v="0"/>
    <n v="0"/>
    <n v="0"/>
    <n v="2.4705791967815416E-2"/>
    <n v="0"/>
    <n v="-3.6163150529721744E-2"/>
    <m/>
    <n v="0"/>
    <n v="0"/>
    <n v="0"/>
    <n v="0"/>
    <n v="-4.6861222659994872E-3"/>
    <n v="-1.3730361388720747E-3"/>
    <n v="0"/>
    <n v="0"/>
    <m/>
    <m/>
    <m/>
    <n v="37.561819643400774"/>
    <n v="0"/>
    <n v="0"/>
    <n v="-11.553620000000002"/>
    <n v="0.10452000000000039"/>
    <n v="0"/>
    <n v="0"/>
    <n v="-11.1038668109857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46"/>
    <s v="Regular"/>
    <s v="Branca"/>
    <s v="B1"/>
    <s v="Residencial"/>
    <s v="Residencial"/>
    <s v="Não se aplica"/>
    <s v="Não se aplica"/>
    <s v="Fora ponta"/>
    <s v="CATIVO"/>
    <x v="2"/>
    <n v="0"/>
    <n v="0"/>
    <n v="0.23899999999999999"/>
    <n v="0.23899999999999999"/>
    <n v="0.23899999999999999"/>
    <n v="0.23899999999999999"/>
    <m/>
    <n v="455.34"/>
    <n v="127.85"/>
    <m/>
    <n v="139.38240999999999"/>
    <n v="139.38240999999999"/>
    <n v="118.9742"/>
    <n v="0"/>
    <n v="14.596943318471293"/>
    <n v="0"/>
    <n v="0"/>
    <n v="0"/>
    <n v="15.151165809575028"/>
    <n v="69.055923304379249"/>
    <n v="30.555527691555501"/>
    <n v="0"/>
    <n v="0"/>
    <n v="0"/>
    <n v="0"/>
    <n v="0"/>
    <n v="2.2574260825756696"/>
    <m/>
    <n v="0.547492426826412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2173682879653045"/>
    <n v="0"/>
    <n v="0"/>
    <n v="0"/>
    <n v="0"/>
    <n v="0"/>
    <m/>
    <m/>
    <m/>
    <m/>
    <m/>
    <m/>
    <m/>
    <m/>
    <m/>
    <n v="37.772895979520804"/>
    <m/>
    <m/>
    <m/>
    <m/>
    <m/>
    <m/>
    <m/>
    <m/>
    <m/>
    <m/>
    <m/>
    <m/>
    <n v="119.47200000000001"/>
    <n v="-19.940409999999986"/>
    <m/>
    <m/>
    <m/>
    <m/>
    <n v="-21.368989999999993"/>
    <n v="0.96078000000000241"/>
    <n v="30"/>
    <n v="5.6085071257427899E-3"/>
    <n v="0"/>
    <n v="0"/>
    <n v="0"/>
    <n v="0"/>
    <n v="0"/>
    <n v="0"/>
    <n v="0"/>
    <n v="-0.79484099522361973"/>
    <n v="0"/>
    <n v="0"/>
    <n v="0.9614667160055177"/>
    <n v="0"/>
    <n v="0"/>
    <n v="0"/>
    <n v="0.22710324155030293"/>
    <n v="0"/>
    <n v="-0.33242280679244374"/>
    <m/>
    <n v="0"/>
    <n v="0"/>
    <n v="0"/>
    <n v="0"/>
    <n v="-4.3076277752841285E-2"/>
    <n v="-1.2621370661170195E-2"/>
    <n v="0"/>
    <n v="0"/>
    <m/>
    <m/>
    <m/>
    <n v="69.055923304379249"/>
    <n v="0"/>
    <n v="0"/>
    <n v="-21.368989999999997"/>
    <n v="0.96077999999999975"/>
    <n v="0"/>
    <n v="0"/>
    <n v="-20.4140209968819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47"/>
    <s v="Regular"/>
    <s v="Branca"/>
    <s v="B1"/>
    <s v="Residencial"/>
    <s v="Residencial"/>
    <s v="Não se aplica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.1000000000000001"/>
    <n v="5.0999999999999996"/>
    <n v="72.25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7"/>
    <m/>
    <m/>
    <m/>
    <m/>
    <n v="0"/>
    <m/>
    <m/>
    <m/>
    <m/>
    <n v="0"/>
    <n v="0"/>
    <n v="0"/>
    <n v="0"/>
  </r>
  <r>
    <n v="48"/>
    <s v="Regular"/>
    <s v="Branca"/>
    <s v="B1"/>
    <s v="Residencial"/>
    <s v="Residencial"/>
    <s v="Não se aplica"/>
    <s v="Não se aplica"/>
    <s v="Intermediário"/>
    <s v="CATIVO"/>
    <x v="2"/>
    <n v="0"/>
    <n v="0"/>
    <n v="1.6E-2"/>
    <n v="1.6E-2"/>
    <n v="1.6E-2"/>
    <n v="1.6E-2"/>
    <m/>
    <n v="1160"/>
    <n v="127.85"/>
    <m/>
    <n v="20.605599999999999"/>
    <n v="20.605599999999999"/>
    <n v="16.39968"/>
    <n v="0"/>
    <n v="0.97720122634117446"/>
    <n v="0"/>
    <n v="0"/>
    <n v="0"/>
    <n v="3.0429136061267359"/>
    <n v="13.868977413141424"/>
    <n v="2.0455583391836321"/>
    <n v="0"/>
    <n v="0"/>
    <n v="0"/>
    <n v="0"/>
    <n v="0"/>
    <n v="0.1511247586661536"/>
    <m/>
    <n v="3.665221267457152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48317109877591996"/>
    <n v="0"/>
    <n v="0"/>
    <n v="0"/>
    <n v="0"/>
    <n v="0"/>
    <m/>
    <m/>
    <m/>
    <m/>
    <m/>
    <m/>
    <m/>
    <m/>
    <m/>
    <n v="2.528729437959552"/>
    <m/>
    <m/>
    <m/>
    <m/>
    <m/>
    <m/>
    <m/>
    <m/>
    <m/>
    <m/>
    <m/>
    <m/>
    <n v="20.499600000000001"/>
    <n v="-0.13600000000000279"/>
    <m/>
    <m/>
    <m/>
    <m/>
    <n v="-4.2702400000000003"/>
    <n v="6.4320000000000169E-2"/>
    <n v="30"/>
    <n v="-0.10604684665460606"/>
    <n v="0"/>
    <n v="0"/>
    <n v="0"/>
    <n v="0"/>
    <n v="0"/>
    <n v="0"/>
    <n v="0"/>
    <n v="-0.15963342421774396"/>
    <n v="0"/>
    <n v="0"/>
    <n v="6.4365972619616407E-2"/>
    <n v="0"/>
    <n v="0"/>
    <n v="0"/>
    <n v="1.520356428788644E-2"/>
    <n v="0"/>
    <n v="-2.2254246479828765E-2"/>
    <m/>
    <n v="0"/>
    <n v="0"/>
    <n v="0"/>
    <n v="0"/>
    <n v="-2.8837675483073533E-3"/>
    <n v="-8.4494531622895941E-4"/>
    <n v="0"/>
    <n v="0"/>
    <m/>
    <m/>
    <m/>
    <n v="13.868977413141424"/>
    <n v="0"/>
    <n v="0"/>
    <n v="-4.2702399999999976"/>
    <n v="6.4320000000000377E-2"/>
    <n v="0"/>
    <n v="0"/>
    <n v="-4.0998886492217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49"/>
    <s v="Regular"/>
    <s v="Convencional"/>
    <s v="B3"/>
    <s v="Comercial"/>
    <s v="Não se aplica"/>
    <s v="Não se aplica"/>
    <s v="Não se aplica"/>
    <s v="Não se aplica"/>
    <s v="CATIVO"/>
    <x v="2"/>
    <n v="0"/>
    <n v="0"/>
    <n v="134.47900000000001"/>
    <n v="134.47900000000001"/>
    <n v="134.47900000000001"/>
    <n v="134.47900000000001"/>
    <m/>
    <n v="710.52"/>
    <n v="127.85"/>
    <m/>
    <n v="112743.15923000002"/>
    <n v="112743.15923000002"/>
    <n v="92617.032090000022"/>
    <n v="0"/>
    <n v="8213.3152323209251"/>
    <n v="0"/>
    <n v="0"/>
    <n v="0"/>
    <n v="14704.263950317225"/>
    <n v="66993.038760853829"/>
    <n v="17192.789993442228"/>
    <n v="0"/>
    <n v="0"/>
    <n v="0"/>
    <n v="0"/>
    <n v="0"/>
    <n v="1270.1941512916046"/>
    <m/>
    <n v="308.059556766481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61.0228870179344"/>
    <n v="0"/>
    <n v="676.82"/>
    <n v="3125.73"/>
    <n v="24692.99"/>
    <n v="88"/>
    <m/>
    <m/>
    <m/>
    <m/>
    <m/>
    <m/>
    <m/>
    <m/>
    <m/>
    <n v="21253.812880460162"/>
    <m/>
    <m/>
    <m/>
    <m/>
    <m/>
    <m/>
    <m/>
    <m/>
    <m/>
    <m/>
    <m/>
    <m/>
    <n v="92617.72080000001"/>
    <n v="-20125.468429999994"/>
    <m/>
    <m/>
    <m/>
    <m/>
    <n v="-20666.732719999996"/>
    <n v="540.6055800000014"/>
    <n v="30"/>
    <n v="-321.00436878382607"/>
    <n v="0"/>
    <n v="0"/>
    <n v="0"/>
    <n v="0"/>
    <n v="0"/>
    <n v="0"/>
    <n v="0"/>
    <n v="-771.39620404090056"/>
    <n v="0"/>
    <n v="0"/>
    <n v="540.99197699458819"/>
    <n v="0"/>
    <n v="0"/>
    <n v="0"/>
    <n v="127.78500761691703"/>
    <n v="0"/>
    <n v="-187.04555077255554"/>
    <m/>
    <n v="0"/>
    <n v="0"/>
    <n v="0"/>
    <n v="0"/>
    <n v="-24.237886008051646"/>
    <n v="-7.1017125738222262"/>
    <n v="0"/>
    <n v="0"/>
    <m/>
    <m/>
    <m/>
    <n v="66993.038760853829"/>
    <n v="0"/>
    <n v="0"/>
    <n v="-20666.73272"/>
    <n v="540.6055800000031"/>
    <n v="0"/>
    <n v="0"/>
    <n v="-19804.1997625752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50"/>
    <s v="Regular"/>
    <s v="Verde"/>
    <s v="A4"/>
    <s v="Comercial"/>
    <s v="Não se aplica"/>
    <s v="Não se aplica"/>
    <s v="Não se aplica"/>
    <s v="Ponta"/>
    <s v="CATIVO"/>
    <x v="2"/>
    <n v="0"/>
    <n v="0"/>
    <n v="4.6050000000000004"/>
    <n v="4.6050000000000004"/>
    <n v="4.6050000000000004"/>
    <n v="4.6050000000000004"/>
    <m/>
    <n v="2075.9499999999998"/>
    <n v="127.85"/>
    <m/>
    <n v="10148.499000000002"/>
    <n v="10148.499000000002"/>
    <n v="8134.3180499999999"/>
    <n v="0"/>
    <n v="244.68813332199798"/>
    <n v="0"/>
    <n v="0"/>
    <n v="0"/>
    <n v="2901.1910647785139"/>
    <n v="6341.8390924300156"/>
    <n v="588.73725949628908"/>
    <n v="0"/>
    <n v="0"/>
    <n v="0"/>
    <n v="0"/>
    <n v="0"/>
    <n v="43.495594603602342"/>
    <m/>
    <n v="4.62528093623804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.907237301514851"/>
    <n v="0"/>
    <n v="0"/>
    <n v="0"/>
    <n v="0"/>
    <n v="0"/>
    <m/>
    <m/>
    <m/>
    <m/>
    <m/>
    <m/>
    <m/>
    <m/>
    <m/>
    <n v="612.64449679780398"/>
    <m/>
    <m/>
    <m/>
    <m/>
    <m/>
    <m/>
    <m/>
    <m/>
    <m/>
    <m/>
    <m/>
    <m/>
    <n v="8143.1500999999998"/>
    <n v="-2005.3789000000024"/>
    <m/>
    <m/>
    <m/>
    <m/>
    <n v="-2032.6930499999996"/>
    <n v="18.51210000000005"/>
    <n v="30"/>
    <n v="-139.4299615941909"/>
    <n v="0"/>
    <n v="0"/>
    <n v="0"/>
    <n v="0"/>
    <n v="0"/>
    <n v="0"/>
    <n v="0"/>
    <n v="-152.19855833173506"/>
    <n v="0"/>
    <n v="0"/>
    <n v="18.525331494583384"/>
    <n v="0"/>
    <n v="0"/>
    <n v="0"/>
    <n v="0.75227020030826708"/>
    <n v="0"/>
    <n v="-5.5723937740293934"/>
    <m/>
    <n v="0"/>
    <n v="0"/>
    <n v="0"/>
    <n v="0"/>
    <n v="-0.82998434749721639"/>
    <n v="-0.10662683582071786"/>
    <n v="0"/>
    <n v="0"/>
    <m/>
    <m/>
    <m/>
    <n v="6341.8390924300156"/>
    <n v="0"/>
    <n v="0"/>
    <n v="-2032.6930500000008"/>
    <n v="18.512100000000032"/>
    <n v="0"/>
    <n v="0"/>
    <n v="-1874.74774352199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51"/>
    <s v="Regular"/>
    <s v="Verde"/>
    <s v="A4"/>
    <s v="Comercial"/>
    <s v="Não se aplica"/>
    <s v="Não se aplica"/>
    <s v="Não se aplica"/>
    <s v="Fora ponta"/>
    <s v="CATIVO"/>
    <x v="2"/>
    <n v="0"/>
    <n v="0"/>
    <n v="83.984999999999999"/>
    <n v="83.984999999999999"/>
    <n v="83.984999999999999"/>
    <n v="83.984999999999999"/>
    <m/>
    <n v="68.78"/>
    <n v="127.85"/>
    <m/>
    <n v="16513.970549999998"/>
    <n v="16513.970549999998"/>
    <n v="16746.609"/>
    <n v="0"/>
    <n v="4462.5695715630827"/>
    <n v="0"/>
    <n v="0"/>
    <n v="0"/>
    <n v="0"/>
    <n v="0"/>
    <n v="10737.263569771083"/>
    <n v="0"/>
    <n v="0"/>
    <n v="0"/>
    <n v="0"/>
    <n v="0"/>
    <n v="793.26330353605692"/>
    <m/>
    <n v="84.3548793550384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6.01505423837665"/>
    <n v="0"/>
    <n v="0"/>
    <n v="0"/>
    <n v="0"/>
    <n v="0"/>
    <m/>
    <m/>
    <m/>
    <m/>
    <m/>
    <m/>
    <m/>
    <m/>
    <m/>
    <n v="11173.278624009459"/>
    <m/>
    <m/>
    <m/>
    <m/>
    <m/>
    <m/>
    <m/>
    <m/>
    <m/>
    <m/>
    <m/>
    <m/>
    <n v="16747.606"/>
    <n v="233.60545000000275"/>
    <m/>
    <m/>
    <m/>
    <m/>
    <n v="-104.98125"/>
    <n v="337.61970000000088"/>
    <n v="30"/>
    <n v="232.87092225899323"/>
    <n v="0"/>
    <n v="0"/>
    <n v="0"/>
    <n v="0"/>
    <n v="0"/>
    <n v="0"/>
    <n v="0"/>
    <n v="0"/>
    <n v="0"/>
    <n v="0"/>
    <n v="337.86101315365522"/>
    <n v="0"/>
    <n v="0"/>
    <n v="0"/>
    <n v="13.719742187381087"/>
    <n v="0"/>
    <n v="-101.62811967684138"/>
    <m/>
    <n v="0"/>
    <n v="0"/>
    <n v="0"/>
    <n v="0"/>
    <n v="-15.137076096537157"/>
    <n v="-1.9446373086651505"/>
    <n v="0"/>
    <n v="0"/>
    <m/>
    <m/>
    <m/>
    <n v="0"/>
    <n v="0"/>
    <n v="0"/>
    <n v="-104.98124999999982"/>
    <n v="337.61970000000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52"/>
    <s v="Regular"/>
    <s v="Verde"/>
    <s v="A4"/>
    <s v="Comercial"/>
    <s v="Não se aplica"/>
    <s v="Não se aplica"/>
    <s v="Não se aplica"/>
    <s v="Não se aplica"/>
    <s v="CATIVO"/>
    <x v="2"/>
    <n v="381"/>
    <n v="381"/>
    <n v="0"/>
    <n v="0"/>
    <n v="0"/>
    <n v="0"/>
    <n v="39.56"/>
    <m/>
    <m/>
    <n v="15072.36"/>
    <m/>
    <n v="15072.36"/>
    <n v="11833.859999999999"/>
    <n v="0"/>
    <n v="0"/>
    <n v="0"/>
    <n v="0"/>
    <n v="0"/>
    <n v="5017.8773658464052"/>
    <n v="10052.65912650934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459.89"/>
    <n v="2122.59"/>
    <n v="12602.11"/>
    <n v="2"/>
    <m/>
    <m/>
    <m/>
    <m/>
    <m/>
    <m/>
    <m/>
    <m/>
    <m/>
    <n v="0"/>
    <m/>
    <m/>
    <m/>
    <m/>
    <m/>
    <m/>
    <m/>
    <m/>
    <m/>
    <m/>
    <m/>
    <m/>
    <n v="11833.859999999999"/>
    <n v="-3238.5300000000025"/>
    <m/>
    <m/>
    <m/>
    <m/>
    <n v="-3238.5000000000014"/>
    <n v="0"/>
    <n v="30"/>
    <n v="-263.24143564308815"/>
    <n v="0"/>
    <n v="0"/>
    <n v="0"/>
    <n v="0"/>
    <m/>
    <m/>
    <m/>
    <n v="-263.24143564308815"/>
    <n v="0"/>
    <n v="0"/>
    <m/>
    <m/>
    <n v="0"/>
    <n v="0"/>
    <n v="0"/>
    <n v="0"/>
    <n v="0"/>
    <m/>
    <n v="0"/>
    <n v="0"/>
    <m/>
    <n v="0"/>
    <n v="0"/>
    <n v="0"/>
    <n v="0"/>
    <n v="0"/>
    <m/>
    <m/>
    <n v="10052.659126509341"/>
    <m/>
    <n v="0"/>
    <n v="0"/>
    <n v="-3238.5000000000018"/>
    <m/>
    <n v="0"/>
    <m/>
    <n v="-2971.724721984071"/>
    <m/>
    <n v="0"/>
    <n v="0"/>
    <m/>
    <n v="0"/>
    <n v="0"/>
    <n v="0"/>
    <n v="0"/>
    <n v="0"/>
    <m/>
    <m/>
    <n v="0"/>
    <n v="0"/>
    <m/>
    <n v="0"/>
    <m/>
    <n v="0"/>
    <m/>
    <n v="207"/>
    <m/>
    <m/>
    <m/>
    <m/>
    <n v="0"/>
    <m/>
    <m/>
    <m/>
    <m/>
    <n v="0"/>
    <n v="0"/>
    <n v="0"/>
    <n v="0"/>
  </r>
  <r>
    <n v="53"/>
    <s v="Regular"/>
    <s v="Convencional"/>
    <s v="B2"/>
    <s v="Rural"/>
    <s v="Não se aplica"/>
    <s v="Não se aplica"/>
    <s v="Não se aplica"/>
    <s v="Não se aplica"/>
    <s v="CATIVO"/>
    <x v="2"/>
    <n v="0"/>
    <n v="0"/>
    <n v="56.250999999999998"/>
    <n v="56.250999999999998"/>
    <n v="56.250999999999998"/>
    <n v="56.250999999999998"/>
    <m/>
    <n v="710.52"/>
    <n v="127.85"/>
    <m/>
    <n v="47159.150869999998"/>
    <n v="47159.150869999998"/>
    <n v="38740.626210000002"/>
    <n v="0"/>
    <n v="3435.5341364323376"/>
    <n v="0"/>
    <n v="0"/>
    <n v="0"/>
    <n v="6150.6224129365482"/>
    <n v="28022.408133141893"/>
    <n v="7191.5438835886544"/>
    <n v="0"/>
    <n v="0"/>
    <n v="0"/>
    <n v="0"/>
    <n v="0"/>
    <n v="531.30742498311292"/>
    <m/>
    <n v="128.857725947332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98.6785923277671"/>
    <n v="0"/>
    <n v="184.98"/>
    <n v="854.73"/>
    <n v="0"/>
    <n v="42"/>
    <m/>
    <m/>
    <m/>
    <m/>
    <m/>
    <n v="4648.5826400000033"/>
    <m/>
    <m/>
    <m/>
    <n v="8890.2224759164219"/>
    <m/>
    <m/>
    <m/>
    <m/>
    <m/>
    <m/>
    <m/>
    <m/>
    <m/>
    <m/>
    <m/>
    <m/>
    <n v="34091.4375"/>
    <n v="-7408.8927700000058"/>
    <m/>
    <m/>
    <m/>
    <m/>
    <n v="-8644.6536799999976"/>
    <n v="226.12902000000057"/>
    <n v="30"/>
    <n v="-134.2723901014906"/>
    <n v="0"/>
    <n v="0"/>
    <n v="0"/>
    <n v="0"/>
    <n v="0"/>
    <n v="0"/>
    <n v="0"/>
    <n v="-322.66605100799916"/>
    <n v="0"/>
    <n v="0"/>
    <n v="226.29064536412716"/>
    <n v="0"/>
    <n v="0"/>
    <n v="0"/>
    <n v="53.450980922368672"/>
    <n v="0"/>
    <n v="-78.238976171053309"/>
    <m/>
    <n v="0"/>
    <n v="0"/>
    <n v="0"/>
    <n v="0"/>
    <n v="-10.138425522489911"/>
    <n v="-2.970563686449708"/>
    <n v="0"/>
    <n v="0"/>
    <m/>
    <m/>
    <m/>
    <n v="28022.408133141893"/>
    <n v="0"/>
    <n v="0"/>
    <n v="-8644.6536799999994"/>
    <n v="226.12902000000122"/>
    <n v="0"/>
    <n v="0"/>
    <n v="-8283.86618613031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54"/>
    <s v="Regular"/>
    <s v="Convencional"/>
    <s v="B3"/>
    <s v="Poder público"/>
    <s v="Não se aplica"/>
    <s v="Não se aplica"/>
    <s v="Não se aplica"/>
    <s v="Não se aplica"/>
    <s v="CATIVO"/>
    <x v="2"/>
    <n v="0"/>
    <n v="0"/>
    <n v="7.59"/>
    <n v="7.59"/>
    <n v="7.59"/>
    <n v="7.59"/>
    <m/>
    <n v="710.52"/>
    <n v="127.85"/>
    <m/>
    <n v="6363.2282999999989"/>
    <n v="6363.2282999999989"/>
    <n v="5227.3089"/>
    <n v="0"/>
    <n v="463.55983174559464"/>
    <n v="0"/>
    <n v="0"/>
    <n v="0"/>
    <n v="829.90923031036607"/>
    <n v="3781.0897180591805"/>
    <n v="970.3617371502354"/>
    <n v="0"/>
    <n v="0"/>
    <n v="0"/>
    <n v="0"/>
    <n v="0"/>
    <n v="71.689807392256611"/>
    <m/>
    <n v="17.3868933874998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9.20428998182703"/>
    <n v="0"/>
    <n v="29.1"/>
    <n v="134.85"/>
    <n v="1376.7"/>
    <n v="18"/>
    <m/>
    <m/>
    <m/>
    <m/>
    <m/>
    <m/>
    <m/>
    <m/>
    <m/>
    <n v="1199.5660271320623"/>
    <m/>
    <m/>
    <m/>
    <m/>
    <m/>
    <m/>
    <m/>
    <m/>
    <m/>
    <m/>
    <m/>
    <m/>
    <n v="5227.3089"/>
    <n v="-1135.9493999999995"/>
    <m/>
    <m/>
    <m/>
    <m/>
    <n v="-1166.4311999999995"/>
    <n v="30.511800000000076"/>
    <n v="30"/>
    <n v="-18.117499082155518"/>
    <n v="0"/>
    <n v="0"/>
    <n v="0"/>
    <n v="0"/>
    <n v="0"/>
    <n v="0"/>
    <n v="0"/>
    <n v="-43.537631813669236"/>
    <n v="0"/>
    <n v="0"/>
    <n v="30.533608261430459"/>
    <n v="0"/>
    <n v="0"/>
    <n v="0"/>
    <n v="7.2121908090661293"/>
    <n v="0"/>
    <n v="-10.556858173868818"/>
    <m/>
    <n v="0"/>
    <n v="0"/>
    <n v="0"/>
    <n v="0"/>
    <n v="-1.3679872307283034"/>
    <n v="-0.40082093438611821"/>
    <n v="0"/>
    <n v="0"/>
    <m/>
    <m/>
    <m/>
    <n v="3781.0897180591805"/>
    <n v="0"/>
    <n v="0"/>
    <n v="-1166.4311999999991"/>
    <n v="30.511800000000108"/>
    <n v="0"/>
    <n v="0"/>
    <n v="-1117.74980627418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55"/>
    <s v="Regular"/>
    <s v="Convencional"/>
    <s v="B4"/>
    <s v="Iluminação pública"/>
    <s v="Iluminação pública – B4a"/>
    <s v="Não se aplica"/>
    <s v="Não se aplica"/>
    <s v="Não se aplica"/>
    <s v="CATIVO"/>
    <x v="2"/>
    <n v="0"/>
    <n v="0"/>
    <n v="41.75"/>
    <n v="41.75"/>
    <n v="41.75"/>
    <n v="41.75"/>
    <m/>
    <n v="390.79"/>
    <n v="70.319999999999993"/>
    <m/>
    <n v="19251.342499999999"/>
    <n v="19251.342499999999"/>
    <n v="15814.4825"/>
    <n v="0"/>
    <n v="1402.4364474912024"/>
    <n v="0"/>
    <n v="0"/>
    <n v="0"/>
    <n v="2510.7761134389657"/>
    <n v="11439.166357171793"/>
    <n v="2935.6958352190113"/>
    <n v="0"/>
    <n v="0"/>
    <n v="0"/>
    <n v="0"/>
    <n v="0"/>
    <n v="216.88764192947198"/>
    <m/>
    <n v="52.6016520962406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693.42602222763105"/>
    <n v="0"/>
    <n v="98.07"/>
    <n v="453.5"/>
    <n v="4630.09"/>
    <n v="36"/>
    <m/>
    <m/>
    <m/>
    <m/>
    <m/>
    <m/>
    <m/>
    <m/>
    <m/>
    <n v="3629.1218574466425"/>
    <m/>
    <m/>
    <m/>
    <m/>
    <m/>
    <m/>
    <m/>
    <m/>
    <m/>
    <m/>
    <m/>
    <m/>
    <n v="15814.4825"/>
    <n v="-3436.8899999999976"/>
    <m/>
    <m/>
    <m/>
    <m/>
    <n v="-3529.1275000000014"/>
    <n v="92.267500000000325"/>
    <n v="30"/>
    <n v="-54.811999034792279"/>
    <n v="0"/>
    <n v="0"/>
    <n v="0"/>
    <n v="0"/>
    <n v="0"/>
    <n v="0"/>
    <n v="0"/>
    <n v="-131.71711074063023"/>
    <n v="0"/>
    <n v="0"/>
    <n v="92.375227892370731"/>
    <n v="0"/>
    <n v="0"/>
    <n v="0"/>
    <n v="21.819490310032961"/>
    <n v="0"/>
    <n v="-31.938320924570462"/>
    <m/>
    <n v="0"/>
    <n v="0"/>
    <n v="0"/>
    <n v="0"/>
    <n v="-4.1386570205006308"/>
    <n v="-1.2126285514941983"/>
    <n v="0"/>
    <n v="0"/>
    <m/>
    <m/>
    <m/>
    <n v="11439.166357171793"/>
    <n v="0"/>
    <n v="0"/>
    <n v="-3529.1275000000005"/>
    <n v="92.267500000000382"/>
    <n v="0"/>
    <n v="0"/>
    <n v="-3381.59814579329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56"/>
    <s v="Regular"/>
    <s v="Convencional"/>
    <s v="B3"/>
    <s v="Serviço público"/>
    <s v="Água, esgoto e saneamento"/>
    <s v="Não se aplica"/>
    <s v="Não se aplica"/>
    <s v="Não se aplica"/>
    <s v="CATIVO"/>
    <x v="2"/>
    <n v="0"/>
    <n v="0"/>
    <n v="6.35"/>
    <n v="5.9690000000000003"/>
    <n v="6.35"/>
    <n v="5.9690000000000003"/>
    <m/>
    <n v="710.52"/>
    <n v="127.85"/>
    <m/>
    <n v="5323.6494999999995"/>
    <n v="5323.6494999999995"/>
    <n v="4373.3085000000001"/>
    <n v="0"/>
    <n v="387.82673670415357"/>
    <n v="0"/>
    <n v="0"/>
    <n v="0"/>
    <n v="694.32458662329702"/>
    <n v="3163.3622805896966"/>
    <n v="811.83096586350382"/>
    <n v="0"/>
    <n v="0"/>
    <n v="0"/>
    <n v="0"/>
    <n v="0"/>
    <n v="59.977638595629713"/>
    <m/>
    <n v="14.5463469052205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1.75852982669323"/>
    <n v="0"/>
    <n v="41.44"/>
    <n v="191.3"/>
    <n v="1090.1600000000001"/>
    <n v="1"/>
    <m/>
    <m/>
    <m/>
    <m/>
    <n v="262.39850999999953"/>
    <m/>
    <m/>
    <m/>
    <m/>
    <n v="1003.5894956901971"/>
    <m/>
    <m/>
    <m/>
    <m/>
    <m/>
    <m/>
    <m/>
    <m/>
    <m/>
    <m/>
    <m/>
    <m/>
    <n v="4111.5987000000005"/>
    <n v="-892.66183000000092"/>
    <m/>
    <m/>
    <m/>
    <m/>
    <n v="-975.8679999999996"/>
    <n v="25.527000000000065"/>
    <n v="30"/>
    <n v="-15.157591458721072"/>
    <n v="0"/>
    <n v="0"/>
    <n v="0"/>
    <n v="0"/>
    <n v="0"/>
    <n v="0"/>
    <n v="0"/>
    <n v="-36.424764429090942"/>
    <n v="0"/>
    <n v="0"/>
    <n v="25.545245383410247"/>
    <n v="0"/>
    <n v="0"/>
    <n v="0"/>
    <n v="6.0339145767549098"/>
    <n v="0"/>
    <n v="-8.832154071682055"/>
    <m/>
    <n v="0"/>
    <n v="0"/>
    <n v="0"/>
    <n v="0"/>
    <n v="-1.1444952457344897"/>
    <n v="-0.33533767237837075"/>
    <n v="0"/>
    <n v="0"/>
    <m/>
    <m/>
    <m/>
    <n v="3163.3622805896966"/>
    <n v="0"/>
    <n v="0"/>
    <n v="-975.86799999999948"/>
    <n v="25.527000000000044"/>
    <n v="0"/>
    <n v="0"/>
    <n v="-935.139824748493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57"/>
    <s v="Regular"/>
    <s v="Convencional"/>
    <s v="B1"/>
    <s v="Residencial"/>
    <s v="Residencial"/>
    <s v="Não se aplica"/>
    <s v="Não se aplica"/>
    <s v="Não se aplica"/>
    <s v="CATIVO"/>
    <x v="3"/>
    <n v="0"/>
    <n v="0"/>
    <n v="1046.424"/>
    <n v="1046.424"/>
    <n v="1046.424"/>
    <n v="1046.424"/>
    <m/>
    <n v="710.52"/>
    <n v="127.85"/>
    <m/>
    <n v="877290.48887999996"/>
    <n v="877290.48887999996"/>
    <n v="720682.67304000002"/>
    <n v="0"/>
    <n v="63910.426004552319"/>
    <n v="0"/>
    <n v="0"/>
    <n v="0"/>
    <n v="114418.56869806252"/>
    <n v="521294.20647303824"/>
    <n v="133782.5837201183"/>
    <n v="0"/>
    <n v="0"/>
    <n v="0"/>
    <n v="0"/>
    <n v="0"/>
    <n v="9883.7859039044451"/>
    <m/>
    <n v="2397.10968723598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600.114616593328"/>
    <n v="0"/>
    <n v="4818"/>
    <n v="22381"/>
    <n v="213358.38"/>
    <n v="6077"/>
    <m/>
    <m/>
    <m/>
    <m/>
    <m/>
    <m/>
    <m/>
    <m/>
    <m/>
    <n v="165382.69833671162"/>
    <m/>
    <m/>
    <m/>
    <m/>
    <m/>
    <m/>
    <m/>
    <m/>
    <m/>
    <m/>
    <m/>
    <m/>
    <n v="720679.91820000007"/>
    <n v="-156610.60067999992"/>
    <m/>
    <m/>
    <m/>
    <m/>
    <n v="-160814.44031999994"/>
    <n v="4206.6244800000104"/>
    <n v="31"/>
    <n v="-2497.8373991496628"/>
    <n v="0"/>
    <n v="0"/>
    <n v="0"/>
    <n v="0"/>
    <n v="0"/>
    <n v="0"/>
    <n v="0"/>
    <n v="-6002.479951645204"/>
    <n v="0"/>
    <n v="0"/>
    <n v="4209.6311582818453"/>
    <n v="0"/>
    <n v="0"/>
    <n v="0"/>
    <n v="994.33590977420681"/>
    <n v="0"/>
    <n v="-1455.4611011505258"/>
    <m/>
    <n v="0"/>
    <n v="0"/>
    <n v="0"/>
    <n v="0"/>
    <n v="-188.60272331062333"/>
    <n v="-55.260691099348605"/>
    <n v="0"/>
    <n v="0"/>
    <m/>
    <m/>
    <m/>
    <n v="521294.20647303824"/>
    <n v="0"/>
    <n v="0"/>
    <n v="-160814.44031999994"/>
    <n v="4206.6244800000277"/>
    <n v="0"/>
    <n v="0"/>
    <n v="-154102.796216160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58"/>
    <s v="Refaturamento - Regular"/>
    <s v="Convencional"/>
    <s v="B1"/>
    <s v="Residencial"/>
    <s v="Residencial"/>
    <s v="Não se aplica"/>
    <s v="Não se aplica"/>
    <s v="Não se aplica"/>
    <s v="CATIVO"/>
    <x v="3"/>
    <n v="0"/>
    <n v="0"/>
    <n v="-1.2999999999999999E-2"/>
    <n v="-1.2999999999999999E-2"/>
    <n v="-1.2999999999999999E-2"/>
    <n v="-1.2999999999999999E-2"/>
    <m/>
    <n v="710.52"/>
    <n v="127.85"/>
    <m/>
    <n v="-10.898809999999997"/>
    <n v="-10.898809999999997"/>
    <n v="-8.9532299999999996"/>
    <n v="0"/>
    <n v="-0.79397599640220418"/>
    <n v="0"/>
    <n v="0"/>
    <n v="0"/>
    <n v="-1.4214519096224978"/>
    <n v="-6.4761747476639453"/>
    <n v="-1.6620161505867008"/>
    <n v="0"/>
    <n v="0"/>
    <n v="0"/>
    <n v="0"/>
    <n v="0"/>
    <n v="-0.12278886641624981"/>
    <m/>
    <n v="-2.9779922798089362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-0.39257651775543495"/>
    <n v="0"/>
    <n v="-7.0000000000000007E-2"/>
    <n v="-0.33"/>
    <n v="0"/>
    <n v="0"/>
    <m/>
    <m/>
    <m/>
    <m/>
    <m/>
    <m/>
    <m/>
    <m/>
    <m/>
    <n v="-2.0545926683421358"/>
    <m/>
    <m/>
    <m/>
    <m/>
    <m/>
    <m/>
    <m/>
    <m/>
    <m/>
    <m/>
    <m/>
    <m/>
    <n v="-6.8871000000000002"/>
    <n v="3.9817099999999979"/>
    <m/>
    <m/>
    <m/>
    <m/>
    <n v="1.9978399999999992"/>
    <n v="-5.2260000000000133E-2"/>
    <n v="31"/>
    <n v="3.1031289600528922E-2"/>
    <n v="0"/>
    <n v="0"/>
    <n v="0"/>
    <n v="0"/>
    <n v="0"/>
    <n v="0"/>
    <n v="0"/>
    <n v="7.4570383870579793E-2"/>
    <n v="0"/>
    <n v="0"/>
    <n v="-5.2297352753438275E-2"/>
    <n v="0"/>
    <n v="0"/>
    <n v="0"/>
    <n v="-1.2352895983907708E-2"/>
    <n v="0"/>
    <n v="1.8081575264860872E-2"/>
    <m/>
    <n v="0"/>
    <n v="0"/>
    <n v="0"/>
    <n v="0"/>
    <n v="2.3430611329997436E-3"/>
    <n v="6.8651806943603733E-4"/>
    <n v="0"/>
    <n v="0"/>
    <m/>
    <m/>
    <m/>
    <n v="-6.4761747476639453"/>
    <n v="0"/>
    <n v="0"/>
    <n v="1.9978399999999983"/>
    <n v="-5.2260000000000195E-2"/>
    <n v="0"/>
    <n v="0"/>
    <n v="1.91445948373707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59"/>
    <s v="Sistema de Compensação"/>
    <s v="Convencional"/>
    <s v="B1"/>
    <s v="Residencial"/>
    <s v="Residencial"/>
    <s v="Não se aplica"/>
    <s v="Não se aplica"/>
    <s v="Não se aplica"/>
    <s v="CATIVO"/>
    <x v="3"/>
    <n v="0"/>
    <n v="0"/>
    <n v="1.542"/>
    <n v="1.542"/>
    <n v="1.542"/>
    <n v="1.542"/>
    <m/>
    <n v="710.52"/>
    <n v="127.85"/>
    <m/>
    <n v="1292.7665400000001"/>
    <n v="1292.7665400000001"/>
    <n v="1061.99082"/>
    <n v="0"/>
    <n v="94.177768188630694"/>
    <n v="0"/>
    <n v="0"/>
    <n v="0"/>
    <n v="168.60606497214553"/>
    <n v="768.17395853060032"/>
    <n v="197.14068493882252"/>
    <n v="0"/>
    <n v="0"/>
    <n v="0"/>
    <n v="0"/>
    <n v="0"/>
    <n v="14.564648616450555"/>
    <m/>
    <n v="3.53235699651183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.56561464452929"/>
    <n v="0"/>
    <n v="5.35"/>
    <n v="24.98"/>
    <n v="746.9"/>
    <n v="12"/>
    <m/>
    <m/>
    <m/>
    <m/>
    <m/>
    <m/>
    <m/>
    <m/>
    <m/>
    <n v="243.70629958335181"/>
    <m/>
    <m/>
    <m/>
    <m/>
    <m/>
    <m/>
    <m/>
    <m/>
    <m/>
    <m/>
    <m/>
    <m/>
    <n v="1060.6134000000002"/>
    <n v="-232.18313999999987"/>
    <m/>
    <m/>
    <m/>
    <m/>
    <n v="-236.97455999999994"/>
    <n v="6.1988400000000157"/>
    <n v="31"/>
    <n v="-3.6807883510782631"/>
    <n v="0"/>
    <n v="0"/>
    <n v="0"/>
    <n v="0"/>
    <n v="0"/>
    <n v="0"/>
    <n v="0"/>
    <n v="-8.8451947637257149"/>
    <n v="0"/>
    <n v="0"/>
    <n v="6.2032706112155438"/>
    <n v="0"/>
    <n v="0"/>
    <n v="0"/>
    <n v="1.4652435082450523"/>
    <n v="0"/>
    <n v="-2.1447530044935093"/>
    <m/>
    <n v="0"/>
    <n v="0"/>
    <n v="0"/>
    <n v="0"/>
    <n v="-0.27792309746812194"/>
    <n v="-8.1431604851566419E-2"/>
    <n v="0"/>
    <n v="0"/>
    <m/>
    <m/>
    <m/>
    <n v="768.17395853060032"/>
    <n v="0"/>
    <n v="0"/>
    <n v="-236.97456"/>
    <n v="6.1988400000000183"/>
    <n v="0"/>
    <n v="0"/>
    <n v="-227.084347994043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60"/>
    <s v="Regular"/>
    <s v="Convencional"/>
    <s v="B1"/>
    <s v="Residencial"/>
    <s v="Residencial baixa renda – faixa 01"/>
    <s v="Não se aplica"/>
    <s v="Não se aplica"/>
    <s v="Não se aplica"/>
    <s v="CATIVO"/>
    <x v="3"/>
    <n v="0"/>
    <n v="0"/>
    <n v="4.0199999999999996"/>
    <n v="4.0199999999999996"/>
    <n v="4.0199999999999996"/>
    <n v="4.0199999999999996"/>
    <m/>
    <n v="640"/>
    <n v="127.85"/>
    <m/>
    <n v="3086.7569999999996"/>
    <n v="3086.7569999999996"/>
    <n v="2491.4351999999999"/>
    <n v="0"/>
    <n v="0"/>
    <n v="0"/>
    <n v="0"/>
    <n v="0"/>
    <n v="439.55666743711083"/>
    <n v="2002.6324988930046"/>
    <n v="513.9465327198875"/>
    <n v="0"/>
    <n v="0"/>
    <n v="0"/>
    <n v="0"/>
    <n v="0"/>
    <n v="0"/>
    <m/>
    <n v="9.2088684344860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1.39673856744989"/>
    <n v="0"/>
    <n v="16.920000000000002"/>
    <n v="78.150000000000006"/>
    <n v="610.21"/>
    <n v="3"/>
    <m/>
    <m/>
    <m/>
    <m/>
    <m/>
    <m/>
    <m/>
    <n v="1619.4569999999999"/>
    <m/>
    <n v="635.34327128733742"/>
    <m/>
    <m/>
    <m/>
    <m/>
    <m/>
    <m/>
    <m/>
    <m/>
    <m/>
    <m/>
    <m/>
    <m/>
    <n v="871.97819999999979"/>
    <n v="-208.42680000000018"/>
    <m/>
    <m/>
    <m/>
    <m/>
    <n v="-611.48220000000003"/>
    <n v="16.160400000000038"/>
    <n v="31"/>
    <n v="-3.2799035288255709"/>
    <n v="0"/>
    <n v="0"/>
    <n v="0"/>
    <n v="0"/>
    <n v="0"/>
    <n v="0"/>
    <n v="0"/>
    <n v="-23.059457166133143"/>
    <n v="0"/>
    <n v="0"/>
    <n v="16.171950620678558"/>
    <n v="0"/>
    <n v="0"/>
    <n v="0"/>
    <n v="3.8198955273314539"/>
    <n v="0"/>
    <n v="0"/>
    <m/>
    <n v="0"/>
    <n v="0"/>
    <n v="0"/>
    <n v="0"/>
    <n v="0"/>
    <n v="-0.21229251070252708"/>
    <n v="0"/>
    <n v="0"/>
    <m/>
    <m/>
    <m/>
    <n v="2002.6324988930046"/>
    <n v="0"/>
    <n v="0"/>
    <n v="-611.48219999999992"/>
    <n v="16.160400000000095"/>
    <n v="0"/>
    <n v="0"/>
    <n v="-592.00977881715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61"/>
    <s v="Regular"/>
    <s v="Convencional"/>
    <s v="B1"/>
    <s v="Residencial"/>
    <s v="Residencial baixa renda – faixa 02"/>
    <s v="Não se aplica"/>
    <s v="Não se aplica"/>
    <s v="Não se aplica"/>
    <s v="CATIVO"/>
    <x v="3"/>
    <n v="0"/>
    <n v="0"/>
    <n v="8.9440000000000008"/>
    <n v="8.9440000000000008"/>
    <n v="8.9440000000000008"/>
    <n v="8.9440000000000008"/>
    <m/>
    <n v="640"/>
    <n v="127.85"/>
    <m/>
    <n v="6867.6504000000004"/>
    <n v="6867.6504000000004"/>
    <n v="5543.1334400000005"/>
    <n v="0"/>
    <n v="0"/>
    <n v="0"/>
    <n v="0"/>
    <n v="0"/>
    <n v="977.95891382027867"/>
    <n v="4455.6082263927956"/>
    <n v="1143.4671116036504"/>
    <n v="0"/>
    <n v="0"/>
    <n v="0"/>
    <n v="0"/>
    <n v="0"/>
    <n v="0"/>
    <m/>
    <n v="20.4885868850854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0.09264421573931"/>
    <n v="0"/>
    <n v="37.700000000000003"/>
    <n v="176.6"/>
    <n v="1426.87"/>
    <n v="10"/>
    <m/>
    <m/>
    <m/>
    <m/>
    <m/>
    <m/>
    <m/>
    <n v="2217.2175999999999"/>
    <m/>
    <n v="1413.5597558193897"/>
    <m/>
    <m/>
    <m/>
    <m/>
    <m/>
    <m/>
    <m/>
    <m/>
    <m/>
    <m/>
    <m/>
    <m/>
    <n v="3324.4284000000002"/>
    <n v="-796.19184000000087"/>
    <m/>
    <m/>
    <m/>
    <m/>
    <n v="-1360.4718400000002"/>
    <n v="35.954880000000095"/>
    <n v="31"/>
    <n v="-7.2973774034371672"/>
    <n v="0"/>
    <n v="0"/>
    <n v="0"/>
    <n v="0"/>
    <n v="0"/>
    <n v="0"/>
    <n v="0"/>
    <n v="-51.304424102958933"/>
    <n v="0"/>
    <n v="0"/>
    <n v="35.980578694365477"/>
    <n v="0"/>
    <n v="0"/>
    <n v="0"/>
    <n v="8.4987924369285111"/>
    <n v="0"/>
    <n v="0"/>
    <m/>
    <n v="0"/>
    <n v="0"/>
    <n v="0"/>
    <n v="0"/>
    <n v="0"/>
    <n v="-0.47232443177199102"/>
    <n v="0"/>
    <n v="0"/>
    <m/>
    <m/>
    <m/>
    <n v="4455.6082263927956"/>
    <n v="0"/>
    <n v="0"/>
    <n v="-1360.4718400000002"/>
    <n v="35.954880000000003"/>
    <n v="0"/>
    <n v="0"/>
    <n v="-1317.14812481110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62"/>
    <s v="Regular"/>
    <s v="Convencional"/>
    <s v="B1"/>
    <s v="Residencial"/>
    <s v="Residencial baixa renda – faixa 03"/>
    <s v="Não se aplica"/>
    <s v="Não se aplica"/>
    <s v="Não se aplica"/>
    <s v="CATIVO"/>
    <x v="3"/>
    <n v="0"/>
    <n v="0"/>
    <n v="10.034000000000001"/>
    <n v="10.034000000000001"/>
    <n v="10.034000000000001"/>
    <n v="10.034000000000001"/>
    <m/>
    <n v="640"/>
    <n v="127.85"/>
    <m/>
    <n v="7704.6069000000007"/>
    <n v="7704.6069000000007"/>
    <n v="6218.67184"/>
    <n v="0"/>
    <n v="0"/>
    <n v="0"/>
    <n v="0"/>
    <n v="0"/>
    <n v="1097.1421893193958"/>
    <n v="4998.6105706200033"/>
    <n v="1282.8207734605353"/>
    <n v="0"/>
    <n v="0"/>
    <n v="0"/>
    <n v="0"/>
    <n v="0"/>
    <n v="0"/>
    <m/>
    <n v="22.9855188735406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3.00867531984881"/>
    <n v="0"/>
    <n v="52.75"/>
    <n v="243.93"/>
    <n v="2314.13"/>
    <n v="78"/>
    <m/>
    <m/>
    <m/>
    <m/>
    <m/>
    <m/>
    <m/>
    <n v="621.90731999999969"/>
    <m/>
    <n v="1585.8294487803842"/>
    <m/>
    <m/>
    <m/>
    <m/>
    <m/>
    <m/>
    <m/>
    <m/>
    <m/>
    <m/>
    <m/>
    <m/>
    <n v="5594.5334000000003"/>
    <n v="-1339.5926400000008"/>
    <m/>
    <m/>
    <m/>
    <m/>
    <n v="-1526.2717400000001"/>
    <n v="40.336680000000108"/>
    <n v="31"/>
    <n v="-8.1867044796608752"/>
    <n v="0"/>
    <n v="0"/>
    <n v="0"/>
    <n v="0"/>
    <n v="0"/>
    <n v="0"/>
    <n v="0"/>
    <n v="-57.556863981338438"/>
    <n v="0"/>
    <n v="0"/>
    <n v="40.365510579076727"/>
    <n v="0"/>
    <n v="0"/>
    <n v="0"/>
    <n v="9.5345352540408044"/>
    <n v="0"/>
    <n v="0"/>
    <m/>
    <n v="0"/>
    <n v="0"/>
    <n v="0"/>
    <n v="0"/>
    <n v="0"/>
    <n v="-0.52988633144008901"/>
    <n v="0"/>
    <n v="0"/>
    <m/>
    <m/>
    <m/>
    <n v="4998.6105706200033"/>
    <n v="0"/>
    <n v="0"/>
    <n v="-1526.2717400000001"/>
    <n v="40.336680000000115"/>
    <n v="0"/>
    <n v="0"/>
    <n v="-1477.66818921675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63"/>
    <s v="Regular"/>
    <s v="Convencional"/>
    <s v="B1"/>
    <s v="Residencial"/>
    <s v="Residencial baixa renda – faixa 04"/>
    <s v="Não se aplica"/>
    <s v="Não se aplica"/>
    <s v="Não se aplica"/>
    <s v="CATIVO"/>
    <x v="3"/>
    <n v="0"/>
    <n v="0"/>
    <n v="3.6389999999999998"/>
    <n v="3.6389999999999998"/>
    <n v="3.6389999999999998"/>
    <n v="3.6389999999999998"/>
    <m/>
    <n v="640"/>
    <n v="127.85"/>
    <m/>
    <n v="2794.20615"/>
    <n v="2794.20615"/>
    <n v="2255.3066399999998"/>
    <n v="0"/>
    <n v="0"/>
    <n v="0"/>
    <n v="0"/>
    <n v="0"/>
    <n v="397.89719223971304"/>
    <n v="1812.8307620576229"/>
    <n v="465.23667476807725"/>
    <n v="0"/>
    <n v="0"/>
    <n v="0"/>
    <n v="0"/>
    <n v="0"/>
    <n v="0"/>
    <m/>
    <n v="8.33608762017285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9.89122677784829"/>
    <n v="0"/>
    <n v="26.6"/>
    <n v="123.03"/>
    <n v="1505.23"/>
    <n v="43"/>
    <m/>
    <m/>
    <m/>
    <m/>
    <m/>
    <m/>
    <m/>
    <m/>
    <m/>
    <n v="575.12790154592551"/>
    <m/>
    <m/>
    <m/>
    <m/>
    <m/>
    <m/>
    <m/>
    <m/>
    <m/>
    <m/>
    <m/>
    <m/>
    <n v="2255.9263999999998"/>
    <n v="-538.3097500000008"/>
    <m/>
    <m/>
    <m/>
    <m/>
    <n v="-553.52828999999997"/>
    <n v="14.628780000000036"/>
    <n v="31"/>
    <n v="-2.9690470003473592"/>
    <n v="0"/>
    <n v="0"/>
    <n v="0"/>
    <n v="0"/>
    <n v="0"/>
    <n v="0"/>
    <n v="0"/>
    <n v="-20.873971300387666"/>
    <n v="0"/>
    <n v="0"/>
    <n v="14.639235897673984"/>
    <n v="0"/>
    <n v="0"/>
    <n v="0"/>
    <n v="3.4578606527261684"/>
    <n v="0"/>
    <n v="0"/>
    <m/>
    <n v="0"/>
    <n v="0"/>
    <n v="0"/>
    <n v="0"/>
    <n v="0"/>
    <n v="-0.19217225035982466"/>
    <n v="0"/>
    <n v="0"/>
    <m/>
    <m/>
    <m/>
    <n v="1812.8307620576229"/>
    <n v="0"/>
    <n v="0"/>
    <n v="-553.5282900000002"/>
    <n v="14.628780000000063"/>
    <n v="0"/>
    <n v="0"/>
    <n v="-535.901389332246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64"/>
    <s v="Regular"/>
    <s v="Branca"/>
    <s v="B1"/>
    <s v="Residencial"/>
    <s v="Residencial"/>
    <s v="Não se aplica"/>
    <s v="Não se aplica"/>
    <s v="Ponta"/>
    <s v="CATIVO"/>
    <x v="3"/>
    <n v="0"/>
    <n v="0"/>
    <n v="2.4E-2"/>
    <n v="2.4E-2"/>
    <n v="2.4E-2"/>
    <n v="2.4E-2"/>
    <m/>
    <n v="1864.71"/>
    <n v="127.85"/>
    <m/>
    <n v="47.821439999999996"/>
    <n v="47.821439999999996"/>
    <n v="37.253039999999999"/>
    <n v="0"/>
    <n v="1.4658018395117618"/>
    <n v="0"/>
    <n v="0"/>
    <n v="0"/>
    <n v="7.6084638515626315"/>
    <n v="34.672448901600717"/>
    <n v="3.0683375087754481"/>
    <n v="0"/>
    <n v="0"/>
    <n v="0"/>
    <n v="0"/>
    <n v="0"/>
    <n v="0.22668713799923043"/>
    <m/>
    <n v="5.4978319011857284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72475664816387997"/>
    <n v="0"/>
    <n v="0"/>
    <n v="0"/>
    <n v="0"/>
    <n v="0"/>
    <m/>
    <m/>
    <m/>
    <m/>
    <m/>
    <m/>
    <m/>
    <m/>
    <m/>
    <n v="3.7930941569393282"/>
    <m/>
    <m/>
    <m/>
    <m/>
    <m/>
    <m/>
    <m/>
    <m/>
    <m/>
    <m/>
    <m/>
    <m/>
    <n v="31.0442"/>
    <n v="-16.80723999999999"/>
    <m/>
    <m/>
    <m/>
    <m/>
    <n v="-10.664880000000004"/>
    <n v="9.6480000000000246E-2"/>
    <n v="31"/>
    <n v="-0.31876558925296372"/>
    <n v="0"/>
    <n v="0"/>
    <n v="0"/>
    <n v="0"/>
    <n v="0"/>
    <n v="0"/>
    <n v="0"/>
    <n v="-0.39914545559767056"/>
    <n v="0"/>
    <n v="0"/>
    <n v="9.6548958929424167E-2"/>
    <n v="0"/>
    <n v="0"/>
    <n v="0"/>
    <n v="2.2805346431829632E-2"/>
    <n v="0"/>
    <n v="-3.338136971974337E-2"/>
    <m/>
    <n v="0"/>
    <n v="0"/>
    <n v="0"/>
    <n v="0"/>
    <n v="-4.3256513224610438E-3"/>
    <n v="-1.2674179743434461E-3"/>
    <n v="0"/>
    <n v="0"/>
    <m/>
    <m/>
    <m/>
    <n v="34.672448901600717"/>
    <n v="0"/>
    <n v="0"/>
    <n v="-10.664879999999997"/>
    <n v="9.6480000000000121E-2"/>
    <n v="0"/>
    <n v="0"/>
    <n v="-10.2497232101407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65"/>
    <s v="Regular"/>
    <s v="Branca"/>
    <s v="B1"/>
    <s v="Residencial"/>
    <s v="Residencial"/>
    <s v="Não se aplica"/>
    <s v="Não se aplica"/>
    <s v="Fora ponta"/>
    <s v="CATIVO"/>
    <x v="3"/>
    <n v="0"/>
    <n v="0"/>
    <n v="0.247"/>
    <n v="0.247"/>
    <n v="0.247"/>
    <n v="0.247"/>
    <m/>
    <n v="455.34"/>
    <n v="127.85"/>
    <m/>
    <n v="144.04792999999998"/>
    <n v="144.04792999999998"/>
    <n v="122.95660000000001"/>
    <n v="0"/>
    <n v="15.08554393164188"/>
    <n v="0"/>
    <n v="0"/>
    <n v="0"/>
    <n v="15.658317803200971"/>
    <n v="71.367418645111613"/>
    <n v="31.578306861147318"/>
    <n v="0"/>
    <n v="0"/>
    <n v="0"/>
    <n v="0"/>
    <n v="0"/>
    <n v="2.3329884619087462"/>
    <m/>
    <n v="0.56581853316369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4589538373532642"/>
    <n v="0"/>
    <n v="0"/>
    <n v="0"/>
    <n v="0"/>
    <n v="0"/>
    <m/>
    <m/>
    <m/>
    <m/>
    <m/>
    <m/>
    <m/>
    <m/>
    <m/>
    <n v="39.037260698500582"/>
    <m/>
    <m/>
    <m/>
    <m/>
    <m/>
    <m/>
    <m/>
    <m/>
    <m/>
    <m/>
    <m/>
    <m/>
    <n v="124.45"/>
    <n v="-19.627929999999978"/>
    <m/>
    <m/>
    <m/>
    <m/>
    <n v="-22.084269999999993"/>
    <n v="0.99294000000000249"/>
    <n v="31"/>
    <n v="5.7962395818407231E-3"/>
    <n v="0"/>
    <n v="0"/>
    <n v="0"/>
    <n v="0"/>
    <n v="0"/>
    <n v="0"/>
    <n v="0"/>
    <n v="-0.82144655154909607"/>
    <n v="0"/>
    <n v="0"/>
    <n v="0.99364970231532368"/>
    <n v="0"/>
    <n v="0"/>
    <n v="0"/>
    <n v="0.23470502369424651"/>
    <n v="0"/>
    <n v="-0.34354993003235634"/>
    <m/>
    <n v="0"/>
    <n v="0"/>
    <n v="0"/>
    <n v="0"/>
    <n v="-4.4518161526994948E-2"/>
    <n v="-1.3043843319284654E-2"/>
    <n v="0"/>
    <n v="0"/>
    <m/>
    <m/>
    <m/>
    <n v="71.367418645111613"/>
    <n v="0"/>
    <n v="0"/>
    <n v="-22.084269999999989"/>
    <n v="0.99294000000000437"/>
    <n v="0"/>
    <n v="0"/>
    <n v="-21.0973355072377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66"/>
    <s v="Regular"/>
    <s v="Branca"/>
    <s v="B1"/>
    <s v="Residencial"/>
    <s v="Residencial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98"/>
    <n v="4.5599999999999996"/>
    <n v="75.06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7"/>
    <m/>
    <m/>
    <m/>
    <m/>
    <n v="0"/>
    <m/>
    <m/>
    <m/>
    <m/>
    <n v="0"/>
    <n v="0"/>
    <n v="0"/>
    <n v="0"/>
  </r>
  <r>
    <n v="67"/>
    <s v="Regular"/>
    <s v="Branca"/>
    <s v="B1"/>
    <s v="Residencial"/>
    <s v="Residencial"/>
    <s v="Não se aplica"/>
    <s v="Não se aplica"/>
    <s v="Intermediário"/>
    <s v="CATIVO"/>
    <x v="3"/>
    <n v="0"/>
    <n v="0"/>
    <n v="1.7999999999999999E-2"/>
    <n v="1.7999999999999999E-2"/>
    <n v="1.7999999999999999E-2"/>
    <n v="1.7999999999999999E-2"/>
    <m/>
    <n v="1160"/>
    <n v="127.85"/>
    <m/>
    <n v="23.1813"/>
    <n v="23.1813"/>
    <n v="18.449639999999999"/>
    <n v="0"/>
    <n v="1.0993513796338212"/>
    <n v="0"/>
    <n v="0"/>
    <n v="0"/>
    <n v="3.4232778068925778"/>
    <n v="15.6025995897841"/>
    <n v="2.3012531315815856"/>
    <n v="0"/>
    <n v="0"/>
    <n v="0"/>
    <n v="0"/>
    <n v="0"/>
    <n v="0.17001535349942279"/>
    <m/>
    <n v="4.1233739258892961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54356748612290995"/>
    <n v="0"/>
    <n v="0"/>
    <n v="0"/>
    <n v="0"/>
    <n v="0"/>
    <m/>
    <m/>
    <m/>
    <m/>
    <m/>
    <m/>
    <m/>
    <m/>
    <m/>
    <n v="2.8448206177044955"/>
    <m/>
    <m/>
    <m/>
    <m/>
    <m/>
    <m/>
    <m/>
    <m/>
    <m/>
    <m/>
    <m/>
    <m/>
    <n v="20.499600000000001"/>
    <n v="-2.711700000000004"/>
    <m/>
    <m/>
    <m/>
    <m/>
    <n v="-4.8040199999999995"/>
    <n v="7.2360000000000174E-2"/>
    <n v="31"/>
    <n v="-0.11930270248643193"/>
    <n v="0"/>
    <n v="0"/>
    <n v="0"/>
    <n v="0"/>
    <n v="0"/>
    <n v="0"/>
    <n v="0"/>
    <n v="-0.17958760224496206"/>
    <n v="0"/>
    <n v="0"/>
    <n v="7.2411719197068347E-2"/>
    <n v="0"/>
    <n v="0"/>
    <n v="0"/>
    <n v="1.7104009823872168E-2"/>
    <n v="0"/>
    <n v="-2.5036027289807361E-2"/>
    <m/>
    <n v="0"/>
    <n v="0"/>
    <n v="0"/>
    <n v="0"/>
    <n v="-3.244238491845769E-3"/>
    <n v="-9.5056348075758801E-4"/>
    <n v="0"/>
    <n v="0"/>
    <m/>
    <m/>
    <m/>
    <n v="15.6025995897841"/>
    <n v="0"/>
    <n v="0"/>
    <n v="-4.8040200000000013"/>
    <n v="7.2360000000000202E-2"/>
    <n v="0"/>
    <n v="0"/>
    <n v="-4.61237473037446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68"/>
    <s v="Regular"/>
    <s v="Verde"/>
    <s v="A4"/>
    <s v="Industrial"/>
    <s v="Não se aplica"/>
    <s v="Não se aplica"/>
    <s v="Não se aplica"/>
    <s v="Ponta"/>
    <s v="CATIVO"/>
    <x v="3"/>
    <n v="0"/>
    <n v="0"/>
    <n v="1.06"/>
    <n v="1.06"/>
    <n v="1.06"/>
    <n v="1.06"/>
    <m/>
    <n v="2075.9499999999998"/>
    <n v="127.85"/>
    <m/>
    <n v="2336.0280000000002"/>
    <n v="2336.0280000000002"/>
    <n v="1872.3946000000001"/>
    <n v="0"/>
    <n v="56.323435683239488"/>
    <n v="0"/>
    <n v="0"/>
    <n v="0"/>
    <n v="667.8094524788761"/>
    <n v="1459.7935804507745"/>
    <n v="135.51823997091563"/>
    <n v="0"/>
    <n v="0"/>
    <n v="0"/>
    <n v="0"/>
    <n v="0"/>
    <n v="10.012015261632678"/>
    <m/>
    <n v="1.06466835883003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5030774244529299"/>
    <n v="0"/>
    <n v="0"/>
    <n v="0"/>
    <n v="0"/>
    <n v="0"/>
    <m/>
    <m/>
    <m/>
    <m/>
    <m/>
    <m/>
    <m/>
    <m/>
    <m/>
    <n v="141.02131739536856"/>
    <m/>
    <m/>
    <m/>
    <m/>
    <m/>
    <m/>
    <m/>
    <m/>
    <m/>
    <m/>
    <m/>
    <m/>
    <n v="1872.3946000000001"/>
    <n v="-463.66340000000082"/>
    <m/>
    <m/>
    <m/>
    <m/>
    <n v="-467.89459999999985"/>
    <n v="4.2612000000000112"/>
    <n v="31"/>
    <n v="-32.09462742450421"/>
    <n v="0"/>
    <n v="0"/>
    <n v="0"/>
    <n v="0"/>
    <n v="0"/>
    <n v="0"/>
    <n v="0"/>
    <n v="-35.033761526957392"/>
    <n v="0"/>
    <n v="0"/>
    <n v="4.264245686049577"/>
    <n v="0"/>
    <n v="0"/>
    <n v="0"/>
    <n v="0.17316100159104497"/>
    <n v="0"/>
    <n v="-1.2826791314812525"/>
    <m/>
    <n v="0"/>
    <n v="0"/>
    <n v="0"/>
    <n v="0"/>
    <n v="-0.1910496000753632"/>
    <n v="-2.4543853630827561E-2"/>
    <n v="0"/>
    <n v="0"/>
    <m/>
    <m/>
    <m/>
    <n v="1459.7935804507745"/>
    <n v="0"/>
    <n v="0"/>
    <n v="-467.89460000000008"/>
    <n v="4.2612000000000307"/>
    <n v="0"/>
    <n v="0"/>
    <n v="-431.53802565327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69"/>
    <s v="Regular"/>
    <s v="Verde"/>
    <s v="A4"/>
    <s v="Industrial"/>
    <s v="Não se aplica"/>
    <s v="Não se aplica"/>
    <s v="Não se aplica"/>
    <s v="Fora ponta"/>
    <s v="CATIVO"/>
    <x v="3"/>
    <n v="0"/>
    <n v="0"/>
    <n v="11.662000000000001"/>
    <n v="11.662000000000001"/>
    <n v="11.662000000000001"/>
    <n v="11.662000000000001"/>
    <m/>
    <n v="68.78"/>
    <n v="127.85"/>
    <m/>
    <n v="2293.09906"/>
    <n v="2293.09906"/>
    <n v="2325.4028000000003"/>
    <n v="0"/>
    <n v="619.66406314899893"/>
    <n v="0"/>
    <n v="0"/>
    <n v="0"/>
    <n v="0"/>
    <n v="0"/>
    <n v="1490.9563344724697"/>
    <n v="0"/>
    <n v="0"/>
    <n v="0"/>
    <n v="0"/>
    <n v="0"/>
    <n v="110.15105847279273"/>
    <m/>
    <n v="11.7133607553546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60.544234833934027"/>
    <n v="0"/>
    <n v="0"/>
    <n v="0"/>
    <n v="0"/>
    <n v="0"/>
    <m/>
    <m/>
    <m/>
    <m/>
    <m/>
    <m/>
    <m/>
    <m/>
    <m/>
    <n v="1551.5005693064038"/>
    <m/>
    <m/>
    <m/>
    <m/>
    <m/>
    <m/>
    <m/>
    <m/>
    <m/>
    <m/>
    <m/>
    <m/>
    <n v="2325.0039999999999"/>
    <n v="31.874939999999697"/>
    <m/>
    <m/>
    <m/>
    <m/>
    <n v="-14.577500000000001"/>
    <n v="46.881240000000119"/>
    <n v="31"/>
    <n v="32.336020663027739"/>
    <n v="0"/>
    <n v="0"/>
    <n v="0"/>
    <n v="0"/>
    <n v="0"/>
    <n v="0"/>
    <n v="0"/>
    <n v="0"/>
    <n v="0"/>
    <n v="0"/>
    <n v="46.914748293123012"/>
    <n v="0"/>
    <n v="0"/>
    <n v="0"/>
    <n v="1.9050977363724186"/>
    <n v="0"/>
    <n v="-14.111890595598425"/>
    <m/>
    <n v="0"/>
    <n v="0"/>
    <n v="0"/>
    <n v="0"/>
    <n v="-2.1019060717725324"/>
    <n v="-0.27002869909689586"/>
    <n v="0"/>
    <n v="0"/>
    <m/>
    <m/>
    <m/>
    <n v="0"/>
    <n v="0"/>
    <n v="0"/>
    <n v="-14.577499999999986"/>
    <n v="46.8812400000001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70"/>
    <s v="Regular"/>
    <s v="Verde"/>
    <s v="A4"/>
    <s v="Industrial"/>
    <s v="Não se aplica"/>
    <s v="Não se aplica"/>
    <s v="Não se aplica"/>
    <s v="Não se aplica"/>
    <s v="CATIVO"/>
    <x v="3"/>
    <n v="101"/>
    <n v="101"/>
    <n v="0"/>
    <n v="0"/>
    <n v="0"/>
    <n v="0"/>
    <n v="39.56"/>
    <m/>
    <m/>
    <n v="3995.5600000000004"/>
    <m/>
    <n v="3995.5600000000004"/>
    <n v="3137.06"/>
    <n v="0"/>
    <n v="0"/>
    <n v="0"/>
    <n v="0"/>
    <n v="0"/>
    <n v="1330.1984618123017"/>
    <n v="2664.878141148145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41.11"/>
    <n v="189.74"/>
    <n v="2057.31"/>
    <n v="1"/>
    <m/>
    <m/>
    <m/>
    <m/>
    <m/>
    <m/>
    <m/>
    <m/>
    <m/>
    <n v="0"/>
    <m/>
    <m/>
    <m/>
    <m/>
    <m/>
    <m/>
    <m/>
    <m/>
    <m/>
    <m/>
    <m/>
    <m/>
    <n v="3137.06"/>
    <n v="-858.53000000000111"/>
    <m/>
    <m/>
    <m/>
    <m/>
    <n v="-858.50000000000034"/>
    <n v="0"/>
    <n v="31"/>
    <n v="-69.783162729532478"/>
    <n v="0"/>
    <n v="0"/>
    <n v="0"/>
    <n v="0"/>
    <m/>
    <m/>
    <m/>
    <n v="-69.783162729532478"/>
    <n v="0"/>
    <n v="0"/>
    <m/>
    <m/>
    <n v="0"/>
    <n v="0"/>
    <n v="0"/>
    <n v="0"/>
    <n v="0"/>
    <m/>
    <n v="0"/>
    <n v="0"/>
    <m/>
    <n v="0"/>
    <n v="0"/>
    <n v="0"/>
    <n v="0"/>
    <n v="0"/>
    <m/>
    <m/>
    <n v="2664.8781411481455"/>
    <m/>
    <n v="0"/>
    <n v="0"/>
    <n v="-858.50000000000045"/>
    <m/>
    <n v="0"/>
    <m/>
    <n v="-787.78004441047551"/>
    <m/>
    <n v="0"/>
    <n v="0"/>
    <m/>
    <n v="0"/>
    <n v="0"/>
    <n v="0"/>
    <n v="0"/>
    <n v="0"/>
    <m/>
    <m/>
    <n v="0"/>
    <n v="0"/>
    <m/>
    <n v="0"/>
    <m/>
    <n v="0"/>
    <m/>
    <n v="207"/>
    <m/>
    <m/>
    <m/>
    <m/>
    <n v="0"/>
    <m/>
    <m/>
    <m/>
    <m/>
    <n v="0"/>
    <n v="0"/>
    <n v="0"/>
    <n v="0"/>
  </r>
  <r>
    <n v="71"/>
    <s v="Regular"/>
    <s v="Convencional"/>
    <s v="B3"/>
    <s v="Comercial"/>
    <s v="Não se aplica"/>
    <s v="Não se aplica"/>
    <s v="Não se aplica"/>
    <s v="Não se aplica"/>
    <s v="CATIVO"/>
    <x v="3"/>
    <n v="0"/>
    <n v="0"/>
    <n v="128.13"/>
    <n v="128.13"/>
    <n v="128.13"/>
    <n v="128.13"/>
    <m/>
    <n v="710.52"/>
    <n v="127.85"/>
    <m/>
    <n v="107420.34809999999"/>
    <n v="107420.34809999999"/>
    <n v="88244.412299999996"/>
    <n v="0"/>
    <n v="7825.5495706934171"/>
    <n v="0"/>
    <n v="0"/>
    <n v="0"/>
    <n v="14010.048706148511"/>
    <n v="63830.174647552412"/>
    <n v="16381.086874974922"/>
    <n v="0"/>
    <n v="0"/>
    <n v="0"/>
    <n v="0"/>
    <n v="0"/>
    <n v="1210.2259579933914"/>
    <m/>
    <n v="293.515500624553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869.294555384914"/>
    <n v="0"/>
    <n v="582"/>
    <n v="2688.17"/>
    <n v="24081.75"/>
    <n v="88"/>
    <m/>
    <m/>
    <m/>
    <m/>
    <m/>
    <m/>
    <m/>
    <m/>
    <m/>
    <n v="20250.381430359837"/>
    <m/>
    <m/>
    <m/>
    <m/>
    <m/>
    <m/>
    <m/>
    <m/>
    <m/>
    <m/>
    <m/>
    <m/>
    <n v="88244.412299999996"/>
    <n v="-19175.965799999976"/>
    <m/>
    <m/>
    <m/>
    <m/>
    <n v="-19691.018399999994"/>
    <n v="515.08260000000132"/>
    <n v="31"/>
    <n v="-305.84916434738261"/>
    <n v="0"/>
    <n v="0"/>
    <n v="0"/>
    <n v="0"/>
    <n v="0"/>
    <n v="0"/>
    <n v="0"/>
    <n v="-734.97717579518394"/>
    <n v="0"/>
    <n v="0"/>
    <n v="515.45075448446551"/>
    <n v="0"/>
    <n v="0"/>
    <n v="0"/>
    <n v="121.75204326293033"/>
    <n v="0"/>
    <n v="-178.21478759127876"/>
    <m/>
    <n v="0"/>
    <n v="0"/>
    <n v="0"/>
    <n v="0"/>
    <n v="-23.093570997788902"/>
    <n v="-6.7664277105261021"/>
    <n v="0"/>
    <n v="0"/>
    <m/>
    <m/>
    <m/>
    <n v="63830.174647552412"/>
    <n v="0"/>
    <n v="0"/>
    <n v="-19691.018400000001"/>
    <n v="515.08260000000337"/>
    <n v="0"/>
    <n v="0"/>
    <n v="-18869.2072039408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72"/>
    <s v="Regular"/>
    <s v="Verde"/>
    <s v="A4"/>
    <s v="Comercial"/>
    <s v="Não se aplica"/>
    <s v="Não se aplica"/>
    <s v="Não se aplica"/>
    <s v="Ponta"/>
    <s v="CATIVO"/>
    <x v="3"/>
    <n v="0"/>
    <n v="0"/>
    <n v="0.67"/>
    <n v="0.67"/>
    <n v="0.67"/>
    <n v="0.67"/>
    <m/>
    <n v="2075.9499999999998"/>
    <n v="127.85"/>
    <m/>
    <n v="1476.546"/>
    <n v="1476.546"/>
    <n v="1183.4947000000002"/>
    <n v="0"/>
    <n v="35.600662177141942"/>
    <n v="0"/>
    <n v="0"/>
    <n v="0"/>
    <n v="422.10597468004437"/>
    <n v="922.69971594530091"/>
    <n v="85.657755453314593"/>
    <n v="0"/>
    <n v="0"/>
    <n v="0"/>
    <n v="0"/>
    <n v="0"/>
    <n v="6.3283492691451828"/>
    <m/>
    <n v="0.672950755109552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4783602588523235"/>
    <n v="0"/>
    <n v="0"/>
    <n v="0"/>
    <n v="0"/>
    <n v="0"/>
    <m/>
    <m/>
    <m/>
    <m/>
    <m/>
    <m/>
    <m/>
    <m/>
    <m/>
    <n v="89.136115712166912"/>
    <m/>
    <m/>
    <m/>
    <m/>
    <m/>
    <m/>
    <m/>
    <m/>
    <m/>
    <m/>
    <m/>
    <m/>
    <n v="1183.4947000000002"/>
    <n v="-293.08129999999983"/>
    <m/>
    <m/>
    <m/>
    <m/>
    <n v="-295.74469999999991"/>
    <n v="2.6934000000000071"/>
    <n v="31"/>
    <n v="-20.286226768318784"/>
    <n v="0"/>
    <n v="0"/>
    <n v="0"/>
    <n v="0"/>
    <n v="0"/>
    <n v="0"/>
    <n v="0"/>
    <n v="-22.14398134251087"/>
    <n v="0"/>
    <n v="0"/>
    <n v="2.6953251034464358"/>
    <n v="0"/>
    <n v="0"/>
    <n v="0"/>
    <n v="0.10945082176037779"/>
    <n v="0"/>
    <n v="-0.8107500170683366"/>
    <m/>
    <n v="0"/>
    <n v="0"/>
    <n v="0"/>
    <n v="0"/>
    <n v="-0.12075776608537048"/>
    <n v="-1.5513567860994781E-2"/>
    <n v="0"/>
    <n v="0"/>
    <m/>
    <m/>
    <m/>
    <n v="922.69971594530091"/>
    <n v="0"/>
    <n v="0"/>
    <n v="-295.74469999999997"/>
    <n v="2.6934000000000111"/>
    <n v="0"/>
    <n v="0"/>
    <n v="-272.764601120463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73"/>
    <s v="Regular"/>
    <s v="Verde"/>
    <s v="A4"/>
    <s v="Comercial"/>
    <s v="Não se aplica"/>
    <s v="Não se aplica"/>
    <s v="Não se aplica"/>
    <s v="Fora ponta"/>
    <s v="CATIVO"/>
    <x v="3"/>
    <n v="0"/>
    <n v="0"/>
    <n v="15.336"/>
    <n v="15.336"/>
    <n v="15.336"/>
    <n v="15.336"/>
    <m/>
    <n v="68.78"/>
    <n v="127.85"/>
    <m/>
    <n v="3015.5176799999999"/>
    <n v="3015.5176799999999"/>
    <n v="3057.9984000000004"/>
    <n v="0"/>
    <n v="814.88321663977433"/>
    <n v="0"/>
    <n v="0"/>
    <n v="0"/>
    <n v="0"/>
    <n v="0"/>
    <n v="1960.6676681075112"/>
    <n v="0"/>
    <n v="0"/>
    <n v="0"/>
    <n v="0"/>
    <n v="0"/>
    <n v="144.85308118150823"/>
    <m/>
    <n v="15.4035414632240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79.618108850386918"/>
    <n v="0"/>
    <n v="0"/>
    <n v="0"/>
    <n v="0"/>
    <n v="0"/>
    <m/>
    <m/>
    <m/>
    <m/>
    <m/>
    <m/>
    <m/>
    <m/>
    <m/>
    <n v="2040.2857769578982"/>
    <m/>
    <m/>
    <m/>
    <m/>
    <m/>
    <m/>
    <m/>
    <m/>
    <m/>
    <m/>
    <m/>
    <m/>
    <n v="3058.7960000000003"/>
    <n v="43.248320000000149"/>
    <m/>
    <m/>
    <m/>
    <m/>
    <n v="-19.170000000000002"/>
    <n v="61.650720000000156"/>
    <n v="31"/>
    <n v="42.523170372851382"/>
    <n v="0"/>
    <n v="0"/>
    <n v="0"/>
    <n v="0"/>
    <n v="0"/>
    <n v="0"/>
    <n v="0"/>
    <n v="0"/>
    <n v="0"/>
    <n v="0"/>
    <n v="61.694784755902219"/>
    <n v="0"/>
    <n v="0"/>
    <n v="0"/>
    <n v="2.5052803022643957"/>
    <n v="0"/>
    <n v="-18.557704868298515"/>
    <m/>
    <n v="0"/>
    <n v="0"/>
    <n v="0"/>
    <n v="0"/>
    <n v="-2.7640911950526004"/>
    <n v="-0.35509862196450115"/>
    <n v="0"/>
    <n v="0"/>
    <m/>
    <m/>
    <m/>
    <n v="0"/>
    <n v="0"/>
    <n v="0"/>
    <n v="-19.169999999999845"/>
    <n v="61.6507200000000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74"/>
    <s v="Regular"/>
    <s v="Verde"/>
    <s v="A4"/>
    <s v="Comercial"/>
    <s v="Não se aplica"/>
    <s v="Não se aplica"/>
    <s v="Não se aplica"/>
    <s v="Não se aplica"/>
    <s v="CATIVO"/>
    <x v="3"/>
    <n v="280"/>
    <n v="280"/>
    <n v="0"/>
    <n v="0"/>
    <n v="0"/>
    <n v="0"/>
    <n v="39.56"/>
    <m/>
    <m/>
    <n v="11076.800000000001"/>
    <m/>
    <n v="11076.800000000001"/>
    <n v="8696.7999999999993"/>
    <n v="0"/>
    <n v="0"/>
    <n v="0"/>
    <n v="0"/>
    <n v="0"/>
    <n v="3687.6789040341037"/>
    <n v="7387.780985361196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02.61"/>
    <n v="473.62"/>
    <n v="3062.16"/>
    <n v="2"/>
    <m/>
    <m/>
    <m/>
    <m/>
    <m/>
    <m/>
    <m/>
    <m/>
    <m/>
    <n v="0"/>
    <m/>
    <m/>
    <m/>
    <m/>
    <m/>
    <m/>
    <m/>
    <m/>
    <m/>
    <m/>
    <m/>
    <m/>
    <n v="8696.7999999999993"/>
    <n v="-2380.0300000000025"/>
    <m/>
    <m/>
    <m/>
    <m/>
    <n v="-2380.0000000000009"/>
    <n v="0"/>
    <n v="31"/>
    <n v="-193.45827291355545"/>
    <n v="0"/>
    <n v="0"/>
    <n v="0"/>
    <n v="0"/>
    <m/>
    <m/>
    <m/>
    <n v="-193.45827291355545"/>
    <n v="0"/>
    <n v="0"/>
    <m/>
    <m/>
    <n v="0"/>
    <n v="0"/>
    <n v="0"/>
    <n v="0"/>
    <n v="0"/>
    <m/>
    <n v="0"/>
    <n v="0"/>
    <m/>
    <n v="0"/>
    <n v="0"/>
    <n v="0"/>
    <n v="0"/>
    <n v="0"/>
    <m/>
    <m/>
    <n v="7387.7809853611961"/>
    <m/>
    <n v="0"/>
    <n v="0"/>
    <n v="-2380.0000000000018"/>
    <m/>
    <n v="0"/>
    <m/>
    <n v="-2183.944677573596"/>
    <m/>
    <n v="0"/>
    <n v="0"/>
    <m/>
    <n v="0"/>
    <n v="0"/>
    <n v="0"/>
    <n v="0"/>
    <n v="0"/>
    <m/>
    <m/>
    <n v="0"/>
    <n v="0"/>
    <m/>
    <n v="0"/>
    <m/>
    <n v="0"/>
    <m/>
    <n v="207"/>
    <m/>
    <m/>
    <m/>
    <m/>
    <n v="0"/>
    <m/>
    <m/>
    <m/>
    <m/>
    <n v="0"/>
    <n v="0"/>
    <n v="0"/>
    <n v="0"/>
  </r>
  <r>
    <n v="75"/>
    <s v="Regular"/>
    <s v="Convencional"/>
    <s v="B2"/>
    <s v="Rural"/>
    <s v="Não se aplica"/>
    <s v="Não se aplica"/>
    <s v="Não se aplica"/>
    <s v="Não se aplica"/>
    <s v="CATIVO"/>
    <x v="3"/>
    <n v="0"/>
    <n v="0"/>
    <n v="56.595999999999997"/>
    <n v="56.595999999999997"/>
    <n v="56.595999999999997"/>
    <n v="56.595999999999997"/>
    <m/>
    <n v="710.52"/>
    <n v="127.85"/>
    <m/>
    <n v="47448.38852"/>
    <n v="47448.38852"/>
    <n v="38978.231159999996"/>
    <n v="0"/>
    <n v="3456.6050378753189"/>
    <n v="0"/>
    <n v="0"/>
    <n v="0"/>
    <n v="6188.3455597688371"/>
    <n v="28194.275847599129"/>
    <n v="7235.6512352773016"/>
    <n v="0"/>
    <n v="0"/>
    <n v="0"/>
    <n v="0"/>
    <n v="0"/>
    <n v="534.56605259185187"/>
    <m/>
    <n v="129.64803928312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09.0969691451228"/>
    <n v="0"/>
    <n v="223.89"/>
    <n v="1034.3699999999999"/>
    <n v="0"/>
    <n v="42"/>
    <m/>
    <m/>
    <m/>
    <m/>
    <m/>
    <n v="4677.0934400000024"/>
    <m/>
    <m/>
    <m/>
    <n v="8944.7482044224234"/>
    <m/>
    <m/>
    <m/>
    <m/>
    <m/>
    <m/>
    <m/>
    <m/>
    <m/>
    <m/>
    <m/>
    <m/>
    <n v="34303.562000000005"/>
    <n v="-7451.2989200000011"/>
    <m/>
    <m/>
    <m/>
    <m/>
    <n v="-8697.6732799999972"/>
    <n v="227.51592000000056"/>
    <n v="31"/>
    <n v="-135.09591278705193"/>
    <n v="0"/>
    <n v="0"/>
    <n v="0"/>
    <n v="0"/>
    <n v="0"/>
    <n v="0"/>
    <n v="0"/>
    <n v="-324.64503427225645"/>
    <n v="0"/>
    <n v="0"/>
    <n v="227.67853664873746"/>
    <n v="0"/>
    <n v="0"/>
    <n v="0"/>
    <n v="53.778807777326165"/>
    <n v="0"/>
    <n v="-78.71883336077417"/>
    <m/>
    <n v="0"/>
    <n v="0"/>
    <n v="0"/>
    <n v="0"/>
    <n v="-10.200606760250253"/>
    <n v="-2.9887828198309023"/>
    <n v="0"/>
    <n v="0"/>
    <m/>
    <m/>
    <m/>
    <n v="28194.275847599129"/>
    <n v="0"/>
    <n v="0"/>
    <n v="-8697.6732799999991"/>
    <n v="227.51592000000073"/>
    <n v="0"/>
    <n v="0"/>
    <n v="-8334.67299550641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76"/>
    <s v="Regular"/>
    <s v="Convencional"/>
    <s v="B3"/>
    <s v="Poder público"/>
    <s v="Não se aplica"/>
    <s v="Não se aplica"/>
    <s v="Não se aplica"/>
    <s v="Não se aplica"/>
    <s v="CATIVO"/>
    <x v="3"/>
    <n v="0"/>
    <n v="0"/>
    <n v="7.13"/>
    <n v="7.13"/>
    <n v="7.13"/>
    <n v="7.13"/>
    <m/>
    <n v="710.52"/>
    <n v="127.85"/>
    <m/>
    <n v="5977.5780999999997"/>
    <n v="5977.5780999999997"/>
    <n v="4910.5023000000001"/>
    <n v="0"/>
    <n v="435.46529648828584"/>
    <n v="0"/>
    <n v="0"/>
    <n v="0"/>
    <n v="779.61170120064696"/>
    <n v="3551.9327654495332"/>
    <n v="911.55193489870601"/>
    <n v="0"/>
    <n v="0"/>
    <n v="0"/>
    <n v="0"/>
    <n v="0"/>
    <n v="67.344970580604695"/>
    <m/>
    <n v="16.3331422731059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5.31312089201933"/>
    <n v="0"/>
    <n v="26.55"/>
    <n v="122.93"/>
    <n v="1332.84"/>
    <n v="18"/>
    <m/>
    <m/>
    <m/>
    <m/>
    <m/>
    <m/>
    <m/>
    <m/>
    <m/>
    <n v="1126.8650557907254"/>
    <m/>
    <m/>
    <m/>
    <m/>
    <m/>
    <m/>
    <m/>
    <m/>
    <m/>
    <m/>
    <m/>
    <m/>
    <n v="4910.5023000000001"/>
    <n v="-1067.1058000000003"/>
    <m/>
    <m/>
    <m/>
    <m/>
    <n v="-1095.7383999999997"/>
    <n v="28.662600000000072"/>
    <n v="31"/>
    <n v="-17.019468834752843"/>
    <n v="0"/>
    <n v="0"/>
    <n v="0"/>
    <n v="0"/>
    <n v="0"/>
    <n v="0"/>
    <n v="0"/>
    <n v="-40.89898746132576"/>
    <n v="0"/>
    <n v="0"/>
    <n v="28.683086548616416"/>
    <n v="0"/>
    <n v="0"/>
    <n v="0"/>
    <n v="6.7750883357894054"/>
    <n v="0"/>
    <n v="-9.9170485875736745"/>
    <m/>
    <n v="0"/>
    <n v="0"/>
    <n v="0"/>
    <n v="0"/>
    <n v="-1.2850789137144574"/>
    <n v="-0.37652875654453233"/>
    <n v="0"/>
    <n v="0"/>
    <m/>
    <m/>
    <m/>
    <n v="3551.9327654495332"/>
    <n v="0"/>
    <n v="0"/>
    <n v="-1095.7383999999997"/>
    <n v="28.662600000000111"/>
    <n v="0"/>
    <n v="0"/>
    <n v="-1050.00739377271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77"/>
    <s v="Regular"/>
    <s v="Convencional"/>
    <s v="B4"/>
    <s v="Iluminação pública"/>
    <s v="Iluminação pública – B4a"/>
    <s v="Não se aplica"/>
    <s v="Não se aplica"/>
    <s v="Não se aplica"/>
    <s v="CATIVO"/>
    <x v="3"/>
    <n v="0"/>
    <n v="0"/>
    <n v="40.631"/>
    <n v="40.631"/>
    <n v="40.631"/>
    <n v="40.631"/>
    <m/>
    <n v="390.79"/>
    <n v="70.319999999999993"/>
    <m/>
    <n v="18735.360410000001"/>
    <n v="18735.360410000001"/>
    <n v="15390.61649"/>
    <n v="0"/>
    <n v="1364.8477915692226"/>
    <n v="0"/>
    <n v="0"/>
    <n v="0"/>
    <n v="2443.4812997637991"/>
    <n v="11132.569299598734"/>
    <n v="2857.0121552283508"/>
    <n v="0"/>
    <n v="0"/>
    <n v="0"/>
    <n v="0"/>
    <n v="0"/>
    <n v="211.07453363440422"/>
    <m/>
    <n v="51.1918018280803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674.84054393127849"/>
    <n v="0"/>
    <n v="95"/>
    <n v="439.21"/>
    <n v="4761.8500000000004"/>
    <n v="36"/>
    <m/>
    <m/>
    <m/>
    <m/>
    <m/>
    <m/>
    <m/>
    <m/>
    <m/>
    <n v="3531.8526991596291"/>
    <m/>
    <m/>
    <m/>
    <m/>
    <m/>
    <m/>
    <m/>
    <m/>
    <m/>
    <m/>
    <m/>
    <m/>
    <n v="15390.237700000001"/>
    <n v="-3345.1527099999985"/>
    <m/>
    <m/>
    <m/>
    <m/>
    <n v="-3434.5384300000014"/>
    <n v="89.794510000000329"/>
    <n v="31"/>
    <n v="-53.342906174433665"/>
    <n v="0"/>
    <n v="0"/>
    <n v="0"/>
    <n v="0"/>
    <n v="0"/>
    <n v="0"/>
    <n v="0"/>
    <n v="-128.18677668269538"/>
    <n v="0"/>
    <n v="0"/>
    <n v="89.899350526824492"/>
    <n v="0"/>
    <n v="0"/>
    <n v="0"/>
    <n v="21.234675707471865"/>
    <n v="0"/>
    <n v="-31.082297424819672"/>
    <m/>
    <n v="0"/>
    <n v="0"/>
    <n v="0"/>
    <n v="0"/>
    <n v="-4.0277310994002846"/>
    <n v="-1.1801272018146278"/>
    <n v="0"/>
    <n v="0"/>
    <m/>
    <m/>
    <m/>
    <n v="11132.569299598734"/>
    <n v="0"/>
    <n v="0"/>
    <n v="-3434.5384300000005"/>
    <n v="89.794510000000173"/>
    <n v="0"/>
    <n v="0"/>
    <n v="-3290.96321584975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78"/>
    <s v="Regular"/>
    <s v="Convencional"/>
    <s v="B3"/>
    <s v="Serviço público"/>
    <s v="Água, esgoto e saneamento"/>
    <s v="Não se aplica"/>
    <s v="Não se aplica"/>
    <s v="Não se aplica"/>
    <s v="CATIVO"/>
    <x v="3"/>
    <n v="0"/>
    <n v="0"/>
    <n v="7.25"/>
    <n v="6.8150000000000004"/>
    <n v="7.25"/>
    <n v="6.8150000000000004"/>
    <m/>
    <n v="710.52"/>
    <n v="127.85"/>
    <m/>
    <n v="6078.182499999999"/>
    <n v="6078.182499999999"/>
    <n v="4993.1475"/>
    <n v="0"/>
    <n v="442.79430568584468"/>
    <n v="0"/>
    <n v="0"/>
    <n v="0"/>
    <n v="792.73279575100844"/>
    <n v="3611.7128400433544"/>
    <n v="926.89362244258325"/>
    <n v="0"/>
    <n v="0"/>
    <n v="0"/>
    <n v="0"/>
    <n v="0"/>
    <n v="68.478406270600857"/>
    <m/>
    <n v="16.6080338681652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8.93690413283875"/>
    <n v="0"/>
    <n v="40.630000000000003"/>
    <n v="187.52"/>
    <n v="1306.3599999999999"/>
    <n v="1"/>
    <m/>
    <m/>
    <m/>
    <m/>
    <n v="299.58884999999975"/>
    <m/>
    <m/>
    <m/>
    <m/>
    <n v="1145.830526575422"/>
    <m/>
    <m/>
    <m/>
    <m/>
    <m/>
    <m/>
    <m/>
    <m/>
    <m/>
    <m/>
    <m/>
    <m/>
    <n v="4697.0022000000008"/>
    <n v="-1016.5193499999996"/>
    <m/>
    <m/>
    <m/>
    <m/>
    <n v="-1114.1799999999996"/>
    <n v="29.145000000000074"/>
    <n v="31"/>
    <n v="-17.30591150798864"/>
    <n v="0"/>
    <n v="0"/>
    <n v="0"/>
    <n v="0"/>
    <n v="0"/>
    <n v="0"/>
    <n v="0"/>
    <n v="-41.587329466284928"/>
    <n v="0"/>
    <n v="0"/>
    <n v="29.165831343263562"/>
    <n v="0"/>
    <n v="0"/>
    <n v="0"/>
    <n v="6.8891150679485236"/>
    <n v="0"/>
    <n v="-10.083955436172403"/>
    <m/>
    <n v="0"/>
    <n v="0"/>
    <n v="0"/>
    <n v="0"/>
    <n v="-1.3067071703267743"/>
    <n v="-0.38286584641625154"/>
    <n v="0"/>
    <n v="0"/>
    <m/>
    <m/>
    <m/>
    <n v="3611.7128400433544"/>
    <n v="0"/>
    <n v="0"/>
    <n v="-1114.1799999999994"/>
    <n v="29.145000000000095"/>
    <n v="0"/>
    <n v="0"/>
    <n v="-1067.6793274687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79"/>
    <s v="Regular"/>
    <s v="Convencional"/>
    <s v="B1"/>
    <s v="Residencial"/>
    <s v="Residencial"/>
    <s v="Não se aplica"/>
    <s v="Não se aplica"/>
    <s v="Não se aplica"/>
    <s v="CATIVO"/>
    <x v="4"/>
    <n v="0"/>
    <n v="0"/>
    <n v="1000.038"/>
    <n v="1000.038"/>
    <n v="1000.038"/>
    <n v="1000.038"/>
    <m/>
    <n v="710.52"/>
    <n v="127.85"/>
    <m/>
    <n v="838401.85806"/>
    <n v="838401.85806"/>
    <n v="688736.17098000005"/>
    <n v="0"/>
    <n v="61077.397499235965"/>
    <n v="0"/>
    <n v="0"/>
    <n v="0"/>
    <n v="109346.60959962028"/>
    <n v="498186.21863879671"/>
    <n v="127852.25440003256"/>
    <n v="0"/>
    <n v="0"/>
    <n v="0"/>
    <n v="0"/>
    <n v="0"/>
    <n v="9445.6563379364325"/>
    <m/>
    <n v="2290.85034116582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199.341204854591"/>
    <n v="0"/>
    <n v="4572.8"/>
    <n v="21242.14"/>
    <n v="200049.12"/>
    <n v="6064"/>
    <m/>
    <m/>
    <m/>
    <m/>
    <m/>
    <m/>
    <m/>
    <m/>
    <m/>
    <n v="158051.59560488714"/>
    <m/>
    <m/>
    <m/>
    <m/>
    <m/>
    <m/>
    <m/>
    <m/>
    <m/>
    <m/>
    <m/>
    <m/>
    <n v="688737.54839999997"/>
    <n v="-149664.33966000006"/>
    <m/>
    <m/>
    <m/>
    <m/>
    <n v="-153685.83983999994"/>
    <n v="4020.1527600000104"/>
    <n v="30"/>
    <n v="-2387.1129838104825"/>
    <n v="0"/>
    <n v="0"/>
    <n v="0"/>
    <n v="0"/>
    <n v="0"/>
    <n v="0"/>
    <n v="0"/>
    <n v="-5736.4013496282278"/>
    <n v="0"/>
    <n v="0"/>
    <n v="4023.0261579109792"/>
    <n v="0"/>
    <n v="0"/>
    <n v="0"/>
    <n v="950.25887645808689"/>
    <n v="0"/>
    <n v="-1390.9432588246927"/>
    <m/>
    <n v="0"/>
    <n v="0"/>
    <n v="0"/>
    <n v="0"/>
    <n v="-180.24232071713777"/>
    <n v="-52.811089009436273"/>
    <n v="0"/>
    <n v="0"/>
    <m/>
    <m/>
    <m/>
    <n v="498186.21863879671"/>
    <n v="0"/>
    <n v="0"/>
    <n v="-153685.83984000003"/>
    <n v="4020.1527600000263"/>
    <n v="0"/>
    <n v="0"/>
    <n v="-147271.710245958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80"/>
    <s v="Refaturamento - Regular"/>
    <s v="Convencional"/>
    <s v="B1"/>
    <s v="Residencial"/>
    <s v="Residencial"/>
    <s v="Não se aplica"/>
    <s v="Não se aplica"/>
    <s v="Não se aplica"/>
    <s v="CATIVO"/>
    <x v="4"/>
    <n v="0"/>
    <n v="0"/>
    <n v="-0.17399999999999999"/>
    <n v="-0.17399999999999999"/>
    <n v="-0.17399999999999999"/>
    <n v="-0.17399999999999999"/>
    <m/>
    <n v="710.52"/>
    <n v="127.85"/>
    <m/>
    <n v="-145.87637999999998"/>
    <n v="-145.87637999999998"/>
    <n v="-119.83553999999999"/>
    <n v="0"/>
    <n v="-10.627063336460271"/>
    <n v="0"/>
    <n v="0"/>
    <n v="0"/>
    <n v="-19.0255870980242"/>
    <n v="-86.681108161040498"/>
    <n v="-22.245446938621996"/>
    <n v="0"/>
    <n v="0"/>
    <n v="0"/>
    <n v="0"/>
    <n v="0"/>
    <n v="-1.6434817504944204"/>
    <m/>
    <n v="-0.398592812835965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-5.2544856991881295"/>
    <n v="0"/>
    <n v="-0.65"/>
    <n v="-3"/>
    <n v="-49.39"/>
    <n v="0"/>
    <m/>
    <m/>
    <m/>
    <m/>
    <m/>
    <m/>
    <m/>
    <m/>
    <m/>
    <n v="-27.499932637810126"/>
    <m/>
    <m/>
    <m/>
    <m/>
    <m/>
    <m/>
    <m/>
    <m/>
    <m/>
    <m/>
    <m/>
    <m/>
    <n v="-117.08070000000002"/>
    <n v="28.765679999999961"/>
    <m/>
    <m/>
    <m/>
    <m/>
    <n v="26.74031999999999"/>
    <n v="-0.69948000000000177"/>
    <n v="30"/>
    <n v="0.41534187619171092"/>
    <n v="0"/>
    <n v="0"/>
    <n v="0"/>
    <n v="0"/>
    <n v="0"/>
    <n v="0"/>
    <n v="0"/>
    <n v="0.99809590719083729"/>
    <n v="0"/>
    <n v="0"/>
    <n v="-0.69997995223832632"/>
    <n v="0"/>
    <n v="0"/>
    <n v="0"/>
    <n v="-0.16533876163076489"/>
    <n v="0"/>
    <n v="0.24201493046813738"/>
    <m/>
    <n v="0"/>
    <n v="0"/>
    <n v="0"/>
    <n v="0"/>
    <n v="3.1360972087842498E-2"/>
    <n v="9.1887803139899527E-3"/>
    <n v="0"/>
    <n v="0"/>
    <m/>
    <m/>
    <m/>
    <n v="-86.681108161040498"/>
    <n v="0"/>
    <n v="0"/>
    <n v="26.740319999999997"/>
    <n v="-0.69948000000000121"/>
    <n v="0"/>
    <n v="0"/>
    <n v="25.6243038592500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81"/>
    <s v="Sistema de Compensação"/>
    <s v="Convencional"/>
    <s v="B1"/>
    <s v="Residencial"/>
    <s v="Residencial"/>
    <s v="Não se aplica"/>
    <s v="Não se aplica"/>
    <s v="Não se aplica"/>
    <s v="CATIVO"/>
    <x v="4"/>
    <n v="0"/>
    <n v="0"/>
    <n v="0.91800000000000004"/>
    <n v="0.91800000000000004"/>
    <n v="0.91800000000000004"/>
    <n v="0.91800000000000004"/>
    <m/>
    <n v="710.52"/>
    <n v="127.85"/>
    <m/>
    <n v="769.62366000000009"/>
    <n v="769.62366000000009"/>
    <n v="632.23578000000009"/>
    <n v="0"/>
    <n v="56.06692036132489"/>
    <n v="0"/>
    <n v="0"/>
    <n v="0"/>
    <n v="100.37637331026562"/>
    <n v="457.31757064273097"/>
    <n v="117.36390971066089"/>
    <n v="0"/>
    <n v="0"/>
    <n v="0"/>
    <n v="0"/>
    <n v="0"/>
    <n v="8.6707830284705629"/>
    <m/>
    <n v="2.10292070220354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.72194179226841"/>
    <n v="0"/>
    <n v="2.62"/>
    <n v="12.46"/>
    <n v="661.08"/>
    <n v="13"/>
    <m/>
    <m/>
    <m/>
    <m/>
    <m/>
    <m/>
    <m/>
    <m/>
    <m/>
    <n v="145.0858515029293"/>
    <m/>
    <m/>
    <m/>
    <m/>
    <m/>
    <m/>
    <m/>
    <m/>
    <m/>
    <m/>
    <m/>
    <m/>
    <n v="633.61320000000001"/>
    <n v="-136.04046000000005"/>
    <m/>
    <m/>
    <m/>
    <m/>
    <n v="-141.07823999999997"/>
    <n v="3.6903600000000094"/>
    <n v="30"/>
    <n v="-2.1912864502529033"/>
    <n v="0"/>
    <n v="0"/>
    <n v="0"/>
    <n v="0"/>
    <n v="0"/>
    <n v="0"/>
    <n v="0"/>
    <n v="-5.2658163379378635"/>
    <n v="0"/>
    <n v="0"/>
    <n v="3.6929976790504782"/>
    <n v="0"/>
    <n v="0"/>
    <n v="0"/>
    <n v="0.87230450101748147"/>
    <n v="0"/>
    <n v="-1.2768373917801839"/>
    <m/>
    <n v="0"/>
    <n v="0"/>
    <n v="0"/>
    <n v="0"/>
    <n v="-0.16545616308413358"/>
    <n v="-4.8478737518637072E-2"/>
    <n v="0"/>
    <n v="0"/>
    <m/>
    <m/>
    <m/>
    <n v="457.31757064273097"/>
    <n v="0"/>
    <n v="0"/>
    <n v="-141.07823999999999"/>
    <n v="3.6903600000000125"/>
    <n v="0"/>
    <n v="0"/>
    <n v="-135.19029277466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82"/>
    <s v="Regular"/>
    <s v="Convencional"/>
    <s v="B1"/>
    <s v="Residencial"/>
    <s v="Residencial baixa renda – faixa 01"/>
    <s v="Não se aplica"/>
    <s v="Não se aplica"/>
    <s v="Não se aplica"/>
    <s v="CATIVO"/>
    <x v="4"/>
    <n v="0"/>
    <n v="0"/>
    <n v="4.41"/>
    <n v="4.41"/>
    <n v="4.41"/>
    <n v="4.41"/>
    <m/>
    <n v="640"/>
    <n v="127.85"/>
    <m/>
    <n v="3386.2184999999999"/>
    <n v="3386.2184999999999"/>
    <n v="2733.1415999999999"/>
    <n v="0"/>
    <n v="0"/>
    <n v="0"/>
    <n v="0"/>
    <n v="0"/>
    <n v="482.20022472578586"/>
    <n v="2196.9177413229231"/>
    <n v="563.80701723748859"/>
    <n v="0"/>
    <n v="0"/>
    <n v="0"/>
    <n v="0"/>
    <n v="0"/>
    <n v="0"/>
    <m/>
    <n v="10.1022661184287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3.17403410011295"/>
    <n v="0"/>
    <n v="18.66"/>
    <n v="85.77"/>
    <n v="642.76"/>
    <n v="2"/>
    <m/>
    <m/>
    <m/>
    <m/>
    <m/>
    <m/>
    <m/>
    <n v="1776.5685000000001"/>
    <m/>
    <n v="696.98105133760157"/>
    <m/>
    <m/>
    <m/>
    <m/>
    <m/>
    <m/>
    <m/>
    <m/>
    <m/>
    <m/>
    <m/>
    <m/>
    <n v="956.57310000000007"/>
    <n v="-228.64439999999991"/>
    <m/>
    <m/>
    <m/>
    <m/>
    <n v="-670.80510000000004"/>
    <n v="17.728200000000047"/>
    <n v="30"/>
    <n v="-3.598103124905947"/>
    <n v="0"/>
    <n v="0"/>
    <n v="0"/>
    <n v="0"/>
    <n v="0"/>
    <n v="0"/>
    <n v="0"/>
    <n v="-25.296568682250552"/>
    <n v="0"/>
    <n v="0"/>
    <n v="17.740871203281699"/>
    <n v="0"/>
    <n v="0"/>
    <n v="0"/>
    <n v="4.1904824068487017"/>
    <n v="0"/>
    <n v="0"/>
    <m/>
    <n v="0"/>
    <n v="0"/>
    <n v="0"/>
    <n v="0"/>
    <n v="0"/>
    <n v="-0.23288805278560787"/>
    <n v="0"/>
    <n v="0"/>
    <m/>
    <m/>
    <m/>
    <n v="2196.9177413229231"/>
    <n v="0"/>
    <n v="0"/>
    <n v="-670.80510000000004"/>
    <n v="17.728200000000015"/>
    <n v="0"/>
    <n v="0"/>
    <n v="-649.44356332926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83"/>
    <s v="Regular"/>
    <s v="Convencional"/>
    <s v="B1"/>
    <s v="Residencial"/>
    <s v="Residencial baixa renda – faixa 02"/>
    <s v="Não se aplica"/>
    <s v="Não se aplica"/>
    <s v="Não se aplica"/>
    <s v="CATIVO"/>
    <x v="4"/>
    <n v="0"/>
    <n v="0"/>
    <n v="9.7840000000000007"/>
    <n v="9.7840000000000007"/>
    <n v="9.7840000000000007"/>
    <n v="9.7840000000000007"/>
    <m/>
    <n v="640"/>
    <n v="127.85"/>
    <m/>
    <n v="7512.6444000000001"/>
    <n v="7512.6444000000001"/>
    <n v="6063.7318400000004"/>
    <n v="0"/>
    <n v="0"/>
    <n v="0"/>
    <n v="0"/>
    <n v="0"/>
    <n v="1069.8065756728092"/>
    <n v="4874.0687485495428"/>
    <n v="1250.8589244107909"/>
    <n v="0"/>
    <n v="0"/>
    <n v="0"/>
    <n v="0"/>
    <n v="0"/>
    <n v="0"/>
    <m/>
    <n v="22.4128280505004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5.45912690147509"/>
    <n v="0"/>
    <n v="40.85"/>
    <n v="191.48"/>
    <n v="1500.52"/>
    <n v="15"/>
    <m/>
    <m/>
    <m/>
    <m/>
    <m/>
    <m/>
    <m/>
    <n v="2425.4535999999998"/>
    <m/>
    <n v="1546.3180513122661"/>
    <m/>
    <m/>
    <m/>
    <m/>
    <m/>
    <m/>
    <m/>
    <m/>
    <m/>
    <m/>
    <m/>
    <m/>
    <n v="3636.7907999999998"/>
    <n v="-870.82584000000134"/>
    <m/>
    <m/>
    <m/>
    <m/>
    <n v="-1488.2442400000002"/>
    <n v="39.331680000000105"/>
    <n v="30"/>
    <n v="-7.9827303796096203"/>
    <n v="0"/>
    <n v="0"/>
    <n v="0"/>
    <n v="0"/>
    <n v="0"/>
    <n v="0"/>
    <n v="0"/>
    <n v="-56.122818137673221"/>
    <n v="0"/>
    <n v="0"/>
    <n v="39.359792256895389"/>
    <n v="0"/>
    <n v="0"/>
    <n v="0"/>
    <n v="9.2969795620425657"/>
    <n v="0"/>
    <n v="0"/>
    <m/>
    <n v="0"/>
    <n v="0"/>
    <n v="0"/>
    <n v="0"/>
    <n v="0"/>
    <n v="-0.51668406087401308"/>
    <n v="0"/>
    <n v="0"/>
    <m/>
    <m/>
    <m/>
    <n v="4874.0687485495428"/>
    <n v="0"/>
    <n v="0"/>
    <n v="-1488.24424"/>
    <n v="39.331680000000006"/>
    <n v="0"/>
    <n v="0"/>
    <n v="-1440.85166068334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84"/>
    <s v="Regular"/>
    <s v="Convencional"/>
    <s v="B1"/>
    <s v="Residencial"/>
    <s v="Residencial baixa renda – faixa 03"/>
    <s v="Não se aplica"/>
    <s v="Não se aplica"/>
    <s v="Não se aplica"/>
    <s v="CATIVO"/>
    <x v="4"/>
    <n v="0"/>
    <n v="0"/>
    <n v="10.375999999999999"/>
    <n v="10.375999999999999"/>
    <n v="10.375999999999999"/>
    <n v="10.375999999999999"/>
    <m/>
    <n v="640"/>
    <n v="127.85"/>
    <m/>
    <n v="7967.2115999999987"/>
    <n v="7967.2115999999987"/>
    <n v="6430.6297599999998"/>
    <n v="0"/>
    <n v="0"/>
    <n v="0"/>
    <n v="0"/>
    <n v="0"/>
    <n v="1134.5373087879259"/>
    <n v="5168.9837832123922"/>
    <n v="1326.5445829605853"/>
    <n v="0"/>
    <n v="0"/>
    <n v="0"/>
    <n v="0"/>
    <n v="0"/>
    <n v="0"/>
    <m/>
    <n v="23.7689599194596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3.33645755618409"/>
    <n v="0"/>
    <n v="45.4"/>
    <n v="210.21"/>
    <n v="2011.17"/>
    <n v="88"/>
    <m/>
    <m/>
    <m/>
    <m/>
    <m/>
    <m/>
    <m/>
    <n v="643.10447999999963"/>
    <m/>
    <n v="1639.8810405167694"/>
    <m/>
    <m/>
    <m/>
    <m/>
    <m/>
    <m/>
    <m/>
    <m/>
    <m/>
    <m/>
    <m/>
    <m/>
    <n v="5789.7564000000002"/>
    <n v="-1380.7121600000009"/>
    <m/>
    <m/>
    <m/>
    <m/>
    <n v="-1578.2933600000001"/>
    <n v="41.711520000000107"/>
    <n v="30"/>
    <n v="-8.4657410485306173"/>
    <n v="0"/>
    <n v="0"/>
    <n v="0"/>
    <n v="0"/>
    <n v="0"/>
    <n v="0"/>
    <n v="0"/>
    <n v="-59.518638695471964"/>
    <n v="0"/>
    <n v="0"/>
    <n v="41.741333243821146"/>
    <n v="0"/>
    <n v="0"/>
    <n v="0"/>
    <n v="9.859511440694348"/>
    <n v="0"/>
    <n v="0"/>
    <m/>
    <n v="0"/>
    <n v="0"/>
    <n v="0"/>
    <n v="0"/>
    <n v="0"/>
    <n v="-0.5479470375744846"/>
    <n v="0"/>
    <n v="0"/>
    <m/>
    <m/>
    <m/>
    <n v="5168.9837832123922"/>
    <n v="0"/>
    <n v="0"/>
    <n v="-1578.2933599999997"/>
    <n v="41.711520000000291"/>
    <n v="0"/>
    <n v="0"/>
    <n v="-1528.0332002504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85"/>
    <s v="Regular"/>
    <s v="Convencional"/>
    <s v="B1"/>
    <s v="Residencial"/>
    <s v="Residencial baixa renda – faixa 04"/>
    <s v="Não se aplica"/>
    <s v="Não se aplica"/>
    <s v="Não se aplica"/>
    <s v="CATIVO"/>
    <x v="4"/>
    <n v="0"/>
    <n v="0"/>
    <n v="3.077"/>
    <n v="3.077"/>
    <n v="3.077"/>
    <n v="3.077"/>
    <m/>
    <n v="640"/>
    <n v="127.85"/>
    <m/>
    <n v="2362.67445"/>
    <n v="2362.67445"/>
    <n v="1907.0015199999998"/>
    <n v="0"/>
    <n v="0"/>
    <n v="0"/>
    <n v="0"/>
    <n v="0"/>
    <n v="336.44673276218663"/>
    <n v="1532.8607460432279"/>
    <n v="393.38643810425219"/>
    <n v="0"/>
    <n v="0"/>
    <n v="0"/>
    <n v="0"/>
    <n v="0"/>
    <n v="0"/>
    <m/>
    <n v="7.04867864997853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92.919841933344102"/>
    <n v="0"/>
    <n v="14.64"/>
    <n v="67.72"/>
    <n v="810.16"/>
    <n v="42"/>
    <m/>
    <m/>
    <m/>
    <m/>
    <m/>
    <m/>
    <m/>
    <m/>
    <m/>
    <n v="486.30628003759631"/>
    <m/>
    <m/>
    <m/>
    <m/>
    <m/>
    <m/>
    <m/>
    <m/>
    <m/>
    <m/>
    <m/>
    <m/>
    <n v="1908.8607999999999"/>
    <n v="-453.84365000000025"/>
    <m/>
    <m/>
    <m/>
    <m/>
    <n v="-468.04247000000004"/>
    <n v="12.369540000000031"/>
    <n v="30"/>
    <n v="-2.5105132234318717"/>
    <n v="0"/>
    <n v="0"/>
    <n v="0"/>
    <n v="0"/>
    <n v="0"/>
    <n v="0"/>
    <n v="0"/>
    <n v="-17.650236243828772"/>
    <n v="0"/>
    <n v="0"/>
    <n v="12.378381109409986"/>
    <n v="0"/>
    <n v="0"/>
    <n v="0"/>
    <n v="2.9238354571141656"/>
    <n v="0"/>
    <n v="0"/>
    <m/>
    <n v="0"/>
    <n v="0"/>
    <n v="0"/>
    <n v="0"/>
    <n v="0"/>
    <n v="-0.16249354612728251"/>
    <n v="0"/>
    <n v="0"/>
    <m/>
    <m/>
    <m/>
    <n v="1532.8607460432279"/>
    <n v="0"/>
    <n v="0"/>
    <n v="-468.04247000000009"/>
    <n v="12.369540000000086"/>
    <n v="0"/>
    <n v="0"/>
    <n v="-453.137833189151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86"/>
    <s v="Regular"/>
    <s v="Branca"/>
    <s v="B1"/>
    <s v="Residencial"/>
    <s v="Residencial"/>
    <s v="Não se aplica"/>
    <s v="Não se aplica"/>
    <s v="Ponta"/>
    <s v="CATIVO"/>
    <x v="4"/>
    <n v="0"/>
    <n v="0"/>
    <n v="2.1999999999999999E-2"/>
    <n v="2.1999999999999999E-2"/>
    <n v="2.1999999999999999E-2"/>
    <n v="2.1999999999999999E-2"/>
    <m/>
    <n v="1864.71"/>
    <n v="127.85"/>
    <m/>
    <n v="43.836320000000001"/>
    <n v="43.836320000000001"/>
    <n v="34.148619999999994"/>
    <n v="0"/>
    <n v="1.3436516862191148"/>
    <n v="0"/>
    <n v="0"/>
    <n v="0"/>
    <n v="6.9744251972657452"/>
    <n v="31.783078159800656"/>
    <n v="2.8126427163774936"/>
    <n v="0"/>
    <n v="0"/>
    <n v="0"/>
    <n v="0"/>
    <n v="0"/>
    <n v="0.20779654316596119"/>
    <m/>
    <n v="5.0396792427535843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66436026081688992"/>
    <n v="0"/>
    <n v="0"/>
    <n v="0"/>
    <n v="0"/>
    <n v="0"/>
    <m/>
    <m/>
    <m/>
    <m/>
    <m/>
    <m/>
    <m/>
    <m/>
    <m/>
    <n v="3.4770029771943838"/>
    <m/>
    <m/>
    <m/>
    <m/>
    <m/>
    <m/>
    <m/>
    <m/>
    <m/>
    <m/>
    <m/>
    <m/>
    <n v="31.0442"/>
    <n v="-12.822119999999995"/>
    <m/>
    <m/>
    <m/>
    <m/>
    <n v="-9.7761400000000016"/>
    <n v="8.8440000000000227E-2"/>
    <n v="30"/>
    <n v="-0.29220179014855141"/>
    <n v="0"/>
    <n v="0"/>
    <n v="0"/>
    <n v="0"/>
    <n v="0"/>
    <n v="0"/>
    <n v="0"/>
    <n v="-0.36588333429786513"/>
    <n v="0"/>
    <n v="0"/>
    <n v="8.8503212351972671E-2"/>
    <n v="0"/>
    <n v="0"/>
    <n v="0"/>
    <n v="2.0904900895843848E-2"/>
    <n v="0"/>
    <n v="-3.0599588909764552E-2"/>
    <m/>
    <n v="0"/>
    <n v="0"/>
    <n v="0"/>
    <n v="0"/>
    <n v="-3.9651803789226003E-3"/>
    <n v="-1.1617998098148313E-3"/>
    <n v="0"/>
    <n v="0"/>
    <m/>
    <m/>
    <m/>
    <n v="31.783078159800656"/>
    <n v="0"/>
    <n v="0"/>
    <n v="-9.7761400000000052"/>
    <n v="8.8440000000000296E-2"/>
    <n v="0"/>
    <n v="0"/>
    <n v="-9.39557960929565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87"/>
    <s v="Regular"/>
    <s v="Branca"/>
    <s v="B1"/>
    <s v="Residencial"/>
    <s v="Residencial"/>
    <s v="Não se aplica"/>
    <s v="Não se aplica"/>
    <s v="Fora ponta"/>
    <s v="CATIVO"/>
    <x v="4"/>
    <n v="0"/>
    <n v="0"/>
    <n v="0.28100000000000003"/>
    <n v="0.28100000000000003"/>
    <n v="0.28100000000000003"/>
    <n v="0.28100000000000003"/>
    <m/>
    <n v="455.34"/>
    <n v="127.85"/>
    <m/>
    <n v="163.87639000000001"/>
    <n v="163.87639000000001"/>
    <n v="139.88180000000003"/>
    <n v="0"/>
    <n v="17.162096537616879"/>
    <n v="0"/>
    <n v="0"/>
    <n v="0"/>
    <n v="17.813713776111229"/>
    <n v="81.191273843224153"/>
    <n v="35.925118331912536"/>
    <n v="0"/>
    <n v="0"/>
    <n v="0"/>
    <n v="0"/>
    <n v="0"/>
    <n v="2.6541285740743232"/>
    <m/>
    <n v="0.643704485097162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8.4856924222520949"/>
    <n v="0"/>
    <n v="0"/>
    <n v="0"/>
    <n v="0"/>
    <n v="0"/>
    <m/>
    <m/>
    <m/>
    <m/>
    <m/>
    <m/>
    <m/>
    <m/>
    <m/>
    <n v="44.410810754164629"/>
    <m/>
    <m/>
    <m/>
    <m/>
    <m/>
    <m/>
    <m/>
    <m/>
    <m/>
    <m/>
    <m/>
    <m/>
    <n v="139.38400000000001"/>
    <n v="-24.522390000000001"/>
    <m/>
    <m/>
    <m/>
    <m/>
    <n v="-25.124209999999994"/>
    <n v="1.129620000000003"/>
    <n v="30"/>
    <n v="6.5941025202249648E-3"/>
    <n v="0"/>
    <n v="0"/>
    <n v="0"/>
    <n v="0"/>
    <n v="0"/>
    <n v="0"/>
    <n v="0"/>
    <n v="-0.93452016593237275"/>
    <n v="0"/>
    <n v="0"/>
    <n v="1.1304273941320133"/>
    <n v="0"/>
    <n v="0"/>
    <n v="0"/>
    <n v="0.26701259780600495"/>
    <n v="0"/>
    <n v="-0.39084020380199291"/>
    <m/>
    <n v="0"/>
    <n v="0"/>
    <n v="0"/>
    <n v="0"/>
    <n v="-5.0646167567148126E-2"/>
    <n v="-1.4839352116271187E-2"/>
    <n v="0"/>
    <n v="0"/>
    <m/>
    <m/>
    <m/>
    <n v="81.191273843224153"/>
    <n v="0"/>
    <n v="0"/>
    <n v="-25.124209999999991"/>
    <n v="1.1296200000000027"/>
    <n v="0"/>
    <n v="0"/>
    <n v="-24.0014221762502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88"/>
    <s v="Regular"/>
    <s v="Branca"/>
    <s v="B1"/>
    <s v="Residencial"/>
    <s v="Residencial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.04"/>
    <n v="4.8099999999999996"/>
    <n v="80.5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7"/>
    <m/>
    <m/>
    <m/>
    <m/>
    <n v="0"/>
    <m/>
    <m/>
    <m/>
    <m/>
    <n v="0"/>
    <n v="0"/>
    <n v="0"/>
    <n v="0"/>
  </r>
  <r>
    <n v="89"/>
    <s v="Sistema de Compensação"/>
    <s v="Branca"/>
    <s v="B1"/>
    <s v="Residencial"/>
    <s v="Residencial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43"/>
    <n v="2"/>
    <n v="84.16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7"/>
    <m/>
    <m/>
    <m/>
    <m/>
    <n v="0"/>
    <m/>
    <m/>
    <m/>
    <m/>
    <n v="0"/>
    <n v="0"/>
    <n v="0"/>
    <n v="0"/>
  </r>
  <r>
    <n v="90"/>
    <s v="Regular"/>
    <s v="Branca"/>
    <s v="B1"/>
    <s v="Residencial"/>
    <s v="Residencial"/>
    <s v="Não se aplica"/>
    <s v="Não se aplica"/>
    <s v="Intermediário"/>
    <s v="CATIVO"/>
    <x v="4"/>
    <n v="0"/>
    <n v="0"/>
    <n v="1.6E-2"/>
    <n v="1.6E-2"/>
    <n v="1.6E-2"/>
    <n v="1.6E-2"/>
    <m/>
    <n v="1160"/>
    <n v="127.85"/>
    <m/>
    <n v="20.605599999999999"/>
    <n v="20.605599999999999"/>
    <n v="16.39968"/>
    <n v="0"/>
    <n v="0.97720122634117446"/>
    <n v="0"/>
    <n v="0"/>
    <n v="0"/>
    <n v="3.0429136061267359"/>
    <n v="13.868977413141424"/>
    <n v="2.0455583391836321"/>
    <n v="0"/>
    <n v="0"/>
    <n v="0"/>
    <n v="0"/>
    <n v="0"/>
    <n v="0.1511247586661536"/>
    <m/>
    <n v="3.665221267457152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48317109877591996"/>
    <n v="0"/>
    <n v="0"/>
    <n v="0"/>
    <n v="0"/>
    <n v="0"/>
    <m/>
    <m/>
    <m/>
    <m/>
    <m/>
    <m/>
    <m/>
    <m/>
    <m/>
    <n v="2.528729437959552"/>
    <m/>
    <m/>
    <m/>
    <m/>
    <m/>
    <m/>
    <m/>
    <m/>
    <m/>
    <m/>
    <m/>
    <m/>
    <n v="20.499600000000001"/>
    <n v="-0.13600000000000279"/>
    <m/>
    <m/>
    <m/>
    <m/>
    <n v="-4.2702400000000003"/>
    <n v="6.4320000000000169E-2"/>
    <n v="30"/>
    <n v="-0.10604684665460606"/>
    <n v="0"/>
    <n v="0"/>
    <n v="0"/>
    <n v="0"/>
    <n v="0"/>
    <n v="0"/>
    <n v="0"/>
    <n v="-0.15963342421774396"/>
    <n v="0"/>
    <n v="0"/>
    <n v="6.4365972619616407E-2"/>
    <n v="0"/>
    <n v="0"/>
    <n v="0"/>
    <n v="1.520356428788644E-2"/>
    <n v="0"/>
    <n v="-2.2254246479828765E-2"/>
    <m/>
    <n v="0"/>
    <n v="0"/>
    <n v="0"/>
    <n v="0"/>
    <n v="-2.8837675483073533E-3"/>
    <n v="-8.4494531622895941E-4"/>
    <n v="0"/>
    <n v="0"/>
    <m/>
    <m/>
    <m/>
    <n v="13.868977413141424"/>
    <n v="0"/>
    <n v="0"/>
    <n v="-4.2702399999999976"/>
    <n v="6.4320000000000377E-2"/>
    <n v="0"/>
    <n v="0"/>
    <n v="-4.0998886492217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91"/>
    <s v="Sistema de Compensação"/>
    <s v="Branca"/>
    <s v="B1"/>
    <s v="Residencial"/>
    <s v="Residencial"/>
    <s v="Não se aplica"/>
    <s v="Não se aplica"/>
    <s v="Intermediário"/>
    <s v="CATIVO"/>
    <x v="4"/>
    <n v="0"/>
    <n v="0"/>
    <n v="8.4000000000000005E-2"/>
    <n v="8.4000000000000005E-2"/>
    <n v="8.4000000000000005E-2"/>
    <n v="8.4000000000000005E-2"/>
    <m/>
    <n v="1160"/>
    <n v="127.85"/>
    <m/>
    <n v="108.17940000000002"/>
    <n v="108.17940000000002"/>
    <n v="86.098320000000001"/>
    <n v="0"/>
    <n v="5.1303064382911661"/>
    <n v="0"/>
    <n v="0"/>
    <n v="0"/>
    <n v="15.975296432165365"/>
    <n v="72.812131418992479"/>
    <n v="10.739181280714067"/>
    <n v="0"/>
    <n v="0"/>
    <n v="0"/>
    <n v="0"/>
    <n v="0"/>
    <n v="0.79340498299730655"/>
    <m/>
    <n v="0.1924241165415005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5366482685735798"/>
    <n v="0"/>
    <n v="0"/>
    <n v="0"/>
    <n v="0"/>
    <n v="0"/>
    <m/>
    <m/>
    <m/>
    <m/>
    <m/>
    <m/>
    <m/>
    <m/>
    <m/>
    <n v="13.275829549287646"/>
    <m/>
    <m/>
    <m/>
    <m/>
    <m/>
    <m/>
    <m/>
    <m/>
    <m/>
    <m/>
    <m/>
    <m/>
    <n v="81.998400000000004"/>
    <n v="-26.211000000000027"/>
    <m/>
    <m/>
    <m/>
    <m/>
    <n v="-22.418759999999999"/>
    <n v="0.33768000000000087"/>
    <n v="30"/>
    <n v="-0.5567459449366936"/>
    <n v="0"/>
    <n v="0"/>
    <n v="0"/>
    <n v="0"/>
    <n v="0"/>
    <n v="0"/>
    <n v="0"/>
    <n v="-0.83807547714315689"/>
    <n v="0"/>
    <n v="0"/>
    <n v="0.33792135625298592"/>
    <n v="0"/>
    <n v="0"/>
    <n v="0"/>
    <n v="7.9818712511404044E-2"/>
    <n v="0"/>
    <n v="-0.11683479401910102"/>
    <m/>
    <n v="0"/>
    <n v="0"/>
    <n v="0"/>
    <n v="0"/>
    <n v="-1.5139779628613681E-2"/>
    <n v="-4.4359629102020681E-3"/>
    <n v="0"/>
    <n v="0"/>
    <m/>
    <m/>
    <m/>
    <n v="72.812131418992479"/>
    <n v="0"/>
    <n v="0"/>
    <n v="-22.418760000000006"/>
    <n v="0.33768000000000065"/>
    <n v="0"/>
    <n v="0"/>
    <n v="-21.524415408414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92"/>
    <s v="Regular"/>
    <s v="Verde"/>
    <s v="A4"/>
    <s v="Industrial"/>
    <s v="Não se aplica"/>
    <s v="Não se aplica"/>
    <s v="Não se aplica"/>
    <s v="Ponta"/>
    <s v="CATIVO"/>
    <x v="4"/>
    <n v="0"/>
    <n v="0"/>
    <n v="3.544"/>
    <n v="3.544"/>
    <n v="3.544"/>
    <n v="3.544"/>
    <m/>
    <n v="2075.9499999999998"/>
    <n v="127.85"/>
    <m/>
    <n v="7810.2671999999993"/>
    <n v="7810.2671999999993"/>
    <n v="6260.1570400000001"/>
    <n v="0"/>
    <n v="188.31156232207616"/>
    <n v="0"/>
    <n v="0"/>
    <n v="0"/>
    <n v="2232.7516033822044"/>
    <n v="4880.6683482240987"/>
    <n v="453.09117212917448"/>
    <n v="0"/>
    <n v="0"/>
    <n v="0"/>
    <n v="0"/>
    <n v="0"/>
    <n v="33.474134044553026"/>
    <m/>
    <n v="3.55960817329590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.39896829458602"/>
    <n v="0"/>
    <n v="0"/>
    <n v="0"/>
    <n v="0"/>
    <n v="0"/>
    <m/>
    <m/>
    <m/>
    <m/>
    <m/>
    <m/>
    <m/>
    <m/>
    <m/>
    <n v="471.49014042376052"/>
    <m/>
    <m/>
    <m/>
    <m/>
    <m/>
    <m/>
    <m/>
    <m/>
    <m/>
    <m/>
    <m/>
    <m/>
    <n v="6253.0914000000002"/>
    <n v="-1557.2057999999997"/>
    <m/>
    <m/>
    <m/>
    <m/>
    <n v="-1564.3570399999994"/>
    <n v="14.246880000000036"/>
    <n v="30"/>
    <n v="-107.30505621928569"/>
    <n v="0"/>
    <n v="0"/>
    <n v="0"/>
    <n v="0"/>
    <n v="0"/>
    <n v="0"/>
    <n v="0"/>
    <n v="-117.13174608635563"/>
    <n v="0"/>
    <n v="0"/>
    <n v="14.257062935245017"/>
    <n v="0"/>
    <n v="0"/>
    <n v="0"/>
    <n v="0.57894583928175791"/>
    <n v="0"/>
    <n v="-4.2885045678957852"/>
    <m/>
    <n v="0"/>
    <n v="0"/>
    <n v="0"/>
    <n v="0"/>
    <n v="-0.63875451195008282"/>
    <n v="-8.2059827610993175E-2"/>
    <n v="0"/>
    <n v="0"/>
    <m/>
    <m/>
    <m/>
    <n v="4880.6683482240987"/>
    <n v="0"/>
    <n v="0"/>
    <n v="-1564.357039999999"/>
    <n v="14.246880000000033"/>
    <n v="0"/>
    <n v="0"/>
    <n v="-1442.80260652376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93"/>
    <s v="Regular"/>
    <s v="Verde"/>
    <s v="A4"/>
    <s v="Industrial"/>
    <s v="Não se aplica"/>
    <s v="Não se aplica"/>
    <s v="Não se aplica"/>
    <s v="Fora ponta"/>
    <s v="CATIVO"/>
    <x v="4"/>
    <n v="0"/>
    <n v="0"/>
    <n v="59.414999999999999"/>
    <n v="59.414999999999999"/>
    <n v="59.414999999999999"/>
    <n v="59.414999999999999"/>
    <m/>
    <n v="68.78"/>
    <n v="127.85"/>
    <m/>
    <n v="11682.77145"/>
    <n v="11682.77145"/>
    <n v="11847.351000000001"/>
    <n v="0"/>
    <n v="3157.0348406789376"/>
    <n v="0"/>
    <n v="0"/>
    <n v="0"/>
    <n v="0"/>
    <n v="0"/>
    <n v="7596.053045162218"/>
    <n v="0"/>
    <n v="0"/>
    <n v="0"/>
    <n v="0"/>
    <n v="0"/>
    <n v="561.19234600934476"/>
    <m/>
    <n v="59.6766703206478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8.4578728055385"/>
    <n v="0"/>
    <n v="0"/>
    <n v="0"/>
    <n v="0"/>
    <n v="0"/>
    <m/>
    <m/>
    <m/>
    <m/>
    <m/>
    <m/>
    <m/>
    <m/>
    <m/>
    <n v="7904.5109179677565"/>
    <m/>
    <m/>
    <m/>
    <m/>
    <m/>
    <m/>
    <m/>
    <m/>
    <m/>
    <m/>
    <m/>
    <m/>
    <n v="11848.348"/>
    <n v="165.54654999999912"/>
    <m/>
    <m/>
    <m/>
    <m/>
    <n v="-74.268749999999997"/>
    <n v="238.84830000000059"/>
    <n v="30"/>
    <n v="164.74401197854422"/>
    <n v="0"/>
    <n v="0"/>
    <n v="0"/>
    <n v="0"/>
    <n v="0"/>
    <n v="0"/>
    <n v="0"/>
    <n v="0"/>
    <n v="0"/>
    <n v="0"/>
    <n v="239.01901644965619"/>
    <n v="0"/>
    <n v="0"/>
    <n v="0"/>
    <n v="9.7060008580489807"/>
    <n v="0"/>
    <n v="-71.896585468828562"/>
    <m/>
    <n v="0"/>
    <n v="0"/>
    <n v="0"/>
    <n v="0"/>
    <n v="-10.70869055516755"/>
    <n v="-1.3757293051656774"/>
    <n v="0"/>
    <n v="0"/>
    <m/>
    <m/>
    <m/>
    <n v="0"/>
    <n v="0"/>
    <n v="0"/>
    <n v="-74.268750000000182"/>
    <n v="238.848300000000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94"/>
    <s v="Regular"/>
    <s v="Verde"/>
    <s v="A4"/>
    <s v="Industrial"/>
    <s v="Não se aplica"/>
    <s v="Não se aplica"/>
    <s v="Não se aplica"/>
    <s v="Não se aplica"/>
    <s v="CATIVO"/>
    <x v="4"/>
    <n v="133"/>
    <n v="133"/>
    <n v="0"/>
    <n v="0"/>
    <n v="0"/>
    <n v="0"/>
    <n v="39.56"/>
    <m/>
    <m/>
    <n v="5261.4800000000005"/>
    <m/>
    <n v="5261.4800000000005"/>
    <n v="4130.9799999999996"/>
    <n v="0"/>
    <n v="0"/>
    <n v="0"/>
    <n v="0"/>
    <n v="0"/>
    <n v="1751.6474794161993"/>
    <n v="3509.195968046567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37.81"/>
    <n v="636.07000000000005"/>
    <n v="7013.96"/>
    <n v="1"/>
    <m/>
    <m/>
    <m/>
    <m/>
    <m/>
    <m/>
    <m/>
    <m/>
    <m/>
    <n v="0"/>
    <m/>
    <m/>
    <m/>
    <m/>
    <m/>
    <m/>
    <m/>
    <m/>
    <m/>
    <m/>
    <m/>
    <m/>
    <n v="4130.9799999999996"/>
    <n v="-1130.5300000000016"/>
    <m/>
    <m/>
    <m/>
    <m/>
    <n v="-1130.5000000000005"/>
    <n v="0"/>
    <n v="30"/>
    <n v="-91.892679633938997"/>
    <n v="0"/>
    <n v="0"/>
    <n v="0"/>
    <n v="0"/>
    <m/>
    <m/>
    <m/>
    <n v="-91.892679633938997"/>
    <n v="0"/>
    <n v="0"/>
    <m/>
    <m/>
    <n v="0"/>
    <n v="0"/>
    <n v="0"/>
    <n v="0"/>
    <n v="0"/>
    <m/>
    <n v="0"/>
    <n v="0"/>
    <m/>
    <n v="0"/>
    <n v="0"/>
    <n v="0"/>
    <n v="0"/>
    <n v="0"/>
    <m/>
    <m/>
    <n v="3509.1959680465679"/>
    <m/>
    <n v="0"/>
    <n v="0"/>
    <n v="-1130.5000000000009"/>
    <m/>
    <n v="0"/>
    <m/>
    <n v="-1037.373721847458"/>
    <m/>
    <n v="0"/>
    <n v="0"/>
    <m/>
    <n v="0"/>
    <n v="0"/>
    <n v="0"/>
    <n v="0"/>
    <n v="0"/>
    <m/>
    <m/>
    <n v="0"/>
    <n v="0"/>
    <m/>
    <n v="0"/>
    <m/>
    <n v="0"/>
    <m/>
    <n v="207"/>
    <m/>
    <m/>
    <m/>
    <m/>
    <n v="0"/>
    <m/>
    <m/>
    <m/>
    <m/>
    <n v="0"/>
    <n v="0"/>
    <n v="0"/>
    <n v="0"/>
  </r>
  <r>
    <n v="95"/>
    <s v="Regular"/>
    <s v="Convencional"/>
    <s v="B3"/>
    <s v="Comercial"/>
    <s v="Não se aplica"/>
    <s v="Não se aplica"/>
    <s v="Não se aplica"/>
    <s v="Não se aplica"/>
    <s v="CATIVO"/>
    <x v="4"/>
    <n v="0"/>
    <n v="0"/>
    <n v="96.647000000000006"/>
    <n v="96.647000000000006"/>
    <n v="96.647000000000006"/>
    <n v="96.647000000000006"/>
    <m/>
    <n v="710.52"/>
    <n v="127.85"/>
    <m/>
    <n v="81025.945390000008"/>
    <n v="81025.945390000008"/>
    <n v="66561.755369999999"/>
    <n v="0"/>
    <n v="5902.722932637218"/>
    <n v="0"/>
    <n v="0"/>
    <n v="0"/>
    <n v="10567.620208406583"/>
    <n v="48146.373910575188"/>
    <n v="12356.06730044253"/>
    <n v="0"/>
    <n v="0"/>
    <n v="0"/>
    <n v="0"/>
    <n v="0"/>
    <n v="912.85965942548432"/>
    <m/>
    <n v="221.395399897457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18.5648239622715"/>
    <n v="0"/>
    <n v="456.92"/>
    <n v="2110.71"/>
    <n v="18186.490000000002"/>
    <n v="86"/>
    <m/>
    <m/>
    <m/>
    <m/>
    <m/>
    <m/>
    <m/>
    <m/>
    <m/>
    <n v="15274.632124404801"/>
    <m/>
    <m/>
    <m/>
    <m/>
    <m/>
    <m/>
    <m/>
    <m/>
    <m/>
    <m/>
    <m/>
    <m/>
    <n v="66563.821500000005"/>
    <n v="-14462.153889999987"/>
    <m/>
    <m/>
    <m/>
    <m/>
    <n v="-14852.710959999997"/>
    <n v="388.52094000000102"/>
    <n v="30"/>
    <n v="-230.69854200172631"/>
    <n v="0"/>
    <n v="0"/>
    <n v="0"/>
    <n v="0"/>
    <n v="0"/>
    <n v="0"/>
    <n v="0"/>
    <n v="-554.3849146107641"/>
    <n v="0"/>
    <n v="0"/>
    <n v="388.79863473550358"/>
    <n v="0"/>
    <n v="0"/>
    <n v="0"/>
    <n v="91.836179858209562"/>
    <n v="0"/>
    <n v="-134.42538497100031"/>
    <m/>
    <n v="0"/>
    <n v="0"/>
    <n v="0"/>
    <n v="0"/>
    <n v="-17.419217640078841"/>
    <n v="-5.1038393735988166"/>
    <n v="0"/>
    <n v="0"/>
    <m/>
    <m/>
    <m/>
    <n v="48146.373910575188"/>
    <n v="0"/>
    <n v="0"/>
    <n v="-14852.710960000004"/>
    <n v="388.52094000000034"/>
    <n v="0"/>
    <n v="0"/>
    <n v="-14232.8281326720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96"/>
    <s v="Regular"/>
    <s v="Verde"/>
    <s v="A4"/>
    <s v="Comercial"/>
    <s v="Não se aplica"/>
    <s v="Não se aplica"/>
    <s v="Não se aplica"/>
    <s v="Ponta"/>
    <s v="CATIVO"/>
    <x v="4"/>
    <n v="0"/>
    <n v="0"/>
    <n v="1.0609999999999999"/>
    <n v="1.0609999999999999"/>
    <n v="1.0609999999999999"/>
    <n v="1.0609999999999999"/>
    <m/>
    <n v="2075.9499999999998"/>
    <n v="127.85"/>
    <m/>
    <n v="2338.2317999999996"/>
    <n v="2338.2317999999996"/>
    <n v="1874.1610099999998"/>
    <n v="0"/>
    <n v="56.376570999921782"/>
    <n v="0"/>
    <n v="0"/>
    <n v="0"/>
    <n v="668.43946139630896"/>
    <n v="1461.1707442059167"/>
    <n v="135.64608736711457"/>
    <n v="0"/>
    <n v="0"/>
    <n v="0"/>
    <n v="0"/>
    <n v="0"/>
    <n v="10.021460559049311"/>
    <m/>
    <n v="1.06567276294214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5082690069288276"/>
    <n v="0"/>
    <n v="0"/>
    <n v="0"/>
    <n v="0"/>
    <n v="0"/>
    <m/>
    <m/>
    <m/>
    <m/>
    <m/>
    <m/>
    <m/>
    <m/>
    <m/>
    <n v="141.1543563740434"/>
    <m/>
    <m/>
    <m/>
    <m/>
    <m/>
    <m/>
    <m/>
    <m/>
    <m/>
    <m/>
    <m/>
    <m/>
    <n v="1872.3946000000001"/>
    <n v="-465.86720000000014"/>
    <m/>
    <m/>
    <m/>
    <m/>
    <n v="-468.33600999999982"/>
    <n v="4.2652200000000109"/>
    <n v="30"/>
    <n v="-32.124905374904756"/>
    <n v="0"/>
    <n v="0"/>
    <n v="0"/>
    <n v="0"/>
    <n v="0"/>
    <n v="0"/>
    <n v="0"/>
    <n v="-35.066812245379083"/>
    <n v="0"/>
    <n v="0"/>
    <n v="4.2682685593383098"/>
    <n v="0"/>
    <n v="0"/>
    <n v="0"/>
    <n v="0.17332436102650917"/>
    <n v="0"/>
    <n v="-1.2838892061335869"/>
    <m/>
    <n v="0"/>
    <n v="0"/>
    <n v="0"/>
    <n v="0"/>
    <n v="-0.1912298355471318"/>
    <n v="-2.4567008209724683E-2"/>
    <n v="0"/>
    <n v="0"/>
    <m/>
    <m/>
    <m/>
    <n v="1461.1707442059167"/>
    <n v="0"/>
    <n v="0"/>
    <n v="-468.33600999999976"/>
    <n v="4.2652200000000278"/>
    <n v="0"/>
    <n v="0"/>
    <n v="-431.945136998226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97"/>
    <s v="Regular"/>
    <s v="Verde"/>
    <s v="A4"/>
    <s v="Comercial"/>
    <s v="Não se aplica"/>
    <s v="Não se aplica"/>
    <s v="Não se aplica"/>
    <s v="Fora ponta"/>
    <s v="CATIVO"/>
    <x v="4"/>
    <n v="0"/>
    <n v="0"/>
    <n v="16.108000000000001"/>
    <n v="16.108000000000001"/>
    <n v="16.108000000000001"/>
    <n v="16.108000000000001"/>
    <m/>
    <n v="68.78"/>
    <n v="127.85"/>
    <m/>
    <n v="3167.3160399999997"/>
    <n v="3167.3160399999997"/>
    <n v="3211.9352000000003"/>
    <n v="0"/>
    <n v="855.90368111851103"/>
    <n v="0"/>
    <n v="0"/>
    <n v="0"/>
    <n v="0"/>
    <n v="0"/>
    <n v="2059.3658579731214"/>
    <n v="0"/>
    <n v="0"/>
    <n v="0"/>
    <n v="0"/>
    <n v="0"/>
    <n v="152.14485078715015"/>
    <m/>
    <n v="16.1789414377681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83.626010521780927"/>
    <n v="0"/>
    <n v="0"/>
    <n v="0"/>
    <n v="0"/>
    <n v="0"/>
    <m/>
    <m/>
    <m/>
    <m/>
    <m/>
    <m/>
    <m/>
    <m/>
    <m/>
    <n v="2142.9918684949025"/>
    <m/>
    <m/>
    <m/>
    <m/>
    <m/>
    <m/>
    <m/>
    <m/>
    <m/>
    <m/>
    <m/>
    <m/>
    <n v="3212.3339999999998"/>
    <n v="44.987959999999475"/>
    <m/>
    <m/>
    <m/>
    <m/>
    <n v="-20.135000000000002"/>
    <n v="64.754160000000169"/>
    <n v="30"/>
    <n v="44.663747285204408"/>
    <n v="0"/>
    <n v="0"/>
    <n v="0"/>
    <n v="0"/>
    <n v="0"/>
    <n v="0"/>
    <n v="0"/>
    <n v="0"/>
    <n v="0"/>
    <n v="0"/>
    <n v="64.800442934798866"/>
    <n v="0"/>
    <n v="0"/>
    <n v="0"/>
    <n v="2.6313937864420325"/>
    <n v="0"/>
    <n v="-19.491882499905614"/>
    <m/>
    <n v="0"/>
    <n v="0"/>
    <n v="0"/>
    <n v="0"/>
    <n v="-2.9032329792584335"/>
    <n v="-0.37297395687299151"/>
    <n v="0"/>
    <n v="0"/>
    <m/>
    <m/>
    <m/>
    <n v="0"/>
    <n v="0"/>
    <n v="0"/>
    <n v="-20.134999999999991"/>
    <n v="64.7541600000004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98"/>
    <s v="Regular"/>
    <s v="Verde"/>
    <s v="A4"/>
    <s v="Comercial"/>
    <s v="Não se aplica"/>
    <s v="Não se aplica"/>
    <s v="Não se aplica"/>
    <s v="Não se aplica"/>
    <s v="CATIVO"/>
    <x v="4"/>
    <n v="280"/>
    <n v="280"/>
    <n v="0"/>
    <n v="0"/>
    <n v="0"/>
    <n v="0"/>
    <n v="39.56"/>
    <m/>
    <m/>
    <n v="11076.800000000001"/>
    <m/>
    <n v="11076.800000000001"/>
    <n v="8696.7999999999993"/>
    <n v="0"/>
    <n v="0"/>
    <n v="0"/>
    <n v="0"/>
    <n v="0"/>
    <n v="3687.6789040341037"/>
    <n v="7387.780985361196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09.42"/>
    <n v="505.05"/>
    <n v="2506.71"/>
    <n v="2"/>
    <m/>
    <m/>
    <m/>
    <m/>
    <m/>
    <m/>
    <m/>
    <m/>
    <m/>
    <n v="0"/>
    <m/>
    <m/>
    <m/>
    <m/>
    <m/>
    <m/>
    <m/>
    <m/>
    <m/>
    <m/>
    <m/>
    <m/>
    <n v="8696.7999999999993"/>
    <n v="-2380.0300000000025"/>
    <m/>
    <m/>
    <m/>
    <m/>
    <n v="-2380.0000000000009"/>
    <n v="0"/>
    <n v="30"/>
    <n v="-193.45827291355545"/>
    <n v="0"/>
    <n v="0"/>
    <n v="0"/>
    <n v="0"/>
    <m/>
    <m/>
    <m/>
    <n v="-193.45827291355545"/>
    <n v="0"/>
    <n v="0"/>
    <m/>
    <m/>
    <n v="0"/>
    <n v="0"/>
    <n v="0"/>
    <n v="0"/>
    <n v="0"/>
    <m/>
    <n v="0"/>
    <n v="0"/>
    <m/>
    <n v="0"/>
    <n v="0"/>
    <n v="0"/>
    <n v="0"/>
    <n v="0"/>
    <m/>
    <m/>
    <n v="7387.7809853611961"/>
    <m/>
    <n v="0"/>
    <n v="0"/>
    <n v="-2380.0000000000018"/>
    <m/>
    <n v="0"/>
    <m/>
    <n v="-2183.944677573596"/>
    <m/>
    <n v="0"/>
    <n v="0"/>
    <m/>
    <n v="0"/>
    <n v="0"/>
    <n v="0"/>
    <n v="0"/>
    <n v="0"/>
    <m/>
    <m/>
    <n v="0"/>
    <n v="0"/>
    <m/>
    <n v="0"/>
    <m/>
    <n v="0"/>
    <m/>
    <n v="207"/>
    <m/>
    <m/>
    <m/>
    <m/>
    <n v="0"/>
    <m/>
    <m/>
    <m/>
    <m/>
    <n v="0"/>
    <n v="0"/>
    <n v="0"/>
    <n v="0"/>
  </r>
  <r>
    <n v="99"/>
    <s v="Regular"/>
    <s v="Convencional"/>
    <s v="B2"/>
    <s v="Rural"/>
    <s v="Não se aplica"/>
    <s v="Não se aplica"/>
    <s v="Não se aplica"/>
    <s v="Não se aplica"/>
    <s v="CATIVO"/>
    <x v="4"/>
    <n v="0"/>
    <n v="0"/>
    <n v="53.649000000000001"/>
    <n v="53.649000000000001"/>
    <n v="53.649000000000001"/>
    <n v="53.649000000000001"/>
    <m/>
    <n v="710.52"/>
    <n v="127.85"/>
    <m/>
    <n v="44977.71213"/>
    <n v="44977.71213"/>
    <n v="36948.602790000004"/>
    <n v="0"/>
    <n v="3276.6167869986043"/>
    <n v="0"/>
    <n v="0"/>
    <n v="0"/>
    <n v="5866.1133461028767"/>
    <n v="26726.176849032541"/>
    <n v="6858.8849586789165"/>
    <n v="0"/>
    <n v="0"/>
    <n v="0"/>
    <n v="0"/>
    <n v="0"/>
    <n v="506.73076110502967"/>
    <m/>
    <n v="122.897159861130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20.1028923893332"/>
    <n v="0"/>
    <n v="209.69"/>
    <n v="968.8"/>
    <n v="0"/>
    <n v="42"/>
    <m/>
    <m/>
    <m/>
    <m/>
    <m/>
    <n v="4433.5533600000035"/>
    <m/>
    <m/>
    <m/>
    <n v="8478.9878510682502"/>
    <m/>
    <m/>
    <m/>
    <m/>
    <m/>
    <m/>
    <m/>
    <m/>
    <m/>
    <m/>
    <m/>
    <m/>
    <n v="32515.655499999997"/>
    <n v="-7064.9972300000118"/>
    <m/>
    <m/>
    <m/>
    <m/>
    <n v="-8244.7783199999976"/>
    <n v="215.66898000000054"/>
    <n v="30"/>
    <n v="-128.06135813683431"/>
    <n v="0"/>
    <n v="0"/>
    <n v="0"/>
    <n v="0"/>
    <n v="0"/>
    <n v="0"/>
    <n v="0"/>
    <n v="-307.7405018671343"/>
    <n v="0"/>
    <n v="0"/>
    <n v="215.82312906686275"/>
    <n v="0"/>
    <n v="0"/>
    <n v="0"/>
    <n v="50.978501280051205"/>
    <n v="0"/>
    <n v="-74.619879337270959"/>
    <m/>
    <n v="0"/>
    <n v="0"/>
    <n v="0"/>
    <n v="0"/>
    <n v="-9.6694528249463474"/>
    <n v="-2.8331544543979845"/>
    <n v="0"/>
    <n v="0"/>
    <m/>
    <m/>
    <m/>
    <n v="26726.176849032541"/>
    <n v="0"/>
    <n v="0"/>
    <n v="-8244.7783199999976"/>
    <n v="215.66898000000128"/>
    <n v="0"/>
    <n v="0"/>
    <n v="-7900.6797571546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100"/>
    <s v="Regular"/>
    <s v="Convencional"/>
    <s v="B3"/>
    <s v="Poder público"/>
    <s v="Não se aplica"/>
    <s v="Não se aplica"/>
    <s v="Não se aplica"/>
    <s v="Não se aplica"/>
    <s v="CATIVO"/>
    <x v="4"/>
    <n v="0"/>
    <n v="0"/>
    <n v="15.183"/>
    <n v="15.183"/>
    <n v="15.183"/>
    <n v="15.183"/>
    <m/>
    <n v="710.52"/>
    <n v="127.85"/>
    <m/>
    <n v="12728.97171"/>
    <n v="12728.97171"/>
    <n v="10456.683929999999"/>
    <n v="0"/>
    <n v="927.30288872112817"/>
    <n v="0"/>
    <n v="0"/>
    <n v="0"/>
    <n v="1660.1464879844912"/>
    <n v="7563.673937983207"/>
    <n v="1941.1070164890677"/>
    <n v="0"/>
    <n v="0"/>
    <n v="0"/>
    <n v="0"/>
    <n v="0"/>
    <n v="143.40795067676314"/>
    <m/>
    <n v="34.7806590648762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58.49917454467453"/>
    <n v="0"/>
    <n v="55.67"/>
    <n v="257.3"/>
    <n v="2837.17"/>
    <n v="18"/>
    <m/>
    <m/>
    <m/>
    <m/>
    <m/>
    <m/>
    <m/>
    <m/>
    <m/>
    <n v="2399.6061910337421"/>
    <m/>
    <m/>
    <m/>
    <m/>
    <m/>
    <m/>
    <m/>
    <m/>
    <m/>
    <m/>
    <m/>
    <m/>
    <n v="10454.6178"/>
    <n v="-2274.3839100000005"/>
    <m/>
    <m/>
    <m/>
    <m/>
    <n v="-2333.3234399999992"/>
    <n v="61.035660000000156"/>
    <n v="30"/>
    <n v="-36.242159231142978"/>
    <n v="0"/>
    <n v="0"/>
    <n v="0"/>
    <n v="0"/>
    <n v="0"/>
    <n v="0"/>
    <n v="0"/>
    <n v="-87.092472177462469"/>
    <n v="0"/>
    <n v="0"/>
    <n v="61.079285142727031"/>
    <n v="0"/>
    <n v="0"/>
    <n v="0"/>
    <n v="14.427232286436265"/>
    <n v="0"/>
    <n v="-21.117889018952496"/>
    <m/>
    <n v="0"/>
    <n v="0"/>
    <n v="0"/>
    <n v="0"/>
    <n v="-2.7365151678719144"/>
    <n v="-0.80180029601902447"/>
    <n v="0"/>
    <n v="0"/>
    <m/>
    <m/>
    <m/>
    <n v="7563.673937983207"/>
    <n v="0"/>
    <n v="0"/>
    <n v="-2333.3234400000001"/>
    <n v="61.035660000000007"/>
    <n v="0"/>
    <n v="0"/>
    <n v="-2235.94141089076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101"/>
    <s v="Regular"/>
    <s v="Convencional"/>
    <s v="B4"/>
    <s v="Iluminação pública"/>
    <s v="Iluminação pública – B4a"/>
    <s v="Não se aplica"/>
    <s v="Não se aplica"/>
    <s v="Não se aplica"/>
    <s v="CATIVO"/>
    <x v="4"/>
    <n v="0"/>
    <n v="0"/>
    <n v="41.988"/>
    <n v="41.988"/>
    <n v="41.988"/>
    <n v="41.988"/>
    <m/>
    <n v="390.79"/>
    <n v="70.319999999999993"/>
    <m/>
    <n v="19361.08668"/>
    <n v="19361.08668"/>
    <n v="15904.63452"/>
    <n v="0"/>
    <n v="1410.4311750242061"/>
    <n v="0"/>
    <n v="0"/>
    <n v="0"/>
    <n v="2525.0890407443185"/>
    <n v="11504.376455207886"/>
    <n v="2952.4310593814571"/>
    <n v="0"/>
    <n v="0"/>
    <n v="0"/>
    <n v="0"/>
    <n v="0"/>
    <n v="218.12403136130945"/>
    <m/>
    <n v="52.9015130111845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697.37896577949164"/>
    <n v="0"/>
    <n v="96.46"/>
    <n v="446.12"/>
    <n v="4918.8"/>
    <n v="36"/>
    <m/>
    <m/>
    <m/>
    <m/>
    <m/>
    <m/>
    <m/>
    <m/>
    <m/>
    <n v="3649.8100251609485"/>
    <m/>
    <m/>
    <m/>
    <m/>
    <m/>
    <m/>
    <m/>
    <m/>
    <m/>
    <m/>
    <m/>
    <m/>
    <n v="15905.392100000001"/>
    <n v="-3455.7245799999946"/>
    <m/>
    <m/>
    <m/>
    <m/>
    <n v="-3549.245640000001"/>
    <n v="92.793480000000329"/>
    <n v="30"/>
    <n v="-55.124460250847733"/>
    <n v="0"/>
    <n v="0"/>
    <n v="0"/>
    <n v="0"/>
    <n v="0"/>
    <n v="0"/>
    <n v="0"/>
    <n v="-132.46797714437344"/>
    <n v="0"/>
    <n v="0"/>
    <n v="92.901822005865142"/>
    <n v="0"/>
    <n v="0"/>
    <n v="0"/>
    <n v="21.943874470363198"/>
    <n v="0"/>
    <n v="-32.120388478583664"/>
    <m/>
    <n v="0"/>
    <n v="0"/>
    <n v="0"/>
    <n v="0"/>
    <n v="-4.1622498437552338"/>
    <n v="-1.2195412603625968"/>
    <n v="0"/>
    <n v="0"/>
    <m/>
    <m/>
    <m/>
    <n v="11504.376455207886"/>
    <n v="0"/>
    <n v="0"/>
    <n v="-3549.2456399999992"/>
    <n v="92.793480000000272"/>
    <n v="0"/>
    <n v="0"/>
    <n v="-3400.87528013338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102"/>
    <s v="Regular"/>
    <s v="Convencional"/>
    <s v="B3"/>
    <s v="Serviço público"/>
    <s v="Água, esgoto e saneamento"/>
    <s v="Não se aplica"/>
    <s v="Não se aplica"/>
    <s v="Não se aplica"/>
    <s v="CATIVO"/>
    <x v="4"/>
    <n v="0"/>
    <n v="0"/>
    <n v="7.2"/>
    <n v="6.7679999999999998"/>
    <n v="7.2"/>
    <n v="6.7679999999999998"/>
    <m/>
    <n v="710.52"/>
    <n v="127.85"/>
    <m/>
    <n v="6036.2639999999992"/>
    <n v="6036.2639999999992"/>
    <n v="4958.7120000000004"/>
    <n v="0"/>
    <n v="439.74055185352853"/>
    <n v="0"/>
    <n v="0"/>
    <n v="0"/>
    <n v="787.26567302169121"/>
    <n v="3586.8044756292625"/>
    <n v="920.50125263263442"/>
    <n v="0"/>
    <n v="0"/>
    <n v="0"/>
    <n v="0"/>
    <n v="0"/>
    <n v="68.00614139976912"/>
    <m/>
    <n v="16.4934957035571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7.426994449164"/>
    <n v="0"/>
    <n v="40.340000000000003"/>
    <n v="186.24"/>
    <n v="1297.3499999999999"/>
    <n v="1"/>
    <m/>
    <m/>
    <m/>
    <m/>
    <n v="297.52272000000028"/>
    <m/>
    <m/>
    <m/>
    <m/>
    <n v="1137.9282470817984"/>
    <m/>
    <m/>
    <m/>
    <m/>
    <m/>
    <m/>
    <m/>
    <m/>
    <m/>
    <m/>
    <m/>
    <m/>
    <n v="4662.5666999999994"/>
    <n v="-1011.5514600000015"/>
    <m/>
    <m/>
    <m/>
    <m/>
    <n v="-1106.4959999999996"/>
    <n v="28.944000000000074"/>
    <n v="30"/>
    <n v="-17.186560394140088"/>
    <n v="0"/>
    <n v="0"/>
    <n v="0"/>
    <n v="0"/>
    <n v="0"/>
    <n v="0"/>
    <n v="0"/>
    <n v="-41.300520297551998"/>
    <n v="0"/>
    <n v="0"/>
    <n v="28.964687678827318"/>
    <n v="0"/>
    <n v="0"/>
    <n v="0"/>
    <n v="6.8416039295488815"/>
    <n v="0"/>
    <n v="-10.014410915922952"/>
    <m/>
    <n v="0"/>
    <n v="0"/>
    <n v="0"/>
    <n v="0"/>
    <n v="-1.2976953967383054"/>
    <n v="-0.38022539230303565"/>
    <n v="0"/>
    <n v="0"/>
    <m/>
    <m/>
    <m/>
    <n v="3586.8044756292625"/>
    <n v="0"/>
    <n v="0"/>
    <n v="-1106.4959999999992"/>
    <n v="28.944000000000074"/>
    <n v="0"/>
    <n v="0"/>
    <n v="-1060.31602176207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103"/>
    <s v="Regular"/>
    <s v="Convencional"/>
    <s v="B1"/>
    <s v="Residencial"/>
    <s v="Residencial"/>
    <s v="Não se aplica"/>
    <s v="Não se aplica"/>
    <s v="Não se aplica"/>
    <s v="CATIVO"/>
    <x v="5"/>
    <n v="0"/>
    <n v="0"/>
    <n v="964.93299999999999"/>
    <n v="964.93299999999999"/>
    <n v="964.93299999999999"/>
    <n v="964.93299999999999"/>
    <m/>
    <n v="710.52"/>
    <n v="127.85"/>
    <m/>
    <n v="808970.87921000004"/>
    <n v="808970.87921000004"/>
    <n v="664559.00642999995"/>
    <n v="0"/>
    <n v="58933.356933566778"/>
    <n v="0"/>
    <n v="0"/>
    <n v="0"/>
    <n v="105508.14273136659"/>
    <n v="480698.05598366261"/>
    <n v="123364.17155646747"/>
    <n v="0"/>
    <n v="0"/>
    <n v="0"/>
    <n v="0"/>
    <n v="0"/>
    <n v="9114.0791721254755"/>
    <m/>
    <n v="2210.433095794520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139.233615946549"/>
    <n v="0"/>
    <n v="3802.44"/>
    <n v="17696.84"/>
    <n v="186012.11"/>
    <n v="6067"/>
    <m/>
    <m/>
    <m/>
    <m/>
    <m/>
    <m/>
    <m/>
    <m/>
    <m/>
    <n v="152503.40517241403"/>
    <m/>
    <m/>
    <m/>
    <m/>
    <m/>
    <m/>
    <m/>
    <m/>
    <m/>
    <m/>
    <m/>
    <m/>
    <n v="664556.94030000002"/>
    <n v="-144413.96891000005"/>
    <m/>
    <m/>
    <m/>
    <m/>
    <n v="-148290.90343999994"/>
    <n v="3879.0306600000099"/>
    <m/>
    <n v="-2303.3165667776484"/>
    <n v="0"/>
    <n v="0"/>
    <n v="0"/>
    <n v="0"/>
    <n v="0"/>
    <n v="0"/>
    <n v="0"/>
    <n v="-5535.0326322607725"/>
    <n v="0"/>
    <n v="0"/>
    <n v="3881.8031911102589"/>
    <n v="0"/>
    <n v="0"/>
    <n v="0"/>
    <n v="916.90130618769399"/>
    <n v="0"/>
    <n v="-1342.1160511575363"/>
    <m/>
    <n v="0"/>
    <n v="0"/>
    <n v="0"/>
    <n v="0"/>
    <n v="-173.91515448067912"/>
    <n v="-50.95722617654792"/>
    <n v="0"/>
    <n v="0"/>
    <m/>
    <m/>
    <m/>
    <n v="480698.05598366261"/>
    <n v="0"/>
    <n v="0"/>
    <n v="-148290.90344000002"/>
    <n v="3879.030660000004"/>
    <n v="0"/>
    <n v="0"/>
    <n v="-142101.933309297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104"/>
    <s v="Sistema de Compensação"/>
    <s v="Convencional"/>
    <s v="B1"/>
    <s v="Residencial"/>
    <s v="Residencial"/>
    <s v="Não se aplica"/>
    <s v="Não se aplica"/>
    <s v="Não se aplica"/>
    <s v="CATIVO"/>
    <x v="5"/>
    <n v="0"/>
    <n v="0"/>
    <n v="0.83799999999999997"/>
    <n v="0.83799999999999997"/>
    <n v="0.83799999999999997"/>
    <n v="0.83799999999999997"/>
    <m/>
    <n v="710.52"/>
    <n v="127.85"/>
    <m/>
    <n v="702.55405999999994"/>
    <n v="702.55405999999994"/>
    <n v="577.13898000000006"/>
    <n v="0"/>
    <n v="51.180914229619013"/>
    <n v="0"/>
    <n v="0"/>
    <n v="0"/>
    <n v="91.628976943357941"/>
    <n v="417.46418758018359"/>
    <n v="107.13611801474272"/>
    <n v="0"/>
    <n v="0"/>
    <n v="0"/>
    <n v="0"/>
    <n v="0"/>
    <n v="7.9151592351397948"/>
    <m/>
    <n v="1.91965963883068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.306086298388809"/>
    <n v="0"/>
    <n v="1.46"/>
    <n v="7.08"/>
    <n v="561.92999999999995"/>
    <n v="15"/>
    <m/>
    <m/>
    <m/>
    <m/>
    <m/>
    <m/>
    <m/>
    <m/>
    <m/>
    <n v="132.44220431313153"/>
    <m/>
    <m/>
    <m/>
    <m/>
    <m/>
    <m/>
    <m/>
    <m/>
    <m/>
    <m/>
    <m/>
    <m/>
    <n v="578.51639999999998"/>
    <n v="-124.06765999999993"/>
    <m/>
    <m/>
    <m/>
    <m/>
    <n v="-128.78383999999994"/>
    <n v="3.3687600000000084"/>
    <m/>
    <n v="-2.0003246680957432"/>
    <n v="0"/>
    <n v="0"/>
    <n v="0"/>
    <n v="0"/>
    <n v="0"/>
    <n v="0"/>
    <n v="0"/>
    <n v="-4.8069216679650708"/>
    <n v="0"/>
    <n v="0"/>
    <n v="3.3711678159524041"/>
    <n v="0"/>
    <n v="0"/>
    <n v="0"/>
    <n v="0.79628667957804922"/>
    <n v="0"/>
    <n v="-1.1655661593810365"/>
    <m/>
    <n v="0"/>
    <n v="0"/>
    <n v="0"/>
    <n v="0"/>
    <n v="-0.15103732534259784"/>
    <n v="-4.4254010937492039E-2"/>
    <n v="0"/>
    <n v="0"/>
    <m/>
    <m/>
    <m/>
    <n v="417.46418758018359"/>
    <n v="0"/>
    <n v="0"/>
    <n v="-128.78383999999994"/>
    <n v="3.3687600000000089"/>
    <n v="0"/>
    <n v="0"/>
    <n v="-123.409003643974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105"/>
    <s v="Regular"/>
    <s v="Convencional"/>
    <s v="B1"/>
    <s v="Residencial"/>
    <s v="Residencial baixa renda – faixa 01"/>
    <s v="Não se aplica"/>
    <s v="Não se aplica"/>
    <s v="Não se aplica"/>
    <s v="CATIVO"/>
    <x v="5"/>
    <n v="0"/>
    <n v="0"/>
    <n v="4.53"/>
    <n v="4.53"/>
    <n v="4.53"/>
    <n v="4.53"/>
    <m/>
    <n v="640"/>
    <n v="127.85"/>
    <m/>
    <n v="3478.3605000000002"/>
    <n v="3478.3605000000002"/>
    <n v="2807.5128000000004"/>
    <n v="0"/>
    <n v="0"/>
    <n v="0"/>
    <n v="0"/>
    <n v="0"/>
    <n v="495.32131927614739"/>
    <n v="2256.6978159167443"/>
    <n v="579.14870478136584"/>
    <n v="0"/>
    <n v="0"/>
    <n v="0"/>
    <n v="0"/>
    <n v="0"/>
    <n v="0"/>
    <m/>
    <n v="10.3771577134880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6.79781734093234"/>
    <n v="0"/>
    <n v="18.09"/>
    <n v="83"/>
    <n v="588.52"/>
    <n v="2"/>
    <m/>
    <m/>
    <m/>
    <m/>
    <m/>
    <m/>
    <m/>
    <n v="1824.9105"/>
    <m/>
    <n v="715.94652212229812"/>
    <m/>
    <m/>
    <m/>
    <m/>
    <m/>
    <m/>
    <m/>
    <m/>
    <m/>
    <m/>
    <m/>
    <m/>
    <n v="982.60230000000001"/>
    <n v="-234.86519999999996"/>
    <m/>
    <m/>
    <m/>
    <m/>
    <n v="-689.05830000000014"/>
    <n v="18.210600000000046"/>
    <m/>
    <n v="-3.6960106929300309"/>
    <n v="0"/>
    <n v="0"/>
    <n v="0"/>
    <n v="0"/>
    <n v="0"/>
    <n v="0"/>
    <n v="0"/>
    <n v="-25.984910687209776"/>
    <n v="0"/>
    <n v="0"/>
    <n v="18.223615997928846"/>
    <n v="0"/>
    <n v="0"/>
    <n v="0"/>
    <n v="4.3045091390078483"/>
    <n v="0"/>
    <n v="0"/>
    <m/>
    <n v="0"/>
    <n v="0"/>
    <n v="0"/>
    <n v="0"/>
    <n v="0"/>
    <n v="-0.23922514265732708"/>
    <n v="0"/>
    <n v="0"/>
    <m/>
    <m/>
    <m/>
    <n v="2256.6978159167443"/>
    <n v="0"/>
    <n v="0"/>
    <n v="-689.05830000000014"/>
    <n v="18.210600000000113"/>
    <n v="0"/>
    <n v="0"/>
    <n v="-667.115497025303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106"/>
    <s v="Regular"/>
    <s v="Convencional"/>
    <s v="B1"/>
    <s v="Residencial"/>
    <s v="Residencial baixa renda – faixa 02"/>
    <s v="Não se aplica"/>
    <s v="Não se aplica"/>
    <s v="Não se aplica"/>
    <s v="CATIVO"/>
    <x v="5"/>
    <n v="0"/>
    <n v="0"/>
    <n v="10.077999999999999"/>
    <n v="10.077999999999999"/>
    <n v="10.077999999999999"/>
    <n v="10.077999999999999"/>
    <m/>
    <n v="640"/>
    <n v="127.85"/>
    <m/>
    <n v="7738.3922999999995"/>
    <n v="7738.3922999999995"/>
    <n v="6245.9412799999991"/>
    <n v="0"/>
    <n v="0"/>
    <n v="0"/>
    <n v="0"/>
    <n v="0"/>
    <n v="1101.9532573211948"/>
    <n v="5020.5299313044034"/>
    <n v="1288.44605889329"/>
    <n v="0"/>
    <n v="0"/>
    <n v="0"/>
    <n v="0"/>
    <n v="0"/>
    <n v="0"/>
    <m/>
    <n v="23.0863124583957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4.33739584148259"/>
    <n v="0"/>
    <n v="39.450000000000003"/>
    <n v="185.54"/>
    <n v="1372.27"/>
    <n v="14"/>
    <m/>
    <m/>
    <m/>
    <m/>
    <m/>
    <m/>
    <m/>
    <n v="2498.3361999999997"/>
    <m/>
    <n v="1592.7834547347725"/>
    <m/>
    <m/>
    <m/>
    <m/>
    <m/>
    <m/>
    <m/>
    <m/>
    <m/>
    <m/>
    <m/>
    <m/>
    <n v="3748.3487999999998"/>
    <n v="-894.71658000000025"/>
    <m/>
    <m/>
    <m/>
    <m/>
    <n v="-1532.9645800000001"/>
    <n v="40.513560000000098"/>
    <m/>
    <n v="-8.2226039212696378"/>
    <n v="0"/>
    <n v="0"/>
    <n v="0"/>
    <n v="0"/>
    <n v="0"/>
    <n v="0"/>
    <n v="0"/>
    <n v="-57.809256049823261"/>
    <n v="0"/>
    <n v="0"/>
    <n v="40.542517003780858"/>
    <n v="0"/>
    <n v="0"/>
    <n v="0"/>
    <n v="9.5763450558324621"/>
    <n v="0"/>
    <n v="0"/>
    <m/>
    <n v="0"/>
    <n v="0"/>
    <n v="0"/>
    <n v="0"/>
    <n v="0"/>
    <n v="-0.53220993105971814"/>
    <n v="0"/>
    <n v="0"/>
    <m/>
    <m/>
    <m/>
    <n v="5020.5299313044034"/>
    <n v="0"/>
    <n v="0"/>
    <n v="-1532.9645800000008"/>
    <n v="40.513560000000098"/>
    <n v="0"/>
    <n v="0"/>
    <n v="-1484.14789823863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107"/>
    <s v="Regular"/>
    <s v="Convencional"/>
    <s v="B1"/>
    <s v="Residencial"/>
    <s v="Residencial baixa renda – faixa 03"/>
    <s v="Não se aplica"/>
    <s v="Não se aplica"/>
    <s v="Não se aplica"/>
    <s v="CATIVO"/>
    <x v="5"/>
    <n v="0"/>
    <n v="0"/>
    <n v="9.7309999999999999"/>
    <n v="9.7309999999999999"/>
    <n v="9.7309999999999999"/>
    <n v="9.7309999999999999"/>
    <m/>
    <n v="640"/>
    <n v="127.85"/>
    <m/>
    <n v="7471.9483500000006"/>
    <n v="7471.9483500000006"/>
    <n v="6030.8845599999995"/>
    <n v="0"/>
    <n v="0"/>
    <n v="0"/>
    <n v="0"/>
    <n v="0"/>
    <n v="1064.0114255797328"/>
    <n v="4847.665882270604"/>
    <n v="1244.0830124122451"/>
    <n v="0"/>
    <n v="0"/>
    <n v="0"/>
    <n v="0"/>
    <n v="0"/>
    <n v="0"/>
    <m/>
    <n v="22.2914175960159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3.85862263677984"/>
    <n v="0"/>
    <n v="39.520000000000003"/>
    <n v="182.84"/>
    <n v="1696.04"/>
    <n v="105"/>
    <m/>
    <m/>
    <m/>
    <m/>
    <m/>
    <m/>
    <m/>
    <n v="603.12737999999968"/>
    <m/>
    <n v="1537.9416350490251"/>
    <m/>
    <m/>
    <m/>
    <m/>
    <m/>
    <m/>
    <m/>
    <m/>
    <m/>
    <m/>
    <m/>
    <m/>
    <n v="5427.1994000000004"/>
    <n v="-1297.5354600000001"/>
    <m/>
    <m/>
    <m/>
    <m/>
    <n v="-1480.1824100000001"/>
    <n v="39.118620000000099"/>
    <m/>
    <n v="-7.939487870398807"/>
    <n v="0"/>
    <n v="0"/>
    <n v="0"/>
    <n v="0"/>
    <n v="0"/>
    <n v="0"/>
    <n v="0"/>
    <n v="-55.818800418816295"/>
    <n v="0"/>
    <n v="0"/>
    <n v="39.146579972592917"/>
    <n v="0"/>
    <n v="0"/>
    <n v="0"/>
    <n v="9.2466177553388889"/>
    <n v="0"/>
    <n v="0"/>
    <m/>
    <n v="0"/>
    <n v="0"/>
    <n v="0"/>
    <n v="0"/>
    <n v="0"/>
    <n v="-0.51388517951400559"/>
    <n v="0"/>
    <n v="0"/>
    <m/>
    <m/>
    <m/>
    <n v="4847.665882270604"/>
    <n v="0"/>
    <n v="0"/>
    <n v="-1480.1824100000003"/>
    <n v="39.118619999999964"/>
    <n v="0"/>
    <n v="0"/>
    <n v="-1433.04655663426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108"/>
    <s v="Regular"/>
    <s v="Convencional"/>
    <s v="B1"/>
    <s v="Residencial"/>
    <s v="Residencial baixa renda – faixa 04"/>
    <s v="Não se aplica"/>
    <s v="Não se aplica"/>
    <s v="Não se aplica"/>
    <s v="CATIVO"/>
    <x v="5"/>
    <n v="0"/>
    <n v="0"/>
    <n v="2.1669999999999998"/>
    <n v="2.1669999999999998"/>
    <n v="2.1669999999999998"/>
    <n v="2.1669999999999998"/>
    <m/>
    <n v="640"/>
    <n v="127.85"/>
    <m/>
    <n v="1663.9309499999999"/>
    <n v="1663.9309499999999"/>
    <n v="1343.0199199999997"/>
    <n v="0"/>
    <n v="0"/>
    <n v="0"/>
    <n v="0"/>
    <n v="0"/>
    <n v="236.94509908861176"/>
    <n v="1079.5285137067515"/>
    <n v="277.04530756318314"/>
    <n v="0"/>
    <n v="0"/>
    <n v="0"/>
    <n v="0"/>
    <n v="0"/>
    <n v="0"/>
    <m/>
    <n v="4.96408405411228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65.439485690463655"/>
    <n v="0"/>
    <n v="9.2100000000000009"/>
    <n v="42.53"/>
    <n v="536.51"/>
    <n v="30"/>
    <m/>
    <m/>
    <m/>
    <m/>
    <m/>
    <m/>
    <m/>
    <m/>
    <m/>
    <n v="342.48479325364679"/>
    <m/>
    <m/>
    <m/>
    <m/>
    <m/>
    <m/>
    <m/>
    <m/>
    <m/>
    <m/>
    <m/>
    <m/>
    <n v="1344.8791999999999"/>
    <n v="-319.08175000000006"/>
    <m/>
    <m/>
    <m/>
    <m/>
    <n v="-329.62236999999999"/>
    <n v="8.7113400000000212"/>
    <m/>
    <n v="-1.7680474992450854"/>
    <n v="0"/>
    <n v="0"/>
    <n v="0"/>
    <n v="0"/>
    <n v="0"/>
    <n v="0"/>
    <n v="0"/>
    <n v="-12.430309372888189"/>
    <n v="0"/>
    <n v="0"/>
    <n v="8.7175664166692854"/>
    <n v="0"/>
    <n v="0"/>
    <n v="0"/>
    <n v="2.0591327382406206"/>
    <n v="0"/>
    <n v="0"/>
    <m/>
    <n v="0"/>
    <n v="0"/>
    <n v="0"/>
    <n v="0"/>
    <n v="0"/>
    <n v="-0.11443728126676067"/>
    <n v="0"/>
    <n v="0"/>
    <m/>
    <m/>
    <m/>
    <n v="1079.5285137067515"/>
    <n v="0"/>
    <n v="0"/>
    <n v="-329.62237000000005"/>
    <n v="8.7113400000000638"/>
    <n v="0"/>
    <n v="0"/>
    <n v="-319.125669327556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109"/>
    <s v="Regular"/>
    <s v="Branca"/>
    <s v="B1"/>
    <s v="Residencial"/>
    <s v="Residencial"/>
    <s v="Não se aplica"/>
    <s v="Não se aplica"/>
    <s v="Ponta"/>
    <s v="CATIVO"/>
    <x v="5"/>
    <n v="0"/>
    <n v="0"/>
    <n v="2.7E-2"/>
    <n v="2.7E-2"/>
    <n v="2.7E-2"/>
    <n v="2.7E-2"/>
    <m/>
    <n v="1864.71"/>
    <n v="127.85"/>
    <m/>
    <n v="53.799119999999995"/>
    <n v="53.799119999999995"/>
    <n v="41.909669999999998"/>
    <n v="0"/>
    <n v="1.6490270694507319"/>
    <n v="0"/>
    <n v="0"/>
    <n v="0"/>
    <n v="8.5595218330079597"/>
    <n v="39.006505014300807"/>
    <n v="3.4518796973723789"/>
    <n v="0"/>
    <n v="0"/>
    <n v="0"/>
    <n v="0"/>
    <n v="0"/>
    <n v="0.2550230302491342"/>
    <m/>
    <n v="6.1850608888339445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81535122918436498"/>
    <n v="0"/>
    <n v="0"/>
    <n v="0"/>
    <n v="0"/>
    <n v="0"/>
    <m/>
    <m/>
    <m/>
    <m/>
    <m/>
    <m/>
    <m/>
    <m/>
    <m/>
    <n v="4.2672309265567439"/>
    <m/>
    <m/>
    <m/>
    <m/>
    <m/>
    <m/>
    <m/>
    <m/>
    <m/>
    <m/>
    <m/>
    <m/>
    <n v="46.566299999999998"/>
    <n v="-7.2628199999999907"/>
    <m/>
    <m/>
    <m/>
    <m/>
    <n v="-11.997990000000003"/>
    <n v="0.10854000000000028"/>
    <m/>
    <n v="-0.35861128790958396"/>
    <n v="0"/>
    <n v="0"/>
    <n v="0"/>
    <n v="0"/>
    <n v="0"/>
    <n v="0"/>
    <n v="0"/>
    <n v="-0.44903863754738005"/>
    <n v="0"/>
    <n v="0"/>
    <n v="0.1086175787956023"/>
    <n v="0"/>
    <n v="0"/>
    <n v="0"/>
    <n v="2.5656014735808252E-2"/>
    <n v="0"/>
    <n v="-3.7554040934711042E-2"/>
    <m/>
    <n v="0"/>
    <n v="0"/>
    <n v="0"/>
    <n v="0"/>
    <n v="-4.8663577377686673E-3"/>
    <n v="-1.425845221136382E-3"/>
    <n v="0"/>
    <n v="0"/>
    <m/>
    <m/>
    <m/>
    <n v="39.006505014300807"/>
    <n v="0"/>
    <n v="0"/>
    <n v="-11.997990000000001"/>
    <n v="0.10854000000000052"/>
    <n v="0"/>
    <n v="0"/>
    <n v="-11.5309386114083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110"/>
    <s v="Regular"/>
    <s v="Branca"/>
    <s v="B1"/>
    <s v="Residencial"/>
    <s v="Residencial"/>
    <s v="Não se aplica"/>
    <s v="Não se aplica"/>
    <s v="Fora ponta"/>
    <s v="CATIVO"/>
    <x v="5"/>
    <n v="0"/>
    <n v="0"/>
    <n v="0.28499999999999998"/>
    <n v="0.28499999999999998"/>
    <n v="0.28499999999999998"/>
    <n v="0.28499999999999998"/>
    <m/>
    <n v="455.34"/>
    <n v="127.85"/>
    <m/>
    <n v="166.20914999999999"/>
    <n v="166.20914999999999"/>
    <n v="141.87299999999999"/>
    <n v="0"/>
    <n v="17.406396844202167"/>
    <n v="0"/>
    <n v="0"/>
    <n v="0"/>
    <n v="18.067289772924195"/>
    <n v="82.34702151359032"/>
    <n v="36.436507916708443"/>
    <n v="0"/>
    <n v="0"/>
    <n v="0"/>
    <n v="0"/>
    <n v="0"/>
    <n v="2.6919097637408611"/>
    <m/>
    <n v="0.65286753826580524"/>
    <n v="0"/>
    <n v="0"/>
    <n v="0"/>
    <n v="0"/>
    <n v="0"/>
    <n v="0"/>
    <n v="0"/>
    <n v="0"/>
    <n v="0"/>
    <n v="0"/>
    <n v="0"/>
    <n v="0"/>
    <m/>
    <n v="0"/>
    <n v="0"/>
    <n v="0"/>
    <n v="0"/>
    <n v="0"/>
    <n v="8.6064851969460729"/>
    <n v="0"/>
    <n v="0"/>
    <n v="0"/>
    <n v="0"/>
    <n v="0"/>
    <m/>
    <m/>
    <m/>
    <m/>
    <m/>
    <m/>
    <m/>
    <m/>
    <m/>
    <n v="45.042993113654518"/>
    <m/>
    <m/>
    <m/>
    <m/>
    <m/>
    <m/>
    <m/>
    <m/>
    <m/>
    <m/>
    <m/>
    <m/>
    <n v="144.36199999999999"/>
    <n v="-21.877149999999972"/>
    <m/>
    <m/>
    <m/>
    <m/>
    <n v="-25.481849999999987"/>
    <n v="1.1457000000000028"/>
    <m/>
    <n v="6.687968748266826E-3"/>
    <n v="0"/>
    <n v="0"/>
    <n v="0"/>
    <n v="0"/>
    <n v="0"/>
    <n v="0"/>
    <n v="0"/>
    <n v="-0.94782294409510826"/>
    <n v="0"/>
    <n v="0"/>
    <n v="1.1465188872869092"/>
    <n v="0"/>
    <n v="0"/>
    <n v="0"/>
    <n v="0.27081348887797851"/>
    <n v="0"/>
    <n v="-0.39640376542194744"/>
    <m/>
    <n v="0"/>
    <n v="0"/>
    <n v="0"/>
    <n v="0"/>
    <n v="-5.1367109454225179E-2"/>
    <n v="-1.5050588445328472E-2"/>
    <n v="0"/>
    <n v="0"/>
    <m/>
    <m/>
    <m/>
    <n v="82.34702151359032"/>
    <n v="0"/>
    <n v="0"/>
    <n v="-25.481849999999994"/>
    <n v="1.1456999999999979"/>
    <n v="0"/>
    <n v="0"/>
    <n v="-24.3430794314282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111"/>
    <s v="Regular"/>
    <s v="Branca"/>
    <s v="B1"/>
    <s v="Residencial"/>
    <s v="Residencial"/>
    <s v="Não se aplica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74"/>
    <n v="3.44"/>
    <n v="84.4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7"/>
    <m/>
    <m/>
    <m/>
    <m/>
    <n v="0"/>
    <m/>
    <m/>
    <m/>
    <m/>
    <n v="0"/>
    <n v="0"/>
    <n v="0"/>
    <n v="0"/>
  </r>
  <r>
    <n v="112"/>
    <s v="Sistema de Compensação"/>
    <s v="Branca"/>
    <s v="B1"/>
    <s v="Residencial"/>
    <s v="Residencial"/>
    <s v="Não se aplica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19"/>
    <n v="0.92"/>
    <n v="90.66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7"/>
    <m/>
    <m/>
    <m/>
    <m/>
    <n v="0"/>
    <m/>
    <m/>
    <m/>
    <m/>
    <n v="0"/>
    <n v="0"/>
    <n v="0"/>
    <n v="0"/>
  </r>
  <r>
    <n v="113"/>
    <s v="Regular"/>
    <s v="Branca"/>
    <s v="B1"/>
    <s v="Residencial"/>
    <s v="Residencial"/>
    <s v="Não se aplica"/>
    <s v="Não se aplica"/>
    <s v="Intermediário"/>
    <s v="CATIVO"/>
    <x v="5"/>
    <n v="0"/>
    <n v="0"/>
    <n v="1.7999999999999999E-2"/>
    <n v="1.7999999999999999E-2"/>
    <n v="1.7999999999999999E-2"/>
    <n v="1.7999999999999999E-2"/>
    <m/>
    <n v="1160"/>
    <n v="127.85"/>
    <m/>
    <n v="23.1813"/>
    <n v="23.1813"/>
    <n v="18.449639999999999"/>
    <n v="0"/>
    <n v="1.0993513796338212"/>
    <n v="0"/>
    <n v="0"/>
    <n v="0"/>
    <n v="3.4232778068925778"/>
    <n v="15.6025995897841"/>
    <n v="2.3012531315815856"/>
    <n v="0"/>
    <n v="0"/>
    <n v="0"/>
    <n v="0"/>
    <n v="0"/>
    <n v="0.17001535349942279"/>
    <m/>
    <n v="4.1233739258892961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54356748612290995"/>
    <n v="0"/>
    <n v="0"/>
    <n v="0"/>
    <n v="0"/>
    <n v="0"/>
    <m/>
    <m/>
    <m/>
    <m/>
    <m/>
    <m/>
    <m/>
    <m/>
    <m/>
    <n v="2.8448206177044955"/>
    <m/>
    <m/>
    <m/>
    <m/>
    <m/>
    <m/>
    <m/>
    <m/>
    <m/>
    <m/>
    <m/>
    <m/>
    <n v="20.499600000000001"/>
    <n v="-2.711700000000004"/>
    <m/>
    <m/>
    <m/>
    <m/>
    <n v="-4.8040199999999995"/>
    <n v="7.2360000000000174E-2"/>
    <m/>
    <n v="-0.11930270248643193"/>
    <n v="0"/>
    <n v="0"/>
    <n v="0"/>
    <n v="0"/>
    <n v="0"/>
    <n v="0"/>
    <n v="0"/>
    <n v="-0.17958760224496206"/>
    <n v="0"/>
    <n v="0"/>
    <n v="7.2411719197068347E-2"/>
    <n v="0"/>
    <n v="0"/>
    <n v="0"/>
    <n v="1.7104009823872168E-2"/>
    <n v="0"/>
    <n v="-2.5036027289807361E-2"/>
    <m/>
    <n v="0"/>
    <n v="0"/>
    <n v="0"/>
    <n v="0"/>
    <n v="-3.244238491845769E-3"/>
    <n v="-9.5056348075758801E-4"/>
    <n v="0"/>
    <n v="0"/>
    <m/>
    <m/>
    <m/>
    <n v="15.6025995897841"/>
    <n v="0"/>
    <n v="0"/>
    <n v="-4.8040200000000013"/>
    <n v="7.2360000000000202E-2"/>
    <n v="0"/>
    <n v="0"/>
    <n v="-4.61237473037446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114"/>
    <s v="Sistema de Compensação"/>
    <s v="Branca"/>
    <s v="B1"/>
    <s v="Residencial"/>
    <s v="Residencial"/>
    <s v="Não se aplica"/>
    <s v="Não se aplica"/>
    <s v="Intermediário"/>
    <s v="CATIVO"/>
    <x v="5"/>
    <n v="0"/>
    <n v="0"/>
    <n v="5.7000000000000002E-2"/>
    <n v="5.7000000000000002E-2"/>
    <n v="5.7000000000000002E-2"/>
    <n v="5.7000000000000002E-2"/>
    <m/>
    <n v="1160"/>
    <n v="127.85"/>
    <m/>
    <n v="73.407450000000011"/>
    <n v="73.407450000000011"/>
    <n v="58.423860000000005"/>
    <n v="0"/>
    <n v="3.481279368840434"/>
    <n v="0"/>
    <n v="0"/>
    <n v="0"/>
    <n v="10.840379721826498"/>
    <n v="49.40823203431632"/>
    <n v="7.287301583341689"/>
    <n v="0"/>
    <n v="0"/>
    <n v="0"/>
    <n v="0"/>
    <n v="0"/>
    <n v="0.53838195274817224"/>
    <m/>
    <n v="0.130573507653161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7212970393892149"/>
    <n v="0"/>
    <n v="0"/>
    <n v="0"/>
    <n v="0"/>
    <n v="0"/>
    <m/>
    <m/>
    <m/>
    <m/>
    <m/>
    <m/>
    <m/>
    <m/>
    <m/>
    <n v="9.0085986227309043"/>
    <m/>
    <m/>
    <m/>
    <m/>
    <m/>
    <m/>
    <m/>
    <m/>
    <m/>
    <m/>
    <m/>
    <m/>
    <n v="61.498799999999996"/>
    <n v="-11.938650000000031"/>
    <m/>
    <m/>
    <m/>
    <m/>
    <n v="-15.212730000000001"/>
    <n v="0.22914000000000059"/>
    <m/>
    <n v="-0.37779189120703194"/>
    <n v="0"/>
    <n v="0"/>
    <n v="0"/>
    <n v="0"/>
    <n v="0"/>
    <n v="0"/>
    <n v="0"/>
    <n v="-0.56869407377571335"/>
    <n v="0"/>
    <n v="0"/>
    <n v="0.22930377745738273"/>
    <n v="0"/>
    <n v="0"/>
    <n v="0"/>
    <n v="5.416269777559557E-2"/>
    <n v="0"/>
    <n v="-7.9280753084389755E-2"/>
    <m/>
    <n v="0"/>
    <n v="0"/>
    <n v="0"/>
    <n v="0"/>
    <n v="-1.0273421890845014E-2"/>
    <n v="-3.0101176890657E-3"/>
    <n v="0"/>
    <n v="0"/>
    <m/>
    <m/>
    <m/>
    <n v="49.40823203431632"/>
    <n v="0"/>
    <n v="0"/>
    <n v="-15.212730000000001"/>
    <n v="0.22914000000000101"/>
    <n v="0"/>
    <n v="0"/>
    <n v="-14.6058533128524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115"/>
    <s v="Regular"/>
    <s v="Verde"/>
    <s v="A4"/>
    <s v="Industrial"/>
    <s v="Não se aplica"/>
    <s v="Não se aplica"/>
    <s v="Não se aplica"/>
    <s v="Ponta"/>
    <s v="CATIVO"/>
    <x v="5"/>
    <n v="0"/>
    <n v="0"/>
    <n v="4.0910000000000002"/>
    <n v="4.0910000000000002"/>
    <n v="4.0910000000000002"/>
    <n v="4.0910000000000002"/>
    <m/>
    <n v="2075.9499999999998"/>
    <n v="127.85"/>
    <m/>
    <n v="9015.7457999999988"/>
    <n v="9015.7457999999988"/>
    <n v="7226.3833100000002"/>
    <n v="0"/>
    <n v="217.37658054729505"/>
    <n v="0"/>
    <n v="0"/>
    <n v="0"/>
    <n v="2577.3664812180023"/>
    <n v="5633.9769222869045"/>
    <n v="523.02369785001486"/>
    <n v="0"/>
    <n v="0"/>
    <n v="0"/>
    <n v="0"/>
    <n v="0"/>
    <n v="38.64071173145215"/>
    <m/>
    <n v="4.10901722261668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.238763908902769"/>
    <n v="0"/>
    <n v="0"/>
    <n v="0"/>
    <n v="0"/>
    <n v="0"/>
    <m/>
    <m/>
    <m/>
    <m/>
    <m/>
    <m/>
    <m/>
    <m/>
    <m/>
    <n v="544.26246175891765"/>
    <m/>
    <m/>
    <m/>
    <m/>
    <m/>
    <m/>
    <m/>
    <m/>
    <m/>
    <m/>
    <m/>
    <m/>
    <n v="7224.6168999999991"/>
    <n v="-1791.1589000000004"/>
    <m/>
    <m/>
    <m/>
    <m/>
    <n v="-1805.8083099999994"/>
    <n v="16.445820000000044"/>
    <m/>
    <n v="-123.86709508834656"/>
    <n v="0"/>
    <n v="0"/>
    <n v="0"/>
    <n v="0"/>
    <n v="0"/>
    <n v="0"/>
    <n v="0"/>
    <n v="-135.21048906300302"/>
    <n v="0"/>
    <n v="0"/>
    <n v="16.457574624178164"/>
    <n v="0"/>
    <n v="0"/>
    <n v="0"/>
    <n v="0.66830345048015616"/>
    <n v="0"/>
    <n v="-4.9504154027262359"/>
    <m/>
    <n v="0"/>
    <n v="0"/>
    <n v="0"/>
    <n v="0"/>
    <n v="-0.73734331500783412"/>
    <n v="-9.4725382267656144E-2"/>
    <n v="0"/>
    <n v="0"/>
    <m/>
    <m/>
    <m/>
    <n v="5633.9769222869045"/>
    <n v="0"/>
    <n v="0"/>
    <n v="-1805.8083099999985"/>
    <n v="16.445820000000026"/>
    <n v="0"/>
    <n v="0"/>
    <n v="-1665.49251221465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116"/>
    <s v="Regular"/>
    <s v="Verde"/>
    <s v="A4"/>
    <s v="Industrial"/>
    <s v="Não se aplica"/>
    <s v="Não se aplica"/>
    <s v="Não se aplica"/>
    <s v="Fora ponta"/>
    <s v="CATIVO"/>
    <x v="5"/>
    <n v="0"/>
    <n v="0"/>
    <n v="53.637999999999998"/>
    <n v="53.637999999999998"/>
    <n v="53.637999999999998"/>
    <n v="53.637999999999998"/>
    <m/>
    <n v="68.78"/>
    <n v="127.85"/>
    <m/>
    <n v="10546.839939999998"/>
    <n v="10546.839939999998"/>
    <n v="10695.4172"/>
    <n v="0"/>
    <n v="2850.0721162052823"/>
    <n v="0"/>
    <n v="0"/>
    <n v="0"/>
    <n v="0"/>
    <n v="0"/>
    <n v="6857.478637320728"/>
    <n v="0"/>
    <n v="0"/>
    <n v="0"/>
    <n v="0"/>
    <n v="0"/>
    <n v="506.62686283344669"/>
    <m/>
    <n v="53.8742277650241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8.46610084227001"/>
    <n v="0"/>
    <n v="0"/>
    <n v="0"/>
    <n v="0"/>
    <n v="0"/>
    <m/>
    <m/>
    <m/>
    <m/>
    <m/>
    <m/>
    <m/>
    <m/>
    <m/>
    <n v="7135.944738162998"/>
    <m/>
    <m/>
    <m/>
    <m/>
    <m/>
    <m/>
    <m/>
    <m/>
    <m/>
    <m/>
    <m/>
    <m/>
    <n v="10695.816000000001"/>
    <n v="148.94606000000203"/>
    <m/>
    <m/>
    <m/>
    <m/>
    <n v="-67.047499999999999"/>
    <n v="215.62476000000055"/>
    <m/>
    <n v="148.72573112017199"/>
    <n v="0"/>
    <n v="0"/>
    <n v="0"/>
    <n v="0"/>
    <n v="0"/>
    <n v="0"/>
    <n v="0"/>
    <n v="0"/>
    <n v="0"/>
    <n v="0"/>
    <n v="215.77887746068609"/>
    <n v="0"/>
    <n v="0"/>
    <n v="0"/>
    <n v="8.7622733993778184"/>
    <n v="0"/>
    <n v="-64.905984202255695"/>
    <m/>
    <n v="0"/>
    <n v="0"/>
    <n v="0"/>
    <n v="0"/>
    <n v="-9.6674702347568768"/>
    <n v="-1.2419653028776736"/>
    <n v="0"/>
    <n v="0"/>
    <m/>
    <m/>
    <m/>
    <n v="0"/>
    <n v="0"/>
    <n v="0"/>
    <n v="-67.047499999999673"/>
    <n v="215.624760000000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117"/>
    <s v="Regular"/>
    <s v="Verde"/>
    <s v="A4"/>
    <s v="Industrial"/>
    <s v="Não se aplica"/>
    <s v="Não se aplica"/>
    <s v="Não se aplica"/>
    <s v="Não se aplica"/>
    <s v="CATIVO"/>
    <x v="5"/>
    <n v="276"/>
    <n v="276"/>
    <n v="0"/>
    <n v="0"/>
    <n v="0"/>
    <n v="0"/>
    <n v="39.56"/>
    <m/>
    <m/>
    <n v="10918.560000000001"/>
    <m/>
    <n v="10918.560000000001"/>
    <n v="8572.56"/>
    <n v="0"/>
    <n v="0"/>
    <n v="0"/>
    <n v="0"/>
    <n v="0"/>
    <n v="3634.9977768336166"/>
    <n v="7282.241256998892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03.75"/>
    <n v="478.89"/>
    <n v="7743.18"/>
    <n v="1"/>
    <m/>
    <m/>
    <m/>
    <m/>
    <m/>
    <m/>
    <m/>
    <m/>
    <m/>
    <n v="0"/>
    <m/>
    <m/>
    <m/>
    <m/>
    <m/>
    <m/>
    <m/>
    <m/>
    <m/>
    <m/>
    <m/>
    <m/>
    <n v="8572.56"/>
    <n v="-2346.0300000000025"/>
    <m/>
    <m/>
    <m/>
    <m/>
    <n v="-2346.0000000000009"/>
    <n v="0"/>
    <m/>
    <n v="-190.69458330050475"/>
    <n v="0"/>
    <n v="0"/>
    <n v="0"/>
    <n v="0"/>
    <m/>
    <m/>
    <m/>
    <n v="-190.69458330050475"/>
    <n v="0"/>
    <n v="0"/>
    <m/>
    <m/>
    <n v="0"/>
    <n v="0"/>
    <n v="0"/>
    <n v="0"/>
    <n v="0"/>
    <m/>
    <n v="0"/>
    <n v="0"/>
    <m/>
    <n v="0"/>
    <n v="0"/>
    <n v="0"/>
    <n v="0"/>
    <n v="0"/>
    <m/>
    <m/>
    <n v="7282.2412569988928"/>
    <m/>
    <n v="0"/>
    <n v="0"/>
    <n v="-2346.0000000000018"/>
    <m/>
    <n v="0"/>
    <m/>
    <n v="-2152.745467893973"/>
    <m/>
    <n v="0"/>
    <n v="0"/>
    <m/>
    <n v="0"/>
    <n v="0"/>
    <n v="0"/>
    <n v="0"/>
    <n v="0"/>
    <m/>
    <m/>
    <n v="0"/>
    <n v="0"/>
    <m/>
    <n v="0"/>
    <m/>
    <n v="0"/>
    <m/>
    <n v="207"/>
    <m/>
    <m/>
    <m/>
    <m/>
    <n v="0"/>
    <m/>
    <m/>
    <m/>
    <m/>
    <n v="0"/>
    <n v="0"/>
    <n v="0"/>
    <n v="0"/>
  </r>
  <r>
    <n v="118"/>
    <s v="Regular"/>
    <s v="Convencional"/>
    <s v="B3"/>
    <s v="Comercial"/>
    <s v="Não se aplica"/>
    <s v="Não se aplica"/>
    <s v="Não se aplica"/>
    <s v="Não se aplica"/>
    <s v="CATIVO"/>
    <x v="5"/>
    <n v="0"/>
    <n v="0"/>
    <n v="93.451999999999998"/>
    <n v="93.451999999999998"/>
    <n v="93.451999999999998"/>
    <n v="93.451999999999998"/>
    <m/>
    <n v="710.52"/>
    <n v="127.85"/>
    <m/>
    <n v="78347.353239999997"/>
    <n v="78347.353239999997"/>
    <n v="64361.32692"/>
    <n v="0"/>
    <n v="5707.5880627522147"/>
    <n v="0"/>
    <n v="0"/>
    <n v="0"/>
    <n v="10218.271066003206"/>
    <n v="46554.729424514699"/>
    <n v="11947.594869586797"/>
    <n v="0"/>
    <n v="0"/>
    <n v="0"/>
    <n v="0"/>
    <n v="0"/>
    <n v="882.68193417933674"/>
    <m/>
    <n v="214.076411179003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22.0815951754544"/>
    <n v="0"/>
    <n v="376.43"/>
    <n v="1739.62"/>
    <n v="17504.740000000002"/>
    <n v="86"/>
    <m/>
    <m/>
    <m/>
    <m/>
    <m/>
    <m/>
    <m/>
    <m/>
    <m/>
    <n v="14769.676464762251"/>
    <m/>
    <m/>
    <m/>
    <m/>
    <m/>
    <m/>
    <m/>
    <m/>
    <m/>
    <m/>
    <m/>
    <m/>
    <n v="64359.949500000002"/>
    <n v="-13987.433739999979"/>
    <m/>
    <m/>
    <m/>
    <m/>
    <n v="-14361.703359999996"/>
    <n v="375.67704000000094"/>
    <m/>
    <n v="-223.07200582683072"/>
    <n v="0"/>
    <n v="0"/>
    <n v="0"/>
    <n v="0"/>
    <n v="0"/>
    <n v="0"/>
    <n v="0"/>
    <n v="-536.05780872872492"/>
    <n v="0"/>
    <n v="0"/>
    <n v="375.9455545780238"/>
    <n v="0"/>
    <n v="0"/>
    <n v="0"/>
    <n v="88.800218114472955"/>
    <n v="0"/>
    <n v="-129.98149012706017"/>
    <m/>
    <n v="0"/>
    <n v="0"/>
    <n v="0"/>
    <n v="0"/>
    <n v="-16.843365307776253"/>
    <n v="-4.9351143557643411"/>
    <n v="0"/>
    <n v="0"/>
    <m/>
    <m/>
    <m/>
    <n v="46554.729424514699"/>
    <n v="0"/>
    <n v="0"/>
    <n v="-14361.70336"/>
    <n v="375.67704000000049"/>
    <n v="0"/>
    <n v="0"/>
    <n v="-13762.312898015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119"/>
    <s v="Regular"/>
    <s v="Verde"/>
    <s v="A4"/>
    <s v="Comercial"/>
    <s v="Não se aplica"/>
    <s v="Não se aplica"/>
    <s v="Não se aplica"/>
    <s v="Ponta"/>
    <s v="CATIVO"/>
    <x v="5"/>
    <n v="0"/>
    <n v="0"/>
    <n v="1.86"/>
    <n v="1.86"/>
    <n v="1.86"/>
    <n v="1.86"/>
    <m/>
    <n v="2075.9499999999998"/>
    <n v="127.85"/>
    <m/>
    <n v="4099.0680000000002"/>
    <n v="4099.0680000000002"/>
    <n v="3285.5226000000002"/>
    <n v="0"/>
    <n v="98.831689029080607"/>
    <n v="0"/>
    <n v="0"/>
    <n v="0"/>
    <n v="1171.8165864251978"/>
    <n v="2561.5245845645663"/>
    <n v="237.79615693009723"/>
    <n v="0"/>
    <n v="0"/>
    <n v="0"/>
    <n v="0"/>
    <n v="0"/>
    <n v="17.568253194940358"/>
    <m/>
    <n v="1.86819164851308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6563434051721213"/>
    <n v="0"/>
    <n v="0"/>
    <n v="0"/>
    <n v="0"/>
    <n v="0"/>
    <m/>
    <m/>
    <m/>
    <m/>
    <m/>
    <m/>
    <m/>
    <m/>
    <m/>
    <n v="247.45250033526935"/>
    <m/>
    <m/>
    <m/>
    <m/>
    <m/>
    <m/>
    <m/>
    <m/>
    <m/>
    <m/>
    <m/>
    <m/>
    <n v="3285.5226000000002"/>
    <n v="-813.57540000000063"/>
    <m/>
    <m/>
    <m/>
    <m/>
    <n v="-821.02259999999978"/>
    <n v="7.4772000000000194"/>
    <m/>
    <n v="-56.316987744885182"/>
    <n v="0"/>
    <n v="0"/>
    <n v="0"/>
    <n v="0"/>
    <n v="0"/>
    <n v="0"/>
    <n v="0"/>
    <n v="-61.47433626428392"/>
    <n v="0"/>
    <n v="0"/>
    <n v="7.4825443170304027"/>
    <n v="0"/>
    <n v="0"/>
    <n v="0"/>
    <n v="0.30384854996164634"/>
    <n v="0"/>
    <n v="-2.2507388533538801"/>
    <m/>
    <n v="0"/>
    <n v="0"/>
    <n v="0"/>
    <n v="0"/>
    <n v="-0.33523797749073125"/>
    <n v="-4.3067516748433343E-2"/>
    <n v="0"/>
    <n v="0"/>
    <m/>
    <m/>
    <m/>
    <n v="2561.5245845645663"/>
    <n v="0"/>
    <n v="0"/>
    <n v="-821.02259999999978"/>
    <n v="7.4772000000000389"/>
    <n v="0"/>
    <n v="0"/>
    <n v="-757.227101618003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120"/>
    <s v="Regular"/>
    <s v="Verde"/>
    <s v="A4"/>
    <s v="Comercial"/>
    <s v="Não se aplica"/>
    <s v="Não se aplica"/>
    <s v="Não se aplica"/>
    <s v="Fora ponta"/>
    <s v="CATIVO"/>
    <x v="5"/>
    <n v="0"/>
    <n v="0"/>
    <n v="13.367000000000001"/>
    <n v="13.367000000000001"/>
    <n v="13.367000000000001"/>
    <n v="13.367000000000001"/>
    <m/>
    <n v="68.78"/>
    <n v="127.85"/>
    <m/>
    <n v="2628.3532100000002"/>
    <n v="2628.3532100000002"/>
    <n v="2665.3798000000002"/>
    <n v="0"/>
    <n v="710.2597780923229"/>
    <n v="0"/>
    <n v="0"/>
    <n v="0"/>
    <n v="0"/>
    <n v="0"/>
    <n v="1708.9361449917255"/>
    <n v="0"/>
    <n v="0"/>
    <n v="0"/>
    <n v="0"/>
    <n v="0"/>
    <n v="126.25529056815472"/>
    <m/>
    <n v="13.425869766491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69.395882955341804"/>
    <n v="0"/>
    <n v="0"/>
    <n v="0"/>
    <n v="0"/>
    <n v="0"/>
    <m/>
    <m/>
    <m/>
    <m/>
    <m/>
    <m/>
    <m/>
    <m/>
    <m/>
    <n v="1778.3320279470674"/>
    <m/>
    <m/>
    <m/>
    <m/>
    <m/>
    <m/>
    <m/>
    <m/>
    <m/>
    <m/>
    <m/>
    <m/>
    <n v="2665.9780000000001"/>
    <n v="37.594789999999648"/>
    <m/>
    <m/>
    <m/>
    <m/>
    <n v="-16.708750000000002"/>
    <n v="53.735340000000143"/>
    <m/>
    <n v="37.063590139142889"/>
    <n v="0"/>
    <n v="0"/>
    <n v="0"/>
    <n v="0"/>
    <n v="0"/>
    <n v="0"/>
    <n v="0"/>
    <n v="0"/>
    <n v="0"/>
    <n v="0"/>
    <n v="53.773747250400675"/>
    <n v="0"/>
    <n v="0"/>
    <n v="0"/>
    <n v="2.1836255738372614"/>
    <n v="0"/>
    <n v="-16.175067877839524"/>
    <m/>
    <n v="0"/>
    <n v="0"/>
    <n v="0"/>
    <n v="0"/>
    <n v="-2.4092075511390334"/>
    <n v="-0.30950725611629437"/>
    <n v="0"/>
    <n v="0"/>
    <m/>
    <m/>
    <m/>
    <n v="0"/>
    <n v="0"/>
    <n v="0"/>
    <n v="-16.708750000000009"/>
    <n v="53.7353399999999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121"/>
    <s v="Regular"/>
    <s v="Verde"/>
    <s v="A4"/>
    <s v="Comercial"/>
    <s v="Não se aplica"/>
    <s v="Não se aplica"/>
    <s v="Não se aplica"/>
    <s v="Não se aplica"/>
    <s v="CATIVO"/>
    <x v="5"/>
    <n v="280"/>
    <n v="280"/>
    <n v="0"/>
    <n v="0"/>
    <n v="0"/>
    <n v="0"/>
    <n v="39.56"/>
    <m/>
    <m/>
    <n v="11076.800000000001"/>
    <m/>
    <n v="11076.800000000001"/>
    <n v="8696.7999999999993"/>
    <n v="0"/>
    <n v="0"/>
    <n v="0"/>
    <n v="0"/>
    <n v="0"/>
    <n v="3687.6789040341037"/>
    <n v="7387.780985361196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13.39"/>
    <n v="523.4"/>
    <n v="2640.92"/>
    <n v="2"/>
    <m/>
    <m/>
    <m/>
    <m/>
    <m/>
    <m/>
    <m/>
    <m/>
    <m/>
    <n v="0"/>
    <m/>
    <m/>
    <m/>
    <m/>
    <m/>
    <m/>
    <m/>
    <m/>
    <m/>
    <m/>
    <m/>
    <m/>
    <n v="8696.7999999999993"/>
    <n v="-2380.0300000000025"/>
    <m/>
    <m/>
    <m/>
    <m/>
    <n v="-2380.0000000000009"/>
    <n v="0"/>
    <m/>
    <n v="-193.45827291355545"/>
    <n v="0"/>
    <n v="0"/>
    <n v="0"/>
    <n v="0"/>
    <m/>
    <m/>
    <m/>
    <n v="-193.45827291355545"/>
    <n v="0"/>
    <n v="0"/>
    <m/>
    <m/>
    <n v="0"/>
    <n v="0"/>
    <n v="0"/>
    <n v="0"/>
    <n v="0"/>
    <m/>
    <n v="0"/>
    <n v="0"/>
    <m/>
    <n v="0"/>
    <n v="0"/>
    <n v="0"/>
    <n v="0"/>
    <n v="0"/>
    <m/>
    <m/>
    <n v="7387.7809853611961"/>
    <m/>
    <n v="0"/>
    <n v="0"/>
    <n v="-2380.0000000000018"/>
    <m/>
    <n v="0"/>
    <m/>
    <n v="-2183.944677573596"/>
    <m/>
    <n v="0"/>
    <n v="0"/>
    <m/>
    <n v="0"/>
    <n v="0"/>
    <n v="0"/>
    <n v="0"/>
    <n v="0"/>
    <m/>
    <m/>
    <n v="0"/>
    <n v="0"/>
    <m/>
    <n v="0"/>
    <m/>
    <n v="0"/>
    <m/>
    <n v="207"/>
    <m/>
    <m/>
    <m/>
    <m/>
    <n v="0"/>
    <m/>
    <m/>
    <m/>
    <m/>
    <n v="0"/>
    <n v="0"/>
    <n v="0"/>
    <n v="0"/>
  </r>
  <r>
    <n v="122"/>
    <s v="Regular"/>
    <s v="Convencional"/>
    <s v="B2"/>
    <s v="Rural"/>
    <s v="Não se aplica"/>
    <s v="Não se aplica"/>
    <s v="Não se aplica"/>
    <s v="Não se aplica"/>
    <s v="CATIVO"/>
    <x v="5"/>
    <n v="0"/>
    <n v="0"/>
    <n v="56.908999999999999"/>
    <n v="56.908999999999999"/>
    <n v="56.908999999999999"/>
    <n v="56.908999999999999"/>
    <m/>
    <n v="710.52"/>
    <n v="127.85"/>
    <m/>
    <n v="47710.798329999998"/>
    <n v="47710.798329999998"/>
    <n v="39193.79739"/>
    <n v="0"/>
    <n v="3475.7215368656184"/>
    <n v="0"/>
    <n v="0"/>
    <n v="0"/>
    <n v="6222.569748054364"/>
    <n v="28350.202208831346"/>
    <n v="7275.6674702875816"/>
    <n v="0"/>
    <n v="0"/>
    <n v="0"/>
    <n v="0"/>
    <n v="0"/>
    <n v="537.52243068325845"/>
    <m/>
    <n v="130.365048193574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18.5490037649267"/>
    <n v="0"/>
    <n v="162.87"/>
    <n v="752.68"/>
    <n v="0"/>
    <n v="42"/>
    <m/>
    <m/>
    <m/>
    <m/>
    <m/>
    <n v="4702.9597600000034"/>
    <m/>
    <m/>
    <m/>
    <n v="8994.2164740525077"/>
    <m/>
    <m/>
    <m/>
    <m/>
    <m/>
    <m/>
    <m/>
    <m/>
    <m/>
    <m/>
    <m/>
    <m/>
    <n v="34491.443699999996"/>
    <n v="-7494.3392300000123"/>
    <m/>
    <m/>
    <m/>
    <m/>
    <n v="-8745.7751199999966"/>
    <n v="228.77418000000057"/>
    <m/>
    <n v="-135.84305075973316"/>
    <n v="0"/>
    <n v="0"/>
    <n v="0"/>
    <n v="0"/>
    <n v="0"/>
    <n v="0"/>
    <n v="0"/>
    <n v="-326.44045966852536"/>
    <n v="0"/>
    <n v="0"/>
    <n v="228.93769598810923"/>
    <n v="0"/>
    <n v="0"/>
    <n v="0"/>
    <n v="54.076227503708196"/>
    <n v="0"/>
    <n v="-79.154182057536218"/>
    <m/>
    <n v="0"/>
    <n v="0"/>
    <n v="0"/>
    <n v="0"/>
    <n v="-10.257020462913943"/>
    <n v="-3.0053120625796197"/>
    <n v="0"/>
    <n v="0"/>
    <m/>
    <m/>
    <m/>
    <n v="28350.202208831346"/>
    <n v="0"/>
    <n v="0"/>
    <n v="-8745.7751199999984"/>
    <n v="228.77418000000034"/>
    <n v="0"/>
    <n v="0"/>
    <n v="-8380.76728923023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123"/>
    <s v="Regular"/>
    <s v="Convencional"/>
    <s v="B3"/>
    <s v="Poder público"/>
    <s v="Não se aplica"/>
    <s v="Não se aplica"/>
    <s v="Não se aplica"/>
    <s v="Não se aplica"/>
    <s v="CATIVO"/>
    <x v="5"/>
    <n v="0"/>
    <n v="0"/>
    <n v="12.304"/>
    <n v="12.304"/>
    <n v="12.304"/>
    <n v="12.304"/>
    <m/>
    <n v="710.52"/>
    <n v="127.85"/>
    <m/>
    <n v="10315.304479999999"/>
    <n v="10315.304479999999"/>
    <n v="8473.8878400000012"/>
    <n v="0"/>
    <n v="751.46774305636313"/>
    <n v="0"/>
    <n v="0"/>
    <n v="0"/>
    <n v="1345.3495612304012"/>
    <n v="6129.4503150197843"/>
    <n v="1573.034362832213"/>
    <n v="0"/>
    <n v="0"/>
    <n v="0"/>
    <n v="0"/>
    <n v="0"/>
    <n v="116.21493941427212"/>
    <m/>
    <n v="28.1855515467455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1.55857495868247"/>
    <n v="0"/>
    <n v="30.48"/>
    <n v="141.07"/>
    <n v="2281.12"/>
    <n v="18"/>
    <m/>
    <m/>
    <m/>
    <m/>
    <m/>
    <m/>
    <m/>
    <m/>
    <m/>
    <n v="1944.5929377908956"/>
    <m/>
    <m/>
    <m/>
    <m/>
    <m/>
    <m/>
    <m/>
    <m/>
    <m/>
    <m/>
    <m/>
    <m/>
    <n v="8471.1330000000016"/>
    <n v="-1844.2014799999979"/>
    <m/>
    <m/>
    <m/>
    <m/>
    <n v="-1890.8787199999995"/>
    <n v="49.462080000000128"/>
    <m/>
    <n v="-29.369922095764196"/>
    <n v="0"/>
    <n v="0"/>
    <n v="0"/>
    <n v="0"/>
    <n v="0"/>
    <n v="0"/>
    <n v="0"/>
    <n v="-70.578000241816426"/>
    <n v="0"/>
    <n v="0"/>
    <n v="49.497432944484899"/>
    <n v="0"/>
    <n v="0"/>
    <n v="0"/>
    <n v="11.691540937384673"/>
    <n v="0"/>
    <n v="-17.113515542988353"/>
    <m/>
    <n v="0"/>
    <n v="0"/>
    <n v="0"/>
    <n v="0"/>
    <n v="-2.217617244648352"/>
    <n v="-0.64976294818007219"/>
    <n v="0"/>
    <n v="0"/>
    <m/>
    <m/>
    <m/>
    <n v="6129.4503150197843"/>
    <n v="0"/>
    <n v="0"/>
    <n v="-1890.8787199999988"/>
    <n v="49.462080000000242"/>
    <n v="0"/>
    <n v="0"/>
    <n v="-1811.96226830007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124"/>
    <s v="Regular"/>
    <s v="Convencional"/>
    <s v="B4"/>
    <s v="Iluminação pública"/>
    <s v="Iluminação pública – B4a"/>
    <s v="Não se aplica"/>
    <s v="Não se aplica"/>
    <s v="Não se aplica"/>
    <s v="CATIVO"/>
    <x v="5"/>
    <n v="0"/>
    <n v="0"/>
    <n v="40.347000000000001"/>
    <n v="40.347000000000001"/>
    <n v="40.347000000000001"/>
    <n v="40.347000000000001"/>
    <m/>
    <n v="390.79"/>
    <n v="70.319999999999993"/>
    <m/>
    <n v="18604.405170000002"/>
    <n v="18604.405170000002"/>
    <n v="15283.040130000001"/>
    <n v="0"/>
    <n v="1355.307864597067"/>
    <n v="0"/>
    <n v="0"/>
    <n v="0"/>
    <n v="2426.4020083574123"/>
    <n v="11054.75556916911"/>
    <n v="2837.0423919420705"/>
    <n v="0"/>
    <n v="0"/>
    <n v="0"/>
    <n v="0"/>
    <n v="0"/>
    <n v="209.59917817792592"/>
    <m/>
    <n v="50.8339846018448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670.12358607947863"/>
    <n v="0"/>
    <n v="62.69"/>
    <n v="289.99"/>
    <n v="4689.5200000000004"/>
    <n v="36"/>
    <m/>
    <m/>
    <m/>
    <m/>
    <m/>
    <m/>
    <m/>
    <m/>
    <m/>
    <n v="3507.1659780215491"/>
    <m/>
    <m/>
    <m/>
    <m/>
    <m/>
    <m/>
    <m/>
    <m/>
    <m/>
    <m/>
    <m/>
    <m/>
    <n v="15284.176500000001"/>
    <n v="-3320.2586699999993"/>
    <m/>
    <m/>
    <m/>
    <m/>
    <n v="-3410.5319100000015"/>
    <n v="89.16687000000033"/>
    <m/>
    <n v="-52.970053294771787"/>
    <n v="0"/>
    <n v="0"/>
    <n v="0"/>
    <n v="0"/>
    <n v="0"/>
    <n v="0"/>
    <n v="0"/>
    <n v="-127.29078483957392"/>
    <n v="0"/>
    <n v="0"/>
    <n v="89.270977719125767"/>
    <n v="0"/>
    <n v="0"/>
    <n v="0"/>
    <n v="21.086250911111392"/>
    <n v="0"/>
    <n v="-30.865040343560395"/>
    <m/>
    <n v="0"/>
    <n v="0"/>
    <n v="0"/>
    <n v="0"/>
    <n v="-3.9995783187099505"/>
    <n v="-1.1718784231649408"/>
    <n v="0"/>
    <n v="0"/>
    <m/>
    <m/>
    <m/>
    <n v="11054.75556916911"/>
    <n v="0"/>
    <n v="0"/>
    <n v="-3410.5319100000015"/>
    <n v="89.166870000000017"/>
    <n v="0"/>
    <n v="0"/>
    <n v="-3267.96024882208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125"/>
    <s v="Regular"/>
    <s v="Convencional"/>
    <s v="B3"/>
    <s v="Serviço público"/>
    <s v="Água, esgoto e saneamento"/>
    <s v="Não se aplica"/>
    <s v="Não se aplica"/>
    <s v="Não se aplica"/>
    <s v="CATIVO"/>
    <x v="5"/>
    <n v="0"/>
    <n v="0"/>
    <n v="6.25"/>
    <n v="5.875"/>
    <n v="6.25"/>
    <n v="5.875"/>
    <m/>
    <n v="710.52"/>
    <n v="127.85"/>
    <m/>
    <n v="5239.8125"/>
    <n v="5239.8125"/>
    <n v="4304.4375"/>
    <n v="0"/>
    <n v="381.71922903952128"/>
    <n v="0"/>
    <n v="0"/>
    <n v="0"/>
    <n v="683.39034116466246"/>
    <n v="3113.5455517615123"/>
    <n v="799.04622624360627"/>
    <n v="0"/>
    <n v="0"/>
    <n v="0"/>
    <n v="0"/>
    <n v="0"/>
    <n v="59.033108853966255"/>
    <m/>
    <n v="14.3172705760045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8.73871045934374"/>
    <n v="0"/>
    <n v="35.020000000000003"/>
    <n v="161.66"/>
    <n v="1126.17"/>
    <n v="1"/>
    <m/>
    <m/>
    <m/>
    <m/>
    <n v="258.26625000000001"/>
    <m/>
    <m/>
    <m/>
    <m/>
    <n v="987.78493670295006"/>
    <m/>
    <m/>
    <m/>
    <m/>
    <m/>
    <m/>
    <m/>
    <m/>
    <m/>
    <m/>
    <m/>
    <m/>
    <n v="4049.6148000000003"/>
    <n v="-875.8389500000003"/>
    <m/>
    <m/>
    <m/>
    <m/>
    <n v="-960.49999999999966"/>
    <n v="25.125000000000064"/>
    <m/>
    <n v="-14.918889231023968"/>
    <n v="0"/>
    <n v="0"/>
    <n v="0"/>
    <n v="0"/>
    <n v="0"/>
    <n v="0"/>
    <n v="0"/>
    <n v="-35.851146091624969"/>
    <n v="0"/>
    <n v="0"/>
    <n v="25.14295805453753"/>
    <n v="0"/>
    <n v="0"/>
    <n v="0"/>
    <n v="5.9388922999556257"/>
    <n v="0"/>
    <n v="-8.6930650311831528"/>
    <m/>
    <n v="0"/>
    <n v="0"/>
    <n v="0"/>
    <n v="0"/>
    <n v="-1.126471698557566"/>
    <n v="-0.33005676415194074"/>
    <n v="0"/>
    <n v="0"/>
    <m/>
    <m/>
    <m/>
    <n v="3113.5455517615123"/>
    <n v="0"/>
    <n v="0"/>
    <n v="-960.5"/>
    <n v="25.125"/>
    <n v="0"/>
    <n v="0"/>
    <n v="-920.413213335130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126"/>
    <s v="Regular"/>
    <s v="Convencional"/>
    <s v="B1"/>
    <s v="Residencial"/>
    <s v="Residencial"/>
    <s v="Não se aplica"/>
    <s v="Não se aplica"/>
    <s v="Não se aplica"/>
    <s v="CATIVO"/>
    <x v="6"/>
    <n v="0"/>
    <n v="0"/>
    <n v="1096.056"/>
    <n v="1096.056"/>
    <n v="1096.056"/>
    <n v="1096.056"/>
    <m/>
    <n v="710.52"/>
    <n v="127.85"/>
    <m/>
    <n v="918900.46872"/>
    <n v="918900.46872"/>
    <n v="754864.72776000004"/>
    <n v="0"/>
    <n v="66941.704208662646"/>
    <n v="0"/>
    <n v="0"/>
    <n v="0"/>
    <n v="119845.45340409206"/>
    <n v="546019.24532504263"/>
    <n v="140127.90568826592"/>
    <n v="0"/>
    <n v="0"/>
    <n v="0"/>
    <n v="0"/>
    <n v="0"/>
    <n v="10352.574905286854"/>
    <m/>
    <n v="2510.80485095251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098.911364996238"/>
    <n v="0"/>
    <n v="4234.3500000000004"/>
    <n v="19696.72"/>
    <n v="228954.29"/>
    <n v="6066"/>
    <m/>
    <m/>
    <m/>
    <m/>
    <m/>
    <m/>
    <m/>
    <m/>
    <m/>
    <n v="173226.81705326214"/>
    <m/>
    <m/>
    <m/>
    <m/>
    <m/>
    <m/>
    <m/>
    <m/>
    <m/>
    <m/>
    <m/>
    <m/>
    <n v="754867.48259999999"/>
    <n v="-164033.01612000004"/>
    <m/>
    <m/>
    <m/>
    <m/>
    <n v="-168441.88607999994"/>
    <n v="4406.145120000011"/>
    <n v="31"/>
    <n v="-2616.3100887999171"/>
    <n v="0"/>
    <n v="0"/>
    <n v="0"/>
    <n v="0"/>
    <n v="0"/>
    <n v="0"/>
    <n v="0"/>
    <n v="-6287.178204896336"/>
    <n v="0"/>
    <n v="0"/>
    <n v="4409.2944053479005"/>
    <n v="0"/>
    <n v="0"/>
    <n v="0"/>
    <n v="1041.4973661952245"/>
    <n v="0"/>
    <n v="-1524.4937737309519"/>
    <m/>
    <n v="0"/>
    <n v="0"/>
    <n v="0"/>
    <n v="0"/>
    <n v="-197.54817024547265"/>
    <n v="-57.881711470291066"/>
    <n v="0"/>
    <n v="0"/>
    <m/>
    <m/>
    <m/>
    <n v="546019.24532504263"/>
    <n v="0"/>
    <n v="0"/>
    <n v="-168441.88607999997"/>
    <n v="4406.1451200000301"/>
    <n v="0"/>
    <n v="0"/>
    <n v="-161411.90799284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127"/>
    <s v="Refaturamento - Regular"/>
    <s v="Convencional"/>
    <s v="B1"/>
    <s v="Residencial"/>
    <s v="Residencial"/>
    <s v="Não se aplica"/>
    <s v="Não se aplica"/>
    <s v="Não se aplica"/>
    <s v="CATIVO"/>
    <x v="6"/>
    <n v="0"/>
    <n v="0"/>
    <n v="-0.79900000000000004"/>
    <n v="-0.79900000000000004"/>
    <n v="-0.79900000000000004"/>
    <n v="-0.79900000000000004"/>
    <m/>
    <n v="710.52"/>
    <n v="127.85"/>
    <m/>
    <n v="-669.85762999999997"/>
    <n v="-669.85762999999997"/>
    <n v="-550.27929000000006"/>
    <n v="0"/>
    <n v="-48.798986240412404"/>
    <n v="0"/>
    <n v="0"/>
    <n v="0"/>
    <n v="-87.364621214490455"/>
    <n v="-398.03566333719175"/>
    <n v="-102.15006956298262"/>
    <n v="0"/>
    <n v="0"/>
    <n v="0"/>
    <n v="0"/>
    <n v="0"/>
    <n v="-7.5467926358910464"/>
    <m/>
    <n v="-1.83031987043641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-24.128356745122506"/>
    <n v="0"/>
    <n v="-4.09"/>
    <n v="-18.87"/>
    <n v="-179.59"/>
    <n v="0"/>
    <m/>
    <m/>
    <m/>
    <m/>
    <m/>
    <m/>
    <m/>
    <m/>
    <m/>
    <n v="-126.27842630810513"/>
    <m/>
    <m/>
    <m/>
    <m/>
    <m/>
    <m/>
    <m/>
    <m/>
    <m/>
    <m/>
    <m/>
    <m/>
    <n v="-550.96800000000007"/>
    <n v="118.85962999999992"/>
    <m/>
    <m/>
    <m/>
    <m/>
    <n v="122.79031999999997"/>
    <n v="-3.2119800000000085"/>
    <n v="31"/>
    <n v="1.9072307992942115"/>
    <n v="0"/>
    <n v="0"/>
    <n v="0"/>
    <n v="0"/>
    <n v="0"/>
    <n v="0"/>
    <n v="0"/>
    <n v="4.5832105163533328"/>
    <n v="0"/>
    <n v="0"/>
    <n v="-3.2142757576920928"/>
    <n v="0"/>
    <n v="0"/>
    <n v="0"/>
    <n v="-0.7592279916263287"/>
    <n v="0"/>
    <n v="1.1113214335864541"/>
    <m/>
    <n v="0"/>
    <n v="0"/>
    <n v="0"/>
    <n v="0"/>
    <n v="0.14400814194359857"/>
    <n v="4.2194456729183871E-2"/>
    <n v="0"/>
    <n v="0"/>
    <m/>
    <m/>
    <m/>
    <n v="-398.03566333719175"/>
    <n v="0"/>
    <n v="0"/>
    <n v="122.79031999999989"/>
    <n v="-3.2119799999999969"/>
    <n v="0"/>
    <n v="0"/>
    <n v="117.665625192763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128"/>
    <s v="Sistema de Compensação"/>
    <s v="Convencional"/>
    <s v="B1"/>
    <s v="Residencial"/>
    <s v="Residencial"/>
    <s v="Não se aplica"/>
    <s v="Não se aplica"/>
    <s v="Não se aplica"/>
    <s v="CATIVO"/>
    <x v="6"/>
    <n v="0"/>
    <n v="0"/>
    <n v="1.014"/>
    <n v="1.014"/>
    <n v="1.014"/>
    <n v="1.014"/>
    <m/>
    <n v="710.52"/>
    <n v="127.85"/>
    <m/>
    <n v="850.10717999999997"/>
    <n v="850.10717999999997"/>
    <n v="698.35194000000001"/>
    <n v="0"/>
    <n v="61.930127719371932"/>
    <n v="0"/>
    <n v="0"/>
    <n v="0"/>
    <n v="110.87324895055484"/>
    <n v="505.14163031778776"/>
    <n v="129.63725974576266"/>
    <n v="0"/>
    <n v="0"/>
    <n v="0"/>
    <n v="0"/>
    <n v="0"/>
    <n v="9.5775315804674843"/>
    <m/>
    <n v="2.32283397825097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.620968384923927"/>
    <n v="0"/>
    <n v="2.5"/>
    <n v="11.88"/>
    <n v="762.69"/>
    <n v="15"/>
    <m/>
    <m/>
    <m/>
    <m/>
    <m/>
    <m/>
    <m/>
    <m/>
    <m/>
    <n v="160.25822813068658"/>
    <m/>
    <m/>
    <m/>
    <m/>
    <m/>
    <m/>
    <m/>
    <m/>
    <m/>
    <m/>
    <m/>
    <m/>
    <n v="695.59710000000007"/>
    <n v="-154.54007999999988"/>
    <m/>
    <m/>
    <m/>
    <m/>
    <n v="-155.83151999999995"/>
    <n v="4.0762800000000103"/>
    <n v="31"/>
    <n v="-2.4204405888414726"/>
    <n v="0"/>
    <n v="0"/>
    <n v="0"/>
    <n v="0"/>
    <n v="0"/>
    <n v="0"/>
    <n v="0"/>
    <n v="-5.8164899419052318"/>
    <n v="0"/>
    <n v="0"/>
    <n v="4.0791935147682068"/>
    <n v="0"/>
    <n v="0"/>
    <n v="0"/>
    <n v="0.96352588674480444"/>
    <n v="0"/>
    <n v="-1.4103628706591493"/>
    <m/>
    <n v="0"/>
    <n v="0"/>
    <n v="0"/>
    <n v="0"/>
    <n v="-0.18275876837397753"/>
    <n v="-5.3548409416010578E-2"/>
    <n v="0"/>
    <n v="0"/>
    <m/>
    <m/>
    <m/>
    <n v="505.14163031778776"/>
    <n v="0"/>
    <n v="0"/>
    <n v="-155.83151999999995"/>
    <n v="4.0762800000000254"/>
    <n v="0"/>
    <n v="0"/>
    <n v="-149.327839731491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129"/>
    <s v="Regular"/>
    <s v="Convencional"/>
    <s v="B1"/>
    <s v="Residencial"/>
    <s v="Residencial baixa renda – faixa 01"/>
    <s v="Não se aplica"/>
    <s v="Não se aplica"/>
    <s v="Não se aplica"/>
    <s v="CATIVO"/>
    <x v="6"/>
    <n v="0"/>
    <n v="0"/>
    <n v="4.68"/>
    <n v="4.68"/>
    <n v="4.68"/>
    <n v="4.68"/>
    <m/>
    <n v="640"/>
    <n v="127.85"/>
    <m/>
    <n v="3593.5379999999996"/>
    <n v="3593.5379999999996"/>
    <n v="2900.4767999999999"/>
    <n v="0"/>
    <n v="0"/>
    <n v="0"/>
    <n v="0"/>
    <n v="0"/>
    <n v="511.72268746409924"/>
    <n v="2331.4229091590205"/>
    <n v="598.32581421121233"/>
    <n v="0"/>
    <n v="0"/>
    <n v="0"/>
    <n v="0"/>
    <n v="0"/>
    <n v="0"/>
    <m/>
    <n v="10.7207722073121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1.32754639195659"/>
    <n v="0"/>
    <n v="18.66"/>
    <n v="85.08"/>
    <n v="665.65"/>
    <n v="0"/>
    <m/>
    <m/>
    <m/>
    <m/>
    <m/>
    <m/>
    <m/>
    <n v="1885.3379999999997"/>
    <m/>
    <n v="739.65336060316895"/>
    <m/>
    <m/>
    <m/>
    <m/>
    <m/>
    <m/>
    <m/>
    <m/>
    <m/>
    <m/>
    <m/>
    <m/>
    <n v="1015.1387999999998"/>
    <n v="-242.64120000000014"/>
    <m/>
    <m/>
    <m/>
    <m/>
    <n v="-711.87480000000005"/>
    <n v="18.813600000000047"/>
    <n v="31"/>
    <n v="-3.8183951529611022"/>
    <n v="0"/>
    <n v="0"/>
    <n v="0"/>
    <n v="0"/>
    <n v="0"/>
    <n v="0"/>
    <n v="0"/>
    <n v="-26.845338193408736"/>
    <n v="0"/>
    <n v="0"/>
    <n v="18.827046991237694"/>
    <n v="0"/>
    <n v="0"/>
    <n v="0"/>
    <n v="4.4470425542067744"/>
    <n v="0"/>
    <n v="0"/>
    <m/>
    <n v="0"/>
    <n v="0"/>
    <n v="0"/>
    <n v="0"/>
    <n v="0"/>
    <n v="-0.24714650499697299"/>
    <n v="0"/>
    <n v="0"/>
    <m/>
    <m/>
    <m/>
    <n v="2331.4229091590205"/>
    <n v="0"/>
    <n v="0"/>
    <n v="-711.87480000000005"/>
    <n v="18.813600000000065"/>
    <n v="0"/>
    <n v="0"/>
    <n v="-689.205414145346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130"/>
    <s v="Refaturamento - Regular"/>
    <s v="Convencional"/>
    <s v="B1"/>
    <s v="Residencial"/>
    <s v="Residencial baixa renda – faixa 01"/>
    <s v="Não se aplica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4.22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7"/>
    <m/>
    <m/>
    <m/>
    <m/>
    <n v="0"/>
    <m/>
    <m/>
    <m/>
    <m/>
    <n v="0"/>
    <n v="0"/>
    <n v="0"/>
    <n v="0"/>
  </r>
  <r>
    <n v="131"/>
    <s v="Regular"/>
    <s v="Convencional"/>
    <s v="B1"/>
    <s v="Residencial"/>
    <s v="Residencial baixa renda – faixa 02"/>
    <s v="Não se aplica"/>
    <s v="Não se aplica"/>
    <s v="Não se aplica"/>
    <s v="CATIVO"/>
    <x v="6"/>
    <n v="0"/>
    <n v="0"/>
    <n v="10.484999999999999"/>
    <n v="10.484999999999999"/>
    <n v="10.484999999999999"/>
    <n v="10.484999999999999"/>
    <m/>
    <n v="640"/>
    <n v="127.85"/>
    <m/>
    <n v="8050.9072499999993"/>
    <n v="8050.9072499999993"/>
    <n v="6498.1836000000003"/>
    <n v="0"/>
    <n v="0"/>
    <n v="0"/>
    <n v="0"/>
    <n v="0"/>
    <n v="1146.4556363378376"/>
    <n v="5223.2840176351128"/>
    <n v="1340.4799491462736"/>
    <n v="0"/>
    <n v="0"/>
    <n v="0"/>
    <n v="0"/>
    <n v="0"/>
    <n v="0"/>
    <m/>
    <n v="24.0186531183051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6.62806066659505"/>
    <n v="0"/>
    <n v="40.65"/>
    <n v="190.7"/>
    <n v="1552.04"/>
    <n v="19"/>
    <m/>
    <m/>
    <m/>
    <m/>
    <m/>
    <m/>
    <m/>
    <n v="2599.2314999999999"/>
    <m/>
    <n v="1657.1080098128687"/>
    <m/>
    <m/>
    <m/>
    <m/>
    <m/>
    <m/>
    <m/>
    <m/>
    <m/>
    <m/>
    <m/>
    <m/>
    <n v="3900.8114"/>
    <n v="-929.76295000000073"/>
    <m/>
    <m/>
    <m/>
    <m/>
    <n v="-1594.8733500000001"/>
    <n v="42.149700000000102"/>
    <n v="31"/>
    <n v="-8.5546737561535338"/>
    <n v="0"/>
    <n v="0"/>
    <n v="0"/>
    <n v="0"/>
    <n v="0"/>
    <n v="0"/>
    <n v="0"/>
    <n v="-60.143882683309812"/>
    <n v="0"/>
    <n v="0"/>
    <n v="42.17982643229243"/>
    <n v="0"/>
    <n v="0"/>
    <n v="0"/>
    <n v="9.9630857224055376"/>
    <n v="0"/>
    <n v="0"/>
    <m/>
    <n v="0"/>
    <n v="0"/>
    <n v="0"/>
    <n v="0"/>
    <n v="0"/>
    <n v="-0.55370322754129475"/>
    <n v="0"/>
    <n v="0"/>
    <m/>
    <m/>
    <m/>
    <n v="5223.2840176351128"/>
    <n v="0"/>
    <n v="0"/>
    <n v="-1594.8733499999998"/>
    <n v="42.149700000000166"/>
    <n v="0"/>
    <n v="0"/>
    <n v="-1544.08520669101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132"/>
    <s v="Refaturamento - Regular"/>
    <s v="Convencional"/>
    <s v="B1"/>
    <s v="Residencial"/>
    <s v="Residencial baixa renda – faixa 02"/>
    <s v="Não se aplica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9.85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7"/>
    <m/>
    <m/>
    <m/>
    <m/>
    <n v="0"/>
    <m/>
    <m/>
    <m/>
    <m/>
    <n v="0"/>
    <n v="0"/>
    <n v="0"/>
    <n v="0"/>
  </r>
  <r>
    <n v="133"/>
    <s v="Regular"/>
    <s v="Convencional"/>
    <s v="B1"/>
    <s v="Residencial"/>
    <s v="Residencial baixa renda – faixa 03"/>
    <s v="Não se aplica"/>
    <s v="Não se aplica"/>
    <s v="Não se aplica"/>
    <s v="CATIVO"/>
    <x v="6"/>
    <n v="0"/>
    <n v="0"/>
    <n v="11.601000000000001"/>
    <n v="11.601000000000001"/>
    <n v="11.601000000000001"/>
    <n v="11.601000000000001"/>
    <m/>
    <n v="640"/>
    <n v="127.85"/>
    <m/>
    <n v="8907.8278499999997"/>
    <n v="8907.8278499999997"/>
    <n v="7189.8357600000008"/>
    <n v="0"/>
    <n v="0"/>
    <n v="0"/>
    <n v="0"/>
    <n v="0"/>
    <n v="1268.4818156562001"/>
    <n v="5779.2387113576497"/>
    <n v="1483.1576433043322"/>
    <n v="0"/>
    <n v="0"/>
    <n v="0"/>
    <n v="0"/>
    <n v="0"/>
    <n v="0"/>
    <m/>
    <n v="26.5751449523565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0.32924480621551"/>
    <n v="0"/>
    <n v="45.41"/>
    <n v="210.82"/>
    <n v="2105.5700000000002"/>
    <n v="86"/>
    <m/>
    <m/>
    <m/>
    <m/>
    <m/>
    <m/>
    <m/>
    <n v="719.02997999999957"/>
    <m/>
    <n v="1833.4868881105476"/>
    <m/>
    <m/>
    <m/>
    <m/>
    <m/>
    <m/>
    <m/>
    <m/>
    <m/>
    <m/>
    <m/>
    <m/>
    <n v="6470.2480000000005"/>
    <n v="-1546.7690600000005"/>
    <m/>
    <m/>
    <m/>
    <m/>
    <n v="-1764.6281100000003"/>
    <n v="46.636020000000123"/>
    <n v="31"/>
    <n v="-9.4652141387823576"/>
    <n v="0"/>
    <n v="0"/>
    <n v="0"/>
    <n v="0"/>
    <n v="0"/>
    <n v="0"/>
    <n v="0"/>
    <n v="-66.545463329430504"/>
    <n v="0"/>
    <n v="0"/>
    <n v="46.669353022510677"/>
    <n v="0"/>
    <n v="0"/>
    <n v="0"/>
    <n v="11.023534331485621"/>
    <n v="0"/>
    <n v="0"/>
    <m/>
    <n v="0"/>
    <n v="0"/>
    <n v="0"/>
    <n v="0"/>
    <n v="0"/>
    <n v="-0.61263816334826515"/>
    <n v="0"/>
    <n v="0"/>
    <m/>
    <m/>
    <m/>
    <n v="5779.2387113576497"/>
    <n v="0"/>
    <n v="0"/>
    <n v="-1764.6281099999997"/>
    <n v="46.636020000000144"/>
    <n v="0"/>
    <n v="0"/>
    <n v="-1708.4341900641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134"/>
    <s v="Refaturamento - Regular"/>
    <s v="Convencional"/>
    <s v="B1"/>
    <s v="Residencial"/>
    <s v="Residencial baixa renda – faixa 03"/>
    <s v="Não se aplica"/>
    <s v="Não se aplica"/>
    <s v="Não se aplica"/>
    <s v="CATIVO"/>
    <x v="6"/>
    <n v="0"/>
    <n v="0"/>
    <n v="0.02"/>
    <n v="0.02"/>
    <n v="0.02"/>
    <n v="0.02"/>
    <m/>
    <n v="640"/>
    <n v="127.85"/>
    <m/>
    <n v="15.357000000000001"/>
    <n v="15.357000000000001"/>
    <n v="12.395199999999999"/>
    <n v="0"/>
    <n v="0"/>
    <n v="0"/>
    <n v="0"/>
    <n v="0"/>
    <n v="2.1868490917269199"/>
    <n v="9.9633457656368396"/>
    <n v="2.5569479239795401"/>
    <n v="0"/>
    <n v="0"/>
    <n v="0"/>
    <n v="0"/>
    <n v="0"/>
    <n v="0"/>
    <m/>
    <n v="4.5815265843214402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60396387346989999"/>
    <n v="0"/>
    <n v="0.09"/>
    <n v="0.43"/>
    <n v="18.84"/>
    <n v="0"/>
    <m/>
    <m/>
    <m/>
    <m/>
    <m/>
    <m/>
    <m/>
    <n v="1.2395999999999994"/>
    <m/>
    <n v="3.1609117974494403"/>
    <m/>
    <m/>
    <m/>
    <m/>
    <m/>
    <m/>
    <m/>
    <m/>
    <m/>
    <m/>
    <m/>
    <m/>
    <n v="11.1556"/>
    <n v="-2.6955999999999989"/>
    <m/>
    <m/>
    <m/>
    <m/>
    <n v="-3.0422000000000002"/>
    <n v="8.0400000000000207E-2"/>
    <n v="31"/>
    <n v="-1.6317928004106363E-2"/>
    <n v="0"/>
    <n v="0"/>
    <n v="0"/>
    <n v="0"/>
    <n v="0"/>
    <n v="0"/>
    <n v="0"/>
    <n v="-0.11472366749319951"/>
    <n v="0"/>
    <n v="0"/>
    <n v="8.0457465774520287E-2"/>
    <n v="0"/>
    <n v="0"/>
    <n v="0"/>
    <n v="1.9004455359858063E-2"/>
    <n v="0"/>
    <n v="0"/>
    <m/>
    <n v="0"/>
    <n v="0"/>
    <n v="0"/>
    <n v="0"/>
    <n v="0"/>
    <n v="-1.0561816452862027E-3"/>
    <n v="0"/>
    <n v="0"/>
    <m/>
    <m/>
    <m/>
    <n v="9.9633457656368396"/>
    <n v="0"/>
    <n v="0"/>
    <n v="-3.0422000000000011"/>
    <n v="8.0400000000000027E-2"/>
    <n v="0"/>
    <n v="0"/>
    <n v="-2.94532228267241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135"/>
    <s v="Regular"/>
    <s v="Convencional"/>
    <s v="B1"/>
    <s v="Residencial"/>
    <s v="Residencial baixa renda – faixa 04"/>
    <s v="Não se aplica"/>
    <s v="Não se aplica"/>
    <s v="Não se aplica"/>
    <s v="CATIVO"/>
    <x v="6"/>
    <n v="0"/>
    <n v="0"/>
    <n v="3.621"/>
    <n v="3.621"/>
    <n v="3.621"/>
    <n v="3.621"/>
    <m/>
    <n v="640"/>
    <n v="127.85"/>
    <m/>
    <n v="2780.3848499999999"/>
    <n v="2780.3848499999999"/>
    <n v="2244.1509599999999"/>
    <n v="0"/>
    <n v="0"/>
    <n v="0"/>
    <n v="0"/>
    <n v="0"/>
    <n v="395.92902805715886"/>
    <n v="1803.8637508685499"/>
    <n v="462.93542163649568"/>
    <n v="0"/>
    <n v="0"/>
    <n v="0"/>
    <n v="0"/>
    <n v="0"/>
    <n v="0"/>
    <m/>
    <n v="8.29485388091396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9.34765929172539"/>
    <n v="0"/>
    <n v="14.34"/>
    <n v="66.73"/>
    <n v="858.37"/>
    <n v="51"/>
    <m/>
    <m/>
    <m/>
    <m/>
    <m/>
    <m/>
    <m/>
    <m/>
    <m/>
    <n v="572.28308092822112"/>
    <m/>
    <m/>
    <m/>
    <m/>
    <m/>
    <m/>
    <m/>
    <m/>
    <m/>
    <m/>
    <m/>
    <m/>
    <n v="2243.5312000000004"/>
    <n v="-536.88365000000022"/>
    <m/>
    <m/>
    <m/>
    <m/>
    <n v="-550.79031000000009"/>
    <n v="14.556420000000037"/>
    <n v="31"/>
    <n v="-2.9543608651435989"/>
    <n v="0"/>
    <n v="0"/>
    <n v="0"/>
    <n v="0"/>
    <n v="0"/>
    <n v="0"/>
    <n v="0"/>
    <n v="-20.770719999643802"/>
    <n v="0"/>
    <n v="0"/>
    <n v="14.566824178476907"/>
    <n v="0"/>
    <n v="0"/>
    <n v="0"/>
    <n v="3.4407566429022864"/>
    <n v="0"/>
    <n v="0"/>
    <m/>
    <n v="0"/>
    <n v="0"/>
    <n v="0"/>
    <n v="0"/>
    <n v="0"/>
    <n v="-0.19122168687906793"/>
    <n v="0"/>
    <n v="0"/>
    <m/>
    <m/>
    <m/>
    <n v="1803.8637508685499"/>
    <n v="0"/>
    <n v="0"/>
    <n v="-550.79031000000009"/>
    <n v="14.55642000000006"/>
    <n v="0"/>
    <n v="0"/>
    <n v="-533.25059927784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136"/>
    <s v="Refaturamento - Regular"/>
    <s v="Convencional"/>
    <s v="B1"/>
    <s v="Residencial"/>
    <s v="Residencial baixa renda – faixa 04"/>
    <s v="Não se aplica"/>
    <s v="Não se aplica"/>
    <s v="Não se aplica"/>
    <s v="CATIVO"/>
    <x v="6"/>
    <n v="0"/>
    <n v="0"/>
    <n v="2.9000000000000001E-2"/>
    <n v="2.9000000000000001E-2"/>
    <n v="2.9000000000000001E-2"/>
    <n v="2.9000000000000001E-2"/>
    <m/>
    <n v="640"/>
    <n v="127.85"/>
    <m/>
    <n v="22.267650000000003"/>
    <n v="22.267650000000003"/>
    <n v="17.973040000000001"/>
    <n v="0"/>
    <n v="0"/>
    <n v="0"/>
    <n v="0"/>
    <n v="0"/>
    <n v="3.1709311830040341"/>
    <n v="14.446851360173419"/>
    <n v="3.7075744897703329"/>
    <n v="0"/>
    <n v="0"/>
    <n v="0"/>
    <n v="0"/>
    <n v="0"/>
    <n v="0"/>
    <m/>
    <n v="6.643213547266088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87574761653135502"/>
    <n v="0"/>
    <n v="0.14000000000000001"/>
    <n v="0.62"/>
    <n v="6.91"/>
    <n v="0"/>
    <m/>
    <m/>
    <m/>
    <m/>
    <m/>
    <m/>
    <m/>
    <m/>
    <m/>
    <n v="4.5833221063016882"/>
    <m/>
    <m/>
    <m/>
    <m/>
    <m/>
    <m/>
    <m/>
    <m/>
    <m/>
    <m/>
    <m/>
    <m/>
    <n v="18.5928"/>
    <n v="-3.7048500000000075"/>
    <m/>
    <m/>
    <m/>
    <m/>
    <n v="-4.4111900000000004"/>
    <n v="0.11658000000000031"/>
    <n v="31"/>
    <n v="-2.3660995605957247E-2"/>
    <n v="0"/>
    <n v="0"/>
    <n v="0"/>
    <n v="0"/>
    <n v="0"/>
    <n v="0"/>
    <n v="0"/>
    <n v="-0.16634931786513985"/>
    <n v="0"/>
    <n v="0"/>
    <n v="0.11666332537305468"/>
    <n v="0"/>
    <n v="0"/>
    <n v="0"/>
    <n v="2.7556460271794148E-2"/>
    <n v="0"/>
    <n v="0"/>
    <m/>
    <n v="0"/>
    <n v="0"/>
    <n v="0"/>
    <n v="0"/>
    <n v="0"/>
    <n v="-1.5314633856649967E-3"/>
    <n v="0"/>
    <n v="0"/>
    <m/>
    <m/>
    <m/>
    <n v="14.446851360173419"/>
    <n v="0"/>
    <n v="0"/>
    <n v="-4.4111900000000013"/>
    <n v="0.11658000000000035"/>
    <n v="0"/>
    <n v="0"/>
    <n v="-4.27071730987500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137"/>
    <s v="Regular"/>
    <s v="Branca"/>
    <s v="B1"/>
    <s v="Residencial"/>
    <s v="Residencial"/>
    <s v="Não se aplica"/>
    <s v="Não se aplica"/>
    <s v="Ponta"/>
    <s v="CATIVO"/>
    <x v="6"/>
    <n v="0"/>
    <n v="0"/>
    <n v="2.9000000000000001E-2"/>
    <n v="2.9000000000000001E-2"/>
    <n v="2.9000000000000001E-2"/>
    <n v="2.9000000000000001E-2"/>
    <m/>
    <n v="1864.71"/>
    <n v="127.85"/>
    <m/>
    <n v="57.784240000000004"/>
    <n v="57.784240000000004"/>
    <n v="45.014090000000003"/>
    <n v="0"/>
    <n v="1.7711772227433789"/>
    <n v="0"/>
    <n v="0"/>
    <n v="0"/>
    <n v="9.1935604873048469"/>
    <n v="41.895875756100871"/>
    <n v="3.7075744897703329"/>
    <n v="0"/>
    <n v="0"/>
    <n v="0"/>
    <n v="0"/>
    <n v="0"/>
    <n v="0.27391362508240341"/>
    <m/>
    <n v="6.643213547266088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87574761653135502"/>
    <n v="0"/>
    <n v="0"/>
    <n v="0"/>
    <n v="0"/>
    <n v="0"/>
    <m/>
    <m/>
    <m/>
    <m/>
    <m/>
    <m/>
    <m/>
    <m/>
    <m/>
    <n v="4.5833221063016882"/>
    <m/>
    <m/>
    <m/>
    <m/>
    <m/>
    <m/>
    <m/>
    <m/>
    <m/>
    <m/>
    <m/>
    <m/>
    <n v="46.566299999999998"/>
    <n v="-11.24794"/>
    <m/>
    <m/>
    <m/>
    <m/>
    <n v="-12.886730000000004"/>
    <n v="0.11658000000000031"/>
    <n v="31"/>
    <n v="-0.38517508701399983"/>
    <n v="0"/>
    <n v="0"/>
    <n v="0"/>
    <n v="0"/>
    <n v="0"/>
    <n v="0"/>
    <n v="0"/>
    <n v="-0.48230075884718637"/>
    <n v="0"/>
    <n v="0"/>
    <n v="0.11666332537305468"/>
    <n v="0"/>
    <n v="0"/>
    <n v="0"/>
    <n v="2.7556460271794148E-2"/>
    <n v="0"/>
    <n v="-4.0335821744689859E-2"/>
    <m/>
    <n v="0"/>
    <n v="0"/>
    <n v="0"/>
    <n v="0"/>
    <n v="-5.226828681307083E-3"/>
    <n v="-1.5314633856649967E-3"/>
    <n v="0"/>
    <n v="0"/>
    <m/>
    <m/>
    <m/>
    <n v="41.895875756100871"/>
    <n v="0"/>
    <n v="0"/>
    <n v="-12.88673"/>
    <n v="0.11658000000000035"/>
    <n v="0"/>
    <n v="0"/>
    <n v="-12.3850822122533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138"/>
    <s v="Regular"/>
    <s v="Branca"/>
    <s v="B1"/>
    <s v="Residencial"/>
    <s v="Residencial"/>
    <s v="Não se aplica"/>
    <s v="Não se aplica"/>
    <s v="Fora ponta"/>
    <s v="CATIVO"/>
    <x v="6"/>
    <n v="0"/>
    <n v="0"/>
    <n v="0.26400000000000001"/>
    <n v="0.26400000000000001"/>
    <n v="0.26400000000000001"/>
    <n v="0.26400000000000001"/>
    <m/>
    <n v="455.34"/>
    <n v="127.85"/>
    <m/>
    <n v="153.96216000000001"/>
    <n v="153.96216000000001"/>
    <n v="131.41920000000002"/>
    <n v="0"/>
    <n v="16.123820234629378"/>
    <n v="0"/>
    <n v="0"/>
    <n v="0"/>
    <n v="16.736015789656101"/>
    <n v="76.279346244167883"/>
    <n v="33.751712596529927"/>
    <n v="0"/>
    <n v="0"/>
    <n v="0"/>
    <n v="0"/>
    <n v="0"/>
    <n v="2.4935585179915347"/>
    <m/>
    <n v="0.604761509130430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97232312980268"/>
    <n v="0"/>
    <n v="0"/>
    <n v="0"/>
    <n v="0"/>
    <n v="0"/>
    <m/>
    <m/>
    <m/>
    <m/>
    <m/>
    <m/>
    <m/>
    <m/>
    <m/>
    <n v="41.724035726332609"/>
    <m/>
    <m/>
    <m/>
    <m/>
    <m/>
    <m/>
    <m/>
    <m/>
    <m/>
    <m/>
    <m/>
    <m/>
    <n v="129.428"/>
    <n v="-24.564160000000015"/>
    <m/>
    <m/>
    <m/>
    <m/>
    <n v="-23.604239999999994"/>
    <n v="1.0612800000000027"/>
    <n v="31"/>
    <n v="6.1951710510328439E-3"/>
    <n v="0"/>
    <n v="0"/>
    <n v="0"/>
    <n v="0"/>
    <n v="0"/>
    <n v="0"/>
    <n v="0"/>
    <n v="-0.8779833587407353"/>
    <n v="0"/>
    <n v="0"/>
    <n v="1.0620385482236685"/>
    <n v="0"/>
    <n v="0"/>
    <n v="0"/>
    <n v="0.25085881075012573"/>
    <n v="0"/>
    <n v="-0.36719506691717285"/>
    <m/>
    <n v="0"/>
    <n v="0"/>
    <n v="0"/>
    <n v="0"/>
    <n v="-4.7582164547071315E-2"/>
    <n v="-1.394159771777792E-2"/>
    <n v="0"/>
    <n v="0"/>
    <m/>
    <m/>
    <m/>
    <n v="76.279346244167883"/>
    <n v="0"/>
    <n v="0"/>
    <n v="-23.60423999999999"/>
    <n v="1.0612800000000036"/>
    <n v="0"/>
    <n v="0"/>
    <n v="-22.5493788417440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139"/>
    <s v="Regular"/>
    <s v="Branca"/>
    <s v="B1"/>
    <s v="Residencial"/>
    <s v="Residencial"/>
    <s v="Não se aplica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66"/>
    <n v="3.07"/>
    <n v="81.680000000000007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7"/>
    <m/>
    <m/>
    <m/>
    <m/>
    <n v="0"/>
    <m/>
    <m/>
    <m/>
    <m/>
    <n v="0"/>
    <n v="0"/>
    <n v="0"/>
    <n v="0"/>
  </r>
  <r>
    <n v="140"/>
    <s v="Sistema de Compensação"/>
    <s v="Branca"/>
    <s v="B1"/>
    <s v="Residencial"/>
    <s v="Residencial"/>
    <s v="Não se aplica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12"/>
    <n v="0.56000000000000005"/>
    <n v="70.260000000000005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7"/>
    <m/>
    <m/>
    <m/>
    <m/>
    <n v="0"/>
    <m/>
    <m/>
    <m/>
    <m/>
    <n v="0"/>
    <n v="0"/>
    <n v="0"/>
    <n v="0"/>
  </r>
  <r>
    <n v="141"/>
    <s v="Regular"/>
    <s v="Branca"/>
    <s v="B1"/>
    <s v="Residencial"/>
    <s v="Residencial"/>
    <s v="Não se aplica"/>
    <s v="Não se aplica"/>
    <s v="Intermediário"/>
    <s v="CATIVO"/>
    <x v="6"/>
    <n v="0"/>
    <n v="0"/>
    <n v="0.02"/>
    <n v="0.02"/>
    <n v="0.02"/>
    <n v="0.02"/>
    <m/>
    <n v="1160"/>
    <n v="127.85"/>
    <m/>
    <n v="25.756999999999998"/>
    <n v="25.756999999999998"/>
    <n v="20.499600000000001"/>
    <n v="0"/>
    <n v="1.221501532926468"/>
    <n v="0"/>
    <n v="0"/>
    <n v="0"/>
    <n v="3.8036420076584201"/>
    <n v="17.336221766426778"/>
    <n v="2.5569479239795401"/>
    <n v="0"/>
    <n v="0"/>
    <n v="0"/>
    <n v="0"/>
    <n v="0"/>
    <n v="0.18890594833269203"/>
    <m/>
    <n v="4.5815265843214402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60396387346989999"/>
    <n v="0"/>
    <n v="0"/>
    <n v="0"/>
    <n v="0"/>
    <n v="0"/>
    <m/>
    <m/>
    <m/>
    <m/>
    <m/>
    <m/>
    <m/>
    <m/>
    <m/>
    <n v="3.1609117974494403"/>
    <m/>
    <m/>
    <m/>
    <m/>
    <m/>
    <m/>
    <m/>
    <m/>
    <m/>
    <m/>
    <m/>
    <m/>
    <n v="20.499600000000001"/>
    <n v="-5.2874000000000017"/>
    <m/>
    <m/>
    <m/>
    <m/>
    <n v="-5.3377999999999997"/>
    <n v="8.0400000000000207E-2"/>
    <n v="31"/>
    <n v="-0.13255855831826047"/>
    <n v="0"/>
    <n v="0"/>
    <n v="0"/>
    <n v="0"/>
    <n v="0"/>
    <n v="0"/>
    <n v="0"/>
    <n v="-0.19954178027218017"/>
    <n v="0"/>
    <n v="0"/>
    <n v="8.0457465774520287E-2"/>
    <n v="0"/>
    <n v="0"/>
    <n v="0"/>
    <n v="1.9004455359858063E-2"/>
    <n v="0"/>
    <n v="-2.7817808099785957E-2"/>
    <m/>
    <n v="0"/>
    <n v="0"/>
    <n v="0"/>
    <n v="0"/>
    <n v="-3.6047094353842124E-3"/>
    <n v="-1.0561816452862027E-3"/>
    <n v="0"/>
    <n v="0"/>
    <m/>
    <m/>
    <m/>
    <n v="17.336221766426778"/>
    <n v="0"/>
    <n v="0"/>
    <n v="-5.3377999999999979"/>
    <n v="8.0400000000000027E-2"/>
    <n v="0"/>
    <n v="0"/>
    <n v="-5.12486081152717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142"/>
    <s v="Regular"/>
    <s v="Verde"/>
    <s v="A4"/>
    <s v="Industrial"/>
    <s v="Não se aplica"/>
    <s v="Não se aplica"/>
    <s v="Não se aplica"/>
    <s v="Ponta"/>
    <s v="CATIVO"/>
    <x v="6"/>
    <n v="0"/>
    <n v="0"/>
    <n v="3.3220000000000001"/>
    <n v="3.3220000000000001"/>
    <n v="3.3220000000000001"/>
    <n v="3.3220000000000001"/>
    <m/>
    <n v="2075.9499999999998"/>
    <n v="127.85"/>
    <m/>
    <n v="7321.0235999999995"/>
    <n v="7321.0235999999995"/>
    <n v="5868.0140200000005"/>
    <n v="0"/>
    <n v="176.51552201860525"/>
    <n v="0"/>
    <n v="0"/>
    <n v="0"/>
    <n v="2092.8896237121003"/>
    <n v="4574.9379945825212"/>
    <n v="424.70905017300157"/>
    <n v="0"/>
    <n v="0"/>
    <n v="0"/>
    <n v="0"/>
    <n v="0"/>
    <n v="31.377278018060142"/>
    <m/>
    <n v="3.33663046040885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.246436984936445"/>
    <n v="0"/>
    <n v="0"/>
    <n v="0"/>
    <n v="0"/>
    <n v="0"/>
    <m/>
    <m/>
    <m/>
    <m/>
    <m/>
    <m/>
    <m/>
    <m/>
    <m/>
    <n v="441.95548715793802"/>
    <m/>
    <m/>
    <m/>
    <m/>
    <m/>
    <m/>
    <m/>
    <m/>
    <m/>
    <m/>
    <m/>
    <m/>
    <n v="5864.4811999999993"/>
    <n v="-1456.5724000000009"/>
    <m/>
    <m/>
    <m/>
    <m/>
    <n v="-1466.3640199999995"/>
    <n v="13.354440000000034"/>
    <n v="31"/>
    <n v="-100.58335123038023"/>
    <n v="0"/>
    <n v="0"/>
    <n v="0"/>
    <n v="0"/>
    <n v="0"/>
    <n v="0"/>
    <n v="0"/>
    <n v="-109.79448659674767"/>
    <n v="0"/>
    <n v="0"/>
    <n v="13.363985065147858"/>
    <n v="0"/>
    <n v="0"/>
    <n v="0"/>
    <n v="0.54268004460891817"/>
    <n v="0"/>
    <n v="-4.0198679950761402"/>
    <m/>
    <n v="0"/>
    <n v="0"/>
    <n v="0"/>
    <n v="0"/>
    <n v="-0.59874223721731568"/>
    <n v="-7.6919511095857818E-2"/>
    <n v="0"/>
    <n v="0"/>
    <m/>
    <m/>
    <m/>
    <n v="4574.9379945825212"/>
    <n v="0"/>
    <n v="0"/>
    <n v="-1466.3640199999991"/>
    <n v="13.354440000000068"/>
    <n v="0"/>
    <n v="0"/>
    <n v="-1352.42388794355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143"/>
    <s v="Regular"/>
    <s v="Verde"/>
    <s v="A4"/>
    <s v="Industrial"/>
    <s v="Não se aplica"/>
    <s v="Não se aplica"/>
    <s v="Não se aplica"/>
    <s v="Fora ponta"/>
    <s v="CATIVO"/>
    <x v="6"/>
    <n v="0"/>
    <n v="0"/>
    <n v="81.281000000000006"/>
    <n v="81.281000000000006"/>
    <n v="81.281000000000006"/>
    <n v="81.281000000000006"/>
    <m/>
    <n v="68.78"/>
    <n v="127.85"/>
    <m/>
    <n v="15982.283030000001"/>
    <n v="15982.283030000001"/>
    <n v="16207.431400000001"/>
    <n v="0"/>
    <n v="4318.8916752541409"/>
    <n v="0"/>
    <n v="0"/>
    <n v="0"/>
    <n v="0"/>
    <n v="0"/>
    <n v="10391.564210449051"/>
    <n v="0"/>
    <n v="0"/>
    <n v="0"/>
    <n v="0"/>
    <n v="0"/>
    <n v="767.72321932147702"/>
    <m/>
    <n v="81.63897063590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1.97701522354583"/>
    <n v="0"/>
    <n v="0"/>
    <n v="0"/>
    <n v="0"/>
    <n v="0"/>
    <m/>
    <m/>
    <m/>
    <m/>
    <m/>
    <m/>
    <m/>
    <m/>
    <m/>
    <n v="10813.541225672596"/>
    <m/>
    <m/>
    <m/>
    <m/>
    <m/>
    <m/>
    <m/>
    <m/>
    <m/>
    <m/>
    <m/>
    <m/>
    <n v="16207.232000000002"/>
    <n v="224.91897000000063"/>
    <m/>
    <m/>
    <m/>
    <m/>
    <n v="-101.60125000000001"/>
    <n v="326.74962000000085"/>
    <n v="31"/>
    <n v="225.37335752971376"/>
    <n v="0"/>
    <n v="0"/>
    <n v="0"/>
    <n v="0"/>
    <n v="0"/>
    <n v="0"/>
    <n v="0"/>
    <n v="0"/>
    <n v="0"/>
    <n v="0"/>
    <n v="326.98316378093841"/>
    <n v="0"/>
    <n v="0"/>
    <n v="0"/>
    <n v="13.278018273888449"/>
    <n v="0"/>
    <n v="-98.356077816913057"/>
    <m/>
    <n v="0"/>
    <n v="0"/>
    <n v="0"/>
    <n v="0"/>
    <n v="-14.649719380873194"/>
    <n v="-1.8820273273276484"/>
    <n v="0"/>
    <n v="0"/>
    <m/>
    <m/>
    <m/>
    <n v="0"/>
    <n v="0"/>
    <n v="0"/>
    <n v="-101.60124999999971"/>
    <n v="326.74962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144"/>
    <s v="Regular"/>
    <s v="Verde"/>
    <s v="A4"/>
    <s v="Industrial"/>
    <s v="Não se aplica"/>
    <s v="Não se aplica"/>
    <s v="Não se aplica"/>
    <s v="Não se aplica"/>
    <s v="CATIVO"/>
    <x v="6"/>
    <n v="163"/>
    <n v="163"/>
    <n v="0"/>
    <n v="0"/>
    <n v="0"/>
    <n v="0"/>
    <n v="39.56"/>
    <m/>
    <m/>
    <n v="6448.2800000000007"/>
    <m/>
    <n v="6448.2800000000007"/>
    <n v="5062.78"/>
    <n v="0"/>
    <n v="0"/>
    <n v="0"/>
    <n v="0"/>
    <n v="0"/>
    <n v="2146.7559334198531"/>
    <n v="4300.743930763838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07.99"/>
    <n v="498.45"/>
    <n v="8727.42"/>
    <n v="1"/>
    <m/>
    <m/>
    <m/>
    <m/>
    <m/>
    <m/>
    <m/>
    <m/>
    <m/>
    <n v="0"/>
    <m/>
    <m/>
    <m/>
    <m/>
    <m/>
    <m/>
    <m/>
    <m/>
    <m/>
    <m/>
    <m/>
    <m/>
    <n v="5062.78"/>
    <n v="-1385.5300000000016"/>
    <m/>
    <m/>
    <m/>
    <m/>
    <n v="-1385.5000000000007"/>
    <n v="0"/>
    <n v="31"/>
    <n v="-112.62035173181971"/>
    <n v="0"/>
    <n v="0"/>
    <n v="0"/>
    <n v="0"/>
    <m/>
    <m/>
    <m/>
    <n v="-112.62035173181971"/>
    <n v="0"/>
    <n v="0"/>
    <m/>
    <m/>
    <n v="0"/>
    <n v="0"/>
    <n v="0"/>
    <n v="0"/>
    <n v="0"/>
    <m/>
    <n v="0"/>
    <n v="0"/>
    <m/>
    <n v="0"/>
    <n v="0"/>
    <n v="0"/>
    <n v="0"/>
    <n v="0"/>
    <m/>
    <m/>
    <n v="4300.7439307638388"/>
    <m/>
    <n v="0"/>
    <n v="0"/>
    <n v="-1385.5000000000009"/>
    <m/>
    <n v="0"/>
    <m/>
    <n v="-1271.367794444629"/>
    <m/>
    <n v="0"/>
    <n v="0"/>
    <m/>
    <n v="0"/>
    <n v="0"/>
    <n v="0"/>
    <n v="0"/>
    <n v="0"/>
    <m/>
    <m/>
    <n v="0"/>
    <n v="0"/>
    <m/>
    <n v="0"/>
    <m/>
    <n v="0"/>
    <m/>
    <n v="207"/>
    <m/>
    <m/>
    <m/>
    <m/>
    <n v="0"/>
    <m/>
    <m/>
    <m/>
    <m/>
    <n v="0"/>
    <n v="0"/>
    <n v="0"/>
    <n v="0"/>
  </r>
  <r>
    <n v="145"/>
    <s v="Regular"/>
    <s v="Convencional"/>
    <s v="B3"/>
    <s v="Comercial"/>
    <s v="Não se aplica"/>
    <s v="Não se aplica"/>
    <s v="Não se aplica"/>
    <s v="Não se aplica"/>
    <s v="CATIVO"/>
    <x v="6"/>
    <n v="0"/>
    <n v="0"/>
    <n v="87.777000000000001"/>
    <n v="87.777000000000001"/>
    <n v="87.777000000000001"/>
    <n v="87.777000000000001"/>
    <m/>
    <n v="710.52"/>
    <n v="127.85"/>
    <m/>
    <n v="73589.603489999994"/>
    <n v="73589.603489999994"/>
    <n v="60452.897670000006"/>
    <n v="0"/>
    <n v="5360.987002784329"/>
    <n v="0"/>
    <n v="0"/>
    <n v="0"/>
    <n v="9597.7526362256922"/>
    <n v="43727.630063515244"/>
    <n v="11222.060896157604"/>
    <n v="0"/>
    <n v="0"/>
    <n v="0"/>
    <n v="0"/>
    <n v="0"/>
    <n v="829.07987133993538"/>
    <m/>
    <n v="201.076329495991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50.7068460783703"/>
    <n v="0"/>
    <n v="339.73"/>
    <n v="1570.26"/>
    <n v="16424.77"/>
    <n v="87"/>
    <m/>
    <m/>
    <m/>
    <m/>
    <m/>
    <m/>
    <m/>
    <m/>
    <m/>
    <n v="13872.767742235974"/>
    <m/>
    <m/>
    <m/>
    <m/>
    <m/>
    <m/>
    <m/>
    <m/>
    <m/>
    <m/>
    <m/>
    <m/>
    <n v="60454.963800000005"/>
    <n v="-13134.669689999988"/>
    <m/>
    <m/>
    <m/>
    <m/>
    <n v="-13489.569359999996"/>
    <n v="352.86354000000091"/>
    <n v="31"/>
    <n v="-209.52565440505714"/>
    <n v="0"/>
    <n v="0"/>
    <n v="0"/>
    <n v="0"/>
    <n v="0"/>
    <n v="0"/>
    <n v="0"/>
    <n v="-503.50496807753007"/>
    <n v="0"/>
    <n v="0"/>
    <n v="353.11574866450428"/>
    <n v="0"/>
    <n v="0"/>
    <n v="0"/>
    <n v="83.407703906113056"/>
    <n v="0"/>
    <n v="-122.08818707874525"/>
    <m/>
    <n v="0"/>
    <n v="0"/>
    <n v="0"/>
    <n v="0"/>
    <n v="-15.820529005486037"/>
    <n v="-4.6354228139143743"/>
    <n v="0"/>
    <n v="0"/>
    <m/>
    <m/>
    <m/>
    <n v="43727.630063515244"/>
    <n v="0"/>
    <n v="0"/>
    <n v="-13489.569359999994"/>
    <n v="352.86354000000028"/>
    <n v="0"/>
    <n v="0"/>
    <n v="-12926.5777003068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146"/>
    <s v="Regular"/>
    <s v="Verde"/>
    <s v="A4"/>
    <s v="Comercial"/>
    <s v="Não se aplica"/>
    <s v="Não se aplica"/>
    <s v="Não se aplica"/>
    <s v="Ponta"/>
    <s v="CATIVO"/>
    <x v="6"/>
    <n v="0"/>
    <n v="0"/>
    <n v="0.57099999999999995"/>
    <n v="0.57099999999999995"/>
    <n v="0.57099999999999995"/>
    <n v="0.57099999999999995"/>
    <m/>
    <n v="2075.9499999999998"/>
    <n v="127.85"/>
    <m/>
    <n v="1258.3697999999997"/>
    <n v="1258.3697999999997"/>
    <n v="1008.62011"/>
    <n v="0"/>
    <n v="30.340265825594098"/>
    <n v="0"/>
    <n v="0"/>
    <n v="0"/>
    <n v="359.73509185418698"/>
    <n v="786.36050418621903"/>
    <n v="73.000863229615859"/>
    <n v="0"/>
    <n v="0"/>
    <n v="0"/>
    <n v="0"/>
    <n v="0"/>
    <n v="5.3932648248983561"/>
    <m/>
    <n v="0.573514748011275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9643935937383228"/>
    <n v="0"/>
    <n v="0"/>
    <n v="0"/>
    <n v="0"/>
    <n v="0"/>
    <m/>
    <m/>
    <m/>
    <m/>
    <m/>
    <m/>
    <m/>
    <m/>
    <m/>
    <n v="75.965256823354181"/>
    <m/>
    <m/>
    <m/>
    <m/>
    <m/>
    <m/>
    <m/>
    <m/>
    <m/>
    <m/>
    <m/>
    <m/>
    <n v="1006.8536999999999"/>
    <n v="-251.5460999999998"/>
    <m/>
    <m/>
    <m/>
    <m/>
    <n v="-252.04510999999991"/>
    <n v="2.2954200000000058"/>
    <n v="31"/>
    <n v="-17.288709678671694"/>
    <n v="0"/>
    <n v="0"/>
    <n v="0"/>
    <n v="0"/>
    <n v="0"/>
    <n v="0"/>
    <n v="0"/>
    <n v="-18.871960218766674"/>
    <n v="0"/>
    <n v="0"/>
    <n v="2.2970606478625513"/>
    <n v="0"/>
    <n v="0"/>
    <n v="0"/>
    <n v="9.3278237649515816E-2"/>
    <n v="0"/>
    <n v="-0.69095262648659883"/>
    <m/>
    <n v="0"/>
    <n v="0"/>
    <n v="0"/>
    <n v="0"/>
    <n v="-0.10291445438021896"/>
    <n v="-1.3221264550191125E-2"/>
    <n v="0"/>
    <n v="0"/>
    <m/>
    <m/>
    <m/>
    <n v="786.36050418621903"/>
    <n v="0"/>
    <n v="0"/>
    <n v="-252.0451099999998"/>
    <n v="2.2954200000000071"/>
    <n v="0"/>
    <n v="0"/>
    <n v="-232.460577969828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147"/>
    <s v="Regular"/>
    <s v="Verde"/>
    <s v="A4"/>
    <s v="Comercial"/>
    <s v="Não se aplica"/>
    <s v="Não se aplica"/>
    <s v="Não se aplica"/>
    <s v="Fora ponta"/>
    <s v="CATIVO"/>
    <x v="6"/>
    <n v="0"/>
    <n v="0"/>
    <n v="11.331"/>
    <n v="11.331"/>
    <n v="11.331"/>
    <n v="11.331"/>
    <m/>
    <n v="68.78"/>
    <n v="127.85"/>
    <m/>
    <n v="2228.0145299999999"/>
    <n v="2228.0145299999999"/>
    <n v="2259.4013999999997"/>
    <n v="0"/>
    <n v="602.0762733271572"/>
    <n v="0"/>
    <n v="0"/>
    <n v="0"/>
    <n v="0"/>
    <n v="0"/>
    <n v="1448.6388463306082"/>
    <n v="0"/>
    <n v="0"/>
    <n v="0"/>
    <n v="0"/>
    <n v="0"/>
    <n v="107.02466502788666"/>
    <m/>
    <n v="11.3809029942482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58.825821034411454"/>
    <n v="0"/>
    <n v="0"/>
    <n v="0"/>
    <n v="0"/>
    <n v="0"/>
    <m/>
    <m/>
    <m/>
    <m/>
    <m/>
    <m/>
    <m/>
    <m/>
    <m/>
    <n v="1507.4646673650197"/>
    <m/>
    <m/>
    <m/>
    <m/>
    <m/>
    <m/>
    <m/>
    <m/>
    <m/>
    <m/>
    <m/>
    <m/>
    <n v="2259.2020000000002"/>
    <n v="31.157470000000103"/>
    <m/>
    <m/>
    <m/>
    <m/>
    <n v="-14.16375"/>
    <n v="45.550620000000116"/>
    <n v="31"/>
    <n v="31.418234448015482"/>
    <n v="0"/>
    <n v="0"/>
    <n v="0"/>
    <n v="0"/>
    <n v="0"/>
    <n v="0"/>
    <n v="0"/>
    <n v="0"/>
    <n v="0"/>
    <n v="0"/>
    <n v="45.583177234554569"/>
    <n v="0"/>
    <n v="0"/>
    <n v="0"/>
    <n v="1.8510257632340839"/>
    <n v="0"/>
    <n v="-13.711355885673697"/>
    <m/>
    <n v="0"/>
    <n v="0"/>
    <n v="0"/>
    <n v="0"/>
    <n v="-2.042248130616926"/>
    <n v="-0.26236453348198729"/>
    <n v="0"/>
    <n v="0"/>
    <m/>
    <m/>
    <m/>
    <n v="0"/>
    <n v="0"/>
    <n v="0"/>
    <n v="-14.16375000000005"/>
    <n v="45.5506199999999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148"/>
    <s v="Regular"/>
    <s v="Verde"/>
    <s v="A4"/>
    <s v="Comercial"/>
    <s v="Não se aplica"/>
    <s v="Não se aplica"/>
    <s v="Não se aplica"/>
    <s v="Não se aplica"/>
    <s v="CATIVO"/>
    <x v="6"/>
    <n v="280"/>
    <n v="280"/>
    <n v="0"/>
    <n v="0"/>
    <n v="0"/>
    <n v="0"/>
    <n v="39.56"/>
    <m/>
    <m/>
    <n v="11076.800000000001"/>
    <m/>
    <n v="11076.800000000001"/>
    <n v="8696.7999999999993"/>
    <n v="0"/>
    <n v="0"/>
    <n v="0"/>
    <n v="0"/>
    <n v="0"/>
    <n v="3687.6789040341037"/>
    <n v="7387.780985361196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92.1"/>
    <n v="425.18"/>
    <n v="1858.44"/>
    <n v="2"/>
    <m/>
    <m/>
    <m/>
    <m/>
    <m/>
    <m/>
    <m/>
    <m/>
    <m/>
    <n v="0"/>
    <m/>
    <m/>
    <m/>
    <m/>
    <m/>
    <m/>
    <m/>
    <m/>
    <m/>
    <m/>
    <m/>
    <m/>
    <n v="8696.7999999999993"/>
    <n v="-2380.0300000000025"/>
    <m/>
    <m/>
    <m/>
    <m/>
    <n v="-2380.0000000000009"/>
    <n v="0"/>
    <n v="31"/>
    <n v="-193.45827291355545"/>
    <n v="0"/>
    <n v="0"/>
    <n v="0"/>
    <n v="0"/>
    <m/>
    <m/>
    <m/>
    <n v="-193.45827291355545"/>
    <n v="0"/>
    <n v="0"/>
    <m/>
    <m/>
    <n v="0"/>
    <n v="0"/>
    <n v="0"/>
    <n v="0"/>
    <n v="0"/>
    <m/>
    <n v="0"/>
    <n v="0"/>
    <m/>
    <n v="0"/>
    <n v="0"/>
    <n v="0"/>
    <n v="0"/>
    <n v="0"/>
    <m/>
    <m/>
    <n v="7387.7809853611961"/>
    <m/>
    <n v="0"/>
    <n v="0"/>
    <n v="-2380.0000000000018"/>
    <m/>
    <n v="0"/>
    <m/>
    <n v="-2183.944677573596"/>
    <m/>
    <n v="0"/>
    <n v="0"/>
    <m/>
    <n v="0"/>
    <n v="0"/>
    <n v="0"/>
    <n v="0"/>
    <n v="0"/>
    <m/>
    <m/>
    <n v="0"/>
    <n v="0"/>
    <m/>
    <n v="0"/>
    <m/>
    <n v="0"/>
    <m/>
    <n v="207"/>
    <m/>
    <m/>
    <m/>
    <m/>
    <n v="0"/>
    <m/>
    <m/>
    <m/>
    <m/>
    <n v="0"/>
    <n v="0"/>
    <n v="0"/>
    <n v="0"/>
  </r>
  <r>
    <n v="149"/>
    <s v="Regular"/>
    <s v="Convencional"/>
    <s v="B2"/>
    <s v="Rural"/>
    <s v="Não se aplica"/>
    <s v="Não se aplica"/>
    <s v="Não se aplica"/>
    <s v="Não se aplica"/>
    <s v="CATIVO"/>
    <x v="6"/>
    <n v="0"/>
    <n v="0"/>
    <n v="59.033999999999999"/>
    <n v="59.033999999999999"/>
    <n v="59.033999999999999"/>
    <n v="59.033999999999999"/>
    <m/>
    <n v="710.52"/>
    <n v="127.85"/>
    <m/>
    <n v="49492.334579999995"/>
    <n v="49492.334579999995"/>
    <n v="40657.306140000001"/>
    <n v="0"/>
    <n v="3605.5060747390557"/>
    <n v="0"/>
    <n v="0"/>
    <n v="0"/>
    <n v="6454.9224640503489"/>
    <n v="29408.80769643026"/>
    <n v="7547.3431872104075"/>
    <n v="0"/>
    <n v="0"/>
    <n v="0"/>
    <n v="0"/>
    <n v="0"/>
    <n v="557.59368769360697"/>
    <m/>
    <n v="135.232920189415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82.7201653211037"/>
    <n v="0"/>
    <n v="163.26"/>
    <n v="754.36"/>
    <n v="0"/>
    <n v="38"/>
    <m/>
    <m/>
    <m/>
    <m/>
    <m/>
    <n v="4878.569760000004"/>
    <m/>
    <m/>
    <m/>
    <n v="9330.0633525315116"/>
    <m/>
    <m/>
    <m/>
    <m/>
    <m/>
    <m/>
    <m/>
    <m/>
    <m/>
    <m/>
    <m/>
    <m/>
    <n v="35776.312100000003"/>
    <n v="-7777.2320800000016"/>
    <m/>
    <m/>
    <m/>
    <m/>
    <n v="-9072.3451199999963"/>
    <n v="237.31668000000059"/>
    <n v="31"/>
    <n v="-140.91547309828456"/>
    <n v="0"/>
    <n v="0"/>
    <n v="0"/>
    <n v="0"/>
    <n v="0"/>
    <n v="0"/>
    <n v="0"/>
    <n v="-338.62984933967709"/>
    <n v="0"/>
    <n v="0"/>
    <n v="237.48630172665162"/>
    <n v="0"/>
    <n v="0"/>
    <n v="0"/>
    <n v="56.095450885693026"/>
    <n v="0"/>
    <n v="-82.109824168138402"/>
    <m/>
    <n v="0"/>
    <n v="0"/>
    <n v="0"/>
    <n v="0"/>
    <n v="-10.640020840423517"/>
    <n v="-3.1175313623913041"/>
    <n v="0"/>
    <n v="0"/>
    <m/>
    <m/>
    <m/>
    <n v="29408.80769643026"/>
    <n v="0"/>
    <n v="0"/>
    <n v="-9072.3451199999981"/>
    <n v="237.31668000000082"/>
    <n v="0"/>
    <n v="0"/>
    <n v="-8693.70778176418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150"/>
    <s v="Regular"/>
    <s v="Convencional"/>
    <s v="B3"/>
    <s v="Poder público"/>
    <s v="Não se aplica"/>
    <s v="Não se aplica"/>
    <s v="Não se aplica"/>
    <s v="Não se aplica"/>
    <s v="CATIVO"/>
    <x v="6"/>
    <n v="0"/>
    <n v="0"/>
    <n v="7.01"/>
    <n v="7.01"/>
    <n v="7.01"/>
    <n v="7.01"/>
    <m/>
    <n v="710.52"/>
    <n v="127.85"/>
    <m/>
    <n v="5876.9736999999996"/>
    <n v="5876.9736999999996"/>
    <n v="4827.8571000000002"/>
    <n v="0"/>
    <n v="428.13628729072707"/>
    <n v="0"/>
    <n v="0"/>
    <n v="0"/>
    <n v="766.49060665028537"/>
    <n v="3492.1526908557121"/>
    <n v="896.21024735482865"/>
    <n v="0"/>
    <n v="0"/>
    <n v="0"/>
    <n v="0"/>
    <n v="0"/>
    <n v="66.211534890608547"/>
    <m/>
    <n v="16.0582506780466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1.68933765119993"/>
    <n v="0"/>
    <n v="15.97"/>
    <n v="74.14"/>
    <n v="1297.92"/>
    <n v="18"/>
    <m/>
    <m/>
    <m/>
    <m/>
    <m/>
    <m/>
    <m/>
    <m/>
    <m/>
    <n v="1107.8995850060287"/>
    <m/>
    <m/>
    <m/>
    <m/>
    <m/>
    <m/>
    <m/>
    <m/>
    <m/>
    <m/>
    <m/>
    <m/>
    <n v="4827.8571000000002"/>
    <n v="-1049.1466"/>
    <m/>
    <m/>
    <m/>
    <m/>
    <n v="-1077.2967999999996"/>
    <n v="28.18020000000007"/>
    <n v="31"/>
    <n v="-16.733026161517046"/>
    <n v="0"/>
    <n v="0"/>
    <n v="0"/>
    <n v="0"/>
    <n v="0"/>
    <n v="0"/>
    <n v="0"/>
    <n v="-40.210645456366478"/>
    <n v="0"/>
    <n v="0"/>
    <n v="28.200341753969383"/>
    <n v="0"/>
    <n v="0"/>
    <n v="0"/>
    <n v="6.6610616036302304"/>
    <n v="0"/>
    <n v="-9.7501417389750031"/>
    <m/>
    <n v="0"/>
    <n v="0"/>
    <n v="0"/>
    <n v="0"/>
    <n v="-1.2634506571021547"/>
    <n v="-0.37019166667281489"/>
    <n v="0"/>
    <n v="0"/>
    <m/>
    <m/>
    <m/>
    <n v="3492.1526908557121"/>
    <n v="0"/>
    <n v="0"/>
    <n v="-1077.2967999999992"/>
    <n v="28.180200000000013"/>
    <n v="0"/>
    <n v="0"/>
    <n v="-1032.33546007668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151"/>
    <s v="Regular"/>
    <s v="Convencional"/>
    <s v="B4"/>
    <s v="Iluminação pública"/>
    <s v="Iluminação pública – B4a"/>
    <s v="Não se aplica"/>
    <s v="Não se aplica"/>
    <s v="Não se aplica"/>
    <s v="CATIVO"/>
    <x v="6"/>
    <n v="0"/>
    <n v="0"/>
    <n v="41.988"/>
    <n v="41.988"/>
    <n v="41.988"/>
    <n v="41.988"/>
    <m/>
    <n v="390.79"/>
    <n v="70.319999999999993"/>
    <m/>
    <n v="19361.08668"/>
    <n v="19361.08668"/>
    <n v="15904.63452"/>
    <n v="0"/>
    <n v="1410.4311750242061"/>
    <n v="0"/>
    <n v="0"/>
    <n v="0"/>
    <n v="2525.0890407443185"/>
    <n v="11504.376455207886"/>
    <n v="2952.4310593814571"/>
    <n v="0"/>
    <n v="0"/>
    <n v="0"/>
    <n v="0"/>
    <n v="0"/>
    <n v="218.12403136130945"/>
    <m/>
    <n v="52.9015130111845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697.37896577949164"/>
    <n v="0"/>
    <n v="60.16"/>
    <n v="278.37"/>
    <n v="4874.05"/>
    <n v="36"/>
    <m/>
    <m/>
    <m/>
    <m/>
    <m/>
    <m/>
    <m/>
    <m/>
    <m/>
    <n v="3649.8100251609485"/>
    <m/>
    <m/>
    <m/>
    <m/>
    <m/>
    <m/>
    <m/>
    <m/>
    <m/>
    <m/>
    <m/>
    <m/>
    <n v="15905.392100000001"/>
    <n v="-3455.7245799999946"/>
    <m/>
    <m/>
    <m/>
    <m/>
    <n v="-3549.245640000001"/>
    <n v="92.793480000000329"/>
    <n v="31"/>
    <n v="-55.124460250847733"/>
    <n v="0"/>
    <n v="0"/>
    <n v="0"/>
    <n v="0"/>
    <n v="0"/>
    <n v="0"/>
    <n v="0"/>
    <n v="-132.46797714437344"/>
    <n v="0"/>
    <n v="0"/>
    <n v="92.901822005865142"/>
    <n v="0"/>
    <n v="0"/>
    <n v="0"/>
    <n v="21.943874470363198"/>
    <n v="0"/>
    <n v="-32.120388478583664"/>
    <m/>
    <n v="0"/>
    <n v="0"/>
    <n v="0"/>
    <n v="0"/>
    <n v="-4.1622498437552338"/>
    <n v="-1.2195412603625968"/>
    <n v="0"/>
    <n v="0"/>
    <m/>
    <m/>
    <m/>
    <n v="11504.376455207886"/>
    <n v="0"/>
    <n v="0"/>
    <n v="-3549.2456399999992"/>
    <n v="92.793480000000272"/>
    <n v="0"/>
    <n v="0"/>
    <n v="-3400.87528013338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152"/>
    <s v="Regular"/>
    <s v="Convencional"/>
    <s v="B3"/>
    <s v="Serviço público"/>
    <s v="Água, esgoto e saneamento"/>
    <s v="Não se aplica"/>
    <s v="Não se aplica"/>
    <s v="Não se aplica"/>
    <s v="CATIVO"/>
    <x v="6"/>
    <n v="0"/>
    <n v="0"/>
    <n v="7.6"/>
    <n v="7.1440000000000001"/>
    <n v="7.6"/>
    <n v="7.1440000000000001"/>
    <m/>
    <n v="710.52"/>
    <n v="127.85"/>
    <m/>
    <n v="6371.6119999999992"/>
    <n v="6371.6119999999992"/>
    <n v="5234.1959999999999"/>
    <n v="0"/>
    <n v="464.17058251205782"/>
    <n v="0"/>
    <n v="0"/>
    <n v="0"/>
    <n v="831.00265485622947"/>
    <n v="3786.0713909419987"/>
    <n v="971.64021111222507"/>
    <n v="0"/>
    <n v="0"/>
    <n v="0"/>
    <n v="0"/>
    <n v="0"/>
    <n v="71.784260366422956"/>
    <m/>
    <n v="17.4098010204214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9.50627191856196"/>
    <n v="0"/>
    <n v="42.59"/>
    <n v="196.57"/>
    <n v="1369.43"/>
    <n v="1"/>
    <m/>
    <m/>
    <m/>
    <m/>
    <n v="314.05175999999966"/>
    <m/>
    <m/>
    <m/>
    <m/>
    <n v="1201.1464830307871"/>
    <m/>
    <m/>
    <m/>
    <m/>
    <m/>
    <m/>
    <m/>
    <m/>
    <m/>
    <m/>
    <m/>
    <m/>
    <n v="4917.3894"/>
    <n v="-1071.9558800000013"/>
    <m/>
    <m/>
    <m/>
    <m/>
    <n v="-1167.9679999999996"/>
    <n v="30.552000000000078"/>
    <n v="31"/>
    <n v="-18.141369304925774"/>
    <n v="0"/>
    <n v="0"/>
    <n v="0"/>
    <n v="0"/>
    <n v="0"/>
    <n v="0"/>
    <n v="0"/>
    <n v="-43.59499364741589"/>
    <n v="0"/>
    <n v="0"/>
    <n v="30.57383699431773"/>
    <n v="0"/>
    <n v="0"/>
    <n v="0"/>
    <n v="7.2216930367460748"/>
    <n v="0"/>
    <n v="-10.570767077918674"/>
    <m/>
    <n v="0"/>
    <n v="0"/>
    <n v="0"/>
    <n v="0"/>
    <n v="-1.3697895854459858"/>
    <n v="-0.40134902520875926"/>
    <n v="0"/>
    <n v="0"/>
    <m/>
    <m/>
    <m/>
    <n v="3786.0713909419987"/>
    <n v="0"/>
    <n v="0"/>
    <n v="-1167.9679999999989"/>
    <n v="30.552000000000021"/>
    <n v="0"/>
    <n v="0"/>
    <n v="-1119.22246741551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153"/>
    <s v="Regular"/>
    <s v="Convencional"/>
    <s v="B1"/>
    <s v="Residencial"/>
    <s v="Residencial"/>
    <s v="Não se aplica"/>
    <s v="Não se aplica"/>
    <s v="Não se aplica"/>
    <s v="CATIVO"/>
    <x v="7"/>
    <n v="0"/>
    <n v="0"/>
    <n v="990.07399999999996"/>
    <n v="990.07399999999996"/>
    <n v="990.07399999999996"/>
    <n v="990.07399999999996"/>
    <m/>
    <n v="710.52"/>
    <n v="127.85"/>
    <m/>
    <n v="830048.3393799999"/>
    <n v="830048.3393799999"/>
    <n v="681873.86453999998"/>
    <n v="0"/>
    <n v="60468.845435531992"/>
    <n v="0"/>
    <n v="0"/>
    <n v="0"/>
    <n v="108257.12138212191"/>
    <n v="493222.47977835638"/>
    <n v="126578.38294430594"/>
    <n v="0"/>
    <n v="0"/>
    <n v="0"/>
    <n v="0"/>
    <n v="0"/>
    <n v="9351.5433944770848"/>
    <m/>
    <n v="2268.02517572273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898.446403091886"/>
    <n v="0"/>
    <n v="3641.05"/>
    <n v="16954.75"/>
    <n v="195870.72"/>
    <n v="5995"/>
    <m/>
    <m/>
    <m/>
    <m/>
    <m/>
    <m/>
    <m/>
    <m/>
    <m/>
    <n v="156476.82934739781"/>
    <m/>
    <m/>
    <m/>
    <m/>
    <m/>
    <m/>
    <m/>
    <m/>
    <m/>
    <m/>
    <m/>
    <m/>
    <n v="681871.10970000003"/>
    <n v="-148177.2596799999"/>
    <m/>
    <m/>
    <m/>
    <m/>
    <n v="-152154.57231999995"/>
    <n v="3980.0974800000099"/>
    <n v="29"/>
    <n v="-2363.3286938427482"/>
    <n v="0"/>
    <n v="0"/>
    <n v="0"/>
    <n v="0"/>
    <n v="0"/>
    <n v="0"/>
    <n v="0"/>
    <n v="-5679.2460184830998"/>
    <n v="0"/>
    <n v="0"/>
    <n v="3982.9422484621318"/>
    <n v="0"/>
    <n v="0"/>
    <n v="0"/>
    <n v="940.79085679780474"/>
    <n v="0"/>
    <n v="-1377.0844268293731"/>
    <m/>
    <n v="0"/>
    <n v="0"/>
    <n v="0"/>
    <n v="0"/>
    <n v="-178.4464544764287"/>
    <n v="-52.284899313754977"/>
    <n v="0"/>
    <n v="0"/>
    <m/>
    <m/>
    <m/>
    <n v="493222.47977835638"/>
    <n v="0"/>
    <n v="0"/>
    <n v="-152154.57231999992"/>
    <n v="3980.0974800000113"/>
    <n v="0"/>
    <n v="0"/>
    <n v="-145804.350684730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154"/>
    <s v="Refaturamento - Regular"/>
    <s v="Convencional"/>
    <s v="B1"/>
    <s v="Residencial"/>
    <s v="Residencial"/>
    <s v="Não se aplica"/>
    <s v="Não se aplica"/>
    <s v="Não se aplica"/>
    <s v="CATIVO"/>
    <x v="7"/>
    <n v="0"/>
    <n v="0"/>
    <n v="-0.109"/>
    <n v="-0.109"/>
    <n v="-0.109"/>
    <n v="-0.109"/>
    <m/>
    <n v="710.52"/>
    <n v="127.85"/>
    <m/>
    <n v="-91.382329999999996"/>
    <n v="-91.382329999999996"/>
    <n v="-75.069389999999999"/>
    <n v="0"/>
    <n v="-6.6571833544492511"/>
    <n v="0"/>
    <n v="0"/>
    <n v="0"/>
    <n v="-11.918327549911714"/>
    <n v="-54.300234422720777"/>
    <n v="-13.935366185688492"/>
    <n v="0"/>
    <n v="0"/>
    <n v="0"/>
    <n v="0"/>
    <n v="0"/>
    <n v="-1.0295374184131714"/>
    <m/>
    <n v="-0.249693198845518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-3.2916031104109549"/>
    <n v="0"/>
    <n v="-0.61"/>
    <n v="-2.82"/>
    <n v="-19.149999999999999"/>
    <n v="0"/>
    <m/>
    <m/>
    <m/>
    <m/>
    <m/>
    <m/>
    <m/>
    <m/>
    <m/>
    <n v="-17.226969296099448"/>
    <m/>
    <m/>
    <m/>
    <m/>
    <m/>
    <m/>
    <m/>
    <m/>
    <m/>
    <m/>
    <m/>
    <m/>
    <n v="-75.758099999999999"/>
    <n v="15.594229999999982"/>
    <m/>
    <m/>
    <m/>
    <m/>
    <n v="16.751119999999993"/>
    <n v="-0.43818000000000112"/>
    <n v="29"/>
    <n v="0.26018542818905388"/>
    <n v="0"/>
    <n v="0"/>
    <n v="0"/>
    <n v="0"/>
    <n v="0"/>
    <n v="0"/>
    <n v="0"/>
    <n v="0.62524398783793877"/>
    <n v="0"/>
    <n v="0"/>
    <n v="-0.43849318847113672"/>
    <n v="0"/>
    <n v="0"/>
    <n v="0"/>
    <n v="-0.10357428171122596"/>
    <n v="0"/>
    <n v="0.15160705414383369"/>
    <m/>
    <n v="0"/>
    <n v="0"/>
    <n v="0"/>
    <n v="0"/>
    <n v="1.9645666422843711E-2"/>
    <n v="5.7561899668098215E-3"/>
    <n v="0"/>
    <n v="0"/>
    <m/>
    <m/>
    <m/>
    <n v="-54.300234422720777"/>
    <n v="0"/>
    <n v="0"/>
    <n v="16.75112"/>
    <n v="-0.4381800000000009"/>
    <n v="0"/>
    <n v="0"/>
    <n v="16.0520064405646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155"/>
    <s v="Sistema de Compensação"/>
    <s v="Convencional"/>
    <s v="B1"/>
    <s v="Residencial"/>
    <s v="Residencial"/>
    <s v="Não se aplica"/>
    <s v="Não se aplica"/>
    <s v="Não se aplica"/>
    <s v="CATIVO"/>
    <x v="7"/>
    <n v="0"/>
    <n v="0"/>
    <n v="1.32"/>
    <n v="1.32"/>
    <n v="1.32"/>
    <n v="1.32"/>
    <m/>
    <n v="710.52"/>
    <n v="127.85"/>
    <m/>
    <n v="1106.6484"/>
    <n v="1106.6484"/>
    <n v="909.09720000000004"/>
    <n v="0"/>
    <n v="80.619101173146902"/>
    <n v="0"/>
    <n v="0"/>
    <n v="0"/>
    <n v="144.33204005397673"/>
    <n v="657.58082053203145"/>
    <n v="168.75856298264964"/>
    <n v="0"/>
    <n v="0"/>
    <n v="0"/>
    <n v="0"/>
    <n v="0"/>
    <n v="12.467792589957673"/>
    <m/>
    <n v="3.02380754565215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.861615649013402"/>
    <n v="0"/>
    <n v="3.25"/>
    <n v="15.49"/>
    <n v="721.22"/>
    <n v="17"/>
    <m/>
    <m/>
    <m/>
    <m/>
    <m/>
    <m/>
    <m/>
    <m/>
    <m/>
    <n v="208.62017863166304"/>
    <m/>
    <m/>
    <m/>
    <m/>
    <m/>
    <m/>
    <m/>
    <m/>
    <m/>
    <m/>
    <m/>
    <m/>
    <n v="909.09720000000004"/>
    <n v="-197.58119999999997"/>
    <m/>
    <m/>
    <m/>
    <m/>
    <n v="-202.85759999999993"/>
    <n v="5.3064000000000133"/>
    <n v="29"/>
    <n v="-3.1508694055923456"/>
    <n v="0"/>
    <n v="0"/>
    <n v="0"/>
    <n v="0"/>
    <n v="0"/>
    <n v="0"/>
    <n v="0"/>
    <n v="-7.5717620545511863"/>
    <n v="0"/>
    <n v="0"/>
    <n v="5.3101927411183567"/>
    <n v="0"/>
    <n v="0"/>
    <n v="0"/>
    <n v="1.2542940537506269"/>
    <n v="0"/>
    <n v="-1.835975334585882"/>
    <m/>
    <n v="0"/>
    <n v="0"/>
    <n v="0"/>
    <n v="0"/>
    <n v="-0.23791082273535658"/>
    <n v="-6.9707988588889602E-2"/>
    <n v="0"/>
    <n v="0"/>
    <m/>
    <m/>
    <m/>
    <n v="657.58082053203145"/>
    <n v="0"/>
    <n v="0"/>
    <n v="-202.85759999999993"/>
    <n v="5.3064000000000249"/>
    <n v="0"/>
    <n v="0"/>
    <n v="-194.391270656379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156"/>
    <s v="Regular"/>
    <s v="Convencional"/>
    <s v="B1"/>
    <s v="Residencial"/>
    <s v="Residencial baixa renda – faixa 01"/>
    <s v="Não se aplica"/>
    <s v="Não se aplica"/>
    <s v="Não se aplica"/>
    <s v="CATIVO"/>
    <x v="7"/>
    <n v="0"/>
    <n v="0"/>
    <n v="6.87"/>
    <n v="6.87"/>
    <n v="6.87"/>
    <n v="6.87"/>
    <m/>
    <n v="640"/>
    <n v="127.85"/>
    <m/>
    <n v="5275.1295"/>
    <n v="5275.1295"/>
    <n v="4257.7511999999997"/>
    <n v="0"/>
    <n v="0"/>
    <n v="0"/>
    <n v="0"/>
    <n v="0"/>
    <n v="751.18266300819698"/>
    <n v="3422.4092704962545"/>
    <n v="878.31161188697195"/>
    <n v="0"/>
    <n v="0"/>
    <n v="0"/>
    <n v="0"/>
    <n v="0"/>
    <n v="0"/>
    <m/>
    <n v="15.7375438171441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7.46159053691065"/>
    <n v="0"/>
    <n v="25.18"/>
    <n v="115.2"/>
    <n v="825.8"/>
    <n v="9"/>
    <m/>
    <m/>
    <m/>
    <m/>
    <m/>
    <m/>
    <m/>
    <n v="2767.5795000000003"/>
    <m/>
    <n v="1085.7732024238826"/>
    <m/>
    <m/>
    <m/>
    <m/>
    <m/>
    <m/>
    <m/>
    <m/>
    <m/>
    <m/>
    <m/>
    <m/>
    <n v="1490.1717000000001"/>
    <n v="-356.17079999999987"/>
    <m/>
    <m/>
    <m/>
    <m/>
    <n v="-1044.9957000000002"/>
    <n v="27.617400000000071"/>
    <n v="29"/>
    <n v="-5.6052082694106957"/>
    <n v="0"/>
    <n v="0"/>
    <n v="0"/>
    <n v="0"/>
    <n v="0"/>
    <n v="0"/>
    <n v="0"/>
    <n v="-39.407579783914116"/>
    <n v="0"/>
    <n v="0"/>
    <n v="27.637139493547807"/>
    <n v="0"/>
    <n v="0"/>
    <n v="0"/>
    <n v="6.5280304161112213"/>
    <n v="0"/>
    <n v="0"/>
    <m/>
    <n v="0"/>
    <n v="0"/>
    <n v="0"/>
    <n v="0"/>
    <n v="0"/>
    <n v="-0.36279839515581358"/>
    <n v="0"/>
    <n v="0"/>
    <m/>
    <m/>
    <m/>
    <n v="3422.4092704962545"/>
    <n v="0"/>
    <n v="0"/>
    <n v="-1044.9957000000004"/>
    <n v="27.617400000000089"/>
    <n v="0"/>
    <n v="0"/>
    <n v="-1011.7182040979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157"/>
    <s v="Regular"/>
    <s v="Convencional"/>
    <s v="B1"/>
    <s v="Residencial"/>
    <s v="Residencial baixa renda – faixa 02"/>
    <s v="Não se aplica"/>
    <s v="Não se aplica"/>
    <s v="Não se aplica"/>
    <s v="CATIVO"/>
    <x v="7"/>
    <n v="0"/>
    <n v="0"/>
    <n v="14.499000000000001"/>
    <n v="14.499000000000001"/>
    <n v="14.499000000000001"/>
    <n v="14.499000000000001"/>
    <m/>
    <n v="640"/>
    <n v="127.85"/>
    <m/>
    <n v="11133.057150000001"/>
    <n v="11133.057150000001"/>
    <n v="8985.9002400000008"/>
    <n v="0"/>
    <n v="0"/>
    <n v="0"/>
    <n v="0"/>
    <n v="0"/>
    <n v="1585.3562490474305"/>
    <n v="7222.9275127984274"/>
    <n v="1853.6593974889674"/>
    <n v="0"/>
    <n v="0"/>
    <n v="0"/>
    <n v="0"/>
    <n v="0"/>
    <n v="0"/>
    <m/>
    <n v="33.2137769730382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7.84361007200397"/>
    <n v="0"/>
    <n v="52"/>
    <n v="244.48"/>
    <n v="1922.92"/>
    <n v="35"/>
    <m/>
    <m/>
    <m/>
    <m/>
    <m/>
    <m/>
    <m/>
    <n v="3594.3020999999999"/>
    <m/>
    <n v="2291.5030075609716"/>
    <m/>
    <m/>
    <m/>
    <m/>
    <m/>
    <m/>
    <m/>
    <m/>
    <m/>
    <m/>
    <m/>
    <m/>
    <n v="5391.97"/>
    <n v="-1287.8942900000002"/>
    <m/>
    <m/>
    <m/>
    <m/>
    <n v="-2205.4428900000003"/>
    <n v="58.285980000000151"/>
    <n v="29"/>
    <n v="-11.829681906577662"/>
    <n v="0"/>
    <n v="0"/>
    <n v="0"/>
    <n v="0"/>
    <n v="0"/>
    <n v="0"/>
    <n v="0"/>
    <n v="-83.168922749194962"/>
    <n v="0"/>
    <n v="0"/>
    <n v="58.327639813238648"/>
    <n v="0"/>
    <n v="0"/>
    <n v="0"/>
    <n v="13.777279913129121"/>
    <n v="0"/>
    <n v="0"/>
    <m/>
    <n v="0"/>
    <n v="0"/>
    <n v="0"/>
    <n v="0"/>
    <n v="0"/>
    <n v="-0.7656788837502404"/>
    <n v="0"/>
    <n v="0"/>
    <m/>
    <m/>
    <m/>
    <n v="7222.9275127984274"/>
    <n v="0"/>
    <n v="0"/>
    <n v="-2205.4428900000003"/>
    <n v="58.285980000000109"/>
    <n v="0"/>
    <n v="0"/>
    <n v="-2135.21138882337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158"/>
    <s v="Regular"/>
    <s v="Convencional"/>
    <s v="B1"/>
    <s v="Residencial"/>
    <s v="Residencial baixa renda – faixa 03"/>
    <s v="Não se aplica"/>
    <s v="Não se aplica"/>
    <s v="Não se aplica"/>
    <s v="CATIVO"/>
    <x v="7"/>
    <n v="0"/>
    <n v="0"/>
    <n v="13.962"/>
    <n v="13.962"/>
    <n v="13.962"/>
    <n v="13.962"/>
    <m/>
    <n v="640"/>
    <n v="127.85"/>
    <m/>
    <n v="10720.7217"/>
    <n v="10720.7217"/>
    <n v="8653.0891200000005"/>
    <n v="0"/>
    <n v="0"/>
    <n v="0"/>
    <n v="0"/>
    <n v="0"/>
    <n v="1526.6393509345628"/>
    <n v="6955.4116789910777"/>
    <n v="1785.0053457301167"/>
    <n v="0"/>
    <n v="0"/>
    <n v="0"/>
    <n v="0"/>
    <n v="0"/>
    <n v="0"/>
    <m/>
    <n v="31.9836370851479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1.62718006933716"/>
    <n v="0"/>
    <n v="50.62"/>
    <n v="235.9"/>
    <n v="2385.73"/>
    <n v="133"/>
    <m/>
    <m/>
    <m/>
    <m/>
    <m/>
    <m/>
    <m/>
    <n v="865.36475999999948"/>
    <m/>
    <n v="2206.632525799454"/>
    <m/>
    <m/>
    <m/>
    <m/>
    <m/>
    <m/>
    <m/>
    <m/>
    <m/>
    <m/>
    <m/>
    <m/>
    <n v="7786.6088"/>
    <n v="-1862.0009200000004"/>
    <m/>
    <m/>
    <m/>
    <m/>
    <n v="-2123.7598200000002"/>
    <n v="56.127240000000143"/>
    <n v="29"/>
    <n v="-11.391545539667277"/>
    <n v="0"/>
    <n v="0"/>
    <n v="0"/>
    <n v="0"/>
    <n v="0"/>
    <n v="0"/>
    <n v="0"/>
    <n v="-80.088592277002817"/>
    <n v="0"/>
    <n v="0"/>
    <n v="56.167356857192772"/>
    <n v="0"/>
    <n v="0"/>
    <n v="0"/>
    <n v="13.267010286716868"/>
    <n v="0"/>
    <n v="0"/>
    <m/>
    <n v="0"/>
    <n v="0"/>
    <n v="0"/>
    <n v="0"/>
    <n v="0"/>
    <n v="-0.73732040657430176"/>
    <n v="0"/>
    <n v="0"/>
    <m/>
    <m/>
    <m/>
    <n v="6955.4116789910777"/>
    <n v="0"/>
    <n v="0"/>
    <n v="-2123.7598200000002"/>
    <n v="56.127240000000029"/>
    <n v="0"/>
    <n v="0"/>
    <n v="-2056.12948553361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159"/>
    <s v="Regular"/>
    <s v="Convencional"/>
    <s v="B1"/>
    <s v="Residencial"/>
    <s v="Residencial baixa renda – faixa 04"/>
    <s v="Não se aplica"/>
    <s v="Não se aplica"/>
    <s v="Não se aplica"/>
    <s v="CATIVO"/>
    <x v="7"/>
    <n v="0"/>
    <n v="0"/>
    <n v="5.1289999999999996"/>
    <n v="5.1289999999999996"/>
    <n v="5.1289999999999996"/>
    <n v="5.1289999999999996"/>
    <m/>
    <n v="640"/>
    <n v="127.85"/>
    <m/>
    <n v="3938.3026499999996"/>
    <n v="3938.3026499999996"/>
    <n v="3178.7490399999997"/>
    <n v="0"/>
    <n v="0"/>
    <n v="0"/>
    <n v="0"/>
    <n v="0"/>
    <n v="560.81744957336855"/>
    <n v="2555.1000215975673"/>
    <n v="655.72929510455299"/>
    <n v="0"/>
    <n v="0"/>
    <n v="0"/>
    <n v="0"/>
    <n v="0"/>
    <n v="0"/>
    <m/>
    <n v="11.7493249254923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4.88653535135583"/>
    <n v="0"/>
    <n v="16.73"/>
    <n v="77.16"/>
    <n v="1208.7"/>
    <n v="52"/>
    <m/>
    <m/>
    <m/>
    <m/>
    <m/>
    <m/>
    <m/>
    <m/>
    <m/>
    <n v="810.61583045590885"/>
    <m/>
    <m/>
    <m/>
    <m/>
    <m/>
    <m/>
    <m/>
    <m/>
    <m/>
    <m/>
    <m/>
    <m/>
    <n v="3179.3688000000002"/>
    <n v="-758.96385000000009"/>
    <m/>
    <m/>
    <m/>
    <m/>
    <n v="-780.17219"/>
    <n v="20.618580000000051"/>
    <n v="29"/>
    <n v="-4.1847326366535071"/>
    <n v="0"/>
    <n v="0"/>
    <n v="0"/>
    <n v="0"/>
    <n v="0"/>
    <n v="0"/>
    <n v="0"/>
    <n v="-29.420884528631063"/>
    <n v="0"/>
    <n v="0"/>
    <n v="20.633317097875761"/>
    <n v="0"/>
    <n v="0"/>
    <n v="0"/>
    <n v="4.8736925770355981"/>
    <n v="0"/>
    <n v="0"/>
    <m/>
    <n v="0"/>
    <n v="0"/>
    <n v="0"/>
    <n v="0"/>
    <n v="0"/>
    <n v="-0.27085778293364804"/>
    <n v="0"/>
    <n v="0"/>
    <m/>
    <m/>
    <m/>
    <n v="2555.1000215975673"/>
    <n v="0"/>
    <n v="0"/>
    <n v="-780.17218999999977"/>
    <n v="20.618580000000065"/>
    <n v="0"/>
    <n v="0"/>
    <n v="-755.32789939134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160"/>
    <s v="Regular"/>
    <s v="Branca"/>
    <s v="B1"/>
    <s v="Residencial"/>
    <s v="Residencial"/>
    <s v="Não se aplica"/>
    <s v="Não se aplica"/>
    <s v="Ponta"/>
    <s v="CATIVO"/>
    <x v="7"/>
    <n v="0"/>
    <n v="0"/>
    <n v="2.9000000000000001E-2"/>
    <n v="2.9000000000000001E-2"/>
    <n v="2.9000000000000001E-2"/>
    <n v="2.9000000000000001E-2"/>
    <m/>
    <n v="1864.71"/>
    <n v="127.85"/>
    <m/>
    <n v="57.784240000000004"/>
    <n v="57.784240000000004"/>
    <n v="45.014090000000003"/>
    <n v="0"/>
    <n v="1.7711772227433789"/>
    <n v="0"/>
    <n v="0"/>
    <n v="0"/>
    <n v="9.1935604873048469"/>
    <n v="41.895875756100871"/>
    <n v="3.7075744897703329"/>
    <n v="0"/>
    <n v="0"/>
    <n v="0"/>
    <n v="0"/>
    <n v="0"/>
    <n v="0.27391362508240341"/>
    <m/>
    <n v="6.643213547266088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87574761653135502"/>
    <n v="0"/>
    <n v="0"/>
    <n v="0"/>
    <n v="0"/>
    <n v="0"/>
    <m/>
    <m/>
    <m/>
    <m/>
    <m/>
    <m/>
    <m/>
    <m/>
    <m/>
    <n v="4.5833221063016882"/>
    <m/>
    <m/>
    <m/>
    <m/>
    <m/>
    <m/>
    <m/>
    <m/>
    <m/>
    <m/>
    <m/>
    <m/>
    <n v="46.566299999999998"/>
    <n v="-11.24794"/>
    <m/>
    <m/>
    <m/>
    <m/>
    <n v="-12.886730000000004"/>
    <n v="0.11658000000000031"/>
    <n v="29"/>
    <n v="-0.38517508701399983"/>
    <n v="0"/>
    <n v="0"/>
    <n v="0"/>
    <n v="0"/>
    <n v="0"/>
    <n v="0"/>
    <n v="0"/>
    <n v="-0.48230075884718637"/>
    <n v="0"/>
    <n v="0"/>
    <n v="0.11666332537305468"/>
    <n v="0"/>
    <n v="0"/>
    <n v="0"/>
    <n v="2.7556460271794148E-2"/>
    <n v="0"/>
    <n v="-4.0335821744689859E-2"/>
    <m/>
    <n v="0"/>
    <n v="0"/>
    <n v="0"/>
    <n v="0"/>
    <n v="-5.226828681307083E-3"/>
    <n v="-1.5314633856649967E-3"/>
    <n v="0"/>
    <n v="0"/>
    <m/>
    <m/>
    <m/>
    <n v="41.895875756100871"/>
    <n v="0"/>
    <n v="0"/>
    <n v="-12.88673"/>
    <n v="0.11658000000000035"/>
    <n v="0"/>
    <n v="0"/>
    <n v="-12.3850822122533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161"/>
    <s v="Regular"/>
    <s v="Branca"/>
    <s v="B1"/>
    <s v="Residencial"/>
    <s v="Residencial"/>
    <s v="Não se aplica"/>
    <s v="Não se aplica"/>
    <s v="Fora ponta"/>
    <s v="CATIVO"/>
    <x v="7"/>
    <n v="0"/>
    <n v="0"/>
    <n v="0.27400000000000002"/>
    <n v="0.27400000000000002"/>
    <n v="0.27400000000000002"/>
    <n v="0.27400000000000002"/>
    <m/>
    <n v="455.34"/>
    <n v="127.85"/>
    <m/>
    <n v="159.79406"/>
    <n v="159.79406"/>
    <n v="136.39720000000003"/>
    <n v="0"/>
    <n v="16.734571001092615"/>
    <n v="0"/>
    <n v="0"/>
    <n v="0"/>
    <n v="17.369955781688528"/>
    <n v="79.168715420083345"/>
    <n v="35.030186558519702"/>
    <n v="0"/>
    <n v="0"/>
    <n v="0"/>
    <n v="0"/>
    <n v="0"/>
    <n v="2.588011492157881"/>
    <m/>
    <n v="0.627669142052037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8.2743050665376305"/>
    <n v="0"/>
    <n v="0"/>
    <n v="0"/>
    <n v="0"/>
    <n v="0"/>
    <m/>
    <m/>
    <m/>
    <m/>
    <m/>
    <m/>
    <m/>
    <m/>
    <m/>
    <n v="43.304491625057331"/>
    <m/>
    <m/>
    <m/>
    <m/>
    <m/>
    <m/>
    <m/>
    <m/>
    <m/>
    <m/>
    <m/>
    <m/>
    <n v="134.40600000000001"/>
    <n v="-25.418059999999997"/>
    <m/>
    <m/>
    <m/>
    <m/>
    <n v="-24.498339999999992"/>
    <n v="1.1014800000000029"/>
    <n v="29"/>
    <n v="6.4298366211374969E-3"/>
    <n v="0"/>
    <n v="0"/>
    <n v="0"/>
    <n v="0"/>
    <n v="0"/>
    <n v="0"/>
    <n v="0"/>
    <n v="-0.91124030414757939"/>
    <n v="0"/>
    <n v="0"/>
    <n v="1.102267281110926"/>
    <n v="0"/>
    <n v="0"/>
    <n v="0"/>
    <n v="0.2603610384300552"/>
    <n v="0"/>
    <n v="-0.38110397096706805"/>
    <m/>
    <n v="0"/>
    <n v="0"/>
    <n v="0"/>
    <n v="0"/>
    <n v="-4.9384519264763949E-2"/>
    <n v="-1.4469688540421077E-2"/>
    <n v="0"/>
    <n v="0"/>
    <m/>
    <m/>
    <m/>
    <n v="79.168715420083345"/>
    <n v="0"/>
    <n v="0"/>
    <n v="-24.498339999999985"/>
    <n v="1.1014800000000022"/>
    <n v="0"/>
    <n v="0"/>
    <n v="-23.4035219796889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162"/>
    <s v="Regular"/>
    <s v="Branca"/>
    <s v="B1"/>
    <s v="Residencial"/>
    <s v="Residencial"/>
    <s v="Não se aplica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57999999999999996"/>
    <n v="2.68"/>
    <n v="83.66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7"/>
    <m/>
    <m/>
    <m/>
    <m/>
    <n v="0"/>
    <m/>
    <m/>
    <m/>
    <m/>
    <n v="0"/>
    <n v="0"/>
    <n v="0"/>
    <n v="0"/>
  </r>
  <r>
    <n v="163"/>
    <s v="Sistema de Compensação"/>
    <s v="Branca"/>
    <s v="B1"/>
    <s v="Residencial"/>
    <s v="Residencial"/>
    <s v="Não se aplica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1"/>
    <n v="0.48"/>
    <n v="66.16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7"/>
    <m/>
    <m/>
    <m/>
    <m/>
    <n v="0"/>
    <m/>
    <m/>
    <m/>
    <m/>
    <n v="0"/>
    <n v="0"/>
    <n v="0"/>
    <n v="0"/>
  </r>
  <r>
    <n v="164"/>
    <s v="Regular"/>
    <s v="Branca"/>
    <s v="B1"/>
    <s v="Residencial"/>
    <s v="Residencial"/>
    <s v="Não se aplica"/>
    <s v="Não se aplica"/>
    <s v="Intermediário"/>
    <s v="CATIVO"/>
    <x v="7"/>
    <n v="0"/>
    <n v="0"/>
    <n v="0.02"/>
    <n v="0.02"/>
    <n v="0.02"/>
    <n v="0.02"/>
    <m/>
    <n v="1160"/>
    <n v="127.85"/>
    <m/>
    <n v="25.756999999999998"/>
    <n v="25.756999999999998"/>
    <n v="20.499600000000001"/>
    <n v="0"/>
    <n v="1.221501532926468"/>
    <n v="0"/>
    <n v="0"/>
    <n v="0"/>
    <n v="3.8036420076584201"/>
    <n v="17.336221766426778"/>
    <n v="2.5569479239795401"/>
    <n v="0"/>
    <n v="0"/>
    <n v="0"/>
    <n v="0"/>
    <n v="0"/>
    <n v="0.18890594833269203"/>
    <m/>
    <n v="4.5815265843214402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60396387346989999"/>
    <n v="0"/>
    <n v="0"/>
    <n v="0"/>
    <n v="0"/>
    <n v="0"/>
    <m/>
    <m/>
    <m/>
    <m/>
    <m/>
    <m/>
    <m/>
    <m/>
    <m/>
    <n v="3.1609117974494403"/>
    <m/>
    <m/>
    <m/>
    <m/>
    <m/>
    <m/>
    <m/>
    <m/>
    <m/>
    <m/>
    <m/>
    <m/>
    <n v="20.499600000000001"/>
    <n v="-5.2874000000000017"/>
    <m/>
    <m/>
    <m/>
    <m/>
    <n v="-5.3377999999999997"/>
    <n v="8.0400000000000207E-2"/>
    <n v="29"/>
    <n v="-0.13255855831826047"/>
    <n v="0"/>
    <n v="0"/>
    <n v="0"/>
    <n v="0"/>
    <n v="0"/>
    <n v="0"/>
    <n v="0"/>
    <n v="-0.19954178027218017"/>
    <n v="0"/>
    <n v="0"/>
    <n v="8.0457465774520287E-2"/>
    <n v="0"/>
    <n v="0"/>
    <n v="0"/>
    <n v="1.9004455359858063E-2"/>
    <n v="0"/>
    <n v="-2.7817808099785957E-2"/>
    <m/>
    <n v="0"/>
    <n v="0"/>
    <n v="0"/>
    <n v="0"/>
    <n v="-3.6047094353842124E-3"/>
    <n v="-1.0561816452862027E-3"/>
    <n v="0"/>
    <n v="0"/>
    <m/>
    <m/>
    <m/>
    <n v="17.336221766426778"/>
    <n v="0"/>
    <n v="0"/>
    <n v="-5.3377999999999979"/>
    <n v="8.0400000000000027E-2"/>
    <n v="0"/>
    <n v="0"/>
    <n v="-5.12486081152717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165"/>
    <s v="Regular"/>
    <s v="Verde"/>
    <s v="A4"/>
    <s v="Industrial"/>
    <s v="Não se aplica"/>
    <s v="Não se aplica"/>
    <s v="Não se aplica"/>
    <s v="Ponta"/>
    <s v="CATIVO"/>
    <x v="7"/>
    <n v="0"/>
    <n v="0"/>
    <n v="2.738"/>
    <n v="2.738"/>
    <n v="2.738"/>
    <n v="2.738"/>
    <m/>
    <n v="2075.9499999999998"/>
    <n v="127.85"/>
    <m/>
    <n v="6034.0043999999989"/>
    <n v="6034.0043999999989"/>
    <n v="4836.4305799999993"/>
    <n v="0"/>
    <n v="145.48449707614122"/>
    <n v="0"/>
    <n v="0"/>
    <n v="0"/>
    <n v="1724.9644159312857"/>
    <n v="3770.674361579453"/>
    <n v="350.04617079279899"/>
    <n v="0"/>
    <n v="0"/>
    <n v="0"/>
    <n v="0"/>
    <n v="0"/>
    <n v="25.861224326745536"/>
    <m/>
    <n v="2.75005845894023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214552819011434"/>
    <n v="0"/>
    <n v="0"/>
    <n v="0"/>
    <n v="0"/>
    <n v="0"/>
    <m/>
    <m/>
    <m/>
    <m/>
    <m/>
    <m/>
    <m/>
    <m/>
    <m/>
    <n v="364.26072361181042"/>
    <m/>
    <m/>
    <m/>
    <m/>
    <m/>
    <m/>
    <m/>
    <m/>
    <m/>
    <m/>
    <m/>
    <m/>
    <n v="4839.9634000000005"/>
    <n v="-1194.070999999999"/>
    <m/>
    <m/>
    <m/>
    <m/>
    <n v="-1208.5805799999996"/>
    <n v="11.006760000000028"/>
    <n v="29"/>
    <n v="-82.901028196502466"/>
    <n v="0"/>
    <n v="0"/>
    <n v="0"/>
    <n v="0"/>
    <n v="0"/>
    <n v="0"/>
    <n v="0"/>
    <n v="-90.492867038499526"/>
    <n v="0"/>
    <n v="0"/>
    <n v="11.014627064531851"/>
    <n v="0"/>
    <n v="0"/>
    <n v="0"/>
    <n v="0.44727813429837937"/>
    <n v="0"/>
    <n v="-3.3131843981091151"/>
    <m/>
    <n v="0"/>
    <n v="0"/>
    <n v="0"/>
    <n v="0"/>
    <n v="-0.49348472170409607"/>
    <n v="-6.3397237020005548E-2"/>
    <n v="0"/>
    <n v="0"/>
    <m/>
    <m/>
    <m/>
    <n v="3770.674361579453"/>
    <n v="0"/>
    <n v="0"/>
    <n v="-1208.5805799999998"/>
    <n v="11.006760000000043"/>
    <n v="0"/>
    <n v="0"/>
    <n v="-1114.67086248929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166"/>
    <s v="Regular"/>
    <s v="Verde"/>
    <s v="A4"/>
    <s v="Industrial"/>
    <s v="Não se aplica"/>
    <s v="Não se aplica"/>
    <s v="Não se aplica"/>
    <s v="Fora ponta"/>
    <s v="CATIVO"/>
    <x v="7"/>
    <n v="0"/>
    <n v="0"/>
    <n v="110.997"/>
    <n v="110.997"/>
    <n v="110.997"/>
    <n v="110.997"/>
    <m/>
    <n v="68.78"/>
    <n v="127.85"/>
    <m/>
    <n v="21825.340110000001"/>
    <n v="21825.340110000001"/>
    <n v="22132.801800000001"/>
    <n v="0"/>
    <n v="5897.8607457854087"/>
    <n v="0"/>
    <n v="0"/>
    <n v="0"/>
    <n v="0"/>
    <n v="0"/>
    <n v="14190.677435897849"/>
    <n v="0"/>
    <n v="0"/>
    <n v="0"/>
    <n v="0"/>
    <n v="0"/>
    <n v="1048.3996773541908"/>
    <m/>
    <n v="111.485843231186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576.25008007736017"/>
    <n v="0"/>
    <n v="0"/>
    <n v="0"/>
    <n v="0"/>
    <n v="0"/>
    <m/>
    <m/>
    <m/>
    <m/>
    <m/>
    <m/>
    <m/>
    <m/>
    <m/>
    <n v="14766.927515975209"/>
    <m/>
    <m/>
    <m/>
    <m/>
    <m/>
    <m/>
    <m/>
    <m/>
    <m/>
    <m/>
    <m/>
    <m/>
    <n v="22133.4"/>
    <n v="308.02989000000161"/>
    <m/>
    <m/>
    <m/>
    <m/>
    <n v="-138.74625"/>
    <n v="446.20794000000114"/>
    <n v="29"/>
    <n v="307.76893204716544"/>
    <n v="0"/>
    <n v="0"/>
    <n v="0"/>
    <n v="0"/>
    <n v="0"/>
    <n v="0"/>
    <n v="0"/>
    <n v="0"/>
    <n v="0"/>
    <n v="0"/>
    <n v="446.52686642872141"/>
    <n v="0"/>
    <n v="0"/>
    <n v="0"/>
    <n v="18.132407258114426"/>
    <n v="0"/>
    <n v="-134.31465618587208"/>
    <m/>
    <n v="0"/>
    <n v="0"/>
    <n v="0"/>
    <n v="0"/>
    <n v="-20.005596659967068"/>
    <n v="-2.5700887938311041"/>
    <n v="0"/>
    <n v="0"/>
    <m/>
    <m/>
    <m/>
    <n v="0"/>
    <n v="0"/>
    <n v="0"/>
    <n v="-138.74625000000015"/>
    <n v="446.207940000000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167"/>
    <s v="Regular"/>
    <s v="Verde"/>
    <s v="A4"/>
    <s v="Industrial"/>
    <s v="Não se aplica"/>
    <s v="Não se aplica"/>
    <s v="Não se aplica"/>
    <s v="Não se aplica"/>
    <s v="CATIVO"/>
    <x v="7"/>
    <n v="500"/>
    <n v="500"/>
    <n v="0"/>
    <n v="0"/>
    <n v="0"/>
    <n v="0"/>
    <n v="39.56"/>
    <m/>
    <m/>
    <n v="19780"/>
    <m/>
    <n v="19780"/>
    <n v="15530"/>
    <n v="0"/>
    <n v="0"/>
    <n v="0"/>
    <n v="0"/>
    <n v="0"/>
    <n v="6585.1409000608992"/>
    <n v="13192.46604528784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37.68"/>
    <n v="635.42999999999995"/>
    <n v="10764.39"/>
    <n v="1"/>
    <m/>
    <m/>
    <m/>
    <m/>
    <m/>
    <m/>
    <m/>
    <m/>
    <m/>
    <n v="0"/>
    <m/>
    <m/>
    <m/>
    <m/>
    <m/>
    <m/>
    <m/>
    <m/>
    <m/>
    <m/>
    <m/>
    <m/>
    <n v="15530"/>
    <n v="-4250.0299999999952"/>
    <m/>
    <m/>
    <m/>
    <m/>
    <n v="-4250.0000000000018"/>
    <n v="0"/>
    <n v="29"/>
    <n v="-345.46120163134856"/>
    <n v="0"/>
    <n v="0"/>
    <n v="0"/>
    <n v="0"/>
    <m/>
    <m/>
    <m/>
    <n v="-345.46120163134856"/>
    <n v="0"/>
    <n v="0"/>
    <m/>
    <m/>
    <n v="0"/>
    <n v="0"/>
    <n v="0"/>
    <n v="0"/>
    <n v="0"/>
    <m/>
    <n v="0"/>
    <n v="0"/>
    <m/>
    <n v="0"/>
    <n v="0"/>
    <n v="0"/>
    <n v="0"/>
    <n v="0"/>
    <m/>
    <m/>
    <n v="13192.466045287849"/>
    <m/>
    <n v="0"/>
    <n v="0"/>
    <n v="-4250"/>
    <m/>
    <n v="0"/>
    <m/>
    <n v="-3899.9012099528481"/>
    <m/>
    <n v="0"/>
    <n v="0"/>
    <m/>
    <n v="0"/>
    <n v="0"/>
    <n v="0"/>
    <n v="0"/>
    <n v="0"/>
    <m/>
    <m/>
    <n v="0"/>
    <n v="0"/>
    <m/>
    <n v="0"/>
    <m/>
    <n v="0"/>
    <m/>
    <n v="207"/>
    <m/>
    <m/>
    <m/>
    <m/>
    <n v="0"/>
    <m/>
    <m/>
    <m/>
    <m/>
    <n v="0"/>
    <n v="0"/>
    <n v="0"/>
    <n v="0"/>
  </r>
  <r>
    <n v="168"/>
    <s v="Regular"/>
    <s v="Convencional"/>
    <s v="B3"/>
    <s v="Comercial"/>
    <s v="Não se aplica"/>
    <s v="Não se aplica"/>
    <s v="Não se aplica"/>
    <s v="Não se aplica"/>
    <s v="CATIVO"/>
    <x v="7"/>
    <n v="0"/>
    <n v="0"/>
    <n v="99.113"/>
    <n v="99.113"/>
    <n v="99.113"/>
    <n v="99.113"/>
    <m/>
    <n v="710.52"/>
    <n v="127.85"/>
    <m/>
    <n v="83093.365809999988"/>
    <n v="83093.365809999988"/>
    <n v="68260.114230000007"/>
    <n v="0"/>
    <n v="6053.3340716470511"/>
    <n v="0"/>
    <n v="0"/>
    <n v="0"/>
    <n v="10837.258701416511"/>
    <n v="49374.854443478202"/>
    <n v="12671.338979469207"/>
    <n v="0"/>
    <n v="0"/>
    <n v="0"/>
    <n v="0"/>
    <n v="0"/>
    <n v="936.1517628549052"/>
    <m/>
    <n v="227.044422175925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93.0335695611097"/>
    <n v="0"/>
    <n v="398.26"/>
    <n v="1840.1"/>
    <n v="18563.97"/>
    <n v="86"/>
    <m/>
    <m/>
    <m/>
    <m/>
    <m/>
    <m/>
    <m/>
    <m/>
    <m/>
    <n v="15664.372549030317"/>
    <m/>
    <m/>
    <m/>
    <m/>
    <m/>
    <m/>
    <m/>
    <m/>
    <m/>
    <m/>
    <m/>
    <m/>
    <n v="68258.0481"/>
    <n v="-14835.347709999973"/>
    <m/>
    <m/>
    <m/>
    <m/>
    <n v="-15231.685839999995"/>
    <n v="398.43426000000102"/>
    <n v="29"/>
    <n v="-236.5849389367213"/>
    <n v="0"/>
    <n v="0"/>
    <n v="0"/>
    <n v="0"/>
    <n v="0"/>
    <n v="0"/>
    <n v="0"/>
    <n v="-568.53034281267537"/>
    <n v="0"/>
    <n v="0"/>
    <n v="398.71904026550146"/>
    <n v="0"/>
    <n v="0"/>
    <n v="0"/>
    <n v="94.179429204080407"/>
    <n v="0"/>
    <n v="-137.85532070970385"/>
    <m/>
    <n v="0"/>
    <n v="0"/>
    <n v="0"/>
    <n v="0"/>
    <n v="-17.863678313461719"/>
    <n v="-5.2340665704626019"/>
    <n v="0"/>
    <n v="0"/>
    <m/>
    <m/>
    <m/>
    <n v="49374.854443478202"/>
    <n v="0"/>
    <n v="0"/>
    <n v="-15231.685839999991"/>
    <n v="398.43426000000181"/>
    <n v="0"/>
    <n v="0"/>
    <n v="-14595.9863701255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169"/>
    <s v="Regular"/>
    <s v="Verde"/>
    <s v="A4"/>
    <s v="Comercial"/>
    <s v="Não se aplica"/>
    <s v="Não se aplica"/>
    <s v="Não se aplica"/>
    <s v="Ponta"/>
    <s v="CATIVO"/>
    <x v="7"/>
    <n v="0"/>
    <n v="0"/>
    <n v="2.359"/>
    <n v="2.359"/>
    <n v="2.359"/>
    <n v="2.359"/>
    <m/>
    <n v="2075.9499999999998"/>
    <n v="127.85"/>
    <m/>
    <n v="5198.7641999999996"/>
    <n v="5198.7641999999996"/>
    <n v="4166.96119"/>
    <n v="0"/>
    <n v="125.34621205354901"/>
    <n v="0"/>
    <n v="0"/>
    <n v="0"/>
    <n v="1486.1910362242156"/>
    <n v="3248.7292983805442"/>
    <n v="301.59200763338674"/>
    <n v="0"/>
    <n v="0"/>
    <n v="0"/>
    <n v="0"/>
    <n v="0"/>
    <n v="22.281456605841022"/>
    <m/>
    <n v="2.36938930045288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.246943060645718"/>
    <n v="0"/>
    <n v="0"/>
    <n v="0"/>
    <n v="0"/>
    <n v="0"/>
    <m/>
    <m/>
    <m/>
    <m/>
    <m/>
    <m/>
    <m/>
    <m/>
    <m/>
    <n v="313.83895069403246"/>
    <m/>
    <m/>
    <m/>
    <m/>
    <m/>
    <m/>
    <m/>
    <m/>
    <m/>
    <m/>
    <m/>
    <m/>
    <n v="4168.7275999999993"/>
    <n v="-1030.066600000001"/>
    <m/>
    <m/>
    <m/>
    <m/>
    <n v="-1041.2861899999996"/>
    <n v="9.4831800000000239"/>
    <n v="29"/>
    <n v="-71.425684994721905"/>
    <n v="0"/>
    <n v="0"/>
    <n v="0"/>
    <n v="0"/>
    <n v="0"/>
    <n v="0"/>
    <n v="0"/>
    <n v="-77.966644756691039"/>
    <n v="0"/>
    <n v="0"/>
    <n v="9.4899580881046859"/>
    <n v="0"/>
    <n v="0"/>
    <n v="0"/>
    <n v="0.38536490825780589"/>
    <n v="0"/>
    <n v="-2.8545661048719495"/>
    <m/>
    <n v="0"/>
    <n v="0"/>
    <n v="0"/>
    <n v="0"/>
    <n v="-0.42517547790356502"/>
    <n v="-5.4621651618039557E-2"/>
    <n v="0"/>
    <n v="0"/>
    <m/>
    <m/>
    <m/>
    <n v="3248.7292983805442"/>
    <n v="0"/>
    <n v="0"/>
    <n v="-1041.2861899999998"/>
    <n v="9.4831800000000612"/>
    <n v="0"/>
    <n v="0"/>
    <n v="-960.37566275100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170"/>
    <s v="Regular"/>
    <s v="Verde"/>
    <s v="A4"/>
    <s v="Comercial"/>
    <s v="Não se aplica"/>
    <s v="Não se aplica"/>
    <s v="Não se aplica"/>
    <s v="Fora ponta"/>
    <s v="CATIVO"/>
    <x v="7"/>
    <n v="0"/>
    <n v="0"/>
    <n v="29.956"/>
    <n v="29.956"/>
    <n v="29.956"/>
    <n v="29.956"/>
    <m/>
    <n v="68.78"/>
    <n v="127.85"/>
    <m/>
    <n v="5890.2482799999998"/>
    <n v="5890.2482799999998"/>
    <n v="5973.2263999999996"/>
    <n v="0"/>
    <n v="1591.7215465350207"/>
    <n v="0"/>
    <n v="0"/>
    <n v="0"/>
    <n v="0"/>
    <n v="0"/>
    <n v="3829.7966005365547"/>
    <n v="0"/>
    <n v="0"/>
    <n v="0"/>
    <n v="0"/>
    <n v="0"/>
    <n v="282.94332941270608"/>
    <m/>
    <n v="30.0879295821817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5.51904464803013"/>
    <n v="0"/>
    <n v="0"/>
    <n v="0"/>
    <n v="0"/>
    <n v="0"/>
    <m/>
    <m/>
    <m/>
    <m/>
    <m/>
    <m/>
    <m/>
    <m/>
    <m/>
    <n v="3985.3156451845848"/>
    <m/>
    <m/>
    <m/>
    <m/>
    <m/>
    <m/>
    <m/>
    <m/>
    <m/>
    <m/>
    <m/>
    <m/>
    <n v="5974.0240000000003"/>
    <n v="83.745719999999892"/>
    <m/>
    <m/>
    <m/>
    <m/>
    <n v="-37.445"/>
    <n v="120.42312000000031"/>
    <n v="29"/>
    <n v="83.061038842536618"/>
    <n v="0"/>
    <n v="0"/>
    <n v="0"/>
    <n v="0"/>
    <n v="0"/>
    <n v="0"/>
    <n v="0"/>
    <n v="0"/>
    <n v="0"/>
    <n v="0"/>
    <n v="120.5091922370766"/>
    <n v="0"/>
    <n v="0"/>
    <n v="0"/>
    <n v="4.8935952487371424"/>
    <n v="0"/>
    <n v="-36.248996285520889"/>
    <m/>
    <n v="0"/>
    <n v="0"/>
    <n v="0"/>
    <n v="0"/>
    <n v="-5.3991337923184233"/>
    <n v="-0.69361856543874367"/>
    <n v="0"/>
    <n v="0"/>
    <m/>
    <m/>
    <m/>
    <n v="0"/>
    <n v="0"/>
    <n v="0"/>
    <n v="-37.445000000000164"/>
    <n v="120.423120000000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171"/>
    <s v="Regular"/>
    <s v="Verde"/>
    <s v="A4"/>
    <s v="Comercial"/>
    <s v="Não se aplica"/>
    <s v="Não se aplica"/>
    <s v="Não se aplica"/>
    <s v="Não se aplica"/>
    <s v="CATIVO"/>
    <x v="7"/>
    <n v="280"/>
    <n v="280"/>
    <n v="0"/>
    <n v="0"/>
    <n v="0"/>
    <n v="0"/>
    <n v="39.56"/>
    <m/>
    <m/>
    <n v="11076.800000000001"/>
    <m/>
    <n v="11076.800000000001"/>
    <n v="8696.7999999999993"/>
    <n v="0"/>
    <n v="0"/>
    <n v="0"/>
    <n v="0"/>
    <n v="0"/>
    <n v="3687.6789040341037"/>
    <n v="7387.780985361196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58.02000000000001"/>
    <n v="729.38"/>
    <n v="4551.54"/>
    <n v="2"/>
    <m/>
    <m/>
    <m/>
    <m/>
    <m/>
    <m/>
    <m/>
    <m/>
    <m/>
    <n v="0"/>
    <m/>
    <m/>
    <m/>
    <m/>
    <m/>
    <m/>
    <m/>
    <m/>
    <m/>
    <m/>
    <m/>
    <m/>
    <n v="8696.7999999999993"/>
    <n v="-2380.0300000000025"/>
    <m/>
    <m/>
    <m/>
    <m/>
    <n v="-2380.0000000000009"/>
    <n v="0"/>
    <n v="29"/>
    <n v="-193.45827291355545"/>
    <n v="0"/>
    <n v="0"/>
    <n v="0"/>
    <n v="0"/>
    <m/>
    <m/>
    <m/>
    <n v="-193.45827291355545"/>
    <n v="0"/>
    <n v="0"/>
    <m/>
    <m/>
    <n v="0"/>
    <n v="0"/>
    <n v="0"/>
    <n v="0"/>
    <n v="0"/>
    <m/>
    <n v="0"/>
    <n v="0"/>
    <m/>
    <n v="0"/>
    <n v="0"/>
    <n v="0"/>
    <n v="0"/>
    <n v="0"/>
    <m/>
    <m/>
    <n v="7387.7809853611961"/>
    <m/>
    <n v="0"/>
    <n v="0"/>
    <n v="-2380.0000000000018"/>
    <m/>
    <n v="0"/>
    <m/>
    <n v="-2183.944677573596"/>
    <m/>
    <n v="0"/>
    <n v="0"/>
    <m/>
    <n v="0"/>
    <n v="0"/>
    <n v="0"/>
    <n v="0"/>
    <n v="0"/>
    <m/>
    <m/>
    <n v="0"/>
    <n v="0"/>
    <m/>
    <n v="0"/>
    <m/>
    <n v="0"/>
    <m/>
    <n v="207"/>
    <m/>
    <m/>
    <m/>
    <m/>
    <n v="0"/>
    <m/>
    <m/>
    <m/>
    <m/>
    <n v="0"/>
    <n v="0"/>
    <n v="0"/>
    <n v="0"/>
  </r>
  <r>
    <n v="172"/>
    <s v="Regular"/>
    <s v="Convencional"/>
    <s v="B2"/>
    <s v="Rural"/>
    <s v="Não se aplica"/>
    <s v="Não se aplica"/>
    <s v="Não se aplica"/>
    <s v="Não se aplica"/>
    <s v="CATIVO"/>
    <x v="7"/>
    <n v="0"/>
    <n v="0"/>
    <n v="61.593000000000004"/>
    <n v="61.593000000000004"/>
    <n v="61.593000000000004"/>
    <n v="61.593000000000004"/>
    <m/>
    <n v="710.52"/>
    <n v="127.85"/>
    <m/>
    <n v="51637.723410000006"/>
    <n v="51637.723410000006"/>
    <n v="42419.715029999999"/>
    <n v="0"/>
    <n v="3761.7971958769976"/>
    <n v="0"/>
    <n v="0"/>
    <n v="0"/>
    <n v="6734.7298053368095"/>
    <n v="30683.617787143496"/>
    <n v="7874.5046740835905"/>
    <n v="0"/>
    <n v="0"/>
    <n v="0"/>
    <n v="0"/>
    <n v="0"/>
    <n v="581.76420378277498"/>
    <m/>
    <n v="141.0949834540552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59.9973429315776"/>
    <n v="0"/>
    <n v="150.68"/>
    <n v="696.19"/>
    <n v="0"/>
    <n v="37"/>
    <m/>
    <m/>
    <m/>
    <m/>
    <m/>
    <n v="5090.0455200000042"/>
    <m/>
    <m/>
    <m/>
    <n v="9734.5020170151674"/>
    <m/>
    <m/>
    <m/>
    <m/>
    <m/>
    <m/>
    <m/>
    <m/>
    <m/>
    <m/>
    <m/>
    <m/>
    <n v="37327.851300000002"/>
    <n v="-8113.6463100000037"/>
    <m/>
    <m/>
    <m/>
    <m/>
    <n v="-9465.6122399999967"/>
    <n v="247.60386000000065"/>
    <n v="29"/>
    <n v="-147.02386310503789"/>
    <n v="0"/>
    <n v="0"/>
    <n v="0"/>
    <n v="0"/>
    <n v="0"/>
    <n v="0"/>
    <n v="0"/>
    <n v="-353.3087425954327"/>
    <n v="0"/>
    <n v="0"/>
    <n v="247.78083447250174"/>
    <n v="0"/>
    <n v="0"/>
    <n v="0"/>
    <n v="58.527070948986648"/>
    <n v="0"/>
    <n v="-85.6691127145059"/>
    <m/>
    <n v="0"/>
    <n v="0"/>
    <n v="0"/>
    <n v="0"/>
    <n v="-11.101243412680901"/>
    <n v="-3.2526698039056612"/>
    <n v="0"/>
    <n v="0"/>
    <m/>
    <m/>
    <m/>
    <n v="30683.617787143496"/>
    <n v="0"/>
    <n v="0"/>
    <n v="-9465.6122400000022"/>
    <n v="247.60386000000017"/>
    <n v="0"/>
    <n v="0"/>
    <n v="-9070.56176783211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173"/>
    <s v="Sistema de Compensação"/>
    <s v="Convencional"/>
    <s v="B2"/>
    <s v="Rural"/>
    <s v="Não se aplica"/>
    <s v="Não se aplica"/>
    <s v="Não se aplica"/>
    <s v="Não se aplica"/>
    <s v="CATIVO"/>
    <x v="7"/>
    <n v="0"/>
    <n v="0"/>
    <n v="0.122"/>
    <n v="0.122"/>
    <n v="0.122"/>
    <n v="0.122"/>
    <m/>
    <n v="710.52"/>
    <n v="127.85"/>
    <m/>
    <n v="102.28113999999999"/>
    <n v="102.28113999999999"/>
    <n v="84.022620000000003"/>
    <n v="0"/>
    <n v="7.4511593508514551"/>
    <n v="0"/>
    <n v="0"/>
    <n v="0"/>
    <n v="13.339779459534212"/>
    <n v="60.776409170384724"/>
    <n v="15.597382336275192"/>
    <n v="0"/>
    <n v="0"/>
    <n v="0"/>
    <n v="0"/>
    <n v="0"/>
    <n v="1.1523262848294213"/>
    <m/>
    <n v="0.279473121643607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6841796281663899"/>
    <n v="0"/>
    <n v="0.23"/>
    <n v="1.1000000000000001"/>
    <n v="0"/>
    <n v="1"/>
    <m/>
    <m/>
    <m/>
    <m/>
    <m/>
    <n v="10.082080000000008"/>
    <m/>
    <m/>
    <m/>
    <n v="19.281561964441583"/>
    <m/>
    <m/>
    <m/>
    <m/>
    <m/>
    <m/>
    <m/>
    <m/>
    <m/>
    <m/>
    <m/>
    <m/>
    <n v="72.728399999999993"/>
    <n v="-17.309540000000013"/>
    <m/>
    <m/>
    <m/>
    <m/>
    <n v="-18.748959999999993"/>
    <n v="0.49044000000000126"/>
    <n v="29"/>
    <n v="-0.29121671778959524"/>
    <n v="0"/>
    <n v="0"/>
    <n v="0"/>
    <n v="0"/>
    <n v="0"/>
    <n v="0"/>
    <n v="0"/>
    <n v="-0.6998143717085199"/>
    <n v="0"/>
    <n v="0"/>
    <n v="0.49079054122457322"/>
    <n v="0"/>
    <n v="0"/>
    <n v="0"/>
    <n v="0.11592717769513383"/>
    <n v="0"/>
    <n v="-0.16968862940869478"/>
    <m/>
    <n v="0"/>
    <n v="0"/>
    <n v="0"/>
    <n v="0"/>
    <n v="-2.198872755584369E-2"/>
    <n v="-6.4427080362459144E-3"/>
    <n v="0"/>
    <n v="0"/>
    <m/>
    <m/>
    <m/>
    <n v="60.776409170384724"/>
    <n v="0"/>
    <n v="0"/>
    <n v="-18.748959999999983"/>
    <n v="0.49043999999999954"/>
    <n v="0"/>
    <n v="0"/>
    <n v="-17.9664659243017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174"/>
    <s v="Regular"/>
    <s v="Convencional"/>
    <s v="B3"/>
    <s v="Poder público"/>
    <s v="Não se aplica"/>
    <s v="Não se aplica"/>
    <s v="Não se aplica"/>
    <s v="Não se aplica"/>
    <s v="CATIVO"/>
    <x v="7"/>
    <n v="0"/>
    <n v="0"/>
    <n v="7.4349999999999996"/>
    <n v="7.4349999999999996"/>
    <n v="7.4349999999999996"/>
    <n v="7.4349999999999996"/>
    <m/>
    <n v="710.52"/>
    <n v="127.85"/>
    <m/>
    <n v="6233.2809499999994"/>
    <n v="6233.2809499999994"/>
    <n v="5120.5588500000003"/>
    <n v="0"/>
    <n v="454.09319486541449"/>
    <n v="0"/>
    <n v="0"/>
    <n v="0"/>
    <n v="812.96114984948247"/>
    <n v="3703.8737883754952"/>
    <n v="950.54539073939395"/>
    <n v="0"/>
    <n v="0"/>
    <n v="0"/>
    <n v="0"/>
    <n v="0"/>
    <n v="70.225786292678251"/>
    <m/>
    <n v="17.0318250772149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4.52356996243529"/>
    <n v="0"/>
    <n v="14.4"/>
    <n v="66.900000000000006"/>
    <n v="1373.46"/>
    <n v="18"/>
    <m/>
    <m/>
    <m/>
    <m/>
    <m/>
    <m/>
    <m/>
    <m/>
    <m/>
    <n v="1175.0689607018292"/>
    <m/>
    <m/>
    <m/>
    <m/>
    <m/>
    <m/>
    <m/>
    <m/>
    <m/>
    <m/>
    <m/>
    <m/>
    <n v="5124.0024000000003"/>
    <n v="-1109.3085499999997"/>
    <m/>
    <m/>
    <m/>
    <m/>
    <n v="-1142.6107999999995"/>
    <n v="29.888700000000075"/>
    <n v="29"/>
    <n v="-17.747510629225872"/>
    <n v="0"/>
    <n v="0"/>
    <n v="0"/>
    <n v="0"/>
    <n v="0"/>
    <n v="0"/>
    <n v="0"/>
    <n v="-42.648523390597006"/>
    <n v="0"/>
    <n v="0"/>
    <n v="29.910062901677861"/>
    <n v="0"/>
    <n v="0"/>
    <n v="0"/>
    <n v="7.0649062800272304"/>
    <n v="0"/>
    <n v="-10.341270161095451"/>
    <m/>
    <n v="0"/>
    <n v="0"/>
    <n v="0"/>
    <n v="0"/>
    <n v="-1.3400507326040696"/>
    <n v="-0.39263552663514645"/>
    <n v="0"/>
    <n v="0"/>
    <m/>
    <m/>
    <m/>
    <n v="3703.8737883754952"/>
    <n v="0"/>
    <n v="0"/>
    <n v="-1142.6107999999995"/>
    <n v="29.888700000000085"/>
    <n v="0"/>
    <n v="0"/>
    <n v="-1094.92355858347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175"/>
    <s v="Regular"/>
    <s v="Convencional"/>
    <s v="B4"/>
    <s v="Iluminação pública"/>
    <s v="Iluminação pública – B4a"/>
    <s v="Não se aplica"/>
    <s v="Não se aplica"/>
    <s v="Não se aplica"/>
    <s v="CATIVO"/>
    <x v="7"/>
    <n v="0"/>
    <n v="0"/>
    <n v="41.677"/>
    <n v="41.677"/>
    <n v="41.677"/>
    <n v="41.677"/>
    <m/>
    <n v="390.79"/>
    <n v="70.319999999999993"/>
    <m/>
    <n v="19217.68147"/>
    <n v="19217.68147"/>
    <n v="15786.830829999999"/>
    <n v="0"/>
    <n v="1399.9842831638525"/>
    <n v="0"/>
    <n v="0"/>
    <n v="0"/>
    <n v="2506.3860138873242"/>
    <n v="11419.164940547276"/>
    <n v="2930.5627622616221"/>
    <n v="0"/>
    <n v="0"/>
    <n v="0"/>
    <n v="0"/>
    <n v="0"/>
    <n v="216.50841323819412"/>
    <m/>
    <n v="52.5096779500604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692.21356475164021"/>
    <n v="0"/>
    <n v="50.75"/>
    <n v="235.18"/>
    <n v="4826.9399999999996"/>
    <n v="36"/>
    <m/>
    <m/>
    <m/>
    <m/>
    <m/>
    <m/>
    <m/>
    <m/>
    <m/>
    <n v="3622.7763270132623"/>
    <m/>
    <m/>
    <m/>
    <m/>
    <m/>
    <m/>
    <m/>
    <m/>
    <m/>
    <m/>
    <m/>
    <m/>
    <n v="15787.967199999999"/>
    <n v="-3429.7442699999992"/>
    <m/>
    <m/>
    <m/>
    <m/>
    <n v="-3522.956810000001"/>
    <n v="92.106170000000333"/>
    <n v="29"/>
    <n v="-54.716160090370977"/>
    <n v="0"/>
    <n v="0"/>
    <n v="0"/>
    <n v="0"/>
    <n v="0"/>
    <n v="0"/>
    <n v="0"/>
    <n v="-131.4868029781378"/>
    <n v="0"/>
    <n v="0"/>
    <n v="92.21370952982852"/>
    <n v="0"/>
    <n v="0"/>
    <n v="0"/>
    <n v="21.781338865898078"/>
    <n v="0"/>
    <n v="-31.882476674810277"/>
    <m/>
    <n v="0"/>
    <n v="0"/>
    <n v="0"/>
    <n v="0"/>
    <n v="-4.1314205663091457"/>
    <n v="-1.2105082668412805"/>
    <n v="0"/>
    <n v="0"/>
    <m/>
    <m/>
    <m/>
    <n v="11419.164940547276"/>
    <n v="0"/>
    <n v="0"/>
    <n v="-3522.9568100000015"/>
    <n v="92.10617000000002"/>
    <n v="0"/>
    <n v="0"/>
    <n v="-3375.68541131082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176"/>
    <s v="Regular"/>
    <s v="Convencional"/>
    <s v="B3"/>
    <s v="Serviço público"/>
    <s v="Água, esgoto e saneamento"/>
    <s v="Não se aplica"/>
    <s v="Não se aplica"/>
    <s v="Não se aplica"/>
    <s v="CATIVO"/>
    <x v="7"/>
    <n v="0"/>
    <n v="0"/>
    <n v="7.3"/>
    <n v="6.8620000000000001"/>
    <n v="7.3"/>
    <n v="6.8620000000000001"/>
    <m/>
    <n v="710.52"/>
    <n v="127.85"/>
    <m/>
    <n v="6120.1009999999997"/>
    <n v="6120.1009999999997"/>
    <n v="5027.5830000000005"/>
    <n v="0"/>
    <n v="445.84805951816082"/>
    <n v="0"/>
    <n v="0"/>
    <n v="0"/>
    <n v="798.19991848032578"/>
    <n v="3636.6212044574463"/>
    <n v="933.28599225253208"/>
    <n v="0"/>
    <n v="0"/>
    <n v="0"/>
    <n v="0"/>
    <n v="0"/>
    <n v="68.950671141432579"/>
    <m/>
    <n v="16.7225720327732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0.44681381651347"/>
    <n v="0"/>
    <n v="40.909999999999997"/>
    <n v="188.81"/>
    <n v="1315.37"/>
    <n v="1"/>
    <m/>
    <m/>
    <m/>
    <m/>
    <n v="301.6549799999998"/>
    <m/>
    <m/>
    <m/>
    <m/>
    <n v="1153.7328060690456"/>
    <m/>
    <m/>
    <m/>
    <m/>
    <m/>
    <m/>
    <m/>
    <m/>
    <m/>
    <m/>
    <m/>
    <m/>
    <n v="4724.5506000000005"/>
    <n v="-1028.3743400000003"/>
    <m/>
    <m/>
    <m/>
    <m/>
    <n v="-1121.8639999999996"/>
    <n v="29.346000000000075"/>
    <n v="29"/>
    <n v="-17.425262621836737"/>
    <n v="0"/>
    <n v="0"/>
    <n v="0"/>
    <n v="0"/>
    <n v="0"/>
    <n v="0"/>
    <n v="0"/>
    <n v="-41.874138635017971"/>
    <n v="0"/>
    <n v="0"/>
    <n v="29.366975007699921"/>
    <n v="0"/>
    <n v="0"/>
    <n v="0"/>
    <n v="6.936626206348194"/>
    <n v="0"/>
    <n v="-10.153499956421854"/>
    <m/>
    <n v="0"/>
    <n v="0"/>
    <n v="0"/>
    <n v="0"/>
    <n v="-1.315718943915229"/>
    <n v="-0.38550630052946744"/>
    <n v="0"/>
    <n v="0"/>
    <m/>
    <m/>
    <m/>
    <n v="3636.6212044574463"/>
    <n v="0"/>
    <n v="0"/>
    <n v="-1121.8639999999991"/>
    <n v="29.346000000000004"/>
    <n v="0"/>
    <n v="0"/>
    <n v="-1075.04263317543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177"/>
    <s v="Regular"/>
    <s v="Convencional"/>
    <s v="B1"/>
    <s v="Residencial"/>
    <s v="Residencial"/>
    <s v="Não se aplica"/>
    <s v="Não se aplica"/>
    <s v="Não se aplica"/>
    <s v="CATIVO"/>
    <x v="8"/>
    <n v="0"/>
    <n v="0"/>
    <n v="918.66"/>
    <n v="918.66"/>
    <n v="918.66"/>
    <n v="918.66"/>
    <m/>
    <n v="710.52"/>
    <n v="127.85"/>
    <m/>
    <n v="770176.98419999995"/>
    <n v="770176.98419999995"/>
    <n v="632690.32860000001"/>
    <n v="0"/>
    <n v="56107.229911911454"/>
    <n v="0"/>
    <n v="0"/>
    <n v="0"/>
    <n v="100448.53933029261"/>
    <n v="457646.36105299694"/>
    <n v="117448.2889921522"/>
    <n v="0"/>
    <n v="0"/>
    <n v="0"/>
    <n v="0"/>
    <n v="0"/>
    <n v="8677.0169247655413"/>
    <m/>
    <n v="2104.43260597636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741.872600092913"/>
    <n v="0"/>
    <n v="3677.84"/>
    <n v="17120.349999999999"/>
    <n v="176988.57"/>
    <n v="5776"/>
    <m/>
    <m/>
    <m/>
    <m/>
    <m/>
    <m/>
    <m/>
    <m/>
    <m/>
    <n v="145190.1615922451"/>
    <m/>
    <m/>
    <m/>
    <m/>
    <m/>
    <m/>
    <m/>
    <m/>
    <m/>
    <m/>
    <m/>
    <m/>
    <n v="632690.32860000001"/>
    <n v="-137486.68559999997"/>
    <m/>
    <m/>
    <m/>
    <m/>
    <n v="-141179.66879999996"/>
    <n v="3693.0132000000094"/>
    <n v="31"/>
    <n v="-2192.8618849555496"/>
    <n v="0"/>
    <n v="0"/>
    <n v="0"/>
    <n v="0"/>
    <n v="0"/>
    <n v="0"/>
    <n v="0"/>
    <n v="-5269.6022189651412"/>
    <n v="0"/>
    <n v="0"/>
    <n v="3695.6527754210401"/>
    <n v="0"/>
    <n v="0"/>
    <n v="0"/>
    <n v="872.93164804435946"/>
    <n v="0"/>
    <n v="-1277.7553794474661"/>
    <m/>
    <n v="0"/>
    <n v="0"/>
    <n v="0"/>
    <n v="0"/>
    <n v="-165.57511849550247"/>
    <n v="-48.513591512931271"/>
    <n v="0"/>
    <n v="0"/>
    <m/>
    <m/>
    <m/>
    <n v="457646.36105299694"/>
    <n v="0"/>
    <n v="0"/>
    <n v="-141179.66879999993"/>
    <n v="3693.0132000000012"/>
    <n v="0"/>
    <n v="0"/>
    <n v="-135287.488409992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178"/>
    <s v="Refaturamento - Regular"/>
    <s v="Convencional"/>
    <s v="B1"/>
    <s v="Residencial"/>
    <s v="Residencial"/>
    <s v="Não se aplica"/>
    <s v="Não se aplica"/>
    <s v="Não se aplica"/>
    <s v="CATIVO"/>
    <x v="8"/>
    <n v="0"/>
    <n v="0"/>
    <n v="-0.158"/>
    <n v="-0.158"/>
    <n v="-0.158"/>
    <n v="-0.158"/>
    <m/>
    <n v="710.52"/>
    <n v="127.85"/>
    <m/>
    <n v="-132.46245999999999"/>
    <n v="-132.46245999999999"/>
    <n v="-108.81618"/>
    <n v="0"/>
    <n v="-9.6498621101190984"/>
    <n v="0"/>
    <n v="0"/>
    <n v="0"/>
    <n v="-17.276107824642668"/>
    <n v="-78.710431548531034"/>
    <n v="-20.199888599438367"/>
    <n v="0"/>
    <n v="0"/>
    <n v="0"/>
    <n v="0"/>
    <n v="0"/>
    <n v="-1.4923569918282669"/>
    <m/>
    <n v="-0.361940600161393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-4.77131460041221"/>
    <n v="0"/>
    <n v="-0.88"/>
    <n v="-4.09"/>
    <n v="-19.04"/>
    <n v="0"/>
    <m/>
    <m/>
    <m/>
    <m/>
    <m/>
    <m/>
    <m/>
    <m/>
    <m/>
    <n v="-24.971203199850578"/>
    <m/>
    <m/>
    <m/>
    <m/>
    <m/>
    <m/>
    <m/>
    <m/>
    <m/>
    <m/>
    <m/>
    <m/>
    <n v="-110.1936"/>
    <n v="22.238859999999988"/>
    <m/>
    <m/>
    <m/>
    <m/>
    <n v="24.281439999999993"/>
    <n v="-0.63516000000000161"/>
    <n v="31"/>
    <n v="0.37714951976030164"/>
    <n v="0"/>
    <n v="0"/>
    <n v="0"/>
    <n v="0"/>
    <n v="0"/>
    <n v="0"/>
    <n v="0"/>
    <n v="0.90631697319627946"/>
    <n v="0"/>
    <n v="0"/>
    <n v="-0.6356139796187108"/>
    <n v="0"/>
    <n v="0"/>
    <n v="0"/>
    <n v="-0.15013519734287861"/>
    <n v="0"/>
    <n v="0.21976068398831039"/>
    <m/>
    <n v="0"/>
    <n v="0"/>
    <n v="0"/>
    <n v="0"/>
    <n v="2.8477204539535173E-2"/>
    <n v="8.3438349977610349E-3"/>
    <n v="0"/>
    <n v="0"/>
    <m/>
    <m/>
    <m/>
    <n v="-78.710431548531034"/>
    <n v="0"/>
    <n v="0"/>
    <n v="24.281439999999989"/>
    <n v="-0.63516000000000261"/>
    <n v="0"/>
    <n v="0"/>
    <n v="23.2680460331121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179"/>
    <s v="Sistema de Compensação"/>
    <s v="Convencional"/>
    <s v="B1"/>
    <s v="Residencial"/>
    <s v="Residencial"/>
    <s v="Não se aplica"/>
    <s v="Não se aplica"/>
    <s v="Não se aplica"/>
    <s v="CATIVO"/>
    <x v="8"/>
    <n v="0"/>
    <n v="0"/>
    <n v="1.3049999999999999"/>
    <n v="1.3049999999999999"/>
    <n v="1.3049999999999999"/>
    <n v="1.3049999999999999"/>
    <m/>
    <n v="710.52"/>
    <n v="127.85"/>
    <m/>
    <n v="1094.07285"/>
    <n v="1094.07285"/>
    <n v="898.76655000000005"/>
    <n v="0"/>
    <n v="79.702975023452041"/>
    <n v="0"/>
    <n v="0"/>
    <n v="0"/>
    <n v="142.69190323518151"/>
    <n v="650.10831120780381"/>
    <n v="166.84085203966498"/>
    <n v="0"/>
    <n v="0"/>
    <n v="0"/>
    <n v="0"/>
    <n v="0"/>
    <n v="12.326113128708153"/>
    <m/>
    <n v="2.98944609626973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.408642743910974"/>
    <n v="0"/>
    <n v="3.64"/>
    <n v="17.190000000000001"/>
    <n v="681.85"/>
    <n v="18"/>
    <m/>
    <m/>
    <m/>
    <m/>
    <m/>
    <m/>
    <m/>
    <m/>
    <m/>
    <n v="206.24949478357595"/>
    <m/>
    <m/>
    <m/>
    <m/>
    <m/>
    <m/>
    <m/>
    <m/>
    <m/>
    <m/>
    <m/>
    <m/>
    <n v="902.21010000000001"/>
    <n v="-191.89274999999998"/>
    <m/>
    <m/>
    <m/>
    <m/>
    <n v="-200.55239999999992"/>
    <n v="5.2461000000000135"/>
    <n v="31"/>
    <n v="-3.115064071437871"/>
    <n v="0"/>
    <n v="0"/>
    <n v="0"/>
    <n v="0"/>
    <n v="0"/>
    <n v="0"/>
    <n v="0"/>
    <n v="-7.4857193039312904"/>
    <n v="0"/>
    <n v="0"/>
    <n v="5.2498496417874492"/>
    <n v="0"/>
    <n v="0"/>
    <n v="0"/>
    <n v="1.24004071223073"/>
    <n v="0"/>
    <n v="-1.815111978511041"/>
    <m/>
    <n v="0"/>
    <n v="0"/>
    <n v="0"/>
    <n v="0"/>
    <n v="-0.23520729065881874"/>
    <n v="-6.8915852354924922E-2"/>
    <n v="0"/>
    <n v="0"/>
    <m/>
    <m/>
    <m/>
    <n v="650.10831120780381"/>
    <n v="0"/>
    <n v="0"/>
    <n v="-200.55239999999992"/>
    <n v="5.2461000000000126"/>
    <n v="0"/>
    <n v="0"/>
    <n v="-192.182278944375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180"/>
    <s v="Regular"/>
    <s v="Convencional"/>
    <s v="B1"/>
    <s v="Residencial"/>
    <s v="Residencial baixa renda – faixa 01"/>
    <s v="Não se aplica"/>
    <s v="Não se aplica"/>
    <s v="Não se aplica"/>
    <s v="CATIVO"/>
    <x v="8"/>
    <n v="0"/>
    <n v="0"/>
    <n v="13.53"/>
    <n v="13.53"/>
    <n v="13.53"/>
    <n v="13.53"/>
    <m/>
    <n v="640"/>
    <n v="127.85"/>
    <m/>
    <n v="10389.010499999999"/>
    <n v="10389.010499999999"/>
    <n v="8385.3527999999988"/>
    <n v="0"/>
    <n v="0"/>
    <n v="0"/>
    <n v="0"/>
    <n v="0"/>
    <n v="1479.4034105532612"/>
    <n v="6740.2034104533222"/>
    <n v="1729.7752705721587"/>
    <n v="0"/>
    <n v="0"/>
    <n v="0"/>
    <n v="0"/>
    <n v="0"/>
    <n v="0"/>
    <m/>
    <n v="30.9940273429345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8.58156040238731"/>
    <n v="0"/>
    <n v="49.8"/>
    <n v="231.9"/>
    <n v="1354.99"/>
    <n v="34"/>
    <m/>
    <m/>
    <m/>
    <m/>
    <m/>
    <m/>
    <m/>
    <n v="5450.5604999999996"/>
    <m/>
    <n v="2138.356830974546"/>
    <m/>
    <m/>
    <m/>
    <m/>
    <m/>
    <m/>
    <m/>
    <m/>
    <m/>
    <m/>
    <m/>
    <m/>
    <n v="2934.7923000000001"/>
    <n v="-701.42520000000059"/>
    <m/>
    <m/>
    <m/>
    <m/>
    <n v="-2058.0482999999999"/>
    <n v="54.390600000000134"/>
    <n v="31"/>
    <n v="-11.039078294778847"/>
    <n v="0"/>
    <n v="0"/>
    <n v="0"/>
    <n v="0"/>
    <n v="0"/>
    <n v="0"/>
    <n v="0"/>
    <n v="-77.610561059149632"/>
    <n v="0"/>
    <n v="0"/>
    <n v="54.429475596462908"/>
    <n v="0"/>
    <n v="0"/>
    <n v="0"/>
    <n v="12.856514050943929"/>
    <n v="0"/>
    <n v="0"/>
    <m/>
    <n v="0"/>
    <n v="0"/>
    <n v="0"/>
    <n v="0"/>
    <n v="0"/>
    <n v="-0.71450688303611898"/>
    <n v="0"/>
    <n v="0"/>
    <m/>
    <m/>
    <m/>
    <n v="6740.2034104533222"/>
    <n v="0"/>
    <n v="0"/>
    <n v="-2058.0482999999995"/>
    <n v="54.390600000000177"/>
    <n v="0"/>
    <n v="0"/>
    <n v="-1992.51052422789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181"/>
    <s v="Regular"/>
    <s v="Convencional"/>
    <s v="B1"/>
    <s v="Residencial"/>
    <s v="Residencial baixa renda – faixa 02"/>
    <s v="Não se aplica"/>
    <s v="Não se aplica"/>
    <s v="Não se aplica"/>
    <s v="CATIVO"/>
    <x v="8"/>
    <n v="0"/>
    <n v="0"/>
    <n v="26.244"/>
    <n v="26.244"/>
    <n v="26.244"/>
    <n v="26.244"/>
    <m/>
    <n v="640"/>
    <n v="127.85"/>
    <m/>
    <n v="20151.455399999999"/>
    <n v="20151.455399999999"/>
    <n v="16264.98144"/>
    <n v="0"/>
    <n v="0"/>
    <n v="0"/>
    <n v="0"/>
    <n v="0"/>
    <n v="2869.583378164064"/>
    <n v="13073.902313668661"/>
    <n v="3355.2270658459524"/>
    <n v="0"/>
    <n v="0"/>
    <n v="0"/>
    <n v="0"/>
    <n v="0"/>
    <n v="0"/>
    <m/>
    <n v="60.1187918394659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792.52139476720276"/>
    <n v="0"/>
    <n v="96.87"/>
    <n v="453.81"/>
    <n v="3153.29"/>
    <n v="109"/>
    <m/>
    <m/>
    <m/>
    <m/>
    <m/>
    <m/>
    <m/>
    <n v="6505.8875999999991"/>
    <m/>
    <n v="4147.7484606131547"/>
    <m/>
    <m/>
    <m/>
    <m/>
    <m/>
    <m/>
    <m/>
    <m/>
    <m/>
    <m/>
    <m/>
    <m/>
    <n v="9757.6064000000006"/>
    <n v="-2333.2968399999991"/>
    <m/>
    <m/>
    <m/>
    <m/>
    <n v="-3991.9748400000003"/>
    <n v="105.50088000000027"/>
    <n v="31"/>
    <n v="-21.412385126989648"/>
    <n v="0"/>
    <n v="0"/>
    <n v="0"/>
    <n v="0"/>
    <n v="0"/>
    <n v="0"/>
    <n v="0"/>
    <n v="-150.54039648457638"/>
    <n v="0"/>
    <n v="0"/>
    <n v="105.57628658932526"/>
    <n v="0"/>
    <n v="0"/>
    <n v="0"/>
    <n v="24.937646323205627"/>
    <n v="0"/>
    <n v="0"/>
    <m/>
    <n v="0"/>
    <n v="0"/>
    <n v="0"/>
    <n v="0"/>
    <n v="0"/>
    <n v="-1.3859215549445665"/>
    <n v="0"/>
    <n v="0"/>
    <m/>
    <m/>
    <m/>
    <n v="13073.902313668661"/>
    <n v="0"/>
    <n v="0"/>
    <n v="-3991.9748400000008"/>
    <n v="105.50088000000005"/>
    <n v="0"/>
    <n v="0"/>
    <n v="-3864.85189932274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182"/>
    <s v="Regular"/>
    <s v="Convencional"/>
    <s v="B1"/>
    <s v="Residencial"/>
    <s v="Residencial baixa renda – faixa 03"/>
    <s v="Não se aplica"/>
    <s v="Não se aplica"/>
    <s v="Não se aplica"/>
    <s v="CATIVO"/>
    <x v="8"/>
    <n v="0"/>
    <n v="0"/>
    <n v="21.436"/>
    <n v="21.436"/>
    <n v="21.436"/>
    <n v="21.436"/>
    <m/>
    <n v="640"/>
    <n v="127.85"/>
    <m/>
    <n v="16459.632600000001"/>
    <n v="16459.632600000001"/>
    <n v="13285.175359999999"/>
    <n v="0"/>
    <n v="0"/>
    <n v="0"/>
    <n v="0"/>
    <n v="0"/>
    <n v="2343.8648565129129"/>
    <n v="10678.713991609566"/>
    <n v="2740.5367849212707"/>
    <n v="0"/>
    <n v="0"/>
    <n v="0"/>
    <n v="0"/>
    <n v="0"/>
    <n v="0"/>
    <m/>
    <n v="49.1048019307571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47.32847958503874"/>
    <n v="0"/>
    <n v="79.62"/>
    <n v="369.8"/>
    <n v="3615.34"/>
    <n v="232"/>
    <m/>
    <m/>
    <m/>
    <m/>
    <m/>
    <m/>
    <m/>
    <n v="1328.6032799999991"/>
    <m/>
    <n v="3387.8652645063094"/>
    <m/>
    <m/>
    <m/>
    <m/>
    <m/>
    <m/>
    <m/>
    <m/>
    <m/>
    <m/>
    <m/>
    <m/>
    <n v="11958.803200000002"/>
    <n v="-2854.7889599999999"/>
    <m/>
    <m/>
    <m/>
    <m/>
    <n v="-3260.6299600000002"/>
    <n v="86.172720000000226"/>
    <n v="31"/>
    <n v="-17.489555234800719"/>
    <n v="0"/>
    <n v="0"/>
    <n v="0"/>
    <n v="0"/>
    <n v="0"/>
    <n v="0"/>
    <n v="0"/>
    <n v="-122.96082681921143"/>
    <n v="0"/>
    <n v="0"/>
    <n v="86.234311817131129"/>
    <n v="0"/>
    <n v="0"/>
    <n v="0"/>
    <n v="20.368975254695897"/>
    <n v="0"/>
    <n v="0"/>
    <m/>
    <n v="0"/>
    <n v="0"/>
    <n v="0"/>
    <n v="0"/>
    <n v="0"/>
    <n v="-1.1320154874177604"/>
    <n v="0"/>
    <n v="0"/>
    <m/>
    <m/>
    <m/>
    <n v="10678.713991609566"/>
    <n v="0"/>
    <n v="0"/>
    <n v="-3260.629960000002"/>
    <n v="86.172720000000027"/>
    <n v="0"/>
    <n v="0"/>
    <n v="-3156.7964225682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183"/>
    <s v="Regular"/>
    <s v="Convencional"/>
    <s v="B1"/>
    <s v="Residencial"/>
    <s v="Residencial baixa renda – faixa 04"/>
    <s v="Não se aplica"/>
    <s v="Não se aplica"/>
    <s v="Não se aplica"/>
    <s v="CATIVO"/>
    <x v="8"/>
    <n v="0"/>
    <n v="0"/>
    <n v="7.258"/>
    <n v="7.258"/>
    <n v="7.258"/>
    <n v="7.258"/>
    <m/>
    <n v="640"/>
    <n v="127.85"/>
    <m/>
    <n v="5573.0553"/>
    <n v="5573.0553"/>
    <n v="4498.2180799999996"/>
    <n v="0"/>
    <n v="0"/>
    <n v="0"/>
    <n v="0"/>
    <n v="0"/>
    <n v="793.60753538769927"/>
    <n v="3615.698178349609"/>
    <n v="927.91640161217504"/>
    <n v="0"/>
    <n v="0"/>
    <n v="0"/>
    <n v="0"/>
    <n v="0"/>
    <n v="0"/>
    <m/>
    <n v="16.6263599745025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9.17848968222671"/>
    <n v="0"/>
    <n v="23.8"/>
    <n v="109.8"/>
    <n v="1710.65"/>
    <n v="76"/>
    <m/>
    <m/>
    <m/>
    <m/>
    <m/>
    <m/>
    <m/>
    <m/>
    <m/>
    <n v="1147.0948912944018"/>
    <m/>
    <m/>
    <m/>
    <m/>
    <m/>
    <m/>
    <m/>
    <m/>
    <m/>
    <m/>
    <m/>
    <m/>
    <n v="4499.4575999999997"/>
    <n v="-1073.6277000000009"/>
    <m/>
    <m/>
    <m/>
    <m/>
    <n v="-1104.0143800000001"/>
    <n v="29.177160000000075"/>
    <n v="31"/>
    <n v="-5.9217760726908182"/>
    <n v="0"/>
    <n v="0"/>
    <n v="0"/>
    <n v="0"/>
    <n v="0"/>
    <n v="0"/>
    <n v="0"/>
    <n v="-41.633218933282251"/>
    <n v="0"/>
    <n v="0"/>
    <n v="29.198014329573425"/>
    <n v="0"/>
    <n v="0"/>
    <n v="0"/>
    <n v="6.8967168500924743"/>
    <n v="0"/>
    <n v="0"/>
    <m/>
    <n v="0"/>
    <n v="0"/>
    <n v="0"/>
    <n v="0"/>
    <n v="0"/>
    <n v="-0.38328831907436367"/>
    <n v="0"/>
    <n v="0"/>
    <m/>
    <m/>
    <m/>
    <n v="3615.698178349609"/>
    <n v="0"/>
    <n v="0"/>
    <n v="-1104.0143800000001"/>
    <n v="29.177160000000072"/>
    <n v="0"/>
    <n v="0"/>
    <n v="-1068.85745638182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184"/>
    <s v="Regular"/>
    <s v="Branca"/>
    <s v="B1"/>
    <s v="Residencial"/>
    <s v="Residencial"/>
    <s v="Não se aplica"/>
    <s v="Não se aplica"/>
    <s v="Ponta"/>
    <s v="CATIVO"/>
    <x v="8"/>
    <n v="0"/>
    <n v="0"/>
    <n v="2.4E-2"/>
    <n v="2.4E-2"/>
    <n v="2.4E-2"/>
    <n v="2.4E-2"/>
    <m/>
    <n v="1864.71"/>
    <n v="127.85"/>
    <m/>
    <n v="47.821439999999996"/>
    <n v="47.821439999999996"/>
    <n v="37.253039999999999"/>
    <n v="0"/>
    <n v="1.4658018395117618"/>
    <n v="0"/>
    <n v="0"/>
    <n v="0"/>
    <n v="7.6084638515626315"/>
    <n v="34.672448901600717"/>
    <n v="3.0683375087754481"/>
    <n v="0"/>
    <n v="0"/>
    <n v="0"/>
    <n v="0"/>
    <n v="0"/>
    <n v="0.22668713799923043"/>
    <m/>
    <n v="5.4978319011857284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72475664816387997"/>
    <n v="0"/>
    <n v="0"/>
    <n v="0"/>
    <n v="0"/>
    <n v="0"/>
    <m/>
    <m/>
    <m/>
    <m/>
    <m/>
    <m/>
    <m/>
    <m/>
    <m/>
    <n v="3.7930941569393282"/>
    <m/>
    <m/>
    <m/>
    <m/>
    <m/>
    <m/>
    <m/>
    <m/>
    <m/>
    <m/>
    <m/>
    <m/>
    <n v="31.0442"/>
    <n v="-16.80723999999999"/>
    <m/>
    <m/>
    <m/>
    <m/>
    <n v="-10.664880000000004"/>
    <n v="9.6480000000000246E-2"/>
    <n v="31"/>
    <n v="-0.31876558925296372"/>
    <n v="0"/>
    <n v="0"/>
    <n v="0"/>
    <n v="0"/>
    <n v="0"/>
    <n v="0"/>
    <n v="0"/>
    <n v="-0.39914545559767056"/>
    <n v="0"/>
    <n v="0"/>
    <n v="9.6548958929424167E-2"/>
    <n v="0"/>
    <n v="0"/>
    <n v="0"/>
    <n v="2.2805346431829632E-2"/>
    <n v="0"/>
    <n v="-3.338136971974337E-2"/>
    <m/>
    <n v="0"/>
    <n v="0"/>
    <n v="0"/>
    <n v="0"/>
    <n v="-4.3256513224610438E-3"/>
    <n v="-1.2674179743434461E-3"/>
    <n v="0"/>
    <n v="0"/>
    <m/>
    <m/>
    <m/>
    <n v="34.672448901600717"/>
    <n v="0"/>
    <n v="0"/>
    <n v="-10.664879999999997"/>
    <n v="9.6480000000000121E-2"/>
    <n v="0"/>
    <n v="0"/>
    <n v="-10.2497232101407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185"/>
    <s v="Regular"/>
    <s v="Branca"/>
    <s v="B1"/>
    <s v="Residencial"/>
    <s v="Residencial"/>
    <s v="Não se aplica"/>
    <s v="Não se aplica"/>
    <s v="Fora ponta"/>
    <s v="CATIVO"/>
    <x v="8"/>
    <n v="0"/>
    <n v="0"/>
    <n v="0.21"/>
    <n v="0.21"/>
    <n v="0.21"/>
    <n v="0.21"/>
    <m/>
    <n v="455.34"/>
    <n v="127.85"/>
    <m/>
    <n v="122.4699"/>
    <n v="122.4699"/>
    <n v="104.538"/>
    <n v="0"/>
    <n v="12.825766095727914"/>
    <n v="0"/>
    <n v="0"/>
    <n v="0"/>
    <n v="13.312739832680988"/>
    <n v="60.676752694224447"/>
    <n v="26.847953201785167"/>
    <n v="0"/>
    <n v="0"/>
    <n v="0"/>
    <n v="0"/>
    <n v="0"/>
    <n v="1.9835124574932661"/>
    <m/>
    <n v="0.481060291353751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3416206714339491"/>
    <n v="0"/>
    <n v="0"/>
    <n v="0"/>
    <n v="0"/>
    <n v="0"/>
    <m/>
    <m/>
    <m/>
    <m/>
    <m/>
    <m/>
    <m/>
    <m/>
    <m/>
    <n v="33.189573873219118"/>
    <m/>
    <m/>
    <m/>
    <m/>
    <m/>
    <m/>
    <m/>
    <m/>
    <m/>
    <m/>
    <m/>
    <m/>
    <n v="104.538"/>
    <n v="-17.961900000000014"/>
    <m/>
    <m/>
    <m/>
    <m/>
    <n v="-18.776099999999992"/>
    <n v="0.84420000000000217"/>
    <n v="31"/>
    <n v="4.9279769724037692E-3"/>
    <n v="0"/>
    <n v="0"/>
    <n v="0"/>
    <n v="0"/>
    <n v="0"/>
    <n v="0"/>
    <n v="0"/>
    <n v="-0.69839585354376688"/>
    <n v="0"/>
    <n v="0"/>
    <n v="0.8448033906324639"/>
    <n v="0"/>
    <n v="0"/>
    <n v="0"/>
    <n v="0.19954678127850922"/>
    <n v="0"/>
    <n v="-0.29208698504775299"/>
    <m/>
    <n v="0"/>
    <n v="0"/>
    <n v="0"/>
    <n v="0"/>
    <n v="-3.7849449071534202E-2"/>
    <n v="-1.1089907275505184E-2"/>
    <n v="0"/>
    <n v="0"/>
    <m/>
    <m/>
    <m/>
    <n v="60.676752694224447"/>
    <n v="0"/>
    <n v="0"/>
    <n v="-18.7761"/>
    <n v="0.84420000000000073"/>
    <n v="0"/>
    <n v="0"/>
    <n v="-17.9370058968418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186"/>
    <s v="Sistema de Compensação"/>
    <s v="Branca"/>
    <s v="B1"/>
    <s v="Residencial"/>
    <s v="Residencial"/>
    <s v="Não se aplica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13"/>
    <n v="0.63"/>
    <n v="79.56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7"/>
    <m/>
    <m/>
    <m/>
    <m/>
    <n v="0"/>
    <m/>
    <m/>
    <m/>
    <m/>
    <n v="0"/>
    <n v="0"/>
    <n v="0"/>
    <n v="0"/>
  </r>
  <r>
    <n v="187"/>
    <s v="Regular"/>
    <s v="Branca"/>
    <s v="B1"/>
    <s v="Residencial"/>
    <s v="Residencial"/>
    <s v="Não se aplica"/>
    <s v="Não se aplica"/>
    <s v="Intermediário"/>
    <s v="CATIVO"/>
    <x v="8"/>
    <n v="0"/>
    <n v="0"/>
    <n v="1.4999999999999999E-2"/>
    <n v="1.4999999999999999E-2"/>
    <n v="1.4999999999999999E-2"/>
    <n v="1.4999999999999999E-2"/>
    <m/>
    <n v="1160"/>
    <n v="127.85"/>
    <m/>
    <n v="19.317749999999997"/>
    <n v="19.317749999999997"/>
    <n v="15.374699999999999"/>
    <n v="0"/>
    <n v="0.91612614969485096"/>
    <n v="0"/>
    <n v="0"/>
    <n v="0"/>
    <n v="2.8527315057438147"/>
    <n v="13.002166324820084"/>
    <n v="1.9177109429846548"/>
    <n v="0"/>
    <n v="0"/>
    <n v="0"/>
    <n v="0"/>
    <n v="0"/>
    <n v="0.141679461249519"/>
    <m/>
    <n v="3.4361449382410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45297290510242494"/>
    <n v="0"/>
    <n v="0"/>
    <n v="0"/>
    <n v="0"/>
    <n v="0"/>
    <m/>
    <m/>
    <m/>
    <m/>
    <m/>
    <m/>
    <m/>
    <m/>
    <m/>
    <n v="2.3706838480870798"/>
    <m/>
    <m/>
    <m/>
    <m/>
    <m/>
    <m/>
    <m/>
    <m/>
    <m/>
    <m/>
    <m/>
    <m/>
    <n v="20.499600000000001"/>
    <n v="1.1518499999999996"/>
    <m/>
    <m/>
    <m/>
    <m/>
    <n v="-4.0033499999999993"/>
    <n v="6.0300000000000152E-2"/>
    <n v="31"/>
    <n v="-9.9418918738694906E-2"/>
    <n v="0"/>
    <n v="0"/>
    <n v="0"/>
    <n v="0"/>
    <n v="0"/>
    <n v="0"/>
    <n v="0"/>
    <n v="-0.1496563352041349"/>
    <n v="0"/>
    <n v="0"/>
    <n v="6.0343099330890215E-2"/>
    <n v="0"/>
    <n v="0"/>
    <n v="0"/>
    <n v="1.4253341519893548E-2"/>
    <n v="0"/>
    <n v="-2.0863356074839468E-2"/>
    <m/>
    <n v="0"/>
    <n v="0"/>
    <n v="0"/>
    <n v="0"/>
    <n v="-2.7035320765381454E-3"/>
    <n v="-7.9213623396465205E-4"/>
    <n v="0"/>
    <n v="0"/>
    <m/>
    <m/>
    <m/>
    <n v="13.002166324820084"/>
    <n v="0"/>
    <n v="0"/>
    <n v="-4.0033499999999993"/>
    <n v="6.0300000000000242E-2"/>
    <n v="0"/>
    <n v="0"/>
    <n v="-3.84364560864538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188"/>
    <s v="Regular"/>
    <s v="Verde"/>
    <s v="A4"/>
    <s v="Industrial"/>
    <s v="Não se aplica"/>
    <s v="Não se aplica"/>
    <s v="Não se aplica"/>
    <s v="Ponta"/>
    <s v="CATIVO"/>
    <x v="8"/>
    <n v="0"/>
    <n v="0"/>
    <n v="7.2510000000000003"/>
    <n v="7.2510000000000003"/>
    <n v="7.2510000000000003"/>
    <n v="7.2510000000000003"/>
    <m/>
    <n v="2075.9499999999998"/>
    <n v="127.85"/>
    <m/>
    <n v="15979.753799999999"/>
    <n v="15979.753799999999"/>
    <n v="12808.23891"/>
    <n v="0"/>
    <n v="385.28418126336749"/>
    <n v="0"/>
    <n v="0"/>
    <n v="0"/>
    <n v="4568.1946603059723"/>
    <n v="9985.8143885363825"/>
    <n v="927.0214698387822"/>
    <n v="0"/>
    <n v="0"/>
    <n v="0"/>
    <n v="0"/>
    <n v="0"/>
    <n v="68.48785156801749"/>
    <m/>
    <n v="7.28293421686472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.644164532743581"/>
    <n v="0"/>
    <n v="0"/>
    <n v="0"/>
    <n v="0"/>
    <n v="0"/>
    <m/>
    <m/>
    <m/>
    <m/>
    <m/>
    <m/>
    <m/>
    <m/>
    <m/>
    <n v="964.66563437152581"/>
    <m/>
    <m/>
    <m/>
    <m/>
    <m/>
    <m/>
    <m/>
    <m/>
    <m/>
    <m/>
    <m/>
    <m/>
    <n v="12806.4725"/>
    <n v="-3173.3112999999994"/>
    <m/>
    <m/>
    <m/>
    <m/>
    <n v="-3200.6639099999993"/>
    <n v="29.149020000000075"/>
    <n v="31"/>
    <n v="-219.54541835384953"/>
    <n v="0"/>
    <n v="0"/>
    <n v="0"/>
    <n v="0"/>
    <n v="0"/>
    <n v="0"/>
    <n v="0"/>
    <n v="-239.65075927544149"/>
    <n v="0"/>
    <n v="0"/>
    <n v="29.16985421655238"/>
    <n v="0"/>
    <n v="0"/>
    <n v="0"/>
    <n v="1.1845192665440223"/>
    <n v="0"/>
    <n v="-8.7742513041231405"/>
    <m/>
    <n v="0"/>
    <n v="0"/>
    <n v="0"/>
    <n v="0"/>
    <n v="-1.306887405798534"/>
    <n v="-0.16789385158219883"/>
    <n v="0"/>
    <n v="0"/>
    <m/>
    <m/>
    <m/>
    <n v="9985.8143885363825"/>
    <n v="0"/>
    <n v="0"/>
    <n v="-3200.6639099999993"/>
    <n v="29.149020000000064"/>
    <n v="0"/>
    <n v="0"/>
    <n v="-2951.96436227534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189"/>
    <s v="Regular"/>
    <s v="Verde"/>
    <s v="A4"/>
    <s v="Industrial"/>
    <s v="Não se aplica"/>
    <s v="Não se aplica"/>
    <s v="Não se aplica"/>
    <s v="Fora ponta"/>
    <s v="CATIVO"/>
    <x v="8"/>
    <n v="0"/>
    <n v="0"/>
    <n v="134.363"/>
    <n v="134.363"/>
    <n v="134.363"/>
    <n v="134.363"/>
    <m/>
    <n v="68.78"/>
    <n v="127.85"/>
    <m/>
    <n v="26419.796689999996"/>
    <n v="26419.796689999996"/>
    <n v="26791.982200000002"/>
    <n v="0"/>
    <n v="7139.4205553840629"/>
    <n v="0"/>
    <n v="0"/>
    <n v="0"/>
    <n v="0"/>
    <n v="0"/>
    <n v="17177.959695483147"/>
    <n v="0"/>
    <n v="0"/>
    <n v="0"/>
    <n v="0"/>
    <n v="0"/>
    <n v="1269.0984967912748"/>
    <m/>
    <n v="134.954749714604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697.55659620921597"/>
    <n v="0"/>
    <n v="0"/>
    <n v="0"/>
    <n v="0"/>
    <n v="0"/>
    <m/>
    <m/>
    <m/>
    <m/>
    <m/>
    <m/>
    <m/>
    <m/>
    <m/>
    <n v="17875.516291692362"/>
    <m/>
    <m/>
    <m/>
    <m/>
    <m/>
    <m/>
    <m/>
    <m/>
    <m/>
    <m/>
    <m/>
    <m/>
    <n v="26791.384000000005"/>
    <n v="371.55731000000742"/>
    <m/>
    <m/>
    <m/>
    <m/>
    <n v="-167.95375000000001"/>
    <n v="540.1392600000014"/>
    <n v="31"/>
    <n v="372.55742963010925"/>
    <n v="0"/>
    <n v="0"/>
    <n v="0"/>
    <n v="0"/>
    <n v="0"/>
    <n v="0"/>
    <n v="0"/>
    <n v="0"/>
    <n v="0"/>
    <n v="0"/>
    <n v="540.52532369309483"/>
    <n v="0"/>
    <n v="0"/>
    <n v="0"/>
    <n v="21.949463827148747"/>
    <n v="0"/>
    <n v="-162.58926051246726"/>
    <m/>
    <n v="0"/>
    <n v="0"/>
    <n v="0"/>
    <n v="0"/>
    <n v="-24.216978693326382"/>
    <n v="-3.1111186843385781"/>
    <n v="0"/>
    <n v="0"/>
    <m/>
    <m/>
    <m/>
    <n v="0"/>
    <n v="0"/>
    <n v="0"/>
    <n v="-167.95374999999876"/>
    <n v="540.139260000003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190"/>
    <s v="Regular"/>
    <s v="Verde"/>
    <s v="A4"/>
    <s v="Industrial"/>
    <s v="Não se aplica"/>
    <s v="Não se aplica"/>
    <s v="Não se aplica"/>
    <s v="Não se aplica"/>
    <s v="CATIVO"/>
    <x v="8"/>
    <n v="500"/>
    <n v="500"/>
    <n v="0"/>
    <n v="0"/>
    <n v="0"/>
    <n v="0"/>
    <n v="39.56"/>
    <m/>
    <m/>
    <n v="19780"/>
    <m/>
    <n v="19780"/>
    <n v="15530"/>
    <n v="0"/>
    <n v="0"/>
    <n v="0"/>
    <n v="0"/>
    <n v="0"/>
    <n v="6585.1409000608992"/>
    <n v="13192.46604528784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31.82"/>
    <n v="1069.98"/>
    <n v="14554.44"/>
    <n v="1"/>
    <m/>
    <m/>
    <m/>
    <m/>
    <m/>
    <m/>
    <m/>
    <m/>
    <m/>
    <n v="0"/>
    <m/>
    <m/>
    <m/>
    <m/>
    <m/>
    <m/>
    <m/>
    <m/>
    <m/>
    <m/>
    <m/>
    <m/>
    <n v="15530"/>
    <n v="-4250.0299999999952"/>
    <m/>
    <m/>
    <m/>
    <m/>
    <n v="-4250.0000000000018"/>
    <n v="0"/>
    <n v="31"/>
    <n v="-345.46120163134856"/>
    <n v="0"/>
    <n v="0"/>
    <n v="0"/>
    <n v="0"/>
    <m/>
    <m/>
    <m/>
    <n v="-345.46120163134856"/>
    <n v="0"/>
    <n v="0"/>
    <m/>
    <m/>
    <n v="0"/>
    <n v="0"/>
    <n v="0"/>
    <n v="0"/>
    <n v="0"/>
    <m/>
    <n v="0"/>
    <n v="0"/>
    <m/>
    <n v="0"/>
    <n v="0"/>
    <n v="0"/>
    <n v="0"/>
    <n v="0"/>
    <m/>
    <m/>
    <n v="13192.466045287849"/>
    <m/>
    <n v="0"/>
    <n v="0"/>
    <n v="-4250"/>
    <m/>
    <n v="0"/>
    <m/>
    <n v="-3899.9012099528481"/>
    <m/>
    <n v="0"/>
    <n v="0"/>
    <m/>
    <n v="0"/>
    <n v="0"/>
    <n v="0"/>
    <n v="0"/>
    <n v="0"/>
    <m/>
    <m/>
    <n v="0"/>
    <n v="0"/>
    <m/>
    <n v="0"/>
    <m/>
    <n v="0"/>
    <m/>
    <n v="207"/>
    <m/>
    <m/>
    <m/>
    <m/>
    <n v="0"/>
    <m/>
    <m/>
    <m/>
    <m/>
    <n v="0"/>
    <n v="0"/>
    <n v="0"/>
    <n v="0"/>
  </r>
  <r>
    <n v="191"/>
    <s v="Regular"/>
    <s v="Convencional"/>
    <s v="B3"/>
    <s v="Comercial"/>
    <s v="Não se aplica"/>
    <s v="Não se aplica"/>
    <s v="Não se aplica"/>
    <s v="Não se aplica"/>
    <s v="CATIVO"/>
    <x v="8"/>
    <n v="0"/>
    <n v="0"/>
    <n v="105.268"/>
    <n v="105.268"/>
    <n v="105.268"/>
    <n v="105.268"/>
    <m/>
    <n v="710.52"/>
    <n v="127.85"/>
    <m/>
    <n v="88253.533160000006"/>
    <n v="88253.533160000006"/>
    <n v="72499.124280000004"/>
    <n v="0"/>
    <n v="6429.2511684051724"/>
    <n v="0"/>
    <n v="0"/>
    <n v="0"/>
    <n v="11510.26150939547"/>
    <n v="52441.074102852945"/>
    <n v="13458.23970307391"/>
    <n v="0"/>
    <n v="0"/>
    <n v="0"/>
    <n v="0"/>
    <n v="0"/>
    <n v="994.2875684542912"/>
    <m/>
    <n v="241.144070239174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78.9034516214715"/>
    <n v="0"/>
    <n v="470.13"/>
    <n v="2171.9699999999998"/>
    <n v="19775"/>
    <n v="86"/>
    <m/>
    <m/>
    <m/>
    <m/>
    <m/>
    <m/>
    <m/>
    <m/>
    <m/>
    <n v="16637.143154695383"/>
    <m/>
    <m/>
    <m/>
    <m/>
    <m/>
    <m/>
    <m/>
    <m/>
    <m/>
    <m/>
    <m/>
    <m/>
    <n v="72500.501700000008"/>
    <n v="-15753.061459999983"/>
    <m/>
    <m/>
    <m/>
    <m/>
    <n v="-16177.586239999995"/>
    <n v="423.1773600000011"/>
    <n v="31"/>
    <n v="-251.27706105143443"/>
    <n v="0"/>
    <n v="0"/>
    <n v="0"/>
    <n v="0"/>
    <n v="0"/>
    <n v="0"/>
    <n v="0"/>
    <n v="-603.83655148370781"/>
    <n v="0"/>
    <n v="0"/>
    <n v="423.47982535761003"/>
    <n v="0"/>
    <n v="0"/>
    <n v="0"/>
    <n v="100.02805034107678"/>
    <n v="0"/>
    <n v="-146.41625115241368"/>
    <m/>
    <n v="0"/>
    <n v="0"/>
    <n v="0"/>
    <n v="0"/>
    <n v="-18.973027642201259"/>
    <n v="-5.5591064717994243"/>
    <n v="0"/>
    <n v="0"/>
    <m/>
    <m/>
    <m/>
    <n v="52441.074102852945"/>
    <n v="0"/>
    <n v="0"/>
    <n v="-16177.586240000004"/>
    <n v="423.1773600000015"/>
    <n v="0"/>
    <n v="0"/>
    <n v="-15502.4093026180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192"/>
    <s v="Regular"/>
    <s v="Verde"/>
    <s v="A4"/>
    <s v="Comercial"/>
    <s v="Não se aplica"/>
    <s v="Não se aplica"/>
    <s v="Não se aplica"/>
    <s v="Ponta"/>
    <s v="CATIVO"/>
    <x v="8"/>
    <n v="0"/>
    <n v="0"/>
    <n v="6.3390000000000004"/>
    <n v="6.3390000000000004"/>
    <n v="6.3390000000000004"/>
    <n v="6.3390000000000004"/>
    <m/>
    <n v="2075.9499999999998"/>
    <n v="127.85"/>
    <m/>
    <n v="13969.888199999999"/>
    <n v="13969.888199999999"/>
    <n v="11197.272990000001"/>
    <n v="0"/>
    <n v="336.82477244910859"/>
    <n v="0"/>
    <n v="0"/>
    <n v="0"/>
    <n v="3993.6265276071658"/>
    <n v="8729.8410438466599"/>
    <n v="810.4246445053152"/>
    <n v="0"/>
    <n v="0"/>
    <n v="0"/>
    <n v="0"/>
    <n v="0"/>
    <n v="59.873740324046736"/>
    <m/>
    <n v="6.3669176666260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.909441314723701"/>
    <n v="0"/>
    <n v="0"/>
    <n v="0"/>
    <n v="0"/>
    <n v="0"/>
    <m/>
    <m/>
    <m/>
    <m/>
    <m/>
    <m/>
    <m/>
    <m/>
    <m/>
    <n v="843.33408582003892"/>
    <m/>
    <m/>
    <m/>
    <m/>
    <m/>
    <m/>
    <m/>
    <m/>
    <m/>
    <m/>
    <m/>
    <m/>
    <n v="11199.0394"/>
    <n v="-2770.8788000000004"/>
    <m/>
    <m/>
    <m/>
    <m/>
    <n v="-2798.0979899999993"/>
    <n v="25.482780000000066"/>
    <n v="31"/>
    <n v="-191.93192758861642"/>
    <n v="0"/>
    <n v="0"/>
    <n v="0"/>
    <n v="0"/>
    <n v="0"/>
    <n v="0"/>
    <n v="0"/>
    <n v="-209.50850407488997"/>
    <n v="0"/>
    <n v="0"/>
    <n v="25.500993777234271"/>
    <n v="0"/>
    <n v="0"/>
    <n v="0"/>
    <n v="1.035535461401544"/>
    <n v="0"/>
    <n v="-7.6706632211883061"/>
    <m/>
    <n v="0"/>
    <n v="0"/>
    <n v="0"/>
    <n v="0"/>
    <n v="-1.1425126555450191"/>
    <n v="-0.14677687562812824"/>
    <n v="0"/>
    <n v="0"/>
    <m/>
    <m/>
    <m/>
    <n v="8729.8410438466599"/>
    <n v="0"/>
    <n v="0"/>
    <n v="-2798.0979899999984"/>
    <n v="25.482780000000048"/>
    <n v="0"/>
    <n v="0"/>
    <n v="-2580.6788156755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193"/>
    <s v="Regular"/>
    <s v="Verde"/>
    <s v="A4"/>
    <s v="Comercial"/>
    <s v="Não se aplica"/>
    <s v="Não se aplica"/>
    <s v="Não se aplica"/>
    <s v="Fora ponta"/>
    <s v="CATIVO"/>
    <x v="8"/>
    <n v="0"/>
    <n v="0"/>
    <n v="60.271000000000001"/>
    <n v="60.271000000000001"/>
    <n v="60.271000000000001"/>
    <n v="60.271000000000001"/>
    <m/>
    <n v="68.78"/>
    <n v="127.85"/>
    <m/>
    <n v="11851.086729999999"/>
    <n v="11851.086729999999"/>
    <n v="12018.037400000001"/>
    <n v="0"/>
    <n v="3202.5186717589877"/>
    <n v="0"/>
    <n v="0"/>
    <n v="0"/>
    <n v="0"/>
    <n v="0"/>
    <n v="7705.490416308543"/>
    <n v="0"/>
    <n v="0"/>
    <n v="0"/>
    <n v="0"/>
    <n v="0"/>
    <n v="569.27752059798399"/>
    <m/>
    <n v="60.5364402406087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2.90186740490805"/>
    <n v="0"/>
    <n v="0"/>
    <n v="0"/>
    <n v="0"/>
    <n v="0"/>
    <m/>
    <m/>
    <m/>
    <m/>
    <m/>
    <m/>
    <m/>
    <m/>
    <m/>
    <n v="8018.3922837134514"/>
    <m/>
    <m/>
    <m/>
    <m/>
    <m/>
    <m/>
    <m/>
    <m/>
    <m/>
    <m/>
    <m/>
    <m/>
    <n v="12017.838000000002"/>
    <n v="166.72127000000182"/>
    <m/>
    <m/>
    <m/>
    <m/>
    <n v="-75.338750000000005"/>
    <n v="242.28942000000063"/>
    <n v="31"/>
    <n v="167.11750140467666"/>
    <n v="0"/>
    <n v="0"/>
    <n v="0"/>
    <n v="0"/>
    <n v="0"/>
    <n v="0"/>
    <n v="0"/>
    <n v="0"/>
    <n v="0"/>
    <n v="0"/>
    <n v="242.46259598480538"/>
    <n v="0"/>
    <n v="0"/>
    <n v="0"/>
    <n v="9.8458365348055281"/>
    <n v="0"/>
    <n v="-72.932409371232097"/>
    <m/>
    <n v="0"/>
    <n v="0"/>
    <n v="0"/>
    <n v="0"/>
    <n v="-10.862972119002052"/>
    <n v="-1.3955496247015162"/>
    <n v="0"/>
    <n v="0"/>
    <m/>
    <m/>
    <m/>
    <n v="0"/>
    <n v="0"/>
    <n v="0"/>
    <n v="-75.338749999999891"/>
    <n v="242.28942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194"/>
    <s v="Regular"/>
    <s v="Verde"/>
    <s v="A4"/>
    <s v="Comercial"/>
    <s v="Não se aplica"/>
    <s v="Não se aplica"/>
    <s v="Não se aplica"/>
    <s v="Não se aplica"/>
    <s v="CATIVO"/>
    <x v="8"/>
    <n v="192"/>
    <n v="192"/>
    <n v="0"/>
    <n v="0"/>
    <n v="0"/>
    <n v="0"/>
    <n v="39.56"/>
    <m/>
    <m/>
    <n v="7595.52"/>
    <m/>
    <n v="7595.52"/>
    <n v="5963.5199999999995"/>
    <n v="0"/>
    <n v="0"/>
    <n v="0"/>
    <n v="0"/>
    <n v="0"/>
    <n v="2528.6941056233854"/>
    <n v="5065.90696139053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78.25"/>
    <n v="1284.26"/>
    <n v="9248.4599999999991"/>
    <n v="2"/>
    <m/>
    <m/>
    <m/>
    <m/>
    <m/>
    <m/>
    <m/>
    <m/>
    <m/>
    <n v="0"/>
    <m/>
    <m/>
    <m/>
    <m/>
    <m/>
    <m/>
    <m/>
    <m/>
    <m/>
    <m/>
    <m/>
    <m/>
    <n v="5963.5199999999995"/>
    <n v="-1632.0300000000016"/>
    <m/>
    <m/>
    <m/>
    <m/>
    <n v="-1632.0000000000007"/>
    <n v="0"/>
    <n v="31"/>
    <n v="-132.6571014264382"/>
    <n v="0"/>
    <n v="0"/>
    <n v="0"/>
    <n v="0"/>
    <m/>
    <m/>
    <m/>
    <n v="-132.6571014264382"/>
    <n v="0"/>
    <n v="0"/>
    <m/>
    <m/>
    <n v="0"/>
    <n v="0"/>
    <n v="0"/>
    <n v="0"/>
    <n v="0"/>
    <m/>
    <n v="0"/>
    <n v="0"/>
    <m/>
    <n v="0"/>
    <n v="0"/>
    <n v="0"/>
    <n v="0"/>
    <n v="0"/>
    <m/>
    <m/>
    <n v="5065.906961390534"/>
    <m/>
    <n v="0"/>
    <n v="0"/>
    <n v="-1632.0000000000009"/>
    <m/>
    <n v="0"/>
    <m/>
    <n v="-1497.562064621894"/>
    <m/>
    <n v="0"/>
    <n v="0"/>
    <m/>
    <n v="0"/>
    <n v="0"/>
    <n v="0"/>
    <n v="0"/>
    <n v="0"/>
    <m/>
    <m/>
    <n v="0"/>
    <n v="0"/>
    <m/>
    <n v="0"/>
    <m/>
    <n v="0"/>
    <m/>
    <n v="207"/>
    <m/>
    <m/>
    <m/>
    <m/>
    <n v="0"/>
    <m/>
    <m/>
    <m/>
    <m/>
    <n v="0"/>
    <n v="0"/>
    <n v="0"/>
    <n v="0"/>
  </r>
  <r>
    <n v="195"/>
    <s v="Regular"/>
    <s v="Convencional"/>
    <s v="B2"/>
    <s v="Rural"/>
    <s v="Não se aplica"/>
    <s v="Não se aplica"/>
    <s v="Não se aplica"/>
    <s v="Não se aplica"/>
    <s v="CATIVO"/>
    <x v="8"/>
    <n v="0"/>
    <n v="0"/>
    <n v="53.148000000000003"/>
    <n v="53.148000000000003"/>
    <n v="53.148000000000003"/>
    <n v="53.148000000000003"/>
    <m/>
    <n v="710.52"/>
    <n v="127.85"/>
    <m/>
    <n v="44557.688759999997"/>
    <n v="44557.688759999997"/>
    <n v="36603.559080000006"/>
    <n v="0"/>
    <n v="3246.0181735987962"/>
    <n v="0"/>
    <n v="0"/>
    <n v="0"/>
    <n v="5811.3327763551169"/>
    <n v="26476.59503760334"/>
    <n v="6794.8334131832298"/>
    <n v="0"/>
    <n v="0"/>
    <n v="0"/>
    <n v="0"/>
    <n v="0"/>
    <n v="501.9986670992958"/>
    <m/>
    <n v="121.749487451757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04.9735973589122"/>
    <n v="0"/>
    <n v="157.15"/>
    <n v="726"/>
    <n v="0"/>
    <n v="36"/>
    <m/>
    <m/>
    <m/>
    <m/>
    <m/>
    <n v="4392.1507200000033"/>
    <m/>
    <m/>
    <m/>
    <n v="8399.807010542143"/>
    <m/>
    <m/>
    <m/>
    <m/>
    <m/>
    <m/>
    <m/>
    <m/>
    <m/>
    <m/>
    <m/>
    <m/>
    <n v="32212.620499999997"/>
    <n v="-6998.4094600000099"/>
    <m/>
    <m/>
    <m/>
    <m/>
    <n v="-8167.784639999998"/>
    <n v="213.65496000000056"/>
    <n v="31"/>
    <n v="-126.86545997608118"/>
    <n v="0"/>
    <n v="0"/>
    <n v="0"/>
    <n v="0"/>
    <n v="0"/>
    <n v="0"/>
    <n v="0"/>
    <n v="-304.86667399642829"/>
    <n v="0"/>
    <n v="0"/>
    <n v="213.80766954921"/>
    <n v="0"/>
    <n v="0"/>
    <n v="0"/>
    <n v="50.502439673286744"/>
    <n v="0"/>
    <n v="-73.923043244371001"/>
    <m/>
    <n v="0"/>
    <n v="0"/>
    <n v="0"/>
    <n v="0"/>
    <n v="-9.579154853590012"/>
    <n v="-2.8066971041835558"/>
    <n v="0"/>
    <n v="0"/>
    <m/>
    <m/>
    <m/>
    <n v="26476.59503760334"/>
    <n v="0"/>
    <n v="0"/>
    <n v="-8167.7846399999944"/>
    <n v="213.65496000000076"/>
    <n v="0"/>
    <n v="0"/>
    <n v="-7826.8994339736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196"/>
    <s v="Sistema de Compensação"/>
    <s v="Convencional"/>
    <s v="B2"/>
    <s v="Rural"/>
    <s v="Não se aplica"/>
    <s v="Não se aplica"/>
    <s v="Não se aplica"/>
    <s v="Não se aplica"/>
    <s v="CATIVO"/>
    <x v="8"/>
    <n v="0"/>
    <n v="0"/>
    <n v="0.35099999999999998"/>
    <n v="0.35099999999999998"/>
    <n v="0.35099999999999998"/>
    <n v="0.35099999999999998"/>
    <m/>
    <n v="710.52"/>
    <n v="127.85"/>
    <m/>
    <n v="294.26787000000002"/>
    <n v="294.26787000000002"/>
    <n v="241.73721"/>
    <n v="0"/>
    <n v="21.437351902859515"/>
    <n v="0"/>
    <n v="0"/>
    <n v="0"/>
    <n v="38.379201559807441"/>
    <n v="174.85671818692651"/>
    <n v="44.874436065840925"/>
    <n v="0"/>
    <n v="0"/>
    <n v="0"/>
    <n v="0"/>
    <n v="0"/>
    <n v="3.3152993932387447"/>
    <m/>
    <n v="0.804057915548412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.599565979396743"/>
    <n v="0"/>
    <n v="0.76"/>
    <n v="3.51"/>
    <n v="0"/>
    <n v="2"/>
    <m/>
    <m/>
    <m/>
    <m/>
    <m/>
    <n v="29.006640000000019"/>
    <m/>
    <m/>
    <m/>
    <n v="55.474002045237668"/>
    <m/>
    <m/>
    <m/>
    <m/>
    <m/>
    <m/>
    <m/>
    <m/>
    <m/>
    <m/>
    <m/>
    <m/>
    <n v="212.12449999999998"/>
    <n v="-46.862769999999983"/>
    <m/>
    <m/>
    <m/>
    <m/>
    <n v="-53.941679999999977"/>
    <n v="1.4110200000000035"/>
    <n v="31"/>
    <n v="-0.83784481921433951"/>
    <n v="0"/>
    <n v="0"/>
    <n v="0"/>
    <n v="0"/>
    <n v="0"/>
    <n v="0"/>
    <n v="0"/>
    <n v="-2.0134003645056566"/>
    <n v="0"/>
    <n v="0"/>
    <n v="1.4120285243428299"/>
    <n v="0"/>
    <n v="0"/>
    <n v="0"/>
    <n v="0.3335281915655095"/>
    <n v="0"/>
    <n v="-0.48820253215124509"/>
    <m/>
    <n v="0"/>
    <n v="0"/>
    <n v="0"/>
    <n v="0"/>
    <n v="-6.3262650590992564E-2"/>
    <n v="-1.8535987874772952E-2"/>
    <n v="0"/>
    <n v="0"/>
    <m/>
    <m/>
    <m/>
    <n v="174.85671818692651"/>
    <n v="0"/>
    <n v="0"/>
    <n v="-53.941679999999991"/>
    <n v="1.4110200000000006"/>
    <n v="0"/>
    <n v="0"/>
    <n v="-51.690406060900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197"/>
    <s v="Regular"/>
    <s v="Convencional"/>
    <s v="B3"/>
    <s v="Poder público"/>
    <s v="Não se aplica"/>
    <s v="Não se aplica"/>
    <s v="Não se aplica"/>
    <s v="Não se aplica"/>
    <s v="CATIVO"/>
    <x v="8"/>
    <n v="0"/>
    <n v="0"/>
    <n v="11.063000000000001"/>
    <n v="11.063000000000001"/>
    <n v="11.063000000000001"/>
    <n v="11.063000000000001"/>
    <m/>
    <n v="710.52"/>
    <n v="127.85"/>
    <m/>
    <n v="9274.8873100000001"/>
    <n v="9274.8873100000001"/>
    <n v="7619.198730000001"/>
    <n v="0"/>
    <n v="675.67357293827581"/>
    <n v="0"/>
    <n v="0"/>
    <n v="0"/>
    <n v="1209.6555750887458"/>
    <n v="5511.2247102620186"/>
    <n v="1414.3757441492826"/>
    <n v="0"/>
    <n v="0"/>
    <n v="0"/>
    <n v="0"/>
    <n v="0"/>
    <n v="104.49332532022859"/>
    <m/>
    <n v="25.3427143011740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4.08261660987517"/>
    <n v="0"/>
    <n v="28.22"/>
    <n v="130.69999999999999"/>
    <n v="2052.0700000000002"/>
    <n v="18"/>
    <m/>
    <m/>
    <m/>
    <m/>
    <m/>
    <m/>
    <m/>
    <m/>
    <m/>
    <n v="1748.4583607591578"/>
    <m/>
    <m/>
    <m/>
    <m/>
    <m/>
    <m/>
    <m/>
    <m/>
    <m/>
    <m/>
    <m/>
    <m/>
    <n v="7617.1326000000008"/>
    <n v="-1657.7847099999999"/>
    <m/>
    <m/>
    <m/>
    <m/>
    <n v="-1700.1618399999995"/>
    <n v="44.473260000000117"/>
    <n v="31"/>
    <n v="-26.407627450052132"/>
    <n v="0"/>
    <n v="0"/>
    <n v="0"/>
    <n v="0"/>
    <n v="0"/>
    <n v="0"/>
    <n v="0"/>
    <n v="-63.459396673863466"/>
    <n v="0"/>
    <n v="0"/>
    <n v="44.505047193175869"/>
    <n v="0"/>
    <n v="0"/>
    <n v="0"/>
    <n v="10.512314482305499"/>
    <n v="0"/>
    <n v="-15.387420550396541"/>
    <m/>
    <n v="0"/>
    <n v="0"/>
    <n v="0"/>
    <n v="0"/>
    <n v="-1.9939450241827643"/>
    <n v="-0.58422687709006382"/>
    <n v="0"/>
    <n v="0"/>
    <m/>
    <m/>
    <m/>
    <n v="5511.2247102620186"/>
    <n v="0"/>
    <n v="0"/>
    <n v="-1700.1618399999988"/>
    <n v="44.473260000000209"/>
    <n v="0"/>
    <n v="0"/>
    <n v="-1629.20502066024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198"/>
    <s v="Regular"/>
    <s v="Convencional"/>
    <s v="B4"/>
    <s v="Iluminação pública"/>
    <s v="Iluminação pública – B4a"/>
    <s v="Não se aplica"/>
    <s v="Não se aplica"/>
    <s v="Não se aplica"/>
    <s v="CATIVO"/>
    <x v="8"/>
    <n v="0"/>
    <n v="0"/>
    <n v="37.658000000000001"/>
    <n v="37.658000000000001"/>
    <n v="37.658000000000001"/>
    <n v="37.658000000000001"/>
    <m/>
    <n v="390.79"/>
    <n v="70.319999999999993"/>
    <m/>
    <n v="17364.480380000001"/>
    <n v="17364.480380000001"/>
    <n v="14264.473820000001"/>
    <n v="0"/>
    <n v="1264.980879990987"/>
    <n v="0"/>
    <n v="0"/>
    <n v="0"/>
    <n v="2264.6899851469361"/>
    <n v="10317.99105816468"/>
    <n v="2647.9624853335936"/>
    <n v="0"/>
    <n v="0"/>
    <n v="0"/>
    <n v="0"/>
    <n v="0"/>
    <n v="195.63005556359417"/>
    <m/>
    <n v="47.4460602309037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25.46196754606308"/>
    <n v="0"/>
    <n v="60.26"/>
    <n v="278.88"/>
    <n v="4379.17"/>
    <n v="36"/>
    <m/>
    <m/>
    <m/>
    <m/>
    <m/>
    <m/>
    <m/>
    <m/>
    <m/>
    <n v="3273.4244528796567"/>
    <m/>
    <m/>
    <m/>
    <m/>
    <m/>
    <m/>
    <m/>
    <m/>
    <m/>
    <m/>
    <m/>
    <m/>
    <n v="14265.231399999997"/>
    <n v="-3099.2789800000028"/>
    <m/>
    <m/>
    <m/>
    <m/>
    <n v="-3183.2307400000013"/>
    <n v="83.224180000000302"/>
    <n v="31"/>
    <n v="-49.43976669825588"/>
    <n v="0"/>
    <n v="0"/>
    <n v="0"/>
    <n v="0"/>
    <n v="0"/>
    <n v="0"/>
    <n v="0"/>
    <n v="-118.80725643762071"/>
    <n v="0"/>
    <n v="0"/>
    <n v="83.321349268764152"/>
    <n v="0"/>
    <n v="0"/>
    <n v="0"/>
    <n v="19.680918948388467"/>
    <n v="0"/>
    <n v="-28.807982979101325"/>
    <m/>
    <n v="0"/>
    <n v="0"/>
    <n v="0"/>
    <n v="0"/>
    <n v="-3.7330190677368478"/>
    <n v="-1.0937764309501432"/>
    <n v="0"/>
    <n v="0"/>
    <m/>
    <m/>
    <m/>
    <n v="10317.99105816468"/>
    <n v="0"/>
    <n v="0"/>
    <n v="-3183.2307400000009"/>
    <n v="83.224180000000615"/>
    <n v="0"/>
    <n v="0"/>
    <n v="-3050.1610293241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199"/>
    <s v="Regular"/>
    <s v="Convencional"/>
    <s v="B3"/>
    <s v="Serviço público"/>
    <s v="Água, esgoto e saneamento"/>
    <s v="Não se aplica"/>
    <s v="Não se aplica"/>
    <s v="Não se aplica"/>
    <s v="CATIVO"/>
    <x v="8"/>
    <n v="0"/>
    <n v="0"/>
    <n v="4.0999999999999996"/>
    <n v="3.8540000000000001"/>
    <n v="4.0999999999999996"/>
    <n v="3.8540000000000001"/>
    <m/>
    <n v="710.52"/>
    <n v="127.85"/>
    <m/>
    <n v="3437.3169999999996"/>
    <n v="3437.3169999999996"/>
    <n v="2823.7109999999998"/>
    <n v="0"/>
    <n v="250.40781424992593"/>
    <n v="0"/>
    <n v="0"/>
    <n v="0"/>
    <n v="448.30406380401854"/>
    <n v="2042.485881955552"/>
    <n v="524.17432441580559"/>
    <n v="0"/>
    <n v="0"/>
    <n v="0"/>
    <n v="0"/>
    <n v="0"/>
    <n v="38.725719408201861"/>
    <m/>
    <n v="9.39212949785895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3.81259406132948"/>
    <n v="0"/>
    <n v="22.97"/>
    <n v="106.05"/>
    <n v="738.76"/>
    <n v="1"/>
    <m/>
    <m/>
    <m/>
    <m/>
    <n v="169.42265999999969"/>
    <m/>
    <m/>
    <m/>
    <m/>
    <n v="647.98691847713508"/>
    <m/>
    <m/>
    <m/>
    <m/>
    <m/>
    <m/>
    <m/>
    <m/>
    <m/>
    <m/>
    <m/>
    <m/>
    <n v="2651.5335000000005"/>
    <n v="-579.57448000000022"/>
    <m/>
    <m/>
    <m/>
    <m/>
    <n v="-630.08799999999974"/>
    <n v="16.482000000000042"/>
    <n v="31"/>
    <n v="-9.7867913355521523"/>
    <n v="0"/>
    <n v="0"/>
    <n v="0"/>
    <n v="0"/>
    <n v="0"/>
    <n v="0"/>
    <n v="0"/>
    <n v="-23.518351836105921"/>
    <n v="0"/>
    <n v="0"/>
    <n v="16.493780483776732"/>
    <n v="0"/>
    <n v="0"/>
    <n v="0"/>
    <n v="3.8959133487709039"/>
    <n v="0"/>
    <n v="-5.7026506604561291"/>
    <m/>
    <n v="0"/>
    <n v="0"/>
    <n v="0"/>
    <n v="0"/>
    <n v="-0.73896543425376393"/>
    <n v="-0.21651723728367145"/>
    <n v="0"/>
    <n v="0"/>
    <m/>
    <m/>
    <m/>
    <n v="2042.485881955552"/>
    <n v="0"/>
    <n v="0"/>
    <n v="-630.08799999999974"/>
    <n v="16.481999999999971"/>
    <n v="0"/>
    <n v="0"/>
    <n v="-603.791067947845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200"/>
    <s v="Regular"/>
    <s v="Convencional"/>
    <s v="B1"/>
    <s v="Residencial"/>
    <s v="Residencial"/>
    <s v="Não se aplica"/>
    <s v="Não se aplica"/>
    <s v="Não se aplica"/>
    <s v="CATIVO"/>
    <x v="9"/>
    <n v="0"/>
    <n v="0"/>
    <n v="942.64200000000005"/>
    <n v="942.64200000000005"/>
    <n v="942.64200000000005"/>
    <n v="942.64200000000005"/>
    <m/>
    <n v="710.52"/>
    <n v="127.85"/>
    <m/>
    <n v="790282.77353999997"/>
    <n v="790282.77353999997"/>
    <n v="649206.97182000009"/>
    <n v="0"/>
    <n v="57571.932400043588"/>
    <n v="0"/>
    <n v="0"/>
    <n v="0"/>
    <n v="103070.79007618237"/>
    <n v="469593.40896057215"/>
    <n v="120514.32524779608"/>
    <n v="0"/>
    <n v="0"/>
    <n v="0"/>
    <n v="0"/>
    <n v="0"/>
    <n v="8903.5340474112745"/>
    <m/>
    <n v="2159.36969124896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466.085680770673"/>
    <n v="0"/>
    <n v="3585.24"/>
    <n v="16682.45"/>
    <n v="183892.71"/>
    <n v="5603"/>
    <m/>
    <m/>
    <m/>
    <m/>
    <m/>
    <m/>
    <m/>
    <m/>
    <m/>
    <n v="148980.41092856677"/>
    <m/>
    <m/>
    <m/>
    <m/>
    <m/>
    <m/>
    <m/>
    <m/>
    <m/>
    <m/>
    <m/>
    <m/>
    <n v="649205.59440000006"/>
    <n v="-141077.20913999993"/>
    <m/>
    <m/>
    <m/>
    <m/>
    <n v="-144865.22255999997"/>
    <n v="3789.4208400000098"/>
    <n v="30"/>
    <n v="-2250.1074532018974"/>
    <n v="0"/>
    <n v="0"/>
    <n v="0"/>
    <n v="0"/>
    <n v="0"/>
    <n v="0"/>
    <n v="0"/>
    <n v="-5407.1673686562426"/>
    <n v="0"/>
    <n v="0"/>
    <n v="3792.12932263127"/>
    <n v="0"/>
    <n v="0"/>
    <n v="0"/>
    <n v="895.71989046636372"/>
    <n v="0"/>
    <n v="-1311.1117131399224"/>
    <m/>
    <n v="0"/>
    <n v="0"/>
    <n v="0"/>
    <n v="0"/>
    <n v="-169.89752557947213"/>
    <n v="-49.780058923794059"/>
    <n v="0"/>
    <n v="0"/>
    <m/>
    <m/>
    <m/>
    <n v="469593.40896057215"/>
    <n v="0"/>
    <n v="0"/>
    <n v="-144865.22255999991"/>
    <n v="3789.4208400000061"/>
    <n v="0"/>
    <n v="0"/>
    <n v="-138819.224359144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201"/>
    <s v="Refaturamento - Regular"/>
    <s v="Convencional"/>
    <s v="B1"/>
    <s v="Residencial"/>
    <s v="Residencial"/>
    <s v="Não se aplica"/>
    <s v="Não se aplica"/>
    <s v="Não se aplica"/>
    <s v="CATIVO"/>
    <x v="9"/>
    <n v="0"/>
    <n v="0"/>
    <n v="-0.222"/>
    <n v="-0.222"/>
    <n v="-0.222"/>
    <n v="-0.222"/>
    <m/>
    <n v="710.52"/>
    <n v="127.85"/>
    <m/>
    <n v="-186.11814000000001"/>
    <n v="-186.11814000000001"/>
    <n v="-152.89362"/>
    <n v="0"/>
    <n v="-13.558667015483795"/>
    <n v="0"/>
    <n v="0"/>
    <n v="0"/>
    <n v="-24.274024918168809"/>
    <n v="-110.59313799856892"/>
    <n v="-28.382121956172892"/>
    <n v="0"/>
    <n v="0"/>
    <n v="0"/>
    <n v="0"/>
    <n v="0"/>
    <n v="-2.0968560264928815"/>
    <m/>
    <n v="-0.508549450859679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-6.7039989955158896"/>
    <n v="0"/>
    <n v="-0.56999999999999995"/>
    <n v="-2.62"/>
    <n v="-83.18"/>
    <n v="0"/>
    <m/>
    <m/>
    <m/>
    <m/>
    <m/>
    <m/>
    <m/>
    <m/>
    <m/>
    <n v="-35.086120951688784"/>
    <m/>
    <m/>
    <m/>
    <m/>
    <m/>
    <m/>
    <m/>
    <m/>
    <m/>
    <m/>
    <m/>
    <m/>
    <n v="-151.5162"/>
    <n v="34.571940000000041"/>
    <m/>
    <m/>
    <m/>
    <m/>
    <n v="34.116959999999992"/>
    <n v="-0.89244000000000223"/>
    <n v="30"/>
    <n v="0.52991894548597429"/>
    <n v="0"/>
    <n v="0"/>
    <n v="0"/>
    <n v="0"/>
    <n v="0"/>
    <n v="0"/>
    <n v="0"/>
    <n v="1.2734327091745143"/>
    <n v="0"/>
    <n v="0"/>
    <n v="-0.89307787009717643"/>
    <n v="0"/>
    <n v="0"/>
    <n v="0"/>
    <n v="-0.21094945449442459"/>
    <n v="0"/>
    <n v="0.30877766990762368"/>
    <m/>
    <n v="0"/>
    <n v="0"/>
    <n v="0"/>
    <n v="0"/>
    <n v="4.0012274732764919E-2"/>
    <n v="1.1723616262676873E-2"/>
    <n v="0"/>
    <n v="0"/>
    <m/>
    <m/>
    <m/>
    <n v="-110.59313799856892"/>
    <n v="0"/>
    <n v="0"/>
    <n v="34.116960000000006"/>
    <n v="-0.89244000000000057"/>
    <n v="0"/>
    <n v="0"/>
    <n v="32.6930773376638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202"/>
    <s v="Sistema de Compensação"/>
    <s v="Convencional"/>
    <s v="B1"/>
    <s v="Residencial"/>
    <s v="Residencial"/>
    <s v="Não se aplica"/>
    <s v="Não se aplica"/>
    <s v="Não se aplica"/>
    <s v="CATIVO"/>
    <x v="9"/>
    <n v="0"/>
    <n v="0"/>
    <n v="1.571"/>
    <n v="1.571"/>
    <n v="1.571"/>
    <n v="1.571"/>
    <m/>
    <n v="710.52"/>
    <n v="127.85"/>
    <m/>
    <n v="1317.0792699999997"/>
    <n v="1317.0792699999997"/>
    <n v="1081.9634100000001"/>
    <n v="0"/>
    <n v="95.948945411374069"/>
    <n v="0"/>
    <n v="0"/>
    <n v="0"/>
    <n v="171.77699615514956"/>
    <n v="782.62080989077378"/>
    <n v="200.84825942859285"/>
    <n v="0"/>
    <n v="0"/>
    <n v="0"/>
    <n v="0"/>
    <n v="0"/>
    <n v="14.838562241532957"/>
    <m/>
    <n v="3.59878913198449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7.44136226106064"/>
    <n v="0"/>
    <n v="4.76"/>
    <n v="22.31"/>
    <n v="892.56"/>
    <n v="18"/>
    <m/>
    <m/>
    <m/>
    <m/>
    <m/>
    <m/>
    <m/>
    <m/>
    <m/>
    <n v="248.2896216896535"/>
    <m/>
    <m/>
    <m/>
    <m/>
    <m/>
    <m/>
    <m/>
    <m/>
    <m/>
    <m/>
    <m/>
    <m/>
    <n v="1081.2747000000002"/>
    <n v="-235.83456999999953"/>
    <m/>
    <m/>
    <m/>
    <m/>
    <n v="-241.4312799999999"/>
    <n v="6.3154200000000156"/>
    <n v="30"/>
    <n v="-3.7500119971103913"/>
    <n v="0"/>
    <n v="0"/>
    <n v="0"/>
    <n v="0"/>
    <n v="0"/>
    <n v="0"/>
    <n v="0"/>
    <n v="-9.0115440815908414"/>
    <n v="0"/>
    <n v="0"/>
    <n v="6.3199339365885692"/>
    <n v="0"/>
    <n v="0"/>
    <n v="0"/>
    <n v="1.4927999685168487"/>
    <n v="0"/>
    <n v="-2.1850888262382"/>
    <m/>
    <n v="0"/>
    <n v="0"/>
    <n v="0"/>
    <n v="0"/>
    <n v="-0.28314992614942902"/>
    <n v="-8.2963068237231763E-2"/>
    <n v="0"/>
    <n v="0"/>
    <m/>
    <m/>
    <m/>
    <n v="782.62080989077378"/>
    <n v="0"/>
    <n v="0"/>
    <n v="-241.43127999999979"/>
    <n v="6.3154200000000174"/>
    <n v="0"/>
    <n v="0"/>
    <n v="-231.355065303918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203"/>
    <s v="Regular"/>
    <s v="Convencional"/>
    <s v="B1"/>
    <s v="Residencial"/>
    <s v="Residencial baixa renda – faixa 01"/>
    <s v="Não se aplica"/>
    <s v="Não se aplica"/>
    <s v="Não se aplica"/>
    <s v="CATIVO"/>
    <x v="9"/>
    <n v="0"/>
    <n v="0"/>
    <n v="19.29"/>
    <n v="19.29"/>
    <n v="19.29"/>
    <n v="19.29"/>
    <m/>
    <n v="640"/>
    <n v="127.85"/>
    <m/>
    <n v="14811.826499999999"/>
    <n v="14811.826499999999"/>
    <n v="11955.170399999999"/>
    <n v="0"/>
    <n v="0"/>
    <n v="0"/>
    <n v="0"/>
    <n v="0"/>
    <n v="2109.2159489706141"/>
    <n v="9609.6469909567313"/>
    <n v="2466.1762726782663"/>
    <n v="0"/>
    <n v="0"/>
    <n v="0"/>
    <n v="0"/>
    <n v="0"/>
    <n v="0"/>
    <m/>
    <n v="44.1888239057802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82.52315596171854"/>
    <n v="0"/>
    <n v="70.58"/>
    <n v="325.66000000000003"/>
    <n v="2027.27"/>
    <n v="56"/>
    <m/>
    <m/>
    <m/>
    <m/>
    <m/>
    <m/>
    <m/>
    <n v="7770.9764999999989"/>
    <m/>
    <n v="3048.6994286399849"/>
    <m/>
    <m/>
    <m/>
    <m/>
    <m/>
    <m/>
    <m/>
    <m/>
    <m/>
    <m/>
    <m/>
    <m/>
    <n v="4184.1938999999993"/>
    <n v="-1000.0236000000014"/>
    <m/>
    <m/>
    <m/>
    <m/>
    <n v="-2934.2019"/>
    <n v="77.545800000000199"/>
    <n v="30"/>
    <n v="-15.738641559963071"/>
    <n v="0"/>
    <n v="0"/>
    <n v="0"/>
    <n v="0"/>
    <n v="0"/>
    <n v="0"/>
    <n v="0"/>
    <n v="-110.65097729719105"/>
    <n v="0"/>
    <n v="0"/>
    <n v="77.60122573952458"/>
    <n v="0"/>
    <n v="0"/>
    <n v="0"/>
    <n v="18.329797194582966"/>
    <n v="0"/>
    <n v="0"/>
    <m/>
    <n v="0"/>
    <n v="0"/>
    <n v="0"/>
    <n v="0"/>
    <n v="0"/>
    <n v="-1.0186871968785454"/>
    <n v="0"/>
    <n v="0"/>
    <m/>
    <m/>
    <m/>
    <n v="9609.6469909567313"/>
    <n v="0"/>
    <n v="0"/>
    <n v="-2934.2019"/>
    <n v="77.545800000000327"/>
    <n v="0"/>
    <n v="0"/>
    <n v="-2840.76334163754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204"/>
    <s v="Regular"/>
    <s v="Convencional"/>
    <s v="B1"/>
    <s v="Residencial"/>
    <s v="Residencial baixa renda – faixa 02"/>
    <s v="Não se aplica"/>
    <s v="Não se aplica"/>
    <s v="Não se aplica"/>
    <s v="CATIVO"/>
    <x v="9"/>
    <n v="0"/>
    <n v="0"/>
    <n v="36.750999999999998"/>
    <n v="36.750999999999998"/>
    <n v="36.750999999999998"/>
    <n v="36.750999999999998"/>
    <m/>
    <n v="640"/>
    <n v="127.85"/>
    <m/>
    <n v="28219.255349999999"/>
    <n v="28219.255349999999"/>
    <n v="22776.799759999998"/>
    <n v="0"/>
    <n v="0"/>
    <n v="0"/>
    <n v="0"/>
    <n v="0"/>
    <n v="4018.4445485028014"/>
    <n v="18308.146011645975"/>
    <n v="4698.5196577086035"/>
    <n v="0"/>
    <n v="0"/>
    <n v="0"/>
    <n v="0"/>
    <n v="0"/>
    <n v="0"/>
    <m/>
    <n v="84.1878417501986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09.8138156946145"/>
    <n v="0"/>
    <n v="132.94999999999999"/>
    <n v="623.39"/>
    <n v="4724.47"/>
    <n v="150"/>
    <m/>
    <m/>
    <m/>
    <m/>
    <m/>
    <m/>
    <m/>
    <n v="9110.5728999999992"/>
    <m/>
    <n v="5808.3334734032178"/>
    <m/>
    <m/>
    <m/>
    <m/>
    <m/>
    <m/>
    <m/>
    <m/>
    <m/>
    <m/>
    <m/>
    <m/>
    <n v="13665.855"/>
    <n v="-3265.7282099999975"/>
    <m/>
    <m/>
    <m/>
    <m/>
    <n v="-5590.1946100000005"/>
    <n v="147.73902000000038"/>
    <n v="30"/>
    <n v="-29.98500860394779"/>
    <n v="0"/>
    <n v="0"/>
    <n v="0"/>
    <n v="0"/>
    <n v="0"/>
    <n v="0"/>
    <n v="0"/>
    <n v="-210.81047520212906"/>
    <n v="0"/>
    <n v="0"/>
    <n v="147.84461623396965"/>
    <n v="0"/>
    <n v="0"/>
    <n v="0"/>
    <n v="34.921636946507306"/>
    <n v="0"/>
    <n v="0"/>
    <m/>
    <n v="0"/>
    <n v="0"/>
    <n v="0"/>
    <n v="0"/>
    <n v="0"/>
    <n v="-1.940786582295658"/>
    <n v="0"/>
    <n v="0"/>
    <m/>
    <m/>
    <m/>
    <n v="18308.146011645975"/>
    <n v="0"/>
    <n v="0"/>
    <n v="-5590.1946100000023"/>
    <n v="147.73902000000089"/>
    <n v="0"/>
    <n v="0"/>
    <n v="-5412.17696052470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205"/>
    <s v="Regular"/>
    <s v="Convencional"/>
    <s v="B1"/>
    <s v="Residencial"/>
    <s v="Residencial baixa renda – faixa 03"/>
    <s v="Não se aplica"/>
    <s v="Não se aplica"/>
    <s v="Não se aplica"/>
    <s v="CATIVO"/>
    <x v="9"/>
    <n v="0"/>
    <n v="0"/>
    <n v="33.137999999999998"/>
    <n v="33.137999999999998"/>
    <n v="33.137999999999998"/>
    <n v="33.137999999999998"/>
    <m/>
    <n v="640"/>
    <n v="127.85"/>
    <m/>
    <n v="25445.013299999999"/>
    <n v="25445.013299999999"/>
    <n v="20537.606879999999"/>
    <n v="0"/>
    <n v="0"/>
    <n v="0"/>
    <n v="0"/>
    <n v="0"/>
    <n v="3623.3902600823335"/>
    <n v="16508.26759908368"/>
    <n v="4236.6070152416996"/>
    <n v="0"/>
    <n v="0"/>
    <n v="0"/>
    <n v="0"/>
    <n v="0"/>
    <n v="0"/>
    <m/>
    <n v="75.9113139756219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00.7077419522772"/>
    <n v="0"/>
    <n v="121.27"/>
    <n v="564.80999999999995"/>
    <n v="5924.71"/>
    <n v="309"/>
    <m/>
    <m/>
    <m/>
    <m/>
    <m/>
    <m/>
    <m/>
    <n v="2053.8932399999985"/>
    <m/>
    <n v="5237.3147571939771"/>
    <m/>
    <m/>
    <m/>
    <m/>
    <m/>
    <m/>
    <m/>
    <m/>
    <m/>
    <m/>
    <m/>
    <m/>
    <n v="18484.8292"/>
    <n v="-4415.547079999993"/>
    <m/>
    <m/>
    <m/>
    <m/>
    <n v="-5040.6211800000001"/>
    <n v="133.21476000000033"/>
    <n v="30"/>
    <n v="-27.037174910006797"/>
    <n v="0"/>
    <n v="0"/>
    <n v="0"/>
    <n v="0"/>
    <n v="0"/>
    <n v="0"/>
    <n v="0"/>
    <n v="-190.08564466948292"/>
    <n v="0"/>
    <n v="0"/>
    <n v="133.30997504180232"/>
    <n v="0"/>
    <n v="0"/>
    <n v="0"/>
    <n v="31.488482085748842"/>
    <n v="0"/>
    <n v="0"/>
    <m/>
    <n v="0"/>
    <n v="0"/>
    <n v="0"/>
    <n v="0"/>
    <n v="0"/>
    <n v="-1.7499873680747129"/>
    <n v="0"/>
    <n v="0"/>
    <m/>
    <m/>
    <m/>
    <n v="16508.26759908368"/>
    <n v="0"/>
    <n v="0"/>
    <n v="-5040.6211800000019"/>
    <n v="133.21475999999984"/>
    <n v="0"/>
    <n v="0"/>
    <n v="-4880.10449015993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206"/>
    <s v="Regular"/>
    <s v="Convencional"/>
    <s v="B1"/>
    <s v="Residencial"/>
    <s v="Residencial baixa renda – faixa 04"/>
    <s v="Não se aplica"/>
    <s v="Não se aplica"/>
    <s v="Não se aplica"/>
    <s v="CATIVO"/>
    <x v="9"/>
    <n v="0"/>
    <n v="0"/>
    <n v="13.558"/>
    <n v="13.558"/>
    <n v="13.558"/>
    <n v="13.558"/>
    <m/>
    <n v="640"/>
    <n v="127.85"/>
    <m/>
    <n v="10410.510299999998"/>
    <n v="10410.510299999998"/>
    <n v="8402.7060799999999"/>
    <n v="0"/>
    <n v="0"/>
    <n v="0"/>
    <n v="0"/>
    <n v="0"/>
    <n v="1482.464999281679"/>
    <n v="6754.1520945252132"/>
    <n v="1733.35499766573"/>
    <n v="0"/>
    <n v="0"/>
    <n v="0"/>
    <n v="0"/>
    <n v="0"/>
    <n v="0"/>
    <m/>
    <n v="31.0581687151150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9.42710982524517"/>
    <n v="0"/>
    <n v="41.81"/>
    <n v="194.6"/>
    <n v="3191.16"/>
    <n v="128"/>
    <m/>
    <m/>
    <m/>
    <m/>
    <m/>
    <m/>
    <m/>
    <m/>
    <m/>
    <n v="2142.7821074909752"/>
    <m/>
    <m/>
    <m/>
    <m/>
    <m/>
    <m/>
    <m/>
    <m/>
    <m/>
    <m/>
    <m/>
    <m/>
    <n v="8403.9456000000009"/>
    <n v="-2006.5946999999978"/>
    <m/>
    <m/>
    <m/>
    <m/>
    <n v="-2062.3073800000002"/>
    <n v="54.503160000000136"/>
    <n v="30"/>
    <n v="-11.061923393984671"/>
    <n v="0"/>
    <n v="0"/>
    <n v="0"/>
    <n v="0"/>
    <n v="0"/>
    <n v="0"/>
    <n v="0"/>
    <n v="-77.771174193640036"/>
    <n v="0"/>
    <n v="0"/>
    <n v="54.542116048547314"/>
    <n v="0"/>
    <n v="0"/>
    <n v="0"/>
    <n v="12.883120288447799"/>
    <n v="0"/>
    <n v="0"/>
    <m/>
    <n v="0"/>
    <n v="0"/>
    <n v="0"/>
    <n v="0"/>
    <n v="0"/>
    <n v="-0.71598553733952031"/>
    <n v="0"/>
    <n v="0"/>
    <m/>
    <m/>
    <m/>
    <n v="6754.1520945252132"/>
    <n v="0"/>
    <n v="0"/>
    <n v="-2062.3073799999993"/>
    <n v="54.503160000000207"/>
    <n v="0"/>
    <n v="0"/>
    <n v="-1996.6339754236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207"/>
    <s v="Sistema de Compensação"/>
    <s v="Branca"/>
    <s v="B1"/>
    <s v="Residencial"/>
    <s v="Residencial"/>
    <s v="Não se aplica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11"/>
    <n v="0.54"/>
    <n v="89.58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7"/>
    <m/>
    <m/>
    <m/>
    <m/>
    <n v="0"/>
    <m/>
    <m/>
    <m/>
    <m/>
    <n v="0"/>
    <n v="0"/>
    <n v="0"/>
    <n v="0"/>
  </r>
  <r>
    <n v="208"/>
    <s v="Regular"/>
    <s v="Verde"/>
    <s v="A4"/>
    <s v="Industrial"/>
    <s v="Não se aplica"/>
    <s v="Não se aplica"/>
    <s v="Não se aplica"/>
    <s v="Ponta"/>
    <s v="CATIVO"/>
    <x v="9"/>
    <n v="0"/>
    <n v="0"/>
    <n v="2.762"/>
    <n v="2.762"/>
    <n v="2.762"/>
    <n v="2.762"/>
    <m/>
    <n v="2075.9499999999998"/>
    <n v="127.85"/>
    <m/>
    <n v="6086.8955999999989"/>
    <n v="6086.8955999999989"/>
    <n v="4878.8244199999999"/>
    <n v="0"/>
    <n v="146.75974467651648"/>
    <n v="0"/>
    <n v="0"/>
    <n v="0"/>
    <n v="1740.0846299496752"/>
    <n v="3803.726291702867"/>
    <n v="353.11450830157446"/>
    <n v="0"/>
    <n v="0"/>
    <n v="0"/>
    <n v="0"/>
    <n v="0"/>
    <n v="26.087911464744767"/>
    <m/>
    <n v="2.77416415763072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33915079843301"/>
    <n v="0"/>
    <n v="0"/>
    <n v="0"/>
    <n v="0"/>
    <n v="0"/>
    <m/>
    <m/>
    <m/>
    <m/>
    <m/>
    <m/>
    <m/>
    <m/>
    <m/>
    <n v="367.45365910000748"/>
    <m/>
    <m/>
    <m/>
    <m/>
    <m/>
    <m/>
    <m/>
    <m/>
    <m/>
    <m/>
    <m/>
    <m/>
    <n v="4875.2915999999996"/>
    <n v="-1211.634"/>
    <m/>
    <m/>
    <m/>
    <m/>
    <n v="-1219.1744199999996"/>
    <n v="11.103240000000028"/>
    <n v="30"/>
    <n v="-83.627699006113744"/>
    <n v="0"/>
    <n v="0"/>
    <n v="0"/>
    <n v="0"/>
    <n v="0"/>
    <n v="0"/>
    <n v="0"/>
    <n v="-91.286084280619207"/>
    <n v="0"/>
    <n v="0"/>
    <n v="11.111176023461269"/>
    <n v="0"/>
    <n v="0"/>
    <n v="0"/>
    <n v="0.45119876074949694"/>
    <n v="0"/>
    <n v="-3.3422261897652845"/>
    <m/>
    <n v="0"/>
    <n v="0"/>
    <n v="0"/>
    <n v="0"/>
    <n v="-0.49781037302655662"/>
    <n v="-6.3952946913533815E-2"/>
    <n v="0"/>
    <n v="0"/>
    <m/>
    <m/>
    <m/>
    <n v="3803.726291702867"/>
    <n v="0"/>
    <n v="0"/>
    <n v="-1219.1744199999994"/>
    <n v="11.103240000000028"/>
    <n v="0"/>
    <n v="0"/>
    <n v="-1124.44153476824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209"/>
    <s v="Regular"/>
    <s v="Verde"/>
    <s v="A4"/>
    <s v="Industrial"/>
    <s v="Não se aplica"/>
    <s v="Não se aplica"/>
    <s v="Não se aplica"/>
    <s v="Fora ponta"/>
    <s v="CATIVO"/>
    <x v="9"/>
    <n v="0"/>
    <n v="0"/>
    <n v="107.65600000000001"/>
    <n v="107.65600000000001"/>
    <n v="107.65600000000001"/>
    <n v="107.65600000000001"/>
    <m/>
    <n v="68.78"/>
    <n v="127.85"/>
    <m/>
    <n v="21168.399280000001"/>
    <n v="21168.399280000001"/>
    <n v="21466.606400000001"/>
    <n v="0"/>
    <n v="5720.3356527498399"/>
    <n v="0"/>
    <n v="0"/>
    <n v="0"/>
    <n v="0"/>
    <n v="0"/>
    <n v="13763.539285197068"/>
    <n v="0"/>
    <n v="0"/>
    <n v="0"/>
    <n v="0"/>
    <n v="0"/>
    <n v="1016.8429386852147"/>
    <m/>
    <n v="108.130129092647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58.90500302538169"/>
    <n v="0"/>
    <n v="0"/>
    <n v="0"/>
    <n v="0"/>
    <n v="0"/>
    <m/>
    <m/>
    <m/>
    <m/>
    <m/>
    <m/>
    <m/>
    <m/>
    <m/>
    <n v="14322.44428822245"/>
    <m/>
    <m/>
    <m/>
    <m/>
    <m/>
    <m/>
    <m/>
    <m/>
    <m/>
    <m/>
    <m/>
    <m/>
    <n v="21467.404000000002"/>
    <n v="298.97472000000198"/>
    <m/>
    <m/>
    <m/>
    <m/>
    <n v="-134.57"/>
    <n v="432.7771200000011"/>
    <n v="30"/>
    <n v="298.5051140883952"/>
    <n v="0"/>
    <n v="0"/>
    <n v="0"/>
    <n v="0"/>
    <n v="0"/>
    <n v="0"/>
    <n v="0"/>
    <n v="0"/>
    <n v="0"/>
    <n v="0"/>
    <n v="433.08644677108896"/>
    <n v="0"/>
    <n v="0"/>
    <n v="0"/>
    <n v="17.586623384231643"/>
    <n v="0"/>
    <n v="-130.2717967724011"/>
    <m/>
    <n v="0"/>
    <n v="0"/>
    <n v="0"/>
    <n v="0"/>
    <n v="-19.403429948786084"/>
    <n v="-2.4927293457361941"/>
    <n v="0"/>
    <n v="0"/>
    <m/>
    <m/>
    <m/>
    <n v="0"/>
    <n v="0"/>
    <n v="0"/>
    <n v="-134.57000000000062"/>
    <n v="432.777120000000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210"/>
    <s v="Regular"/>
    <s v="Verde"/>
    <s v="A4"/>
    <s v="Industrial"/>
    <s v="Não se aplica"/>
    <s v="Não se aplica"/>
    <s v="Não se aplica"/>
    <s v="Não se aplica"/>
    <s v="CATIVO"/>
    <x v="9"/>
    <n v="522"/>
    <n v="522"/>
    <n v="0"/>
    <n v="0"/>
    <n v="0"/>
    <n v="0"/>
    <n v="39.56"/>
    <m/>
    <m/>
    <n v="20650.32"/>
    <m/>
    <n v="20650.32"/>
    <n v="16213.32"/>
    <n v="0"/>
    <n v="0"/>
    <n v="0"/>
    <n v="0"/>
    <n v="0"/>
    <n v="6874.8870996635787"/>
    <n v="13772.93455128051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44.69"/>
    <n v="667.84"/>
    <n v="11241.42"/>
    <n v="1"/>
    <m/>
    <m/>
    <m/>
    <m/>
    <m/>
    <m/>
    <m/>
    <m/>
    <m/>
    <n v="0"/>
    <m/>
    <m/>
    <m/>
    <m/>
    <m/>
    <m/>
    <m/>
    <m/>
    <m/>
    <m/>
    <m/>
    <m/>
    <n v="16213.32"/>
    <n v="-4437.0299999999952"/>
    <m/>
    <m/>
    <m/>
    <m/>
    <n v="-4437.0000000000018"/>
    <n v="0"/>
    <n v="30"/>
    <n v="-360.66149450312787"/>
    <n v="0"/>
    <n v="0"/>
    <n v="0"/>
    <n v="0"/>
    <m/>
    <m/>
    <m/>
    <n v="-360.66149450312787"/>
    <n v="0"/>
    <n v="0"/>
    <m/>
    <m/>
    <n v="0"/>
    <n v="0"/>
    <n v="0"/>
    <n v="0"/>
    <n v="0"/>
    <m/>
    <n v="0"/>
    <n v="0"/>
    <m/>
    <n v="0"/>
    <n v="0"/>
    <n v="0"/>
    <n v="0"/>
    <n v="0"/>
    <m/>
    <m/>
    <n v="13772.934551280516"/>
    <m/>
    <n v="0"/>
    <n v="0"/>
    <n v="-4437"/>
    <m/>
    <n v="0"/>
    <m/>
    <n v="-4071.4968631907759"/>
    <m/>
    <n v="0"/>
    <n v="0"/>
    <m/>
    <n v="0"/>
    <n v="0"/>
    <n v="0"/>
    <n v="0"/>
    <n v="0"/>
    <m/>
    <m/>
    <n v="0"/>
    <n v="0"/>
    <m/>
    <n v="0"/>
    <m/>
    <n v="0"/>
    <m/>
    <n v="207"/>
    <m/>
    <m/>
    <m/>
    <m/>
    <n v="0"/>
    <m/>
    <m/>
    <m/>
    <m/>
    <n v="0"/>
    <n v="0"/>
    <n v="0"/>
    <n v="0"/>
  </r>
  <r>
    <n v="211"/>
    <s v="Regular"/>
    <s v="Convencional"/>
    <s v="B3"/>
    <s v="Comercial"/>
    <s v="Não se aplica"/>
    <s v="Não se aplica"/>
    <s v="Não se aplica"/>
    <s v="Não se aplica"/>
    <s v="CATIVO"/>
    <x v="9"/>
    <n v="0"/>
    <n v="0"/>
    <n v="101.986"/>
    <n v="101.986"/>
    <n v="101.986"/>
    <n v="101.986"/>
    <m/>
    <n v="710.52"/>
    <n v="127.85"/>
    <m/>
    <n v="85502.002819999994"/>
    <n v="85502.002819999994"/>
    <n v="70238.778060000011"/>
    <n v="0"/>
    <n v="6228.8027668519389"/>
    <n v="0"/>
    <n v="0"/>
    <n v="0"/>
    <n v="11151.399573443083"/>
    <n v="50806.089062711937"/>
    <n v="13038.644548748869"/>
    <n v="0"/>
    <n v="0"/>
    <n v="0"/>
    <n v="0"/>
    <n v="0"/>
    <n v="963.28810233289641"/>
    <m/>
    <n v="233.625785114303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79.7929799850608"/>
    <n v="0"/>
    <n v="424.2"/>
    <n v="1959.9"/>
    <n v="18658.78"/>
    <n v="85"/>
    <m/>
    <m/>
    <m/>
    <m/>
    <m/>
    <m/>
    <m/>
    <m/>
    <m/>
    <n v="16118.43752873393"/>
    <m/>
    <m/>
    <m/>
    <m/>
    <m/>
    <m/>
    <m/>
    <m/>
    <m/>
    <m/>
    <m/>
    <m/>
    <n v="70241.532900000006"/>
    <n v="-15260.499919999973"/>
    <m/>
    <m/>
    <m/>
    <m/>
    <n v="-15673.208479999996"/>
    <n v="409.98372000000109"/>
    <n v="30"/>
    <n v="-243.44285393843165"/>
    <n v="0"/>
    <n v="0"/>
    <n v="0"/>
    <n v="0"/>
    <n v="0"/>
    <n v="0"/>
    <n v="0"/>
    <n v="-585.01039764807319"/>
    <n v="0"/>
    <n v="0"/>
    <n v="410.27675522401114"/>
    <n v="0"/>
    <n v="0"/>
    <n v="0"/>
    <n v="96.909419216524384"/>
    <n v="0"/>
    <n v="-141.85134884323907"/>
    <m/>
    <n v="0"/>
    <n v="0"/>
    <n v="0"/>
    <n v="0"/>
    <n v="-18.381494823854609"/>
    <n v="-5.3857870638079532"/>
    <n v="0"/>
    <n v="0"/>
    <m/>
    <m/>
    <m/>
    <n v="50806.089062711937"/>
    <n v="0"/>
    <n v="0"/>
    <n v="-15673.208479999994"/>
    <n v="409.98372000000199"/>
    <n v="0"/>
    <n v="0"/>
    <n v="-15019.0819160314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212"/>
    <s v="Regular"/>
    <s v="Verde"/>
    <s v="A4"/>
    <s v="Comercial"/>
    <s v="Não se aplica"/>
    <s v="Não se aplica"/>
    <s v="Não se aplica"/>
    <s v="Ponta"/>
    <s v="CATIVO"/>
    <x v="9"/>
    <n v="0"/>
    <n v="0"/>
    <n v="4.1449999999999996"/>
    <n v="4.1449999999999996"/>
    <n v="4.1449999999999996"/>
    <n v="4.1449999999999996"/>
    <m/>
    <n v="2075.9499999999998"/>
    <n v="127.85"/>
    <m/>
    <n v="9134.7509999999984"/>
    <n v="9134.7509999999984"/>
    <n v="7321.7694499999998"/>
    <n v="0"/>
    <n v="220.24588764813927"/>
    <n v="0"/>
    <n v="0"/>
    <n v="0"/>
    <n v="2611.3869627593785"/>
    <n v="5708.3437650645847"/>
    <n v="529.92745724475958"/>
    <n v="0"/>
    <n v="0"/>
    <n v="0"/>
    <n v="0"/>
    <n v="0"/>
    <n v="39.150757791950419"/>
    <m/>
    <n v="4.16325504467029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.519109362601309"/>
    <n v="0"/>
    <n v="0"/>
    <n v="0"/>
    <n v="0"/>
    <n v="0"/>
    <m/>
    <m/>
    <m/>
    <m/>
    <m/>
    <m/>
    <m/>
    <m/>
    <m/>
    <n v="551.44656660736086"/>
    <m/>
    <m/>
    <m/>
    <m/>
    <m/>
    <m/>
    <m/>
    <m/>
    <m/>
    <m/>
    <m/>
    <m/>
    <n v="7330.6015000000007"/>
    <n v="-1804.1794999999984"/>
    <m/>
    <m/>
    <m/>
    <m/>
    <n v="-1829.6444499999991"/>
    <n v="16.66290000000004"/>
    <n v="30"/>
    <n v="-125.50210440997262"/>
    <n v="0"/>
    <n v="0"/>
    <n v="0"/>
    <n v="0"/>
    <n v="0"/>
    <n v="0"/>
    <n v="0"/>
    <n v="-136.99522785777253"/>
    <n v="0"/>
    <n v="0"/>
    <n v="16.674809781769341"/>
    <n v="0"/>
    <n v="0"/>
    <n v="0"/>
    <n v="0.67712485999517469"/>
    <n v="0"/>
    <n v="-5.0157594339526099"/>
    <m/>
    <n v="0"/>
    <n v="0"/>
    <n v="0"/>
    <n v="0"/>
    <n v="-0.74707603048337745"/>
    <n v="-9.5975729528094966E-2"/>
    <n v="0"/>
    <n v="0"/>
    <m/>
    <m/>
    <m/>
    <n v="5708.3437650645847"/>
    <n v="0"/>
    <n v="0"/>
    <n v="-1829.6444499999998"/>
    <n v="16.662900000000036"/>
    <n v="0"/>
    <n v="0"/>
    <n v="-1687.47652484227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213"/>
    <s v="Regular"/>
    <s v="Verde"/>
    <s v="A4"/>
    <s v="Comercial"/>
    <s v="Não se aplica"/>
    <s v="Não se aplica"/>
    <s v="Não se aplica"/>
    <s v="Fora ponta"/>
    <s v="CATIVO"/>
    <x v="9"/>
    <n v="0"/>
    <n v="0"/>
    <n v="50.097000000000001"/>
    <n v="50.097000000000001"/>
    <n v="50.097000000000001"/>
    <n v="50.097000000000001"/>
    <m/>
    <n v="68.78"/>
    <n v="127.85"/>
    <m/>
    <n v="9850.5731100000012"/>
    <n v="9850.5731100000012"/>
    <n v="9989.3418000000001"/>
    <n v="0"/>
    <n v="2661.9199598332534"/>
    <n v="0"/>
    <n v="0"/>
    <n v="0"/>
    <n v="0"/>
    <n v="0"/>
    <n v="6404.7710073801509"/>
    <n v="0"/>
    <n v="0"/>
    <n v="0"/>
    <n v="0"/>
    <n v="0"/>
    <n v="473.1810646811436"/>
    <m/>
    <n v="50.3176328040645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0.08270729511173"/>
    <n v="0"/>
    <n v="0"/>
    <n v="0"/>
    <n v="0"/>
    <n v="0"/>
    <m/>
    <m/>
    <m/>
    <m/>
    <m/>
    <m/>
    <m/>
    <m/>
    <m/>
    <n v="6664.8537146752624"/>
    <m/>
    <m/>
    <m/>
    <m/>
    <m/>
    <m/>
    <m/>
    <m/>
    <m/>
    <m/>
    <m/>
    <m/>
    <n v="9989.94"/>
    <n v="139.33688999999868"/>
    <m/>
    <m/>
    <m/>
    <m/>
    <n v="-62.621250000000003"/>
    <n v="201.38994000000051"/>
    <n v="30"/>
    <n v="138.90735955716991"/>
    <n v="0"/>
    <n v="0"/>
    <n v="0"/>
    <n v="0"/>
    <n v="0"/>
    <n v="0"/>
    <n v="0"/>
    <n v="0"/>
    <n v="0"/>
    <n v="0"/>
    <n v="201.5338831453073"/>
    <n v="0"/>
    <n v="0"/>
    <n v="0"/>
    <n v="8.1838176384023882"/>
    <n v="0"/>
    <n v="-60.621109858317141"/>
    <m/>
    <n v="0"/>
    <n v="0"/>
    <n v="0"/>
    <n v="0"/>
    <n v="-9.02925642922213"/>
    <n v="-1.1599749390033622"/>
    <n v="0"/>
    <n v="0"/>
    <m/>
    <m/>
    <m/>
    <n v="0"/>
    <n v="0"/>
    <n v="0"/>
    <n v="-62.621249999999691"/>
    <n v="201.38994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214"/>
    <s v="Regular"/>
    <s v="Verde"/>
    <s v="A4"/>
    <s v="Comercial"/>
    <s v="Não se aplica"/>
    <s v="Não se aplica"/>
    <s v="Não se aplica"/>
    <s v="Não se aplica"/>
    <s v="CATIVO"/>
    <x v="9"/>
    <n v="195"/>
    <n v="195"/>
    <n v="0"/>
    <n v="0"/>
    <n v="0"/>
    <n v="0"/>
    <n v="39.56"/>
    <m/>
    <m/>
    <n v="7714.2000000000007"/>
    <m/>
    <n v="7714.2000000000007"/>
    <n v="6056.7"/>
    <n v="0"/>
    <n v="0"/>
    <n v="0"/>
    <n v="0"/>
    <n v="0"/>
    <n v="2568.2049510237507"/>
    <n v="5145.061757662261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02.47"/>
    <n v="934.54"/>
    <n v="6689.47"/>
    <n v="2"/>
    <m/>
    <m/>
    <m/>
    <m/>
    <m/>
    <m/>
    <m/>
    <m/>
    <m/>
    <n v="0"/>
    <m/>
    <m/>
    <m/>
    <m/>
    <m/>
    <m/>
    <m/>
    <m/>
    <m/>
    <m/>
    <m/>
    <m/>
    <n v="6056.7"/>
    <n v="-1657.5300000000016"/>
    <m/>
    <m/>
    <m/>
    <m/>
    <n v="-1657.5000000000007"/>
    <n v="0"/>
    <n v="30"/>
    <n v="-134.729868636226"/>
    <n v="0"/>
    <n v="0"/>
    <n v="0"/>
    <n v="0"/>
    <m/>
    <m/>
    <m/>
    <n v="-134.729868636226"/>
    <n v="0"/>
    <n v="0"/>
    <m/>
    <m/>
    <n v="0"/>
    <n v="0"/>
    <n v="0"/>
    <n v="0"/>
    <n v="0"/>
    <m/>
    <n v="0"/>
    <n v="0"/>
    <m/>
    <n v="0"/>
    <n v="0"/>
    <n v="0"/>
    <n v="0"/>
    <n v="0"/>
    <m/>
    <m/>
    <n v="5145.0617576622617"/>
    <m/>
    <n v="0"/>
    <n v="0"/>
    <n v="-1657.5000000000009"/>
    <m/>
    <n v="0"/>
    <m/>
    <n v="-1520.9614718816119"/>
    <m/>
    <n v="0"/>
    <n v="0"/>
    <m/>
    <n v="0"/>
    <n v="0"/>
    <n v="0"/>
    <n v="0"/>
    <n v="0"/>
    <m/>
    <m/>
    <n v="0"/>
    <n v="0"/>
    <m/>
    <n v="0"/>
    <m/>
    <n v="0"/>
    <m/>
    <n v="207"/>
    <m/>
    <m/>
    <m/>
    <m/>
    <n v="0"/>
    <m/>
    <m/>
    <m/>
    <m/>
    <n v="0"/>
    <n v="0"/>
    <n v="0"/>
    <n v="0"/>
  </r>
  <r>
    <n v="215"/>
    <s v="Regular"/>
    <s v="Convencional"/>
    <s v="B2"/>
    <s v="Rural"/>
    <s v="Não se aplica"/>
    <s v="Não se aplica"/>
    <s v="Não se aplica"/>
    <s v="Não se aplica"/>
    <s v="CATIVO"/>
    <x v="9"/>
    <n v="0"/>
    <n v="0"/>
    <n v="53.484000000000002"/>
    <n v="53.484000000000002"/>
    <n v="53.484000000000002"/>
    <n v="53.484000000000002"/>
    <m/>
    <n v="710.52"/>
    <n v="127.85"/>
    <m/>
    <n v="44839.381079999999"/>
    <n v="44839.381079999999"/>
    <n v="36834.965640000002"/>
    <n v="0"/>
    <n v="3266.539399351961"/>
    <n v="0"/>
    <n v="0"/>
    <n v="0"/>
    <n v="5848.071841096129"/>
    <n v="26643.979246466039"/>
    <n v="6837.7901383060862"/>
    <n v="0"/>
    <n v="0"/>
    <n v="0"/>
    <n v="0"/>
    <n v="0"/>
    <n v="505.17228703128501"/>
    <m/>
    <n v="122.519183917923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15.1201904332065"/>
    <n v="0"/>
    <n v="146.91999999999999"/>
    <n v="678.92"/>
    <n v="0"/>
    <n v="36"/>
    <m/>
    <m/>
    <m/>
    <m/>
    <m/>
    <n v="4419.917760000003"/>
    <m/>
    <m/>
    <m/>
    <n v="8452.9103287392936"/>
    <m/>
    <m/>
    <m/>
    <m/>
    <m/>
    <m/>
    <m/>
    <m/>
    <m/>
    <m/>
    <m/>
    <m/>
    <n v="32412.623599999995"/>
    <n v="-7046.2970800000076"/>
    <m/>
    <m/>
    <m/>
    <m/>
    <n v="-8219.4211199999972"/>
    <n v="215.00568000000055"/>
    <n v="30"/>
    <n v="-127.66749946113487"/>
    <n v="0"/>
    <n v="0"/>
    <n v="0"/>
    <n v="0"/>
    <n v="0"/>
    <n v="0"/>
    <n v="0"/>
    <n v="-306.79403161031405"/>
    <n v="0"/>
    <n v="0"/>
    <n v="215.15935497422197"/>
    <n v="0"/>
    <n v="0"/>
    <n v="0"/>
    <n v="50.821714523332275"/>
    <n v="0"/>
    <n v="-74.390382420447622"/>
    <m/>
    <n v="0"/>
    <n v="0"/>
    <n v="0"/>
    <n v="0"/>
    <n v="-9.6397139721044596"/>
    <n v="-2.8244409558243859"/>
    <n v="0"/>
    <n v="0"/>
    <m/>
    <m/>
    <m/>
    <n v="26643.979246466039"/>
    <n v="0"/>
    <n v="0"/>
    <n v="-8219.4211199999954"/>
    <n v="215.00568000000021"/>
    <n v="0"/>
    <n v="0"/>
    <n v="-7876.38084832258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216"/>
    <s v="Sistema de Compensação"/>
    <s v="Convencional"/>
    <s v="B2"/>
    <s v="Rural"/>
    <s v="Não se aplica"/>
    <s v="Não se aplica"/>
    <s v="Não se aplica"/>
    <s v="Não se aplica"/>
    <s v="CATIVO"/>
    <x v="9"/>
    <n v="0"/>
    <n v="0"/>
    <n v="0.42"/>
    <n v="0.42"/>
    <n v="0.42"/>
    <n v="0.42"/>
    <m/>
    <n v="710.52"/>
    <n v="127.85"/>
    <m/>
    <n v="352.11539999999997"/>
    <n v="352.11539999999997"/>
    <n v="289.25819999999999"/>
    <n v="0"/>
    <n v="25.651532191455829"/>
    <n v="0"/>
    <n v="0"/>
    <n v="0"/>
    <n v="45.923830926265317"/>
    <n v="209.23026107837362"/>
    <n v="53.695906403570334"/>
    <n v="0"/>
    <n v="0"/>
    <n v="0"/>
    <n v="0"/>
    <n v="0"/>
    <n v="3.9670249149865322"/>
    <m/>
    <n v="0.962120582707502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.683241342867898"/>
    <n v="0"/>
    <n v="0.79"/>
    <n v="3.7"/>
    <n v="0"/>
    <n v="2"/>
    <m/>
    <m/>
    <m/>
    <m/>
    <m/>
    <n v="34.708800000000025"/>
    <m/>
    <m/>
    <m/>
    <n v="66.379147746438235"/>
    <m/>
    <m/>
    <m/>
    <m/>
    <m/>
    <m/>
    <m/>
    <m/>
    <m/>
    <m/>
    <m/>
    <m/>
    <n v="254.54939999999999"/>
    <n v="-55.343999999999937"/>
    <m/>
    <m/>
    <m/>
    <m/>
    <n v="-64.545599999999979"/>
    <n v="1.6884000000000043"/>
    <n v="30"/>
    <n v="-1.0025493563248347"/>
    <n v="0"/>
    <n v="0"/>
    <n v="0"/>
    <n v="0"/>
    <n v="0"/>
    <n v="0"/>
    <n v="0"/>
    <n v="-2.4091970173571937"/>
    <n v="0"/>
    <n v="0"/>
    <n v="1.6896067812649278"/>
    <n v="0"/>
    <n v="0"/>
    <n v="0"/>
    <n v="0.39909356255701844"/>
    <n v="0"/>
    <n v="-0.58417397009550598"/>
    <m/>
    <n v="0"/>
    <n v="0"/>
    <n v="0"/>
    <n v="0"/>
    <n v="-7.5698898143068405E-2"/>
    <n v="-2.2179814551010368E-2"/>
    <n v="0"/>
    <n v="0"/>
    <m/>
    <m/>
    <m/>
    <n v="209.23026107837362"/>
    <n v="0"/>
    <n v="0"/>
    <n v="-64.545599999999951"/>
    <n v="1.6884000000000015"/>
    <n v="0"/>
    <n v="0"/>
    <n v="-61.8517679361208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217"/>
    <s v="Regular"/>
    <s v="Convencional"/>
    <s v="B3"/>
    <s v="Poder público"/>
    <s v="Não se aplica"/>
    <s v="Não se aplica"/>
    <s v="Não se aplica"/>
    <s v="Não se aplica"/>
    <s v="CATIVO"/>
    <x v="9"/>
    <n v="0"/>
    <n v="0"/>
    <n v="11.122"/>
    <n v="11.122"/>
    <n v="11.122"/>
    <n v="11.122"/>
    <m/>
    <n v="710.52"/>
    <n v="127.85"/>
    <m/>
    <n v="9324.3511400000007"/>
    <n v="9324.3511400000007"/>
    <n v="7659.832620000001"/>
    <n v="0"/>
    <n v="679.27700246040888"/>
    <n v="0"/>
    <n v="0"/>
    <n v="0"/>
    <n v="1216.10677990934"/>
    <n v="5540.6165802706464"/>
    <n v="1421.918740525022"/>
    <n v="0"/>
    <n v="0"/>
    <n v="0"/>
    <n v="0"/>
    <n v="0"/>
    <n v="105.05059786781003"/>
    <m/>
    <n v="25.477869335411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5.86431003661136"/>
    <n v="0"/>
    <n v="25.9"/>
    <n v="119.92"/>
    <n v="2018.49"/>
    <n v="18"/>
    <m/>
    <m/>
    <m/>
    <m/>
    <m/>
    <m/>
    <m/>
    <m/>
    <m/>
    <n v="1757.7830505616334"/>
    <m/>
    <m/>
    <m/>
    <m/>
    <m/>
    <m/>
    <m/>
    <m/>
    <m/>
    <m/>
    <m/>
    <m/>
    <n v="7658.4552000000003"/>
    <n v="-1665.925940000001"/>
    <m/>
    <m/>
    <m/>
    <m/>
    <n v="-1709.2289599999995"/>
    <n v="44.710440000000112"/>
    <n v="30"/>
    <n v="-26.548461764392414"/>
    <n v="0"/>
    <n v="0"/>
    <n v="0"/>
    <n v="0"/>
    <n v="0"/>
    <n v="0"/>
    <n v="0"/>
    <n v="-63.797831492968271"/>
    <n v="0"/>
    <n v="0"/>
    <n v="44.742396717210795"/>
    <n v="0"/>
    <n v="0"/>
    <n v="0"/>
    <n v="10.568377625617075"/>
    <n v="0"/>
    <n v="-15.469483084291028"/>
    <m/>
    <n v="0"/>
    <n v="0"/>
    <n v="0"/>
    <n v="0"/>
    <n v="-2.004578917017156"/>
    <n v="-0.58734261294366163"/>
    <n v="0"/>
    <n v="0"/>
    <m/>
    <m/>
    <m/>
    <n v="5540.6165802706464"/>
    <n v="0"/>
    <n v="0"/>
    <n v="-1709.2289599999995"/>
    <n v="44.710440000000062"/>
    <n v="0"/>
    <n v="0"/>
    <n v="-1637.89372139413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218"/>
    <s v="Regular"/>
    <s v="Convencional"/>
    <s v="B4"/>
    <s v="Iluminação pública"/>
    <s v="Iluminação pública – B4a"/>
    <s v="Não se aplica"/>
    <s v="Não se aplica"/>
    <s v="Não se aplica"/>
    <s v="CATIVO"/>
    <x v="9"/>
    <n v="0"/>
    <n v="0"/>
    <n v="41.695"/>
    <n v="41.695"/>
    <n v="41.695"/>
    <n v="41.695"/>
    <m/>
    <n v="390.79"/>
    <n v="70.319999999999993"/>
    <m/>
    <n v="19225.981449999999"/>
    <n v="19225.981449999999"/>
    <n v="15793.64905"/>
    <n v="0"/>
    <n v="1400.5889264226512"/>
    <n v="0"/>
    <n v="0"/>
    <n v="0"/>
    <n v="2507.4685041877287"/>
    <n v="11424.096796701268"/>
    <n v="2931.828451483992"/>
    <n v="0"/>
    <n v="0"/>
    <n v="0"/>
    <n v="0"/>
    <n v="0"/>
    <n v="216.60192168261881"/>
    <m/>
    <n v="52.5323565066528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692.51252686900784"/>
    <n v="0"/>
    <n v="62.15"/>
    <n v="287.75"/>
    <n v="4843.08"/>
    <n v="36"/>
    <m/>
    <m/>
    <m/>
    <m/>
    <m/>
    <m/>
    <m/>
    <m/>
    <m/>
    <n v="3624.3409783529996"/>
    <m/>
    <m/>
    <m/>
    <m/>
    <m/>
    <m/>
    <m/>
    <m/>
    <m/>
    <m/>
    <m/>
    <m/>
    <n v="15795.543000000001"/>
    <n v="-3430.4684499999967"/>
    <m/>
    <m/>
    <m/>
    <m/>
    <n v="-3524.4783500000012"/>
    <n v="92.145950000000326"/>
    <n v="30"/>
    <n v="-54.739791610913926"/>
    <n v="0"/>
    <n v="0"/>
    <n v="0"/>
    <n v="0"/>
    <n v="0"/>
    <n v="0"/>
    <n v="0"/>
    <n v="-131.54359119354649"/>
    <n v="0"/>
    <n v="0"/>
    <n v="92.253535975386967"/>
    <n v="0"/>
    <n v="0"/>
    <n v="0"/>
    <n v="21.790746071301214"/>
    <n v="0"/>
    <n v="-31.896246489819532"/>
    <m/>
    <n v="0"/>
    <n v="0"/>
    <n v="0"/>
    <n v="0"/>
    <n v="-4.1332048974796578"/>
    <n v="-1.2110310767557024"/>
    <n v="0"/>
    <n v="0"/>
    <m/>
    <m/>
    <m/>
    <n v="11424.096796701268"/>
    <n v="0"/>
    <n v="0"/>
    <n v="-3524.4783500000012"/>
    <n v="92.145950000000539"/>
    <n v="0"/>
    <n v="0"/>
    <n v="-3377.1433458407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219"/>
    <s v="Regular"/>
    <s v="Convencional"/>
    <s v="B3"/>
    <s v="Serviço público"/>
    <s v="Água, esgoto e saneamento"/>
    <s v="Não se aplica"/>
    <s v="Não se aplica"/>
    <s v="Não se aplica"/>
    <s v="CATIVO"/>
    <x v="9"/>
    <n v="0"/>
    <n v="0"/>
    <n v="8.6999999999999993"/>
    <n v="8.1780000000000008"/>
    <n v="8.6999999999999993"/>
    <n v="8.1780000000000008"/>
    <m/>
    <n v="710.52"/>
    <n v="127.85"/>
    <m/>
    <n v="7293.8189999999995"/>
    <n v="7293.8189999999995"/>
    <n v="5991.777"/>
    <n v="0"/>
    <n v="531.35316682301357"/>
    <n v="0"/>
    <n v="0"/>
    <n v="0"/>
    <n v="951.27935490121013"/>
    <n v="4334.0554080520251"/>
    <n v="1112.2723469310997"/>
    <n v="0"/>
    <n v="0"/>
    <n v="0"/>
    <n v="0"/>
    <n v="0"/>
    <n v="82.174087524721017"/>
    <m/>
    <n v="19.9296406417982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2.72428495940648"/>
    <n v="0"/>
    <n v="48.75"/>
    <n v="225.03"/>
    <n v="1567.63"/>
    <n v="1"/>
    <m/>
    <m/>
    <m/>
    <m/>
    <n v="359.50661999999897"/>
    <m/>
    <m/>
    <m/>
    <m/>
    <n v="1374.9966318905063"/>
    <m/>
    <m/>
    <m/>
    <m/>
    <m/>
    <m/>
    <m/>
    <m/>
    <m/>
    <m/>
    <m/>
    <m/>
    <n v="5633.6478000000006"/>
    <n v="-1222.5720600000004"/>
    <m/>
    <m/>
    <m/>
    <m/>
    <n v="-1337.0159999999994"/>
    <n v="34.974000000000089"/>
    <n v="30"/>
    <n v="-20.767093809585731"/>
    <n v="0"/>
    <n v="0"/>
    <n v="0"/>
    <n v="0"/>
    <n v="0"/>
    <n v="0"/>
    <n v="0"/>
    <n v="-49.904795359541936"/>
    <n v="0"/>
    <n v="0"/>
    <n v="34.998997611916366"/>
    <n v="0"/>
    <n v="0"/>
    <n v="0"/>
    <n v="8.2669380815382283"/>
    <n v="0"/>
    <n v="-12.100746523406883"/>
    <m/>
    <n v="0"/>
    <n v="0"/>
    <n v="0"/>
    <n v="0"/>
    <n v="-1.568048604392132"/>
    <n v="-0.45943901569950185"/>
    <n v="0"/>
    <n v="0"/>
    <m/>
    <m/>
    <m/>
    <n v="4334.0554080520251"/>
    <n v="0"/>
    <n v="0"/>
    <n v="-1337.0159999999996"/>
    <n v="34.97400000000016"/>
    <n v="0"/>
    <n v="0"/>
    <n v="-1281.21519296250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220"/>
    <s v="Regular"/>
    <s v="Convencional"/>
    <s v="B1"/>
    <s v="Residencial"/>
    <s v="Residencial"/>
    <s v="Não se aplica"/>
    <s v="Não se aplica"/>
    <s v="Não se aplica"/>
    <s v="CATIVO"/>
    <x v="10"/>
    <n v="0"/>
    <n v="0"/>
    <n v="863.79399999999998"/>
    <n v="863.79399999999998"/>
    <n v="863.79399999999998"/>
    <n v="863.79399999999998"/>
    <m/>
    <n v="710.52"/>
    <n v="127.85"/>
    <m/>
    <n v="724178.97577999998"/>
    <n v="724178.97577999998"/>
    <n v="594903.56573999999"/>
    <n v="0"/>
    <n v="52756.284756634275"/>
    <n v="0"/>
    <n v="0"/>
    <n v="0"/>
    <n v="94449.356216958156"/>
    <n v="430313.91461412539"/>
    <n v="110433.81375229913"/>
    <n v="0"/>
    <n v="0"/>
    <n v="0"/>
    <n v="0"/>
    <n v="0"/>
    <n v="8158.7912367044682"/>
    <m/>
    <n v="1978.7475871886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085.01850600294"/>
    <n v="0"/>
    <n v="3001.22"/>
    <n v="13972.02"/>
    <n v="139908.23000000001"/>
    <n v="5564"/>
    <m/>
    <m/>
    <m/>
    <m/>
    <m/>
    <m/>
    <m/>
    <m/>
    <m/>
    <n v="136518.83225830208"/>
    <m/>
    <m/>
    <m/>
    <m/>
    <m/>
    <m/>
    <m/>
    <m/>
    <m/>
    <m/>
    <m/>
    <m/>
    <n v="594900.81090000004"/>
    <n v="-129278.19487999997"/>
    <m/>
    <m/>
    <m/>
    <m/>
    <n v="-132747.86191999997"/>
    <n v="3472.4518800000087"/>
    <n v="31"/>
    <n v="-2061.8955207076506"/>
    <n v="0"/>
    <n v="0"/>
    <n v="0"/>
    <n v="0"/>
    <n v="0"/>
    <n v="0"/>
    <n v="0"/>
    <n v="-4954.8807819310605"/>
    <n v="0"/>
    <n v="0"/>
    <n v="3474.9338095618004"/>
    <n v="0"/>
    <n v="0"/>
    <n v="0"/>
    <n v="820.79672565565852"/>
    <n v="0"/>
    <n v="-1201.4427864873287"/>
    <m/>
    <n v="0"/>
    <n v="0"/>
    <n v="0"/>
    <n v="0"/>
    <n v="-155.68631910141357"/>
    <n v="-45.616168405417739"/>
    <n v="0"/>
    <n v="0"/>
    <m/>
    <m/>
    <m/>
    <n v="430313.91461412539"/>
    <n v="0"/>
    <n v="0"/>
    <n v="-132747.86191999994"/>
    <n v="3472.4518800000078"/>
    <n v="0"/>
    <n v="0"/>
    <n v="-127207.585791936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221"/>
    <s v="Refaturamento - Regular"/>
    <s v="Convencional"/>
    <s v="B1"/>
    <s v="Residencial"/>
    <s v="Residencial"/>
    <s v="Não se aplica"/>
    <s v="Não se aplica"/>
    <s v="Não se aplica"/>
    <s v="CATIVO"/>
    <x v="10"/>
    <n v="0"/>
    <n v="0"/>
    <n v="2.9000000000000001E-2"/>
    <n v="2.9000000000000001E-2"/>
    <n v="2.9000000000000001E-2"/>
    <n v="2.9000000000000001E-2"/>
    <m/>
    <n v="710.52"/>
    <n v="127.85"/>
    <m/>
    <n v="24.312730000000002"/>
    <n v="24.312730000000002"/>
    <n v="19.97259"/>
    <n v="0"/>
    <n v="1.7711772227433789"/>
    <n v="0"/>
    <n v="0"/>
    <n v="0"/>
    <n v="3.1709311830040341"/>
    <n v="14.446851360173419"/>
    <n v="3.7075744897703329"/>
    <n v="0"/>
    <n v="0"/>
    <n v="0"/>
    <n v="0"/>
    <n v="0"/>
    <n v="0.27391362508240341"/>
    <m/>
    <n v="6.643213547266088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87574761653135502"/>
    <n v="0"/>
    <n v="0.04"/>
    <n v="0.22"/>
    <n v="3.91"/>
    <n v="0"/>
    <m/>
    <m/>
    <m/>
    <m/>
    <m/>
    <m/>
    <m/>
    <m/>
    <m/>
    <n v="4.5833221063016882"/>
    <m/>
    <m/>
    <m/>
    <m/>
    <m/>
    <m/>
    <m/>
    <m/>
    <m/>
    <m/>
    <m/>
    <m/>
    <n v="20.661300000000001"/>
    <n v="-3.681430000000006"/>
    <m/>
    <m/>
    <m/>
    <m/>
    <n v="-4.4567199999999989"/>
    <n v="0.11658000000000031"/>
    <n v="31"/>
    <n v="-6.9223646031954189E-2"/>
    <n v="0"/>
    <n v="0"/>
    <n v="0"/>
    <n v="0"/>
    <n v="0"/>
    <n v="0"/>
    <n v="0"/>
    <n v="-0.16634931786513985"/>
    <n v="0"/>
    <n v="0"/>
    <n v="0.11666332537305468"/>
    <n v="0"/>
    <n v="0"/>
    <n v="0"/>
    <n v="2.7556460271794148E-2"/>
    <n v="0"/>
    <n v="-4.0335821744689859E-2"/>
    <m/>
    <n v="0"/>
    <n v="0"/>
    <n v="0"/>
    <n v="0"/>
    <n v="-5.226828681307083E-3"/>
    <n v="-1.5314633856649967E-3"/>
    <n v="0"/>
    <n v="0"/>
    <m/>
    <m/>
    <m/>
    <n v="14.446851360173419"/>
    <n v="0"/>
    <n v="0"/>
    <n v="-4.4567200000000007"/>
    <n v="0.11658000000000035"/>
    <n v="0"/>
    <n v="0"/>
    <n v="-4.27071730987500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222"/>
    <s v="Sistema de Compensação"/>
    <s v="Convencional"/>
    <s v="B1"/>
    <s v="Residencial"/>
    <s v="Residencial"/>
    <s v="Não se aplica"/>
    <s v="Não se aplica"/>
    <s v="Não se aplica"/>
    <s v="CATIVO"/>
    <x v="10"/>
    <n v="0"/>
    <n v="0"/>
    <n v="2.11"/>
    <n v="2.11"/>
    <n v="2.11"/>
    <n v="2.11"/>
    <m/>
    <n v="710.52"/>
    <n v="127.85"/>
    <m/>
    <n v="1768.9606999999999"/>
    <n v="1768.9606999999999"/>
    <n v="1453.1780999999999"/>
    <n v="0"/>
    <n v="128.86841172374238"/>
    <n v="0"/>
    <n v="0"/>
    <n v="0"/>
    <n v="230.71257917719004"/>
    <n v="1051.1329782746866"/>
    <n v="269.75800597984147"/>
    <n v="0"/>
    <n v="0"/>
    <n v="0"/>
    <n v="0"/>
    <n v="0"/>
    <n v="19.929577549099005"/>
    <m/>
    <n v="4.83351054645911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63.718188651074442"/>
    <n v="0"/>
    <n v="6.32"/>
    <n v="29.37"/>
    <n v="914.94"/>
    <n v="20"/>
    <m/>
    <m/>
    <m/>
    <m/>
    <m/>
    <m/>
    <m/>
    <m/>
    <m/>
    <n v="333.47619463091593"/>
    <m/>
    <m/>
    <m/>
    <m/>
    <m/>
    <m/>
    <m/>
    <m/>
    <m/>
    <m/>
    <m/>
    <m/>
    <n v="1453.1780999999999"/>
    <n v="-315.81259999999997"/>
    <m/>
    <m/>
    <m/>
    <m/>
    <n v="-324.26479999999987"/>
    <n v="8.4822000000000219"/>
    <n v="31"/>
    <n v="-5.0366170043937473"/>
    <n v="0"/>
    <n v="0"/>
    <n v="0"/>
    <n v="0"/>
    <n v="0"/>
    <n v="0"/>
    <n v="0"/>
    <n v="-12.103346920532573"/>
    <n v="0"/>
    <n v="0"/>
    <n v="8.4882626392118823"/>
    <n v="0"/>
    <n v="0"/>
    <n v="0"/>
    <n v="2.0049700404650252"/>
    <n v="0"/>
    <n v="-2.9347787545274286"/>
    <m/>
    <n v="0"/>
    <n v="0"/>
    <n v="0"/>
    <n v="0"/>
    <n v="-0.38029684543303333"/>
    <n v="-0.11142716357769444"/>
    <n v="0"/>
    <n v="0"/>
    <m/>
    <m/>
    <m/>
    <n v="1051.1329782746866"/>
    <n v="0"/>
    <n v="0"/>
    <n v="-324.26479999999992"/>
    <n v="8.4822000000000344"/>
    <n v="0"/>
    <n v="0"/>
    <n v="-310.731500821940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223"/>
    <s v="Regular"/>
    <s v="Convencional"/>
    <s v="B1"/>
    <s v="Residencial"/>
    <s v="Residencial baixa renda – faixa 01"/>
    <s v="Não se aplica"/>
    <s v="Não se aplica"/>
    <s v="Não se aplica"/>
    <s v="CATIVO"/>
    <x v="10"/>
    <n v="0"/>
    <n v="0"/>
    <n v="20.91"/>
    <n v="20.91"/>
    <n v="20.91"/>
    <n v="20.91"/>
    <m/>
    <n v="640"/>
    <n v="127.85"/>
    <m/>
    <n v="16055.7435"/>
    <n v="16055.7435"/>
    <n v="12959.1816"/>
    <n v="0"/>
    <n v="0"/>
    <n v="0"/>
    <n v="0"/>
    <n v="0"/>
    <n v="2286.3507254004949"/>
    <n v="10416.677997973316"/>
    <n v="2673.2890545206092"/>
    <n v="0"/>
    <n v="0"/>
    <n v="0"/>
    <n v="0"/>
    <n v="0"/>
    <n v="0"/>
    <m/>
    <n v="47.8998604390806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631.44422971278038"/>
    <n v="0"/>
    <n v="79.5"/>
    <n v="367.05"/>
    <n v="2028.81"/>
    <n v="69"/>
    <m/>
    <m/>
    <m/>
    <m/>
    <m/>
    <m/>
    <m/>
    <n v="8423.593499999999"/>
    <m/>
    <n v="3304.7332842333894"/>
    <m/>
    <m/>
    <m/>
    <m/>
    <m/>
    <m/>
    <m/>
    <m/>
    <m/>
    <m/>
    <m/>
    <m/>
    <n v="4535.5880999999999"/>
    <n v="-1084.0044000000007"/>
    <m/>
    <m/>
    <m/>
    <m/>
    <n v="-3180.6201000000001"/>
    <n v="84.058200000000213"/>
    <n v="31"/>
    <n v="-17.060393728294912"/>
    <n v="0"/>
    <n v="0"/>
    <n v="0"/>
    <n v="0"/>
    <n v="0"/>
    <n v="0"/>
    <n v="0"/>
    <n v="-119.94359436414061"/>
    <n v="0"/>
    <n v="0"/>
    <n v="84.118280467260774"/>
    <n v="0"/>
    <n v="0"/>
    <n v="0"/>
    <n v="19.86915807873163"/>
    <n v="0"/>
    <n v="0"/>
    <m/>
    <n v="0"/>
    <n v="0"/>
    <n v="0"/>
    <n v="0"/>
    <n v="0"/>
    <n v="-1.104237910146729"/>
    <n v="0"/>
    <n v="0"/>
    <m/>
    <m/>
    <m/>
    <n v="10416.677997973316"/>
    <n v="0"/>
    <n v="0"/>
    <n v="-3180.6201000000001"/>
    <n v="84.058199999999943"/>
    <n v="0"/>
    <n v="0"/>
    <n v="-3079.33444653401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224"/>
    <s v="Regular"/>
    <s v="Convencional"/>
    <s v="B1"/>
    <s v="Residencial"/>
    <s v="Residencial baixa renda – faixa 02"/>
    <s v="Não se aplica"/>
    <s v="Não se aplica"/>
    <s v="Não se aplica"/>
    <s v="CATIVO"/>
    <x v="10"/>
    <n v="0"/>
    <n v="0"/>
    <n v="38.4"/>
    <n v="38.4"/>
    <n v="38.4"/>
    <n v="38.4"/>
    <m/>
    <n v="640"/>
    <n v="127.85"/>
    <m/>
    <n v="29485.439999999999"/>
    <n v="29485.439999999999"/>
    <n v="23798.784"/>
    <n v="0"/>
    <n v="0"/>
    <n v="0"/>
    <n v="0"/>
    <n v="0"/>
    <n v="4198.7502561156862"/>
    <n v="19129.623870022733"/>
    <n v="4909.3400140407166"/>
    <n v="0"/>
    <n v="0"/>
    <n v="0"/>
    <n v="0"/>
    <n v="0"/>
    <n v="0"/>
    <m/>
    <n v="87.9653104189716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59.6106370622078"/>
    <n v="0"/>
    <n v="143.82"/>
    <n v="678.29"/>
    <n v="4722.67"/>
    <n v="175"/>
    <m/>
    <m/>
    <m/>
    <m/>
    <m/>
    <m/>
    <m/>
    <n v="9519.3599999999988"/>
    <m/>
    <n v="6068.9506511029249"/>
    <m/>
    <m/>
    <m/>
    <m/>
    <m/>
    <m/>
    <m/>
    <m/>
    <m/>
    <m/>
    <m/>
    <m/>
    <n v="14279.424000000001"/>
    <n v="-3411.8699999999972"/>
    <m/>
    <m/>
    <m/>
    <m/>
    <n v="-5841.0240000000003"/>
    <n v="154.36800000000039"/>
    <n v="31"/>
    <n v="-31.330421767888765"/>
    <n v="0"/>
    <n v="0"/>
    <n v="0"/>
    <n v="0"/>
    <n v="0"/>
    <n v="0"/>
    <n v="0"/>
    <n v="-220.26944158694369"/>
    <n v="0"/>
    <n v="0"/>
    <n v="154.47833428707872"/>
    <n v="0"/>
    <n v="0"/>
    <n v="0"/>
    <n v="36.488554290927368"/>
    <n v="0"/>
    <n v="0"/>
    <m/>
    <n v="0"/>
    <n v="0"/>
    <n v="0"/>
    <n v="0"/>
    <n v="0"/>
    <n v="-2.0278687589495235"/>
    <n v="0"/>
    <n v="0"/>
    <m/>
    <m/>
    <m/>
    <n v="19129.623870022733"/>
    <n v="0"/>
    <n v="0"/>
    <n v="-5841.0240000000013"/>
    <n v="154.36800000000039"/>
    <n v="0"/>
    <n v="0"/>
    <n v="-5655.01878273104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225"/>
    <s v="Regular"/>
    <s v="Convencional"/>
    <s v="B1"/>
    <s v="Residencial"/>
    <s v="Residencial baixa renda – faixa 03"/>
    <s v="Não se aplica"/>
    <s v="Não se aplica"/>
    <s v="Não se aplica"/>
    <s v="CATIVO"/>
    <x v="10"/>
    <n v="0"/>
    <n v="0"/>
    <n v="32.121000000000002"/>
    <n v="32.121000000000002"/>
    <n v="32.121000000000002"/>
    <n v="32.121000000000002"/>
    <m/>
    <n v="640"/>
    <n v="127.85"/>
    <m/>
    <n v="24664.109850000001"/>
    <n v="24664.109850000001"/>
    <n v="19907.310960000003"/>
    <n v="0"/>
    <n v="0"/>
    <n v="0"/>
    <n v="0"/>
    <n v="0"/>
    <n v="3512.1889837680201"/>
    <n v="16001.631466901048"/>
    <n v="4106.5862133073406"/>
    <n v="0"/>
    <n v="0"/>
    <n v="0"/>
    <n v="0"/>
    <n v="0"/>
    <n v="0"/>
    <m/>
    <n v="73.5816077074944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969.99617898633289"/>
    <n v="0"/>
    <n v="122.31"/>
    <n v="567.79999999999995"/>
    <n v="5596.43"/>
    <n v="333"/>
    <m/>
    <m/>
    <m/>
    <m/>
    <m/>
    <m/>
    <m/>
    <n v="1990.8595799999989"/>
    <m/>
    <n v="5076.5823922936734"/>
    <m/>
    <m/>
    <m/>
    <m/>
    <m/>
    <m/>
    <m/>
    <m/>
    <m/>
    <m/>
    <m/>
    <m/>
    <n v="17915.893599999999"/>
    <n v="-4281.6746599999969"/>
    <m/>
    <m/>
    <m/>
    <m/>
    <n v="-4885.9253100000005"/>
    <n v="129.12642000000034"/>
    <n v="31"/>
    <n v="-26.207408270996893"/>
    <n v="0"/>
    <n v="0"/>
    <n v="0"/>
    <n v="0"/>
    <n v="0"/>
    <n v="0"/>
    <n v="0"/>
    <n v="-184.25194617745365"/>
    <n v="0"/>
    <n v="0"/>
    <n v="129.21871290716808"/>
    <n v="0"/>
    <n v="0"/>
    <n v="0"/>
    <n v="30.522105530699946"/>
    <n v="0"/>
    <n v="0"/>
    <m/>
    <n v="0"/>
    <n v="0"/>
    <n v="0"/>
    <n v="0"/>
    <n v="0"/>
    <n v="-1.6962805314119151"/>
    <n v="0"/>
    <n v="0"/>
    <m/>
    <m/>
    <m/>
    <n v="16001.631466901048"/>
    <n v="0"/>
    <n v="0"/>
    <n v="-4885.9253100000024"/>
    <n v="129.12642000000051"/>
    <n v="0"/>
    <n v="0"/>
    <n v="-4730.334852086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226"/>
    <s v="Regular"/>
    <s v="Convencional"/>
    <s v="B1"/>
    <s v="Residencial"/>
    <s v="Residencial baixa renda – faixa 04"/>
    <s v="Não se aplica"/>
    <s v="Não se aplica"/>
    <s v="Não se aplica"/>
    <s v="CATIVO"/>
    <x v="10"/>
    <n v="0"/>
    <n v="0"/>
    <n v="12.082000000000001"/>
    <n v="12.082000000000001"/>
    <n v="12.082000000000001"/>
    <n v="12.082000000000001"/>
    <m/>
    <n v="640"/>
    <n v="127.85"/>
    <m/>
    <n v="9277.163700000001"/>
    <n v="9277.163700000001"/>
    <n v="7487.9403200000006"/>
    <n v="0"/>
    <n v="0"/>
    <n v="0"/>
    <n v="0"/>
    <n v="0"/>
    <n v="1321.0755363122323"/>
    <n v="6018.8571770212156"/>
    <n v="1544.6522408760402"/>
    <n v="0"/>
    <n v="0"/>
    <n v="0"/>
    <n v="0"/>
    <n v="0"/>
    <n v="0"/>
    <m/>
    <n v="27.6770020958858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64.85457596316661"/>
    <n v="0"/>
    <n v="41.23"/>
    <n v="189.84"/>
    <n v="2850.5"/>
    <n v="120"/>
    <m/>
    <m/>
    <m/>
    <m/>
    <m/>
    <m/>
    <m/>
    <m/>
    <m/>
    <n v="1909.5068168392067"/>
    <m/>
    <m/>
    <m/>
    <m/>
    <m/>
    <m/>
    <m/>
    <m/>
    <m/>
    <m/>
    <m/>
    <m/>
    <n v="7486.7007999999996"/>
    <n v="-1790.492900000002"/>
    <m/>
    <m/>
    <m/>
    <m/>
    <n v="-1837.7930200000003"/>
    <n v="48.569640000000128"/>
    <n v="31"/>
    <n v="-9.857660307281094"/>
    <n v="0"/>
    <n v="0"/>
    <n v="0"/>
    <n v="0"/>
    <n v="0"/>
    <n v="0"/>
    <n v="0"/>
    <n v="-69.30456753264184"/>
    <n v="0"/>
    <n v="0"/>
    <n v="48.60435507438774"/>
    <n v="0"/>
    <n v="0"/>
    <n v="0"/>
    <n v="11.48059148289019"/>
    <n v="0"/>
    <n v="0"/>
    <m/>
    <n v="0"/>
    <n v="0"/>
    <n v="0"/>
    <n v="0"/>
    <n v="0"/>
    <n v="-0.63803933191739759"/>
    <n v="0"/>
    <n v="0"/>
    <m/>
    <m/>
    <m/>
    <n v="6018.8571770212156"/>
    <n v="0"/>
    <n v="0"/>
    <n v="-1837.7930200000001"/>
    <n v="48.569640000000163"/>
    <n v="0"/>
    <n v="0"/>
    <n v="-1779.26919096240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227"/>
    <s v="Sistema de Compensação"/>
    <s v="Branca"/>
    <s v="B1"/>
    <s v="Residencial"/>
    <s v="Residencial"/>
    <s v="Não se aplica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0.71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7"/>
    <m/>
    <m/>
    <m/>
    <m/>
    <n v="0"/>
    <m/>
    <m/>
    <m/>
    <m/>
    <n v="0"/>
    <n v="0"/>
    <n v="0"/>
    <n v="0"/>
  </r>
  <r>
    <n v="228"/>
    <s v="Regular"/>
    <s v="Verde"/>
    <s v="A4"/>
    <s v="Industrial"/>
    <s v="Não se aplica"/>
    <s v="Não se aplica"/>
    <s v="Não se aplica"/>
    <s v="Ponta"/>
    <s v="CATIVO"/>
    <x v="10"/>
    <n v="0"/>
    <n v="0"/>
    <n v="1.4730000000000001"/>
    <n v="1.4730000000000001"/>
    <n v="1.4730000000000001"/>
    <n v="1.4730000000000001"/>
    <m/>
    <n v="2075.9499999999998"/>
    <n v="127.85"/>
    <m/>
    <n v="3246.1974"/>
    <n v="3246.1974"/>
    <n v="2601.92193"/>
    <n v="0"/>
    <n v="78.268321473029971"/>
    <n v="0"/>
    <n v="0"/>
    <n v="0"/>
    <n v="928.00313537866464"/>
    <n v="2028.5622113245197"/>
    <n v="188.31921460109314"/>
    <n v="0"/>
    <n v="0"/>
    <n v="0"/>
    <n v="0"/>
    <n v="0"/>
    <n v="13.912923094702768"/>
    <m/>
    <n v="1.4794872571289124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6472009869992128"/>
    <n v="0"/>
    <n v="0"/>
    <n v="0"/>
    <n v="0"/>
    <n v="0"/>
    <m/>
    <m/>
    <m/>
    <m/>
    <m/>
    <m/>
    <m/>
    <m/>
    <m/>
    <n v="195.96641558809236"/>
    <m/>
    <m/>
    <m/>
    <m/>
    <m/>
    <m/>
    <m/>
    <m/>
    <m/>
    <m/>
    <m/>
    <m/>
    <n v="2596.6226999999999"/>
    <n v="-649.60470000000078"/>
    <m/>
    <m/>
    <m/>
    <m/>
    <n v="-650.19692999999984"/>
    <n v="5.9214600000000157"/>
    <n v="31"/>
    <n v="-44.59942093990071"/>
    <n v="0"/>
    <n v="0"/>
    <n v="0"/>
    <n v="0"/>
    <n v="0"/>
    <n v="0"/>
    <n v="0"/>
    <n v="-48.683708235102131"/>
    <n v="0"/>
    <n v="0"/>
    <n v="5.9256923542934032"/>
    <n v="0"/>
    <n v="0"/>
    <n v="0"/>
    <n v="0.2406284484373673"/>
    <n v="0"/>
    <n v="-1.7824399628979961"/>
    <m/>
    <n v="0"/>
    <n v="0"/>
    <n v="0"/>
    <n v="0"/>
    <n v="-0.2654868499160461"/>
    <n v="-3.4106694715291486E-2"/>
    <n v="0"/>
    <n v="0"/>
    <m/>
    <m/>
    <m/>
    <n v="2028.5622113245197"/>
    <n v="0"/>
    <n v="0"/>
    <n v="-650.19693000000007"/>
    <n v="5.9214600000000246"/>
    <n v="0"/>
    <n v="0"/>
    <n v="-599.675011120064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229"/>
    <s v="Regular"/>
    <s v="Verde"/>
    <s v="A4"/>
    <s v="Industrial"/>
    <s v="Não se aplica"/>
    <s v="Não se aplica"/>
    <s v="Não se aplica"/>
    <s v="Fora ponta"/>
    <s v="CATIVO"/>
    <x v="10"/>
    <n v="0"/>
    <n v="0"/>
    <n v="91"/>
    <n v="91"/>
    <n v="91"/>
    <n v="91"/>
    <m/>
    <n v="68.78"/>
    <n v="127.85"/>
    <m/>
    <n v="17893.330000000002"/>
    <n v="17893.330000000002"/>
    <n v="18145.400000000001"/>
    <n v="0"/>
    <n v="4835.3138180894275"/>
    <n v="0"/>
    <n v="0"/>
    <n v="0"/>
    <n v="0"/>
    <n v="0"/>
    <n v="11634.113054106907"/>
    <n v="0"/>
    <n v="0"/>
    <n v="0"/>
    <n v="0"/>
    <n v="0"/>
    <n v="859.52206491374864"/>
    <m/>
    <n v="91.4007742014467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72.4340053068081"/>
    <n v="0"/>
    <n v="0"/>
    <n v="0"/>
    <n v="0"/>
    <n v="0"/>
    <m/>
    <m/>
    <m/>
    <m/>
    <m/>
    <m/>
    <m/>
    <m/>
    <m/>
    <n v="12106.547059413715"/>
    <m/>
    <m/>
    <m/>
    <m/>
    <m/>
    <m/>
    <m/>
    <m/>
    <m/>
    <m/>
    <m/>
    <m/>
    <n v="18145.400000000001"/>
    <n v="252.04000000000087"/>
    <m/>
    <m/>
    <m/>
    <m/>
    <n v="-113.75"/>
    <n v="365.82000000000096"/>
    <n v="31"/>
    <n v="252.32188992758529"/>
    <n v="0"/>
    <n v="0"/>
    <n v="0"/>
    <n v="0"/>
    <n v="0"/>
    <n v="0"/>
    <n v="0"/>
    <n v="0"/>
    <n v="0"/>
    <n v="0"/>
    <n v="366.08146927406779"/>
    <n v="0"/>
    <n v="0"/>
    <n v="0"/>
    <n v="14.865708627155755"/>
    <n v="0"/>
    <n v="-110.11679336301313"/>
    <m/>
    <n v="0"/>
    <n v="0"/>
    <n v="0"/>
    <n v="0"/>
    <n v="-16.401427930998125"/>
    <n v="-2.1070666796276498"/>
    <n v="0"/>
    <n v="0"/>
    <m/>
    <m/>
    <m/>
    <n v="0"/>
    <n v="0"/>
    <n v="0"/>
    <n v="-113.75"/>
    <n v="365.819999999999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230"/>
    <s v="Regular"/>
    <s v="Verde"/>
    <s v="A4"/>
    <s v="Industrial"/>
    <s v="Não se aplica"/>
    <s v="Não se aplica"/>
    <s v="Não se aplica"/>
    <s v="Não se aplica"/>
    <s v="CATIVO"/>
    <x v="10"/>
    <n v="521"/>
    <n v="521"/>
    <n v="0"/>
    <n v="0"/>
    <n v="0"/>
    <n v="0"/>
    <n v="39.56"/>
    <m/>
    <m/>
    <n v="20610.760000000002"/>
    <m/>
    <n v="20610.760000000002"/>
    <n v="16182.26"/>
    <n v="0"/>
    <n v="0"/>
    <n v="0"/>
    <n v="0"/>
    <n v="0"/>
    <n v="6861.7168178634574"/>
    <n v="13746.54961918993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8106.49"/>
    <n v="1"/>
    <m/>
    <m/>
    <m/>
    <m/>
    <m/>
    <m/>
    <m/>
    <m/>
    <m/>
    <n v="0"/>
    <m/>
    <m/>
    <m/>
    <m/>
    <m/>
    <m/>
    <m/>
    <m/>
    <m/>
    <m/>
    <m/>
    <m/>
    <n v="16182.26"/>
    <n v="-4428.529999999997"/>
    <m/>
    <m/>
    <m/>
    <m/>
    <n v="-4428.5000000000018"/>
    <n v="0"/>
    <n v="31"/>
    <n v="-359.97057209986633"/>
    <n v="0"/>
    <n v="0"/>
    <n v="0"/>
    <n v="0"/>
    <m/>
    <m/>
    <m/>
    <n v="-359.97057209986633"/>
    <n v="0"/>
    <n v="0"/>
    <m/>
    <m/>
    <n v="0"/>
    <n v="0"/>
    <n v="0"/>
    <n v="0"/>
    <n v="0"/>
    <m/>
    <n v="0"/>
    <n v="0"/>
    <m/>
    <n v="0"/>
    <n v="0"/>
    <n v="0"/>
    <n v="0"/>
    <n v="0"/>
    <m/>
    <m/>
    <n v="13746.549619189938"/>
    <m/>
    <n v="0"/>
    <n v="0"/>
    <n v="-4428.5000000000018"/>
    <m/>
    <n v="0"/>
    <m/>
    <n v="-4063.6970607708681"/>
    <m/>
    <n v="0"/>
    <n v="0"/>
    <m/>
    <n v="0"/>
    <n v="0"/>
    <n v="0"/>
    <n v="0"/>
    <n v="0"/>
    <m/>
    <m/>
    <n v="0"/>
    <n v="0"/>
    <m/>
    <n v="0"/>
    <m/>
    <n v="0"/>
    <m/>
    <n v="207"/>
    <m/>
    <m/>
    <m/>
    <m/>
    <n v="0"/>
    <m/>
    <m/>
    <m/>
    <m/>
    <n v="0"/>
    <n v="0"/>
    <n v="0"/>
    <n v="0"/>
  </r>
  <r>
    <n v="231"/>
    <s v="Regular"/>
    <s v="Convencional"/>
    <s v="B3"/>
    <s v="Comercial"/>
    <s v="Não se aplica"/>
    <s v="Não se aplica"/>
    <s v="Não se aplica"/>
    <s v="Não se aplica"/>
    <s v="CATIVO"/>
    <x v="10"/>
    <n v="0"/>
    <n v="0"/>
    <n v="102.489"/>
    <n v="102.489"/>
    <n v="102.489"/>
    <n v="102.489"/>
    <m/>
    <n v="710.52"/>
    <n v="127.85"/>
    <m/>
    <n v="85923.702929999999"/>
    <n v="85923.702929999999"/>
    <n v="70585.199189999999"/>
    <n v="0"/>
    <n v="6259.5235304050393"/>
    <n v="0"/>
    <n v="0"/>
    <n v="0"/>
    <n v="11206.398828100015"/>
    <n v="51056.667208717707"/>
    <n v="13102.951789036953"/>
    <n v="0"/>
    <n v="0"/>
    <n v="0"/>
    <n v="0"/>
    <n v="0"/>
    <n v="968.03908693346364"/>
    <m/>
    <n v="234.778039050260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94.9826714028291"/>
    <n v="0"/>
    <n v="373.09"/>
    <n v="1723.01"/>
    <n v="16080.62"/>
    <n v="85"/>
    <m/>
    <m/>
    <m/>
    <m/>
    <m/>
    <m/>
    <m/>
    <m/>
    <m/>
    <n v="16197.934460439783"/>
    <m/>
    <m/>
    <m/>
    <m/>
    <m/>
    <m/>
    <m/>
    <m/>
    <m/>
    <m/>
    <m/>
    <m/>
    <n v="70585.887900000002"/>
    <n v="-15337.845029999982"/>
    <m/>
    <m/>
    <m/>
    <m/>
    <n v="-15750.509519999996"/>
    <n v="412.00578000000104"/>
    <n v="31"/>
    <n v="-244.64352614375093"/>
    <n v="0"/>
    <n v="0"/>
    <n v="0"/>
    <n v="0"/>
    <n v="0"/>
    <n v="0"/>
    <n v="0"/>
    <n v="-587.89569788552762"/>
    <n v="0"/>
    <n v="0"/>
    <n v="412.30026048824038"/>
    <n v="0"/>
    <n v="0"/>
    <n v="0"/>
    <n v="97.387381268824356"/>
    <n v="0"/>
    <n v="-142.5509667169481"/>
    <m/>
    <n v="0"/>
    <n v="0"/>
    <n v="0"/>
    <n v="0"/>
    <n v="-18.472153266154578"/>
    <n v="-5.4123500321869074"/>
    <n v="0"/>
    <n v="0"/>
    <m/>
    <m/>
    <m/>
    <n v="51056.667208717707"/>
    <n v="0"/>
    <n v="0"/>
    <n v="-15750.50952"/>
    <n v="412.0057799999995"/>
    <n v="0"/>
    <n v="0"/>
    <n v="-15093.1567714406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232"/>
    <s v="Regular"/>
    <s v="Verde"/>
    <s v="A4"/>
    <s v="Comercial"/>
    <s v="Não se aplica"/>
    <s v="Não se aplica"/>
    <s v="Não se aplica"/>
    <s v="Ponta"/>
    <s v="CATIVO"/>
    <x v="10"/>
    <n v="0"/>
    <n v="0"/>
    <n v="3.5009999999999999"/>
    <n v="3.5009999999999999"/>
    <n v="3.5009999999999999"/>
    <n v="3.5009999999999999"/>
    <m/>
    <n v="2075.9499999999998"/>
    <n v="127.85"/>
    <m/>
    <n v="7715.5037999999995"/>
    <n v="7715.5037999999995"/>
    <n v="6184.2014099999997"/>
    <n v="0"/>
    <n v="186.02674370473719"/>
    <n v="0"/>
    <n v="0"/>
    <n v="0"/>
    <n v="2205.6612199325896"/>
    <n v="4821.4503067529822"/>
    <n v="447.59373409261843"/>
    <n v="0"/>
    <n v="0"/>
    <n v="0"/>
    <n v="0"/>
    <n v="0"/>
    <n v="33.067986255637734"/>
    <m/>
    <n v="3.51641879647543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.175730248122363"/>
    <n v="0"/>
    <n v="0"/>
    <n v="0"/>
    <n v="0"/>
    <n v="0"/>
    <m/>
    <m/>
    <m/>
    <m/>
    <m/>
    <m/>
    <m/>
    <m/>
    <m/>
    <n v="465.7694643407408"/>
    <m/>
    <m/>
    <m/>
    <m/>
    <m/>
    <m/>
    <m/>
    <m/>
    <m/>
    <m/>
    <m/>
    <m/>
    <n v="6182.4349999999995"/>
    <n v="-1533.0988000000007"/>
    <m/>
    <m/>
    <m/>
    <m/>
    <n v="-1545.3764099999994"/>
    <n v="14.074020000000035"/>
    <n v="31"/>
    <n v="-106.00310435206484"/>
    <n v="0"/>
    <n v="0"/>
    <n v="0"/>
    <n v="0"/>
    <n v="0"/>
    <n v="0"/>
    <n v="0"/>
    <n v="-115.71056519422427"/>
    <n v="0"/>
    <n v="0"/>
    <n v="14.084079383829817"/>
    <n v="0"/>
    <n v="0"/>
    <n v="0"/>
    <n v="0.57192138355683753"/>
    <n v="0"/>
    <n v="-4.2364713578451187"/>
    <m/>
    <n v="0"/>
    <n v="0"/>
    <n v="0"/>
    <n v="0"/>
    <n v="-0.63100438666400294"/>
    <n v="-8.106418071842203E-2"/>
    <n v="0"/>
    <n v="0"/>
    <m/>
    <m/>
    <m/>
    <n v="4821.4503067529822"/>
    <n v="0"/>
    <n v="0"/>
    <n v="-1545.3764099999999"/>
    <n v="14.074020000000019"/>
    <n v="0"/>
    <n v="0"/>
    <n v="-1425.29681869066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233"/>
    <s v="Regular"/>
    <s v="Verde"/>
    <s v="A4"/>
    <s v="Comercial"/>
    <s v="Não se aplica"/>
    <s v="Não se aplica"/>
    <s v="Não se aplica"/>
    <s v="Fora ponta"/>
    <s v="CATIVO"/>
    <x v="10"/>
    <n v="0"/>
    <n v="0"/>
    <n v="64.269000000000005"/>
    <n v="64.269000000000005"/>
    <n v="64.269000000000005"/>
    <n v="64.269000000000005"/>
    <m/>
    <n v="68.78"/>
    <n v="127.85"/>
    <m/>
    <n v="12637.213470000002"/>
    <n v="12637.213470000002"/>
    <n v="12815.238600000001"/>
    <n v="0"/>
    <n v="3414.9536678548288"/>
    <n v="0"/>
    <n v="0"/>
    <n v="0"/>
    <n v="0"/>
    <n v="0"/>
    <n v="8216.6243063120528"/>
    <n v="0"/>
    <n v="0"/>
    <n v="0"/>
    <n v="0"/>
    <n v="0"/>
    <n v="607.03981966968922"/>
    <m/>
    <n v="64.5520478807997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3.65781414355223"/>
    <n v="0"/>
    <n v="0"/>
    <n v="0"/>
    <n v="0"/>
    <n v="0"/>
    <m/>
    <m/>
    <m/>
    <m/>
    <m/>
    <m/>
    <m/>
    <m/>
    <m/>
    <n v="8550.2821204556058"/>
    <m/>
    <m/>
    <m/>
    <m/>
    <m/>
    <m/>
    <m/>
    <m/>
    <m/>
    <m/>
    <m/>
    <m/>
    <n v="12815.438"/>
    <n v="178.19452999999703"/>
    <m/>
    <m/>
    <m/>
    <m/>
    <n v="-80.336250000000007"/>
    <n v="258.36138000000068"/>
    <n v="31"/>
    <n v="178.20302795336283"/>
    <n v="0"/>
    <n v="0"/>
    <n v="0"/>
    <n v="0"/>
    <n v="0"/>
    <n v="0"/>
    <n v="0"/>
    <n v="0"/>
    <n v="0"/>
    <n v="0"/>
    <n v="258.546043393133"/>
    <n v="0"/>
    <n v="0"/>
    <n v="0"/>
    <n v="10.498947557787631"/>
    <n v="0"/>
    <n v="-77.770287831290716"/>
    <m/>
    <n v="0"/>
    <n v="0"/>
    <n v="0"/>
    <n v="0"/>
    <n v="-11.583553535135366"/>
    <n v="-1.4881216311317473"/>
    <n v="0"/>
    <n v="0"/>
    <m/>
    <m/>
    <m/>
    <n v="0"/>
    <n v="0"/>
    <n v="0"/>
    <n v="-80.336250000000291"/>
    <n v="258.361380000000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234"/>
    <s v="Regular"/>
    <s v="Verde"/>
    <s v="A4"/>
    <s v="Comercial"/>
    <s v="Não se aplica"/>
    <s v="Não se aplica"/>
    <s v="Não se aplica"/>
    <s v="Não se aplica"/>
    <s v="CATIVO"/>
    <x v="10"/>
    <n v="190"/>
    <n v="190"/>
    <n v="0"/>
    <n v="0"/>
    <n v="0"/>
    <n v="0"/>
    <n v="39.56"/>
    <m/>
    <m/>
    <n v="7516.4000000000005"/>
    <m/>
    <n v="7516.4000000000005"/>
    <n v="5901.4"/>
    <n v="0"/>
    <n v="0"/>
    <n v="0"/>
    <n v="0"/>
    <n v="0"/>
    <n v="2502.3535420231419"/>
    <n v="5013.137097209382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5991"/>
    <n v="2"/>
    <m/>
    <m/>
    <m/>
    <m/>
    <m/>
    <m/>
    <m/>
    <m/>
    <m/>
    <n v="0"/>
    <m/>
    <m/>
    <m/>
    <m/>
    <m/>
    <m/>
    <m/>
    <m/>
    <m/>
    <m/>
    <m/>
    <m/>
    <n v="5901.4"/>
    <n v="-1615.0300000000016"/>
    <m/>
    <m/>
    <m/>
    <m/>
    <n v="-1615.0000000000007"/>
    <n v="0"/>
    <n v="31"/>
    <n v="-131.27525661991285"/>
    <n v="0"/>
    <n v="0"/>
    <n v="0"/>
    <n v="0"/>
    <m/>
    <m/>
    <m/>
    <n v="-131.27525661991285"/>
    <n v="0"/>
    <n v="0"/>
    <m/>
    <m/>
    <n v="0"/>
    <n v="0"/>
    <n v="0"/>
    <n v="0"/>
    <n v="0"/>
    <m/>
    <n v="0"/>
    <n v="0"/>
    <m/>
    <n v="0"/>
    <n v="0"/>
    <n v="0"/>
    <n v="0"/>
    <n v="0"/>
    <m/>
    <m/>
    <n v="5013.1370972093828"/>
    <m/>
    <n v="0"/>
    <n v="0"/>
    <n v="-1615.0000000000009"/>
    <m/>
    <n v="0"/>
    <m/>
    <n v="-1481.962459782083"/>
    <m/>
    <n v="0"/>
    <n v="0"/>
    <m/>
    <n v="0"/>
    <n v="0"/>
    <n v="0"/>
    <n v="0"/>
    <n v="0"/>
    <m/>
    <m/>
    <n v="0"/>
    <n v="0"/>
    <m/>
    <n v="0"/>
    <m/>
    <n v="0"/>
    <m/>
    <n v="207"/>
    <m/>
    <m/>
    <m/>
    <m/>
    <n v="0"/>
    <m/>
    <m/>
    <m/>
    <m/>
    <n v="0"/>
    <n v="0"/>
    <n v="0"/>
    <n v="0"/>
  </r>
  <r>
    <n v="235"/>
    <s v="Regular"/>
    <s v="Convencional"/>
    <s v="B2"/>
    <s v="Rural"/>
    <s v="Não se aplica"/>
    <s v="Não se aplica"/>
    <s v="Não se aplica"/>
    <s v="Não se aplica"/>
    <s v="CATIVO"/>
    <x v="10"/>
    <n v="0"/>
    <n v="0"/>
    <n v="53.984999999999999"/>
    <n v="53.984999999999999"/>
    <n v="53.984999999999999"/>
    <n v="53.984999999999999"/>
    <m/>
    <n v="710.52"/>
    <n v="127.85"/>
    <m/>
    <n v="45259.404450000002"/>
    <n v="45259.404450000002"/>
    <n v="37180.00935"/>
    <n v="0"/>
    <n v="3297.1380127517687"/>
    <n v="0"/>
    <n v="0"/>
    <n v="0"/>
    <n v="5902.8524108438887"/>
    <n v="26893.56105789524"/>
    <n v="6901.8416838017729"/>
    <n v="0"/>
    <n v="0"/>
    <n v="0"/>
    <n v="0"/>
    <n v="0"/>
    <n v="509.90438103701894"/>
    <m/>
    <n v="123.666856327296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30.2494854636275"/>
    <n v="0"/>
    <n v="142.86000000000001"/>
    <n v="659.33"/>
    <n v="0"/>
    <n v="35"/>
    <m/>
    <m/>
    <m/>
    <m/>
    <m/>
    <n v="4461.3204000000032"/>
    <m/>
    <m/>
    <m/>
    <n v="8532.0911692654008"/>
    <m/>
    <m/>
    <m/>
    <m/>
    <m/>
    <m/>
    <m/>
    <m/>
    <m/>
    <m/>
    <m/>
    <m/>
    <n v="32721.719300000001"/>
    <n v="-7106.824150000004"/>
    <m/>
    <m/>
    <m/>
    <m/>
    <n v="-8296.4147999999968"/>
    <n v="217.01970000000054"/>
    <n v="31"/>
    <n v="-128.86339762190255"/>
    <n v="0"/>
    <n v="0"/>
    <n v="0"/>
    <n v="0"/>
    <n v="0"/>
    <n v="0"/>
    <n v="0"/>
    <n v="-309.66785948102006"/>
    <n v="0"/>
    <n v="0"/>
    <n v="217.1748144918738"/>
    <n v="0"/>
    <n v="0"/>
    <n v="0"/>
    <n v="51.297776130096736"/>
    <n v="0"/>
    <n v="-75.087218513347125"/>
    <m/>
    <n v="0"/>
    <n v="0"/>
    <n v="0"/>
    <n v="0"/>
    <n v="-9.7300119434608519"/>
    <n v="-2.8508983060387862"/>
    <n v="0"/>
    <n v="0"/>
    <m/>
    <m/>
    <m/>
    <n v="26893.56105789524"/>
    <n v="0"/>
    <n v="0"/>
    <n v="-8296.4147999999986"/>
    <n v="217.01969999999983"/>
    <n v="0"/>
    <n v="0"/>
    <n v="-7950.16117150352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236"/>
    <s v="Sistema de Compensação"/>
    <s v="Convencional"/>
    <s v="B2"/>
    <s v="Rural"/>
    <s v="Não se aplica"/>
    <s v="Não se aplica"/>
    <s v="Não se aplica"/>
    <s v="Não se aplica"/>
    <s v="CATIVO"/>
    <x v="10"/>
    <n v="0"/>
    <n v="0"/>
    <n v="0.63"/>
    <n v="0.63"/>
    <n v="0.63"/>
    <n v="0.63"/>
    <m/>
    <n v="710.52"/>
    <n v="127.85"/>
    <m/>
    <n v="528.17309999999998"/>
    <n v="528.17309999999998"/>
    <n v="433.88730000000004"/>
    <n v="0"/>
    <n v="38.477298287183743"/>
    <n v="0"/>
    <n v="0"/>
    <n v="0"/>
    <n v="68.88574638939798"/>
    <n v="313.84539161756044"/>
    <n v="80.543859605355507"/>
    <n v="0"/>
    <n v="0"/>
    <n v="0"/>
    <n v="0"/>
    <n v="0"/>
    <n v="5.9505373724797987"/>
    <m/>
    <n v="1.44318087406125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.024862014301849"/>
    <n v="0"/>
    <n v="1.24"/>
    <n v="5.79"/>
    <n v="0"/>
    <n v="3"/>
    <m/>
    <m/>
    <m/>
    <m/>
    <m/>
    <n v="52.063200000000037"/>
    <m/>
    <m/>
    <m/>
    <n v="99.568721619657353"/>
    <m/>
    <m/>
    <m/>
    <m/>
    <m/>
    <m/>
    <m/>
    <m/>
    <m/>
    <m/>
    <m/>
    <m/>
    <n v="381.82409999999999"/>
    <n v="-83.000999999999976"/>
    <m/>
    <m/>
    <m/>
    <m/>
    <n v="-96.818399999999968"/>
    <n v="2.5326000000000066"/>
    <n v="31"/>
    <n v="-1.5038240344872804"/>
    <n v="0"/>
    <n v="0"/>
    <n v="0"/>
    <n v="0"/>
    <n v="0"/>
    <n v="0"/>
    <n v="0"/>
    <n v="-3.6137955260358012"/>
    <n v="0"/>
    <n v="0"/>
    <n v="2.5344101718973917"/>
    <n v="0"/>
    <n v="0"/>
    <n v="0"/>
    <n v="0.59864034383552678"/>
    <n v="0"/>
    <n v="-0.87626095514325897"/>
    <m/>
    <n v="0"/>
    <n v="0"/>
    <n v="0"/>
    <n v="0"/>
    <n v="-0.11354834721460261"/>
    <n v="-3.3269721826515442E-2"/>
    <n v="0"/>
    <n v="0"/>
    <m/>
    <m/>
    <m/>
    <n v="313.84539161756044"/>
    <n v="0"/>
    <n v="0"/>
    <n v="-96.81839999999994"/>
    <n v="2.5326000000000164"/>
    <n v="0"/>
    <n v="0"/>
    <n v="-92.7776519041811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237"/>
    <s v="Regular"/>
    <s v="Convencional"/>
    <s v="B3"/>
    <s v="Poder público"/>
    <s v="Não se aplica"/>
    <s v="Não se aplica"/>
    <s v="Não se aplica"/>
    <s v="Não se aplica"/>
    <s v="CATIVO"/>
    <x v="10"/>
    <n v="0"/>
    <n v="0"/>
    <n v="10.375"/>
    <n v="10.375"/>
    <n v="10.375"/>
    <n v="10.375"/>
    <m/>
    <n v="710.52"/>
    <n v="127.85"/>
    <m/>
    <n v="8698.088749999999"/>
    <n v="8698.088749999999"/>
    <n v="7145.36625"/>
    <n v="0"/>
    <n v="633.65392020560535"/>
    <n v="0"/>
    <n v="0"/>
    <n v="0"/>
    <n v="1134.4279663333398"/>
    <n v="5168.4856159241108"/>
    <n v="1326.4167355643863"/>
    <n v="0"/>
    <n v="0"/>
    <n v="0"/>
    <n v="0"/>
    <n v="0"/>
    <n v="97.994960697583977"/>
    <m/>
    <n v="23.766669156167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3.30625936251062"/>
    <n v="0"/>
    <n v="25"/>
    <n v="115.42"/>
    <n v="1642.88"/>
    <n v="18"/>
    <m/>
    <m/>
    <m/>
    <m/>
    <m/>
    <m/>
    <m/>
    <m/>
    <m/>
    <n v="1639.7229949268969"/>
    <m/>
    <m/>
    <m/>
    <m/>
    <m/>
    <m/>
    <m/>
    <m/>
    <m/>
    <m/>
    <m/>
    <m/>
    <n v="7148.8098000000009"/>
    <n v="-1549.3089499999987"/>
    <m/>
    <m/>
    <m/>
    <m/>
    <n v="-1594.4299999999994"/>
    <n v="41.70750000000011"/>
    <n v="31"/>
    <n v="-24.765356123500169"/>
    <n v="0"/>
    <n v="0"/>
    <n v="0"/>
    <n v="0"/>
    <n v="0"/>
    <n v="0"/>
    <n v="0"/>
    <n v="-59.512902512097526"/>
    <n v="0"/>
    <n v="0"/>
    <n v="41.737310370532441"/>
    <n v="0"/>
    <n v="0"/>
    <n v="0"/>
    <n v="9.8585612179263649"/>
    <n v="0"/>
    <n v="-14.430487951764007"/>
    <m/>
    <n v="0"/>
    <n v="0"/>
    <n v="0"/>
    <n v="0"/>
    <n v="-1.8699430196055431"/>
    <n v="-0.54789422849221836"/>
    <n v="0"/>
    <n v="0"/>
    <m/>
    <m/>
    <m/>
    <n v="5168.4856159241108"/>
    <n v="0"/>
    <n v="0"/>
    <n v="-1594.4299999999994"/>
    <n v="41.707500000000209"/>
    <n v="0"/>
    <n v="0"/>
    <n v="-1527.88593413631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238"/>
    <s v="Regular"/>
    <s v="Convencional"/>
    <s v="B4"/>
    <s v="Iluminação pública"/>
    <s v="Iluminação pública – B4a"/>
    <s v="Não se aplica"/>
    <s v="Não se aplica"/>
    <s v="Não se aplica"/>
    <s v="CATIVO"/>
    <x v="10"/>
    <n v="0"/>
    <n v="0"/>
    <n v="40.347999999999999"/>
    <n v="40.347999999999999"/>
    <n v="40.347999999999999"/>
    <n v="40.347999999999999"/>
    <m/>
    <n v="390.79"/>
    <n v="70.319999999999993"/>
    <m/>
    <n v="18604.866279999998"/>
    <n v="18604.866279999998"/>
    <n v="15283.41892"/>
    <n v="0"/>
    <n v="1355.3414558892223"/>
    <n v="0"/>
    <n v="0"/>
    <n v="0"/>
    <n v="2426.4621467074344"/>
    <n v="11055.029561177664"/>
    <n v="2837.11270800998"/>
    <n v="0"/>
    <n v="0"/>
    <n v="0"/>
    <n v="0"/>
    <n v="0"/>
    <n v="209.60437309150504"/>
    <m/>
    <n v="50.8352445216555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670.14019508599904"/>
    <n v="0"/>
    <n v="53.91"/>
    <n v="249.21"/>
    <n v="3546.57"/>
    <n v="36"/>
    <m/>
    <m/>
    <m/>
    <m/>
    <m/>
    <m/>
    <m/>
    <m/>
    <m/>
    <n v="3507.252903095979"/>
    <m/>
    <m/>
    <m/>
    <m/>
    <m/>
    <m/>
    <m/>
    <m/>
    <m/>
    <m/>
    <m/>
    <m/>
    <n v="15284.176500000001"/>
    <n v="-3320.7197799999958"/>
    <m/>
    <m/>
    <m/>
    <m/>
    <n v="-3410.6164400000011"/>
    <n v="89.169080000000321"/>
    <n v="31"/>
    <n v="-52.971366157024022"/>
    <n v="0"/>
    <n v="0"/>
    <n v="0"/>
    <n v="0"/>
    <n v="0"/>
    <n v="0"/>
    <n v="0"/>
    <n v="-127.29393974042978"/>
    <n v="0"/>
    <n v="0"/>
    <n v="89.273190299434191"/>
    <n v="0"/>
    <n v="0"/>
    <n v="0"/>
    <n v="21.086773533633732"/>
    <n v="0"/>
    <n v="-30.865805333283106"/>
    <m/>
    <n v="0"/>
    <n v="0"/>
    <n v="0"/>
    <n v="0"/>
    <n v="-3.9996774482194155"/>
    <n v="-1.1719074681601853"/>
    <n v="0"/>
    <n v="0"/>
    <m/>
    <m/>
    <m/>
    <n v="11055.029561177664"/>
    <n v="0"/>
    <n v="0"/>
    <n v="-3410.6164399999998"/>
    <n v="89.169080000000122"/>
    <n v="0"/>
    <n v="0"/>
    <n v="-3268.04124518485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239"/>
    <s v="Regular"/>
    <s v="Convencional"/>
    <s v="B3"/>
    <s v="Serviço público"/>
    <s v="Água, esgoto e saneamento"/>
    <s v="Não se aplica"/>
    <s v="Não se aplica"/>
    <s v="Não se aplica"/>
    <s v="CATIVO"/>
    <x v="10"/>
    <n v="0"/>
    <n v="0"/>
    <n v="8.9"/>
    <n v="8.3659999999999997"/>
    <n v="8.9"/>
    <n v="8.3659999999999997"/>
    <m/>
    <n v="710.52"/>
    <n v="127.85"/>
    <m/>
    <n v="7461.4929999999995"/>
    <n v="7461.4929999999995"/>
    <n v="6129.5190000000002"/>
    <n v="0"/>
    <n v="543.56818215227827"/>
    <n v="0"/>
    <n v="0"/>
    <n v="0"/>
    <n v="973.14784581847937"/>
    <n v="4433.6888657083937"/>
    <n v="1137.8418261708953"/>
    <n v="0"/>
    <n v="0"/>
    <n v="0"/>
    <n v="0"/>
    <n v="0"/>
    <n v="84.063147008047949"/>
    <m/>
    <n v="20.387793300230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8.76392369410547"/>
    <n v="0"/>
    <n v="44.58"/>
    <n v="205.78"/>
    <n v="1424.96"/>
    <n v="1"/>
    <m/>
    <m/>
    <m/>
    <m/>
    <n v="367.77114000000046"/>
    <m/>
    <m/>
    <m/>
    <m/>
    <n v="1406.6057498650007"/>
    <m/>
    <m/>
    <m/>
    <m/>
    <m/>
    <m/>
    <m/>
    <m/>
    <m/>
    <m/>
    <m/>
    <m/>
    <n v="5764.5027"/>
    <n v="-1249.3307199999999"/>
    <m/>
    <m/>
    <m/>
    <m/>
    <n v="-1367.7519999999995"/>
    <n v="35.778000000000091"/>
    <n v="31"/>
    <n v="-21.244498264978574"/>
    <n v="0"/>
    <n v="0"/>
    <n v="0"/>
    <n v="0"/>
    <n v="0"/>
    <n v="0"/>
    <n v="0"/>
    <n v="-51.052032034473882"/>
    <n v="0"/>
    <n v="0"/>
    <n v="35.803572269661572"/>
    <n v="0"/>
    <n v="0"/>
    <n v="0"/>
    <n v="8.4569826351368533"/>
    <n v="0"/>
    <n v="-12.378924604404688"/>
    <m/>
    <n v="0"/>
    <n v="0"/>
    <n v="0"/>
    <n v="0"/>
    <n v="-1.6040956987459651"/>
    <n v="-0.47000083215236188"/>
    <n v="0"/>
    <n v="0"/>
    <m/>
    <m/>
    <m/>
    <n v="4433.6888657083937"/>
    <n v="0"/>
    <n v="0"/>
    <n v="-1367.7519999999995"/>
    <n v="35.77800000000002"/>
    <n v="0"/>
    <n v="0"/>
    <n v="-1310.66841578922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240"/>
    <s v="Regular"/>
    <s v="Convencional"/>
    <s v="B1"/>
    <s v="Residencial"/>
    <s v="Residencial"/>
    <s v="Não se aplica"/>
    <s v="Não se aplica"/>
    <s v="Não se aplica"/>
    <s v="CATIVO"/>
    <x v="11"/>
    <n v="0"/>
    <n v="0"/>
    <n v="920.95500000000004"/>
    <n v="920.95500000000004"/>
    <n v="920.95500000000004"/>
    <n v="920.95500000000004"/>
    <m/>
    <n v="710.52"/>
    <n v="127.85"/>
    <m/>
    <n v="772101.04335000005"/>
    <n v="772101.04335000005"/>
    <n v="634270.91805000009"/>
    <n v="0"/>
    <n v="56247.397212814773"/>
    <n v="0"/>
    <n v="0"/>
    <n v="0"/>
    <n v="100699.48026356829"/>
    <n v="458789.65497960383"/>
    <n v="117741.69876642886"/>
    <n v="0"/>
    <n v="0"/>
    <n v="0"/>
    <n v="0"/>
    <n v="0"/>
    <n v="8698.6938823367182"/>
    <m/>
    <n v="2109.68990773187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811.177454573586"/>
    <n v="0"/>
    <n v="2405.81"/>
    <n v="11216.46"/>
    <n v="153086.17000000001"/>
    <n v="5563"/>
    <m/>
    <m/>
    <m/>
    <m/>
    <m/>
    <m/>
    <m/>
    <m/>
    <m/>
    <n v="145552.87622100246"/>
    <m/>
    <m/>
    <m/>
    <m/>
    <m/>
    <m/>
    <m/>
    <m/>
    <m/>
    <m/>
    <m/>
    <m/>
    <n v="634274.36160000006"/>
    <n v="-137826.71175000002"/>
    <m/>
    <m/>
    <m/>
    <m/>
    <n v="-141532.36439999996"/>
    <n v="3702.2391000000098"/>
    <n v="30"/>
    <n v="-2198.3401010813541"/>
    <n v="0"/>
    <n v="0"/>
    <n v="0"/>
    <n v="0"/>
    <n v="0"/>
    <n v="0"/>
    <n v="0"/>
    <n v="-5282.7667598099943"/>
    <n v="0"/>
    <n v="0"/>
    <n v="3704.8852696186659"/>
    <n v="0"/>
    <n v="0"/>
    <n v="0"/>
    <n v="875.11240929690393"/>
    <n v="0"/>
    <n v="-1280.9474729269205"/>
    <m/>
    <n v="0"/>
    <n v="0"/>
    <n v="0"/>
    <n v="0"/>
    <n v="-165.98875890321142"/>
    <n v="-48.634788356728222"/>
    <n v="0"/>
    <n v="0"/>
    <m/>
    <m/>
    <m/>
    <n v="458789.65497960383"/>
    <n v="0"/>
    <n v="0"/>
    <n v="-141532.36439999996"/>
    <n v="3702.2391000000061"/>
    <n v="0"/>
    <n v="0"/>
    <n v="-135625.464141928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241"/>
    <s v="Sistema de Compensação"/>
    <s v="Convencional"/>
    <s v="B1"/>
    <s v="Residencial"/>
    <s v="Residencial"/>
    <s v="Não se aplica"/>
    <s v="Não se aplica"/>
    <s v="Não se aplica"/>
    <s v="CATIVO"/>
    <x v="11"/>
    <n v="0"/>
    <n v="0"/>
    <n v="2.2930000000000001"/>
    <n v="2.2930000000000001"/>
    <n v="2.2930000000000001"/>
    <n v="2.2930000000000001"/>
    <m/>
    <n v="710.52"/>
    <n v="127.85"/>
    <m/>
    <n v="1922.3824099999999"/>
    <n v="1922.3824099999999"/>
    <n v="1579.2120300000001"/>
    <n v="0"/>
    <n v="140.04515075001956"/>
    <n v="0"/>
    <n v="0"/>
    <n v="0"/>
    <n v="250.72224836649139"/>
    <n v="1142.2975920302638"/>
    <n v="293.15407948425428"/>
    <n v="0"/>
    <n v="0"/>
    <n v="0"/>
    <n v="0"/>
    <n v="0"/>
    <n v="21.658066976343139"/>
    <m/>
    <n v="5.25272022892453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9.244458093324042"/>
    <n v="0"/>
    <n v="6.69"/>
    <n v="31.17"/>
    <n v="1103.79"/>
    <n v="20"/>
    <m/>
    <m/>
    <m/>
    <m/>
    <m/>
    <m/>
    <m/>
    <m/>
    <m/>
    <n v="362.39853757757834"/>
    <m/>
    <m/>
    <m/>
    <m/>
    <m/>
    <m/>
    <m/>
    <m/>
    <m/>
    <m/>
    <m/>
    <m/>
    <n v="1577.1459"/>
    <n v="-345.26650999999993"/>
    <m/>
    <m/>
    <m/>
    <m/>
    <n v="-352.38823999999988"/>
    <n v="9.2178600000000248"/>
    <n v="30"/>
    <n v="-5.473442081078133"/>
    <n v="0"/>
    <n v="0"/>
    <n v="0"/>
    <n v="0"/>
    <n v="0"/>
    <n v="0"/>
    <n v="0"/>
    <n v="-13.153068478095349"/>
    <n v="0"/>
    <n v="0"/>
    <n v="9.2244484510487723"/>
    <n v="0"/>
    <n v="0"/>
    <n v="0"/>
    <n v="2.1788608070077231"/>
    <n v="0"/>
    <n v="-3.189311698640438"/>
    <m/>
    <n v="0"/>
    <n v="0"/>
    <n v="0"/>
    <n v="0"/>
    <n v="-0.41327993676679853"/>
    <n v="-0.12109122563206398"/>
    <n v="0"/>
    <n v="0"/>
    <m/>
    <m/>
    <m/>
    <n v="1142.2975920302638"/>
    <n v="0"/>
    <n v="0"/>
    <n v="-352.38823999999977"/>
    <n v="9.2178600000000301"/>
    <n v="0"/>
    <n v="0"/>
    <n v="-337.681199708393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242"/>
    <s v="Regular"/>
    <s v="Convencional"/>
    <s v="B1"/>
    <s v="Residencial"/>
    <s v="Residencial baixa renda – faixa 01"/>
    <s v="Não se aplica"/>
    <s v="Não se aplica"/>
    <s v="Não se aplica"/>
    <s v="CATIVO"/>
    <x v="11"/>
    <n v="0"/>
    <n v="0"/>
    <n v="21.87"/>
    <n v="21.87"/>
    <n v="21.87"/>
    <n v="21.87"/>
    <m/>
    <n v="640"/>
    <n v="127.85"/>
    <m/>
    <n v="16792.879500000003"/>
    <n v="16792.879500000003"/>
    <n v="13554.1512"/>
    <n v="0"/>
    <n v="0"/>
    <n v="0"/>
    <n v="0"/>
    <n v="0"/>
    <n v="2391.3194818033871"/>
    <n v="10894.918594723886"/>
    <n v="2796.0225548716271"/>
    <n v="0"/>
    <n v="0"/>
    <n v="0"/>
    <n v="0"/>
    <n v="0"/>
    <n v="0"/>
    <m/>
    <n v="50.0989931995549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660.43449563933564"/>
    <n v="0"/>
    <n v="53.96"/>
    <n v="255.88"/>
    <n v="2216.9499999999998"/>
    <n v="71"/>
    <m/>
    <m/>
    <m/>
    <m/>
    <m/>
    <m/>
    <m/>
    <n v="8810.3294999999998"/>
    <m/>
    <n v="3456.4570505109627"/>
    <m/>
    <m/>
    <m/>
    <m/>
    <m/>
    <m/>
    <m/>
    <m/>
    <m/>
    <m/>
    <m/>
    <m/>
    <n v="4743.8217000000004"/>
    <n v="-1133.7708000000002"/>
    <m/>
    <m/>
    <m/>
    <m/>
    <n v="-3326.6457000000005"/>
    <n v="87.917400000000228"/>
    <n v="30"/>
    <n v="-17.843654272492131"/>
    <n v="0"/>
    <n v="0"/>
    <n v="0"/>
    <n v="0"/>
    <n v="0"/>
    <n v="0"/>
    <n v="0"/>
    <n v="-125.45033040381395"/>
    <n v="0"/>
    <n v="0"/>
    <n v="87.980238824437947"/>
    <n v="0"/>
    <n v="0"/>
    <n v="0"/>
    <n v="20.781371936004803"/>
    <n v="0"/>
    <n v="0"/>
    <m/>
    <n v="0"/>
    <n v="0"/>
    <n v="0"/>
    <n v="0"/>
    <n v="0"/>
    <n v="-1.1549346291204685"/>
    <n v="0"/>
    <n v="0"/>
    <m/>
    <m/>
    <m/>
    <n v="10894.918594723886"/>
    <n v="0"/>
    <n v="0"/>
    <n v="-3326.6457000000009"/>
    <n v="87.917400000000271"/>
    <n v="0"/>
    <n v="0"/>
    <n v="-3220.70991610229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243"/>
    <s v="Regular"/>
    <s v="Convencional"/>
    <s v="B1"/>
    <s v="Residencial"/>
    <s v="Residencial baixa renda – faixa 02"/>
    <s v="Não se aplica"/>
    <s v="Não se aplica"/>
    <s v="Não se aplica"/>
    <s v="CATIVO"/>
    <x v="11"/>
    <n v="0"/>
    <n v="0"/>
    <n v="40.319000000000003"/>
    <n v="40.319000000000003"/>
    <n v="40.319000000000003"/>
    <n v="40.319000000000003"/>
    <m/>
    <n v="640"/>
    <n v="127.85"/>
    <m/>
    <n v="30958.944150000003"/>
    <n v="30958.944150000003"/>
    <n v="24988.103439999999"/>
    <n v="0"/>
    <n v="0"/>
    <n v="0"/>
    <n v="0"/>
    <n v="0"/>
    <n v="4408.5784264668846"/>
    <n v="20085.606896235589"/>
    <n v="5154.6791673465541"/>
    <n v="0"/>
    <n v="0"/>
    <n v="0"/>
    <n v="0"/>
    <n v="0"/>
    <n v="0"/>
    <m/>
    <n v="92.3612851766280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17.5609707216449"/>
    <n v="0"/>
    <n v="96.72"/>
    <n v="451.59"/>
    <n v="5167.75"/>
    <n v="180"/>
    <m/>
    <m/>
    <m/>
    <m/>
    <m/>
    <m/>
    <m/>
    <n v="9995.0800999999992"/>
    <m/>
    <n v="6372.2401380681986"/>
    <m/>
    <m/>
    <m/>
    <m/>
    <m/>
    <m/>
    <m/>
    <m/>
    <m/>
    <m/>
    <m/>
    <m/>
    <n v="14993.395199999999"/>
    <n v="-3582.0012900000002"/>
    <m/>
    <m/>
    <m/>
    <m/>
    <n v="-6132.9230900000011"/>
    <n v="162.08238000000043"/>
    <n v="30"/>
    <n v="-32.896126959880348"/>
    <n v="0"/>
    <n v="0"/>
    <n v="0"/>
    <n v="0"/>
    <n v="0"/>
    <n v="0"/>
    <n v="0"/>
    <n v="-231.27717748291616"/>
    <n v="0"/>
    <n v="0"/>
    <n v="162.19822812814436"/>
    <n v="0"/>
    <n v="0"/>
    <n v="0"/>
    <n v="38.312031782705844"/>
    <n v="0"/>
    <n v="0"/>
    <m/>
    <n v="0"/>
    <n v="0"/>
    <n v="0"/>
    <n v="0"/>
    <n v="0"/>
    <n v="-2.1292093878147398"/>
    <n v="0"/>
    <n v="0"/>
    <m/>
    <m/>
    <m/>
    <n v="20085.606896235589"/>
    <n v="0"/>
    <n v="0"/>
    <n v="-6132.9230900000039"/>
    <n v="162.08237999999983"/>
    <n v="0"/>
    <n v="0"/>
    <n v="-5937.62245575346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244"/>
    <s v="Regular"/>
    <s v="Convencional"/>
    <s v="B1"/>
    <s v="Residencial"/>
    <s v="Residencial baixa renda – faixa 03"/>
    <s v="Não se aplica"/>
    <s v="Não se aplica"/>
    <s v="Não se aplica"/>
    <s v="CATIVO"/>
    <x v="11"/>
    <n v="0"/>
    <n v="0"/>
    <n v="36.084000000000003"/>
    <n v="36.084000000000003"/>
    <n v="36.084000000000003"/>
    <n v="36.084000000000003"/>
    <m/>
    <n v="640"/>
    <n v="127.85"/>
    <m/>
    <n v="27707.099400000003"/>
    <n v="27707.099400000003"/>
    <n v="22363.419840000002"/>
    <n v="0"/>
    <n v="0"/>
    <n v="0"/>
    <n v="0"/>
    <n v="0"/>
    <n v="3945.5131312937092"/>
    <n v="17975.868430361988"/>
    <n v="4613.2454444438863"/>
    <n v="0"/>
    <n v="0"/>
    <n v="0"/>
    <n v="0"/>
    <n v="0"/>
    <n v="0"/>
    <m/>
    <n v="82.6599026343274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89.6716205143937"/>
    <n v="0"/>
    <n v="92.4"/>
    <n v="427.28"/>
    <n v="6473.8"/>
    <n v="329"/>
    <m/>
    <m/>
    <m/>
    <m/>
    <m/>
    <m/>
    <m/>
    <n v="2236.4863199999991"/>
    <m/>
    <n v="5702.9170649582802"/>
    <m/>
    <m/>
    <m/>
    <m/>
    <m/>
    <m/>
    <m/>
    <m/>
    <m/>
    <m/>
    <m/>
    <m/>
    <n v="20124.702400000002"/>
    <n v="-4811.5366399999948"/>
    <m/>
    <m/>
    <m/>
    <m/>
    <n v="-5488.7372400000013"/>
    <n v="145.05768000000037"/>
    <n v="30"/>
    <n v="-29.44080570501319"/>
    <n v="0"/>
    <n v="0"/>
    <n v="0"/>
    <n v="0"/>
    <n v="0"/>
    <n v="0"/>
    <n v="0"/>
    <n v="-206.98444089123086"/>
    <n v="0"/>
    <n v="0"/>
    <n v="145.16135975038924"/>
    <n v="0"/>
    <n v="0"/>
    <n v="0"/>
    <n v="34.287838360255819"/>
    <n v="0"/>
    <n v="0"/>
    <m/>
    <n v="0"/>
    <n v="0"/>
    <n v="0"/>
    <n v="0"/>
    <n v="0"/>
    <n v="-1.9055629244253822"/>
    <n v="0"/>
    <n v="0"/>
    <m/>
    <m/>
    <m/>
    <n v="17975.868430361988"/>
    <n v="0"/>
    <n v="0"/>
    <n v="-5488.7372400000022"/>
    <n v="145.0576800000008"/>
    <n v="0"/>
    <n v="0"/>
    <n v="-5313.95046239758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245"/>
    <s v="Regular"/>
    <s v="Convencional"/>
    <s v="B1"/>
    <s v="Residencial"/>
    <s v="Residencial baixa renda – faixa 04"/>
    <s v="Não se aplica"/>
    <s v="Não se aplica"/>
    <s v="Não se aplica"/>
    <s v="CATIVO"/>
    <x v="11"/>
    <n v="0"/>
    <n v="0"/>
    <n v="15.427"/>
    <n v="15.427"/>
    <n v="15.427"/>
    <n v="15.427"/>
    <m/>
    <n v="640"/>
    <n v="127.85"/>
    <m/>
    <n v="11845.621949999999"/>
    <n v="11845.621949999999"/>
    <n v="9561.0375199999999"/>
    <n v="0"/>
    <n v="0"/>
    <n v="0"/>
    <n v="0"/>
    <n v="0"/>
    <n v="1686.8260469035597"/>
    <n v="7685.2267563239766"/>
    <n v="1972.301781161618"/>
    <n v="0"/>
    <n v="0"/>
    <n v="0"/>
    <n v="0"/>
    <n v="0"/>
    <n v="0"/>
    <m/>
    <n v="35.3396053081634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5.86753380100731"/>
    <n v="0"/>
    <n v="41.11"/>
    <n v="190.36"/>
    <n v="3618.55"/>
    <n v="149"/>
    <m/>
    <m/>
    <m/>
    <m/>
    <m/>
    <m/>
    <m/>
    <m/>
    <m/>
    <n v="2438.1693149626253"/>
    <m/>
    <m/>
    <m/>
    <m/>
    <m/>
    <m/>
    <m/>
    <m/>
    <m/>
    <m/>
    <m/>
    <m/>
    <n v="9562.8967999999986"/>
    <n v="-2282.7551500000009"/>
    <m/>
    <m/>
    <m/>
    <m/>
    <n v="-2346.60097"/>
    <n v="62.016540000000155"/>
    <n v="30"/>
    <n v="-12.58683376596764"/>
    <n v="0"/>
    <n v="0"/>
    <n v="0"/>
    <n v="0"/>
    <n v="0"/>
    <n v="0"/>
    <n v="0"/>
    <n v="-88.492100920879693"/>
    <n v="0"/>
    <n v="0"/>
    <n v="62.060866225176369"/>
    <n v="0"/>
    <n v="0"/>
    <n v="0"/>
    <n v="14.659086641826491"/>
    <n v="0"/>
    <n v="0"/>
    <m/>
    <n v="0"/>
    <n v="0"/>
    <n v="0"/>
    <n v="0"/>
    <n v="0"/>
    <n v="-0.81468571209151719"/>
    <n v="0"/>
    <n v="0"/>
    <m/>
    <m/>
    <m/>
    <n v="7685.2267563239766"/>
    <n v="0"/>
    <n v="0"/>
    <n v="-2346.6009699999995"/>
    <n v="62.016540000000305"/>
    <n v="0"/>
    <n v="0"/>
    <n v="-2271.87434273937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246"/>
    <s v="Sistema de Compensação"/>
    <s v="Branca"/>
    <s v="B1"/>
    <s v="Residencial"/>
    <s v="Residencial"/>
    <s v="Não se aplica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1"/>
    <n v="0.5"/>
    <n v="24.75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7"/>
    <m/>
    <m/>
    <m/>
    <m/>
    <n v="0"/>
    <m/>
    <m/>
    <m/>
    <m/>
    <n v="0"/>
    <n v="0"/>
    <n v="0"/>
    <n v="0"/>
  </r>
  <r>
    <n v="247"/>
    <s v="Regular"/>
    <s v="Verde"/>
    <s v="A4"/>
    <s v="Industrial"/>
    <s v="Não se aplica"/>
    <s v="Não se aplica"/>
    <s v="Não se aplica"/>
    <s v="Ponta"/>
    <s v="CATIVO"/>
    <x v="11"/>
    <n v="0"/>
    <n v="0"/>
    <n v="1.4710000000000001"/>
    <n v="1.4710000000000001"/>
    <n v="1.4710000000000001"/>
    <n v="1.4710000000000001"/>
    <m/>
    <n v="2075.9499999999998"/>
    <n v="127.85"/>
    <m/>
    <n v="3241.7897999999996"/>
    <n v="3241.7897999999996"/>
    <n v="2598.3891100000001"/>
    <n v="0"/>
    <n v="78.162050839665369"/>
    <n v="0"/>
    <n v="0"/>
    <n v="0"/>
    <n v="926.7431175437988"/>
    <n v="2025.8078838142351"/>
    <n v="188.06351980869516"/>
    <n v="0"/>
    <n v="0"/>
    <n v="0"/>
    <n v="0"/>
    <n v="0"/>
    <n v="13.894032499869498"/>
    <m/>
    <n v="1.47747844890470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6368178220474148"/>
    <n v="0"/>
    <n v="0"/>
    <n v="0"/>
    <n v="0"/>
    <n v="0"/>
    <m/>
    <m/>
    <m/>
    <m/>
    <m/>
    <m/>
    <m/>
    <m/>
    <m/>
    <n v="195.70033763074258"/>
    <m/>
    <m/>
    <m/>
    <m/>
    <m/>
    <m/>
    <m/>
    <m/>
    <m/>
    <m/>
    <m/>
    <m/>
    <n v="2596.6226999999999"/>
    <n v="-645.19710000000032"/>
    <m/>
    <m/>
    <m/>
    <m/>
    <n v="-649.3141099999998"/>
    <n v="5.9134200000000154"/>
    <n v="30"/>
    <n v="-44.538865039099619"/>
    <n v="0"/>
    <n v="0"/>
    <n v="0"/>
    <n v="0"/>
    <n v="0"/>
    <n v="0"/>
    <n v="0"/>
    <n v="-48.617606798258862"/>
    <n v="0"/>
    <n v="0"/>
    <n v="5.9176466077159944"/>
    <n v="0"/>
    <n v="0"/>
    <n v="0"/>
    <n v="0.24030172956644069"/>
    <n v="0"/>
    <n v="-1.7800198135933272"/>
    <m/>
    <n v="0"/>
    <n v="0"/>
    <n v="0"/>
    <n v="0"/>
    <n v="-0.26512637897250713"/>
    <n v="-3.4060385557497463E-2"/>
    <n v="0"/>
    <n v="0"/>
    <m/>
    <m/>
    <m/>
    <n v="2025.8078838142351"/>
    <n v="0"/>
    <n v="0"/>
    <n v="-649.3141099999998"/>
    <n v="5.9134200000000021"/>
    <n v="0"/>
    <n v="0"/>
    <n v="-598.860788430152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248"/>
    <s v="Regular"/>
    <s v="Verde"/>
    <s v="A4"/>
    <s v="Industrial"/>
    <s v="Não se aplica"/>
    <s v="Não se aplica"/>
    <s v="Não se aplica"/>
    <s v="Fora ponta"/>
    <s v="CATIVO"/>
    <x v="11"/>
    <n v="0"/>
    <n v="0"/>
    <n v="73.265000000000001"/>
    <n v="73.265000000000001"/>
    <n v="73.265000000000001"/>
    <n v="73.265000000000001"/>
    <m/>
    <n v="68.78"/>
    <n v="127.85"/>
    <m/>
    <n v="14406.096949999999"/>
    <n v="14406.096949999999"/>
    <n v="14609.041000000001"/>
    <n v="0"/>
    <n v="3892.9589767288121"/>
    <n v="0"/>
    <n v="0"/>
    <n v="0"/>
    <n v="0"/>
    <n v="0"/>
    <n v="9366.739482518049"/>
    <n v="0"/>
    <n v="0"/>
    <n v="0"/>
    <n v="0"/>
    <n v="0"/>
    <n v="692.00971522973407"/>
    <m/>
    <n v="73.5876672732856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80.36129009673948"/>
    <n v="0"/>
    <n v="0"/>
    <n v="0"/>
    <n v="0"/>
    <n v="0"/>
    <m/>
    <m/>
    <m/>
    <m/>
    <m/>
    <m/>
    <m/>
    <m/>
    <m/>
    <n v="9747.1007726147891"/>
    <m/>
    <m/>
    <m/>
    <m/>
    <m/>
    <m/>
    <m/>
    <m/>
    <m/>
    <m/>
    <m/>
    <m/>
    <n v="14610.038"/>
    <n v="203.91105000000061"/>
    <m/>
    <m/>
    <m/>
    <m/>
    <n v="-91.581249999999997"/>
    <n v="294.52530000000075"/>
    <n v="30"/>
    <n v="203.14684907191804"/>
    <n v="0"/>
    <n v="0"/>
    <n v="0"/>
    <n v="0"/>
    <n v="0"/>
    <n v="0"/>
    <n v="0"/>
    <n v="0"/>
    <n v="0"/>
    <n v="0"/>
    <n v="294.7358114985127"/>
    <n v="0"/>
    <n v="0"/>
    <n v="0"/>
    <n v="11.968529039215014"/>
    <n v="0"/>
    <n v="-88.656119403748562"/>
    <m/>
    <n v="0"/>
    <n v="0"/>
    <n v="0"/>
    <n v="0"/>
    <n v="-13.204951839171258"/>
    <n v="-1.6964202228892304"/>
    <n v="0"/>
    <n v="0"/>
    <m/>
    <m/>
    <m/>
    <n v="0"/>
    <n v="0"/>
    <n v="0"/>
    <n v="-91.581249999999272"/>
    <n v="294.525300000001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249"/>
    <s v="Regular"/>
    <s v="Verde"/>
    <s v="A4"/>
    <s v="Industrial"/>
    <s v="Não se aplica"/>
    <s v="Não se aplica"/>
    <s v="Não se aplica"/>
    <s v="Não se aplica"/>
    <s v="CATIVO"/>
    <x v="11"/>
    <n v="521"/>
    <n v="521"/>
    <n v="0"/>
    <n v="0"/>
    <n v="0"/>
    <n v="0"/>
    <n v="39.56"/>
    <m/>
    <m/>
    <n v="20610.760000000002"/>
    <m/>
    <n v="20610.760000000002"/>
    <n v="16182.26"/>
    <n v="0"/>
    <n v="0"/>
    <n v="0"/>
    <n v="0"/>
    <n v="0"/>
    <n v="6861.7168178634574"/>
    <n v="13746.54961918993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04.18"/>
    <n v="480.85"/>
    <n v="7457.86"/>
    <n v="1"/>
    <m/>
    <m/>
    <m/>
    <m/>
    <m/>
    <m/>
    <m/>
    <m/>
    <m/>
    <n v="0"/>
    <m/>
    <m/>
    <m/>
    <m/>
    <m/>
    <m/>
    <m/>
    <m/>
    <m/>
    <m/>
    <m/>
    <m/>
    <n v="16182.26"/>
    <n v="-4428.529999999997"/>
    <m/>
    <m/>
    <m/>
    <m/>
    <n v="-4428.5000000000018"/>
    <n v="0"/>
    <n v="30"/>
    <n v="-359.97057209986633"/>
    <n v="0"/>
    <n v="0"/>
    <n v="0"/>
    <n v="0"/>
    <m/>
    <m/>
    <m/>
    <n v="-359.97057209986633"/>
    <n v="0"/>
    <n v="0"/>
    <m/>
    <m/>
    <n v="0"/>
    <n v="0"/>
    <n v="0"/>
    <n v="0"/>
    <n v="0"/>
    <m/>
    <n v="0"/>
    <n v="0"/>
    <m/>
    <n v="0"/>
    <n v="0"/>
    <n v="0"/>
    <n v="0"/>
    <n v="0"/>
    <m/>
    <m/>
    <n v="13746.549619189938"/>
    <m/>
    <n v="0"/>
    <n v="0"/>
    <n v="-4428.5000000000018"/>
    <m/>
    <n v="0"/>
    <m/>
    <n v="-4063.6970607708681"/>
    <m/>
    <n v="0"/>
    <n v="0"/>
    <m/>
    <n v="0"/>
    <n v="0"/>
    <n v="0"/>
    <n v="0"/>
    <n v="0"/>
    <m/>
    <m/>
    <n v="0"/>
    <n v="0"/>
    <m/>
    <n v="0"/>
    <m/>
    <n v="0"/>
    <m/>
    <n v="207"/>
    <m/>
    <m/>
    <m/>
    <m/>
    <n v="0"/>
    <m/>
    <m/>
    <m/>
    <m/>
    <n v="0"/>
    <n v="0"/>
    <n v="0"/>
    <n v="0"/>
  </r>
  <r>
    <n v="250"/>
    <s v="Regular"/>
    <s v="Convencional"/>
    <s v="B3"/>
    <s v="Comercial"/>
    <s v="Não se aplica"/>
    <s v="Não se aplica"/>
    <s v="Não se aplica"/>
    <s v="Não se aplica"/>
    <s v="CATIVO"/>
    <x v="11"/>
    <n v="0"/>
    <n v="0"/>
    <n v="96.046999999999997"/>
    <n v="96.046999999999997"/>
    <n v="96.046999999999997"/>
    <n v="96.046999999999997"/>
    <m/>
    <n v="710.52"/>
    <n v="127.85"/>
    <m/>
    <n v="80522.923389999996"/>
    <n v="80522.923389999996"/>
    <n v="66148.529370000004"/>
    <n v="0"/>
    <n v="5866.0778866494238"/>
    <n v="0"/>
    <n v="0"/>
    <n v="0"/>
    <n v="10502.014735654773"/>
    <n v="47847.473537606078"/>
    <n v="12279.358862723144"/>
    <n v="0"/>
    <n v="0"/>
    <n v="0"/>
    <n v="0"/>
    <n v="0"/>
    <n v="907.19248097550349"/>
    <m/>
    <n v="220.020941922160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00.4459077581741"/>
    <n v="0"/>
    <n v="308.86"/>
    <n v="1427.34"/>
    <n v="14901.04"/>
    <n v="85"/>
    <m/>
    <m/>
    <m/>
    <m/>
    <m/>
    <m/>
    <m/>
    <m/>
    <m/>
    <n v="15179.804770481318"/>
    <m/>
    <m/>
    <m/>
    <m/>
    <m/>
    <m/>
    <m/>
    <m/>
    <m/>
    <m/>
    <m/>
    <m/>
    <n v="66150.595499999996"/>
    <n v="-14372.357889999985"/>
    <m/>
    <m/>
    <m/>
    <m/>
    <n v="-14760.502959999994"/>
    <n v="386.10894000000098"/>
    <n v="30"/>
    <n v="-229.26632863554551"/>
    <n v="0"/>
    <n v="0"/>
    <n v="0"/>
    <n v="0"/>
    <n v="0"/>
    <n v="0"/>
    <n v="0"/>
    <n v="-550.94320458596667"/>
    <n v="0"/>
    <n v="0"/>
    <n v="386.38491076226637"/>
    <n v="0"/>
    <n v="0"/>
    <n v="0"/>
    <n v="91.266046197414198"/>
    <n v="0"/>
    <n v="-133.59085072800735"/>
    <m/>
    <n v="0"/>
    <n v="0"/>
    <n v="0"/>
    <n v="0"/>
    <n v="-17.311076357017328"/>
    <n v="-5.0721539242402116"/>
    <n v="0"/>
    <n v="0"/>
    <m/>
    <m/>
    <m/>
    <n v="47847.473537606078"/>
    <n v="0"/>
    <n v="0"/>
    <n v="-14760.502959999998"/>
    <n v="386.10894000000008"/>
    <n v="0"/>
    <n v="0"/>
    <n v="-14144.4684641918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251"/>
    <s v="Regular"/>
    <s v="Verde"/>
    <s v="A4"/>
    <s v="Comercial"/>
    <s v="Não se aplica"/>
    <s v="Não se aplica"/>
    <s v="Não se aplica"/>
    <s v="Ponta"/>
    <s v="CATIVO"/>
    <x v="11"/>
    <n v="0"/>
    <n v="0"/>
    <n v="3.863"/>
    <n v="3.863"/>
    <n v="3.863"/>
    <n v="3.863"/>
    <m/>
    <n v="2075.9499999999998"/>
    <n v="127.85"/>
    <m/>
    <n v="8513.2793999999994"/>
    <n v="8513.2793999999994"/>
    <n v="6823.6418299999996"/>
    <n v="0"/>
    <n v="205.26172834373031"/>
    <n v="0"/>
    <n v="0"/>
    <n v="0"/>
    <n v="2433.7244480433001"/>
    <n v="5319.9835861144729"/>
    <n v="493.87449151664811"/>
    <n v="0"/>
    <n v="0"/>
    <n v="0"/>
    <n v="0"/>
    <n v="0"/>
    <n v="36.487183920459465"/>
    <m/>
    <n v="3.88001308505701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.055083104397799"/>
    <n v="0"/>
    <n v="0"/>
    <n v="0"/>
    <n v="0"/>
    <n v="0"/>
    <m/>
    <m/>
    <m/>
    <m/>
    <m/>
    <m/>
    <m/>
    <m/>
    <m/>
    <n v="513.92957462104596"/>
    <m/>
    <m/>
    <m/>
    <m/>
    <m/>
    <m/>
    <m/>
    <m/>
    <m/>
    <m/>
    <m/>
    <m/>
    <n v="6818.3425999999999"/>
    <n v="-1694.9668000000001"/>
    <m/>
    <m/>
    <m/>
    <m/>
    <n v="-1705.1668299999994"/>
    <n v="15.52926000000004"/>
    <n v="30"/>
    <n v="-116.96372239703715"/>
    <n v="0"/>
    <n v="0"/>
    <n v="0"/>
    <n v="0"/>
    <n v="0"/>
    <n v="0"/>
    <n v="0"/>
    <n v="-127.67492526286469"/>
    <n v="0"/>
    <n v="0"/>
    <n v="15.540359514348609"/>
    <n v="0"/>
    <n v="0"/>
    <n v="0"/>
    <n v="0.63105749919453302"/>
    <n v="0"/>
    <n v="-4.6745183819925273"/>
    <m/>
    <n v="0"/>
    <n v="0"/>
    <n v="0"/>
    <n v="0"/>
    <n v="-0.69624962744445895"/>
    <n v="-8.9446138279138498E-2"/>
    <n v="0"/>
    <n v="0"/>
    <m/>
    <m/>
    <m/>
    <n v="5319.9835861144729"/>
    <n v="0"/>
    <n v="0"/>
    <n v="-1705.1668300000001"/>
    <n v="15.529260000000022"/>
    <n v="0"/>
    <n v="0"/>
    <n v="-1572.67112556470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252"/>
    <s v="Regular"/>
    <s v="Verde"/>
    <s v="A4"/>
    <s v="Comercial"/>
    <s v="Não se aplica"/>
    <s v="Não se aplica"/>
    <s v="Não se aplica"/>
    <s v="Fora ponta"/>
    <s v="CATIVO"/>
    <x v="11"/>
    <n v="0"/>
    <n v="0"/>
    <n v="67.215000000000003"/>
    <n v="67.215000000000003"/>
    <n v="67.215000000000003"/>
    <n v="67.215000000000003"/>
    <m/>
    <n v="68.78"/>
    <n v="127.85"/>
    <m/>
    <n v="13216.48545"/>
    <n v="13216.48545"/>
    <n v="13402.671"/>
    <n v="0"/>
    <n v="3571.4903108008889"/>
    <n v="0"/>
    <n v="0"/>
    <n v="0"/>
    <n v="0"/>
    <n v="0"/>
    <n v="8593.2627355142395"/>
    <n v="0"/>
    <n v="0"/>
    <n v="0"/>
    <n v="0"/>
    <n v="0"/>
    <n v="634.86566585909475"/>
    <m/>
    <n v="67.5110223950575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8.95221611755062"/>
    <n v="0"/>
    <n v="0"/>
    <n v="0"/>
    <n v="0"/>
    <n v="0"/>
    <m/>
    <m/>
    <m/>
    <m/>
    <m/>
    <m/>
    <m/>
    <m/>
    <m/>
    <n v="8942.2149516317895"/>
    <m/>
    <m/>
    <m/>
    <m/>
    <m/>
    <m/>
    <m/>
    <m/>
    <m/>
    <m/>
    <m/>
    <m/>
    <n v="13403.668000000001"/>
    <n v="187.1525500000007"/>
    <m/>
    <m/>
    <m/>
    <m/>
    <n v="-84.018750000000011"/>
    <n v="270.20430000000073"/>
    <n v="30"/>
    <n v="186.37160254376249"/>
    <n v="0"/>
    <n v="0"/>
    <n v="0"/>
    <n v="0"/>
    <n v="0"/>
    <n v="0"/>
    <n v="0"/>
    <n v="0"/>
    <n v="0"/>
    <n v="0"/>
    <n v="270.39742810171811"/>
    <n v="0"/>
    <n v="0"/>
    <n v="0"/>
    <n v="10.980204454662385"/>
    <n v="0"/>
    <n v="-81.335167757086765"/>
    <m/>
    <n v="0"/>
    <n v="0"/>
    <n v="0"/>
    <n v="0"/>
    <n v="-12.114527234967454"/>
    <n v="-1.5563350205623294"/>
    <n v="0"/>
    <n v="0"/>
    <m/>
    <m/>
    <m/>
    <n v="0"/>
    <n v="0"/>
    <n v="0"/>
    <n v="-84.018750000000182"/>
    <n v="270.204299999999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253"/>
    <s v="Regular"/>
    <s v="Verde"/>
    <s v="A4"/>
    <s v="Comercial"/>
    <s v="Não se aplica"/>
    <s v="Não se aplica"/>
    <s v="Não se aplica"/>
    <s v="Não se aplica"/>
    <s v="CATIVO"/>
    <x v="11"/>
    <n v="193"/>
    <n v="193"/>
    <n v="0"/>
    <n v="0"/>
    <n v="0"/>
    <n v="0"/>
    <n v="39.56"/>
    <m/>
    <m/>
    <n v="7635.0800000000008"/>
    <m/>
    <n v="7635.0800000000008"/>
    <n v="5994.58"/>
    <n v="0"/>
    <n v="0"/>
    <n v="0"/>
    <n v="0"/>
    <n v="0"/>
    <n v="2541.8643874235072"/>
    <n v="5092.291893481109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94.92"/>
    <n v="899.58"/>
    <n v="6547.03"/>
    <n v="2"/>
    <m/>
    <m/>
    <m/>
    <m/>
    <m/>
    <m/>
    <m/>
    <m/>
    <m/>
    <n v="0"/>
    <m/>
    <m/>
    <m/>
    <m/>
    <m/>
    <m/>
    <m/>
    <m/>
    <m/>
    <m/>
    <m/>
    <m/>
    <n v="5994.58"/>
    <n v="-1640.5300000000016"/>
    <m/>
    <m/>
    <m/>
    <m/>
    <n v="-1640.5000000000007"/>
    <n v="0"/>
    <n v="30"/>
    <n v="-133.34802382970065"/>
    <n v="0"/>
    <n v="0"/>
    <n v="0"/>
    <n v="0"/>
    <m/>
    <m/>
    <m/>
    <n v="-133.34802382970065"/>
    <n v="0"/>
    <n v="0"/>
    <m/>
    <m/>
    <n v="0"/>
    <n v="0"/>
    <n v="0"/>
    <n v="0"/>
    <n v="0"/>
    <m/>
    <n v="0"/>
    <n v="0"/>
    <m/>
    <n v="0"/>
    <n v="0"/>
    <n v="0"/>
    <n v="0"/>
    <n v="0"/>
    <m/>
    <m/>
    <n v="5092.2918934811096"/>
    <m/>
    <n v="0"/>
    <n v="0"/>
    <n v="-1640.5000000000009"/>
    <m/>
    <n v="0"/>
    <m/>
    <n v="-1505.3618670417995"/>
    <m/>
    <n v="0"/>
    <n v="0"/>
    <m/>
    <n v="0"/>
    <n v="0"/>
    <n v="0"/>
    <n v="0"/>
    <n v="0"/>
    <m/>
    <m/>
    <n v="0"/>
    <n v="0"/>
    <m/>
    <n v="0"/>
    <m/>
    <n v="0"/>
    <m/>
    <n v="207"/>
    <m/>
    <m/>
    <m/>
    <m/>
    <n v="0"/>
    <m/>
    <m/>
    <m/>
    <m/>
    <n v="0"/>
    <n v="0"/>
    <n v="0"/>
    <n v="0"/>
  </r>
  <r>
    <n v="254"/>
    <s v="Regular"/>
    <s v="Convencional"/>
    <s v="B2"/>
    <s v="Rural"/>
    <s v="Não se aplica"/>
    <s v="Não se aplica"/>
    <s v="Não se aplica"/>
    <s v="Não se aplica"/>
    <s v="CATIVO"/>
    <x v="11"/>
    <n v="0"/>
    <n v="0"/>
    <n v="54.271000000000001"/>
    <n v="54.271000000000001"/>
    <n v="54.271000000000001"/>
    <n v="54.271000000000001"/>
    <m/>
    <n v="710.52"/>
    <n v="127.85"/>
    <m/>
    <n v="45499.178269999997"/>
    <n v="45499.178269999997"/>
    <n v="37376.980410000004"/>
    <n v="0"/>
    <n v="3314.6054846726174"/>
    <n v="0"/>
    <n v="0"/>
    <n v="0"/>
    <n v="5934.1243528555833"/>
    <n v="27036.036902343847"/>
    <n v="6938.4060391146804"/>
    <n v="0"/>
    <n v="0"/>
    <n v="0"/>
    <n v="0"/>
    <n v="0"/>
    <n v="512.60573609817641"/>
    <m/>
    <n v="124.322014628854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38.886168854247"/>
    <n v="0"/>
    <n v="133.30000000000001"/>
    <n v="616.09"/>
    <n v="0"/>
    <n v="35"/>
    <m/>
    <m/>
    <m/>
    <m/>
    <m/>
    <n v="4484.9554400000034"/>
    <m/>
    <m/>
    <m/>
    <n v="8577.292207968927"/>
    <m/>
    <m/>
    <m/>
    <m/>
    <m/>
    <m/>
    <m/>
    <m/>
    <m/>
    <m/>
    <m/>
    <m/>
    <n v="32891.418899999997"/>
    <n v="-7148.1267700000171"/>
    <m/>
    <m/>
    <m/>
    <m/>
    <n v="-8340.3672799999968"/>
    <n v="218.16942000000057"/>
    <n v="30"/>
    <n v="-129.5460859931045"/>
    <n v="0"/>
    <n v="0"/>
    <n v="0"/>
    <n v="0"/>
    <n v="0"/>
    <n v="0"/>
    <n v="0"/>
    <n v="-311.30840792617164"/>
    <n v="0"/>
    <n v="0"/>
    <n v="218.32535625244964"/>
    <n v="0"/>
    <n v="0"/>
    <n v="0"/>
    <n v="51.569539841742881"/>
    <n v="0"/>
    <n v="-75.485013169174181"/>
    <m/>
    <n v="0"/>
    <n v="0"/>
    <n v="0"/>
    <n v="0"/>
    <n v="-9.7815592883868021"/>
    <n v="-2.8660017035663827"/>
    <n v="0"/>
    <n v="0"/>
    <m/>
    <m/>
    <m/>
    <n v="27036.036902343847"/>
    <n v="0"/>
    <n v="0"/>
    <n v="-8340.3672799999949"/>
    <n v="218.16942000000017"/>
    <n v="0"/>
    <n v="0"/>
    <n v="-7992.27928014574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255"/>
    <s v="Sistema de Compensação"/>
    <s v="Convencional"/>
    <s v="B2"/>
    <s v="Rural"/>
    <s v="Não se aplica"/>
    <s v="Não se aplica"/>
    <s v="Não se aplica"/>
    <s v="Não se aplica"/>
    <s v="CATIVO"/>
    <x v="11"/>
    <n v="0"/>
    <n v="0"/>
    <n v="0.56699999999999995"/>
    <n v="0.56699999999999995"/>
    <n v="0.56699999999999995"/>
    <n v="0.56699999999999995"/>
    <m/>
    <n v="710.52"/>
    <n v="127.85"/>
    <m/>
    <n v="475.35578999999996"/>
    <n v="475.35578999999996"/>
    <n v="390.49856999999997"/>
    <n v="0"/>
    <n v="34.629568458465364"/>
    <n v="0"/>
    <n v="0"/>
    <n v="0"/>
    <n v="61.997171750458172"/>
    <n v="282.4608524558044"/>
    <n v="72.489473644819952"/>
    <n v="0"/>
    <n v="0"/>
    <n v="0"/>
    <n v="0"/>
    <n v="0"/>
    <n v="5.3554836352318178"/>
    <m/>
    <n v="1.29886278665512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.122375812871663"/>
    <n v="0"/>
    <n v="0.99"/>
    <n v="4.63"/>
    <n v="0"/>
    <n v="3"/>
    <m/>
    <m/>
    <m/>
    <m/>
    <m/>
    <n v="46.856880000000025"/>
    <m/>
    <m/>
    <m/>
    <n v="89.611849457691619"/>
    <m/>
    <m/>
    <m/>
    <m/>
    <m/>
    <m/>
    <m/>
    <m/>
    <m/>
    <m/>
    <m/>
    <m/>
    <n v="345.4599"/>
    <n v="-72.885689999999897"/>
    <m/>
    <m/>
    <m/>
    <m/>
    <n v="-87.13655999999996"/>
    <n v="2.2793400000000057"/>
    <n v="30"/>
    <n v="-1.3534416310385211"/>
    <n v="0"/>
    <n v="0"/>
    <n v="0"/>
    <n v="0"/>
    <n v="0"/>
    <n v="0"/>
    <n v="0"/>
    <n v="-3.252415973432214"/>
    <n v="0"/>
    <n v="0"/>
    <n v="2.2809691547076483"/>
    <n v="0"/>
    <n v="0"/>
    <n v="0"/>
    <n v="0.53877630945197552"/>
    <n v="0"/>
    <n v="-0.7886348596289281"/>
    <m/>
    <n v="0"/>
    <n v="0"/>
    <n v="0"/>
    <n v="0"/>
    <n v="-0.1021935124931419"/>
    <n v="-2.9942749643863786E-2"/>
    <n v="0"/>
    <n v="0"/>
    <m/>
    <m/>
    <m/>
    <n v="282.4608524558044"/>
    <n v="0"/>
    <n v="0"/>
    <n v="-87.136559999999974"/>
    <n v="2.279340000000019"/>
    <n v="0"/>
    <n v="0"/>
    <n v="-83.4998867137631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256"/>
    <s v="Regular"/>
    <s v="Convencional"/>
    <s v="B3"/>
    <s v="Poder público"/>
    <s v="Não se aplica"/>
    <s v="Não se aplica"/>
    <s v="Não se aplica"/>
    <s v="Não se aplica"/>
    <s v="CATIVO"/>
    <x v="11"/>
    <n v="0"/>
    <n v="0"/>
    <n v="12.573"/>
    <n v="12.573"/>
    <n v="12.573"/>
    <n v="12.573"/>
    <m/>
    <n v="710.52"/>
    <n v="127.85"/>
    <m/>
    <n v="10540.826009999999"/>
    <n v="10540.826009999999"/>
    <n v="8659.1508300000005"/>
    <n v="0"/>
    <n v="767.8969386742242"/>
    <n v="0"/>
    <n v="0"/>
    <n v="0"/>
    <n v="1374.7626815141282"/>
    <n v="6263.4573155675998"/>
    <n v="1607.4253124097379"/>
    <n v="0"/>
    <n v="0"/>
    <n v="0"/>
    <n v="0"/>
    <n v="0"/>
    <n v="118.75572441934683"/>
    <m/>
    <n v="28.8017668723367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9.68188905685264"/>
    <n v="0"/>
    <n v="15.79"/>
    <n v="73.260000000000005"/>
    <n v="1920.23"/>
    <n v="18"/>
    <m/>
    <m/>
    <m/>
    <m/>
    <m/>
    <m/>
    <m/>
    <m/>
    <m/>
    <n v="1987.1072014665906"/>
    <m/>
    <m/>
    <m/>
    <m/>
    <m/>
    <m/>
    <m/>
    <m/>
    <m/>
    <m/>
    <m/>
    <m/>
    <n v="8657.0847000000012"/>
    <n v="-1883.7713099999983"/>
    <m/>
    <m/>
    <m/>
    <m/>
    <n v="-1932.2186399999994"/>
    <n v="50.543460000000131"/>
    <n v="30"/>
    <n v="-30.012031088266667"/>
    <n v="0"/>
    <n v="0"/>
    <n v="0"/>
    <n v="0"/>
    <n v="0"/>
    <n v="0"/>
    <n v="0"/>
    <n v="-72.121033569600058"/>
    <n v="0"/>
    <n v="0"/>
    <n v="50.579585859152075"/>
    <n v="0"/>
    <n v="0"/>
    <n v="0"/>
    <n v="11.947150861974762"/>
    <n v="0"/>
    <n v="-17.487665061930443"/>
    <m/>
    <n v="0"/>
    <n v="0"/>
    <n v="0"/>
    <n v="0"/>
    <n v="-2.2661005865542734"/>
    <n v="-0.66396859130917463"/>
    <n v="0"/>
    <n v="0"/>
    <m/>
    <m/>
    <m/>
    <n v="6263.4573155675998"/>
    <n v="0"/>
    <n v="0"/>
    <n v="-1932.2186399999991"/>
    <n v="50.543460000000096"/>
    <n v="0"/>
    <n v="0"/>
    <n v="-1851.57685300201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257"/>
    <s v="Regular"/>
    <s v="Convencional"/>
    <s v="B4"/>
    <s v="Iluminação pública"/>
    <s v="Iluminação pública – B4a"/>
    <s v="Não se aplica"/>
    <s v="Não se aplica"/>
    <s v="Não se aplica"/>
    <s v="CATIVO"/>
    <x v="11"/>
    <n v="0"/>
    <n v="0"/>
    <n v="41.695"/>
    <n v="41.695"/>
    <n v="41.695"/>
    <n v="41.695"/>
    <m/>
    <n v="390.79"/>
    <n v="70.319999999999993"/>
    <m/>
    <n v="19225.981449999999"/>
    <n v="19225.981449999999"/>
    <n v="15793.64905"/>
    <n v="0"/>
    <n v="1400.5889264226512"/>
    <n v="0"/>
    <n v="0"/>
    <n v="0"/>
    <n v="2507.4685041877287"/>
    <n v="11424.096796701268"/>
    <n v="2931.828451483992"/>
    <n v="0"/>
    <n v="0"/>
    <n v="0"/>
    <n v="0"/>
    <n v="0"/>
    <n v="216.60192168261881"/>
    <m/>
    <n v="52.5323565066528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692.51252686900784"/>
    <n v="0"/>
    <n v="49.11"/>
    <n v="227.45"/>
    <n v="3527.39"/>
    <n v="36"/>
    <m/>
    <m/>
    <m/>
    <m/>
    <m/>
    <m/>
    <m/>
    <m/>
    <m/>
    <n v="3624.3409783529996"/>
    <m/>
    <m/>
    <m/>
    <m/>
    <m/>
    <m/>
    <m/>
    <m/>
    <m/>
    <m/>
    <m/>
    <m/>
    <n v="15795.543000000001"/>
    <n v="-3430.4684499999967"/>
    <m/>
    <m/>
    <m/>
    <m/>
    <n v="-3524.4783500000012"/>
    <n v="92.145950000000326"/>
    <n v="30"/>
    <n v="-54.739791610913926"/>
    <n v="0"/>
    <n v="0"/>
    <n v="0"/>
    <n v="0"/>
    <n v="0"/>
    <n v="0"/>
    <n v="0"/>
    <n v="-131.54359119354649"/>
    <n v="0"/>
    <n v="0"/>
    <n v="92.253535975386967"/>
    <n v="0"/>
    <n v="0"/>
    <n v="0"/>
    <n v="21.790746071301214"/>
    <n v="0"/>
    <n v="-31.896246489819532"/>
    <m/>
    <n v="0"/>
    <n v="0"/>
    <n v="0"/>
    <n v="0"/>
    <n v="-4.1332048974796578"/>
    <n v="-1.2110310767557024"/>
    <n v="0"/>
    <n v="0"/>
    <m/>
    <m/>
    <m/>
    <n v="11424.096796701268"/>
    <n v="0"/>
    <n v="0"/>
    <n v="-3524.4783500000012"/>
    <n v="92.145950000000539"/>
    <n v="0"/>
    <n v="0"/>
    <n v="-3377.1433458407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  <r>
    <n v="258"/>
    <s v="Regular"/>
    <s v="Convencional"/>
    <s v="B3"/>
    <s v="Serviço público"/>
    <s v="Água, esgoto e saneamento"/>
    <s v="Não se aplica"/>
    <s v="Não se aplica"/>
    <s v="Não se aplica"/>
    <s v="CATIVO"/>
    <x v="11"/>
    <n v="0"/>
    <n v="0"/>
    <n v="8.65"/>
    <n v="8.1310000000000002"/>
    <n v="8.65"/>
    <n v="8.1310000000000002"/>
    <m/>
    <n v="710.52"/>
    <n v="127.85"/>
    <m/>
    <n v="7251.9005000000006"/>
    <n v="7251.9005000000006"/>
    <n v="5957.3415000000005"/>
    <n v="0"/>
    <n v="528.29941299069742"/>
    <n v="0"/>
    <n v="0"/>
    <n v="0"/>
    <n v="945.8122321718929"/>
    <n v="4309.1470436379332"/>
    <n v="1105.8799771211511"/>
    <n v="0"/>
    <n v="0"/>
    <n v="0"/>
    <n v="0"/>
    <n v="0"/>
    <n v="81.701822653889295"/>
    <m/>
    <n v="19.815102477190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1.21437527573175"/>
    <n v="0"/>
    <n v="0"/>
    <n v="0"/>
    <n v="1229.25"/>
    <n v="1"/>
    <m/>
    <m/>
    <m/>
    <m/>
    <n v="357.44049000000012"/>
    <m/>
    <m/>
    <m/>
    <m/>
    <n v="1367.0943523968829"/>
    <m/>
    <m/>
    <m/>
    <m/>
    <m/>
    <m/>
    <m/>
    <m/>
    <m/>
    <m/>
    <m/>
    <m/>
    <n v="5599.2123000000011"/>
    <n v="-1217.6041699999996"/>
    <m/>
    <m/>
    <m/>
    <m/>
    <n v="-1329.3319999999997"/>
    <n v="34.773000000000089"/>
    <n v="30"/>
    <n v="-20.647742695737634"/>
    <n v="0"/>
    <n v="0"/>
    <n v="0"/>
    <n v="0"/>
    <n v="0"/>
    <n v="0"/>
    <n v="0"/>
    <n v="-49.617986190808892"/>
    <n v="0"/>
    <n v="0"/>
    <n v="34.797853947480007"/>
    <n v="0"/>
    <n v="0"/>
    <n v="0"/>
    <n v="8.2194269431386147"/>
    <n v="0"/>
    <n v="-12.031202003157432"/>
    <m/>
    <n v="0"/>
    <n v="0"/>
    <n v="0"/>
    <n v="0"/>
    <n v="-1.5590368308036631"/>
    <n v="-0.45679856158628596"/>
    <n v="0"/>
    <n v="0"/>
    <m/>
    <m/>
    <m/>
    <n v="4309.1470436379332"/>
    <n v="0"/>
    <n v="0"/>
    <n v="-1329.3320000000003"/>
    <n v="34.773000000000138"/>
    <n v="0"/>
    <n v="0"/>
    <n v="-1273.85188725582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m/>
    <n v="0"/>
    <m/>
    <m/>
    <m/>
    <m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Tabela dinâmica1" cacheId="29" applyNumberFormats="0" applyBorderFormats="0" applyFontFormats="0" applyPatternFormats="0" applyAlignmentFormats="0" applyWidthHeightFormats="1" dataCaption="Valores" updatedVersion="8" minRefreshableVersion="3" useAutoFormatting="1" itemPrintTitles="1" createdVersion="4" indent="0" outline="1" outlineData="1" multipleFieldFilters="0" chartFormat="2">
  <location ref="B33:C46" firstHeaderRow="1" firstDataRow="1" firstDataCol="1"/>
  <pivotFields count="165">
    <pivotField numFmtId="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204" showAll="0">
      <items count="60">
        <item m="1" x="39"/>
        <item m="1" x="47"/>
        <item m="1" x="55"/>
        <item m="1" x="16"/>
        <item m="1" x="24"/>
        <item m="1" x="28"/>
        <item m="1" x="35"/>
        <item m="1" x="43"/>
        <item m="1" x="51"/>
        <item m="1" x="12"/>
        <item m="1" x="20"/>
        <item m="1" x="32"/>
        <item m="1" x="40"/>
        <item m="1" x="48"/>
        <item m="1" x="56"/>
        <item m="1" x="17"/>
        <item m="1" x="25"/>
        <item m="1" x="29"/>
        <item m="1" x="36"/>
        <item m="1" x="44"/>
        <item m="1" x="52"/>
        <item m="1" x="13"/>
        <item m="1" x="21"/>
        <item m="1" x="33"/>
        <item m="1" x="41"/>
        <item m="1" x="49"/>
        <item m="1" x="57"/>
        <item m="1" x="18"/>
        <item m="1" x="26"/>
        <item m="1" x="30"/>
        <item m="1" x="37"/>
        <item m="1" x="45"/>
        <item m="1" x="53"/>
        <item m="1" x="14"/>
        <item m="1" x="22"/>
        <item m="1" x="34"/>
        <item m="1" x="42"/>
        <item m="1" x="50"/>
        <item m="1" x="58"/>
        <item m="1" x="19"/>
        <item m="1" x="27"/>
        <item m="1" x="31"/>
        <item m="1" x="38"/>
        <item m="1" x="46"/>
        <item m="1" x="54"/>
        <item m="1" x="15"/>
        <item m="1"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" showAll="0"/>
    <pivotField numFmtId="4" showAll="0"/>
    <pivotField dataField="1" numFmtId="4" showAl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/>
    <pivotField numFmtId="4" showAll="0"/>
    <pivotField showAll="0" defaultSubtotal="0"/>
    <pivotField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 defaultSubtotal="0"/>
    <pivotField numFmtId="4" showAll="0" defaultSubtotal="0"/>
    <pivotField numFmtId="4" showAll="0" defaultSubtotal="0"/>
    <pivotField numFmtId="4" showAll="0"/>
    <pivotField numFmtId="4" showAll="0" defaultSubtotal="0"/>
    <pivotField numFmtId="4" showAll="0"/>
    <pivotField numFmtId="4" showAll="0" defaultSubtotal="0"/>
    <pivotField numFmtId="4" showAll="0" defaultSubtotal="0"/>
    <pivotField numFmtId="4" showAll="0" defaultSubtotal="0"/>
    <pivotField numFmtId="4" showAll="0" defaultSubtotal="0"/>
    <pivotField numFmtId="4" showAll="0" defaultSubtotal="0"/>
    <pivotField numFmtId="4" showAll="0" defaultSubtotal="0"/>
    <pivotField showAll="0" defaultSubtotal="0"/>
    <pivotField numFmtId="4" showAll="0" defaultSubtotal="0"/>
    <pivotField numFmtId="4" showAll="0" defaultSubtotal="0"/>
    <pivotField numFmtId="4" showAll="0"/>
    <pivotField numFmtId="4" showAll="0"/>
    <pivotField numFmtId="4" showAll="0"/>
    <pivotField numFmtId="4" showAll="0"/>
    <pivotField showAll="0"/>
    <pivotField numFmtId="4" showAll="0"/>
    <pivotField numFmtId="4" showAll="0"/>
    <pivotField numFmtId="4" showAl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numFmtId="4" showAll="0" defaultSubtotal="0"/>
    <pivotField numFmtId="4"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10"/>
  </rowFields>
  <rowItems count="13"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Items count="1">
    <i/>
  </colItems>
  <dataFields count="1">
    <dataField name="Soma de TUSD_E" fld="13" baseField="0" baseItem="0" numFmtId="167"/>
  </dataFields>
  <formats count="4">
    <format dxfId="387">
      <pivotArea type="all" dataOnly="0" outline="0" fieldPosition="0"/>
    </format>
    <format dxfId="386">
      <pivotArea type="all" dataOnly="0" outline="0" fieldPosition="0"/>
    </format>
    <format dxfId="385">
      <pivotArea type="all" dataOnly="0" outline="0" fieldPosition="0"/>
    </format>
    <format dxfId="384">
      <pivotArea outline="0" collapsedLevelsAreSubtotals="1" fieldPosition="0"/>
    </format>
  </formats>
  <chartFormats count="1">
    <chartFormat chart="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600-000000000000}" name="Tabela dinâmica" cacheId="28" applyNumberFormats="0" applyBorderFormats="0" applyFontFormats="0" applyPatternFormats="0" applyAlignmentFormats="0" applyWidthHeightFormats="1" dataCaption="Valores" errorCaption="0" showError="1" missingCaption="0" updatedVersion="7" minRefreshableVersion="3" showDrill="0" showDataTips="0" useAutoFormatting="1" rowGrandTotals="0" colGrandTotals="0" itemPrintTitles="1" createdVersion="5" indent="0" showHeaders="0" outline="1" outlineData="1" chartFormat="2" fieldListSortAscending="1">
  <location ref="A6:D6" firstHeaderRow="0" firstDataRow="1" firstDataCol="3" rowPageCount="1" colPageCount="1"/>
  <pivotFields count="40">
    <pivotField axis="axisPage" showAll="0" defaultSubtotal="0">
      <items count="31">
        <item m="1" x="20"/>
        <item m="1" x="8"/>
        <item m="1" x="19"/>
        <item m="1" x="23"/>
        <item m="1" x="30"/>
        <item m="1" x="7"/>
        <item m="1" x="5"/>
        <item m="1" x="3"/>
        <item m="1" x="2"/>
        <item m="1" x="12"/>
        <item m="1" x="26"/>
        <item m="1" x="27"/>
        <item m="1" x="6"/>
        <item m="1" x="18"/>
        <item m="1" x="28"/>
        <item m="1" x="9"/>
        <item m="1" x="14"/>
        <item m="1" x="10"/>
        <item m="1" x="21"/>
        <item m="1" x="16"/>
        <item m="1" x="24"/>
        <item m="1" x="4"/>
        <item m="1" x="22"/>
        <item m="1" x="1"/>
        <item m="1" x="0"/>
        <item m="1" x="29"/>
        <item m="1" x="13"/>
        <item m="1" x="15"/>
        <item m="1" x="17"/>
        <item m="1" x="25"/>
        <item m="1" x="11"/>
      </items>
    </pivotField>
    <pivotField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outline="0" showAll="0" defaultSubtotal="0">
      <items count="13">
        <item m="1" x="2"/>
        <item m="1" x="12"/>
        <item m="1" x="8"/>
        <item m="1" x="3"/>
        <item m="1" x="0"/>
        <item m="1" x="4"/>
        <item m="1" x="1"/>
        <item m="1" x="10"/>
        <item m="1" x="6"/>
        <item m="1" x="11"/>
        <item m="1" x="9"/>
        <item m="1" x="7"/>
        <item m="1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axis="axisRow" compact="0" outline="0" subtotalTop="0" showAll="0" defaultSubtotal="0">
      <items count="6">
        <item m="1" x="2"/>
        <item m="1" x="1"/>
        <item m="1" x="5"/>
        <item m="1" x="3"/>
        <item m="1" x="4"/>
        <item m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dataField="1" showAll="0" defaultSubtotal="0"/>
    <pivotField showAll="0"/>
    <pivotField showAll="0"/>
    <pivotField dataField="1" showAll="0" defaultSubtotal="0"/>
    <pivotField dataField="1" showAll="0" defaultSubtotal="0"/>
    <pivotField dataField="1" showAll="0"/>
    <pivotField dataField="1" showAll="0"/>
    <pivotField showAll="0" defaultSubtotal="0"/>
    <pivotField showAll="0"/>
    <pivotField showAll="0"/>
    <pivotField showAll="0"/>
    <pivotField dataField="1"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30">
        <item m="1" x="8"/>
        <item m="1" x="12"/>
        <item m="1" x="15"/>
        <item m="1" x="19"/>
        <item m="1" x="22"/>
        <item m="1" x="26"/>
        <item m="1" x="29"/>
        <item m="1" x="2"/>
        <item m="1" x="5"/>
        <item m="1" x="9"/>
        <item m="1" x="13"/>
        <item m="1" x="16"/>
        <item m="1" x="17"/>
        <item m="1" x="20"/>
        <item m="1" x="23"/>
        <item m="1" x="27"/>
        <item m="1" x="0"/>
        <item m="1" x="3"/>
        <item m="1" x="6"/>
        <item m="1" x="10"/>
        <item m="1" x="14"/>
        <item m="1" x="18"/>
        <item m="1" x="21"/>
        <item m="1" x="24"/>
        <item m="1" x="25"/>
        <item m="1" x="28"/>
        <item m="1" x="1"/>
        <item m="1" x="4"/>
        <item m="1" x="7"/>
        <item m="1" x="11"/>
      </items>
    </pivotField>
    <pivotField showAll="0" defaultSubtotal="0"/>
    <pivotField showAll="0" defaultSubtotal="0"/>
    <pivotField showAll="0" defaultSubtotal="0"/>
    <pivotField showAll="0" defaultSubtotal="0"/>
  </pivotFields>
  <rowFields count="3">
    <field x="8"/>
    <field x="10"/>
    <field x="35"/>
  </rowFields>
  <colFields count="1">
    <field x="-2"/>
  </colFields>
  <pageFields count="1">
    <pageField fld="0" hier="-1"/>
  </pageFields>
  <dataFields count="8">
    <dataField name="Soma de Demanda Faturada Fora de Ponta" fld="16" baseField="8" baseItem="2"/>
    <dataField name="Soma de Demanda Faturada Ponta" fld="15" baseField="8" baseItem="2"/>
    <dataField name="Soma de Energia fora de ponta TUSD" fld="22" baseField="0" baseItem="0"/>
    <dataField name="Soma de Energia ponta TUSD" fld="21" baseField="0" baseItem="0"/>
    <dataField name="Soma de Consumo TE Fora de Ponta" fld="20" baseField="0" baseItem="0"/>
    <dataField name="Soma de Consumo TE Ponta" fld="19" baseField="10" baseItem="2"/>
    <dataField name="Soma de DIC/FIC (R$)" fld="29" baseField="8" baseItem="2"/>
    <dataField name="Soma de PIS/COFINS (R$)" fld="27" baseField="0" baseItem="0"/>
  </dataFields>
  <formats count="7">
    <format dxfId="8">
      <pivotArea collapsedLevelsAreSubtotals="1" fieldPosition="0">
        <references count="3">
          <reference field="8" count="1" selected="0">
            <x v="0"/>
          </reference>
          <reference field="10" count="1" selected="0">
            <x v="2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7">
      <pivotArea collapsedLevelsAreSubtotals="1" fieldPosition="0">
        <references count="3">
          <reference field="8" count="1" selected="0">
            <x v="0"/>
          </reference>
          <reference field="10" count="1" selected="0">
            <x v="3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6">
      <pivotArea collapsedLevelsAreSubtotals="1" fieldPosition="0">
        <references count="4">
          <reference field="4294967294" count="4" selected="0">
            <x v="0"/>
            <x v="1"/>
            <x v="4"/>
            <x v="5"/>
          </reference>
          <reference field="8" count="1" selected="0">
            <x v="1"/>
          </reference>
          <reference field="10" count="1" selected="0">
            <x v="3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5">
      <pivotArea collapsedLevelsAreSubtotals="1" fieldPosition="0">
        <references count="4">
          <reference field="4294967294" count="2" selected="0">
            <x v="4"/>
            <x v="5"/>
          </reference>
          <reference field="8" count="1" selected="0">
            <x v="6"/>
          </reference>
          <reference field="10" count="1" selected="0">
            <x v="3"/>
          </reference>
          <reference field="35" count="11">
            <x v="7"/>
            <x v="8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4">
      <pivotArea collapsedLevelsAreSubtotals="1" fieldPosition="0">
        <references count="4">
          <reference field="4294967294" count="2" selected="0">
            <x v="4"/>
            <x v="5"/>
          </reference>
          <reference field="8" count="1" selected="0">
            <x v="5"/>
          </reference>
          <reference field="10" count="1" selected="0">
            <x v="3"/>
          </reference>
          <reference field="35" count="12"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3">
      <pivotArea collapsedLevelsAreSubtotals="1" fieldPosition="0">
        <references count="4">
          <reference field="4294967294" count="1" selected="0">
            <x v="2"/>
          </reference>
          <reference field="8" count="0" selected="0"/>
          <reference field="10" count="1" selected="0">
            <x v="3"/>
          </reference>
          <reference field="35" count="12"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2">
      <pivotArea collapsedLevelsAreSubtotals="1" fieldPosition="0">
        <references count="4">
          <reference field="4294967294" count="1" selected="0">
            <x v="1"/>
          </reference>
          <reference field="8" count="1" selected="0">
            <x v="7"/>
          </reference>
          <reference field="10" count="1" selected="0">
            <x v="3"/>
          </reference>
          <reference field="35" count="7">
            <x v="12"/>
            <x v="13"/>
            <x v="14"/>
            <x v="15"/>
            <x v="16"/>
            <x v="17"/>
            <x v="18"/>
          </reference>
        </references>
      </pivotArea>
    </format>
  </format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7"/>
          </reference>
        </references>
      </pivotArea>
    </chartFormat>
  </chartFormats>
  <pivotTableStyleInfo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9A127F4-A8A3-4EAA-8B3E-BDD5C24E0265}" name="AngraCota" displayName="AngraCota" ref="AA5:AE7" totalsRowShown="0" headerRowDxfId="577" dataDxfId="576">
  <autoFilter ref="AA5:AE7" xr:uid="{B3DE7FE8-5926-4E44-9EDC-9655DE4A4B67}"/>
  <tableColumns count="5">
    <tableColumn id="1" xr3:uid="{1315B14B-5316-4DE2-9050-0B99168CC239}" name="Cotas" dataDxfId="575"/>
    <tableColumn id="2" xr3:uid="{00C64702-8D8C-4EE8-B854-0E39030818B6}" name="Valor da &quot;Cota&quot;" dataDxfId="574"/>
    <tableColumn id="3" xr3:uid="{63BFFE80-8EC9-4566-842F-9FD193C67815}" name="Ano" dataDxfId="573"/>
    <tableColumn id="4" xr3:uid="{7B5A7EF8-5CB6-4557-B7D2-1C4857462594}" name="Custo Médio da Cota" dataDxfId="572"/>
    <tableColumn id="5" xr3:uid="{D3F4B71D-C886-4718-A85E-FA54E9F8D838}" name="Energia MWh" dataDxfId="571"/>
  </tableColumns>
  <tableStyleInfo name="Padrão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9B8D880D-C09E-488C-B062-5A0EC1028849}" name="CCGF" displayName="CCGF" ref="AA21:AG23" totalsRowShown="0" headerRowDxfId="570" dataDxfId="569" headerRowCellStyle="Normal 5" dataCellStyle="Normal 5">
  <autoFilter ref="AA21:AG23" xr:uid="{8109BFC4-5B84-4531-A319-ED0D5E86A4C5}"/>
  <tableColumns count="7">
    <tableColumn id="1" xr3:uid="{59A03A63-2F04-4649-A4AF-9B891D5BEBED}" name="Leilão" dataDxfId="568" dataCellStyle="Normal 5"/>
    <tableColumn id="2" xr3:uid="{1B8E1FA7-1B1E-42CD-98A0-C36F374D9818}" name="Produto" dataDxfId="567" dataCellStyle="Normal 5"/>
    <tableColumn id="3" xr3:uid="{3C5EB2AC-0FA8-44FB-8B3B-4F205233DD96}" name="Modalidade" dataDxfId="566" dataCellStyle="Normal 5"/>
    <tableColumn id="4" xr3:uid="{C358BA83-832A-4936-8DD9-2979DA133039}" name="Fonte" dataDxfId="565" dataCellStyle="Normal 5"/>
    <tableColumn id="5" xr3:uid="{9CA52279-BDEC-44E2-A60F-C256B4A0590B}" name="Montante" dataDxfId="564" dataCellStyle="Normal 5"/>
    <tableColumn id="6" xr3:uid="{4C1D6705-AC4A-482B-AC5B-B0F755A722F2}" name="Data Base" dataDxfId="563" dataCellStyle="Vírgula"/>
    <tableColumn id="7" xr3:uid="{3DEA0CF9-631C-4B3F-B4AC-928E92F0AB84}" name="Custo Base" dataDxfId="562" dataCellStyle="Vírgula"/>
  </tableColumns>
  <tableStyleInfo name="Padrão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29091924-B5C1-48CB-9B2D-B7A56EA35397}" name="GSFRH" displayName="GSFRH" ref="AA10:AD11" totalsRowShown="0" headerRowDxfId="561" dataDxfId="560">
  <autoFilter ref="AA10:AD11" xr:uid="{3C49DBE7-062C-4416-B6BA-09DB0F685AD5}"/>
  <tableColumns count="4">
    <tableColumn id="1" xr3:uid="{6F9C1B42-695A-4B8B-B63F-DA108D710421}" name="GSF previsto" dataDxfId="559" dataCellStyle="Normal 5"/>
    <tableColumn id="2" xr3:uid="{4D1DBAC9-9D60-4D51-A973-81AD2081E4F6}" name="PLD" dataDxfId="558" dataCellStyle="Normal 5"/>
    <tableColumn id="3" xr3:uid="{0DCF2C66-C111-4FF7-BEB4-BFD00E93A10A}" name="MWm repactuado" dataDxfId="557" dataCellStyle="Normal 5"/>
    <tableColumn id="4" xr3:uid="{030AED12-E9C5-474F-937C-742184A44EF8}" name="Fator de rateio" dataDxfId="556" dataCellStyle="Normal 5"/>
  </tableColumns>
  <tableStyleInfo name="Padrão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8316AEFF-164E-469B-B00C-2651B93E067D}" name="transmissorapiscofins" displayName="transmissorapiscofins" ref="AI5:AJ20" totalsRowShown="0" headerRowDxfId="555" dataDxfId="554">
  <autoFilter ref="AI5:AJ20" xr:uid="{C3573309-01D4-4FAA-88C4-46F0CAA1CC27}"/>
  <tableColumns count="2">
    <tableColumn id="1" xr3:uid="{56AC757E-E114-458B-A041-461374D0BA5F}" name="Data" dataDxfId="553"/>
    <tableColumn id="2" xr3:uid="{578DAC09-D952-4F72-9444-614F5761412A}" name="Valor Pis/Cofins Transmissora" dataDxfId="552"/>
  </tableColumns>
  <tableStyleInfo name="Padrão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6DA2AD2D-C149-4C83-A138-5D380C04C282}" name="CVA_Ant" displayName="CVA_Ant" ref="AL5:AM18" totalsRowShown="0">
  <autoFilter ref="AL5:AM18" xr:uid="{7B702749-3F79-44BE-BEDA-74D12D0B4C5B}"/>
  <tableColumns count="2">
    <tableColumn id="1" xr3:uid="{DF49CB2E-FB82-414B-9999-54C1DCD1E6C0}" name="CVA" dataDxfId="551"/>
    <tableColumn id="2" xr3:uid="{AAB31625-7790-4B9A-AC2F-62007C1AB8C0}" name="Valor" dataDxfId="550"/>
  </tableColumns>
  <tableStyleInfo name="Padrão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2E07311B-F74E-449E-81FD-B2BBBED3E4B3}" name="TabEncargosBancoConsolidados" displayName="TabEncargosBancoConsolidados" ref="B70:D77" totalsRowShown="0" headerRowDxfId="549">
  <autoFilter ref="B70:D77" xr:uid="{2E07311B-F74E-449E-81FD-B2BBBED3E4B3}"/>
  <tableColumns count="3">
    <tableColumn id="1" xr3:uid="{34D06310-1B0F-4D68-8C00-ED68EED3BDEB}" name="Encargo" dataDxfId="548"/>
    <tableColumn id="2" xr3:uid="{9D37526B-68DA-4918-8BA1-31EFC93C676E}" name="Valor" dataDxfId="547" dataCellStyle="Vírgula"/>
    <tableColumn id="3" xr3:uid="{62B99FEA-2637-4880-B5A6-705D0DFDF64C}" name="DSP" dataDxfId="546"/>
  </tableColumns>
  <tableStyleInfo name="Estilo de Tabela 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1246E986-5AFA-4E40-BCC4-649D094A68F9}" name="TabEnergiaProinfa" displayName="TabEnergiaProinfa" ref="AA15:AB16" totalsRowShown="0" headerRowDxfId="545">
  <autoFilter ref="AA15:AB16" xr:uid="{1246E986-5AFA-4E40-BCC4-649D094A68F9}"/>
  <tableColumns count="2">
    <tableColumn id="1" xr3:uid="{D4D96454-0BF2-4CE9-B9F7-0CF391A2F556}" name="Proinfa" dataDxfId="544"/>
    <tableColumn id="2" xr3:uid="{62B09719-28BC-4F30-8705-5FB3C24A0D07}" name="MWh" dataDxfId="543"/>
  </tableColumns>
  <tableStyleInfo name="Padrão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1A968768-5E00-4725-815D-7B925098B780}" name="Escassez" displayName="Escassez" ref="AO5:AQ9" totalsRowShown="0" headerRowDxfId="542" dataDxfId="541">
  <autoFilter ref="AO5:AQ9" xr:uid="{1A968768-5E00-4725-815D-7B925098B780}"/>
  <tableColumns count="3">
    <tableColumn id="1" xr3:uid="{FC8C62E6-3A06-4479-B5D7-11BDBC46D611}" name="Conta Escassez" dataDxfId="540"/>
    <tableColumn id="2" xr3:uid="{55A5FC57-FA17-4C65-B2C8-0C51598692AE}" name="Valor" dataDxfId="539"/>
    <tableColumn id="3" xr3:uid="{C90C9243-AD2A-42D1-9D06-640F7A17A24B}" name="Legislacao" dataDxfId="538"/>
  </tableColumns>
  <tableStyleInfo name="Padrão 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63306B16-ABC6-4C4A-8A31-BA4561D3E91F}" name="TabFinanNeutralidade" displayName="TabFinanNeutralidade" ref="AI24:AK45" totalsRowShown="0" headerRowDxfId="537" dataDxfId="536">
  <autoFilter ref="AI24:AK45" xr:uid="{63306B16-ABC6-4C4A-8A31-BA4561D3E91F}"/>
  <tableColumns count="3">
    <tableColumn id="1" xr3:uid="{E80EBDF5-704B-4864-987B-30FABD11C257}" name="Grupo_TARIFA" dataDxfId="535"/>
    <tableColumn id="2" xr3:uid="{C48FAF4C-2500-4FE3-A576-CC56F4BB20F4}" name="Detalhe_Grupo_TARIFA" dataDxfId="534"/>
    <tableColumn id="3" xr3:uid="{C451D982-3266-4B86-86BB-DCF98A1C0BC5}" name="valor" dataDxfId="533" dataCellStyle="Vírgula"/>
  </tableColumns>
  <tableStyleInfo name="Padrão 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5E07B889-3CC1-4EB8-A2FA-27865F10E9FF}" name="TabFinanCovid" displayName="TabFinanCovid" ref="AM24:AP31" totalsRowShown="0" headerRowDxfId="532" dataDxfId="531">
  <autoFilter ref="AM24:AP31" xr:uid="{5E07B889-3CC1-4EB8-A2FA-27865F10E9FF}"/>
  <tableColumns count="4">
    <tableColumn id="1" xr3:uid="{A684CBA1-85F2-4F6F-9549-132415395C97}" name="Grupo Tarifa" dataDxfId="530"/>
    <tableColumn id="2" xr3:uid="{601A6100-10DA-47B4-AC85-55E7B31A99AC}" name="Detalhe Grupo" dataDxfId="529"/>
    <tableColumn id="3" xr3:uid="{C6D6A904-43B1-4BB1-8721-FC3B084DEB3F}" name="Det3" dataDxfId="528"/>
    <tableColumn id="4" xr3:uid="{49E46CEE-1005-4E4F-AD52-B5C103AA28C0}" name="Valor" dataDxfId="527" dataCellStyle="Vírgula"/>
  </tableColumns>
  <tableStyleInfo name="Padrão 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ED60079D-08D5-46B4-B1E6-28428B2FF85A}" name="TabPerdaDIT" displayName="TabPerdaDIT" ref="AA26:AB30" totalsRowShown="0" headerRowDxfId="526" tableBorderDxfId="525">
  <autoFilter ref="AA26:AB30" xr:uid="{ED60079D-08D5-46B4-B1E6-28428B2FF85A}"/>
  <tableColumns count="2">
    <tableColumn id="1" xr3:uid="{C7D3432F-090C-4D89-8F9B-66E323363124}" name="Dados de perda" dataDxfId="524"/>
    <tableColumn id="2" xr3:uid="{7924BC5A-340A-47DE-8986-F75E2F948A7A}" name="Valor" dataDxfId="523"/>
  </tableColumns>
  <tableStyleInfo name="Estilo de Tabela 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16000000}" name="Consulta2" displayName="Consulta2" ref="A1:H1132" totalsRowShown="0">
  <tableColumns count="8">
    <tableColumn id="1" xr3:uid="{00000000-0010-0000-1600-000001000000}" name="IdeAgenteSuprida" dataDxfId="522"/>
    <tableColumn id="2" xr3:uid="{00000000-0010-0000-1600-000002000000}" name="NomPessoaSuprida" dataDxfId="521"/>
    <tableColumn id="3" xr3:uid="{00000000-0010-0000-1600-000003000000}" name="IdeAgenteSupridora" dataDxfId="520"/>
    <tableColumn id="4" xr3:uid="{00000000-0010-0000-1600-000004000000}" name="NomPessoaSupridora" dataDxfId="519"/>
    <tableColumn id="5" xr3:uid="{00000000-0010-0000-1600-000005000000}" name="DescSubGrupoSgt" dataDxfId="518"/>
    <tableColumn id="6" xr3:uid="{00000000-0010-0000-1600-000006000000}" name="MesAno"/>
    <tableColumn id="7" xr3:uid="{00000000-0010-0000-1600-000007000000}" name="Descricao" dataDxfId="517"/>
    <tableColumn id="8" xr3:uid="{00000000-0010-0000-1600-000008000000}" name="Valor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00000000}" name="Informacoes" displayName="Informacoes" ref="A9:AN61" totalsRowShown="0" headerRowDxfId="516" dataDxfId="514" headerRowBorderDxfId="515" tableBorderDxfId="513">
  <autoFilter ref="A9:AN61" xr:uid="{00000000-0009-0000-0100-00001A000000}">
    <filterColumn colId="0">
      <filters>
        <filter val="Ceris"/>
      </filters>
    </filterColumn>
  </autoFilter>
  <tableColumns count="40">
    <tableColumn id="1" xr3:uid="{00000000-0010-0000-0000-000001000000}" name="Sigla" dataDxfId="512"/>
    <tableColumn id="2" xr3:uid="{00000000-0010-0000-0000-000002000000}" name="NomeSAMP" dataDxfId="511"/>
    <tableColumn id="3" xr3:uid="{00000000-0010-0000-0000-000003000000}" name="SARI" dataDxfId="510"/>
    <tableColumn id="4" xr3:uid="{00000000-0010-0000-0000-000004000000}" name="Área" dataDxfId="509"/>
    <tableColumn id="5" xr3:uid="{00000000-0010-0000-0000-000005000000}" name="Tipo de Contrato" dataDxfId="508"/>
    <tableColumn id="6" xr3:uid="{00000000-0010-0000-0000-000006000000}" name="Sede" dataDxfId="507"/>
    <tableColumn id="7" xr3:uid="{00000000-0010-0000-0000-000007000000}" name="UF" dataDxfId="506"/>
    <tableColumn id="8" xr3:uid="{00000000-0010-0000-0000-000008000000}" name="WACC ERD" dataDxfId="505"/>
    <tableColumn id="9" xr3:uid="{00000000-0010-0000-0000-000009000000}" name="Supridora 1" dataDxfId="504"/>
    <tableColumn id="33" xr3:uid="{00000000-0010-0000-0000-000021000000}" name="idsreagsupridora 1" dataDxfId="503"/>
    <tableColumn id="10" xr3:uid="{00000000-0010-0000-0000-00000A000000}" name="Supridora 2" dataDxfId="502"/>
    <tableColumn id="35" xr3:uid="{00000000-0010-0000-0000-000023000000}" name="idsreagsupridora2" dataDxfId="501"/>
    <tableColumn id="11" xr3:uid="{00000000-0010-0000-0000-00000B000000}" name="Desconto Tusd" dataDxfId="500"/>
    <tableColumn id="12" xr3:uid="{00000000-0010-0000-0000-00000C000000}" name="Proinfa MWh" dataDxfId="499"/>
    <tableColumn id="36" xr3:uid="{00000000-0010-0000-0000-000024000000}" name="REH Proinfa" dataDxfId="498"/>
    <tableColumn id="13" xr3:uid="{00000000-0010-0000-0000-00000D000000}" name="Beta" dataDxfId="497"/>
    <tableColumn id="14" xr3:uid="{00000000-0010-0000-0000-00000E000000}" name="Limite PB" dataDxfId="496" dataCellStyle="Vírgula"/>
    <tableColumn id="31" xr3:uid="{00000000-0010-0000-0000-00001F000000}" name="Data Base Limite PB" dataDxfId="495" dataCellStyle="Vírgula"/>
    <tableColumn id="30" xr3:uid="{00000000-0010-0000-0000-00001E000000}" name="Despacho limite Parcela B" dataDxfId="494" dataCellStyle="Vírgula"/>
    <tableColumn id="15" xr3:uid="{00000000-0010-0000-0000-00000F000000}" name="Contrato Permissão" dataDxfId="493"/>
    <tableColumn id="16" xr3:uid="{00000000-0010-0000-0000-000010000000}" name="Data Contrato" dataDxfId="492"/>
    <tableColumn id="17" xr3:uid="{00000000-0010-0000-0000-000011000000}" name="Próxima Revisão" dataDxfId="491"/>
    <tableColumn id="19" xr3:uid="{00000000-0010-0000-0000-000013000000}" name="Última REH" dataDxfId="490"/>
    <tableColumn id="20" xr3:uid="{00000000-0010-0000-0000-000014000000}" name="Data última REH " dataDxfId="489"/>
    <tableColumn id="21" xr3:uid="{00000000-0010-0000-0000-000015000000}" name="Pd" dataDxfId="488"/>
    <tableColumn id="22" xr3:uid="{00000000-0010-0000-0000-000016000000}" name="T" dataDxfId="487"/>
    <tableColumn id="26" xr3:uid="{00000000-0010-0000-0000-00001A000000}" name="Supridora para calculo da subvenção" dataDxfId="486"/>
    <tableColumn id="24" xr3:uid="{00000000-0010-0000-0000-000018000000}" name="Densidade Cooperativa" dataDxfId="485" dataCellStyle="Vírgula"/>
    <tableColumn id="25" xr3:uid="{00000000-0010-0000-0000-000019000000}" name="Densidade Principal Supridora" dataDxfId="484"/>
    <tableColumn id="27" xr3:uid="{00000000-0010-0000-0000-00001B000000}" name="Subvenção Anual (R$)" dataDxfId="483"/>
    <tableColumn id="28" xr3:uid="{00000000-0010-0000-0000-00001C000000}" name="Data Referência Subvenção" dataDxfId="482"/>
    <tableColumn id="39" xr3:uid="{3093CAC3-54C5-4BCF-9CB8-B8E3D611B57C}" name="Data de aniversarioda supridora" dataDxfId="481"/>
    <tableColumn id="23" xr3:uid="{00000000-0010-0000-0000-000017000000}" name="Geração Própria" dataDxfId="480"/>
    <tableColumn id="29" xr3:uid="{00000000-0010-0000-0000-00001D000000}" name="Data de referência da Geração Própria" dataDxfId="479"/>
    <tableColumn id="18" xr3:uid="{00000000-0010-0000-0000-000012000000}" name="Data da RTE" dataDxfId="478"/>
    <tableColumn id="32" xr3:uid="{00000000-0010-0000-0000-000020000000}" name="Data original" dataDxfId="477"/>
    <tableColumn id="34" xr3:uid="{00000000-0010-0000-0000-000022000000}" name="Regularização" dataDxfId="476"/>
    <tableColumn id="37" xr3:uid="{00000000-0010-0000-0000-000025000000}" name="vigência das tarifas" dataDxfId="475"/>
    <tableColumn id="38" xr3:uid="{00000000-0010-0000-0000-000026000000}" name="TUSD 2019" dataDxfId="474"/>
    <tableColumn id="40" xr3:uid="{00724FE7-7DEC-42A0-9F57-47D4901A2437}" name="CDE Conta covid" dataDxfId="473" dataCellStyle="Vírgula"/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01000000}" name="DescontosTE" displayName="DescontosTE" ref="A68:N150" totalsRowShown="0" headerRowDxfId="472">
  <autoFilter ref="A68:N150" xr:uid="{00000000-0009-0000-0100-00001B000000}">
    <filterColumn colId="0">
      <filters>
        <filter val="Ceris"/>
      </filters>
    </filterColumn>
  </autoFilter>
  <tableColumns count="14">
    <tableColumn id="1" xr3:uid="{00000000-0010-0000-0100-000001000000}" name="Permissionária" dataDxfId="471"/>
    <tableColumn id="2" xr3:uid="{00000000-0010-0000-0100-000002000000}" name="Supridora" dataDxfId="470"/>
    <tableColumn id="11" xr3:uid="{00000000-0010-0000-0100-00000B000000}" name="idsreag supridora" dataDxfId="469"/>
    <tableColumn id="13" xr3:uid="{00000000-0010-0000-0100-00000D000000}" name="codsariSUP" dataDxfId="468"/>
    <tableColumn id="3" xr3:uid="{00000000-0010-0000-0100-000003000000}" name="Classe" dataDxfId="467"/>
    <tableColumn id="12" xr3:uid="{00000000-0010-0000-0100-00000C000000}" name="chave" dataDxfId="466">
      <calculatedColumnFormula>CONCATENATE(DescontosTE[[#This Row],[Permissionária]],DescontosTE[[#This Row],[codsariSUP]],DescontosTE[[#This Row],[Classe]])</calculatedColumnFormula>
    </tableColumn>
    <tableColumn id="4" xr3:uid="{00000000-0010-0000-0100-000004000000}" name="2015" dataDxfId="465" dataCellStyle="Porcentagem"/>
    <tableColumn id="5" xr3:uid="{00000000-0010-0000-0100-000005000000}" name="2016" dataDxfId="464" dataCellStyle="Porcentagem"/>
    <tableColumn id="6" xr3:uid="{00000000-0010-0000-0100-000006000000}" name="2017" dataDxfId="463" dataCellStyle="Porcentagem"/>
    <tableColumn id="7" xr3:uid="{00000000-0010-0000-0100-000007000000}" name="2018" dataDxfId="462"/>
    <tableColumn id="8" xr3:uid="{00000000-0010-0000-0100-000008000000}" name="2019"/>
    <tableColumn id="9" xr3:uid="{00000000-0010-0000-0100-000009000000}" name="2020" dataDxfId="461"/>
    <tableColumn id="10" xr3:uid="{00000000-0010-0000-0100-00000A000000}" name="2021" dataDxfId="460"/>
    <tableColumn id="14" xr3:uid="{B5A28D64-A9AD-4094-B8A7-710FBD6E5C00}" name="2022"/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tarifasb1" displayName="TAbtarifasb1" ref="A156:N221" totalsRowShown="0">
  <autoFilter ref="A156:N221" xr:uid="{00000000-0009-0000-0100-000003000000}">
    <filterColumn colId="1">
      <filters>
        <filter val="Ceris"/>
        <filter val="Eletropaulo"/>
      </filters>
    </filterColumn>
  </autoFilter>
  <tableColumns count="14">
    <tableColumn id="1" xr3:uid="{00000000-0010-0000-0200-000001000000}" name="Tipo" dataDxfId="459"/>
    <tableColumn id="2" xr3:uid="{00000000-0010-0000-0200-000002000000}" name="Sigla" dataDxfId="458"/>
    <tableColumn id="3" xr3:uid="{00000000-0010-0000-0200-000003000000}" name="2012"/>
    <tableColumn id="4" xr3:uid="{00000000-0010-0000-0200-000004000000}" name="RTE 2013"/>
    <tableColumn id="5" xr3:uid="{00000000-0010-0000-0200-000005000000}" name="2013"/>
    <tableColumn id="6" xr3:uid="{00000000-0010-0000-0200-000006000000}" name="2014"/>
    <tableColumn id="7" xr3:uid="{00000000-0010-0000-0200-000007000000}" name="2015"/>
    <tableColumn id="8" xr3:uid="{00000000-0010-0000-0200-000008000000}" name="2016"/>
    <tableColumn id="9" xr3:uid="{00000000-0010-0000-0200-000009000000}" name="2017"/>
    <tableColumn id="10" xr3:uid="{00000000-0010-0000-0200-00000A000000}" name="2018"/>
    <tableColumn id="11" xr3:uid="{00000000-0010-0000-0200-00000B000000}" name="2019"/>
    <tableColumn id="12" xr3:uid="{D33DAAE0-16E7-43C4-A99E-E8C738ABB5AD}" name="2020" dataDxfId="457"/>
    <tableColumn id="13" xr3:uid="{8826BBF2-B4AC-47B1-8264-44F5DFEFA090}" name="2021"/>
    <tableColumn id="14" xr3:uid="{81EC5E27-D8D6-4C79-8BCA-BCF66EC6AC0E}" name="2022"/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03000000}" name="Tabela21" displayName="Tabela21" ref="E43:E99" totalsRowShown="0" headerRowDxfId="442" dataDxfId="441">
  <autoFilter ref="E43:E99" xr:uid="{00000000-0009-0000-0100-000015000000}">
    <filterColumn colId="0">
      <filters>
        <filter val="1"/>
      </filters>
    </filterColumn>
  </autoFilter>
  <tableColumns count="1">
    <tableColumn id="1" xr3:uid="{00000000-0010-0000-0300-000001000000}" name="Colunas1" dataDxfId="440">
      <calculatedColumnFormula>IF(D44=0,0,1)</calculatedColumnFormula>
    </tableColumn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4000000}" name="Filtro01" displayName="Filtro01" ref="H60:H69" totalsRowShown="0" headerRowDxfId="438" dataDxfId="437">
  <autoFilter ref="H60:H69" xr:uid="{00000000-0009-0000-0100-000002000000}">
    <filterColumn colId="0">
      <filters>
        <filter val="1"/>
      </filters>
    </filterColumn>
  </autoFilter>
  <tableColumns count="1">
    <tableColumn id="1" xr3:uid="{00000000-0010-0000-0400-000001000000}" name="1" dataDxfId="436">
      <calculatedColumnFormula>IF(G61=0,0,1)</calculatedColumnFormula>
    </tableColumn>
  </tableColumns>
  <tableStyleInfo name="TableStyleMedium9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5000000}" name="Filtro02" displayName="Filtro02" ref="L74:L94" totalsRowShown="0" headerRowDxfId="435" dataDxfId="434">
  <autoFilter ref="L74:L94" xr:uid="{00000000-0009-0000-0100-000004000000}">
    <filterColumn colId="0">
      <filters>
        <filter val="1"/>
      </filters>
    </filterColumn>
  </autoFilter>
  <tableColumns count="1">
    <tableColumn id="1" xr3:uid="{00000000-0010-0000-0500-000001000000}" name="1" dataDxfId="433">
      <calculatedColumnFormula>IF(J75=0,0,1)</calculatedColumnFormula>
    </tableColumn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6000000}" name="Filtro03" displayName="Filtro03" ref="O99:O108" totalsRowShown="0" headerRowDxfId="432" dataDxfId="431" headerRowCellStyle="Normal 54 2">
  <autoFilter ref="O99:O108" xr:uid="{00000000-0009-0000-0100-000009000000}">
    <filterColumn colId="0">
      <filters>
        <filter val="1"/>
      </filters>
    </filterColumn>
  </autoFilter>
  <tableColumns count="1">
    <tableColumn id="1" xr3:uid="{00000000-0010-0000-0600-000001000000}" name="1" dataDxfId="430">
      <calculatedColumnFormula>IF(N100=0,0,1)</calculatedColumnFormula>
    </tableColumn>
  </tableColumns>
  <tableStyleInfo name="TableStyleMedium9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7000000}" name="Filtro04" displayName="Filtro04" ref="U119:U124" totalsRowShown="0" headerRowDxfId="429" dataDxfId="428" headerRowCellStyle="Normal 54 2" dataCellStyle="Normal 54 2">
  <autoFilter ref="U119:U124" xr:uid="{00000000-0009-0000-0100-00000A000000}">
    <filterColumn colId="0">
      <filters>
        <filter val="1"/>
      </filters>
    </filterColumn>
  </autoFilter>
  <tableColumns count="1">
    <tableColumn id="1" xr3:uid="{00000000-0010-0000-0700-000001000000}" name="1" dataDxfId="427" dataCellStyle="Normal 54 2">
      <calculatedColumnFormula>IF(T120=0,0,1)</calculatedColumnFormula>
    </tableColumn>
  </tableColumns>
  <tableStyleInfo name="TableStyleMedium9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8000000}" name="Filtro05" displayName="Filtro05" ref="Y128:Y133" totalsRowShown="0" headerRowDxfId="426" dataDxfId="425" headerRowCellStyle="Normal 54 2" dataCellStyle="Normal 54 2">
  <autoFilter ref="Y128:Y133" xr:uid="{00000000-0009-0000-0100-00000B000000}">
    <filterColumn colId="0">
      <filters>
        <filter val="1"/>
      </filters>
    </filterColumn>
  </autoFilter>
  <tableColumns count="1">
    <tableColumn id="1" xr3:uid="{00000000-0010-0000-0800-000001000000}" name="1" dataDxfId="424" dataCellStyle="Normal 54 2">
      <calculatedColumnFormula>IF(W129=0,0,1)</calculatedColumnFormula>
    </tableColumn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9000000}" name="Filtro06" displayName="Filtro06" ref="AD137:AD141" totalsRowShown="0" headerRowDxfId="423" dataDxfId="421" headerRowBorderDxfId="422" tableBorderDxfId="420" totalsRowBorderDxfId="419" headerRowCellStyle="Normal 54 2" dataCellStyle="Normal 54 2">
  <autoFilter ref="AD137:AD141" xr:uid="{00000000-0009-0000-0100-00000C000000}">
    <filterColumn colId="0">
      <filters>
        <filter val="1"/>
      </filters>
    </filterColumn>
  </autoFilter>
  <tableColumns count="1">
    <tableColumn id="1" xr3:uid="{00000000-0010-0000-0900-000001000000}" name="1" dataDxfId="418" dataCellStyle="Normal 54 2">
      <calculatedColumnFormula>IF(AA138=0,0,1)</calculatedColumnFormula>
    </tableColumn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A000000}" name="Filtro07" displayName="Filtro07" ref="AL145:AL160" totalsRowShown="0" headerRowDxfId="417" dataDxfId="416" headerRowCellStyle="Normal 54 2" dataCellStyle="Normal 54 2">
  <autoFilter ref="AL145:AL160" xr:uid="{00000000-0009-0000-0100-00000E000000}">
    <filterColumn colId="0">
      <filters>
        <filter val="1"/>
      </filters>
    </filterColumn>
  </autoFilter>
  <tableColumns count="1">
    <tableColumn id="1" xr3:uid="{00000000-0010-0000-0A00-000001000000}" name="1" dataDxfId="415" dataCellStyle="Normal 54 2">
      <calculatedColumnFormula>IF(AE146=0,0,1)</calculatedColumnFormula>
    </tableColumn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B000000}" name="Filtro08" displayName="Filtro08" ref="AO164:AP196" totalsRowShown="0" headerRowDxfId="414" dataDxfId="413" headerRowCellStyle="Normal 54 2" dataCellStyle="Normal 54 2">
  <autoFilter ref="AO164:AP196" xr:uid="{00000000-0009-0000-0100-00000F000000}">
    <filterColumn colId="0">
      <filters>
        <filter val="1"/>
      </filters>
    </filterColumn>
  </autoFilter>
  <tableColumns count="2">
    <tableColumn id="1" xr3:uid="{00000000-0010-0000-0B00-000001000000}" name="1" dataDxfId="412" dataCellStyle="Normal 54 2">
      <calculatedColumnFormula>IF(AN165=0,0,1)</calculatedColumnFormula>
    </tableColumn>
    <tableColumn id="2" xr3:uid="{00000000-0010-0000-0B00-000002000000}" name="2" dataDxfId="411" dataCellStyle="Normal 54 2"/>
  </tableColumns>
  <tableStyleInfo name="TableStyleMedium9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C000000}" name="Filtro09" displayName="Filtro09" ref="AY207:AY264" totalsRowShown="0" headerRowDxfId="410" dataDxfId="409" headerRowCellStyle="Normal 54 2" dataCellStyle="Normal 54 2">
  <autoFilter ref="AY207:AY264" xr:uid="{00000000-0009-0000-0100-000010000000}">
    <filterColumn colId="0">
      <filters>
        <filter val="1"/>
      </filters>
    </filterColumn>
  </autoFilter>
  <tableColumns count="1">
    <tableColumn id="1" xr3:uid="{00000000-0010-0000-0C00-000001000000}" name="1" dataDxfId="408" dataCellStyle="Normal 54 2">
      <calculatedColumnFormula>IF(AW208=0,0,1)</calculatedColumnFormula>
    </tableColumn>
  </tableColumns>
  <tableStyleInfo name="TableStyleMedium9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0D000000}" name="Tabela19" displayName="Tabela19" ref="BS287:BS294" totalsRowShown="0" headerRowDxfId="407" dataDxfId="406" tableBorderDxfId="405" headerRowCellStyle="Normal 54 2" dataCellStyle="Year 2 6">
  <autoFilter ref="BS287:BS294" xr:uid="{00000000-0009-0000-0100-000013000000}"/>
  <tableColumns count="1">
    <tableColumn id="1" xr3:uid="{00000000-0010-0000-0D00-000001000000}" name="Colunas1" dataDxfId="404" dataCellStyle="Year 2 6">
      <calculatedColumnFormula>IF(BR288=0,0,1)</calculatedColumnFormula>
    </tableColumn>
  </tableColumns>
  <tableStyleInfo name="TableStyleMedium9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0E000000}" name="Tabela20" displayName="Tabela20" ref="BJ267:BJ274" totalsRowShown="0" headerRowDxfId="403" dataDxfId="401" headerRowBorderDxfId="402" tableBorderDxfId="400" totalsRowBorderDxfId="399" headerRowCellStyle="Normal 54 2" dataCellStyle="Normal 54 2">
  <autoFilter ref="BJ267:BJ274" xr:uid="{00000000-0009-0000-0100-000014000000}">
    <filterColumn colId="0">
      <filters>
        <filter val="1"/>
      </filters>
    </filterColumn>
  </autoFilter>
  <tableColumns count="1">
    <tableColumn id="1" xr3:uid="{00000000-0010-0000-0E00-000001000000}" name="Colunas1" dataDxfId="398" dataCellStyle="Normal 54 2">
      <calculatedColumnFormula>IF(BH268=0,0,1)</calculatedColumnFormula>
    </tableColumn>
  </tableColumns>
  <tableStyleInfo name="TableStyleMedium9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0F000000}" name="Tabela24" displayName="Tabela24" ref="BY296:BZ303" totalsRowShown="0" headerRowDxfId="397" dataDxfId="396" headerRowCellStyle="Normal 54 2" dataCellStyle="Normal 54 2">
  <autoFilter ref="BY296:BZ303" xr:uid="{00000000-0009-0000-0100-000018000000}">
    <filterColumn colId="0">
      <filters>
        <filter val="1"/>
      </filters>
    </filterColumn>
  </autoFilter>
  <tableColumns count="2">
    <tableColumn id="1" xr3:uid="{00000000-0010-0000-0F00-000001000000}" name="Colunas1" dataDxfId="395" dataCellStyle="Normal 54 2">
      <calculatedColumnFormula>IF(BU297=0,0,1)</calculatedColumnFormula>
    </tableColumn>
    <tableColumn id="2" xr3:uid="{00000000-0010-0000-0F00-000002000000}" name="Colunas2" dataDxfId="394" dataCellStyle="Normal 54 2"/>
  </tableColumns>
  <tableStyleInfo name="TableStyleMedium9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0000000}" name="Tabela18" displayName="Tabela18" ref="BN276:BN284" totalsRowShown="0" headerRowDxfId="393" dataDxfId="391" headerRowBorderDxfId="392" tableBorderDxfId="390" totalsRowBorderDxfId="389" headerRowCellStyle="Normal 54 2" dataCellStyle="Normal 54 2">
  <autoFilter ref="BN276:BN284" xr:uid="{00000000-0009-0000-0100-000012000000}">
    <filterColumn colId="0">
      <filters>
        <filter val="1"/>
      </filters>
    </filterColumn>
  </autoFilter>
  <tableColumns count="1">
    <tableColumn id="1" xr3:uid="{00000000-0010-0000-1000-000001000000}" name="Colunas1" dataDxfId="388" dataCellStyle="Normal 54 2">
      <calculatedColumnFormula>IF(BM277=0,0,1)</calculatedColumnFormula>
    </tableColumn>
  </tableColumns>
  <tableStyleInfo name="TableStyleMedium9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12000000}" name="dados_MercadoBase" displayName="dados_MercadoBase" ref="A2:FI260" totalsRowShown="0" headerRowDxfId="383" dataDxfId="382" totalsRowDxfId="381">
  <autoFilter ref="A2:FI260" xr:uid="{00000000-0009-0000-0100-00000D000000}"/>
  <tableColumns count="165">
    <tableColumn id="1" xr3:uid="{00000000-0010-0000-1200-000001000000}" name="Código" dataDxfId="380" totalsRowDxfId="379"/>
    <tableColumn id="74" xr3:uid="{00000000-0010-0000-1200-00004A000000}" name="TipoMercado" dataDxfId="378" totalsRowDxfId="377"/>
    <tableColumn id="75" xr3:uid="{00000000-0010-0000-1200-00004B000000}" name="Modalidade" dataDxfId="376" totalsRowDxfId="375"/>
    <tableColumn id="76" xr3:uid="{00000000-0010-0000-1200-00004C000000}" name="Subgrupo" dataDxfId="374" totalsRowDxfId="373"/>
    <tableColumn id="77" xr3:uid="{00000000-0010-0000-1200-00004D000000}" name="Classe" dataDxfId="372" totalsRowDxfId="371"/>
    <tableColumn id="78" xr3:uid="{00000000-0010-0000-1200-00004E000000}" name="Subclasse" dataDxfId="370" totalsRowDxfId="369"/>
    <tableColumn id="79" xr3:uid="{00000000-0010-0000-1200-00004F000000}" name="Detalhe" dataDxfId="368" totalsRowDxfId="367"/>
    <tableColumn id="80" xr3:uid="{00000000-0010-0000-1200-000050000000}" name="Agente" dataDxfId="366" totalsRowDxfId="365"/>
    <tableColumn id="81" xr3:uid="{00000000-0010-0000-1200-000051000000}" name="Posto" dataDxfId="364" totalsRowDxfId="363"/>
    <tableColumn id="82" xr3:uid="{00000000-0010-0000-1200-000052000000}" name="OPÇÃO" dataDxfId="362" totalsRowDxfId="361"/>
    <tableColumn id="83" xr3:uid="{00000000-0010-0000-1200-000053000000}" name="AnoMes" dataDxfId="360" totalsRowDxfId="359"/>
    <tableColumn id="84" xr3:uid="{00000000-0010-0000-1200-000054000000}" name="D" dataDxfId="358" totalsRowDxfId="357"/>
    <tableColumn id="85" xr3:uid="{00000000-0010-0000-1200-000055000000}" name="Daj" dataDxfId="356" totalsRowDxfId="355"/>
    <tableColumn id="86" xr3:uid="{00000000-0010-0000-1200-000056000000}" name="TUSD_E" dataDxfId="354" totalsRowDxfId="353"/>
    <tableColumn id="87" xr3:uid="{00000000-0010-0000-1200-000057000000}" name="TUSD_Eaj" dataDxfId="352" totalsRowDxfId="351"/>
    <tableColumn id="88" xr3:uid="{00000000-0010-0000-1200-000058000000}" name="TE_E" dataDxfId="350" totalsRowDxfId="349"/>
    <tableColumn id="89" xr3:uid="{00000000-0010-0000-1200-000059000000}" name="TE_Eaj" dataDxfId="348" totalsRowDxfId="347"/>
    <tableColumn id="90" xr3:uid="{00000000-0010-0000-1200-00005A000000}" name="TUSD/KW" dataDxfId="346" totalsRowDxfId="345"/>
    <tableColumn id="91" xr3:uid="{00000000-0010-0000-1200-00005B000000}" name="TUSD/MWh" dataDxfId="344" totalsRowDxfId="343"/>
    <tableColumn id="92" xr3:uid="{00000000-0010-0000-1200-00005C000000}" name="TE" dataDxfId="342" totalsRowDxfId="341"/>
    <tableColumn id="93" xr3:uid="{00000000-0010-0000-1200-00005D000000}" name="ReceitaD" dataDxfId="340" totalsRowDxfId="339"/>
    <tableColumn id="94" xr3:uid="{00000000-0010-0000-1200-00005E000000}" name="ReceitaE" dataDxfId="338" totalsRowDxfId="337"/>
    <tableColumn id="95" xr3:uid="{00000000-0010-0000-1200-00005F000000}" name="Total" dataDxfId="336" totalsRowDxfId="335"/>
    <tableColumn id="96" xr3:uid="{00000000-0010-0000-1200-000060000000}" name="Total com Tar de aplicação" dataDxfId="334" totalsRowDxfId="333"/>
    <tableColumn id="97" xr3:uid="{00000000-0010-0000-1200-000061000000}" name="CCC" dataDxfId="332" totalsRowDxfId="331"/>
    <tableColumn id="98" xr3:uid="{00000000-0010-0000-1200-000062000000}" name="CDE" dataDxfId="330" totalsRowDxfId="329"/>
    <tableColumn id="99" xr3:uid="{00000000-0010-0000-1200-000063000000}" name="CFURH" dataDxfId="328" totalsRowDxfId="327"/>
    <tableColumn id="100" xr3:uid="{00000000-0010-0000-1200-000064000000}" name="Conexao_D" dataDxfId="326" totalsRowDxfId="325"/>
    <tableColumn id="101" xr3:uid="{00000000-0010-0000-1200-000065000000}" name="Conexao_T" dataDxfId="324" totalsRowDxfId="323"/>
    <tableColumn id="102" xr3:uid="{00000000-0010-0000-1200-000066000000}" name="CUSD" dataDxfId="322" totalsRowDxfId="321"/>
    <tableColumn id="103" xr3:uid="{00000000-0010-0000-1200-000067000000}" name="DISTRIBUICAO" dataDxfId="320" totalsRowDxfId="319"/>
    <tableColumn id="104" xr3:uid="{00000000-0010-0000-1200-000068000000}" name="EnergiaRevenda" dataDxfId="318" totalsRowDxfId="317"/>
    <tableColumn id="105" xr3:uid="{00000000-0010-0000-1200-000069000000}" name="ESSERR" dataDxfId="316" totalsRowDxfId="315"/>
    <tableColumn id="106" xr3:uid="{00000000-0010-0000-1200-00006A000000}" name="ITAIPU" dataDxfId="314" totalsRowDxfId="313"/>
    <tableColumn id="107" xr3:uid="{00000000-0010-0000-1200-00006B000000}" name="ONS" dataDxfId="312" totalsRowDxfId="311"/>
    <tableColumn id="108" xr3:uid="{00000000-0010-0000-1200-00006C000000}" name="OUTROS" dataDxfId="310" totalsRowDxfId="309"/>
    <tableColumn id="109" xr3:uid="{00000000-0010-0000-1200-00006D000000}" name="PeD" dataDxfId="308" totalsRowDxfId="307"/>
    <tableColumn id="110" xr3:uid="{00000000-0010-0000-1200-00006E000000}" name="PROINFA" dataDxfId="306" totalsRowDxfId="305"/>
    <tableColumn id="111" xr3:uid="{00000000-0010-0000-1200-00006F000000}" name="RGR" dataDxfId="304" totalsRowDxfId="303"/>
    <tableColumn id="112" xr3:uid="{00000000-0010-0000-1200-000070000000}" name="TFSEE" dataDxfId="302" totalsRowDxfId="301"/>
    <tableColumn id="113" xr3:uid="{00000000-0010-0000-1200-000071000000}" name="TUST_FR" dataDxfId="300" totalsRowDxfId="299"/>
    <tableColumn id="114" xr3:uid="{00000000-0010-0000-1200-000072000000}" name="TUST_RB" dataDxfId="298" totalsRowDxfId="297"/>
    <tableColumn id="115" xr3:uid="{00000000-0010-0000-1200-000073000000}" name="TUSDG_ONS" dataDxfId="296" totalsRowDxfId="295"/>
    <tableColumn id="116" xr3:uid="{00000000-0010-0000-1200-000074000000}" name="TUSDG_T" dataDxfId="294" totalsRowDxfId="293"/>
    <tableColumn id="117" xr3:uid="{00000000-0010-0000-1200-000075000000}" name="TUST_CI" dataDxfId="292" totalsRowDxfId="291"/>
    <tableColumn id="118" xr3:uid="{00000000-0010-0000-1200-000076000000}" name="TUST_ITAIPU" dataDxfId="290" totalsRowDxfId="289"/>
    <tableColumn id="119" xr3:uid="{00000000-0010-0000-1200-000077000000}" name="CVA_CCC" dataDxfId="288" totalsRowDxfId="287"/>
    <tableColumn id="120" xr3:uid="{00000000-0010-0000-1200-000078000000}" name="CVA_CDE" dataDxfId="286" totalsRowDxfId="285"/>
    <tableColumn id="121" xr3:uid="{00000000-0010-0000-1200-000079000000}" name="CVA_PROINFA" dataDxfId="284" totalsRowDxfId="283"/>
    <tableColumn id="122" xr3:uid="{00000000-0010-0000-1200-00007A000000}" name="CVA_TranItaipu" dataDxfId="282" totalsRowDxfId="281"/>
    <tableColumn id="123" xr3:uid="{00000000-0010-0000-1200-00007B000000}" name="CVA_ESSERR" dataDxfId="280" totalsRowDxfId="279"/>
    <tableColumn id="124" xr3:uid="{00000000-0010-0000-1200-00007C000000}" name="CVA_CFURH" dataDxfId="278" totalsRowDxfId="277"/>
    <tableColumn id="125" xr3:uid="{00000000-0010-0000-1200-00007D000000}" name="CVA_CDE_E" dataDxfId="276" totalsRowDxfId="275"/>
    <tableColumn id="126" xr3:uid="{00000000-0010-0000-1200-00007E000000}" name="CVA_Energia" dataDxfId="274" totalsRowDxfId="273"/>
    <tableColumn id="127" xr3:uid="{00000000-0010-0000-1200-00007F000000}" name="CVA_RB" dataDxfId="272" totalsRowDxfId="271"/>
    <tableColumn id="128" xr3:uid="{00000000-0010-0000-1200-000080000000}" name="perdasnt" dataDxfId="270" totalsRowDxfId="269"/>
    <tableColumn id="129" xr3:uid="{00000000-0010-0000-1200-000081000000}" name="perdasrb_d" dataDxfId="268" totalsRowDxfId="267"/>
    <tableColumn id="130" xr3:uid="{00000000-0010-0000-1200-000082000000}" name="perdasrb_c" dataDxfId="266" totalsRowDxfId="265"/>
    <tableColumn id="131" xr3:uid="{00000000-0010-0000-1200-000083000000}" name="perdastec" dataDxfId="264" totalsRowDxfId="263"/>
    <tableColumn id="132" xr3:uid="{00000000-0010-0000-1200-000084000000}" name="RI" dataDxfId="262" totalsRowDxfId="261"/>
    <tableColumn id="133" xr3:uid="{00000000-0010-0000-1200-000085000000}" name="PisPasep" dataDxfId="260" totalsRowDxfId="259"/>
    <tableColumn id="134" xr3:uid="{00000000-0010-0000-1200-000086000000}" name="Cofins" dataDxfId="258" totalsRowDxfId="257"/>
    <tableColumn id="135" xr3:uid="{00000000-0010-0000-1200-000087000000}" name="ICMS" dataDxfId="256" totalsRowDxfId="255"/>
    <tableColumn id="136" xr3:uid="{00000000-0010-0000-1200-000088000000}" name="UC" dataDxfId="254" totalsRowDxfId="253"/>
    <tableColumn id="137" xr3:uid="{00000000-0010-0000-1200-000089000000}" name="total_dummy" dataDxfId="252" totalsRowDxfId="251"/>
    <tableColumn id="138" xr3:uid="{00000000-0010-0000-1200-00008A000000}" name="Subs_CarFI" dataDxfId="250" totalsRowDxfId="249"/>
    <tableColumn id="139" xr3:uid="{00000000-0010-0000-1200-00008B000000}" name="Subs_GerFI" dataDxfId="248" totalsRowDxfId="247"/>
    <tableColumn id="140" xr3:uid="{00000000-0010-0000-1200-00008C000000}" name="Subs_Dist" dataDxfId="246" totalsRowDxfId="245"/>
    <tableColumn id="141" xr3:uid="{00000000-0010-0000-1200-00008D000000}" name="Subs_AguaEsgoto" dataDxfId="244" totalsRowDxfId="243"/>
    <tableColumn id="142" xr3:uid="{00000000-0010-0000-1200-00008E000000}" name="Subs_Rural" dataDxfId="242" totalsRowDxfId="241"/>
    <tableColumn id="143" xr3:uid="{00000000-0010-0000-1200-00008F000000}" name="Subs_Irrigante" dataDxfId="240" totalsRowDxfId="239"/>
    <tableColumn id="144" xr3:uid="{00000000-0010-0000-1200-000090000000}" name="Subs_BaixaRenda" dataDxfId="238" totalsRowDxfId="237"/>
    <tableColumn id="145" xr3:uid="{00000000-0010-0000-1200-000091000000}" name="CDE_E" dataDxfId="236" totalsRowDxfId="235"/>
    <tableColumn id="2" xr3:uid="{00000000-0010-0000-1200-000002000000}" name="DespesaEnergia" dataDxfId="234" totalsRowDxfId="233"/>
    <tableColumn id="3" xr3:uid="{00000000-0010-0000-1200-000003000000}" name="RTE_CUSD" dataDxfId="232" totalsRowDxfId="231"/>
    <tableColumn id="4" xr3:uid="{00000000-0010-0000-1200-000004000000}" name="RTE_Energia" dataDxfId="230" totalsRowDxfId="229"/>
    <tableColumn id="5" xr3:uid="{00000000-0010-0000-1200-000005000000}" name="RTE_CDE_USO" dataDxfId="228" totalsRowDxfId="227"/>
    <tableColumn id="6" xr3:uid="{00000000-0010-0000-1200-000006000000}" name="RTE_CDE_E" dataDxfId="226" totalsRowDxfId="225"/>
    <tableColumn id="7" xr3:uid="{00000000-0010-0000-1200-000007000000}" name="RTE_PeD" dataDxfId="224" totalsRowDxfId="223"/>
    <tableColumn id="8" xr3:uid="{00000000-0010-0000-1200-000008000000}" name="Dif_Subs_Car" dataDxfId="222" totalsRowDxfId="221"/>
    <tableColumn id="9" xr3:uid="{00000000-0010-0000-1200-000009000000}" name="Dif_Subs_Ger" dataDxfId="220" totalsRowDxfId="219"/>
    <tableColumn id="10" xr3:uid="{00000000-0010-0000-1200-00000A000000}" name="Dif_Subs_D" dataDxfId="218" totalsRowDxfId="217"/>
    <tableColumn id="11" xr3:uid="{00000000-0010-0000-1200-00000B000000}" name="Dif_Subs_Agua" dataDxfId="216" totalsRowDxfId="215"/>
    <tableColumn id="12" xr3:uid="{00000000-0010-0000-1200-00000C000000}" name="Dif_Subs_Ru" dataDxfId="214" totalsRowDxfId="213"/>
    <tableColumn id="13" xr3:uid="{00000000-0010-0000-1200-00000D000000}" name="Dif_Subs_Irr" dataDxfId="212" totalsRowDxfId="211"/>
    <tableColumn id="14" xr3:uid="{00000000-0010-0000-1200-00000E000000}" name="dif_subs_baixa" dataDxfId="210" totalsRowDxfId="209"/>
    <tableColumn id="15" xr3:uid="{00000000-0010-0000-1200-00000F000000}" name="FinTotAj" dataDxfId="208" totalsRowDxfId="207"/>
    <tableColumn id="16" xr3:uid="{00000000-0010-0000-1200-000010000000}" name="FinAj" dataDxfId="206" totalsRowDxfId="205"/>
    <tableColumn id="17" xr3:uid="{00000000-0010-0000-1200-000011000000}" name="RTE_CDE_E_Dec" dataDxfId="204" totalsRowDxfId="203"/>
    <tableColumn id="18" xr3:uid="{00000000-0010-0000-1200-000012000000}" name="RTE_CDE_E_ACR" dataDxfId="202" totalsRowDxfId="201"/>
    <tableColumn id="19" xr3:uid="{00000000-0010-0000-1200-000013000000}" name="CDE_E_Dec" dataDxfId="200" totalsRowDxfId="199"/>
    <tableColumn id="20" xr3:uid="{00000000-0010-0000-1200-000014000000}" name="CDE_E_ACR" dataDxfId="198" totalsRowDxfId="197"/>
    <tableColumn id="21" xr3:uid="{00000000-0010-0000-1200-000015000000}" name="FinPostTUSD" dataDxfId="196" totalsRowDxfId="195"/>
    <tableColumn id="22" xr3:uid="{00000000-0010-0000-1200-000016000000}" name="FinPostTE" dataDxfId="194" totalsRowDxfId="193"/>
    <tableColumn id="23" xr3:uid="{00000000-0010-0000-1200-000017000000}" name="FinPostQtddias" dataDxfId="192" totalsRowDxfId="191"/>
    <tableColumn id="24" xr3:uid="{00000000-0010-0000-1200-000018000000}" name="FinCT_Geral" dataDxfId="190" totalsRowDxfId="189"/>
    <tableColumn id="25" xr3:uid="{00000000-0010-0000-1200-000019000000}" name="finCT_TUST_FR" dataDxfId="188" totalsRowDxfId="187"/>
    <tableColumn id="26" xr3:uid="{00000000-0010-0000-1200-00001A000000}" name="finCT_TUST_RB" dataDxfId="186" totalsRowDxfId="185"/>
    <tableColumn id="27" xr3:uid="{00000000-0010-0000-1200-00001B000000}" name="FINCT_TUSDG_ONS" dataDxfId="184" totalsRowDxfId="183"/>
    <tableColumn id="28" xr3:uid="{00000000-0010-0000-1200-00001C000000}" name="FINCT_TUSDG_T" dataDxfId="182" totalsRowDxfId="181"/>
    <tableColumn id="29" xr3:uid="{00000000-0010-0000-1200-00001D000000}" name="FINCT_TUST_CI" dataDxfId="180" totalsRowDxfId="179"/>
    <tableColumn id="30" xr3:uid="{00000000-0010-0000-1200-00001E000000}" name="FINCT_TUST_ITAIPU" dataDxfId="178" totalsRowDxfId="177"/>
    <tableColumn id="31" xr3:uid="{00000000-0010-0000-1200-00001F000000}" name="FinCT_Itaipu" dataDxfId="176" totalsRowDxfId="175"/>
    <tableColumn id="32" xr3:uid="{00000000-0010-0000-1200-000020000000}" name="FinCT_CUSD" dataDxfId="174" totalsRowDxfId="173"/>
    <tableColumn id="33" xr3:uid="{00000000-0010-0000-1200-000021000000}" name="FinCT_Conexao_D" dataDxfId="172" totalsRowDxfId="171"/>
    <tableColumn id="34" xr3:uid="{00000000-0010-0000-1200-000022000000}" name="FinCT_Conexao_T" dataDxfId="170" totalsRowDxfId="169"/>
    <tableColumn id="35" xr3:uid="{00000000-0010-0000-1200-000023000000}" name="FinCT_EnergiaRevenda" dataDxfId="168" totalsRowDxfId="167"/>
    <tableColumn id="36" xr3:uid="{00000000-0010-0000-1200-000024000000}" name="FINCT_perdasrb_c" dataDxfId="166" totalsRowDxfId="165"/>
    <tableColumn id="37" xr3:uid="{00000000-0010-0000-1200-000025000000}" name="FINCT_perdasrb_d" dataDxfId="164" totalsRowDxfId="163"/>
    <tableColumn id="38" xr3:uid="{00000000-0010-0000-1200-000026000000}" name="FinCT_perdasnt" dataDxfId="162" totalsRowDxfId="161"/>
    <tableColumn id="39" xr3:uid="{00000000-0010-0000-1200-000027000000}" name="FinCT_perdastec" dataDxfId="160" totalsRowDxfId="159"/>
    <tableColumn id="40" xr3:uid="{00000000-0010-0000-1200-000028000000}" name="FinCT_CCC" dataDxfId="158" totalsRowDxfId="157"/>
    <tableColumn id="41" xr3:uid="{00000000-0010-0000-1200-000029000000}" name="FinCT_CDE" dataDxfId="156" totalsRowDxfId="155"/>
    <tableColumn id="42" xr3:uid="{00000000-0010-0000-1200-00002A000000}" name="FinCT_CDE_E" dataDxfId="154" totalsRowDxfId="153"/>
    <tableColumn id="43" xr3:uid="{00000000-0010-0000-1200-00002B000000}" name="FinCT_CFURH" dataDxfId="152" totalsRowDxfId="151"/>
    <tableColumn id="44" xr3:uid="{00000000-0010-0000-1200-00002C000000}" name="FinCT_ONS" dataDxfId="150" totalsRowDxfId="149"/>
    <tableColumn id="45" xr3:uid="{00000000-0010-0000-1200-00002D000000}" name="FinCT_ESSERR" dataDxfId="148" totalsRowDxfId="147"/>
    <tableColumn id="46" xr3:uid="{00000000-0010-0000-1200-00002E000000}" name="FinCT_Ped" dataDxfId="146" totalsRowDxfId="145"/>
    <tableColumn id="47" xr3:uid="{00000000-0010-0000-1200-00002F000000}" name="finCT_PROINFA" dataDxfId="144" totalsRowDxfId="143"/>
    <tableColumn id="48" xr3:uid="{00000000-0010-0000-1200-000030000000}" name="finCT_TFSEE" dataDxfId="142" totalsRowDxfId="141"/>
    <tableColumn id="49" xr3:uid="{00000000-0010-0000-1200-000031000000}" name="FINCT_Liminar" dataDxfId="140" totalsRowDxfId="139"/>
    <tableColumn id="50" xr3:uid="{00000000-0010-0000-1200-000032000000}" name="FinCT_Subsidio" dataDxfId="138" totalsRowDxfId="137"/>
    <tableColumn id="51" xr3:uid="{00000000-0010-0000-1200-000033000000}" name="FINCT_RGR" dataDxfId="136" totalsRowDxfId="135"/>
    <tableColumn id="52" xr3:uid="{00000000-0010-0000-1200-000034000000}" name="Tipo_ato" dataDxfId="134" totalsRowDxfId="133"/>
    <tableColumn id="53" xr3:uid="{00000000-0010-0000-1200-000035000000}" name="DIST_D" dataDxfId="132" totalsRowDxfId="131"/>
    <tableColumn id="54" xr3:uid="{00000000-0010-0000-1200-000036000000}" name="DIST_E" dataDxfId="130" totalsRowDxfId="129"/>
    <tableColumn id="55" xr3:uid="{00000000-0010-0000-1200-000037000000}" name="FIN_RI" dataDxfId="128" totalsRowDxfId="127"/>
    <tableColumn id="56" xr3:uid="{00000000-0010-0000-1200-000038000000}" name="FINCT_RI" dataDxfId="126" totalsRowDxfId="125"/>
    <tableColumn id="57" xr3:uid="{00000000-0010-0000-1200-000039000000}" name="Fin_TUSD" dataDxfId="124" totalsRowDxfId="123"/>
    <tableColumn id="58" xr3:uid="{00000000-0010-0000-1200-00003A000000}" name="Fin_TE" dataDxfId="122" totalsRowDxfId="121"/>
    <tableColumn id="59" xr3:uid="{00000000-0010-0000-1200-00003B000000}" name="CVA_TUSD" dataDxfId="120" totalsRowDxfId="119"/>
    <tableColumn id="60" xr3:uid="{00000000-0010-0000-1200-00003C000000}" name="CVA_TE" dataDxfId="118" totalsRowDxfId="117"/>
    <tableColumn id="61" xr3:uid="{00000000-0010-0000-1200-00003D000000}" name="FinCT_ParcelaB" dataDxfId="116" totalsRowDxfId="115"/>
    <tableColumn id="62" xr3:uid="{00000000-0010-0000-1200-00003E000000}" name="CVA_EnergiaRevenda" dataDxfId="114" totalsRowDxfId="113"/>
    <tableColumn id="63" xr3:uid="{00000000-0010-0000-1200-00003F000000}" name="CVA_perdasnt" dataDxfId="112" totalsRowDxfId="111"/>
    <tableColumn id="64" xr3:uid="{00000000-0010-0000-1200-000040000000}" name="CVA_perdasrb_d" dataDxfId="110" totalsRowDxfId="109"/>
    <tableColumn id="65" xr3:uid="{00000000-0010-0000-1200-000041000000}" name="CVA_perdasrb_c" dataDxfId="108" totalsRowDxfId="107"/>
    <tableColumn id="66" xr3:uid="{00000000-0010-0000-1200-000042000000}" name="CVA_perdastec" dataDxfId="106" totalsRowDxfId="105"/>
    <tableColumn id="67" xr3:uid="{00000000-0010-0000-1200-000043000000}" name="CVA_TUST_RB" dataDxfId="104" totalsRowDxfId="103"/>
    <tableColumn id="68" xr3:uid="{00000000-0010-0000-1200-000044000000}" name="CVA_TUST_FR" dataDxfId="102" totalsRowDxfId="101"/>
    <tableColumn id="69" xr3:uid="{00000000-0010-0000-1200-000045000000}" name="CVA_TUSDG_ONS" dataDxfId="100" totalsRowDxfId="99"/>
    <tableColumn id="70" xr3:uid="{00000000-0010-0000-1200-000046000000}" name="CVA_TUSDG_T" dataDxfId="98" totalsRowDxfId="97"/>
    <tableColumn id="71" xr3:uid="{FD269DC2-F12E-4BFC-8985-48C037DAEE3D}" name="CVA_TUST_CI" dataDxfId="96" totalsRowDxfId="95"/>
    <tableColumn id="72" xr3:uid="{2C34E4B3-7F07-4D64-9725-21233E09B2F8}" name="CVA_TUST_ITAIPU" dataDxfId="94" totalsRowDxfId="93"/>
    <tableColumn id="73" xr3:uid="{8FF1C04E-705B-4D43-8218-1D303ACBF1B4}" name="CVA_liminar" dataDxfId="92" totalsRowDxfId="91"/>
    <tableColumn id="146" xr3:uid="{A0539E69-57F8-49AD-B6ED-5CA0CA7D6897}" name="covidTusdEco" dataDxfId="90" totalsRowDxfId="89"/>
    <tableColumn id="147" xr3:uid="{412F0612-265D-4505-B4E2-63112B7EB7C9}" name="covidTeEco" dataDxfId="88" totalsRowDxfId="87"/>
    <tableColumn id="148" xr3:uid="{50DABFA8-FB5B-4872-BBA1-9BB3F56B96E2}" name="CVA_CovidTusd" dataDxfId="86" totalsRowDxfId="85"/>
    <tableColumn id="149" xr3:uid="{C64DE2C8-238E-48D0-AEEB-540EC8B5DBF4}" name="CVA_CovidTe_ou_CVA_CDE_E" dataDxfId="84" totalsRowDxfId="83"/>
    <tableColumn id="150" xr3:uid="{8D5DC1D4-E0A6-41B2-A2BB-26D2CA19EF4D}" name="FinCT_CDECOVIDTUSD" dataDxfId="82" totalsRowDxfId="81"/>
    <tableColumn id="151" xr3:uid="{D8258B5F-46FF-48E9-9CE8-9678AF6BD40F}" name="FinCT_CDECOVIDTE_ou_FinCT_CDE_E" dataDxfId="80" totalsRowDxfId="79"/>
    <tableColumn id="152" xr3:uid="{FA4B6803-ED14-4E9F-9237-11D021C62E1A}" name="idsreag" dataDxfId="78" totalsRowDxfId="77"/>
    <tableColumn id="153" xr3:uid="{6D0A4132-E9DF-49BA-93FC-314F55CD4E6C}" name="FinCTAn3En" dataDxfId="76" totalsRowDxfId="75"/>
    <tableColumn id="154" xr3:uid="{BCEBACD9-92B7-4C07-9349-0BF06725A083}" name="An3En" dataDxfId="74" totalsRowDxfId="73"/>
    <tableColumn id="155" xr3:uid="{E0739760-5FFA-460A-9B92-A98307BBEDBF}" name="CVA_An3En" dataDxfId="72" totalsRowDxfId="71"/>
    <tableColumn id="156" xr3:uid="{B6B0B208-D422-4A68-A0C8-E9FD52441D0C}" name="Fin_An3En" dataDxfId="70" totalsRowDxfId="69"/>
    <tableColumn id="157" xr3:uid="{7FDB53B5-00DC-4051-9BCD-5C44BCE1FE22}" name="FIN_CFURH" dataDxfId="68" totalsRowDxfId="67"/>
    <tableColumn id="158" xr3:uid="{234C3200-BA41-45F1-B762-23558F062AAD}" name="TEAngra" dataDxfId="66" totalsRowDxfId="65"/>
    <tableColumn id="159" xr3:uid="{4BBB7D5C-E9AD-4D0D-B22B-8576940F6A95}" name="TUSDAngra" dataDxfId="64" totalsRowDxfId="63"/>
    <tableColumn id="160" xr3:uid="{326F4D4F-8A5C-44D5-BA24-641AA39AE29E}" name="teCheia" dataDxfId="62" totalsRowDxfId="61"/>
    <tableColumn id="161" xr3:uid="{11C36C6C-88C1-412F-8622-2358DD383682}" name="tusdcheia" dataDxfId="60" totalsRowDxfId="59"/>
    <tableColumn id="162" xr3:uid="{14D370CA-1BC7-4B1B-93D5-6756E4EAFFCA}" name="AngraIII_TE" dataDxfId="58" totalsRowDxfId="57"/>
    <tableColumn id="163" xr3:uid="{C9000446-FA08-4BA9-A8BF-3E9F938C3AEE}" name="AngraIII_TUSD" dataDxfId="56" totalsRowDxfId="55"/>
    <tableColumn id="164" xr3:uid="{1E3DAD37-4778-41FB-BEFE-20A527048580}" name="AngraIII_Desc_TE" dataDxfId="54" totalsRowDxfId="53"/>
    <tableColumn id="165" xr3:uid="{6C19244C-C9FE-4DCB-ABD7-0AFB4C980B1D}" name="AngraIII_Desc_TUSD" dataDxfId="52" totalsRowDxfId="51"/>
  </tableColumns>
  <tableStyleInfo name="TableStyleLight1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4000000}" name="Tabela17" displayName="Tabela17" ref="AA17:AA60" totalsRowShown="0" headerRowDxfId="46" dataDxfId="45" headerRowCellStyle="Normal 10 2 11 3" dataCellStyle="Normal 10 2 11 3">
  <autoFilter ref="AA17:AA60" xr:uid="{00000000-0009-0000-0100-000011000000}">
    <filterColumn colId="0">
      <filters>
        <filter val="1"/>
      </filters>
    </filterColumn>
  </autoFilter>
  <tableColumns count="1">
    <tableColumn id="1" xr3:uid="{00000000-0010-0000-1400-000001000000}" name="1" dataDxfId="44" dataCellStyle="Normal 10 2 11 3">
      <calculatedColumnFormula>IF(B18=0,0,1)</calculatedColumnFormula>
    </tableColumn>
  </tableColumns>
  <tableStyleInfo name="TableStyleMedium9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11000000}" name="Tabela1" displayName="Tabela1" ref="C8:L82" headerRowDxfId="42" dataDxfId="40" totalsRowDxfId="38" headerRowBorderDxfId="41" tableBorderDxfId="39">
  <autoFilter ref="C8:L82" xr:uid="{00000000-0009-0000-0100-000001000000}"/>
  <tableColumns count="10">
    <tableColumn id="1" xr3:uid="{00000000-0010-0000-1100-000001000000}" name="Nome do Financeiro" totalsRowLabel="Total" dataDxfId="37" totalsRowDxfId="36"/>
    <tableColumn id="2" xr3:uid="{00000000-0010-0000-1100-000002000000}" name="Valor" totalsRowFunction="sum" dataDxfId="35" totalsRowDxfId="34" dataCellStyle="Moeda 2 5 3">
      <calculatedColumnFormula>Encargos!#REF!</calculatedColumnFormula>
    </tableColumn>
    <tableColumn id="3" xr3:uid="{00000000-0010-0000-1100-000003000000}" name="Percentual" totalsRowFunction="sum" dataDxfId="33" totalsRowDxfId="32" dataCellStyle="Porcentagem 16 3 2">
      <calculatedColumnFormula>IF(ISERROR(D9/#REF!),0,D9/#REF!)</calculatedColumnFormula>
    </tableColumn>
    <tableColumn id="4" xr3:uid="{00000000-0010-0000-1100-000004000000}" name="iddet1" dataDxfId="31" totalsRowDxfId="30"/>
    <tableColumn id="5" xr3:uid="{00000000-0010-0000-1100-000005000000}" name="iddet2" dataDxfId="29" totalsRowDxfId="28"/>
    <tableColumn id="6" xr3:uid="{00000000-0010-0000-1100-000006000000}" name="iddet3" dataDxfId="27" totalsRowDxfId="26"/>
    <tableColumn id="7" xr3:uid="{00000000-0010-0000-1100-000007000000}" name="id_Grupo_TARIFA" dataDxfId="25" totalsRowDxfId="24"/>
    <tableColumn id="8" xr3:uid="{00000000-0010-0000-1100-000008000000}" name="id_Detalhe_Grupo_TARIFA" dataDxfId="23" totalsRowDxfId="22"/>
    <tableColumn id="9" xr3:uid="{00000000-0010-0000-1100-000009000000}" name="id_Tipo_Tarifa" dataDxfId="21" totalsRowDxfId="20"/>
    <tableColumn id="10" xr3:uid="{00000000-0010-0000-1100-00000A000000}" name="Colunas1" dataDxfId="19"/>
  </tableColumns>
  <tableStyleInfo showFirstColumn="1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F1466D44-9AF0-477A-8753-108C5A31A49F}" name="tabCVAResul" displayName="tabCVAResul" ref="B8:E17" totalsRowShown="0" headerRowDxfId="18" dataDxfId="16" headerRowBorderDxfId="17" tableBorderDxfId="15" headerRowCellStyle="Normal_PRTP_v5-ELETROPAULO (v. alexandre_tarifas)2 2" dataCellStyle="Comma 2 5">
  <autoFilter ref="B8:E17" xr:uid="{00000000-0009-0000-0100-000044000000}"/>
  <tableColumns count="4">
    <tableColumn id="1" xr3:uid="{9A35ED9F-18B5-4A08-9A97-E53FE145A6C8}" name="Descrição" dataDxfId="14" dataCellStyle="Normal 9_casulo 5 2"/>
    <tableColumn id="2" xr3:uid="{D1978C8E-7F91-48FB-93F7-3337F14F2B1A}" name="Delta   (R$)" dataDxfId="13" dataCellStyle="Comma 2 5"/>
    <tableColumn id="3" xr3:uid="{5B4687E5-6464-4FFC-8F87-1AD988A4E17B}" name="5° Dia Útil Anterior (R$)" dataDxfId="12" dataCellStyle="Comma 2 5"/>
    <tableColumn id="4" xr3:uid="{99324759-6E01-435A-8CF3-1FF340A8D678}" name="12 Meses Subsequentes  (R$)" dataDxfId="11" dataCellStyle="Comma 2 5"/>
  </tableColumns>
  <tableStyleInfo name="Estilo de Tabela 1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13000000}" name="Tabela6" displayName="Tabela6" ref="B1:R50000" totalsRowShown="0">
  <autoFilter ref="B1:R50000" xr:uid="{9A01D2BF-9AB6-4ACD-ADDF-FD29BFFD7F13}">
    <filterColumn colId="15">
      <filters blank="1">
        <dateGroupItem year="2019" month="3" dateTimeGrouping="month"/>
        <dateGroupItem year="2019" month="4" dateTimeGrouping="month"/>
        <dateGroupItem year="2019" month="5" dateTimeGrouping="month"/>
        <dateGroupItem year="2019" month="6" dateTimeGrouping="month"/>
      </filters>
    </filterColumn>
  </autoFilter>
  <tableColumns count="17">
    <tableColumn id="1" xr3:uid="{00000000-0010-0000-1300-000001000000}" name="NomeAgente"/>
    <tableColumn id="2" xr3:uid="{00000000-0010-0000-1300-000002000000}" name="IdAgente"/>
    <tableColumn id="3" xr3:uid="{00000000-0010-0000-1300-000003000000}" name="IdAgenteDev"/>
    <tableColumn id="4" xr3:uid="{00000000-0010-0000-1300-000004000000}" name="EnergiaTUSD" dataCellStyle="Vírgula0"/>
    <tableColumn id="5" xr3:uid="{00000000-0010-0000-1300-000005000000}" name="EnergiaTE" dataCellStyle="Vírgula0"/>
    <tableColumn id="6" xr3:uid="{00000000-0010-0000-1300-000006000000}" name="Demanda" dataCellStyle="Vírgula0"/>
    <tableColumn id="7" xr3:uid="{00000000-0010-0000-1300-000007000000}" name="PISCOFINS" dataCellStyle="Vírgula"/>
    <tableColumn id="8" xr3:uid="{00000000-0010-0000-1300-000008000000}" name="ICMS"/>
    <tableColumn id="9" xr3:uid="{00000000-0010-0000-1300-000009000000}" name="Previsto"/>
    <tableColumn id="10" xr3:uid="{00000000-0010-0000-1300-00000A000000}" name="ModTar"/>
    <tableColumn id="11" xr3:uid="{00000000-0010-0000-1300-00000B000000}" name="NomeDev"/>
    <tableColumn id="12" xr3:uid="{00000000-0010-0000-1300-00000C000000}" name="ModReceita"/>
    <tableColumn id="13" xr3:uid="{00000000-0010-0000-1300-00000D000000}" name="Posto"/>
    <tableColumn id="14" xr3:uid="{00000000-0010-0000-1300-00000E000000}" name="Subgrupo"/>
    <tableColumn id="15" xr3:uid="{00000000-0010-0000-1300-00000F000000}" name="SASData"/>
    <tableColumn id="16" xr3:uid="{00000000-0010-0000-1300-000010000000}" name="Colunas2" dataDxfId="10"/>
    <tableColumn id="17" xr3:uid="{00000000-0010-0000-1300-000011000000}" name="Compentencia" dataDxfId="9">
      <calculatedColumnFormula>IF(P2&gt;0,P2+21916,0)</calculatedColumnFormula>
    </tableColumn>
  </tableColumns>
  <tableStyleInfo name="TableStyleLight15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15000000}" name="TabelaBadNet" displayName="TabelaBadNet" ref="A1:Q275" totalsRowShown="0">
  <autoFilter ref="A1:Q275" xr:uid="{3E782576-1F4A-41F3-B7FB-E2C37B7D2F29}"/>
  <tableColumns count="17">
    <tableColumn id="1" xr3:uid="{00000000-0010-0000-1500-000001000000}" name="Periodo"/>
    <tableColumn id="2" xr3:uid="{00000000-0010-0000-1500-000002000000}" name="Grupo"/>
    <tableColumn id="3" xr3:uid="{00000000-0010-0000-1500-000003000000}" name="Tipo"/>
    <tableColumn id="4" xr3:uid="{00000000-0010-0000-1500-000004000000}" name="id_Natureza_dado"/>
    <tableColumn id="5" xr3:uid="{00000000-0010-0000-1500-000005000000}" name="id_Detalhe_Natureza"/>
    <tableColumn id="6" xr3:uid="{00000000-0010-0000-1500-000006000000}" name="idDet1"/>
    <tableColumn id="7" xr3:uid="{00000000-0010-0000-1500-000007000000}" name="idDet2"/>
    <tableColumn id="8" xr3:uid="{00000000-0010-0000-1500-000008000000}" name="idDet3"/>
    <tableColumn id="9" xr3:uid="{00000000-0010-0000-1500-000009000000}" name="id_Grupo_TARIFA"/>
    <tableColumn id="10" xr3:uid="{00000000-0010-0000-1500-00000A000000}" name="id_Detalhe_Grupo_TARIFA"/>
    <tableColumn id="11" xr3:uid="{00000000-0010-0000-1500-00000B000000}" name="id_Tipo_Tarifa"/>
    <tableColumn id="12" xr3:uid="{00000000-0010-0000-1500-00000C000000}" name="id_SUBGRUPO"/>
    <tableColumn id="13" xr3:uid="{00000000-0010-0000-1500-00000D000000}" name="id_POSTO"/>
    <tableColumn id="14" xr3:uid="{00000000-0010-0000-1500-00000E000000}" name="id_Unidade"/>
    <tableColumn id="16" xr3:uid="{00000000-0010-0000-1500-000010000000}" name="id_UC"/>
    <tableColumn id="15" xr3:uid="{00000000-0010-0000-1500-00000F000000}" name="valor" dataCellStyle="Vírgula0">
      <calculatedColumnFormula>IF(ISNUMBER(Q2),Q2,0)</calculatedColumnFormula>
    </tableColumn>
    <tableColumn id="17" xr3:uid="{00000000-0010-0000-1500-000011000000}" name="testevalor" dataCellStyle="Vírgula0"/>
  </tableColumns>
  <tableStyleInfo name="TableStyleMedium9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17000000}" name="Tabela7" displayName="Tabela7" ref="B2:C2000" totalsRowShown="0" headerRowDxfId="1">
  <autoFilter ref="B2:C2000" xr:uid="{00000000-0009-0000-0100-000007000000}"/>
  <sortState xmlns:xlrd2="http://schemas.microsoft.com/office/spreadsheetml/2017/richdata2" ref="B3:C2000">
    <sortCondition ref="B2:B2000"/>
  </sortState>
  <tableColumns count="2">
    <tableColumn id="1" xr3:uid="{00000000-0010-0000-1700-000001000000}" name="Nome"/>
    <tableColumn id="2" xr3:uid="{00000000-0010-0000-1700-000002000000}" name="Valor" dataDxfId="0">
      <calculatedColumnFormula>INDIRECT(B3)</calculatedColumnFormula>
    </tableColumn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7" dT="2022-04-26T18:49:59.76" personId="{ADE79481-5EE4-4A9A-958F-EC4E352E411D}" id="{6A1BB4E7-D34E-437C-83FB-E767FB2BD8DE}">
    <text>buscar na persas do ano anterior</text>
  </threadedComment>
  <threadedComment ref="B11" dT="2022-04-26T18:49:59.76" personId="{ADE79481-5EE4-4A9A-958F-EC4E352E411D}" id="{241DDB31-66E5-4F78-A554-6BBEB4AF5E21}">
    <text>buscar na persas do ano anterior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12" Type="http://schemas.openxmlformats.org/officeDocument/2006/relationships/table" Target="../tables/table11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5.xml"/><Relationship Id="rId11" Type="http://schemas.openxmlformats.org/officeDocument/2006/relationships/table" Target="../tables/table10.xml"/><Relationship Id="rId5" Type="http://schemas.openxmlformats.org/officeDocument/2006/relationships/table" Target="../tables/table4.xml"/><Relationship Id="rId10" Type="http://schemas.openxmlformats.org/officeDocument/2006/relationships/table" Target="../tables/table9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.xml"/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4.bin"/><Relationship Id="rId4" Type="http://schemas.openxmlformats.org/officeDocument/2006/relationships/table" Target="../tables/table15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.xml"/><Relationship Id="rId13" Type="http://schemas.openxmlformats.org/officeDocument/2006/relationships/image" Target="../media/image5.emf"/><Relationship Id="rId18" Type="http://schemas.openxmlformats.org/officeDocument/2006/relationships/control" Target="../activeX/activeX8.xml"/><Relationship Id="rId26" Type="http://schemas.openxmlformats.org/officeDocument/2006/relationships/comments" Target="../comments1.xml"/><Relationship Id="rId3" Type="http://schemas.openxmlformats.org/officeDocument/2006/relationships/vmlDrawing" Target="../drawings/vmlDrawing1.vml"/><Relationship Id="rId21" Type="http://schemas.openxmlformats.org/officeDocument/2006/relationships/image" Target="../media/image9.emf"/><Relationship Id="rId7" Type="http://schemas.openxmlformats.org/officeDocument/2006/relationships/image" Target="../media/image2.emf"/><Relationship Id="rId12" Type="http://schemas.openxmlformats.org/officeDocument/2006/relationships/control" Target="../activeX/activeX5.xml"/><Relationship Id="rId17" Type="http://schemas.openxmlformats.org/officeDocument/2006/relationships/image" Target="../media/image7.emf"/><Relationship Id="rId25" Type="http://schemas.openxmlformats.org/officeDocument/2006/relationships/image" Target="../media/image11.emf"/><Relationship Id="rId2" Type="http://schemas.openxmlformats.org/officeDocument/2006/relationships/drawing" Target="../drawings/drawing1.xml"/><Relationship Id="rId16" Type="http://schemas.openxmlformats.org/officeDocument/2006/relationships/control" Target="../activeX/activeX7.xml"/><Relationship Id="rId20" Type="http://schemas.openxmlformats.org/officeDocument/2006/relationships/control" Target="../activeX/activeX9.xml"/><Relationship Id="rId1" Type="http://schemas.openxmlformats.org/officeDocument/2006/relationships/printerSettings" Target="../printerSettings/printerSettings5.bin"/><Relationship Id="rId6" Type="http://schemas.openxmlformats.org/officeDocument/2006/relationships/control" Target="../activeX/activeX2.xml"/><Relationship Id="rId11" Type="http://schemas.openxmlformats.org/officeDocument/2006/relationships/image" Target="../media/image4.emf"/><Relationship Id="rId24" Type="http://schemas.openxmlformats.org/officeDocument/2006/relationships/control" Target="../activeX/activeX11.xml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23" Type="http://schemas.openxmlformats.org/officeDocument/2006/relationships/image" Target="../media/image10.emf"/><Relationship Id="rId10" Type="http://schemas.openxmlformats.org/officeDocument/2006/relationships/control" Target="../activeX/activeX4.xml"/><Relationship Id="rId19" Type="http://schemas.openxmlformats.org/officeDocument/2006/relationships/image" Target="../media/image8.emf"/><Relationship Id="rId4" Type="http://schemas.openxmlformats.org/officeDocument/2006/relationships/control" Target="../activeX/activeX1.xml"/><Relationship Id="rId9" Type="http://schemas.openxmlformats.org/officeDocument/2006/relationships/image" Target="../media/image3.emf"/><Relationship Id="rId14" Type="http://schemas.openxmlformats.org/officeDocument/2006/relationships/control" Target="../activeX/activeX6.xml"/><Relationship Id="rId22" Type="http://schemas.openxmlformats.org/officeDocument/2006/relationships/control" Target="../activeX/activeX10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6.xml"/><Relationship Id="rId3" Type="http://schemas.openxmlformats.org/officeDocument/2006/relationships/vmlDrawing" Target="../drawings/vmlDrawing2.vml"/><Relationship Id="rId7" Type="http://schemas.openxmlformats.org/officeDocument/2006/relationships/image" Target="../media/image13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Relationship Id="rId6" Type="http://schemas.openxmlformats.org/officeDocument/2006/relationships/control" Target="../activeX/activeX13.xml"/><Relationship Id="rId5" Type="http://schemas.openxmlformats.org/officeDocument/2006/relationships/image" Target="../media/image12.emf"/><Relationship Id="rId4" Type="http://schemas.openxmlformats.org/officeDocument/2006/relationships/control" Target="../activeX/activeX12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2.xml"/><Relationship Id="rId13" Type="http://schemas.openxmlformats.org/officeDocument/2006/relationships/table" Target="../tables/table27.xml"/><Relationship Id="rId3" Type="http://schemas.openxmlformats.org/officeDocument/2006/relationships/table" Target="../tables/table17.xml"/><Relationship Id="rId7" Type="http://schemas.openxmlformats.org/officeDocument/2006/relationships/table" Target="../tables/table21.xml"/><Relationship Id="rId12" Type="http://schemas.openxmlformats.org/officeDocument/2006/relationships/table" Target="../tables/table26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Relationship Id="rId6" Type="http://schemas.openxmlformats.org/officeDocument/2006/relationships/table" Target="../tables/table20.xml"/><Relationship Id="rId11" Type="http://schemas.openxmlformats.org/officeDocument/2006/relationships/table" Target="../tables/table25.xml"/><Relationship Id="rId5" Type="http://schemas.openxmlformats.org/officeDocument/2006/relationships/table" Target="../tables/table19.xml"/><Relationship Id="rId15" Type="http://schemas.openxmlformats.org/officeDocument/2006/relationships/table" Target="../tables/table29.xml"/><Relationship Id="rId10" Type="http://schemas.openxmlformats.org/officeDocument/2006/relationships/table" Target="../tables/table24.xml"/><Relationship Id="rId4" Type="http://schemas.openxmlformats.org/officeDocument/2006/relationships/table" Target="../tables/table18.xml"/><Relationship Id="rId9" Type="http://schemas.openxmlformats.org/officeDocument/2006/relationships/table" Target="../tables/table23.xml"/><Relationship Id="rId14" Type="http://schemas.openxmlformats.org/officeDocument/2006/relationships/table" Target="../tables/table2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0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1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2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6.bin"/><Relationship Id="rId4" Type="http://schemas.microsoft.com/office/2017/10/relationships/threadedComment" Target="../threadedComments/threadedComment1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7.bin"/><Relationship Id="rId4" Type="http://schemas.openxmlformats.org/officeDocument/2006/relationships/comments" Target="../comments4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5.xml"/><Relationship Id="rId1" Type="http://schemas.openxmlformats.org/officeDocument/2006/relationships/printerSettings" Target="../printerSettings/printerSettings21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3F0A7-49C8-4BA1-9CC9-2B2DF05FAD38}">
  <sheetPr codeName="Planilha6"/>
  <dimension ref="A1:O52"/>
  <sheetViews>
    <sheetView topLeftCell="A18" workbookViewId="0">
      <selection activeCell="H40" sqref="H40"/>
    </sheetView>
  </sheetViews>
  <sheetFormatPr defaultColWidth="9.140625" defaultRowHeight="15.75"/>
  <cols>
    <col min="1" max="1" width="9.42578125" bestFit="1" customWidth="1"/>
    <col min="2" max="2" width="10.7109375" bestFit="1" customWidth="1"/>
    <col min="3" max="3" width="13.28515625" bestFit="1" customWidth="1"/>
    <col min="4" max="5" width="12.140625" bestFit="1" customWidth="1"/>
    <col min="6" max="6" width="12.85546875" bestFit="1" customWidth="1"/>
    <col min="7" max="7" width="14.28515625" bestFit="1" customWidth="1"/>
    <col min="8" max="8" width="13.28515625" bestFit="1" customWidth="1"/>
    <col min="9" max="9" width="14.28515625" bestFit="1" customWidth="1"/>
    <col min="10" max="10" width="14" bestFit="1" customWidth="1"/>
    <col min="14" max="14" width="10" bestFit="1" customWidth="1"/>
    <col min="15" max="15" width="11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9" t="s">
        <v>9</v>
      </c>
    </row>
    <row r="2" spans="1:15">
      <c r="A2">
        <v>252</v>
      </c>
      <c r="B2" s="991">
        <v>43922</v>
      </c>
      <c r="C2" s="233"/>
      <c r="D2" s="233"/>
      <c r="E2" s="233"/>
      <c r="F2" s="233"/>
      <c r="G2" s="233"/>
      <c r="H2" s="233"/>
      <c r="I2" s="992"/>
    </row>
    <row r="3" spans="1:15">
      <c r="A3">
        <v>255</v>
      </c>
      <c r="B3" s="991">
        <v>43922</v>
      </c>
      <c r="C3" s="233"/>
      <c r="D3" s="233"/>
      <c r="E3" s="233"/>
      <c r="F3" s="233"/>
      <c r="G3" s="233"/>
      <c r="H3" s="233"/>
      <c r="I3" s="992"/>
    </row>
    <row r="4" spans="1:15">
      <c r="A4">
        <v>206</v>
      </c>
      <c r="B4" s="991">
        <v>43922</v>
      </c>
      <c r="C4" s="233"/>
      <c r="D4" s="233"/>
      <c r="E4" s="233"/>
      <c r="F4" s="233"/>
      <c r="G4" s="233"/>
      <c r="H4" s="233"/>
      <c r="I4" s="992"/>
    </row>
    <row r="5" spans="1:15">
      <c r="A5">
        <v>256</v>
      </c>
      <c r="B5" s="991">
        <v>43922</v>
      </c>
      <c r="C5" s="233"/>
      <c r="D5" s="233"/>
      <c r="E5" s="233"/>
      <c r="F5" s="233"/>
      <c r="G5" s="233"/>
      <c r="H5" s="233"/>
      <c r="I5" s="992"/>
      <c r="J5" s="233">
        <v>4154376.2782662762</v>
      </c>
    </row>
    <row r="6" spans="1:15">
      <c r="A6">
        <v>203</v>
      </c>
      <c r="B6" s="991">
        <v>43952</v>
      </c>
      <c r="C6" s="233"/>
      <c r="D6" s="233"/>
      <c r="E6" s="233"/>
      <c r="F6" s="233"/>
      <c r="G6" s="233"/>
      <c r="H6" s="233"/>
      <c r="I6" s="992"/>
      <c r="J6" s="233"/>
    </row>
    <row r="7" spans="1:15">
      <c r="A7">
        <v>211</v>
      </c>
      <c r="B7" s="991">
        <v>43952</v>
      </c>
      <c r="C7" s="233"/>
      <c r="D7" s="233"/>
      <c r="E7" s="233"/>
      <c r="F7" s="233"/>
      <c r="G7" s="233"/>
      <c r="H7" s="233"/>
      <c r="I7" s="992"/>
      <c r="J7" s="233">
        <v>18046086.986190885</v>
      </c>
      <c r="N7" s="233"/>
      <c r="O7" s="992"/>
    </row>
    <row r="8" spans="1:15">
      <c r="A8">
        <v>254</v>
      </c>
      <c r="B8" s="991">
        <v>43952</v>
      </c>
      <c r="C8" s="233"/>
      <c r="D8" s="233"/>
      <c r="E8" s="233"/>
      <c r="F8" s="233"/>
      <c r="G8" s="233"/>
      <c r="H8" s="233"/>
      <c r="I8" s="992"/>
      <c r="N8" s="233"/>
      <c r="O8" s="992"/>
    </row>
    <row r="9" spans="1:15">
      <c r="A9">
        <v>210</v>
      </c>
      <c r="B9" s="991">
        <v>43952</v>
      </c>
      <c r="C9" s="233"/>
      <c r="D9" s="233"/>
      <c r="E9" s="233"/>
      <c r="F9" s="233"/>
      <c r="G9" s="233"/>
      <c r="H9" s="233"/>
      <c r="I9" s="992"/>
      <c r="N9" s="233"/>
      <c r="O9" s="992"/>
    </row>
    <row r="10" spans="1:15">
      <c r="A10">
        <v>258</v>
      </c>
      <c r="B10" s="991">
        <v>44013</v>
      </c>
      <c r="C10" s="233"/>
      <c r="D10" s="233"/>
      <c r="E10" s="233"/>
      <c r="F10" s="233"/>
      <c r="G10" s="233"/>
      <c r="H10" s="233"/>
      <c r="I10" s="992"/>
    </row>
    <row r="11" spans="1:15">
      <c r="A11">
        <v>247</v>
      </c>
      <c r="B11" s="991">
        <v>44013</v>
      </c>
      <c r="C11" s="233"/>
      <c r="D11" s="233"/>
      <c r="E11" s="233"/>
      <c r="F11" s="233"/>
      <c r="G11" s="233"/>
      <c r="H11" s="233"/>
      <c r="I11" s="992"/>
    </row>
    <row r="12" spans="1:15">
      <c r="A12">
        <v>248</v>
      </c>
      <c r="B12" s="991">
        <v>44013</v>
      </c>
      <c r="C12" s="233"/>
      <c r="D12" s="233"/>
      <c r="E12" s="233"/>
      <c r="F12" s="233"/>
      <c r="G12" s="233"/>
      <c r="H12" s="233"/>
      <c r="I12" s="993"/>
    </row>
    <row r="13" spans="1:15">
      <c r="A13">
        <v>209</v>
      </c>
      <c r="B13" s="991">
        <v>44013</v>
      </c>
      <c r="C13" s="233"/>
      <c r="D13" s="233"/>
      <c r="E13" s="233"/>
      <c r="F13" s="233"/>
      <c r="G13" s="233"/>
      <c r="H13" s="233"/>
      <c r="I13" s="992"/>
    </row>
    <row r="14" spans="1:15">
      <c r="A14">
        <v>207</v>
      </c>
      <c r="B14" s="991">
        <v>44013</v>
      </c>
      <c r="C14" s="233"/>
      <c r="D14" s="233"/>
      <c r="E14" s="233"/>
      <c r="F14" s="233"/>
      <c r="G14" s="233"/>
      <c r="H14" s="233"/>
      <c r="I14" s="992"/>
    </row>
    <row r="15" spans="1:15">
      <c r="A15">
        <v>249</v>
      </c>
      <c r="B15" s="991">
        <v>44013</v>
      </c>
      <c r="C15" s="233"/>
      <c r="D15" s="233"/>
      <c r="E15" s="233"/>
      <c r="F15" s="233"/>
      <c r="G15" s="233"/>
      <c r="H15" s="233"/>
      <c r="I15" s="992"/>
    </row>
    <row r="16" spans="1:15">
      <c r="A16">
        <v>237</v>
      </c>
      <c r="B16" s="991">
        <v>44013</v>
      </c>
      <c r="C16" s="233"/>
      <c r="D16" s="233"/>
      <c r="E16" s="233"/>
      <c r="F16" s="233"/>
      <c r="G16" s="233"/>
      <c r="H16" s="233"/>
      <c r="I16" s="993"/>
    </row>
    <row r="17" spans="1:10">
      <c r="A17">
        <v>246</v>
      </c>
      <c r="B17" s="991">
        <v>44013</v>
      </c>
      <c r="C17" s="233"/>
      <c r="D17" s="233"/>
      <c r="E17" s="233"/>
      <c r="F17" s="233"/>
      <c r="G17" s="233"/>
      <c r="H17" s="233"/>
      <c r="I17" s="992"/>
    </row>
    <row r="18" spans="1:10">
      <c r="A18">
        <v>238</v>
      </c>
      <c r="B18" s="991">
        <v>44013</v>
      </c>
      <c r="C18" s="233"/>
      <c r="D18" s="233"/>
      <c r="E18" s="233"/>
      <c r="F18" s="233"/>
      <c r="G18" s="233"/>
      <c r="H18" s="233"/>
      <c r="I18" s="992"/>
    </row>
    <row r="19" spans="1:10">
      <c r="A19">
        <v>240</v>
      </c>
      <c r="B19" s="991">
        <v>44013</v>
      </c>
      <c r="C19" s="233"/>
      <c r="D19" s="233"/>
      <c r="E19" s="233"/>
      <c r="F19" s="233"/>
      <c r="G19" s="233"/>
      <c r="H19" s="233"/>
      <c r="I19" s="992"/>
      <c r="J19" s="233">
        <v>81721407.839354143</v>
      </c>
    </row>
    <row r="20" spans="1:10">
      <c r="A20">
        <v>242</v>
      </c>
      <c r="B20" s="991">
        <v>44013</v>
      </c>
      <c r="C20" s="233"/>
      <c r="D20" s="233"/>
      <c r="E20" s="233"/>
      <c r="F20" s="233"/>
      <c r="G20" s="233"/>
      <c r="H20" s="233"/>
      <c r="I20" s="992"/>
    </row>
    <row r="21" spans="1:10">
      <c r="A21">
        <v>245</v>
      </c>
      <c r="B21" s="991">
        <v>44013</v>
      </c>
      <c r="C21" s="233"/>
      <c r="D21" s="233"/>
      <c r="E21" s="233"/>
      <c r="F21" s="233"/>
      <c r="G21" s="233"/>
      <c r="H21" s="233"/>
      <c r="I21" s="992"/>
    </row>
    <row r="22" spans="1:10">
      <c r="A22">
        <v>257</v>
      </c>
      <c r="B22" s="991">
        <v>44013</v>
      </c>
      <c r="C22" s="233"/>
      <c r="D22" s="233"/>
      <c r="E22" s="233"/>
      <c r="F22" s="233"/>
      <c r="G22" s="233"/>
      <c r="H22" s="233"/>
      <c r="I22" s="992"/>
    </row>
    <row r="23" spans="1:10">
      <c r="A23">
        <v>239</v>
      </c>
      <c r="B23" s="991">
        <v>44013</v>
      </c>
      <c r="C23" s="233"/>
      <c r="D23" s="233"/>
      <c r="E23" s="233"/>
      <c r="F23" s="233"/>
      <c r="G23" s="233"/>
      <c r="H23" s="233"/>
      <c r="I23" s="992"/>
    </row>
    <row r="24" spans="1:10">
      <c r="A24">
        <v>232</v>
      </c>
      <c r="B24" s="991">
        <v>44075</v>
      </c>
      <c r="C24" s="233"/>
      <c r="D24" s="233"/>
      <c r="E24" s="233"/>
      <c r="F24" s="233"/>
      <c r="G24" s="233"/>
      <c r="H24" s="233"/>
      <c r="I24" s="992"/>
    </row>
    <row r="25" spans="1:10">
      <c r="A25">
        <v>222</v>
      </c>
      <c r="B25" s="991">
        <v>44075</v>
      </c>
      <c r="C25" s="233"/>
      <c r="D25" s="233"/>
      <c r="E25" s="233"/>
      <c r="F25" s="233"/>
      <c r="G25" s="233"/>
      <c r="H25" s="233"/>
      <c r="I25" s="992"/>
    </row>
    <row r="26" spans="1:10">
      <c r="A26">
        <v>202</v>
      </c>
      <c r="B26" s="991">
        <v>44075</v>
      </c>
      <c r="C26" s="233"/>
      <c r="D26" s="233"/>
      <c r="E26" s="233"/>
      <c r="F26" s="233"/>
      <c r="G26" s="233"/>
      <c r="H26" s="233"/>
      <c r="I26" s="992"/>
    </row>
    <row r="27" spans="1:10">
      <c r="A27">
        <v>260</v>
      </c>
      <c r="B27" s="991">
        <v>44075</v>
      </c>
      <c r="C27" s="233"/>
      <c r="D27" s="233"/>
      <c r="E27" s="233"/>
      <c r="F27" s="233"/>
      <c r="G27" s="233"/>
      <c r="H27" s="233"/>
      <c r="I27" s="992"/>
    </row>
    <row r="28" spans="1:10">
      <c r="A28">
        <v>230</v>
      </c>
      <c r="B28" s="991">
        <v>44075</v>
      </c>
      <c r="C28" s="233"/>
      <c r="D28" s="233"/>
      <c r="E28" s="233"/>
      <c r="F28" s="233"/>
      <c r="G28" s="233"/>
      <c r="H28" s="233"/>
      <c r="I28" s="992"/>
    </row>
    <row r="29" spans="1:10">
      <c r="A29">
        <v>221</v>
      </c>
      <c r="B29" s="991">
        <v>44075</v>
      </c>
      <c r="C29" s="233"/>
      <c r="D29" s="233"/>
      <c r="E29" s="233"/>
      <c r="F29" s="233"/>
      <c r="G29" s="233"/>
      <c r="H29" s="233"/>
      <c r="I29" s="992"/>
    </row>
    <row r="30" spans="1:10">
      <c r="A30">
        <v>218</v>
      </c>
      <c r="B30" s="991">
        <v>44075</v>
      </c>
      <c r="C30" s="233"/>
      <c r="D30" s="233"/>
      <c r="E30" s="233"/>
      <c r="F30" s="233"/>
      <c r="G30" s="233"/>
      <c r="H30" s="233"/>
      <c r="I30" s="992"/>
    </row>
    <row r="31" spans="1:10">
      <c r="A31">
        <v>261</v>
      </c>
      <c r="B31" s="991">
        <v>44075</v>
      </c>
      <c r="C31" s="233"/>
      <c r="D31" s="233"/>
      <c r="E31" s="233"/>
      <c r="F31" s="233"/>
      <c r="G31" s="233"/>
      <c r="H31" s="233"/>
      <c r="I31" s="992"/>
    </row>
    <row r="32" spans="1:10">
      <c r="A32">
        <v>262</v>
      </c>
      <c r="B32" s="991">
        <v>44075</v>
      </c>
      <c r="C32" s="233"/>
      <c r="D32" s="233"/>
      <c r="E32" s="233"/>
      <c r="F32" s="233"/>
      <c r="G32" s="233"/>
      <c r="H32" s="233"/>
      <c r="I32" s="992"/>
    </row>
    <row r="33" spans="1:9">
      <c r="A33">
        <v>227</v>
      </c>
      <c r="B33" s="991">
        <v>44075</v>
      </c>
      <c r="C33" s="233"/>
      <c r="D33" s="233"/>
      <c r="E33" s="233"/>
      <c r="F33" s="233"/>
      <c r="G33" s="233"/>
      <c r="H33" s="233"/>
      <c r="I33" s="992"/>
    </row>
    <row r="34" spans="1:9">
      <c r="A34">
        <v>231</v>
      </c>
      <c r="B34" s="991">
        <v>44075</v>
      </c>
      <c r="C34" s="233"/>
      <c r="D34" s="233"/>
      <c r="E34" s="233"/>
      <c r="F34" s="233"/>
      <c r="G34" s="233"/>
      <c r="H34" s="233"/>
      <c r="I34" s="992"/>
    </row>
    <row r="35" spans="1:9">
      <c r="A35">
        <v>216</v>
      </c>
      <c r="B35" s="991">
        <v>44075</v>
      </c>
      <c r="C35" s="233"/>
      <c r="D35" s="233"/>
      <c r="E35" s="233"/>
      <c r="F35" s="233"/>
      <c r="G35" s="233"/>
      <c r="H35" s="233"/>
      <c r="I35" s="992"/>
    </row>
    <row r="36" spans="1:9">
      <c r="A36">
        <v>229</v>
      </c>
      <c r="B36" s="991">
        <v>44075</v>
      </c>
      <c r="C36" s="233"/>
      <c r="D36" s="233"/>
      <c r="E36" s="233"/>
      <c r="F36" s="233"/>
      <c r="G36" s="233"/>
      <c r="H36" s="233"/>
      <c r="I36" s="992"/>
    </row>
    <row r="37" spans="1:9">
      <c r="A37">
        <v>215</v>
      </c>
      <c r="B37" s="991">
        <v>44075</v>
      </c>
      <c r="C37" s="233"/>
      <c r="D37" s="233"/>
      <c r="E37" s="233"/>
      <c r="F37" s="233"/>
      <c r="G37" s="233"/>
      <c r="H37" s="233"/>
      <c r="I37" s="992"/>
    </row>
    <row r="38" spans="1:9">
      <c r="A38">
        <v>224</v>
      </c>
      <c r="B38" s="991">
        <v>44075</v>
      </c>
      <c r="C38" s="233"/>
      <c r="D38" s="233"/>
      <c r="E38" s="233"/>
      <c r="F38" s="233"/>
      <c r="G38" s="233"/>
      <c r="H38" s="233"/>
      <c r="I38" s="992"/>
    </row>
    <row r="39" spans="1:9">
      <c r="A39">
        <v>226</v>
      </c>
      <c r="B39" s="991">
        <v>44075</v>
      </c>
      <c r="C39" s="233"/>
      <c r="D39" s="233"/>
      <c r="E39" s="233"/>
      <c r="F39" s="233"/>
      <c r="G39" s="233"/>
      <c r="H39" s="233"/>
      <c r="I39" s="992"/>
    </row>
    <row r="40" spans="1:9">
      <c r="A40">
        <v>234</v>
      </c>
      <c r="B40" s="991">
        <v>44075</v>
      </c>
      <c r="C40" s="233"/>
      <c r="D40" s="233"/>
      <c r="E40" s="233"/>
      <c r="F40" s="233"/>
      <c r="G40" s="233"/>
      <c r="H40" s="233"/>
      <c r="I40" s="992"/>
    </row>
    <row r="41" spans="1:9">
      <c r="A41">
        <v>223</v>
      </c>
      <c r="B41" s="991">
        <v>44075</v>
      </c>
      <c r="C41" s="233"/>
      <c r="D41" s="233"/>
      <c r="E41" s="233"/>
      <c r="F41" s="233"/>
      <c r="G41" s="233"/>
      <c r="H41" s="233"/>
      <c r="I41" s="992"/>
    </row>
    <row r="42" spans="1:9">
      <c r="A42">
        <v>225</v>
      </c>
      <c r="B42" s="991">
        <v>44075</v>
      </c>
      <c r="C42" s="233"/>
      <c r="D42" s="233"/>
      <c r="E42" s="233"/>
      <c r="F42" s="233"/>
      <c r="G42" s="233"/>
      <c r="H42" s="233"/>
      <c r="I42" s="992"/>
    </row>
    <row r="43" spans="1:9">
      <c r="A43">
        <v>228</v>
      </c>
      <c r="B43" s="991">
        <v>44075</v>
      </c>
      <c r="C43" s="233"/>
      <c r="D43" s="233"/>
      <c r="E43" s="233"/>
      <c r="F43" s="233"/>
      <c r="G43" s="233"/>
      <c r="H43" s="233"/>
      <c r="I43" s="992"/>
    </row>
    <row r="44" spans="1:9">
      <c r="A44">
        <v>220</v>
      </c>
      <c r="B44" s="991">
        <v>44075</v>
      </c>
      <c r="C44" s="233"/>
      <c r="D44" s="233"/>
      <c r="E44" s="233"/>
      <c r="F44" s="233"/>
      <c r="G44" s="233"/>
      <c r="H44" s="233"/>
      <c r="I44" s="992"/>
    </row>
    <row r="45" spans="1:9">
      <c r="A45">
        <v>201</v>
      </c>
      <c r="B45" s="991">
        <v>44136</v>
      </c>
      <c r="C45" s="233"/>
      <c r="D45" s="233"/>
      <c r="E45" s="233"/>
      <c r="F45" s="233"/>
      <c r="G45" s="233"/>
      <c r="H45" s="233"/>
      <c r="I45" s="992"/>
    </row>
    <row r="46" spans="1:9">
      <c r="A46">
        <v>213</v>
      </c>
      <c r="B46" s="991">
        <v>44136</v>
      </c>
      <c r="C46" s="233"/>
      <c r="D46" s="233"/>
      <c r="E46" s="233"/>
      <c r="F46" s="233"/>
      <c r="G46" s="233"/>
      <c r="H46" s="233"/>
      <c r="I46" s="992"/>
    </row>
    <row r="47" spans="1:9">
      <c r="A47">
        <v>219</v>
      </c>
      <c r="B47" s="991">
        <v>44136</v>
      </c>
      <c r="C47" s="233"/>
      <c r="D47" s="233"/>
      <c r="E47" s="233"/>
      <c r="F47" s="233"/>
      <c r="G47" s="233"/>
      <c r="H47" s="233"/>
      <c r="I47" s="992"/>
    </row>
    <row r="48" spans="1:9">
      <c r="A48">
        <v>205</v>
      </c>
      <c r="B48" s="991">
        <v>44136</v>
      </c>
      <c r="C48" s="233"/>
      <c r="D48" s="233"/>
      <c r="E48" s="233"/>
      <c r="F48" s="233"/>
      <c r="G48" s="233"/>
      <c r="H48" s="233"/>
      <c r="I48" s="992"/>
    </row>
    <row r="49" spans="1:10">
      <c r="A49">
        <v>208</v>
      </c>
      <c r="B49" s="991">
        <v>44136</v>
      </c>
      <c r="C49" s="233"/>
      <c r="D49" s="233"/>
      <c r="E49" s="233"/>
      <c r="F49" s="233"/>
      <c r="G49" s="233"/>
      <c r="H49" s="233"/>
      <c r="I49" s="992"/>
    </row>
    <row r="50" spans="1:10">
      <c r="A50">
        <v>263</v>
      </c>
      <c r="B50" s="991">
        <v>44166</v>
      </c>
      <c r="C50" s="233"/>
      <c r="D50" s="233"/>
      <c r="F50" s="233"/>
      <c r="G50" s="233"/>
      <c r="H50" s="233"/>
      <c r="I50" s="992"/>
      <c r="J50" s="233">
        <v>5389974.3136365721</v>
      </c>
    </row>
    <row r="51" spans="1:10">
      <c r="A51">
        <v>217</v>
      </c>
      <c r="B51" s="991">
        <v>44166</v>
      </c>
      <c r="C51" s="233"/>
      <c r="D51" s="233"/>
      <c r="E51" s="233"/>
      <c r="F51" s="233"/>
      <c r="G51" s="233"/>
      <c r="H51" s="233"/>
      <c r="I51" s="992"/>
      <c r="J51" s="233"/>
    </row>
    <row r="52" spans="1:10">
      <c r="A52">
        <v>264</v>
      </c>
      <c r="B52" s="991">
        <v>44166</v>
      </c>
      <c r="C52" s="233"/>
      <c r="D52" s="233"/>
      <c r="F52" s="233"/>
      <c r="G52" s="233"/>
      <c r="H52" s="233"/>
      <c r="I52" s="992"/>
      <c r="J52" s="233"/>
    </row>
  </sheetData>
  <autoFilter ref="A1:J52" xr:uid="{48C3F0A7-49C8-4BA1-9CC9-2B2DF05FAD38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Plan17">
    <tabColor theme="0" tint="-0.499984740745262"/>
  </sheetPr>
  <dimension ref="A1:AQ77"/>
  <sheetViews>
    <sheetView showGridLines="0" topLeftCell="L1" zoomScale="106" zoomScaleNormal="106" workbookViewId="0">
      <selection activeCell="A31" sqref="A31"/>
    </sheetView>
  </sheetViews>
  <sheetFormatPr defaultColWidth="9.140625" defaultRowHeight="14.25"/>
  <cols>
    <col min="1" max="1" width="10.140625" style="68" bestFit="1" customWidth="1"/>
    <col min="2" max="2" width="42.85546875" style="68" customWidth="1"/>
    <col min="3" max="3" width="18.42578125" style="68" customWidth="1"/>
    <col min="4" max="4" width="13.85546875" style="68" customWidth="1"/>
    <col min="5" max="5" width="20" style="68" bestFit="1" customWidth="1"/>
    <col min="6" max="6" width="22.7109375" style="68" customWidth="1"/>
    <col min="7" max="7" width="14.140625" style="68" customWidth="1"/>
    <col min="8" max="9" width="9.140625" style="68"/>
    <col min="10" max="10" width="22.85546875" style="68" bestFit="1" customWidth="1"/>
    <col min="11" max="11" width="15.85546875" style="68" bestFit="1" customWidth="1"/>
    <col min="12" max="14" width="9.140625" style="68"/>
    <col min="15" max="16" width="10.140625" style="68" bestFit="1" customWidth="1"/>
    <col min="17" max="17" width="13.42578125" style="68" bestFit="1" customWidth="1"/>
    <col min="18" max="18" width="65.7109375" style="68" bestFit="1" customWidth="1"/>
    <col min="19" max="19" width="12.140625" style="68" bestFit="1" customWidth="1"/>
    <col min="20" max="20" width="65.7109375" style="68" bestFit="1" customWidth="1"/>
    <col min="21" max="21" width="19.42578125" style="68" customWidth="1"/>
    <col min="22" max="26" width="9.140625" style="68"/>
    <col min="27" max="27" width="43.42578125" style="68" customWidth="1"/>
    <col min="28" max="28" width="23.7109375" style="68" customWidth="1"/>
    <col min="29" max="29" width="23.42578125" style="68" customWidth="1"/>
    <col min="30" max="30" width="26.28515625" style="68" customWidth="1"/>
    <col min="31" max="31" width="15" style="68" customWidth="1"/>
    <col min="32" max="32" width="15.85546875" style="68" bestFit="1" customWidth="1"/>
    <col min="33" max="33" width="19.85546875" style="68" customWidth="1"/>
    <col min="34" max="34" width="9.140625" style="68"/>
    <col min="35" max="35" width="17" style="68" customWidth="1"/>
    <col min="36" max="36" width="36.140625" style="68" customWidth="1"/>
    <col min="37" max="37" width="14.7109375" style="68" bestFit="1" customWidth="1"/>
    <col min="38" max="38" width="23.42578125" style="74" customWidth="1"/>
    <col min="39" max="39" width="30" style="68" customWidth="1"/>
    <col min="40" max="40" width="25" style="68" customWidth="1"/>
    <col min="41" max="41" width="23" style="68" customWidth="1"/>
    <col min="42" max="42" width="14.85546875" style="68" customWidth="1"/>
    <col min="43" max="43" width="11.140625" style="68" bestFit="1" customWidth="1"/>
    <col min="44" max="16384" width="9.140625" style="68"/>
  </cols>
  <sheetData>
    <row r="1" spans="1:43" ht="24.75" customHeight="1">
      <c r="B1" s="1019" t="s">
        <v>10</v>
      </c>
      <c r="C1" s="1020"/>
      <c r="D1" s="1020"/>
      <c r="E1" s="1021" t="s">
        <v>11</v>
      </c>
      <c r="F1" s="1022">
        <f ca="1">LnkTXTIRTEco</f>
        <v>0.1605</v>
      </c>
    </row>
    <row r="2" spans="1:43" ht="28.5" customHeight="1">
      <c r="B2" s="138" t="str">
        <f>CAPA!C9</f>
        <v>Ceris</v>
      </c>
      <c r="C2" s="70"/>
      <c r="D2" s="70"/>
      <c r="E2" s="84" t="s">
        <v>12</v>
      </c>
      <c r="F2" s="85">
        <f ca="1">LnkTXTIRTTotal</f>
        <v>-6.0499999999999998E-2</v>
      </c>
      <c r="M2" s="86"/>
      <c r="N2" s="87"/>
      <c r="AA2" s="891"/>
      <c r="AB2" s="990"/>
      <c r="AC2" s="891"/>
      <c r="AD2" s="891"/>
    </row>
    <row r="3" spans="1:43" ht="21" customHeight="1">
      <c r="B3" s="1023" t="s">
        <v>13</v>
      </c>
      <c r="C3" s="812"/>
      <c r="I3" s="1023" t="s">
        <v>14</v>
      </c>
    </row>
    <row r="4" spans="1:43" ht="8.25" customHeight="1">
      <c r="D4" s="73"/>
      <c r="E4" s="73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43" ht="16.5" customHeight="1">
      <c r="B5" s="1024" t="s">
        <v>15</v>
      </c>
      <c r="C5" s="1025">
        <v>16632.745999999999</v>
      </c>
      <c r="D5" s="1711" t="s">
        <v>16</v>
      </c>
      <c r="E5" s="91"/>
      <c r="F5" s="72"/>
      <c r="G5" s="72"/>
      <c r="H5" s="72" t="s">
        <v>17</v>
      </c>
      <c r="I5" s="492" t="s">
        <v>18</v>
      </c>
      <c r="J5" s="492" t="s">
        <v>19</v>
      </c>
      <c r="K5" s="492"/>
      <c r="L5" s="492" t="s">
        <v>20</v>
      </c>
      <c r="M5" s="492" t="s">
        <v>21</v>
      </c>
      <c r="N5" s="492" t="s">
        <v>22</v>
      </c>
      <c r="O5" s="492"/>
      <c r="P5" s="492"/>
      <c r="Q5" s="492" t="s">
        <v>23</v>
      </c>
      <c r="R5" s="492" t="s">
        <v>24</v>
      </c>
      <c r="S5" s="811" t="s">
        <v>25</v>
      </c>
      <c r="T5" s="492" t="s">
        <v>26</v>
      </c>
      <c r="U5" s="71" t="s">
        <v>27</v>
      </c>
      <c r="V5" s="811" t="s">
        <v>28</v>
      </c>
      <c r="AA5" s="68" t="s">
        <v>29</v>
      </c>
      <c r="AB5" s="68" t="s">
        <v>30</v>
      </c>
      <c r="AC5" s="68" t="s">
        <v>18</v>
      </c>
      <c r="AD5" s="891" t="s">
        <v>31</v>
      </c>
      <c r="AE5" s="891" t="s">
        <v>32</v>
      </c>
      <c r="AI5" s="955" t="s">
        <v>33</v>
      </c>
      <c r="AJ5" s="955" t="s">
        <v>34</v>
      </c>
      <c r="AL5" s="971" t="s">
        <v>35</v>
      </c>
      <c r="AM5" s="971" t="s">
        <v>36</v>
      </c>
      <c r="AO5" s="891" t="s">
        <v>37</v>
      </c>
      <c r="AP5" s="891" t="s">
        <v>36</v>
      </c>
      <c r="AQ5" s="891" t="s">
        <v>38</v>
      </c>
    </row>
    <row r="6" spans="1:43" ht="16.5">
      <c r="B6" s="94"/>
      <c r="C6" s="89"/>
      <c r="D6" s="1712"/>
      <c r="E6" s="91"/>
      <c r="F6" s="72"/>
      <c r="G6" s="72"/>
      <c r="H6" s="68" t="str">
        <f>CONCATENATE(W6,J6,L6,O6)</f>
        <v>390A4PontaPotência</v>
      </c>
      <c r="I6" s="1026">
        <v>2022</v>
      </c>
      <c r="J6" s="1027" t="s">
        <v>648</v>
      </c>
      <c r="K6" s="1027" t="s">
        <v>880</v>
      </c>
      <c r="L6" s="1027" t="s">
        <v>1027</v>
      </c>
      <c r="M6" s="1027" t="s">
        <v>354</v>
      </c>
      <c r="N6" s="1027">
        <v>5382</v>
      </c>
      <c r="O6" s="1027" t="s">
        <v>1390</v>
      </c>
      <c r="P6" s="1027" t="s">
        <v>881</v>
      </c>
      <c r="Q6" s="1028">
        <v>44746</v>
      </c>
      <c r="R6" s="1028">
        <v>44739</v>
      </c>
      <c r="S6" s="517" t="s">
        <v>2288</v>
      </c>
      <c r="T6" s="1028" t="s">
        <v>2289</v>
      </c>
      <c r="U6" s="1027">
        <v>21.64</v>
      </c>
      <c r="V6" s="1027">
        <v>148</v>
      </c>
      <c r="W6" s="68">
        <f>VLOOKUP(V6,DescontosTE[[#All],[idsreag supridora]:[codsariSUP]],2,FALSE)</f>
        <v>390</v>
      </c>
      <c r="AA6" s="892"/>
      <c r="AB6" s="893"/>
      <c r="AC6" s="892"/>
      <c r="AD6" s="892"/>
      <c r="AE6" s="892"/>
      <c r="AI6" s="969"/>
      <c r="AJ6" s="970"/>
      <c r="AL6" s="972" t="s">
        <v>2296</v>
      </c>
      <c r="AM6" s="973">
        <v>0</v>
      </c>
      <c r="AO6" s="1557" t="s">
        <v>39</v>
      </c>
      <c r="AP6" s="1558"/>
      <c r="AQ6" s="1558"/>
    </row>
    <row r="7" spans="1:43" ht="16.5">
      <c r="B7" s="1029" t="s">
        <v>40</v>
      </c>
      <c r="C7" s="1030">
        <v>0</v>
      </c>
      <c r="D7" s="1712"/>
      <c r="E7" s="72"/>
      <c r="F7" s="72"/>
      <c r="G7" s="72"/>
      <c r="H7" s="68" t="str">
        <f t="shared" ref="H7:H30" si="0">CONCATENATE(W7,J7,L7,O7)</f>
        <v>390A4Fora pontaPotência</v>
      </c>
      <c r="I7" s="515">
        <v>2022</v>
      </c>
      <c r="J7" s="516" t="s">
        <v>648</v>
      </c>
      <c r="K7" s="516" t="s">
        <v>880</v>
      </c>
      <c r="L7" s="516" t="s">
        <v>2290</v>
      </c>
      <c r="M7" s="516" t="s">
        <v>354</v>
      </c>
      <c r="N7" s="516">
        <v>5382</v>
      </c>
      <c r="O7" s="516" t="s">
        <v>1390</v>
      </c>
      <c r="P7" s="516" t="s">
        <v>881</v>
      </c>
      <c r="Q7" s="517">
        <v>44746</v>
      </c>
      <c r="R7" s="517">
        <v>44739</v>
      </c>
      <c r="S7" s="517" t="s">
        <v>2288</v>
      </c>
      <c r="T7" s="517" t="s">
        <v>2289</v>
      </c>
      <c r="U7" s="516">
        <v>14.85</v>
      </c>
      <c r="V7" s="516">
        <v>148</v>
      </c>
      <c r="W7" s="68">
        <f>VLOOKUP(V7,DescontosTE[[#All],[idsreag supridora]:[codsariSUP]],2,FALSE)</f>
        <v>390</v>
      </c>
      <c r="AA7" s="892"/>
      <c r="AB7" s="893"/>
      <c r="AC7" s="892"/>
      <c r="AD7" s="892"/>
      <c r="AE7" s="892"/>
      <c r="AI7" s="969"/>
      <c r="AJ7" s="970"/>
      <c r="AL7" s="972" t="s">
        <v>2297</v>
      </c>
      <c r="AM7" s="973">
        <v>0</v>
      </c>
      <c r="AO7" s="1557" t="s">
        <v>41</v>
      </c>
      <c r="AP7" s="1558"/>
      <c r="AQ7" s="1558"/>
    </row>
    <row r="8" spans="1:43" ht="16.5">
      <c r="B8" s="94" t="s">
        <v>42</v>
      </c>
      <c r="C8" s="120">
        <v>0</v>
      </c>
      <c r="D8" s="1712"/>
      <c r="E8" s="72"/>
      <c r="F8" s="72"/>
      <c r="G8" s="72"/>
      <c r="H8" s="68" t="str">
        <f t="shared" si="0"/>
        <v>390A4Não se aplicaEnergia</v>
      </c>
      <c r="I8" s="515">
        <v>2022</v>
      </c>
      <c r="J8" s="516" t="s">
        <v>648</v>
      </c>
      <c r="K8" s="516" t="s">
        <v>880</v>
      </c>
      <c r="L8" s="516" t="s">
        <v>96</v>
      </c>
      <c r="M8" s="516" t="s">
        <v>354</v>
      </c>
      <c r="N8" s="516">
        <v>5382</v>
      </c>
      <c r="O8" s="516" t="s">
        <v>158</v>
      </c>
      <c r="P8" s="516" t="s">
        <v>881</v>
      </c>
      <c r="Q8" s="517">
        <v>44746</v>
      </c>
      <c r="R8" s="517">
        <v>44739</v>
      </c>
      <c r="S8" s="517" t="s">
        <v>2288</v>
      </c>
      <c r="T8" s="517" t="s">
        <v>2289</v>
      </c>
      <c r="U8" s="516">
        <v>3.69</v>
      </c>
      <c r="V8" s="516">
        <v>148</v>
      </c>
      <c r="W8" s="68">
        <f>VLOOKUP(V8,DescontosTE[[#All],[idsreag supridora]:[codsariSUP]],2,FALSE)</f>
        <v>390</v>
      </c>
      <c r="AI8" s="969"/>
      <c r="AJ8" s="970"/>
      <c r="AL8" s="972" t="s">
        <v>2298</v>
      </c>
      <c r="AM8" s="973">
        <v>0</v>
      </c>
      <c r="AO8" s="1557" t="s">
        <v>43</v>
      </c>
      <c r="AP8" s="1558"/>
      <c r="AQ8" s="1558"/>
    </row>
    <row r="9" spans="1:43" ht="16.5">
      <c r="A9" s="1690"/>
      <c r="B9" s="94" t="s">
        <v>44</v>
      </c>
      <c r="C9" s="120">
        <v>36574.6449441515</v>
      </c>
      <c r="D9" s="1712"/>
      <c r="E9" s="72"/>
      <c r="F9" s="72"/>
      <c r="G9" s="72"/>
      <c r="H9" s="68" t="e">
        <f t="shared" si="0"/>
        <v>#N/A</v>
      </c>
      <c r="I9" s="515"/>
      <c r="J9" s="516"/>
      <c r="K9" s="516"/>
      <c r="L9" s="516"/>
      <c r="M9" s="516"/>
      <c r="N9" s="516"/>
      <c r="O9" s="516"/>
      <c r="P9" s="516"/>
      <c r="Q9" s="517"/>
      <c r="R9" s="517"/>
      <c r="S9" s="517"/>
      <c r="T9" s="517"/>
      <c r="U9" s="516"/>
      <c r="V9" s="516"/>
      <c r="W9" s="68" t="e">
        <f>VLOOKUP(V9,DescontosTE[[#All],[idsreag supridora]:[codsariSUP]],2,FALSE)</f>
        <v>#N/A</v>
      </c>
      <c r="AI9" s="969"/>
      <c r="AJ9" s="970"/>
      <c r="AL9" s="972" t="s">
        <v>2299</v>
      </c>
      <c r="AM9" s="973"/>
      <c r="AO9" s="1557"/>
      <c r="AP9" s="1558" t="s">
        <v>45</v>
      </c>
      <c r="AQ9" s="1558"/>
    </row>
    <row r="10" spans="1:43" ht="16.5">
      <c r="A10" s="1690"/>
      <c r="B10" s="94" t="s">
        <v>46</v>
      </c>
      <c r="C10" s="120">
        <v>979868.31935999996</v>
      </c>
      <c r="D10" s="1712"/>
      <c r="H10" s="68" t="e">
        <f t="shared" si="0"/>
        <v>#N/A</v>
      </c>
      <c r="I10" s="515"/>
      <c r="J10" s="516"/>
      <c r="K10" s="516"/>
      <c r="L10" s="516"/>
      <c r="M10" s="516"/>
      <c r="N10" s="516"/>
      <c r="O10" s="516"/>
      <c r="P10" s="516"/>
      <c r="Q10" s="517"/>
      <c r="R10" s="517"/>
      <c r="S10" s="517"/>
      <c r="T10" s="517"/>
      <c r="U10" s="516"/>
      <c r="V10" s="516"/>
      <c r="W10" s="68" t="e">
        <f>VLOOKUP(V10,DescontosTE[[#All],[idsreag supridora]:[codsariSUP]],2,FALSE)</f>
        <v>#N/A</v>
      </c>
      <c r="AA10" s="68" t="s">
        <v>47</v>
      </c>
      <c r="AB10" s="68" t="s">
        <v>48</v>
      </c>
      <c r="AC10" s="68" t="s">
        <v>49</v>
      </c>
      <c r="AD10" s="897" t="s">
        <v>50</v>
      </c>
      <c r="AI10" s="969"/>
      <c r="AJ10" s="970"/>
      <c r="AL10" s="972" t="s">
        <v>2300</v>
      </c>
      <c r="AM10" s="973">
        <v>0</v>
      </c>
    </row>
    <row r="11" spans="1:43" ht="16.5">
      <c r="B11" s="94" t="s">
        <v>51</v>
      </c>
      <c r="C11" s="120">
        <v>0</v>
      </c>
      <c r="D11" s="1712"/>
      <c r="H11" s="68" t="e">
        <f t="shared" si="0"/>
        <v>#N/A</v>
      </c>
      <c r="I11" s="515"/>
      <c r="J11" s="516"/>
      <c r="K11" s="516"/>
      <c r="L11" s="516"/>
      <c r="M11" s="516"/>
      <c r="N11" s="516"/>
      <c r="O11" s="516"/>
      <c r="P11" s="516"/>
      <c r="Q11" s="517"/>
      <c r="R11" s="517"/>
      <c r="S11" s="517"/>
      <c r="T11" s="517"/>
      <c r="U11" s="516"/>
      <c r="V11" s="516"/>
      <c r="W11" s="68" t="e">
        <f>VLOOKUP(V11,DescontosTE[[#All],[idsreag supridora]:[codsariSUP]],2,FALSE)</f>
        <v>#N/A</v>
      </c>
      <c r="AA11" s="892">
        <v>0.87480000000000002</v>
      </c>
      <c r="AB11" s="893">
        <v>169.95</v>
      </c>
      <c r="AC11" s="892">
        <v>14739.74</v>
      </c>
      <c r="AD11" s="892"/>
      <c r="AI11" s="969"/>
      <c r="AJ11" s="970"/>
      <c r="AL11" s="972" t="s">
        <v>2301</v>
      </c>
      <c r="AM11" s="973">
        <v>0</v>
      </c>
    </row>
    <row r="12" spans="1:43" ht="16.5">
      <c r="A12" s="1690"/>
      <c r="B12" s="94" t="s">
        <v>52</v>
      </c>
      <c r="C12" s="120">
        <v>152520.15968000001</v>
      </c>
      <c r="D12" s="1712"/>
      <c r="H12" s="68" t="e">
        <f t="shared" si="0"/>
        <v>#N/A</v>
      </c>
      <c r="I12" s="515"/>
      <c r="J12" s="516"/>
      <c r="K12" s="516"/>
      <c r="L12" s="516"/>
      <c r="M12" s="516"/>
      <c r="N12" s="516"/>
      <c r="O12" s="516"/>
      <c r="P12" s="516"/>
      <c r="Q12" s="517"/>
      <c r="R12" s="517"/>
      <c r="S12" s="517"/>
      <c r="T12" s="517"/>
      <c r="U12" s="516"/>
      <c r="V12" s="516"/>
      <c r="W12" s="68" t="e">
        <f>VLOOKUP(V12,DescontosTE[[#All],[idsreag supridora]:[codsariSUP]],2,FALSE)</f>
        <v>#N/A</v>
      </c>
      <c r="AI12" s="969"/>
      <c r="AJ12" s="970"/>
      <c r="AL12" s="972" t="s">
        <v>2302</v>
      </c>
      <c r="AM12" s="973">
        <v>0</v>
      </c>
    </row>
    <row r="13" spans="1:43" ht="16.5">
      <c r="B13" s="94" t="s">
        <v>53</v>
      </c>
      <c r="C13" s="120">
        <v>0</v>
      </c>
      <c r="D13" s="1712"/>
      <c r="H13" s="68" t="e">
        <f t="shared" si="0"/>
        <v>#N/A</v>
      </c>
      <c r="I13" s="515"/>
      <c r="J13" s="516"/>
      <c r="K13" s="516"/>
      <c r="L13" s="516"/>
      <c r="M13" s="516"/>
      <c r="N13" s="516"/>
      <c r="O13" s="516"/>
      <c r="P13" s="516"/>
      <c r="Q13" s="517"/>
      <c r="R13" s="517"/>
      <c r="S13" s="517"/>
      <c r="T13" s="517"/>
      <c r="U13" s="516"/>
      <c r="V13" s="516"/>
      <c r="W13" s="68" t="e">
        <f>VLOOKUP(V13,DescontosTE[[#All],[idsreag supridora]:[codsariSUP]],2,FALSE)</f>
        <v>#N/A</v>
      </c>
      <c r="AI13" s="969"/>
      <c r="AJ13" s="970"/>
      <c r="AL13" s="972" t="s">
        <v>2303</v>
      </c>
      <c r="AM13" s="973">
        <v>0</v>
      </c>
    </row>
    <row r="14" spans="1:43" ht="16.5">
      <c r="B14" s="94" t="s">
        <v>54</v>
      </c>
      <c r="C14" s="120">
        <v>0</v>
      </c>
      <c r="D14" s="1712"/>
      <c r="H14" s="68" t="e">
        <f t="shared" si="0"/>
        <v>#N/A</v>
      </c>
      <c r="I14" s="515"/>
      <c r="J14" s="516"/>
      <c r="K14" s="516"/>
      <c r="L14" s="516"/>
      <c r="M14" s="516"/>
      <c r="N14" s="516"/>
      <c r="O14" s="516"/>
      <c r="P14" s="516"/>
      <c r="Q14" s="517"/>
      <c r="R14" s="517"/>
      <c r="S14" s="517"/>
      <c r="T14" s="517"/>
      <c r="U14" s="516"/>
      <c r="V14" s="516"/>
      <c r="W14" s="68" t="e">
        <f>VLOOKUP(V14,DescontosTE[[#All],[idsreag supridora]:[codsariSUP]],2,FALSE)</f>
        <v>#N/A</v>
      </c>
      <c r="AA14" s="823"/>
      <c r="AB14" s="823"/>
      <c r="AC14" s="823"/>
      <c r="AI14" s="969"/>
      <c r="AJ14" s="970"/>
      <c r="AL14" s="972" t="s">
        <v>2304</v>
      </c>
      <c r="AM14" s="973">
        <v>0</v>
      </c>
    </row>
    <row r="15" spans="1:43" ht="16.5">
      <c r="B15" s="1031" t="s">
        <v>55</v>
      </c>
      <c r="C15" s="1032">
        <v>0</v>
      </c>
      <c r="D15" s="1712"/>
      <c r="F15" s="93"/>
      <c r="H15" s="68" t="e">
        <f t="shared" si="0"/>
        <v>#N/A</v>
      </c>
      <c r="I15" s="515"/>
      <c r="J15" s="516"/>
      <c r="K15" s="516"/>
      <c r="L15" s="516"/>
      <c r="M15" s="516"/>
      <c r="N15" s="516"/>
      <c r="O15" s="516"/>
      <c r="P15" s="516"/>
      <c r="Q15" s="517"/>
      <c r="R15" s="517"/>
      <c r="S15" s="517"/>
      <c r="T15" s="517"/>
      <c r="U15" s="516"/>
      <c r="V15" s="516"/>
      <c r="W15" s="68" t="e">
        <f>VLOOKUP(V15,DescontosTE[[#All],[idsreag supridora]:[codsariSUP]],2,FALSE)</f>
        <v>#N/A</v>
      </c>
      <c r="AA15" s="975" t="s">
        <v>56</v>
      </c>
      <c r="AB15" s="975" t="s">
        <v>57</v>
      </c>
      <c r="AC15" s="823"/>
      <c r="AI15" s="969"/>
      <c r="AJ15" s="970"/>
      <c r="AL15" s="972"/>
      <c r="AM15" s="973"/>
    </row>
    <row r="16" spans="1:43" ht="16.5">
      <c r="D16" s="1712"/>
      <c r="F16" s="93"/>
      <c r="H16" s="68" t="e">
        <f t="shared" si="0"/>
        <v>#N/A</v>
      </c>
      <c r="I16" s="515"/>
      <c r="J16" s="516"/>
      <c r="K16" s="516"/>
      <c r="L16" s="516"/>
      <c r="M16" s="516"/>
      <c r="N16" s="516"/>
      <c r="O16" s="516"/>
      <c r="P16" s="516"/>
      <c r="Q16" s="517"/>
      <c r="R16" s="517"/>
      <c r="S16" s="517"/>
      <c r="T16" s="517"/>
      <c r="U16" s="516"/>
      <c r="V16" s="516"/>
      <c r="W16" s="68" t="e">
        <f>VLOOKUP(V16,DescontosTE[[#All],[idsreag supridora]:[codsariSUP]],2,FALSE)</f>
        <v>#N/A</v>
      </c>
      <c r="AA16" s="892">
        <v>2022</v>
      </c>
      <c r="AB16" s="893">
        <v>293.256159697513</v>
      </c>
      <c r="AC16" s="891"/>
      <c r="AI16" s="969"/>
      <c r="AJ16" s="970"/>
      <c r="AL16" s="972"/>
      <c r="AM16" s="973"/>
    </row>
    <row r="17" spans="1:42" ht="16.5">
      <c r="B17" s="1024" t="s">
        <v>58</v>
      </c>
      <c r="C17" s="1033"/>
      <c r="D17" s="1712"/>
      <c r="F17" s="93"/>
      <c r="H17" s="68" t="e">
        <f t="shared" si="0"/>
        <v>#N/A</v>
      </c>
      <c r="I17" s="515"/>
      <c r="J17" s="516"/>
      <c r="K17" s="516"/>
      <c r="L17" s="516"/>
      <c r="M17" s="516"/>
      <c r="N17" s="516"/>
      <c r="O17" s="516"/>
      <c r="P17" s="516"/>
      <c r="Q17" s="517"/>
      <c r="R17" s="517"/>
      <c r="S17" s="517"/>
      <c r="T17" s="517"/>
      <c r="U17" s="516"/>
      <c r="V17" s="516"/>
      <c r="W17" s="68" t="e">
        <f>VLOOKUP(V17,DescontosTE[[#All],[idsreag supridora]:[codsariSUP]],2,FALSE)</f>
        <v>#N/A</v>
      </c>
      <c r="AI17" s="969"/>
      <c r="AJ17" s="970"/>
      <c r="AL17" s="898"/>
      <c r="AM17" s="893"/>
    </row>
    <row r="18" spans="1:42" ht="16.5">
      <c r="B18" s="94" t="s">
        <v>59</v>
      </c>
      <c r="C18" s="120">
        <v>0</v>
      </c>
      <c r="D18" s="1712"/>
      <c r="F18" s="93"/>
      <c r="H18" s="68" t="e">
        <f t="shared" si="0"/>
        <v>#N/A</v>
      </c>
      <c r="I18" s="515"/>
      <c r="J18" s="516"/>
      <c r="K18" s="516"/>
      <c r="L18" s="516"/>
      <c r="M18" s="516"/>
      <c r="N18" s="516"/>
      <c r="O18" s="516"/>
      <c r="P18" s="516"/>
      <c r="Q18" s="517"/>
      <c r="R18" s="517"/>
      <c r="S18" s="517"/>
      <c r="T18" s="517"/>
      <c r="U18" s="516"/>
      <c r="V18" s="516"/>
      <c r="W18" s="68" t="e">
        <f>VLOOKUP(V18,DescontosTE[[#All],[idsreag supridora]:[codsariSUP]],2,FALSE)</f>
        <v>#N/A</v>
      </c>
      <c r="AI18" s="969"/>
      <c r="AJ18" s="970"/>
      <c r="AL18" s="898"/>
      <c r="AM18" s="893"/>
    </row>
    <row r="19" spans="1:42" ht="16.5">
      <c r="B19" s="94" t="s">
        <v>60</v>
      </c>
      <c r="C19" s="120">
        <v>0</v>
      </c>
      <c r="D19" s="1712"/>
      <c r="F19" s="93"/>
      <c r="H19" s="68" t="e">
        <f t="shared" si="0"/>
        <v>#N/A</v>
      </c>
      <c r="I19" s="515"/>
      <c r="J19" s="516"/>
      <c r="K19" s="516"/>
      <c r="L19" s="516"/>
      <c r="M19" s="516"/>
      <c r="N19" s="516"/>
      <c r="O19" s="516"/>
      <c r="P19" s="516"/>
      <c r="Q19" s="517"/>
      <c r="R19" s="517"/>
      <c r="S19" s="517"/>
      <c r="T19" s="517"/>
      <c r="U19" s="516"/>
      <c r="V19" s="516"/>
      <c r="W19" s="68" t="e">
        <f>VLOOKUP(V19,DescontosTE[[#All],[idsreag supridora]:[codsariSUP]],2,FALSE)</f>
        <v>#N/A</v>
      </c>
      <c r="AI19" s="969"/>
      <c r="AJ19" s="970"/>
    </row>
    <row r="20" spans="1:42" ht="16.5">
      <c r="B20" s="94" t="s">
        <v>61</v>
      </c>
      <c r="C20" s="120"/>
      <c r="D20" s="1712"/>
      <c r="F20" s="93"/>
      <c r="H20" s="68" t="e">
        <f t="shared" si="0"/>
        <v>#N/A</v>
      </c>
      <c r="I20" s="515"/>
      <c r="J20" s="516"/>
      <c r="K20" s="516"/>
      <c r="L20" s="516"/>
      <c r="M20" s="516"/>
      <c r="N20" s="516"/>
      <c r="O20" s="516"/>
      <c r="P20" s="516"/>
      <c r="Q20" s="517"/>
      <c r="R20" s="517"/>
      <c r="S20" s="517"/>
      <c r="T20" s="517"/>
      <c r="U20" s="516"/>
      <c r="V20" s="516"/>
      <c r="W20" s="68" t="e">
        <f>VLOOKUP(V20,DescontosTE[[#All],[idsreag supridora]:[codsariSUP]],2,FALSE)</f>
        <v>#N/A</v>
      </c>
      <c r="AA20" s="894" t="s">
        <v>62</v>
      </c>
      <c r="AB20" s="894"/>
      <c r="AC20" s="895"/>
      <c r="AD20" s="895"/>
      <c r="AE20" s="895"/>
      <c r="AF20" s="895"/>
      <c r="AG20" s="896"/>
      <c r="AI20" s="898"/>
      <c r="AJ20" s="893"/>
    </row>
    <row r="21" spans="1:42" ht="16.5">
      <c r="B21" s="94" t="s">
        <v>63</v>
      </c>
      <c r="C21" s="120"/>
      <c r="D21" s="1712"/>
      <c r="F21" s="93"/>
      <c r="H21" s="68" t="e">
        <f t="shared" si="0"/>
        <v>#N/A</v>
      </c>
      <c r="I21" s="515"/>
      <c r="J21" s="516"/>
      <c r="K21" s="516"/>
      <c r="L21" s="516"/>
      <c r="M21" s="516"/>
      <c r="N21" s="516"/>
      <c r="O21" s="516"/>
      <c r="P21" s="516"/>
      <c r="Q21" s="517"/>
      <c r="R21" s="517"/>
      <c r="S21" s="517"/>
      <c r="T21" s="517"/>
      <c r="U21" s="516"/>
      <c r="V21" s="516"/>
      <c r="W21" s="68" t="e">
        <f>VLOOKUP(V21,DescontosTE[[#All],[idsreag supridora]:[codsariSUP]],2,FALSE)</f>
        <v>#N/A</v>
      </c>
      <c r="AA21" s="68" t="s">
        <v>64</v>
      </c>
      <c r="AB21" s="68" t="s">
        <v>65</v>
      </c>
      <c r="AC21" s="68" t="s">
        <v>66</v>
      </c>
      <c r="AD21" s="68" t="s">
        <v>67</v>
      </c>
      <c r="AE21" s="68" t="s">
        <v>68</v>
      </c>
      <c r="AF21" s="68" t="s">
        <v>69</v>
      </c>
      <c r="AG21" s="68" t="s">
        <v>70</v>
      </c>
    </row>
    <row r="22" spans="1:42" ht="16.5">
      <c r="B22" s="94" t="s">
        <v>71</v>
      </c>
      <c r="C22" s="120"/>
      <c r="D22" s="1712"/>
      <c r="H22" s="68" t="e">
        <f t="shared" si="0"/>
        <v>#N/A</v>
      </c>
      <c r="I22" s="515"/>
      <c r="J22" s="516"/>
      <c r="K22" s="516"/>
      <c r="L22" s="516"/>
      <c r="M22" s="516"/>
      <c r="N22" s="516"/>
      <c r="O22" s="516"/>
      <c r="P22" s="516"/>
      <c r="Q22" s="517"/>
      <c r="R22" s="517"/>
      <c r="S22" s="517"/>
      <c r="T22" s="517"/>
      <c r="U22" s="516"/>
      <c r="V22" s="516"/>
      <c r="W22" s="68" t="e">
        <f>VLOOKUP(V22,DescontosTE[[#All],[idsreag supridora]:[codsariSUP]],2,FALSE)</f>
        <v>#N/A</v>
      </c>
      <c r="AA22" s="892"/>
      <c r="AB22" s="893"/>
      <c r="AC22" s="892"/>
      <c r="AD22" s="892"/>
      <c r="AE22" s="893"/>
      <c r="AF22" s="898"/>
      <c r="AG22" s="892"/>
    </row>
    <row r="23" spans="1:42" ht="16.5">
      <c r="B23" s="94" t="s">
        <v>72</v>
      </c>
      <c r="C23" s="120"/>
      <c r="D23" s="1712"/>
      <c r="F23" s="93"/>
      <c r="H23" s="68" t="e">
        <f t="shared" si="0"/>
        <v>#N/A</v>
      </c>
      <c r="I23" s="515"/>
      <c r="J23" s="516"/>
      <c r="K23" s="516"/>
      <c r="L23" s="516"/>
      <c r="M23" s="516"/>
      <c r="N23" s="516"/>
      <c r="O23" s="516"/>
      <c r="P23" s="516"/>
      <c r="Q23" s="517"/>
      <c r="R23" s="517"/>
      <c r="S23" s="517"/>
      <c r="T23" s="517"/>
      <c r="U23" s="516"/>
      <c r="V23" s="516"/>
      <c r="W23" s="68" t="e">
        <f>VLOOKUP(V23,DescontosTE[[#All],[idsreag supridora]:[codsariSUP]],2,FALSE)</f>
        <v>#N/A</v>
      </c>
      <c r="AA23" s="892"/>
      <c r="AB23" s="893"/>
      <c r="AC23" s="892"/>
      <c r="AD23" s="892"/>
      <c r="AE23" s="893"/>
      <c r="AF23" s="892"/>
      <c r="AG23" s="892"/>
      <c r="AI23" s="891" t="s">
        <v>73</v>
      </c>
      <c r="AM23" s="891" t="s">
        <v>74</v>
      </c>
    </row>
    <row r="24" spans="1:42" ht="16.5">
      <c r="B24" s="94" t="s">
        <v>75</v>
      </c>
      <c r="C24" s="120">
        <v>0</v>
      </c>
      <c r="D24" s="1712"/>
      <c r="F24" s="93"/>
      <c r="H24" s="68" t="e">
        <f t="shared" si="0"/>
        <v>#N/A</v>
      </c>
      <c r="I24" s="515"/>
      <c r="J24" s="516"/>
      <c r="K24" s="516"/>
      <c r="L24" s="516"/>
      <c r="M24" s="516"/>
      <c r="N24" s="516"/>
      <c r="O24" s="516"/>
      <c r="P24" s="516"/>
      <c r="Q24" s="517"/>
      <c r="R24" s="517"/>
      <c r="S24" s="517"/>
      <c r="T24" s="517"/>
      <c r="U24" s="516"/>
      <c r="V24" s="516"/>
      <c r="W24" s="68" t="e">
        <f>VLOOKUP(V24,DescontosTE[[#All],[idsreag supridora]:[codsariSUP]],2,FALSE)</f>
        <v>#N/A</v>
      </c>
      <c r="AI24" s="68" t="s">
        <v>76</v>
      </c>
      <c r="AJ24" s="68" t="s">
        <v>77</v>
      </c>
      <c r="AK24" s="68" t="s">
        <v>78</v>
      </c>
      <c r="AM24" s="68" t="s">
        <v>79</v>
      </c>
      <c r="AN24" s="68" t="s">
        <v>80</v>
      </c>
      <c r="AO24" s="68" t="s">
        <v>81</v>
      </c>
      <c r="AP24" s="68" t="s">
        <v>36</v>
      </c>
    </row>
    <row r="25" spans="1:42" ht="16.5">
      <c r="A25" s="1690"/>
      <c r="B25" s="94" t="s">
        <v>82</v>
      </c>
      <c r="C25" s="120">
        <v>1791532.7412099999</v>
      </c>
      <c r="D25" s="1712"/>
      <c r="H25" s="68" t="e">
        <f t="shared" si="0"/>
        <v>#N/A</v>
      </c>
      <c r="I25" s="515"/>
      <c r="J25" s="516"/>
      <c r="K25" s="516"/>
      <c r="L25" s="516"/>
      <c r="M25" s="516"/>
      <c r="N25" s="516"/>
      <c r="O25" s="516"/>
      <c r="P25" s="516"/>
      <c r="Q25" s="517"/>
      <c r="R25" s="517"/>
      <c r="S25" s="517"/>
      <c r="T25" s="517"/>
      <c r="U25" s="516"/>
      <c r="V25" s="516"/>
      <c r="W25" s="68" t="e">
        <f>VLOOKUP(V25,DescontosTE[[#All],[idsreag supridora]:[codsariSUP]],2,FALSE)</f>
        <v>#N/A</v>
      </c>
      <c r="AD25" s="891"/>
      <c r="AE25" s="990"/>
      <c r="AF25" s="891"/>
      <c r="AG25" s="891"/>
      <c r="AI25" s="261" t="s">
        <v>83</v>
      </c>
      <c r="AJ25" s="261" t="s">
        <v>46</v>
      </c>
      <c r="AK25" s="69">
        <v>-22314.985398105899</v>
      </c>
      <c r="AM25" s="1561"/>
      <c r="AN25" s="1561"/>
      <c r="AO25" s="1561"/>
      <c r="AP25" s="1560"/>
    </row>
    <row r="26" spans="1:42" ht="16.5">
      <c r="B26" s="1024" t="s">
        <v>85</v>
      </c>
      <c r="C26" s="1034">
        <v>7953642.9800000004</v>
      </c>
      <c r="D26" s="1712"/>
      <c r="H26" s="68" t="e">
        <f t="shared" si="0"/>
        <v>#N/A</v>
      </c>
      <c r="I26" s="515"/>
      <c r="J26" s="516"/>
      <c r="K26" s="516"/>
      <c r="L26" s="516"/>
      <c r="M26" s="516"/>
      <c r="N26" s="516"/>
      <c r="O26" s="516"/>
      <c r="P26" s="516"/>
      <c r="Q26" s="517"/>
      <c r="R26" s="517"/>
      <c r="S26" s="517"/>
      <c r="T26" s="517"/>
      <c r="U26" s="516"/>
      <c r="V26" s="516"/>
      <c r="W26" s="68" t="e">
        <f>VLOOKUP(V26,DescontosTE[[#All],[idsreag supridora]:[codsariSUP]],2,FALSE)</f>
        <v>#N/A</v>
      </c>
      <c r="AA26" s="975" t="s">
        <v>86</v>
      </c>
      <c r="AB26" s="975" t="s">
        <v>36</v>
      </c>
      <c r="AD26" s="891"/>
      <c r="AE26" s="990"/>
      <c r="AF26" s="891"/>
      <c r="AG26" s="891"/>
      <c r="AI26" s="261" t="s">
        <v>83</v>
      </c>
      <c r="AJ26" s="261" t="s">
        <v>52</v>
      </c>
      <c r="AK26" s="69">
        <v>-2910.3946357292298</v>
      </c>
      <c r="AM26" s="1561"/>
      <c r="AN26" s="1561"/>
      <c r="AO26" s="1561"/>
      <c r="AP26" s="1560"/>
    </row>
    <row r="27" spans="1:42" ht="16.5">
      <c r="C27" s="69"/>
      <c r="D27" s="1712"/>
      <c r="H27" s="68" t="e">
        <f t="shared" si="0"/>
        <v>#N/A</v>
      </c>
      <c r="I27" s="515"/>
      <c r="J27" s="516"/>
      <c r="K27" s="516"/>
      <c r="L27" s="516"/>
      <c r="M27" s="516"/>
      <c r="N27" s="516"/>
      <c r="O27" s="516"/>
      <c r="P27" s="516"/>
      <c r="Q27" s="517"/>
      <c r="R27" s="517"/>
      <c r="S27" s="517"/>
      <c r="T27" s="517"/>
      <c r="U27" s="516"/>
      <c r="V27" s="516"/>
      <c r="W27" s="68" t="e">
        <f>VLOOKUP(V27,DescontosTE[[#All],[idsreag supridora]:[codsariSUP]],2,FALSE)</f>
        <v>#N/A</v>
      </c>
      <c r="AA27" s="892" t="s">
        <v>87</v>
      </c>
      <c r="AB27" s="893"/>
      <c r="AI27" s="261" t="s">
        <v>83</v>
      </c>
      <c r="AJ27" s="261" t="s">
        <v>44</v>
      </c>
      <c r="AK27" s="69">
        <v>-843.15714340868396</v>
      </c>
      <c r="AM27" s="1561"/>
      <c r="AN27" s="1561"/>
      <c r="AO27" s="1561"/>
      <c r="AP27" s="1560"/>
    </row>
    <row r="28" spans="1:42" ht="16.5">
      <c r="B28" s="1023" t="s">
        <v>88</v>
      </c>
      <c r="C28" s="1035"/>
      <c r="D28" s="1712"/>
      <c r="H28" s="68" t="e">
        <f t="shared" si="0"/>
        <v>#N/A</v>
      </c>
      <c r="I28" s="515"/>
      <c r="J28" s="516"/>
      <c r="K28" s="516"/>
      <c r="L28" s="516"/>
      <c r="M28" s="516"/>
      <c r="N28" s="516"/>
      <c r="O28" s="516"/>
      <c r="P28" s="516"/>
      <c r="Q28" s="517"/>
      <c r="R28" s="517"/>
      <c r="S28" s="517"/>
      <c r="T28" s="517"/>
      <c r="U28" s="516"/>
      <c r="V28" s="516"/>
      <c r="W28" s="68" t="e">
        <f>VLOOKUP(V28,DescontosTE[[#All],[idsreag supridora]:[codsariSUP]],2,FALSE)</f>
        <v>#N/A</v>
      </c>
      <c r="AA28" s="892" t="s">
        <v>89</v>
      </c>
      <c r="AB28" s="893"/>
      <c r="AI28" s="261" t="s">
        <v>90</v>
      </c>
      <c r="AJ28" s="261" t="s">
        <v>91</v>
      </c>
      <c r="AK28" s="69">
        <v>81006.749489416194</v>
      </c>
      <c r="AM28" s="1561"/>
      <c r="AN28" s="1561"/>
      <c r="AO28" s="1561"/>
      <c r="AP28" s="1560"/>
    </row>
    <row r="29" spans="1:42" ht="18" customHeight="1">
      <c r="D29" s="1712"/>
      <c r="H29" s="68" t="e">
        <f t="shared" si="0"/>
        <v>#N/A</v>
      </c>
      <c r="I29" s="515"/>
      <c r="J29" s="516"/>
      <c r="K29" s="516"/>
      <c r="L29" s="516"/>
      <c r="M29" s="516"/>
      <c r="N29" s="516"/>
      <c r="O29" s="516"/>
      <c r="P29" s="516"/>
      <c r="Q29" s="517"/>
      <c r="R29" s="517"/>
      <c r="S29" s="517"/>
      <c r="T29" s="517"/>
      <c r="U29" s="516"/>
      <c r="V29" s="516"/>
      <c r="W29" s="68" t="e">
        <f>VLOOKUP(V29,DescontosTE[[#All],[idsreag supridora]:[codsariSUP]],2,FALSE)</f>
        <v>#N/A</v>
      </c>
      <c r="AA29" s="892"/>
      <c r="AB29" s="893"/>
      <c r="AI29" s="261" t="s">
        <v>92</v>
      </c>
      <c r="AJ29" s="261" t="s">
        <v>93</v>
      </c>
      <c r="AK29" s="69">
        <v>-93985.088995536309</v>
      </c>
      <c r="AM29" s="1561"/>
      <c r="AN29" s="1561"/>
      <c r="AO29" s="1561"/>
      <c r="AP29" s="1560"/>
    </row>
    <row r="30" spans="1:42" ht="16.5">
      <c r="B30" s="1036"/>
      <c r="C30" s="1037"/>
      <c r="D30" s="1712"/>
      <c r="H30" s="68" t="e">
        <f t="shared" si="0"/>
        <v>#N/A</v>
      </c>
      <c r="I30" s="515"/>
      <c r="J30" s="516"/>
      <c r="K30" s="516"/>
      <c r="L30" s="516"/>
      <c r="M30" s="516"/>
      <c r="N30" s="516"/>
      <c r="O30" s="516"/>
      <c r="P30" s="516"/>
      <c r="Q30" s="517"/>
      <c r="R30" s="517"/>
      <c r="S30" s="517"/>
      <c r="T30" s="517"/>
      <c r="U30" s="516"/>
      <c r="V30" s="516"/>
      <c r="W30" s="68" t="e">
        <f>VLOOKUP(V30,DescontosTE[[#All],[idsreag supridora]:[codsariSUP]],2,FALSE)</f>
        <v>#N/A</v>
      </c>
      <c r="AA30" s="892"/>
      <c r="AB30" s="893"/>
      <c r="AI30" s="261" t="s">
        <v>84</v>
      </c>
      <c r="AJ30" s="261"/>
      <c r="AK30" s="69">
        <v>-2351222.4154872298</v>
      </c>
      <c r="AM30" s="1561"/>
      <c r="AN30" s="1561"/>
      <c r="AO30" s="1561"/>
      <c r="AP30" s="1560"/>
    </row>
    <row r="31" spans="1:42">
      <c r="A31" s="865"/>
      <c r="B31" s="680" t="s">
        <v>94</v>
      </c>
      <c r="C31" s="681">
        <v>0.18478264492249999</v>
      </c>
      <c r="D31" s="1713"/>
      <c r="AI31" s="261" t="s">
        <v>95</v>
      </c>
      <c r="AJ31" s="261" t="s">
        <v>96</v>
      </c>
      <c r="AK31" s="69">
        <v>148015.584785738</v>
      </c>
      <c r="AM31" s="1561"/>
      <c r="AN31" s="1561"/>
      <c r="AO31" s="1561"/>
      <c r="AP31" s="1560"/>
    </row>
    <row r="32" spans="1:42">
      <c r="B32" s="1038" t="s">
        <v>97</v>
      </c>
      <c r="C32" s="1039">
        <v>0.70911942448514709</v>
      </c>
      <c r="D32" s="90" t="s">
        <v>98</v>
      </c>
      <c r="AI32" s="261"/>
      <c r="AJ32" s="261"/>
      <c r="AK32" s="69"/>
    </row>
    <row r="33" spans="1:37">
      <c r="D33" s="90"/>
      <c r="AI33" s="261"/>
      <c r="AJ33" s="261"/>
      <c r="AK33" s="69"/>
    </row>
    <row r="34" spans="1:37">
      <c r="B34" s="1023"/>
      <c r="C34" s="1035"/>
      <c r="AI34" s="261"/>
      <c r="AJ34" s="261"/>
      <c r="AK34" s="69"/>
    </row>
    <row r="35" spans="1:37">
      <c r="B35" s="1036" t="s">
        <v>46</v>
      </c>
      <c r="C35" s="1040">
        <v>911766.68789999955</v>
      </c>
      <c r="AI35" s="261"/>
      <c r="AJ35" s="261"/>
      <c r="AK35" s="69"/>
    </row>
    <row r="36" spans="1:37">
      <c r="B36" s="680" t="s">
        <v>52</v>
      </c>
      <c r="C36" s="88">
        <v>118866.31393999995</v>
      </c>
      <c r="AI36" s="261"/>
      <c r="AJ36" s="261"/>
      <c r="AK36" s="69"/>
    </row>
    <row r="37" spans="1:37">
      <c r="B37" s="1038" t="s">
        <v>44</v>
      </c>
      <c r="C37" s="1041">
        <v>31922.253199050836</v>
      </c>
      <c r="AI37" s="261"/>
      <c r="AJ37" s="261"/>
      <c r="AK37" s="69"/>
    </row>
    <row r="38" spans="1:37">
      <c r="AI38" s="261"/>
      <c r="AJ38" s="261"/>
      <c r="AK38" s="69"/>
    </row>
    <row r="39" spans="1:37">
      <c r="D39" s="90"/>
      <c r="AI39" s="261"/>
      <c r="AJ39" s="261"/>
      <c r="AK39" s="69"/>
    </row>
    <row r="40" spans="1:37" ht="16.5">
      <c r="B40" s="1038"/>
      <c r="C40" s="72"/>
      <c r="D40" s="9"/>
      <c r="E40" s="9" t="s">
        <v>99</v>
      </c>
      <c r="F40" s="9"/>
      <c r="AI40" s="261"/>
      <c r="AJ40" s="261"/>
      <c r="AK40" s="69"/>
    </row>
    <row r="41" spans="1:37" ht="16.5">
      <c r="A41" s="1042">
        <f>DATE(YEAR(B41),MONTH(B41),1)</f>
        <v>44409</v>
      </c>
      <c r="B41" s="1028">
        <v>44413</v>
      </c>
      <c r="C41" s="541">
        <v>0</v>
      </c>
      <c r="D41" s="9" t="b">
        <f ca="1">BD!E41&gt;=CAPA!$L$73</f>
        <v>0</v>
      </c>
      <c r="E41" s="234">
        <f>Indexador!L34</f>
        <v>0</v>
      </c>
      <c r="F41" s="491">
        <f>CAPA!B63</f>
        <v>44287</v>
      </c>
      <c r="AI41" s="261"/>
      <c r="AJ41" s="261"/>
      <c r="AK41" s="69"/>
    </row>
    <row r="42" spans="1:37" ht="16.5">
      <c r="A42" s="1042">
        <f t="shared" ref="A42:A57" si="1">DATE(YEAR(B42),MONTH(B42),1)</f>
        <v>44440</v>
      </c>
      <c r="B42" s="517">
        <v>44447</v>
      </c>
      <c r="C42" s="541">
        <v>0</v>
      </c>
      <c r="D42" s="9" t="b">
        <f ca="1">BD!E42&gt;=CAPA!$L$73</f>
        <v>0</v>
      </c>
      <c r="E42" s="234">
        <f>Indexador!L35</f>
        <v>0</v>
      </c>
      <c r="F42" s="491">
        <f>CAPA!B64</f>
        <v>44317</v>
      </c>
      <c r="I42" s="811" t="s">
        <v>18</v>
      </c>
      <c r="J42" s="811" t="s">
        <v>19</v>
      </c>
      <c r="K42" s="811"/>
      <c r="L42" s="811" t="s">
        <v>20</v>
      </c>
      <c r="M42" s="811" t="s">
        <v>21</v>
      </c>
      <c r="N42" s="811" t="s">
        <v>22</v>
      </c>
      <c r="O42" s="811" t="s">
        <v>23</v>
      </c>
      <c r="P42" s="811" t="s">
        <v>24</v>
      </c>
      <c r="Q42" s="811" t="s">
        <v>25</v>
      </c>
      <c r="R42" s="811" t="s">
        <v>26</v>
      </c>
      <c r="S42" s="812" t="s">
        <v>27</v>
      </c>
      <c r="T42" s="811" t="s">
        <v>28</v>
      </c>
      <c r="AI42" s="261"/>
      <c r="AJ42" s="261"/>
      <c r="AK42" s="69"/>
    </row>
    <row r="43" spans="1:37" ht="16.5">
      <c r="A43" s="1042">
        <f t="shared" si="1"/>
        <v>44470</v>
      </c>
      <c r="B43" s="517">
        <v>44476</v>
      </c>
      <c r="C43" s="541">
        <v>0</v>
      </c>
      <c r="D43" s="9" t="b">
        <f ca="1">BD!E43&gt;=CAPA!$L$73</f>
        <v>0</v>
      </c>
      <c r="E43" s="234">
        <f>Indexador!L36</f>
        <v>0</v>
      </c>
      <c r="F43" s="491">
        <f>CAPA!B65</f>
        <v>44348</v>
      </c>
      <c r="H43" s="68" t="str">
        <f>CONCATENATE(U43,J43)</f>
        <v>390A4</v>
      </c>
      <c r="I43" s="515">
        <v>2022</v>
      </c>
      <c r="J43" s="516" t="s">
        <v>648</v>
      </c>
      <c r="K43" s="516" t="s">
        <v>2291</v>
      </c>
      <c r="L43" s="516" t="s">
        <v>96</v>
      </c>
      <c r="M43" s="516" t="s">
        <v>354</v>
      </c>
      <c r="N43" s="516">
        <v>5382</v>
      </c>
      <c r="O43" s="517">
        <v>44746</v>
      </c>
      <c r="P43" s="517">
        <v>44739</v>
      </c>
      <c r="Q43" s="517" t="s">
        <v>2288</v>
      </c>
      <c r="R43" s="517" t="s">
        <v>2289</v>
      </c>
      <c r="S43" s="516">
        <v>284.19</v>
      </c>
      <c r="T43" s="516">
        <v>148</v>
      </c>
      <c r="U43" s="68">
        <f>VLOOKUP(T43,DescontosTE[[#All],[idsreag supridora]:[codsariSUP]],2,FALSE)</f>
        <v>390</v>
      </c>
      <c r="AI43" s="261"/>
      <c r="AJ43" s="261"/>
      <c r="AK43" s="69"/>
    </row>
    <row r="44" spans="1:37" ht="16.5">
      <c r="A44" s="1042">
        <f t="shared" si="1"/>
        <v>44501</v>
      </c>
      <c r="B44" s="517">
        <v>44509</v>
      </c>
      <c r="C44" s="541">
        <v>0</v>
      </c>
      <c r="D44" s="9" t="b">
        <f ca="1">BD!E44&gt;=CAPA!$L$73</f>
        <v>0</v>
      </c>
      <c r="E44" s="234">
        <f>Indexador!L37</f>
        <v>0</v>
      </c>
      <c r="F44" s="491">
        <f>CAPA!B66</f>
        <v>44378</v>
      </c>
      <c r="H44" s="68" t="e">
        <f t="shared" ref="H44:H59" si="2">CONCATENATE(U44,J44)</f>
        <v>#N/A</v>
      </c>
      <c r="I44" s="515"/>
      <c r="J44" s="516"/>
      <c r="K44" s="516"/>
      <c r="L44" s="516"/>
      <c r="M44" s="516"/>
      <c r="N44" s="516"/>
      <c r="O44" s="517"/>
      <c r="P44" s="517"/>
      <c r="Q44" s="517"/>
      <c r="R44" s="517"/>
      <c r="S44" s="516"/>
      <c r="T44" s="516"/>
      <c r="U44" s="68" t="e">
        <f>VLOOKUP(T44,DescontosTE[[#All],[idsreag supridora]:[codsariSUP]],2,FALSE)</f>
        <v>#N/A</v>
      </c>
      <c r="AI44" s="261"/>
      <c r="AJ44" s="261"/>
      <c r="AK44" s="69"/>
    </row>
    <row r="45" spans="1:37" ht="16.5">
      <c r="A45" s="1042">
        <f t="shared" si="1"/>
        <v>44531</v>
      </c>
      <c r="B45" s="517">
        <v>44538</v>
      </c>
      <c r="C45" s="541">
        <v>0</v>
      </c>
      <c r="D45" s="9" t="b">
        <f ca="1">BD!E45&gt;=CAPA!$L$73</f>
        <v>0</v>
      </c>
      <c r="E45" s="234">
        <f>Indexador!L38</f>
        <v>0</v>
      </c>
      <c r="F45" s="491">
        <f>CAPA!B67</f>
        <v>44409</v>
      </c>
      <c r="H45" s="68" t="e">
        <f t="shared" si="2"/>
        <v>#N/A</v>
      </c>
      <c r="I45" s="515"/>
      <c r="J45" s="516"/>
      <c r="K45" s="516"/>
      <c r="L45" s="516"/>
      <c r="M45" s="516"/>
      <c r="N45" s="516"/>
      <c r="O45" s="517"/>
      <c r="P45" s="517"/>
      <c r="Q45" s="517"/>
      <c r="R45" s="517"/>
      <c r="S45" s="516"/>
      <c r="T45" s="516"/>
      <c r="U45" s="68" t="e">
        <f>VLOOKUP(T45,DescontosTE[[#All],[idsreag supridora]:[codsariSUP]],2,FALSE)</f>
        <v>#N/A</v>
      </c>
      <c r="AI45" s="261"/>
      <c r="AJ45" s="261"/>
      <c r="AK45" s="69"/>
    </row>
    <row r="46" spans="1:37" ht="16.5">
      <c r="A46" s="1042">
        <f t="shared" si="1"/>
        <v>44562</v>
      </c>
      <c r="B46" s="517">
        <v>44566</v>
      </c>
      <c r="C46" s="541">
        <v>0</v>
      </c>
      <c r="D46" s="9" t="b">
        <f ca="1">BD!E46&gt;=CAPA!$L$73</f>
        <v>0</v>
      </c>
      <c r="E46" s="234">
        <f>Indexador!L39</f>
        <v>0</v>
      </c>
      <c r="F46" s="491">
        <f>CAPA!B68</f>
        <v>44440</v>
      </c>
      <c r="H46" s="68" t="e">
        <f t="shared" si="2"/>
        <v>#N/A</v>
      </c>
      <c r="I46" s="515"/>
      <c r="J46" s="516"/>
      <c r="K46" s="516"/>
      <c r="L46" s="516"/>
      <c r="M46" s="516"/>
      <c r="N46" s="516"/>
      <c r="O46" s="517"/>
      <c r="P46" s="517"/>
      <c r="Q46" s="517"/>
      <c r="R46" s="517"/>
      <c r="S46" s="516"/>
      <c r="T46" s="516"/>
      <c r="U46" s="68" t="e">
        <f>VLOOKUP(T46,DescontosTE[[#All],[idsreag supridora]:[codsariSUP]],2,FALSE)</f>
        <v>#N/A</v>
      </c>
    </row>
    <row r="47" spans="1:37" ht="16.5">
      <c r="A47" s="1042">
        <f t="shared" si="1"/>
        <v>44593</v>
      </c>
      <c r="B47" s="517">
        <v>44599</v>
      </c>
      <c r="C47" s="541">
        <v>0</v>
      </c>
      <c r="D47" s="9" t="b">
        <f ca="1">BD!E47&gt;=CAPA!$L$73</f>
        <v>0</v>
      </c>
      <c r="E47" s="234">
        <f>Indexador!L40</f>
        <v>0</v>
      </c>
      <c r="F47" s="491">
        <f>CAPA!B69</f>
        <v>44470</v>
      </c>
      <c r="H47" s="68" t="e">
        <f t="shared" si="2"/>
        <v>#N/A</v>
      </c>
      <c r="I47" s="515"/>
      <c r="J47" s="516"/>
      <c r="K47" s="516"/>
      <c r="L47" s="516"/>
      <c r="M47" s="516"/>
      <c r="N47" s="516"/>
      <c r="O47" s="517"/>
      <c r="P47" s="517"/>
      <c r="Q47" s="517"/>
      <c r="R47" s="517"/>
      <c r="S47" s="516"/>
      <c r="T47" s="516"/>
      <c r="U47" s="68" t="e">
        <f>VLOOKUP(T47,DescontosTE[[#All],[idsreag supridora]:[codsariSUP]],2,FALSE)</f>
        <v>#N/A</v>
      </c>
    </row>
    <row r="48" spans="1:37" ht="16.5">
      <c r="A48" s="1042">
        <f t="shared" si="1"/>
        <v>44621</v>
      </c>
      <c r="B48" s="517">
        <v>44629</v>
      </c>
      <c r="C48" s="541">
        <v>0</v>
      </c>
      <c r="D48" s="9" t="b">
        <f ca="1">BD!E48&gt;=CAPA!$L$73</f>
        <v>0</v>
      </c>
      <c r="E48" s="234">
        <f>Indexador!L41</f>
        <v>0</v>
      </c>
      <c r="F48" s="491">
        <f>CAPA!B70</f>
        <v>44501</v>
      </c>
      <c r="H48" s="68" t="e">
        <f t="shared" si="2"/>
        <v>#N/A</v>
      </c>
      <c r="I48" s="515"/>
      <c r="J48" s="516"/>
      <c r="K48" s="516"/>
      <c r="L48" s="516"/>
      <c r="M48" s="516"/>
      <c r="N48" s="516"/>
      <c r="O48" s="517"/>
      <c r="P48" s="517"/>
      <c r="Q48" s="517"/>
      <c r="R48" s="517"/>
      <c r="S48" s="516"/>
      <c r="T48" s="516"/>
      <c r="U48" s="68" t="e">
        <f>VLOOKUP(T48,DescontosTE[[#All],[idsreag supridora]:[codsariSUP]],2,FALSE)</f>
        <v>#N/A</v>
      </c>
    </row>
    <row r="49" spans="1:21" ht="16.5">
      <c r="A49" s="1042">
        <f t="shared" si="1"/>
        <v>44652</v>
      </c>
      <c r="B49" s="517">
        <v>44657</v>
      </c>
      <c r="C49" s="541">
        <v>0</v>
      </c>
      <c r="D49" s="9" t="b">
        <f ca="1">BD!E49&gt;=CAPA!$L$73</f>
        <v>0</v>
      </c>
      <c r="E49" s="234">
        <f>Indexador!L42</f>
        <v>0</v>
      </c>
      <c r="F49" s="491">
        <f>CAPA!B71</f>
        <v>44531</v>
      </c>
      <c r="H49" s="68" t="e">
        <f t="shared" si="2"/>
        <v>#N/A</v>
      </c>
      <c r="I49" s="515"/>
      <c r="J49" s="516"/>
      <c r="K49" s="516"/>
      <c r="L49" s="516"/>
      <c r="M49" s="516"/>
      <c r="N49" s="516"/>
      <c r="O49" s="516"/>
      <c r="P49" s="516"/>
      <c r="Q49" s="517"/>
      <c r="R49" s="517"/>
      <c r="S49" s="517"/>
      <c r="T49" s="516"/>
      <c r="U49" s="68" t="e">
        <f>VLOOKUP(T49,DescontosTE[[#All],[idsreag supridora]:[codsariSUP]],2,FALSE)</f>
        <v>#N/A</v>
      </c>
    </row>
    <row r="50" spans="1:21" ht="16.5">
      <c r="A50" s="1042">
        <f t="shared" si="1"/>
        <v>44682</v>
      </c>
      <c r="B50" s="517">
        <v>44691</v>
      </c>
      <c r="C50" s="541">
        <v>0</v>
      </c>
      <c r="D50" s="9" t="b">
        <f ca="1">BD!E50&gt;=CAPA!$L$73</f>
        <v>0</v>
      </c>
      <c r="E50" s="234">
        <f>Indexador!L43</f>
        <v>0</v>
      </c>
      <c r="F50" s="491">
        <f>CAPA!B72</f>
        <v>44562</v>
      </c>
      <c r="H50" s="68" t="e">
        <f t="shared" si="2"/>
        <v>#N/A</v>
      </c>
      <c r="I50" s="515"/>
      <c r="J50" s="516"/>
      <c r="K50" s="516"/>
      <c r="L50" s="516"/>
      <c r="M50" s="516"/>
      <c r="N50" s="516"/>
      <c r="O50" s="516"/>
      <c r="P50" s="516"/>
      <c r="Q50" s="517"/>
      <c r="R50" s="517"/>
      <c r="S50" s="517"/>
      <c r="T50" s="516"/>
      <c r="U50" s="68" t="e">
        <f>VLOOKUP(T50,DescontosTE[[#All],[idsreag supridora]:[codsariSUP]],2,FALSE)</f>
        <v>#N/A</v>
      </c>
    </row>
    <row r="51" spans="1:21" ht="16.5">
      <c r="A51" s="1042">
        <f t="shared" si="1"/>
        <v>44713</v>
      </c>
      <c r="B51" s="517">
        <v>44718</v>
      </c>
      <c r="C51" s="541">
        <v>129100.21799999999</v>
      </c>
      <c r="D51" s="9" t="b">
        <f ca="1">BD!E51&gt;=CAPA!$L$73</f>
        <v>0</v>
      </c>
      <c r="E51" s="234">
        <f>Indexador!L44</f>
        <v>0</v>
      </c>
      <c r="F51" s="491">
        <f>CAPA!B73</f>
        <v>44593</v>
      </c>
      <c r="H51" s="68" t="e">
        <f t="shared" si="2"/>
        <v>#N/A</v>
      </c>
      <c r="I51" s="515"/>
      <c r="J51" s="516"/>
      <c r="K51" s="516"/>
      <c r="L51" s="516"/>
      <c r="M51" s="516"/>
      <c r="N51" s="516"/>
      <c r="O51" s="516"/>
      <c r="P51" s="516"/>
      <c r="Q51" s="517"/>
      <c r="R51" s="517"/>
      <c r="S51" s="517"/>
      <c r="T51" s="516"/>
      <c r="U51" s="68" t="e">
        <f>VLOOKUP(T51,DescontosTE[[#All],[idsreag supridora]:[codsariSUP]],2,FALSE)</f>
        <v>#N/A</v>
      </c>
    </row>
    <row r="52" spans="1:21" ht="16.5">
      <c r="A52" s="1042">
        <f t="shared" si="1"/>
        <v>44743</v>
      </c>
      <c r="B52" s="517">
        <v>44749</v>
      </c>
      <c r="C52" s="541">
        <v>10642.636</v>
      </c>
      <c r="D52" s="9" t="b">
        <f ca="1">BD!E52&gt;=CAPA!$L$73</f>
        <v>0</v>
      </c>
      <c r="E52" s="234">
        <f>Indexador!L45</f>
        <v>0</v>
      </c>
      <c r="F52" s="491">
        <f>CAPA!B74</f>
        <v>44621</v>
      </c>
      <c r="H52" s="68" t="e">
        <f t="shared" si="2"/>
        <v>#N/A</v>
      </c>
      <c r="I52" s="515"/>
      <c r="J52" s="516"/>
      <c r="K52" s="516"/>
      <c r="L52" s="516"/>
      <c r="M52" s="516"/>
      <c r="N52" s="516"/>
      <c r="O52" s="516"/>
      <c r="P52" s="516"/>
      <c r="Q52" s="517"/>
      <c r="R52" s="517"/>
      <c r="S52" s="517"/>
      <c r="T52" s="516"/>
      <c r="U52" s="68" t="e">
        <f>VLOOKUP(T52,DescontosTE[[#All],[idsreag supridora]:[codsariSUP]],2,FALSE)</f>
        <v>#N/A</v>
      </c>
    </row>
    <row r="53" spans="1:21" ht="16.5">
      <c r="A53" s="1042">
        <f t="shared" si="1"/>
        <v>1</v>
      </c>
      <c r="B53" s="517"/>
      <c r="C53" s="541"/>
      <c r="D53" s="9" t="b">
        <f ca="1">BD!E53&gt;=CAPA!$L$73</f>
        <v>0</v>
      </c>
      <c r="E53" s="234">
        <f>Indexador!L46</f>
        <v>0</v>
      </c>
      <c r="F53" s="491">
        <f>CAPA!B75</f>
        <v>44652</v>
      </c>
      <c r="H53" s="68" t="e">
        <f t="shared" si="2"/>
        <v>#N/A</v>
      </c>
      <c r="I53" s="515"/>
      <c r="J53" s="516"/>
      <c r="K53" s="516"/>
      <c r="L53" s="516"/>
      <c r="M53" s="516"/>
      <c r="N53" s="516"/>
      <c r="O53" s="516"/>
      <c r="P53" s="516"/>
      <c r="Q53" s="517"/>
      <c r="R53" s="517"/>
      <c r="S53" s="517"/>
      <c r="T53" s="516"/>
      <c r="U53" s="68" t="e">
        <f>VLOOKUP(T53,DescontosTE[[#All],[idsreag supridora]:[codsariSUP]],2,FALSE)</f>
        <v>#N/A</v>
      </c>
    </row>
    <row r="54" spans="1:21" ht="16.5">
      <c r="A54" s="1042">
        <f t="shared" si="1"/>
        <v>1</v>
      </c>
      <c r="B54" s="517"/>
      <c r="C54" s="541"/>
      <c r="D54" s="9" t="b">
        <f ca="1">BD!E54&gt;=CAPA!$L$73</f>
        <v>0</v>
      </c>
      <c r="E54" s="234">
        <f>Indexador!L47</f>
        <v>0</v>
      </c>
      <c r="F54" s="491">
        <f>CAPA!B76</f>
        <v>44682</v>
      </c>
      <c r="H54" s="68" t="e">
        <f t="shared" si="2"/>
        <v>#N/A</v>
      </c>
      <c r="I54" s="515"/>
      <c r="J54" s="516"/>
      <c r="K54" s="516"/>
      <c r="L54" s="516"/>
      <c r="M54" s="516"/>
      <c r="N54" s="516"/>
      <c r="O54" s="516"/>
      <c r="P54" s="516"/>
      <c r="Q54" s="517"/>
      <c r="R54" s="517"/>
      <c r="S54" s="517"/>
      <c r="T54" s="516"/>
      <c r="U54" s="68" t="e">
        <f>VLOOKUP(T54,DescontosTE[[#All],[idsreag supridora]:[codsariSUP]],2,FALSE)</f>
        <v>#N/A</v>
      </c>
    </row>
    <row r="55" spans="1:21" ht="16.5">
      <c r="A55" s="1042">
        <f t="shared" si="1"/>
        <v>1</v>
      </c>
      <c r="B55" s="517"/>
      <c r="C55" s="541"/>
      <c r="D55" s="9" t="b">
        <f ca="1">BD!E55&gt;=CAPA!$L$73</f>
        <v>0</v>
      </c>
      <c r="E55" s="234">
        <f>Indexador!L48</f>
        <v>130410.99266452562</v>
      </c>
      <c r="F55" s="491">
        <f>CAPA!B77</f>
        <v>44713</v>
      </c>
      <c r="H55" s="68" t="e">
        <f t="shared" si="2"/>
        <v>#N/A</v>
      </c>
      <c r="I55" s="515"/>
      <c r="J55" s="516"/>
      <c r="K55" s="516"/>
      <c r="L55" s="516"/>
      <c r="M55" s="516"/>
      <c r="N55" s="516"/>
      <c r="O55" s="516"/>
      <c r="P55" s="516"/>
      <c r="Q55" s="517"/>
      <c r="R55" s="517"/>
      <c r="S55" s="517"/>
      <c r="T55" s="516"/>
      <c r="U55" s="68" t="e">
        <f>VLOOKUP(T55,DescontosTE[[#All],[idsreag supridora]:[codsariSUP]],2,FALSE)</f>
        <v>#N/A</v>
      </c>
    </row>
    <row r="56" spans="1:21" ht="16.5">
      <c r="A56" s="1042">
        <f t="shared" si="1"/>
        <v>1</v>
      </c>
      <c r="B56" s="517"/>
      <c r="C56" s="541"/>
      <c r="D56" s="9"/>
      <c r="E56" s="234"/>
      <c r="F56" s="491"/>
      <c r="H56" s="68" t="e">
        <f t="shared" si="2"/>
        <v>#N/A</v>
      </c>
      <c r="I56" s="515"/>
      <c r="J56" s="516"/>
      <c r="K56" s="516"/>
      <c r="L56" s="516"/>
      <c r="M56" s="516"/>
      <c r="N56" s="516"/>
      <c r="O56" s="516"/>
      <c r="P56" s="516"/>
      <c r="Q56" s="517"/>
      <c r="R56" s="517"/>
      <c r="S56" s="517"/>
      <c r="T56" s="516"/>
      <c r="U56" s="68" t="e">
        <f>VLOOKUP(T56,DescontosTE[[#All],[idsreag supridora]:[codsariSUP]],2,FALSE)</f>
        <v>#N/A</v>
      </c>
    </row>
    <row r="57" spans="1:21" ht="16.5">
      <c r="A57" s="1042">
        <f t="shared" si="1"/>
        <v>1</v>
      </c>
      <c r="B57" s="1043"/>
      <c r="C57" s="847"/>
      <c r="D57" s="17"/>
      <c r="H57" s="68" t="e">
        <f t="shared" si="2"/>
        <v>#N/A</v>
      </c>
      <c r="I57" s="515"/>
      <c r="J57" s="516"/>
      <c r="K57" s="516"/>
      <c r="L57" s="516"/>
      <c r="M57" s="516"/>
      <c r="N57" s="516"/>
      <c r="O57" s="516"/>
      <c r="P57" s="516"/>
      <c r="Q57" s="517"/>
      <c r="R57" s="517"/>
      <c r="S57" s="517"/>
      <c r="T57" s="516"/>
      <c r="U57" s="68" t="e">
        <f>VLOOKUP(T57,DescontosTE[[#All],[idsreag supridora]:[codsariSUP]],2,FALSE)</f>
        <v>#N/A</v>
      </c>
    </row>
    <row r="58" spans="1:21" ht="16.5">
      <c r="H58" s="68" t="e">
        <f t="shared" si="2"/>
        <v>#N/A</v>
      </c>
      <c r="I58" s="515"/>
      <c r="J58" s="516"/>
      <c r="K58" s="516"/>
      <c r="L58" s="516"/>
      <c r="M58" s="516"/>
      <c r="N58" s="516"/>
      <c r="O58" s="516"/>
      <c r="P58" s="516"/>
      <c r="Q58" s="517"/>
      <c r="R58" s="517"/>
      <c r="S58" s="517"/>
      <c r="T58" s="516"/>
      <c r="U58" s="68" t="e">
        <f>VLOOKUP(T58,DescontosTE[[#All],[idsreag supridora]:[codsariSUP]],2,FALSE)</f>
        <v>#N/A</v>
      </c>
    </row>
    <row r="59" spans="1:21" ht="16.5">
      <c r="H59" s="68" t="e">
        <f t="shared" si="2"/>
        <v>#N/A</v>
      </c>
      <c r="I59" s="1044"/>
      <c r="J59" s="1045"/>
      <c r="K59" s="1045"/>
      <c r="L59" s="1045"/>
      <c r="M59" s="1045"/>
      <c r="N59" s="1045"/>
      <c r="O59" s="1045"/>
      <c r="P59" s="1045"/>
      <c r="Q59" s="1043"/>
      <c r="R59" s="1043"/>
      <c r="S59" s="1043"/>
      <c r="T59" s="1045"/>
      <c r="U59" s="68" t="e">
        <f>VLOOKUP(T59,DescontosTE[[#All],[idsreag supridora]:[codsariSUP]],2,FALSE)</f>
        <v>#N/A</v>
      </c>
    </row>
    <row r="60" spans="1:21">
      <c r="B60" s="1038" t="s">
        <v>100</v>
      </c>
      <c r="C60" s="72"/>
    </row>
    <row r="61" spans="1:21" ht="16.5">
      <c r="B61" s="1046" t="s">
        <v>101</v>
      </c>
      <c r="C61" s="848">
        <v>0</v>
      </c>
      <c r="D61" s="68">
        <v>0</v>
      </c>
    </row>
    <row r="62" spans="1:21" ht="16.5">
      <c r="B62" s="711" t="s">
        <v>102</v>
      </c>
      <c r="C62" s="541">
        <v>0</v>
      </c>
      <c r="D62" s="69">
        <v>0</v>
      </c>
    </row>
    <row r="63" spans="1:21" ht="16.5">
      <c r="B63" s="711" t="s">
        <v>103</v>
      </c>
      <c r="C63" s="541">
        <v>0</v>
      </c>
      <c r="D63" s="69">
        <v>0</v>
      </c>
    </row>
    <row r="64" spans="1:21" ht="16.5">
      <c r="B64" s="711" t="s">
        <v>104</v>
      </c>
      <c r="C64" s="541">
        <v>296.14999999999998</v>
      </c>
      <c r="D64" s="69">
        <v>0</v>
      </c>
    </row>
    <row r="65" spans="2:4" ht="16.5">
      <c r="B65" s="711" t="s">
        <v>105</v>
      </c>
      <c r="C65" s="541">
        <v>5076.91</v>
      </c>
      <c r="D65" s="69">
        <v>0</v>
      </c>
    </row>
    <row r="66" spans="2:4" ht="16.5">
      <c r="B66" s="1047" t="s">
        <v>106</v>
      </c>
      <c r="C66" s="847">
        <v>0</v>
      </c>
      <c r="D66" s="69">
        <v>0</v>
      </c>
    </row>
    <row r="70" spans="2:4">
      <c r="B70" s="975" t="s">
        <v>107</v>
      </c>
      <c r="C70" s="975" t="s">
        <v>36</v>
      </c>
      <c r="D70" s="975" t="s">
        <v>108</v>
      </c>
    </row>
    <row r="71" spans="2:4">
      <c r="B71" s="892" t="s">
        <v>54</v>
      </c>
      <c r="C71" s="1559"/>
      <c r="D71" s="893"/>
    </row>
    <row r="72" spans="2:4">
      <c r="B72" s="892" t="s">
        <v>109</v>
      </c>
      <c r="C72" s="1559"/>
      <c r="D72" s="893"/>
    </row>
    <row r="73" spans="2:4">
      <c r="B73" s="892" t="s">
        <v>110</v>
      </c>
      <c r="C73" s="1559"/>
      <c r="D73" s="893"/>
    </row>
    <row r="74" spans="2:4">
      <c r="B74" s="892" t="s">
        <v>111</v>
      </c>
      <c r="C74" s="1559"/>
      <c r="D74" s="893"/>
    </row>
    <row r="75" spans="2:4">
      <c r="B75" s="892" t="s">
        <v>112</v>
      </c>
      <c r="C75" s="1559"/>
      <c r="D75" s="893"/>
    </row>
    <row r="76" spans="2:4">
      <c r="B76" s="892" t="s">
        <v>113</v>
      </c>
      <c r="C76" s="1559">
        <v>0</v>
      </c>
      <c r="D76" s="893"/>
    </row>
    <row r="77" spans="2:4">
      <c r="B77" s="892" t="s">
        <v>114</v>
      </c>
      <c r="C77" s="1559">
        <v>0</v>
      </c>
      <c r="D77" s="893"/>
    </row>
  </sheetData>
  <autoFilter ref="H5:W30" xr:uid="{629CA104-2911-4DD5-821E-68124B554214}"/>
  <mergeCells count="1">
    <mergeCell ref="D5:D31"/>
  </mergeCells>
  <pageMargins left="0.511811024" right="0.511811024" top="0.78740157499999996" bottom="0.78740157499999996" header="0.31496062000000002" footer="0.31496062000000002"/>
  <pageSetup paperSize="9" orientation="portrait" r:id="rId1"/>
  <tableParts count="11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Plan2">
    <tabColor theme="0" tint="-0.499984740745262"/>
  </sheetPr>
  <dimension ref="B2:T309"/>
  <sheetViews>
    <sheetView workbookViewId="0">
      <selection activeCell="A304" sqref="A304:L312"/>
    </sheetView>
  </sheetViews>
  <sheetFormatPr defaultRowHeight="15.75"/>
  <cols>
    <col min="4" max="4" width="12" bestFit="1" customWidth="1"/>
    <col min="5" max="5" width="19.140625" bestFit="1" customWidth="1"/>
    <col min="6" max="6" width="17.42578125" bestFit="1" customWidth="1"/>
    <col min="7" max="7" width="13.5703125" bestFit="1" customWidth="1"/>
    <col min="8" max="8" width="12.5703125" bestFit="1" customWidth="1"/>
  </cols>
  <sheetData>
    <row r="2" spans="2:20">
      <c r="B2" s="378" t="s">
        <v>115</v>
      </c>
      <c r="C2" s="378" t="s">
        <v>116</v>
      </c>
      <c r="D2" s="378" t="s">
        <v>117</v>
      </c>
      <c r="E2" s="378" t="s">
        <v>118</v>
      </c>
      <c r="F2" s="378" t="s">
        <v>119</v>
      </c>
      <c r="G2" s="378" t="s">
        <v>120</v>
      </c>
      <c r="H2" s="378" t="s">
        <v>121</v>
      </c>
      <c r="I2" s="378" t="s">
        <v>122</v>
      </c>
      <c r="J2" s="378" t="s">
        <v>123</v>
      </c>
      <c r="K2" s="378" t="s">
        <v>124</v>
      </c>
      <c r="L2" s="378" t="s">
        <v>125</v>
      </c>
      <c r="M2" s="378" t="s">
        <v>126</v>
      </c>
      <c r="N2" s="378" t="s">
        <v>127</v>
      </c>
      <c r="O2" s="378" t="s">
        <v>128</v>
      </c>
      <c r="P2" s="378" t="s">
        <v>129</v>
      </c>
      <c r="Q2" s="378" t="s">
        <v>130</v>
      </c>
      <c r="R2" s="378" t="s">
        <v>131</v>
      </c>
      <c r="S2" s="378" t="s">
        <v>132</v>
      </c>
      <c r="T2" s="378" t="s">
        <v>133</v>
      </c>
    </row>
    <row r="3" spans="2:20">
      <c r="B3" s="379"/>
      <c r="C3" s="379"/>
      <c r="D3" s="379"/>
      <c r="E3" s="379"/>
      <c r="F3" s="379"/>
      <c r="G3" s="379"/>
      <c r="H3" s="379"/>
      <c r="I3" s="379"/>
      <c r="J3" s="379"/>
      <c r="K3" s="379"/>
      <c r="L3" s="379"/>
      <c r="M3" s="379"/>
      <c r="N3" s="379"/>
      <c r="O3" s="379"/>
      <c r="P3" s="379"/>
      <c r="Q3" s="379"/>
      <c r="R3" s="379"/>
      <c r="S3" s="379"/>
      <c r="T3" s="379"/>
    </row>
    <row r="4" spans="2:20">
      <c r="B4" s="379"/>
      <c r="C4" s="379"/>
      <c r="D4" s="379"/>
      <c r="E4" s="379"/>
      <c r="F4" s="379"/>
      <c r="G4" s="379"/>
      <c r="H4" s="379"/>
      <c r="I4" s="379"/>
      <c r="J4" s="379"/>
      <c r="K4" s="379"/>
      <c r="L4" s="379"/>
      <c r="M4" s="379"/>
      <c r="N4" s="379"/>
      <c r="O4" s="379"/>
      <c r="P4" s="379"/>
      <c r="Q4" s="379"/>
      <c r="R4" s="379"/>
      <c r="S4" s="379"/>
      <c r="T4" s="379"/>
    </row>
    <row r="5" spans="2:20">
      <c r="B5" s="379"/>
      <c r="C5" s="379"/>
      <c r="D5" s="379"/>
      <c r="E5" s="379"/>
      <c r="F5" s="379"/>
      <c r="G5" s="379"/>
      <c r="H5" s="379"/>
      <c r="I5" s="379"/>
      <c r="J5" s="379"/>
      <c r="K5" s="379"/>
      <c r="L5" s="379"/>
      <c r="M5" s="379"/>
      <c r="N5" s="379"/>
      <c r="O5" s="379"/>
      <c r="P5" s="379"/>
      <c r="Q5" s="379"/>
      <c r="R5" s="379"/>
      <c r="S5" s="379"/>
      <c r="T5" s="379"/>
    </row>
    <row r="6" spans="2:20">
      <c r="B6" s="379"/>
      <c r="C6" s="379"/>
      <c r="D6" s="379"/>
      <c r="E6" s="379"/>
      <c r="F6" s="379"/>
      <c r="G6" s="379"/>
      <c r="H6" s="379"/>
      <c r="I6" s="379"/>
      <c r="J6" s="379"/>
      <c r="K6" s="379"/>
      <c r="L6" s="379"/>
      <c r="M6" s="379"/>
      <c r="N6" s="379"/>
      <c r="O6" s="379"/>
      <c r="P6" s="379"/>
      <c r="Q6" s="379"/>
      <c r="R6" s="379"/>
      <c r="S6" s="379"/>
      <c r="T6" s="379"/>
    </row>
    <row r="7" spans="2:20">
      <c r="B7" s="379"/>
      <c r="C7" s="379"/>
      <c r="D7" s="379"/>
      <c r="E7" s="379"/>
      <c r="F7" s="379"/>
      <c r="G7" s="379"/>
      <c r="H7" s="379"/>
      <c r="I7" s="379"/>
      <c r="J7" s="379"/>
      <c r="K7" s="379"/>
      <c r="L7" s="379"/>
      <c r="M7" s="379"/>
      <c r="N7" s="379"/>
      <c r="O7" s="379"/>
      <c r="P7" s="379"/>
      <c r="Q7" s="379"/>
      <c r="R7" s="379"/>
      <c r="S7" s="379"/>
      <c r="T7" s="379"/>
    </row>
    <row r="8" spans="2:20">
      <c r="B8" s="379"/>
      <c r="C8" s="379"/>
      <c r="D8" s="379"/>
      <c r="E8" s="379"/>
      <c r="F8" s="379"/>
      <c r="G8" s="379"/>
      <c r="H8" s="379"/>
      <c r="I8" s="379"/>
      <c r="J8" s="379"/>
      <c r="K8" s="379"/>
      <c r="L8" s="379"/>
      <c r="M8" s="379"/>
      <c r="N8" s="379"/>
      <c r="O8" s="379"/>
      <c r="P8" s="379"/>
      <c r="Q8" s="379"/>
      <c r="R8" s="379"/>
      <c r="S8" s="379"/>
      <c r="T8" s="379"/>
    </row>
    <row r="9" spans="2:20">
      <c r="B9" s="379"/>
      <c r="C9" s="379"/>
      <c r="D9" s="379"/>
      <c r="E9" s="379"/>
      <c r="F9" s="379"/>
      <c r="G9" s="379"/>
      <c r="H9" s="379"/>
      <c r="I9" s="379"/>
      <c r="J9" s="379"/>
      <c r="K9" s="379"/>
      <c r="L9" s="379"/>
      <c r="M9" s="379"/>
      <c r="N9" s="379"/>
      <c r="O9" s="379"/>
      <c r="P9" s="379"/>
      <c r="Q9" s="379"/>
      <c r="R9" s="379"/>
      <c r="S9" s="379"/>
      <c r="T9" s="379"/>
    </row>
    <row r="10" spans="2:20">
      <c r="B10" s="379"/>
      <c r="C10" s="379"/>
      <c r="D10" s="379"/>
      <c r="E10" s="379"/>
      <c r="F10" s="379"/>
      <c r="G10" s="379"/>
      <c r="H10" s="379"/>
      <c r="I10" s="379"/>
      <c r="J10" s="379"/>
      <c r="K10" s="379"/>
      <c r="L10" s="379"/>
      <c r="M10" s="379"/>
      <c r="N10" s="379"/>
      <c r="O10" s="379"/>
      <c r="P10" s="379"/>
      <c r="Q10" s="379"/>
      <c r="R10" s="379"/>
      <c r="S10" s="379"/>
      <c r="T10" s="379"/>
    </row>
    <row r="11" spans="2:20">
      <c r="B11" s="379"/>
      <c r="C11" s="379"/>
      <c r="D11" s="379"/>
      <c r="E11" s="379"/>
      <c r="F11" s="379"/>
      <c r="G11" s="379"/>
      <c r="H11" s="379"/>
      <c r="I11" s="379"/>
      <c r="J11" s="379"/>
      <c r="K11" s="379"/>
      <c r="L11" s="379"/>
      <c r="M11" s="379"/>
      <c r="N11" s="379"/>
      <c r="O11" s="379"/>
      <c r="P11" s="379"/>
      <c r="Q11" s="379"/>
      <c r="R11" s="379"/>
      <c r="S11" s="379"/>
      <c r="T11" s="379"/>
    </row>
    <row r="12" spans="2:20">
      <c r="B12" s="379"/>
      <c r="C12" s="379"/>
      <c r="D12" s="379"/>
      <c r="E12" s="379"/>
      <c r="F12" s="379"/>
      <c r="G12" s="379"/>
      <c r="H12" s="379"/>
      <c r="I12" s="379"/>
      <c r="J12" s="379"/>
      <c r="K12" s="379"/>
      <c r="L12" s="379"/>
      <c r="M12" s="379"/>
      <c r="N12" s="379"/>
      <c r="O12" s="379"/>
      <c r="P12" s="379"/>
      <c r="Q12" s="379"/>
      <c r="R12" s="379"/>
      <c r="S12" s="379"/>
      <c r="T12" s="379"/>
    </row>
    <row r="13" spans="2:20">
      <c r="B13" s="379"/>
      <c r="C13" s="379"/>
      <c r="D13" s="379"/>
      <c r="E13" s="379"/>
      <c r="F13" s="379"/>
      <c r="G13" s="379"/>
      <c r="H13" s="379"/>
      <c r="I13" s="379"/>
      <c r="J13" s="379"/>
      <c r="K13" s="379"/>
      <c r="L13" s="379"/>
      <c r="M13" s="379"/>
      <c r="N13" s="379"/>
      <c r="O13" s="379"/>
      <c r="P13" s="379"/>
      <c r="Q13" s="379"/>
      <c r="R13" s="379"/>
      <c r="S13" s="379"/>
      <c r="T13" s="379"/>
    </row>
    <row r="14" spans="2:20">
      <c r="B14" s="379"/>
      <c r="C14" s="379"/>
      <c r="D14" s="379"/>
      <c r="E14" s="379"/>
      <c r="F14" s="379"/>
      <c r="G14" s="379"/>
      <c r="H14" s="379"/>
      <c r="I14" s="379"/>
      <c r="J14" s="379"/>
      <c r="K14" s="379"/>
      <c r="L14" s="379"/>
      <c r="M14" s="379"/>
      <c r="N14" s="379"/>
      <c r="O14" s="379"/>
      <c r="P14" s="379"/>
      <c r="Q14" s="379"/>
      <c r="R14" s="379"/>
      <c r="S14" s="379"/>
      <c r="T14" s="379"/>
    </row>
    <row r="15" spans="2:20">
      <c r="B15" s="379"/>
      <c r="C15" s="379"/>
      <c r="D15" s="379"/>
      <c r="E15" s="379"/>
      <c r="F15" s="379"/>
      <c r="G15" s="379"/>
      <c r="H15" s="379"/>
      <c r="I15" s="379"/>
      <c r="J15" s="379"/>
      <c r="K15" s="379"/>
      <c r="L15" s="379"/>
      <c r="M15" s="379"/>
      <c r="N15" s="379"/>
      <c r="O15" s="379"/>
      <c r="P15" s="379"/>
      <c r="Q15" s="379"/>
      <c r="R15" s="379"/>
      <c r="S15" s="379"/>
      <c r="T15" s="379"/>
    </row>
    <row r="16" spans="2:20">
      <c r="B16" s="379"/>
      <c r="C16" s="379"/>
      <c r="D16" s="379"/>
      <c r="E16" s="379"/>
      <c r="F16" s="379"/>
      <c r="G16" s="379"/>
      <c r="H16" s="379"/>
      <c r="I16" s="379"/>
      <c r="J16" s="379"/>
      <c r="K16" s="379"/>
      <c r="L16" s="379"/>
      <c r="M16" s="379"/>
      <c r="N16" s="379"/>
      <c r="O16" s="379"/>
      <c r="P16" s="379"/>
      <c r="Q16" s="379"/>
      <c r="R16" s="379"/>
      <c r="S16" s="379"/>
      <c r="T16" s="379"/>
    </row>
    <row r="17" spans="2:20">
      <c r="B17" s="379"/>
      <c r="C17" s="379"/>
      <c r="D17" s="379"/>
      <c r="E17" s="379"/>
      <c r="F17" s="379"/>
      <c r="G17" s="379"/>
      <c r="H17" s="379"/>
      <c r="I17" s="379"/>
      <c r="J17" s="379"/>
      <c r="K17" s="379"/>
      <c r="L17" s="379"/>
      <c r="M17" s="379"/>
      <c r="N17" s="379"/>
      <c r="O17" s="379"/>
      <c r="P17" s="379"/>
      <c r="Q17" s="379"/>
      <c r="R17" s="379"/>
      <c r="S17" s="379"/>
      <c r="T17" s="379"/>
    </row>
    <row r="18" spans="2:20">
      <c r="B18" s="379"/>
      <c r="C18" s="379"/>
      <c r="D18" s="379"/>
      <c r="E18" s="379"/>
      <c r="F18" s="379"/>
      <c r="G18" s="379"/>
      <c r="H18" s="379"/>
      <c r="I18" s="379"/>
      <c r="J18" s="379"/>
      <c r="K18" s="379"/>
      <c r="L18" s="379"/>
      <c r="M18" s="379"/>
      <c r="N18" s="379"/>
      <c r="O18" s="379"/>
      <c r="P18" s="379"/>
      <c r="Q18" s="379"/>
      <c r="R18" s="379"/>
      <c r="S18" s="379"/>
      <c r="T18" s="379"/>
    </row>
    <row r="19" spans="2:20">
      <c r="B19" s="379"/>
      <c r="C19" s="379"/>
      <c r="D19" s="379"/>
      <c r="E19" s="379"/>
      <c r="F19" s="379"/>
      <c r="G19" s="379"/>
      <c r="H19" s="379"/>
      <c r="I19" s="379"/>
      <c r="J19" s="379"/>
      <c r="K19" s="379"/>
      <c r="L19" s="379"/>
      <c r="M19" s="379"/>
      <c r="N19" s="379"/>
      <c r="O19" s="379"/>
      <c r="P19" s="379"/>
      <c r="Q19" s="379"/>
      <c r="R19" s="379"/>
      <c r="S19" s="379"/>
      <c r="T19" s="379"/>
    </row>
    <row r="20" spans="2:20">
      <c r="B20" s="379"/>
      <c r="C20" s="379"/>
      <c r="D20" s="379"/>
      <c r="E20" s="379"/>
      <c r="F20" s="379"/>
      <c r="G20" s="379"/>
      <c r="H20" s="379"/>
      <c r="I20" s="379"/>
      <c r="J20" s="379"/>
      <c r="K20" s="379"/>
      <c r="L20" s="379"/>
      <c r="M20" s="379"/>
      <c r="N20" s="379"/>
      <c r="O20" s="379"/>
      <c r="P20" s="379"/>
      <c r="Q20" s="379"/>
      <c r="R20" s="379"/>
      <c r="S20" s="379"/>
      <c r="T20" s="379"/>
    </row>
    <row r="21" spans="2:20">
      <c r="B21" s="379"/>
      <c r="C21" s="379"/>
      <c r="D21" s="379"/>
      <c r="E21" s="379"/>
      <c r="F21" s="379"/>
      <c r="G21" s="379"/>
      <c r="H21" s="379"/>
      <c r="I21" s="379"/>
      <c r="J21" s="379"/>
      <c r="K21" s="379"/>
      <c r="L21" s="379"/>
      <c r="M21" s="379"/>
      <c r="N21" s="379"/>
      <c r="O21" s="379"/>
      <c r="P21" s="379"/>
      <c r="Q21" s="379"/>
      <c r="R21" s="379"/>
      <c r="S21" s="379"/>
      <c r="T21" s="379"/>
    </row>
    <row r="22" spans="2:20">
      <c r="B22" s="379"/>
      <c r="C22" s="379"/>
      <c r="D22" s="379"/>
      <c r="E22" s="379"/>
      <c r="F22" s="379"/>
      <c r="G22" s="379"/>
      <c r="H22" s="379"/>
      <c r="I22" s="379"/>
      <c r="J22" s="379"/>
      <c r="K22" s="379"/>
      <c r="L22" s="379"/>
      <c r="M22" s="379"/>
      <c r="N22" s="379"/>
      <c r="O22" s="379"/>
      <c r="P22" s="379"/>
      <c r="Q22" s="379"/>
      <c r="R22" s="379"/>
      <c r="S22" s="379"/>
      <c r="T22" s="379"/>
    </row>
    <row r="23" spans="2:20">
      <c r="B23" s="379"/>
      <c r="C23" s="379"/>
      <c r="D23" s="379"/>
      <c r="E23" s="379"/>
      <c r="F23" s="379"/>
      <c r="G23" s="379"/>
      <c r="H23" s="379"/>
      <c r="I23" s="379"/>
      <c r="J23" s="379"/>
      <c r="K23" s="379"/>
      <c r="L23" s="379"/>
      <c r="M23" s="379"/>
      <c r="N23" s="379"/>
      <c r="O23" s="379"/>
      <c r="P23" s="379"/>
      <c r="Q23" s="379"/>
      <c r="R23" s="379"/>
      <c r="S23" s="379"/>
      <c r="T23" s="379"/>
    </row>
    <row r="24" spans="2:20">
      <c r="B24" s="379"/>
      <c r="C24" s="379"/>
      <c r="D24" s="379"/>
      <c r="E24" s="379"/>
      <c r="F24" s="379"/>
      <c r="G24" s="379"/>
      <c r="H24" s="379"/>
      <c r="I24" s="379"/>
      <c r="J24" s="379"/>
      <c r="K24" s="379"/>
      <c r="L24" s="379"/>
      <c r="M24" s="379"/>
      <c r="N24" s="379"/>
      <c r="O24" s="379"/>
      <c r="P24" s="379"/>
      <c r="Q24" s="379"/>
      <c r="R24" s="379"/>
      <c r="S24" s="379"/>
      <c r="T24" s="379"/>
    </row>
    <row r="25" spans="2:20">
      <c r="B25" s="379"/>
      <c r="C25" s="379"/>
      <c r="D25" s="379"/>
      <c r="E25" s="379"/>
      <c r="F25" s="379"/>
      <c r="G25" s="379"/>
      <c r="H25" s="379"/>
      <c r="I25" s="379"/>
      <c r="J25" s="379"/>
      <c r="K25" s="379"/>
      <c r="L25" s="379"/>
      <c r="M25" s="379"/>
      <c r="N25" s="379"/>
      <c r="O25" s="379"/>
      <c r="P25" s="379"/>
      <c r="Q25" s="379"/>
      <c r="R25" s="379"/>
      <c r="S25" s="379"/>
      <c r="T25" s="379"/>
    </row>
    <row r="26" spans="2:20">
      <c r="B26" s="379"/>
      <c r="C26" s="379"/>
      <c r="D26" s="379"/>
      <c r="E26" s="379"/>
      <c r="F26" s="379"/>
      <c r="G26" s="379"/>
      <c r="H26" s="379"/>
      <c r="I26" s="379"/>
      <c r="J26" s="379"/>
      <c r="K26" s="379"/>
      <c r="L26" s="379"/>
      <c r="M26" s="379"/>
      <c r="N26" s="379"/>
      <c r="O26" s="379"/>
      <c r="P26" s="379"/>
      <c r="Q26" s="379"/>
      <c r="R26" s="379"/>
      <c r="S26" s="379"/>
      <c r="T26" s="379"/>
    </row>
    <row r="27" spans="2:20">
      <c r="B27" s="379"/>
      <c r="C27" s="379"/>
      <c r="D27" s="379"/>
      <c r="E27" s="379"/>
      <c r="F27" s="379"/>
      <c r="G27" s="379"/>
      <c r="H27" s="379"/>
      <c r="I27" s="379"/>
      <c r="J27" s="379"/>
      <c r="K27" s="379"/>
      <c r="L27" s="379"/>
      <c r="M27" s="379"/>
      <c r="N27" s="379"/>
      <c r="O27" s="379"/>
      <c r="P27" s="379"/>
      <c r="Q27" s="379"/>
      <c r="R27" s="379"/>
      <c r="S27" s="379"/>
      <c r="T27" s="379"/>
    </row>
    <row r="28" spans="2:20">
      <c r="B28" s="379"/>
      <c r="C28" s="379"/>
      <c r="D28" s="379"/>
      <c r="E28" s="379"/>
      <c r="F28" s="379"/>
      <c r="G28" s="379"/>
      <c r="H28" s="379"/>
      <c r="I28" s="379"/>
      <c r="J28" s="379"/>
      <c r="K28" s="379"/>
      <c r="L28" s="379"/>
      <c r="M28" s="379"/>
      <c r="N28" s="379"/>
      <c r="O28" s="379"/>
      <c r="P28" s="379"/>
      <c r="Q28" s="379"/>
      <c r="R28" s="379"/>
      <c r="S28" s="379"/>
      <c r="T28" s="379"/>
    </row>
    <row r="29" spans="2:20">
      <c r="B29" s="379"/>
      <c r="C29" s="379"/>
      <c r="D29" s="379"/>
      <c r="E29" s="379"/>
      <c r="F29" s="379"/>
      <c r="G29" s="379"/>
      <c r="H29" s="379"/>
      <c r="I29" s="379"/>
      <c r="J29" s="379"/>
      <c r="K29" s="379"/>
      <c r="L29" s="379"/>
      <c r="M29" s="379"/>
      <c r="N29" s="379"/>
      <c r="O29" s="379"/>
      <c r="P29" s="379"/>
      <c r="Q29" s="379"/>
      <c r="R29" s="379"/>
      <c r="S29" s="379"/>
      <c r="T29" s="379"/>
    </row>
    <row r="30" spans="2:20">
      <c r="B30" s="379"/>
      <c r="C30" s="379"/>
      <c r="D30" s="379"/>
      <c r="E30" s="379"/>
      <c r="F30" s="379"/>
      <c r="G30" s="379"/>
      <c r="H30" s="379"/>
      <c r="I30" s="379"/>
      <c r="J30" s="379"/>
      <c r="K30" s="379"/>
      <c r="L30" s="379"/>
      <c r="M30" s="379"/>
      <c r="N30" s="379"/>
      <c r="O30" s="379"/>
      <c r="P30" s="379"/>
      <c r="Q30" s="379"/>
      <c r="R30" s="379"/>
      <c r="S30" s="379"/>
      <c r="T30" s="379"/>
    </row>
    <row r="31" spans="2:20">
      <c r="B31" s="379"/>
      <c r="C31" s="379"/>
      <c r="D31" s="379"/>
      <c r="E31" s="379"/>
      <c r="F31" s="379"/>
      <c r="G31" s="379"/>
      <c r="H31" s="379"/>
      <c r="I31" s="379"/>
      <c r="J31" s="379"/>
      <c r="K31" s="379"/>
      <c r="L31" s="379"/>
      <c r="M31" s="379"/>
      <c r="N31" s="379"/>
      <c r="O31" s="379"/>
      <c r="P31" s="379"/>
      <c r="Q31" s="379"/>
      <c r="R31" s="379"/>
      <c r="S31" s="379"/>
      <c r="T31" s="379"/>
    </row>
    <row r="32" spans="2:20">
      <c r="B32" s="379"/>
      <c r="C32" s="379"/>
      <c r="D32" s="379"/>
      <c r="E32" s="379"/>
      <c r="F32" s="379"/>
      <c r="G32" s="379"/>
      <c r="H32" s="379"/>
      <c r="I32" s="379"/>
      <c r="J32" s="379"/>
      <c r="K32" s="379"/>
      <c r="L32" s="379"/>
      <c r="M32" s="379"/>
      <c r="N32" s="379"/>
      <c r="O32" s="379"/>
      <c r="P32" s="379"/>
      <c r="Q32" s="379"/>
      <c r="R32" s="379"/>
      <c r="S32" s="379"/>
      <c r="T32" s="379"/>
    </row>
    <row r="33" spans="2:20">
      <c r="B33" s="379"/>
      <c r="C33" s="379"/>
      <c r="D33" s="379"/>
      <c r="E33" s="379"/>
      <c r="F33" s="379"/>
      <c r="G33" s="379"/>
      <c r="H33" s="379"/>
      <c r="I33" s="379"/>
      <c r="J33" s="379"/>
      <c r="K33" s="379"/>
      <c r="L33" s="379"/>
      <c r="M33" s="379"/>
      <c r="N33" s="379"/>
      <c r="O33" s="379"/>
      <c r="P33" s="379"/>
      <c r="Q33" s="379"/>
      <c r="R33" s="379"/>
      <c r="S33" s="379"/>
      <c r="T33" s="379"/>
    </row>
    <row r="34" spans="2:20">
      <c r="B34" s="379"/>
      <c r="C34" s="379"/>
      <c r="D34" s="379"/>
      <c r="E34" s="379"/>
      <c r="F34" s="379"/>
      <c r="G34" s="379"/>
      <c r="H34" s="379"/>
      <c r="I34" s="379"/>
      <c r="J34" s="379"/>
      <c r="K34" s="379"/>
      <c r="L34" s="379"/>
      <c r="M34" s="379"/>
      <c r="N34" s="379"/>
      <c r="O34" s="379"/>
      <c r="P34" s="379"/>
      <c r="Q34" s="379"/>
      <c r="R34" s="379"/>
      <c r="S34" s="379"/>
      <c r="T34" s="379"/>
    </row>
    <row r="35" spans="2:20">
      <c r="B35" s="379"/>
      <c r="C35" s="379"/>
      <c r="D35" s="379"/>
      <c r="E35" s="379"/>
      <c r="F35" s="379"/>
      <c r="G35" s="379"/>
      <c r="H35" s="379"/>
      <c r="I35" s="379"/>
      <c r="J35" s="379"/>
      <c r="K35" s="379"/>
      <c r="L35" s="379"/>
      <c r="M35" s="379"/>
      <c r="N35" s="379"/>
      <c r="O35" s="379"/>
      <c r="P35" s="379"/>
      <c r="Q35" s="379"/>
      <c r="R35" s="379"/>
      <c r="S35" s="379"/>
      <c r="T35" s="379"/>
    </row>
    <row r="36" spans="2:20">
      <c r="B36" s="379"/>
      <c r="C36" s="379"/>
      <c r="D36" s="379"/>
      <c r="E36" s="379"/>
      <c r="F36" s="379"/>
      <c r="G36" s="379"/>
      <c r="H36" s="379"/>
      <c r="I36" s="379"/>
      <c r="J36" s="379"/>
      <c r="K36" s="379"/>
      <c r="L36" s="379"/>
      <c r="M36" s="379"/>
      <c r="N36" s="379"/>
      <c r="O36" s="379"/>
      <c r="P36" s="379"/>
      <c r="Q36" s="379"/>
      <c r="R36" s="379"/>
      <c r="S36" s="379"/>
      <c r="T36" s="379"/>
    </row>
    <row r="37" spans="2:20">
      <c r="B37" s="379"/>
      <c r="C37" s="379"/>
      <c r="D37" s="379"/>
      <c r="E37" s="379"/>
      <c r="F37" s="379"/>
      <c r="G37" s="379"/>
      <c r="H37" s="379"/>
      <c r="I37" s="379"/>
      <c r="J37" s="379"/>
      <c r="K37" s="379"/>
      <c r="L37" s="379"/>
      <c r="M37" s="379"/>
      <c r="N37" s="379"/>
      <c r="O37" s="379"/>
      <c r="P37" s="379"/>
      <c r="Q37" s="379"/>
      <c r="R37" s="379"/>
      <c r="S37" s="379"/>
      <c r="T37" s="379"/>
    </row>
    <row r="38" spans="2:20">
      <c r="B38" s="379"/>
      <c r="C38" s="379"/>
      <c r="D38" s="379"/>
      <c r="E38" s="379"/>
      <c r="F38" s="379"/>
      <c r="G38" s="379"/>
      <c r="H38" s="379"/>
      <c r="I38" s="379"/>
      <c r="J38" s="379"/>
      <c r="K38" s="379"/>
      <c r="L38" s="379"/>
      <c r="M38" s="379"/>
      <c r="N38" s="379"/>
      <c r="O38" s="379"/>
      <c r="P38" s="379"/>
      <c r="Q38" s="379"/>
      <c r="R38" s="379"/>
      <c r="S38" s="379"/>
      <c r="T38" s="379"/>
    </row>
    <row r="39" spans="2:20">
      <c r="B39" s="379"/>
      <c r="C39" s="379"/>
      <c r="D39" s="379"/>
      <c r="E39" s="379"/>
      <c r="F39" s="379"/>
      <c r="G39" s="379"/>
      <c r="H39" s="379"/>
      <c r="I39" s="379"/>
      <c r="J39" s="379"/>
      <c r="K39" s="379"/>
      <c r="L39" s="379"/>
      <c r="M39" s="379"/>
      <c r="N39" s="379"/>
      <c r="O39" s="379"/>
      <c r="P39" s="379"/>
      <c r="Q39" s="379"/>
      <c r="R39" s="379"/>
      <c r="S39" s="379"/>
      <c r="T39" s="379"/>
    </row>
    <row r="40" spans="2:20">
      <c r="B40" s="379"/>
      <c r="C40" s="379"/>
      <c r="D40" s="379"/>
      <c r="E40" s="379"/>
      <c r="F40" s="379"/>
      <c r="G40" s="379"/>
      <c r="H40" s="379"/>
      <c r="I40" s="379"/>
      <c r="J40" s="379"/>
      <c r="K40" s="379"/>
      <c r="L40" s="379"/>
      <c r="M40" s="379"/>
      <c r="N40" s="379"/>
      <c r="O40" s="379"/>
      <c r="P40" s="379"/>
      <c r="Q40" s="379"/>
      <c r="R40" s="379"/>
      <c r="S40" s="379"/>
      <c r="T40" s="379"/>
    </row>
    <row r="41" spans="2:20">
      <c r="B41" s="379"/>
      <c r="C41" s="379"/>
      <c r="D41" s="379"/>
      <c r="E41" s="379"/>
      <c r="F41" s="379"/>
      <c r="G41" s="379"/>
      <c r="H41" s="379"/>
      <c r="I41" s="379"/>
      <c r="J41" s="379"/>
      <c r="K41" s="379"/>
      <c r="L41" s="379"/>
      <c r="M41" s="379"/>
      <c r="N41" s="379"/>
      <c r="O41" s="379"/>
      <c r="P41" s="379"/>
      <c r="Q41" s="379"/>
      <c r="R41" s="379"/>
      <c r="S41" s="379"/>
      <c r="T41" s="379"/>
    </row>
    <row r="42" spans="2:20">
      <c r="B42" s="379"/>
      <c r="C42" s="379"/>
      <c r="D42" s="379"/>
      <c r="E42" s="379"/>
      <c r="F42" s="379"/>
      <c r="G42" s="379"/>
      <c r="H42" s="379"/>
      <c r="I42" s="379"/>
      <c r="J42" s="379"/>
      <c r="K42" s="379"/>
      <c r="L42" s="379"/>
      <c r="M42" s="379"/>
      <c r="N42" s="379"/>
      <c r="O42" s="379"/>
      <c r="P42" s="379"/>
      <c r="Q42" s="379"/>
      <c r="R42" s="379"/>
      <c r="S42" s="379"/>
      <c r="T42" s="379"/>
    </row>
    <row r="43" spans="2:20">
      <c r="B43" s="379"/>
      <c r="C43" s="379"/>
      <c r="D43" s="379"/>
      <c r="E43" s="379"/>
      <c r="F43" s="379"/>
      <c r="G43" s="379"/>
      <c r="H43" s="379"/>
      <c r="I43" s="379"/>
      <c r="J43" s="379"/>
      <c r="K43" s="379"/>
      <c r="L43" s="379"/>
      <c r="M43" s="379"/>
      <c r="N43" s="379"/>
      <c r="O43" s="379"/>
      <c r="P43" s="379"/>
      <c r="Q43" s="379"/>
      <c r="R43" s="379"/>
      <c r="S43" s="379"/>
      <c r="T43" s="379"/>
    </row>
    <row r="44" spans="2:20">
      <c r="B44" s="379"/>
      <c r="C44" s="379"/>
      <c r="D44" s="379"/>
      <c r="E44" s="379"/>
      <c r="F44" s="379"/>
      <c r="G44" s="379"/>
      <c r="H44" s="379"/>
      <c r="I44" s="379"/>
      <c r="J44" s="379"/>
      <c r="K44" s="379"/>
      <c r="L44" s="379"/>
      <c r="M44" s="379"/>
      <c r="N44" s="379"/>
      <c r="O44" s="379"/>
      <c r="P44" s="379"/>
      <c r="Q44" s="379"/>
      <c r="R44" s="379"/>
      <c r="S44" s="379"/>
      <c r="T44" s="379"/>
    </row>
    <row r="45" spans="2:20">
      <c r="B45" s="379"/>
      <c r="C45" s="379"/>
      <c r="D45" s="379"/>
      <c r="E45" s="379"/>
      <c r="F45" s="379"/>
      <c r="G45" s="379"/>
      <c r="H45" s="379"/>
      <c r="I45" s="379"/>
      <c r="J45" s="379"/>
      <c r="K45" s="379"/>
      <c r="L45" s="379"/>
      <c r="M45" s="379"/>
      <c r="N45" s="379"/>
      <c r="O45" s="379"/>
      <c r="P45" s="379"/>
      <c r="Q45" s="379"/>
      <c r="R45" s="379"/>
      <c r="S45" s="379"/>
      <c r="T45" s="379"/>
    </row>
    <row r="46" spans="2:20">
      <c r="B46" s="379"/>
      <c r="C46" s="379"/>
      <c r="D46" s="379"/>
      <c r="E46" s="379"/>
      <c r="F46" s="379"/>
      <c r="G46" s="379"/>
      <c r="H46" s="379"/>
      <c r="I46" s="379"/>
      <c r="J46" s="379"/>
      <c r="K46" s="379"/>
      <c r="L46" s="379"/>
      <c r="M46" s="379"/>
      <c r="N46" s="379"/>
      <c r="O46" s="379"/>
      <c r="P46" s="379"/>
      <c r="Q46" s="379"/>
      <c r="R46" s="379"/>
      <c r="S46" s="379"/>
      <c r="T46" s="379"/>
    </row>
    <row r="47" spans="2:20">
      <c r="B47" s="379"/>
      <c r="C47" s="379"/>
      <c r="D47" s="379"/>
      <c r="E47" s="379"/>
      <c r="F47" s="379"/>
      <c r="G47" s="379"/>
      <c r="H47" s="379"/>
      <c r="I47" s="379"/>
      <c r="J47" s="379"/>
      <c r="K47" s="379"/>
      <c r="L47" s="379"/>
      <c r="M47" s="379"/>
      <c r="N47" s="379"/>
      <c r="O47" s="379"/>
      <c r="P47" s="379"/>
      <c r="Q47" s="379"/>
      <c r="R47" s="379"/>
      <c r="S47" s="379"/>
      <c r="T47" s="379"/>
    </row>
    <row r="48" spans="2:20">
      <c r="B48" s="379"/>
      <c r="C48" s="379"/>
      <c r="D48" s="379"/>
      <c r="E48" s="379"/>
      <c r="F48" s="379"/>
      <c r="G48" s="379"/>
      <c r="H48" s="379"/>
      <c r="I48" s="379"/>
      <c r="J48" s="379"/>
      <c r="K48" s="379"/>
      <c r="L48" s="379"/>
      <c r="M48" s="379"/>
      <c r="N48" s="379"/>
      <c r="O48" s="379"/>
      <c r="P48" s="379"/>
      <c r="Q48" s="379"/>
      <c r="R48" s="379"/>
      <c r="S48" s="379"/>
      <c r="T48" s="379"/>
    </row>
    <row r="49" spans="2:20">
      <c r="B49" s="379"/>
      <c r="C49" s="379"/>
      <c r="D49" s="379"/>
      <c r="E49" s="379"/>
      <c r="F49" s="379"/>
      <c r="G49" s="379"/>
      <c r="H49" s="379"/>
      <c r="I49" s="379"/>
      <c r="J49" s="379"/>
      <c r="K49" s="379"/>
      <c r="L49" s="379"/>
      <c r="M49" s="379"/>
      <c r="N49" s="379"/>
      <c r="O49" s="379"/>
      <c r="P49" s="379"/>
      <c r="Q49" s="379"/>
      <c r="R49" s="379"/>
      <c r="S49" s="379"/>
      <c r="T49" s="379"/>
    </row>
    <row r="50" spans="2:20">
      <c r="B50" s="379"/>
      <c r="C50" s="379"/>
      <c r="D50" s="379"/>
      <c r="E50" s="379"/>
      <c r="F50" s="379"/>
      <c r="G50" s="379"/>
      <c r="H50" s="379"/>
      <c r="I50" s="379"/>
      <c r="J50" s="379"/>
      <c r="K50" s="379"/>
      <c r="L50" s="379"/>
      <c r="M50" s="379"/>
      <c r="N50" s="379"/>
      <c r="O50" s="379"/>
      <c r="P50" s="379"/>
      <c r="Q50" s="379"/>
      <c r="R50" s="379"/>
      <c r="S50" s="379"/>
      <c r="T50" s="379"/>
    </row>
    <row r="51" spans="2:20">
      <c r="B51" s="379"/>
      <c r="C51" s="379"/>
      <c r="D51" s="379"/>
      <c r="E51" s="379"/>
      <c r="F51" s="379"/>
      <c r="G51" s="379"/>
      <c r="H51" s="379"/>
      <c r="I51" s="379"/>
      <c r="J51" s="379"/>
      <c r="K51" s="379"/>
      <c r="L51" s="379"/>
      <c r="M51" s="379"/>
      <c r="N51" s="379"/>
      <c r="O51" s="379"/>
      <c r="P51" s="379"/>
      <c r="Q51" s="379"/>
      <c r="R51" s="379"/>
      <c r="S51" s="379"/>
      <c r="T51" s="379"/>
    </row>
    <row r="52" spans="2:20">
      <c r="B52" s="379"/>
      <c r="C52" s="379"/>
      <c r="D52" s="379"/>
      <c r="E52" s="379"/>
      <c r="F52" s="379"/>
      <c r="G52" s="379"/>
      <c r="H52" s="379"/>
      <c r="I52" s="379"/>
      <c r="J52" s="379"/>
      <c r="K52" s="379"/>
      <c r="L52" s="379"/>
      <c r="M52" s="379"/>
      <c r="N52" s="379"/>
      <c r="O52" s="379"/>
      <c r="P52" s="379"/>
      <c r="Q52" s="379"/>
      <c r="R52" s="379"/>
      <c r="S52" s="379"/>
      <c r="T52" s="379"/>
    </row>
    <row r="53" spans="2:20">
      <c r="B53" s="379"/>
      <c r="C53" s="379"/>
      <c r="D53" s="379"/>
      <c r="E53" s="379"/>
      <c r="F53" s="379"/>
      <c r="G53" s="379"/>
      <c r="H53" s="379"/>
      <c r="I53" s="379"/>
      <c r="J53" s="379"/>
      <c r="K53" s="379"/>
      <c r="L53" s="379"/>
      <c r="M53" s="379"/>
      <c r="N53" s="379"/>
      <c r="O53" s="379"/>
      <c r="P53" s="379"/>
      <c r="Q53" s="379"/>
      <c r="R53" s="379"/>
      <c r="S53" s="379"/>
      <c r="T53" s="379"/>
    </row>
    <row r="54" spans="2:20">
      <c r="B54" s="379"/>
      <c r="C54" s="379"/>
      <c r="D54" s="379"/>
      <c r="E54" s="379"/>
      <c r="F54" s="379"/>
      <c r="G54" s="379"/>
      <c r="H54" s="379"/>
      <c r="I54" s="379"/>
      <c r="J54" s="379"/>
      <c r="K54" s="379"/>
      <c r="L54" s="379"/>
      <c r="M54" s="379"/>
      <c r="N54" s="379"/>
      <c r="O54" s="379"/>
      <c r="P54" s="379"/>
      <c r="Q54" s="379"/>
      <c r="R54" s="379"/>
      <c r="S54" s="379"/>
      <c r="T54" s="379"/>
    </row>
    <row r="55" spans="2:20">
      <c r="B55" s="379"/>
      <c r="C55" s="379"/>
      <c r="D55" s="379"/>
      <c r="E55" s="379"/>
      <c r="F55" s="379"/>
      <c r="G55" s="379"/>
      <c r="H55" s="379"/>
      <c r="I55" s="379"/>
      <c r="J55" s="379"/>
      <c r="K55" s="379"/>
      <c r="L55" s="379"/>
      <c r="M55" s="379"/>
      <c r="N55" s="379"/>
      <c r="O55" s="379"/>
      <c r="P55" s="379"/>
      <c r="Q55" s="379"/>
      <c r="R55" s="379"/>
      <c r="S55" s="379"/>
      <c r="T55" s="379"/>
    </row>
    <row r="56" spans="2:20">
      <c r="B56" s="379"/>
      <c r="C56" s="379"/>
      <c r="D56" s="379"/>
      <c r="E56" s="379"/>
      <c r="F56" s="379"/>
      <c r="G56" s="379"/>
      <c r="H56" s="379"/>
      <c r="I56" s="379"/>
      <c r="J56" s="379"/>
      <c r="K56" s="379"/>
      <c r="L56" s="379"/>
      <c r="M56" s="379"/>
      <c r="N56" s="379"/>
      <c r="O56" s="379"/>
      <c r="P56" s="379"/>
      <c r="Q56" s="379"/>
      <c r="R56" s="379"/>
      <c r="S56" s="379"/>
      <c r="T56" s="379"/>
    </row>
    <row r="57" spans="2:20">
      <c r="B57" s="379"/>
      <c r="C57" s="379"/>
      <c r="D57" s="379"/>
      <c r="E57" s="379"/>
      <c r="F57" s="379"/>
      <c r="G57" s="379"/>
      <c r="H57" s="379"/>
      <c r="I57" s="379"/>
      <c r="J57" s="379"/>
      <c r="K57" s="379"/>
      <c r="L57" s="379"/>
      <c r="M57" s="379"/>
      <c r="N57" s="379"/>
      <c r="O57" s="379"/>
      <c r="P57" s="379"/>
      <c r="Q57" s="379"/>
      <c r="R57" s="379"/>
      <c r="S57" s="379"/>
      <c r="T57" s="379"/>
    </row>
    <row r="58" spans="2:20">
      <c r="B58" s="379"/>
      <c r="C58" s="379"/>
      <c r="D58" s="379"/>
      <c r="E58" s="379"/>
      <c r="F58" s="379"/>
      <c r="G58" s="379"/>
      <c r="H58" s="379"/>
      <c r="I58" s="379"/>
      <c r="J58" s="379"/>
      <c r="K58" s="379"/>
      <c r="L58" s="379"/>
      <c r="M58" s="379"/>
      <c r="N58" s="379"/>
      <c r="O58" s="379"/>
      <c r="P58" s="379"/>
      <c r="Q58" s="379"/>
      <c r="R58" s="379"/>
      <c r="S58" s="379"/>
      <c r="T58" s="379"/>
    </row>
    <row r="59" spans="2:20">
      <c r="B59" s="379"/>
      <c r="C59" s="379"/>
      <c r="D59" s="379"/>
      <c r="E59" s="379"/>
      <c r="F59" s="379"/>
      <c r="G59" s="379"/>
      <c r="H59" s="379"/>
      <c r="I59" s="379"/>
      <c r="J59" s="379"/>
      <c r="K59" s="379"/>
      <c r="L59" s="379"/>
      <c r="M59" s="379"/>
      <c r="N59" s="379"/>
      <c r="O59" s="379"/>
      <c r="P59" s="379"/>
      <c r="Q59" s="379"/>
      <c r="R59" s="379"/>
      <c r="S59" s="379"/>
      <c r="T59" s="379"/>
    </row>
    <row r="60" spans="2:20">
      <c r="B60" s="379"/>
      <c r="C60" s="379"/>
      <c r="D60" s="379"/>
      <c r="E60" s="379"/>
      <c r="F60" s="379"/>
      <c r="G60" s="379"/>
      <c r="H60" s="379"/>
      <c r="I60" s="379"/>
      <c r="J60" s="379"/>
      <c r="K60" s="379"/>
      <c r="L60" s="379"/>
      <c r="M60" s="379"/>
      <c r="N60" s="379"/>
      <c r="O60" s="379"/>
      <c r="P60" s="379"/>
      <c r="Q60" s="379"/>
      <c r="R60" s="379"/>
      <c r="S60" s="379"/>
      <c r="T60" s="379"/>
    </row>
    <row r="61" spans="2:20">
      <c r="B61" s="379"/>
      <c r="C61" s="379"/>
      <c r="D61" s="379"/>
      <c r="E61" s="379"/>
      <c r="F61" s="379"/>
      <c r="G61" s="379"/>
      <c r="H61" s="379"/>
      <c r="I61" s="379"/>
      <c r="J61" s="379"/>
      <c r="K61" s="379"/>
      <c r="L61" s="379"/>
      <c r="M61" s="379"/>
      <c r="N61" s="379"/>
      <c r="O61" s="379"/>
      <c r="P61" s="379"/>
      <c r="Q61" s="379"/>
      <c r="R61" s="379"/>
      <c r="S61" s="379"/>
      <c r="T61" s="379"/>
    </row>
    <row r="62" spans="2:20">
      <c r="B62" s="379"/>
      <c r="C62" s="379"/>
      <c r="D62" s="379"/>
      <c r="E62" s="379"/>
      <c r="F62" s="379"/>
      <c r="G62" s="379"/>
      <c r="H62" s="379"/>
      <c r="I62" s="379"/>
      <c r="J62" s="379"/>
      <c r="K62" s="379"/>
      <c r="L62" s="379"/>
      <c r="M62" s="379"/>
      <c r="N62" s="379"/>
      <c r="O62" s="379"/>
      <c r="P62" s="379"/>
      <c r="Q62" s="379"/>
      <c r="R62" s="379"/>
      <c r="S62" s="379"/>
      <c r="T62" s="379"/>
    </row>
    <row r="63" spans="2:20">
      <c r="B63" s="379"/>
      <c r="C63" s="379"/>
      <c r="D63" s="379"/>
      <c r="E63" s="379"/>
      <c r="F63" s="379"/>
      <c r="G63" s="379"/>
      <c r="H63" s="379"/>
      <c r="I63" s="379"/>
      <c r="J63" s="379"/>
      <c r="K63" s="379"/>
      <c r="L63" s="379"/>
      <c r="M63" s="379"/>
      <c r="N63" s="379"/>
      <c r="O63" s="379"/>
      <c r="P63" s="379"/>
      <c r="Q63" s="379"/>
      <c r="R63" s="379"/>
      <c r="S63" s="379"/>
      <c r="T63" s="379"/>
    </row>
    <row r="64" spans="2:20">
      <c r="B64" s="379"/>
      <c r="C64" s="379"/>
      <c r="D64" s="379"/>
      <c r="E64" s="379"/>
      <c r="F64" s="379"/>
      <c r="G64" s="379"/>
      <c r="H64" s="379"/>
      <c r="I64" s="379"/>
      <c r="J64" s="379"/>
      <c r="K64" s="379"/>
      <c r="L64" s="379"/>
      <c r="M64" s="379"/>
      <c r="N64" s="379"/>
      <c r="O64" s="379"/>
      <c r="P64" s="379"/>
      <c r="Q64" s="379"/>
      <c r="R64" s="379"/>
      <c r="S64" s="379"/>
      <c r="T64" s="379"/>
    </row>
    <row r="65" spans="2:20">
      <c r="B65" s="379"/>
      <c r="C65" s="379"/>
      <c r="D65" s="379"/>
      <c r="E65" s="379"/>
      <c r="F65" s="379"/>
      <c r="G65" s="379"/>
      <c r="H65" s="379"/>
      <c r="I65" s="379"/>
      <c r="J65" s="379"/>
      <c r="K65" s="379"/>
      <c r="L65" s="379"/>
      <c r="M65" s="379"/>
      <c r="N65" s="379"/>
      <c r="O65" s="379"/>
      <c r="P65" s="379"/>
      <c r="Q65" s="379"/>
      <c r="R65" s="379"/>
      <c r="S65" s="379"/>
      <c r="T65" s="379"/>
    </row>
    <row r="66" spans="2:20">
      <c r="B66" s="379"/>
      <c r="C66" s="379"/>
      <c r="D66" s="379"/>
      <c r="E66" s="379"/>
      <c r="F66" s="379"/>
      <c r="G66" s="379"/>
      <c r="H66" s="379"/>
      <c r="I66" s="379"/>
      <c r="J66" s="379"/>
      <c r="K66" s="379"/>
      <c r="L66" s="379"/>
      <c r="M66" s="379"/>
      <c r="N66" s="379"/>
      <c r="O66" s="379"/>
      <c r="P66" s="379"/>
      <c r="Q66" s="379"/>
      <c r="R66" s="379"/>
      <c r="S66" s="379"/>
      <c r="T66" s="379"/>
    </row>
    <row r="67" spans="2:20">
      <c r="B67" s="379"/>
      <c r="C67" s="379"/>
      <c r="D67" s="379"/>
      <c r="E67" s="379"/>
      <c r="F67" s="379"/>
      <c r="G67" s="379"/>
      <c r="H67" s="379"/>
      <c r="I67" s="379"/>
      <c r="J67" s="379"/>
      <c r="K67" s="379"/>
      <c r="L67" s="379"/>
      <c r="M67" s="379"/>
      <c r="N67" s="379"/>
      <c r="O67" s="379"/>
      <c r="P67" s="379"/>
      <c r="Q67" s="379"/>
      <c r="R67" s="379"/>
      <c r="S67" s="379"/>
      <c r="T67" s="379"/>
    </row>
    <row r="68" spans="2:20">
      <c r="B68" s="379"/>
      <c r="C68" s="379"/>
      <c r="D68" s="379"/>
      <c r="E68" s="379"/>
      <c r="F68" s="379"/>
      <c r="G68" s="379"/>
      <c r="H68" s="379"/>
      <c r="I68" s="379"/>
      <c r="J68" s="379"/>
      <c r="K68" s="379"/>
      <c r="L68" s="379"/>
      <c r="M68" s="379"/>
      <c r="N68" s="379"/>
      <c r="O68" s="379"/>
      <c r="P68" s="379"/>
      <c r="Q68" s="379"/>
      <c r="R68" s="379"/>
      <c r="S68" s="379"/>
      <c r="T68" s="379"/>
    </row>
    <row r="69" spans="2:20">
      <c r="B69" s="379"/>
      <c r="C69" s="379"/>
      <c r="D69" s="379"/>
      <c r="E69" s="379"/>
      <c r="F69" s="379"/>
      <c r="G69" s="379"/>
      <c r="H69" s="379"/>
      <c r="I69" s="379"/>
      <c r="J69" s="379"/>
      <c r="K69" s="379"/>
      <c r="L69" s="379"/>
      <c r="M69" s="379"/>
      <c r="N69" s="379"/>
      <c r="O69" s="379"/>
      <c r="P69" s="379"/>
      <c r="Q69" s="379"/>
      <c r="R69" s="379"/>
      <c r="S69" s="379"/>
      <c r="T69" s="379"/>
    </row>
    <row r="70" spans="2:20">
      <c r="B70" s="379"/>
      <c r="C70" s="379"/>
      <c r="D70" s="379"/>
      <c r="E70" s="379"/>
      <c r="F70" s="379"/>
      <c r="G70" s="379"/>
      <c r="H70" s="379"/>
      <c r="I70" s="379"/>
      <c r="J70" s="379"/>
      <c r="K70" s="379"/>
      <c r="L70" s="379"/>
      <c r="M70" s="379"/>
      <c r="N70" s="379"/>
      <c r="O70" s="379"/>
      <c r="P70" s="379"/>
      <c r="Q70" s="379"/>
      <c r="R70" s="379"/>
      <c r="S70" s="379"/>
      <c r="T70" s="379"/>
    </row>
    <row r="71" spans="2:20">
      <c r="B71" s="379"/>
      <c r="C71" s="379"/>
      <c r="D71" s="379"/>
      <c r="E71" s="379"/>
      <c r="F71" s="379"/>
      <c r="G71" s="379"/>
      <c r="H71" s="379"/>
      <c r="I71" s="379"/>
      <c r="J71" s="379"/>
      <c r="K71" s="379"/>
      <c r="L71" s="379"/>
      <c r="M71" s="379"/>
      <c r="N71" s="379"/>
      <c r="O71" s="379"/>
      <c r="P71" s="379"/>
      <c r="Q71" s="379"/>
      <c r="R71" s="379"/>
      <c r="S71" s="379"/>
      <c r="T71" s="379"/>
    </row>
    <row r="72" spans="2:20">
      <c r="B72" s="379"/>
      <c r="C72" s="379"/>
      <c r="D72" s="379"/>
      <c r="E72" s="379"/>
      <c r="F72" s="379"/>
      <c r="G72" s="379"/>
      <c r="H72" s="379"/>
      <c r="I72" s="379"/>
      <c r="J72" s="379"/>
      <c r="K72" s="379"/>
      <c r="L72" s="379"/>
      <c r="M72" s="379"/>
      <c r="N72" s="379"/>
      <c r="O72" s="379"/>
      <c r="P72" s="379"/>
      <c r="Q72" s="379"/>
      <c r="R72" s="379"/>
      <c r="S72" s="379"/>
      <c r="T72" s="379"/>
    </row>
    <row r="73" spans="2:20">
      <c r="B73" s="379"/>
      <c r="C73" s="379"/>
      <c r="D73" s="379"/>
      <c r="E73" s="379"/>
      <c r="F73" s="379"/>
      <c r="G73" s="379"/>
      <c r="H73" s="379"/>
      <c r="I73" s="379"/>
      <c r="J73" s="379"/>
      <c r="K73" s="379"/>
      <c r="L73" s="379"/>
      <c r="M73" s="379"/>
      <c r="N73" s="379"/>
      <c r="O73" s="379"/>
      <c r="P73" s="379"/>
      <c r="Q73" s="379"/>
      <c r="R73" s="379"/>
      <c r="S73" s="379"/>
      <c r="T73" s="379"/>
    </row>
    <row r="74" spans="2:20">
      <c r="B74" s="379"/>
      <c r="C74" s="379"/>
      <c r="D74" s="379"/>
      <c r="E74" s="379"/>
      <c r="F74" s="379"/>
      <c r="G74" s="379"/>
      <c r="H74" s="379"/>
      <c r="I74" s="379"/>
      <c r="J74" s="379"/>
      <c r="K74" s="379"/>
      <c r="L74" s="379"/>
      <c r="M74" s="379"/>
      <c r="N74" s="379"/>
      <c r="O74" s="379"/>
      <c r="P74" s="379"/>
      <c r="Q74" s="379"/>
      <c r="R74" s="379"/>
      <c r="S74" s="379"/>
      <c r="T74" s="379"/>
    </row>
    <row r="75" spans="2:20">
      <c r="B75" s="379"/>
      <c r="C75" s="379"/>
      <c r="D75" s="379"/>
      <c r="E75" s="379"/>
      <c r="F75" s="379"/>
      <c r="G75" s="379"/>
      <c r="H75" s="379"/>
      <c r="I75" s="379"/>
      <c r="J75" s="379"/>
      <c r="K75" s="379"/>
      <c r="L75" s="379"/>
      <c r="M75" s="379"/>
      <c r="N75" s="379"/>
      <c r="O75" s="379"/>
      <c r="P75" s="379"/>
      <c r="Q75" s="379"/>
      <c r="R75" s="379"/>
      <c r="S75" s="379"/>
      <c r="T75" s="379"/>
    </row>
    <row r="76" spans="2:20">
      <c r="B76" s="379"/>
      <c r="C76" s="379"/>
      <c r="D76" s="379"/>
      <c r="E76" s="379"/>
      <c r="F76" s="379"/>
      <c r="G76" s="379"/>
      <c r="H76" s="379"/>
      <c r="I76" s="379"/>
      <c r="J76" s="379"/>
      <c r="K76" s="379"/>
      <c r="L76" s="379"/>
      <c r="M76" s="379"/>
      <c r="N76" s="379"/>
      <c r="O76" s="379"/>
      <c r="P76" s="379"/>
      <c r="Q76" s="379"/>
      <c r="R76" s="379"/>
      <c r="S76" s="379"/>
      <c r="T76" s="379"/>
    </row>
    <row r="77" spans="2:20">
      <c r="B77" s="379"/>
      <c r="C77" s="379"/>
      <c r="D77" s="379"/>
      <c r="E77" s="379"/>
      <c r="F77" s="379"/>
      <c r="G77" s="379"/>
      <c r="H77" s="379"/>
      <c r="I77" s="379"/>
      <c r="J77" s="379"/>
      <c r="K77" s="379"/>
      <c r="L77" s="379"/>
      <c r="M77" s="379"/>
      <c r="N77" s="379"/>
      <c r="O77" s="379"/>
      <c r="P77" s="379"/>
      <c r="Q77" s="379"/>
      <c r="R77" s="379"/>
      <c r="S77" s="379"/>
      <c r="T77" s="379"/>
    </row>
    <row r="78" spans="2:20">
      <c r="B78" s="379"/>
      <c r="C78" s="379"/>
      <c r="D78" s="379"/>
      <c r="E78" s="379"/>
      <c r="F78" s="379"/>
      <c r="G78" s="379"/>
      <c r="H78" s="379"/>
      <c r="I78" s="379"/>
      <c r="J78" s="379"/>
      <c r="K78" s="379"/>
      <c r="L78" s="379"/>
      <c r="M78" s="379"/>
      <c r="N78" s="379"/>
      <c r="O78" s="379"/>
      <c r="P78" s="379"/>
      <c r="Q78" s="379"/>
      <c r="R78" s="379"/>
      <c r="S78" s="379"/>
      <c r="T78" s="379"/>
    </row>
    <row r="79" spans="2:20">
      <c r="B79" s="379"/>
      <c r="C79" s="379"/>
      <c r="D79" s="379"/>
      <c r="E79" s="379"/>
      <c r="F79" s="379"/>
      <c r="G79" s="379"/>
      <c r="H79" s="379"/>
      <c r="I79" s="379"/>
      <c r="J79" s="379"/>
      <c r="K79" s="379"/>
      <c r="L79" s="379"/>
      <c r="M79" s="379"/>
      <c r="N79" s="379"/>
      <c r="O79" s="379"/>
      <c r="P79" s="379"/>
      <c r="Q79" s="379"/>
      <c r="R79" s="379"/>
      <c r="S79" s="379"/>
      <c r="T79" s="379"/>
    </row>
    <row r="80" spans="2:20">
      <c r="B80" s="379"/>
      <c r="C80" s="379"/>
      <c r="D80" s="379"/>
      <c r="E80" s="379"/>
      <c r="F80" s="379"/>
      <c r="G80" s="379"/>
      <c r="H80" s="379"/>
      <c r="I80" s="379"/>
      <c r="J80" s="379"/>
      <c r="K80" s="379"/>
      <c r="L80" s="379"/>
      <c r="M80" s="379"/>
      <c r="N80" s="379"/>
      <c r="O80" s="379"/>
      <c r="P80" s="379"/>
      <c r="Q80" s="379"/>
      <c r="R80" s="379"/>
      <c r="S80" s="379"/>
      <c r="T80" s="379"/>
    </row>
    <row r="81" spans="2:20">
      <c r="B81" s="379"/>
      <c r="C81" s="379"/>
      <c r="D81" s="379"/>
      <c r="E81" s="379"/>
      <c r="F81" s="379"/>
      <c r="G81" s="379"/>
      <c r="H81" s="379"/>
      <c r="I81" s="379"/>
      <c r="J81" s="379"/>
      <c r="K81" s="379"/>
      <c r="L81" s="379"/>
      <c r="M81" s="379"/>
      <c r="N81" s="379"/>
      <c r="O81" s="379"/>
      <c r="P81" s="379"/>
      <c r="Q81" s="379"/>
      <c r="R81" s="379"/>
      <c r="S81" s="379"/>
      <c r="T81" s="379"/>
    </row>
    <row r="82" spans="2:20">
      <c r="B82" s="379"/>
      <c r="C82" s="379"/>
      <c r="D82" s="379"/>
      <c r="E82" s="379"/>
      <c r="F82" s="379"/>
      <c r="G82" s="379"/>
      <c r="H82" s="379"/>
      <c r="I82" s="379"/>
      <c r="J82" s="379"/>
      <c r="K82" s="379"/>
      <c r="L82" s="379"/>
      <c r="M82" s="379"/>
      <c r="N82" s="379"/>
      <c r="O82" s="379"/>
      <c r="P82" s="379"/>
      <c r="Q82" s="379"/>
      <c r="R82" s="379"/>
      <c r="S82" s="379"/>
      <c r="T82" s="379"/>
    </row>
    <row r="83" spans="2:20">
      <c r="B83" s="379"/>
      <c r="C83" s="379"/>
      <c r="D83" s="379"/>
      <c r="E83" s="379"/>
      <c r="F83" s="379"/>
      <c r="G83" s="379"/>
      <c r="H83" s="379"/>
      <c r="I83" s="379"/>
      <c r="J83" s="379"/>
      <c r="K83" s="379"/>
      <c r="L83" s="379"/>
      <c r="M83" s="379"/>
      <c r="N83" s="379"/>
      <c r="O83" s="379"/>
      <c r="P83" s="379"/>
      <c r="Q83" s="379"/>
      <c r="R83" s="379"/>
      <c r="S83" s="379"/>
      <c r="T83" s="379"/>
    </row>
    <row r="84" spans="2:20">
      <c r="B84" s="379"/>
      <c r="C84" s="379"/>
      <c r="D84" s="379"/>
      <c r="E84" s="379"/>
      <c r="F84" s="379"/>
      <c r="G84" s="379"/>
      <c r="H84" s="379"/>
      <c r="I84" s="379"/>
      <c r="J84" s="379"/>
      <c r="K84" s="379"/>
      <c r="L84" s="379"/>
      <c r="M84" s="379"/>
      <c r="N84" s="379"/>
      <c r="O84" s="379"/>
      <c r="P84" s="379"/>
      <c r="Q84" s="379"/>
      <c r="R84" s="379"/>
      <c r="S84" s="379"/>
      <c r="T84" s="379"/>
    </row>
    <row r="85" spans="2:20">
      <c r="B85" s="379"/>
      <c r="C85" s="379"/>
      <c r="D85" s="379"/>
      <c r="E85" s="379"/>
      <c r="F85" s="379"/>
      <c r="G85" s="379"/>
      <c r="H85" s="379"/>
      <c r="I85" s="379"/>
      <c r="J85" s="379"/>
      <c r="K85" s="379"/>
      <c r="L85" s="379"/>
      <c r="M85" s="379"/>
      <c r="N85" s="379"/>
      <c r="O85" s="379"/>
      <c r="P85" s="379"/>
      <c r="Q85" s="379"/>
      <c r="R85" s="379"/>
      <c r="S85" s="379"/>
      <c r="T85" s="379"/>
    </row>
    <row r="86" spans="2:20">
      <c r="B86" s="379"/>
      <c r="C86" s="379"/>
      <c r="D86" s="379"/>
      <c r="E86" s="379"/>
      <c r="F86" s="379"/>
      <c r="G86" s="379"/>
      <c r="H86" s="379"/>
      <c r="I86" s="379"/>
      <c r="J86" s="379"/>
      <c r="K86" s="379"/>
      <c r="L86" s="379"/>
      <c r="M86" s="379"/>
      <c r="N86" s="379"/>
      <c r="O86" s="379"/>
      <c r="P86" s="379"/>
      <c r="Q86" s="379"/>
      <c r="R86" s="379"/>
      <c r="S86" s="379"/>
      <c r="T86" s="379"/>
    </row>
    <row r="87" spans="2:20">
      <c r="B87" s="379"/>
      <c r="C87" s="379"/>
      <c r="D87" s="379"/>
      <c r="E87" s="379"/>
      <c r="F87" s="379"/>
      <c r="G87" s="379"/>
      <c r="H87" s="379"/>
      <c r="I87" s="379"/>
      <c r="J87" s="379"/>
      <c r="K87" s="379"/>
      <c r="L87" s="379"/>
      <c r="M87" s="379"/>
      <c r="N87" s="379"/>
      <c r="O87" s="379"/>
      <c r="P87" s="379"/>
      <c r="Q87" s="379"/>
      <c r="R87" s="379"/>
      <c r="S87" s="379"/>
      <c r="T87" s="379"/>
    </row>
    <row r="88" spans="2:20">
      <c r="B88" s="379"/>
      <c r="C88" s="379"/>
      <c r="D88" s="379"/>
      <c r="E88" s="379"/>
      <c r="F88" s="379"/>
      <c r="G88" s="379"/>
      <c r="H88" s="379"/>
      <c r="I88" s="379"/>
      <c r="J88" s="379"/>
      <c r="K88" s="379"/>
      <c r="L88" s="379"/>
      <c r="M88" s="379"/>
      <c r="N88" s="379"/>
      <c r="O88" s="379"/>
      <c r="P88" s="379"/>
      <c r="Q88" s="379"/>
      <c r="R88" s="379"/>
      <c r="S88" s="379"/>
      <c r="T88" s="379"/>
    </row>
    <row r="89" spans="2:20">
      <c r="B89" s="379"/>
      <c r="C89" s="379"/>
      <c r="D89" s="379"/>
      <c r="E89" s="379"/>
      <c r="F89" s="379"/>
      <c r="G89" s="379"/>
      <c r="H89" s="379"/>
      <c r="I89" s="379"/>
      <c r="J89" s="379"/>
      <c r="K89" s="379"/>
      <c r="L89" s="379"/>
      <c r="M89" s="379"/>
      <c r="N89" s="379"/>
      <c r="O89" s="379"/>
      <c r="P89" s="379"/>
      <c r="Q89" s="379"/>
      <c r="R89" s="379"/>
      <c r="S89" s="379"/>
      <c r="T89" s="379"/>
    </row>
    <row r="90" spans="2:20">
      <c r="B90" s="379"/>
      <c r="C90" s="379"/>
      <c r="D90" s="379"/>
      <c r="E90" s="379"/>
      <c r="F90" s="379"/>
      <c r="G90" s="379"/>
      <c r="H90" s="379"/>
      <c r="I90" s="379"/>
      <c r="J90" s="379"/>
      <c r="K90" s="379"/>
      <c r="L90" s="379"/>
      <c r="M90" s="379"/>
      <c r="N90" s="379"/>
      <c r="O90" s="379"/>
      <c r="P90" s="379"/>
      <c r="Q90" s="379"/>
      <c r="R90" s="379"/>
      <c r="S90" s="379"/>
      <c r="T90" s="379"/>
    </row>
    <row r="91" spans="2:20">
      <c r="B91" s="379"/>
      <c r="C91" s="379"/>
      <c r="D91" s="379"/>
      <c r="E91" s="379"/>
      <c r="F91" s="379"/>
      <c r="G91" s="379"/>
      <c r="H91" s="379"/>
      <c r="I91" s="379"/>
      <c r="J91" s="379"/>
      <c r="K91" s="379"/>
      <c r="L91" s="379"/>
      <c r="M91" s="379"/>
      <c r="N91" s="379"/>
      <c r="O91" s="379"/>
      <c r="P91" s="379"/>
      <c r="Q91" s="379"/>
      <c r="R91" s="379"/>
      <c r="S91" s="379"/>
      <c r="T91" s="379"/>
    </row>
    <row r="92" spans="2:20">
      <c r="B92" s="379"/>
      <c r="C92" s="379"/>
      <c r="D92" s="379"/>
      <c r="E92" s="379"/>
      <c r="F92" s="379"/>
      <c r="G92" s="379"/>
      <c r="H92" s="379"/>
      <c r="I92" s="379"/>
      <c r="J92" s="379"/>
      <c r="K92" s="379"/>
      <c r="L92" s="379"/>
      <c r="M92" s="379"/>
      <c r="N92" s="379"/>
      <c r="O92" s="379"/>
      <c r="P92" s="379"/>
      <c r="Q92" s="379"/>
      <c r="R92" s="379"/>
      <c r="S92" s="379"/>
      <c r="T92" s="379"/>
    </row>
    <row r="93" spans="2:20">
      <c r="B93" s="379"/>
      <c r="C93" s="379"/>
      <c r="D93" s="379"/>
      <c r="E93" s="379"/>
      <c r="F93" s="379"/>
      <c r="G93" s="379"/>
      <c r="H93" s="379"/>
      <c r="I93" s="379"/>
      <c r="J93" s="379"/>
      <c r="K93" s="379"/>
      <c r="L93" s="379"/>
      <c r="M93" s="379"/>
      <c r="N93" s="379"/>
      <c r="O93" s="379"/>
      <c r="P93" s="379"/>
      <c r="Q93" s="379"/>
      <c r="R93" s="379"/>
      <c r="S93" s="379"/>
      <c r="T93" s="379"/>
    </row>
    <row r="94" spans="2:20">
      <c r="B94" s="379"/>
      <c r="C94" s="379"/>
      <c r="D94" s="379"/>
      <c r="E94" s="379"/>
      <c r="F94" s="379"/>
      <c r="G94" s="379"/>
      <c r="H94" s="379"/>
      <c r="I94" s="379"/>
      <c r="J94" s="379"/>
      <c r="K94" s="379"/>
      <c r="L94" s="379"/>
      <c r="M94" s="379"/>
      <c r="N94" s="379"/>
      <c r="O94" s="379"/>
      <c r="P94" s="379"/>
      <c r="Q94" s="379"/>
      <c r="R94" s="379"/>
      <c r="S94" s="379"/>
      <c r="T94" s="379"/>
    </row>
    <row r="95" spans="2:20">
      <c r="B95" s="379"/>
      <c r="C95" s="379"/>
      <c r="D95" s="379"/>
      <c r="E95" s="379"/>
      <c r="F95" s="379"/>
      <c r="G95" s="379"/>
      <c r="H95" s="379"/>
      <c r="I95" s="379"/>
      <c r="J95" s="379"/>
      <c r="K95" s="379"/>
      <c r="L95" s="379"/>
      <c r="M95" s="379"/>
      <c r="N95" s="379"/>
      <c r="O95" s="379"/>
      <c r="P95" s="379"/>
      <c r="Q95" s="379"/>
      <c r="R95" s="379"/>
      <c r="S95" s="379"/>
      <c r="T95" s="379"/>
    </row>
    <row r="96" spans="2:20">
      <c r="B96" s="379"/>
      <c r="C96" s="379"/>
      <c r="D96" s="379"/>
      <c r="E96" s="379"/>
      <c r="F96" s="379"/>
      <c r="G96" s="379"/>
      <c r="H96" s="379"/>
      <c r="I96" s="379"/>
      <c r="J96" s="379"/>
      <c r="K96" s="379"/>
      <c r="L96" s="379"/>
      <c r="M96" s="379"/>
      <c r="N96" s="379"/>
      <c r="O96" s="379"/>
      <c r="P96" s="379"/>
      <c r="Q96" s="379"/>
      <c r="R96" s="379"/>
      <c r="S96" s="379"/>
      <c r="T96" s="379"/>
    </row>
    <row r="97" spans="2:20">
      <c r="B97" s="379"/>
      <c r="C97" s="379"/>
      <c r="D97" s="379"/>
      <c r="E97" s="379"/>
      <c r="F97" s="379"/>
      <c r="G97" s="379"/>
      <c r="H97" s="379"/>
      <c r="I97" s="379"/>
      <c r="J97" s="379"/>
      <c r="K97" s="379"/>
      <c r="L97" s="379"/>
      <c r="M97" s="379"/>
      <c r="N97" s="379"/>
      <c r="O97" s="379"/>
      <c r="P97" s="379"/>
      <c r="Q97" s="379"/>
      <c r="R97" s="379"/>
      <c r="S97" s="379"/>
      <c r="T97" s="379"/>
    </row>
    <row r="98" spans="2:20">
      <c r="B98" s="379"/>
      <c r="C98" s="379"/>
      <c r="D98" s="379"/>
      <c r="E98" s="379"/>
      <c r="F98" s="379"/>
      <c r="G98" s="379"/>
      <c r="H98" s="379"/>
      <c r="I98" s="379"/>
      <c r="J98" s="379"/>
      <c r="K98" s="379"/>
      <c r="L98" s="379"/>
      <c r="M98" s="379"/>
      <c r="N98" s="379"/>
      <c r="O98" s="379"/>
      <c r="P98" s="379"/>
      <c r="Q98" s="379"/>
      <c r="R98" s="379"/>
      <c r="S98" s="379"/>
      <c r="T98" s="379"/>
    </row>
    <row r="99" spans="2:20">
      <c r="B99" s="379"/>
      <c r="C99" s="379"/>
      <c r="D99" s="379"/>
      <c r="E99" s="379"/>
      <c r="F99" s="379"/>
      <c r="G99" s="379"/>
      <c r="H99" s="379"/>
      <c r="I99" s="379"/>
      <c r="J99" s="379"/>
      <c r="K99" s="379"/>
      <c r="L99" s="379"/>
      <c r="M99" s="379"/>
      <c r="N99" s="379"/>
      <c r="O99" s="379"/>
      <c r="P99" s="379"/>
      <c r="Q99" s="379"/>
      <c r="R99" s="379"/>
      <c r="S99" s="379"/>
      <c r="T99" s="379"/>
    </row>
    <row r="100" spans="2:20">
      <c r="B100" s="379"/>
      <c r="C100" s="379"/>
      <c r="D100" s="379"/>
      <c r="E100" s="379"/>
      <c r="F100" s="379"/>
      <c r="G100" s="379"/>
      <c r="H100" s="379"/>
      <c r="I100" s="379"/>
      <c r="J100" s="379"/>
      <c r="K100" s="379"/>
      <c r="L100" s="379"/>
      <c r="M100" s="379"/>
      <c r="N100" s="379"/>
      <c r="O100" s="379"/>
      <c r="P100" s="379"/>
      <c r="Q100" s="379"/>
      <c r="R100" s="379"/>
      <c r="S100" s="379"/>
      <c r="T100" s="379"/>
    </row>
    <row r="101" spans="2:20">
      <c r="B101" s="379"/>
      <c r="C101" s="379"/>
      <c r="D101" s="379"/>
      <c r="E101" s="379"/>
      <c r="F101" s="379"/>
      <c r="G101" s="379"/>
      <c r="H101" s="379"/>
      <c r="I101" s="379"/>
      <c r="J101" s="379"/>
      <c r="K101" s="379"/>
      <c r="L101" s="379"/>
      <c r="M101" s="379"/>
      <c r="N101" s="379"/>
      <c r="O101" s="379"/>
      <c r="P101" s="379"/>
      <c r="Q101" s="379"/>
      <c r="R101" s="379"/>
      <c r="S101" s="379"/>
      <c r="T101" s="379"/>
    </row>
    <row r="102" spans="2:20">
      <c r="B102" s="379"/>
      <c r="C102" s="379"/>
      <c r="D102" s="379"/>
      <c r="E102" s="379"/>
      <c r="F102" s="379"/>
      <c r="G102" s="379"/>
      <c r="H102" s="379"/>
      <c r="I102" s="379"/>
      <c r="J102" s="379"/>
      <c r="K102" s="379"/>
      <c r="L102" s="379"/>
      <c r="M102" s="379"/>
      <c r="N102" s="379"/>
      <c r="O102" s="379"/>
      <c r="P102" s="379"/>
      <c r="Q102" s="379"/>
      <c r="R102" s="379"/>
      <c r="S102" s="379"/>
      <c r="T102" s="379"/>
    </row>
    <row r="103" spans="2:20">
      <c r="B103" s="379"/>
      <c r="C103" s="379"/>
      <c r="D103" s="379"/>
      <c r="E103" s="379"/>
      <c r="F103" s="379"/>
      <c r="G103" s="379"/>
      <c r="H103" s="379"/>
      <c r="I103" s="379"/>
      <c r="J103" s="379"/>
      <c r="K103" s="379"/>
      <c r="L103" s="379"/>
      <c r="M103" s="379"/>
      <c r="N103" s="379"/>
      <c r="O103" s="379"/>
      <c r="P103" s="379"/>
      <c r="Q103" s="379"/>
      <c r="R103" s="379"/>
      <c r="S103" s="379"/>
      <c r="T103" s="379"/>
    </row>
    <row r="104" spans="2:20">
      <c r="B104" s="379"/>
      <c r="C104" s="379"/>
      <c r="D104" s="379"/>
      <c r="E104" s="379"/>
      <c r="F104" s="379"/>
      <c r="G104" s="379"/>
      <c r="H104" s="379"/>
      <c r="I104" s="379"/>
      <c r="J104" s="379"/>
      <c r="K104" s="379"/>
      <c r="L104" s="379"/>
      <c r="M104" s="379"/>
      <c r="N104" s="379"/>
      <c r="O104" s="379"/>
      <c r="P104" s="379"/>
      <c r="Q104" s="379"/>
      <c r="R104" s="379"/>
      <c r="S104" s="379"/>
      <c r="T104" s="379"/>
    </row>
    <row r="105" spans="2:20">
      <c r="B105" s="379"/>
      <c r="C105" s="379"/>
      <c r="D105" s="379"/>
      <c r="E105" s="379"/>
      <c r="F105" s="379"/>
      <c r="G105" s="379"/>
      <c r="H105" s="379"/>
      <c r="I105" s="379"/>
      <c r="J105" s="379"/>
      <c r="K105" s="379"/>
      <c r="L105" s="379"/>
      <c r="M105" s="379"/>
      <c r="N105" s="379"/>
      <c r="O105" s="379"/>
      <c r="P105" s="379"/>
      <c r="Q105" s="379"/>
      <c r="R105" s="379"/>
      <c r="S105" s="379"/>
      <c r="T105" s="379"/>
    </row>
    <row r="106" spans="2:20">
      <c r="B106" s="379"/>
      <c r="C106" s="379"/>
      <c r="D106" s="379"/>
      <c r="E106" s="379"/>
      <c r="F106" s="379"/>
      <c r="G106" s="379"/>
      <c r="H106" s="379"/>
      <c r="I106" s="379"/>
      <c r="J106" s="379"/>
      <c r="K106" s="379"/>
      <c r="L106" s="379"/>
      <c r="M106" s="379"/>
      <c r="N106" s="379"/>
      <c r="O106" s="379"/>
      <c r="P106" s="379"/>
      <c r="Q106" s="379"/>
      <c r="R106" s="379"/>
      <c r="S106" s="379"/>
      <c r="T106" s="379"/>
    </row>
    <row r="107" spans="2:20">
      <c r="B107" s="379"/>
      <c r="C107" s="379"/>
      <c r="D107" s="379"/>
      <c r="E107" s="379"/>
      <c r="F107" s="379"/>
      <c r="G107" s="379"/>
      <c r="H107" s="379"/>
      <c r="I107" s="379"/>
      <c r="J107" s="379"/>
      <c r="K107" s="379"/>
      <c r="L107" s="379"/>
      <c r="M107" s="379"/>
      <c r="N107" s="379"/>
      <c r="O107" s="379"/>
      <c r="P107" s="379"/>
      <c r="Q107" s="379"/>
      <c r="R107" s="379"/>
      <c r="S107" s="379"/>
      <c r="T107" s="379"/>
    </row>
    <row r="108" spans="2:20">
      <c r="B108" s="379"/>
      <c r="C108" s="379"/>
      <c r="D108" s="379"/>
      <c r="E108" s="379"/>
      <c r="F108" s="379"/>
      <c r="G108" s="379"/>
      <c r="H108" s="379"/>
      <c r="I108" s="379"/>
      <c r="J108" s="379"/>
      <c r="K108" s="379"/>
      <c r="L108" s="379"/>
      <c r="M108" s="379"/>
      <c r="N108" s="379"/>
      <c r="O108" s="379"/>
      <c r="P108" s="379"/>
      <c r="Q108" s="379"/>
      <c r="R108" s="379"/>
      <c r="S108" s="379"/>
      <c r="T108" s="379"/>
    </row>
    <row r="109" spans="2:20">
      <c r="B109" s="379"/>
      <c r="C109" s="379"/>
      <c r="D109" s="379"/>
      <c r="E109" s="379"/>
      <c r="F109" s="379"/>
      <c r="G109" s="379"/>
      <c r="H109" s="379"/>
      <c r="I109" s="379"/>
      <c r="J109" s="379"/>
      <c r="K109" s="379"/>
      <c r="L109" s="379"/>
      <c r="M109" s="379"/>
      <c r="N109" s="379"/>
      <c r="O109" s="379"/>
      <c r="P109" s="379"/>
      <c r="Q109" s="379"/>
      <c r="R109" s="379"/>
      <c r="S109" s="379"/>
      <c r="T109" s="379"/>
    </row>
    <row r="110" spans="2:20">
      <c r="B110" s="379"/>
      <c r="C110" s="379"/>
      <c r="D110" s="379"/>
      <c r="E110" s="379"/>
      <c r="F110" s="379"/>
      <c r="G110" s="379"/>
      <c r="H110" s="379"/>
      <c r="I110" s="379"/>
      <c r="J110" s="379"/>
      <c r="K110" s="379"/>
      <c r="L110" s="379"/>
      <c r="M110" s="379"/>
      <c r="N110" s="379"/>
      <c r="O110" s="379"/>
      <c r="P110" s="379"/>
      <c r="Q110" s="379"/>
      <c r="R110" s="379"/>
      <c r="S110" s="379"/>
      <c r="T110" s="379"/>
    </row>
    <row r="111" spans="2:20">
      <c r="B111" s="379"/>
      <c r="C111" s="379"/>
      <c r="D111" s="379"/>
      <c r="E111" s="379"/>
      <c r="F111" s="379"/>
      <c r="G111" s="379"/>
      <c r="H111" s="379"/>
      <c r="I111" s="379"/>
      <c r="J111" s="379"/>
      <c r="K111" s="379"/>
      <c r="L111" s="379"/>
      <c r="M111" s="379"/>
      <c r="N111" s="379"/>
      <c r="O111" s="379"/>
      <c r="P111" s="379"/>
      <c r="Q111" s="379"/>
      <c r="R111" s="379"/>
      <c r="S111" s="379"/>
      <c r="T111" s="379"/>
    </row>
    <row r="112" spans="2:20">
      <c r="B112" s="379"/>
      <c r="C112" s="379"/>
      <c r="D112" s="379"/>
      <c r="E112" s="379"/>
      <c r="F112" s="379"/>
      <c r="G112" s="379"/>
      <c r="H112" s="379"/>
      <c r="I112" s="379"/>
      <c r="J112" s="379"/>
      <c r="K112" s="379"/>
      <c r="L112" s="379"/>
      <c r="M112" s="379"/>
      <c r="N112" s="379"/>
      <c r="O112" s="379"/>
      <c r="P112" s="379"/>
      <c r="Q112" s="379"/>
      <c r="R112" s="379"/>
      <c r="S112" s="379"/>
      <c r="T112" s="379"/>
    </row>
    <row r="113" spans="2:20">
      <c r="B113" s="379"/>
      <c r="C113" s="379"/>
      <c r="D113" s="379"/>
      <c r="E113" s="379"/>
      <c r="F113" s="379"/>
      <c r="G113" s="379"/>
      <c r="H113" s="379"/>
      <c r="I113" s="379"/>
      <c r="J113" s="379"/>
      <c r="K113" s="379"/>
      <c r="L113" s="379"/>
      <c r="M113" s="379"/>
      <c r="N113" s="379"/>
      <c r="O113" s="379"/>
      <c r="P113" s="379"/>
      <c r="Q113" s="379"/>
      <c r="R113" s="379"/>
      <c r="S113" s="379"/>
      <c r="T113" s="379"/>
    </row>
    <row r="114" spans="2:20">
      <c r="B114" s="379"/>
      <c r="C114" s="379"/>
      <c r="D114" s="379"/>
      <c r="E114" s="379"/>
      <c r="F114" s="379"/>
      <c r="G114" s="379"/>
      <c r="H114" s="379"/>
      <c r="I114" s="379"/>
      <c r="J114" s="379"/>
      <c r="K114" s="379"/>
      <c r="L114" s="379"/>
      <c r="M114" s="379"/>
      <c r="N114" s="379"/>
      <c r="O114" s="379"/>
      <c r="P114" s="379"/>
      <c r="Q114" s="379"/>
      <c r="R114" s="379"/>
      <c r="S114" s="379"/>
      <c r="T114" s="379"/>
    </row>
    <row r="115" spans="2:20">
      <c r="B115" s="379"/>
      <c r="C115" s="379"/>
      <c r="D115" s="379"/>
      <c r="E115" s="379"/>
      <c r="F115" s="379"/>
      <c r="G115" s="379"/>
      <c r="H115" s="379"/>
      <c r="I115" s="379"/>
      <c r="J115" s="379"/>
      <c r="K115" s="379"/>
      <c r="L115" s="379"/>
      <c r="M115" s="379"/>
      <c r="N115" s="379"/>
      <c r="O115" s="379"/>
      <c r="P115" s="379"/>
      <c r="Q115" s="379"/>
      <c r="R115" s="379"/>
      <c r="S115" s="379"/>
      <c r="T115" s="379"/>
    </row>
    <row r="116" spans="2:20">
      <c r="B116" s="379"/>
      <c r="C116" s="379"/>
      <c r="D116" s="379"/>
      <c r="E116" s="379"/>
      <c r="F116" s="379"/>
      <c r="G116" s="379"/>
      <c r="H116" s="379"/>
      <c r="I116" s="379"/>
      <c r="J116" s="379"/>
      <c r="K116" s="379"/>
      <c r="L116" s="379"/>
      <c r="M116" s="379"/>
      <c r="N116" s="379"/>
      <c r="O116" s="379"/>
      <c r="P116" s="379"/>
      <c r="Q116" s="379"/>
      <c r="R116" s="379"/>
      <c r="S116" s="379"/>
      <c r="T116" s="379"/>
    </row>
    <row r="117" spans="2:20">
      <c r="B117" s="379"/>
      <c r="C117" s="379"/>
      <c r="D117" s="379"/>
      <c r="E117" s="379"/>
      <c r="F117" s="379"/>
      <c r="G117" s="379"/>
      <c r="H117" s="379"/>
      <c r="I117" s="379"/>
      <c r="J117" s="379"/>
      <c r="K117" s="379"/>
      <c r="L117" s="379"/>
      <c r="M117" s="379"/>
      <c r="N117" s="379"/>
      <c r="O117" s="379"/>
      <c r="P117" s="379"/>
      <c r="Q117" s="379"/>
      <c r="R117" s="379"/>
      <c r="S117" s="379"/>
      <c r="T117" s="379"/>
    </row>
    <row r="118" spans="2:20">
      <c r="B118" s="379"/>
      <c r="C118" s="379"/>
      <c r="D118" s="379"/>
      <c r="E118" s="379"/>
      <c r="F118" s="379"/>
      <c r="G118" s="379"/>
      <c r="H118" s="379"/>
      <c r="I118" s="379"/>
      <c r="J118" s="379"/>
      <c r="K118" s="379"/>
      <c r="L118" s="379"/>
      <c r="M118" s="379"/>
      <c r="N118" s="379"/>
      <c r="O118" s="379"/>
      <c r="P118" s="379"/>
      <c r="Q118" s="379"/>
      <c r="R118" s="379"/>
      <c r="S118" s="379"/>
      <c r="T118" s="379"/>
    </row>
    <row r="119" spans="2:20">
      <c r="B119" s="379"/>
      <c r="C119" s="379"/>
      <c r="D119" s="379"/>
      <c r="E119" s="379"/>
      <c r="F119" s="379"/>
      <c r="G119" s="379"/>
      <c r="H119" s="379"/>
      <c r="I119" s="379"/>
      <c r="J119" s="379"/>
      <c r="K119" s="379"/>
      <c r="L119" s="379"/>
      <c r="M119" s="379"/>
      <c r="N119" s="379"/>
      <c r="O119" s="379"/>
      <c r="P119" s="379"/>
      <c r="Q119" s="379"/>
      <c r="R119" s="379"/>
      <c r="S119" s="379"/>
      <c r="T119" s="379"/>
    </row>
    <row r="120" spans="2:20">
      <c r="B120" s="379"/>
      <c r="C120" s="379"/>
      <c r="D120" s="379"/>
      <c r="E120" s="379"/>
      <c r="F120" s="379"/>
      <c r="G120" s="379"/>
      <c r="H120" s="379"/>
      <c r="I120" s="379"/>
      <c r="J120" s="379"/>
      <c r="K120" s="379"/>
      <c r="L120" s="379"/>
      <c r="M120" s="379"/>
      <c r="N120" s="379"/>
      <c r="O120" s="379"/>
      <c r="P120" s="379"/>
      <c r="Q120" s="379"/>
      <c r="R120" s="379"/>
      <c r="S120" s="379"/>
      <c r="T120" s="379"/>
    </row>
    <row r="121" spans="2:20">
      <c r="B121" s="379"/>
      <c r="C121" s="379"/>
      <c r="D121" s="379"/>
      <c r="E121" s="379"/>
      <c r="F121" s="379"/>
      <c r="G121" s="379"/>
      <c r="H121" s="379"/>
      <c r="I121" s="379"/>
      <c r="J121" s="379"/>
      <c r="K121" s="379"/>
      <c r="L121" s="379"/>
      <c r="M121" s="379"/>
      <c r="N121" s="379"/>
      <c r="O121" s="379"/>
      <c r="P121" s="379"/>
      <c r="Q121" s="379"/>
      <c r="R121" s="379"/>
      <c r="S121" s="379"/>
      <c r="T121" s="379"/>
    </row>
    <row r="122" spans="2:20">
      <c r="B122" s="379"/>
      <c r="C122" s="379"/>
      <c r="D122" s="379"/>
      <c r="E122" s="379"/>
      <c r="F122" s="379"/>
      <c r="G122" s="379"/>
      <c r="H122" s="379"/>
      <c r="I122" s="379"/>
      <c r="J122" s="379"/>
      <c r="K122" s="379"/>
      <c r="L122" s="379"/>
      <c r="M122" s="379"/>
      <c r="N122" s="379"/>
      <c r="O122" s="379"/>
      <c r="P122" s="379"/>
      <c r="Q122" s="379"/>
      <c r="R122" s="379"/>
      <c r="S122" s="379"/>
      <c r="T122" s="379"/>
    </row>
    <row r="123" spans="2:20">
      <c r="B123" s="379"/>
      <c r="C123" s="379"/>
      <c r="D123" s="379"/>
      <c r="E123" s="379"/>
      <c r="F123" s="379"/>
      <c r="G123" s="379"/>
      <c r="H123" s="379"/>
      <c r="I123" s="379"/>
      <c r="J123" s="379"/>
      <c r="K123" s="379"/>
      <c r="L123" s="379"/>
      <c r="M123" s="379"/>
      <c r="N123" s="379"/>
      <c r="O123" s="379"/>
      <c r="P123" s="379"/>
      <c r="Q123" s="379"/>
      <c r="R123" s="379"/>
      <c r="S123" s="379"/>
      <c r="T123" s="379"/>
    </row>
    <row r="124" spans="2:20">
      <c r="B124" s="379"/>
      <c r="C124" s="379"/>
      <c r="D124" s="379"/>
      <c r="E124" s="379"/>
      <c r="F124" s="379"/>
      <c r="G124" s="379"/>
      <c r="H124" s="379"/>
      <c r="I124" s="379"/>
      <c r="J124" s="379"/>
      <c r="K124" s="379"/>
      <c r="L124" s="379"/>
      <c r="M124" s="379"/>
      <c r="N124" s="379"/>
      <c r="O124" s="379"/>
      <c r="P124" s="379"/>
      <c r="Q124" s="379"/>
      <c r="R124" s="379"/>
      <c r="S124" s="379"/>
      <c r="T124" s="379"/>
    </row>
    <row r="125" spans="2:20">
      <c r="B125" s="379"/>
      <c r="C125" s="379"/>
      <c r="D125" s="379"/>
      <c r="E125" s="379"/>
      <c r="F125" s="379"/>
      <c r="G125" s="379"/>
      <c r="H125" s="379"/>
      <c r="I125" s="379"/>
      <c r="J125" s="379"/>
      <c r="K125" s="379"/>
      <c r="L125" s="379"/>
      <c r="M125" s="379"/>
      <c r="N125" s="379"/>
      <c r="O125" s="379"/>
      <c r="P125" s="379"/>
      <c r="Q125" s="379"/>
      <c r="R125" s="379"/>
      <c r="S125" s="379"/>
      <c r="T125" s="379"/>
    </row>
    <row r="126" spans="2:20">
      <c r="B126" s="379"/>
      <c r="C126" s="379"/>
      <c r="D126" s="379"/>
      <c r="E126" s="379"/>
      <c r="F126" s="379"/>
      <c r="G126" s="379"/>
      <c r="H126" s="379"/>
      <c r="I126" s="379"/>
      <c r="J126" s="379"/>
      <c r="K126" s="379"/>
      <c r="L126" s="379"/>
      <c r="M126" s="379"/>
      <c r="N126" s="379"/>
      <c r="O126" s="379"/>
      <c r="P126" s="379"/>
      <c r="Q126" s="379"/>
      <c r="R126" s="379"/>
      <c r="S126" s="379"/>
      <c r="T126" s="379"/>
    </row>
    <row r="127" spans="2:20">
      <c r="B127" s="379"/>
      <c r="C127" s="379"/>
      <c r="D127" s="379"/>
      <c r="E127" s="379"/>
      <c r="F127" s="379"/>
      <c r="G127" s="379"/>
      <c r="H127" s="379"/>
      <c r="I127" s="379"/>
      <c r="J127" s="379"/>
      <c r="K127" s="379"/>
      <c r="L127" s="379"/>
      <c r="M127" s="379"/>
      <c r="N127" s="379"/>
      <c r="O127" s="379"/>
      <c r="P127" s="379"/>
      <c r="Q127" s="379"/>
      <c r="R127" s="379"/>
      <c r="S127" s="379"/>
      <c r="T127" s="379"/>
    </row>
    <row r="128" spans="2:20">
      <c r="B128" s="379"/>
      <c r="C128" s="379"/>
      <c r="D128" s="379"/>
      <c r="E128" s="379"/>
      <c r="F128" s="379"/>
      <c r="G128" s="379"/>
      <c r="H128" s="379"/>
      <c r="I128" s="379"/>
      <c r="J128" s="379"/>
      <c r="K128" s="379"/>
      <c r="L128" s="379"/>
      <c r="M128" s="379"/>
      <c r="N128" s="379"/>
      <c r="O128" s="379"/>
      <c r="P128" s="379"/>
      <c r="Q128" s="379"/>
      <c r="R128" s="379"/>
      <c r="S128" s="379"/>
      <c r="T128" s="379"/>
    </row>
    <row r="129" spans="2:20">
      <c r="B129" s="379"/>
      <c r="C129" s="379"/>
      <c r="D129" s="379"/>
      <c r="E129" s="379"/>
      <c r="F129" s="379"/>
      <c r="G129" s="379"/>
      <c r="H129" s="379"/>
      <c r="I129" s="379"/>
      <c r="J129" s="379"/>
      <c r="K129" s="379"/>
      <c r="L129" s="379"/>
      <c r="M129" s="379"/>
      <c r="N129" s="379"/>
      <c r="O129" s="379"/>
      <c r="P129" s="379"/>
      <c r="Q129" s="379"/>
      <c r="R129" s="379"/>
      <c r="S129" s="379"/>
      <c r="T129" s="379"/>
    </row>
    <row r="130" spans="2:20">
      <c r="B130" s="379"/>
      <c r="C130" s="379"/>
      <c r="D130" s="379"/>
      <c r="E130" s="379"/>
      <c r="F130" s="379"/>
      <c r="G130" s="379"/>
      <c r="H130" s="379"/>
      <c r="I130" s="379"/>
      <c r="J130" s="379"/>
      <c r="K130" s="379"/>
      <c r="L130" s="379"/>
      <c r="M130" s="379"/>
      <c r="N130" s="379"/>
      <c r="O130" s="379"/>
      <c r="P130" s="379"/>
      <c r="Q130" s="379"/>
      <c r="R130" s="379"/>
      <c r="S130" s="379"/>
      <c r="T130" s="379"/>
    </row>
    <row r="131" spans="2:20">
      <c r="B131" s="379"/>
      <c r="C131" s="379"/>
      <c r="D131" s="379"/>
      <c r="E131" s="379"/>
      <c r="F131" s="379"/>
      <c r="G131" s="379"/>
      <c r="H131" s="379"/>
      <c r="I131" s="379"/>
      <c r="J131" s="379"/>
      <c r="K131" s="379"/>
      <c r="L131" s="379"/>
      <c r="M131" s="379"/>
      <c r="N131" s="379"/>
      <c r="O131" s="379"/>
      <c r="P131" s="379"/>
      <c r="Q131" s="379"/>
      <c r="R131" s="379"/>
      <c r="S131" s="379"/>
      <c r="T131" s="379"/>
    </row>
    <row r="132" spans="2:20">
      <c r="B132" s="379"/>
      <c r="C132" s="379"/>
      <c r="D132" s="379"/>
      <c r="E132" s="379"/>
      <c r="F132" s="379"/>
      <c r="G132" s="379"/>
      <c r="H132" s="379"/>
      <c r="I132" s="379"/>
      <c r="J132" s="379"/>
      <c r="K132" s="379"/>
      <c r="L132" s="379"/>
      <c r="M132" s="379"/>
      <c r="N132" s="379"/>
      <c r="O132" s="379"/>
      <c r="P132" s="379"/>
      <c r="Q132" s="379"/>
      <c r="R132" s="379"/>
      <c r="S132" s="379"/>
      <c r="T132" s="379"/>
    </row>
    <row r="133" spans="2:20">
      <c r="B133" s="379"/>
      <c r="C133" s="379"/>
      <c r="D133" s="379"/>
      <c r="E133" s="379"/>
      <c r="F133" s="379"/>
      <c r="G133" s="379"/>
      <c r="H133" s="379"/>
      <c r="I133" s="379"/>
      <c r="J133" s="379"/>
      <c r="K133" s="379"/>
      <c r="L133" s="379"/>
      <c r="M133" s="379"/>
      <c r="N133" s="379"/>
      <c r="O133" s="379"/>
      <c r="P133" s="379"/>
      <c r="Q133" s="379"/>
      <c r="R133" s="379"/>
      <c r="S133" s="379"/>
      <c r="T133" s="379"/>
    </row>
    <row r="134" spans="2:20">
      <c r="B134" s="379"/>
      <c r="C134" s="379"/>
      <c r="D134" s="379"/>
      <c r="E134" s="379"/>
      <c r="F134" s="379"/>
      <c r="G134" s="379"/>
      <c r="H134" s="379"/>
      <c r="I134" s="379"/>
      <c r="J134" s="379"/>
      <c r="K134" s="379"/>
      <c r="L134" s="379"/>
      <c r="M134" s="379"/>
      <c r="N134" s="379"/>
      <c r="O134" s="379"/>
      <c r="P134" s="379"/>
      <c r="Q134" s="379"/>
      <c r="R134" s="379"/>
      <c r="S134" s="379"/>
      <c r="T134" s="379"/>
    </row>
    <row r="135" spans="2:20">
      <c r="B135" s="379"/>
      <c r="C135" s="379"/>
      <c r="D135" s="379"/>
      <c r="E135" s="379"/>
      <c r="F135" s="379"/>
      <c r="G135" s="379"/>
      <c r="H135" s="379"/>
      <c r="I135" s="379"/>
      <c r="J135" s="379"/>
      <c r="K135" s="379"/>
      <c r="L135" s="379"/>
      <c r="M135" s="379"/>
      <c r="N135" s="379"/>
      <c r="O135" s="379"/>
      <c r="P135" s="379"/>
      <c r="Q135" s="379"/>
      <c r="R135" s="379"/>
      <c r="S135" s="379"/>
      <c r="T135" s="379"/>
    </row>
    <row r="136" spans="2:20">
      <c r="B136" s="379"/>
      <c r="C136" s="379"/>
      <c r="D136" s="379"/>
      <c r="E136" s="379"/>
      <c r="F136" s="379"/>
      <c r="G136" s="379"/>
      <c r="H136" s="379"/>
      <c r="I136" s="379"/>
      <c r="J136" s="379"/>
      <c r="K136" s="379"/>
      <c r="L136" s="379"/>
      <c r="M136" s="379"/>
      <c r="N136" s="379"/>
      <c r="O136" s="379"/>
      <c r="P136" s="379"/>
      <c r="Q136" s="379"/>
      <c r="R136" s="379"/>
      <c r="S136" s="379"/>
      <c r="T136" s="379"/>
    </row>
    <row r="137" spans="2:20">
      <c r="B137" s="379"/>
      <c r="C137" s="379"/>
      <c r="D137" s="379"/>
      <c r="E137" s="379"/>
      <c r="F137" s="379"/>
      <c r="G137" s="379"/>
      <c r="H137" s="379"/>
      <c r="I137" s="379"/>
      <c r="J137" s="379"/>
      <c r="K137" s="379"/>
      <c r="L137" s="379"/>
      <c r="M137" s="379"/>
      <c r="N137" s="379"/>
      <c r="O137" s="379"/>
      <c r="P137" s="379"/>
      <c r="Q137" s="379"/>
      <c r="R137" s="379"/>
      <c r="S137" s="379"/>
      <c r="T137" s="379"/>
    </row>
    <row r="138" spans="2:20">
      <c r="B138" s="379"/>
      <c r="C138" s="379"/>
      <c r="D138" s="379"/>
      <c r="E138" s="379"/>
      <c r="F138" s="379"/>
      <c r="G138" s="379"/>
      <c r="H138" s="379"/>
      <c r="I138" s="379"/>
      <c r="J138" s="379"/>
      <c r="K138" s="379"/>
      <c r="L138" s="379"/>
      <c r="M138" s="379"/>
      <c r="N138" s="379"/>
      <c r="O138" s="379"/>
      <c r="P138" s="379"/>
      <c r="Q138" s="379"/>
      <c r="R138" s="379"/>
      <c r="S138" s="379"/>
      <c r="T138" s="379"/>
    </row>
    <row r="139" spans="2:20">
      <c r="B139" s="379"/>
      <c r="C139" s="379"/>
      <c r="D139" s="379"/>
      <c r="E139" s="379"/>
      <c r="F139" s="379"/>
      <c r="G139" s="379"/>
      <c r="H139" s="379"/>
      <c r="I139" s="379"/>
      <c r="J139" s="379"/>
      <c r="K139" s="379"/>
      <c r="L139" s="379"/>
      <c r="M139" s="379"/>
      <c r="N139" s="379"/>
      <c r="O139" s="379"/>
      <c r="P139" s="379"/>
      <c r="Q139" s="379"/>
      <c r="R139" s="379"/>
      <c r="S139" s="379"/>
      <c r="T139" s="379"/>
    </row>
    <row r="140" spans="2:20">
      <c r="B140" s="379"/>
      <c r="C140" s="379"/>
      <c r="D140" s="379"/>
      <c r="E140" s="379"/>
      <c r="F140" s="379"/>
      <c r="G140" s="379"/>
      <c r="H140" s="379"/>
      <c r="I140" s="379"/>
      <c r="J140" s="379"/>
      <c r="K140" s="379"/>
      <c r="L140" s="379"/>
      <c r="M140" s="379"/>
      <c r="N140" s="379"/>
      <c r="O140" s="379"/>
      <c r="P140" s="379"/>
      <c r="Q140" s="379"/>
      <c r="R140" s="379"/>
      <c r="S140" s="379"/>
      <c r="T140" s="379"/>
    </row>
    <row r="141" spans="2:20">
      <c r="B141" s="379"/>
      <c r="C141" s="379"/>
      <c r="D141" s="379"/>
      <c r="E141" s="379"/>
      <c r="F141" s="379"/>
      <c r="G141" s="379"/>
      <c r="H141" s="379"/>
      <c r="I141" s="379"/>
      <c r="J141" s="379"/>
      <c r="K141" s="379"/>
      <c r="L141" s="379"/>
      <c r="M141" s="379"/>
      <c r="N141" s="379"/>
      <c r="O141" s="379"/>
      <c r="P141" s="379"/>
      <c r="Q141" s="379"/>
      <c r="R141" s="379"/>
      <c r="S141" s="379"/>
      <c r="T141" s="379"/>
    </row>
    <row r="142" spans="2:20">
      <c r="B142" s="379"/>
      <c r="C142" s="379"/>
      <c r="D142" s="379"/>
      <c r="E142" s="379"/>
      <c r="F142" s="379"/>
      <c r="G142" s="379"/>
      <c r="H142" s="379"/>
      <c r="I142" s="379"/>
      <c r="J142" s="379"/>
      <c r="K142" s="379"/>
      <c r="L142" s="379"/>
      <c r="M142" s="379"/>
      <c r="N142" s="379"/>
      <c r="O142" s="379"/>
      <c r="P142" s="379"/>
      <c r="Q142" s="379"/>
      <c r="R142" s="379"/>
      <c r="S142" s="379"/>
      <c r="T142" s="379"/>
    </row>
    <row r="143" spans="2:20">
      <c r="B143" s="379"/>
      <c r="C143" s="379"/>
      <c r="D143" s="379"/>
      <c r="E143" s="379"/>
      <c r="F143" s="379"/>
      <c r="G143" s="379"/>
      <c r="H143" s="379"/>
      <c r="I143" s="379"/>
      <c r="J143" s="379"/>
      <c r="K143" s="379"/>
      <c r="L143" s="379"/>
      <c r="M143" s="379"/>
      <c r="N143" s="379"/>
      <c r="O143" s="379"/>
      <c r="P143" s="379"/>
      <c r="Q143" s="379"/>
      <c r="R143" s="379"/>
      <c r="S143" s="379"/>
      <c r="T143" s="379"/>
    </row>
    <row r="144" spans="2:20">
      <c r="B144" s="379"/>
      <c r="C144" s="379"/>
      <c r="D144" s="379"/>
      <c r="E144" s="379"/>
      <c r="F144" s="379"/>
      <c r="G144" s="379"/>
      <c r="H144" s="379"/>
      <c r="I144" s="379"/>
      <c r="J144" s="379"/>
      <c r="K144" s="379"/>
      <c r="L144" s="379"/>
      <c r="M144" s="379"/>
      <c r="N144" s="379"/>
      <c r="O144" s="379"/>
      <c r="P144" s="379"/>
      <c r="Q144" s="379"/>
      <c r="R144" s="379"/>
      <c r="S144" s="379"/>
      <c r="T144" s="379"/>
    </row>
    <row r="145" spans="2:20">
      <c r="B145" s="379"/>
      <c r="C145" s="379"/>
      <c r="D145" s="379"/>
      <c r="E145" s="379"/>
      <c r="F145" s="379"/>
      <c r="G145" s="379"/>
      <c r="H145" s="379"/>
      <c r="I145" s="379"/>
      <c r="J145" s="379"/>
      <c r="K145" s="379"/>
      <c r="L145" s="379"/>
      <c r="M145" s="379"/>
      <c r="N145" s="379"/>
      <c r="O145" s="379"/>
      <c r="P145" s="379"/>
      <c r="Q145" s="379"/>
      <c r="R145" s="379"/>
      <c r="S145" s="379"/>
      <c r="T145" s="379"/>
    </row>
    <row r="146" spans="2:20">
      <c r="B146" s="379"/>
      <c r="C146" s="379"/>
      <c r="D146" s="379"/>
      <c r="E146" s="379"/>
      <c r="F146" s="379"/>
      <c r="G146" s="379"/>
      <c r="H146" s="379"/>
      <c r="I146" s="379"/>
      <c r="J146" s="379"/>
      <c r="K146" s="379"/>
      <c r="L146" s="379"/>
      <c r="M146" s="379"/>
      <c r="N146" s="379"/>
      <c r="O146" s="379"/>
      <c r="P146" s="379"/>
      <c r="Q146" s="379"/>
      <c r="R146" s="379"/>
      <c r="S146" s="379"/>
      <c r="T146" s="379"/>
    </row>
    <row r="147" spans="2:20">
      <c r="B147" s="379"/>
      <c r="C147" s="379"/>
      <c r="D147" s="379"/>
      <c r="E147" s="379"/>
      <c r="F147" s="379"/>
      <c r="G147" s="379"/>
      <c r="H147" s="379"/>
      <c r="I147" s="379"/>
      <c r="J147" s="379"/>
      <c r="K147" s="379"/>
      <c r="L147" s="379"/>
      <c r="M147" s="379"/>
      <c r="N147" s="379"/>
      <c r="O147" s="379"/>
      <c r="P147" s="379"/>
      <c r="Q147" s="379"/>
      <c r="R147" s="379"/>
      <c r="S147" s="379"/>
      <c r="T147" s="379"/>
    </row>
    <row r="148" spans="2:20">
      <c r="B148" s="379"/>
      <c r="C148" s="379"/>
      <c r="D148" s="379"/>
      <c r="E148" s="379"/>
      <c r="F148" s="379"/>
      <c r="G148" s="379"/>
      <c r="H148" s="379"/>
      <c r="I148" s="379"/>
      <c r="J148" s="379"/>
      <c r="K148" s="379"/>
      <c r="L148" s="379"/>
      <c r="M148" s="379"/>
      <c r="N148" s="379"/>
      <c r="O148" s="379"/>
      <c r="P148" s="379"/>
      <c r="Q148" s="379"/>
      <c r="R148" s="379"/>
      <c r="S148" s="379"/>
      <c r="T148" s="379"/>
    </row>
    <row r="149" spans="2:20">
      <c r="B149" s="379"/>
      <c r="C149" s="379"/>
      <c r="D149" s="379"/>
      <c r="E149" s="379"/>
      <c r="F149" s="379"/>
      <c r="G149" s="379"/>
      <c r="H149" s="379"/>
      <c r="I149" s="379"/>
      <c r="J149" s="379"/>
      <c r="K149" s="379"/>
      <c r="L149" s="379"/>
      <c r="M149" s="379"/>
      <c r="N149" s="379"/>
      <c r="O149" s="379"/>
      <c r="P149" s="379"/>
      <c r="Q149" s="379"/>
      <c r="R149" s="379"/>
      <c r="S149" s="379"/>
      <c r="T149" s="379"/>
    </row>
    <row r="150" spans="2:20">
      <c r="B150" s="379"/>
      <c r="C150" s="379"/>
      <c r="D150" s="379"/>
      <c r="E150" s="379"/>
      <c r="F150" s="379"/>
      <c r="G150" s="379"/>
      <c r="H150" s="379"/>
      <c r="I150" s="379"/>
      <c r="J150" s="379"/>
      <c r="K150" s="379"/>
      <c r="L150" s="379"/>
      <c r="M150" s="379"/>
      <c r="N150" s="379"/>
      <c r="O150" s="379"/>
      <c r="P150" s="379"/>
      <c r="Q150" s="379"/>
      <c r="R150" s="379"/>
      <c r="S150" s="379"/>
      <c r="T150" s="379"/>
    </row>
    <row r="151" spans="2:20">
      <c r="B151" s="379"/>
      <c r="C151" s="379"/>
      <c r="D151" s="379"/>
      <c r="E151" s="379"/>
      <c r="F151" s="379"/>
      <c r="G151" s="379"/>
      <c r="H151" s="379"/>
      <c r="I151" s="379"/>
      <c r="J151" s="379"/>
      <c r="K151" s="379"/>
      <c r="L151" s="379"/>
      <c r="M151" s="379"/>
      <c r="N151" s="379"/>
      <c r="O151" s="379"/>
      <c r="P151" s="379"/>
      <c r="Q151" s="379"/>
      <c r="R151" s="379"/>
      <c r="S151" s="379"/>
      <c r="T151" s="379"/>
    </row>
    <row r="152" spans="2:20">
      <c r="B152" s="379"/>
      <c r="C152" s="379"/>
      <c r="D152" s="379"/>
      <c r="E152" s="379"/>
      <c r="F152" s="379"/>
      <c r="G152" s="379"/>
      <c r="H152" s="379"/>
      <c r="I152" s="379"/>
      <c r="J152" s="379"/>
      <c r="K152" s="379"/>
      <c r="L152" s="379"/>
      <c r="M152" s="379"/>
      <c r="N152" s="379"/>
      <c r="O152" s="379"/>
      <c r="P152" s="379"/>
      <c r="Q152" s="379"/>
      <c r="R152" s="379"/>
      <c r="S152" s="379"/>
      <c r="T152" s="379"/>
    </row>
    <row r="153" spans="2:20">
      <c r="B153" s="379"/>
      <c r="C153" s="379"/>
      <c r="D153" s="379"/>
      <c r="E153" s="379"/>
      <c r="F153" s="379"/>
      <c r="G153" s="379"/>
      <c r="H153" s="379"/>
      <c r="I153" s="379"/>
      <c r="J153" s="379"/>
      <c r="K153" s="379"/>
      <c r="L153" s="379"/>
      <c r="M153" s="379"/>
      <c r="N153" s="379"/>
      <c r="O153" s="379"/>
      <c r="P153" s="379"/>
      <c r="Q153" s="379"/>
      <c r="R153" s="379"/>
      <c r="S153" s="379"/>
      <c r="T153" s="379"/>
    </row>
    <row r="154" spans="2:20">
      <c r="B154" s="379"/>
      <c r="C154" s="379"/>
      <c r="D154" s="379"/>
      <c r="E154" s="379"/>
      <c r="F154" s="379"/>
      <c r="G154" s="379"/>
      <c r="H154" s="379"/>
      <c r="I154" s="379"/>
      <c r="J154" s="379"/>
      <c r="K154" s="379"/>
      <c r="L154" s="379"/>
      <c r="M154" s="379"/>
      <c r="N154" s="379"/>
      <c r="O154" s="379"/>
      <c r="P154" s="379"/>
      <c r="Q154" s="379"/>
      <c r="R154" s="379"/>
      <c r="S154" s="379"/>
      <c r="T154" s="379"/>
    </row>
    <row r="155" spans="2:20">
      <c r="B155" s="379"/>
      <c r="C155" s="379"/>
      <c r="D155" s="379"/>
      <c r="E155" s="379"/>
      <c r="F155" s="379"/>
      <c r="G155" s="379"/>
      <c r="H155" s="379"/>
      <c r="I155" s="379"/>
      <c r="J155" s="379"/>
      <c r="K155" s="379"/>
      <c r="L155" s="379"/>
      <c r="M155" s="379"/>
      <c r="N155" s="379"/>
      <c r="O155" s="379"/>
      <c r="P155" s="379"/>
      <c r="Q155" s="379"/>
      <c r="R155" s="379"/>
      <c r="S155" s="379"/>
      <c r="T155" s="379"/>
    </row>
    <row r="156" spans="2:20">
      <c r="B156" s="379"/>
      <c r="C156" s="379"/>
      <c r="D156" s="379"/>
      <c r="E156" s="379"/>
      <c r="F156" s="379"/>
      <c r="G156" s="379"/>
      <c r="H156" s="379"/>
      <c r="I156" s="379"/>
      <c r="J156" s="379"/>
      <c r="K156" s="379"/>
      <c r="L156" s="379"/>
      <c r="M156" s="379"/>
      <c r="N156" s="379"/>
      <c r="O156" s="379"/>
      <c r="P156" s="379"/>
      <c r="Q156" s="379"/>
      <c r="R156" s="379"/>
      <c r="S156" s="379"/>
      <c r="T156" s="379"/>
    </row>
    <row r="157" spans="2:20">
      <c r="B157" s="379"/>
      <c r="C157" s="379"/>
      <c r="D157" s="379"/>
      <c r="E157" s="379"/>
      <c r="F157" s="379"/>
      <c r="G157" s="379"/>
      <c r="H157" s="379"/>
      <c r="I157" s="379"/>
      <c r="J157" s="379"/>
      <c r="K157" s="379"/>
      <c r="L157" s="379"/>
      <c r="M157" s="379"/>
      <c r="N157" s="379"/>
      <c r="O157" s="379"/>
      <c r="P157" s="379"/>
      <c r="Q157" s="379"/>
      <c r="R157" s="379"/>
      <c r="S157" s="379"/>
      <c r="T157" s="379"/>
    </row>
    <row r="158" spans="2:20">
      <c r="B158" s="379"/>
      <c r="C158" s="379"/>
      <c r="D158" s="379"/>
      <c r="E158" s="379"/>
      <c r="F158" s="379"/>
      <c r="G158" s="379"/>
      <c r="H158" s="379"/>
      <c r="I158" s="379"/>
      <c r="J158" s="379"/>
      <c r="K158" s="379"/>
      <c r="L158" s="379"/>
      <c r="M158" s="379"/>
      <c r="N158" s="379"/>
      <c r="O158" s="379"/>
      <c r="P158" s="379"/>
      <c r="Q158" s="379"/>
      <c r="R158" s="379"/>
      <c r="S158" s="379"/>
      <c r="T158" s="379"/>
    </row>
    <row r="159" spans="2:20">
      <c r="B159" s="379"/>
      <c r="C159" s="379"/>
      <c r="D159" s="379"/>
      <c r="E159" s="379"/>
      <c r="F159" s="379"/>
      <c r="G159" s="379"/>
      <c r="H159" s="379"/>
      <c r="I159" s="379"/>
      <c r="J159" s="379"/>
      <c r="K159" s="379"/>
      <c r="L159" s="379"/>
      <c r="M159" s="379"/>
      <c r="N159" s="379"/>
      <c r="O159" s="379"/>
      <c r="P159" s="379"/>
      <c r="Q159" s="379"/>
      <c r="R159" s="379"/>
      <c r="S159" s="379"/>
      <c r="T159" s="379"/>
    </row>
    <row r="160" spans="2:20">
      <c r="B160" s="379"/>
      <c r="C160" s="379"/>
      <c r="D160" s="379"/>
      <c r="E160" s="379"/>
      <c r="F160" s="379"/>
      <c r="G160" s="379"/>
      <c r="H160" s="379"/>
      <c r="I160" s="379"/>
      <c r="J160" s="379"/>
      <c r="K160" s="379"/>
      <c r="L160" s="379"/>
      <c r="M160" s="379"/>
      <c r="N160" s="379"/>
      <c r="O160" s="379"/>
      <c r="P160" s="379"/>
      <c r="Q160" s="379"/>
      <c r="R160" s="379"/>
      <c r="S160" s="379"/>
      <c r="T160" s="379"/>
    </row>
    <row r="161" spans="2:20">
      <c r="B161" s="379"/>
      <c r="C161" s="379"/>
      <c r="D161" s="379"/>
      <c r="E161" s="379"/>
      <c r="F161" s="379"/>
      <c r="G161" s="379"/>
      <c r="H161" s="379"/>
      <c r="I161" s="379"/>
      <c r="J161" s="379"/>
      <c r="K161" s="379"/>
      <c r="L161" s="379"/>
      <c r="M161" s="379"/>
      <c r="N161" s="379"/>
      <c r="O161" s="379"/>
      <c r="P161" s="379"/>
      <c r="Q161" s="379"/>
      <c r="R161" s="379"/>
      <c r="S161" s="379"/>
      <c r="T161" s="379"/>
    </row>
    <row r="162" spans="2:20">
      <c r="B162" s="379"/>
      <c r="C162" s="379"/>
      <c r="D162" s="379"/>
      <c r="E162" s="379"/>
      <c r="F162" s="379"/>
      <c r="G162" s="379"/>
      <c r="H162" s="379"/>
      <c r="I162" s="379"/>
      <c r="J162" s="379"/>
      <c r="K162" s="379"/>
      <c r="L162" s="379"/>
      <c r="M162" s="379"/>
      <c r="N162" s="379"/>
      <c r="O162" s="379"/>
      <c r="P162" s="379"/>
      <c r="Q162" s="379"/>
      <c r="R162" s="379"/>
      <c r="S162" s="379"/>
      <c r="T162" s="379"/>
    </row>
    <row r="163" spans="2:20">
      <c r="B163" s="379"/>
      <c r="C163" s="379"/>
      <c r="D163" s="379"/>
      <c r="E163" s="379"/>
      <c r="F163" s="379"/>
      <c r="G163" s="379"/>
      <c r="H163" s="379"/>
      <c r="I163" s="379"/>
      <c r="J163" s="379"/>
      <c r="K163" s="379"/>
      <c r="L163" s="379"/>
      <c r="M163" s="379"/>
      <c r="N163" s="379"/>
      <c r="O163" s="379"/>
      <c r="P163" s="379"/>
      <c r="Q163" s="379"/>
      <c r="R163" s="379"/>
      <c r="S163" s="379"/>
      <c r="T163" s="379"/>
    </row>
    <row r="164" spans="2:20">
      <c r="B164" s="379"/>
      <c r="C164" s="379"/>
      <c r="D164" s="379"/>
      <c r="E164" s="379"/>
      <c r="F164" s="379"/>
      <c r="G164" s="379"/>
      <c r="H164" s="379"/>
      <c r="I164" s="379"/>
      <c r="J164" s="379"/>
      <c r="K164" s="379"/>
      <c r="L164" s="379"/>
      <c r="M164" s="379"/>
      <c r="N164" s="379"/>
      <c r="O164" s="379"/>
      <c r="P164" s="379"/>
      <c r="Q164" s="379"/>
      <c r="R164" s="379"/>
      <c r="S164" s="379"/>
      <c r="T164" s="379"/>
    </row>
    <row r="165" spans="2:20">
      <c r="B165" s="379"/>
      <c r="C165" s="379"/>
      <c r="D165" s="379"/>
      <c r="E165" s="379"/>
      <c r="F165" s="379"/>
      <c r="G165" s="379"/>
      <c r="H165" s="379"/>
      <c r="I165" s="379"/>
      <c r="J165" s="379"/>
      <c r="K165" s="379"/>
      <c r="L165" s="379"/>
      <c r="M165" s="379"/>
      <c r="N165" s="379"/>
      <c r="O165" s="379"/>
      <c r="P165" s="379"/>
      <c r="Q165" s="379"/>
      <c r="R165" s="379"/>
      <c r="S165" s="379"/>
      <c r="T165" s="379"/>
    </row>
    <row r="166" spans="2:20">
      <c r="B166" s="379"/>
      <c r="C166" s="379"/>
      <c r="D166" s="379"/>
      <c r="E166" s="379"/>
      <c r="F166" s="379"/>
      <c r="G166" s="379"/>
      <c r="H166" s="379"/>
      <c r="I166" s="379"/>
      <c r="J166" s="379"/>
      <c r="K166" s="379"/>
      <c r="L166" s="379"/>
      <c r="M166" s="379"/>
      <c r="N166" s="379"/>
      <c r="O166" s="379"/>
      <c r="P166" s="379"/>
      <c r="Q166" s="379"/>
      <c r="R166" s="379"/>
      <c r="S166" s="379"/>
      <c r="T166" s="379"/>
    </row>
    <row r="167" spans="2:20">
      <c r="B167" s="379"/>
      <c r="C167" s="379"/>
      <c r="D167" s="379"/>
      <c r="E167" s="379"/>
      <c r="F167" s="379"/>
      <c r="G167" s="379"/>
      <c r="H167" s="379"/>
      <c r="I167" s="379"/>
      <c r="J167" s="379"/>
      <c r="K167" s="379"/>
      <c r="L167" s="379"/>
      <c r="M167" s="379"/>
      <c r="N167" s="379"/>
      <c r="O167" s="379"/>
      <c r="P167" s="379"/>
      <c r="Q167" s="379"/>
      <c r="R167" s="379"/>
      <c r="S167" s="379"/>
      <c r="T167" s="379"/>
    </row>
    <row r="168" spans="2:20">
      <c r="B168" s="379"/>
      <c r="C168" s="379"/>
      <c r="D168" s="379"/>
      <c r="E168" s="379"/>
      <c r="F168" s="379"/>
      <c r="G168" s="379"/>
      <c r="H168" s="379"/>
      <c r="I168" s="379"/>
      <c r="J168" s="379"/>
      <c r="K168" s="379"/>
      <c r="L168" s="379"/>
      <c r="M168" s="379"/>
      <c r="N168" s="379"/>
      <c r="O168" s="379"/>
      <c r="P168" s="379"/>
      <c r="Q168" s="379"/>
      <c r="R168" s="379"/>
      <c r="S168" s="379"/>
      <c r="T168" s="379"/>
    </row>
    <row r="169" spans="2:20">
      <c r="B169" s="379"/>
      <c r="C169" s="379"/>
      <c r="D169" s="379"/>
      <c r="E169" s="379"/>
      <c r="F169" s="379"/>
      <c r="G169" s="379"/>
      <c r="H169" s="379"/>
      <c r="I169" s="379"/>
      <c r="J169" s="379"/>
      <c r="K169" s="379"/>
      <c r="L169" s="379"/>
      <c r="M169" s="379"/>
      <c r="N169" s="379"/>
      <c r="O169" s="379"/>
      <c r="P169" s="379"/>
      <c r="Q169" s="379"/>
      <c r="R169" s="379"/>
      <c r="S169" s="379"/>
      <c r="T169" s="379"/>
    </row>
    <row r="170" spans="2:20">
      <c r="B170" s="379"/>
      <c r="C170" s="379"/>
      <c r="D170" s="379"/>
      <c r="E170" s="379"/>
      <c r="F170" s="379"/>
      <c r="G170" s="379"/>
      <c r="H170" s="379"/>
      <c r="I170" s="379"/>
      <c r="J170" s="379"/>
      <c r="K170" s="379"/>
      <c r="L170" s="379"/>
      <c r="M170" s="379"/>
      <c r="N170" s="379"/>
      <c r="O170" s="379"/>
      <c r="P170" s="379"/>
      <c r="Q170" s="379"/>
      <c r="R170" s="379"/>
      <c r="S170" s="379"/>
      <c r="T170" s="379"/>
    </row>
    <row r="171" spans="2:20">
      <c r="B171" s="379"/>
      <c r="C171" s="379"/>
      <c r="D171" s="379"/>
      <c r="E171" s="379"/>
      <c r="F171" s="379"/>
      <c r="G171" s="379"/>
      <c r="H171" s="379"/>
      <c r="I171" s="379"/>
      <c r="J171" s="379"/>
      <c r="K171" s="379"/>
      <c r="L171" s="379"/>
      <c r="M171" s="379"/>
      <c r="N171" s="379"/>
      <c r="O171" s="379"/>
      <c r="P171" s="379"/>
      <c r="Q171" s="379"/>
      <c r="R171" s="379"/>
      <c r="S171" s="379"/>
      <c r="T171" s="379"/>
    </row>
    <row r="172" spans="2:20">
      <c r="B172" s="379"/>
      <c r="C172" s="379"/>
      <c r="D172" s="379"/>
      <c r="E172" s="379"/>
      <c r="F172" s="379"/>
      <c r="G172" s="379"/>
      <c r="H172" s="379"/>
      <c r="I172" s="379"/>
      <c r="J172" s="379"/>
      <c r="K172" s="379"/>
      <c r="L172" s="379"/>
      <c r="M172" s="379"/>
      <c r="N172" s="379"/>
      <c r="O172" s="379"/>
      <c r="P172" s="379"/>
      <c r="Q172" s="379"/>
      <c r="R172" s="379"/>
      <c r="S172" s="379"/>
      <c r="T172" s="379"/>
    </row>
    <row r="173" spans="2:20">
      <c r="B173" s="379"/>
      <c r="C173" s="379"/>
      <c r="D173" s="379"/>
      <c r="E173" s="379"/>
      <c r="F173" s="379"/>
      <c r="G173" s="379"/>
      <c r="H173" s="379"/>
      <c r="I173" s="379"/>
      <c r="J173" s="379"/>
      <c r="K173" s="379"/>
      <c r="L173" s="379"/>
      <c r="M173" s="379"/>
      <c r="N173" s="379"/>
      <c r="O173" s="379"/>
      <c r="P173" s="379"/>
      <c r="Q173" s="379"/>
      <c r="R173" s="379"/>
      <c r="S173" s="379"/>
      <c r="T173" s="379"/>
    </row>
    <row r="174" spans="2:20">
      <c r="B174" s="379"/>
      <c r="C174" s="379"/>
      <c r="D174" s="379"/>
      <c r="E174" s="379"/>
      <c r="F174" s="379"/>
      <c r="G174" s="379"/>
      <c r="H174" s="379"/>
      <c r="I174" s="379"/>
      <c r="J174" s="379"/>
      <c r="K174" s="379"/>
      <c r="L174" s="379"/>
      <c r="M174" s="379"/>
      <c r="N174" s="379"/>
      <c r="O174" s="379"/>
      <c r="P174" s="379"/>
      <c r="Q174" s="379"/>
      <c r="R174" s="379"/>
      <c r="S174" s="379"/>
      <c r="T174" s="379"/>
    </row>
    <row r="175" spans="2:20">
      <c r="B175" s="379"/>
      <c r="C175" s="379"/>
      <c r="D175" s="379"/>
      <c r="E175" s="379"/>
      <c r="F175" s="379"/>
      <c r="G175" s="379"/>
      <c r="H175" s="379"/>
      <c r="I175" s="379"/>
      <c r="J175" s="379"/>
      <c r="K175" s="379"/>
      <c r="L175" s="379"/>
      <c r="M175" s="379"/>
      <c r="N175" s="379"/>
      <c r="O175" s="379"/>
      <c r="P175" s="379"/>
      <c r="Q175" s="379"/>
      <c r="R175" s="379"/>
      <c r="S175" s="379"/>
      <c r="T175" s="379"/>
    </row>
    <row r="176" spans="2:20">
      <c r="B176" s="379"/>
      <c r="C176" s="379"/>
      <c r="D176" s="379"/>
      <c r="E176" s="379"/>
      <c r="F176" s="379"/>
      <c r="G176" s="379"/>
      <c r="H176" s="379"/>
      <c r="I176" s="379"/>
      <c r="J176" s="379"/>
      <c r="K176" s="379"/>
      <c r="L176" s="379"/>
      <c r="M176" s="379"/>
      <c r="N176" s="379"/>
      <c r="O176" s="379"/>
      <c r="P176" s="379"/>
      <c r="Q176" s="379"/>
      <c r="R176" s="379"/>
      <c r="S176" s="379"/>
      <c r="T176" s="379"/>
    </row>
    <row r="177" spans="2:20">
      <c r="B177" s="379"/>
      <c r="C177" s="379"/>
      <c r="D177" s="379"/>
      <c r="E177" s="379"/>
      <c r="F177" s="379"/>
      <c r="G177" s="379"/>
      <c r="H177" s="379"/>
      <c r="I177" s="379"/>
      <c r="J177" s="379"/>
      <c r="K177" s="379"/>
      <c r="L177" s="379"/>
      <c r="M177" s="379"/>
      <c r="N177" s="379"/>
      <c r="O177" s="379"/>
      <c r="P177" s="379"/>
      <c r="Q177" s="379"/>
      <c r="R177" s="379"/>
      <c r="S177" s="379"/>
      <c r="T177" s="379"/>
    </row>
    <row r="178" spans="2:20">
      <c r="B178" s="379"/>
      <c r="C178" s="379"/>
      <c r="D178" s="379"/>
      <c r="E178" s="379"/>
      <c r="F178" s="379"/>
      <c r="G178" s="379"/>
      <c r="H178" s="379"/>
      <c r="I178" s="379"/>
      <c r="J178" s="379"/>
      <c r="K178" s="379"/>
      <c r="L178" s="379"/>
      <c r="M178" s="379"/>
      <c r="N178" s="379"/>
      <c r="O178" s="379"/>
      <c r="P178" s="379"/>
      <c r="Q178" s="379"/>
      <c r="R178" s="379"/>
      <c r="S178" s="379"/>
      <c r="T178" s="379"/>
    </row>
    <row r="179" spans="2:20">
      <c r="B179" s="379"/>
      <c r="C179" s="379"/>
      <c r="D179" s="379"/>
      <c r="E179" s="379"/>
      <c r="F179" s="379"/>
      <c r="G179" s="379"/>
      <c r="H179" s="379"/>
      <c r="I179" s="379"/>
      <c r="J179" s="379"/>
      <c r="K179" s="379"/>
      <c r="L179" s="379"/>
      <c r="M179" s="379"/>
      <c r="N179" s="379"/>
      <c r="O179" s="379"/>
      <c r="P179" s="379"/>
      <c r="Q179" s="379"/>
      <c r="R179" s="379"/>
      <c r="S179" s="379"/>
      <c r="T179" s="379"/>
    </row>
    <row r="180" spans="2:20">
      <c r="B180" s="379"/>
      <c r="C180" s="379"/>
      <c r="D180" s="379"/>
      <c r="E180" s="379"/>
      <c r="F180" s="379"/>
      <c r="G180" s="379"/>
      <c r="H180" s="379"/>
      <c r="I180" s="379"/>
      <c r="J180" s="379"/>
      <c r="K180" s="379"/>
      <c r="L180" s="379"/>
      <c r="M180" s="379"/>
      <c r="N180" s="379"/>
      <c r="O180" s="379"/>
      <c r="P180" s="379"/>
      <c r="Q180" s="379"/>
      <c r="R180" s="379"/>
      <c r="S180" s="379"/>
      <c r="T180" s="379"/>
    </row>
    <row r="181" spans="2:20">
      <c r="B181" s="379"/>
      <c r="C181" s="379"/>
      <c r="D181" s="379"/>
      <c r="E181" s="379"/>
      <c r="F181" s="379"/>
      <c r="G181" s="379"/>
      <c r="H181" s="379"/>
      <c r="I181" s="379"/>
      <c r="J181" s="379"/>
      <c r="K181" s="379"/>
      <c r="L181" s="379"/>
      <c r="M181" s="379"/>
      <c r="N181" s="379"/>
      <c r="O181" s="379"/>
      <c r="P181" s="379"/>
      <c r="Q181" s="379"/>
      <c r="R181" s="379"/>
      <c r="S181" s="379"/>
      <c r="T181" s="379"/>
    </row>
    <row r="182" spans="2:20">
      <c r="B182" s="379"/>
      <c r="C182" s="379"/>
      <c r="D182" s="379"/>
      <c r="E182" s="379"/>
      <c r="F182" s="379"/>
      <c r="G182" s="379"/>
      <c r="H182" s="379"/>
      <c r="I182" s="379"/>
      <c r="J182" s="379"/>
      <c r="K182" s="379"/>
      <c r="L182" s="379"/>
      <c r="M182" s="379"/>
      <c r="N182" s="379"/>
      <c r="O182" s="379"/>
      <c r="P182" s="379"/>
      <c r="Q182" s="379"/>
      <c r="R182" s="379"/>
      <c r="S182" s="379"/>
      <c r="T182" s="379"/>
    </row>
    <row r="183" spans="2:20">
      <c r="B183" s="379"/>
      <c r="C183" s="379"/>
      <c r="D183" s="379"/>
      <c r="E183" s="379"/>
      <c r="F183" s="379"/>
      <c r="G183" s="379"/>
      <c r="H183" s="379"/>
      <c r="I183" s="379"/>
      <c r="J183" s="379"/>
      <c r="K183" s="379"/>
      <c r="L183" s="379"/>
      <c r="M183" s="379"/>
      <c r="N183" s="379"/>
      <c r="O183" s="379"/>
      <c r="P183" s="379"/>
      <c r="Q183" s="379"/>
      <c r="R183" s="379"/>
      <c r="S183" s="379"/>
      <c r="T183" s="379"/>
    </row>
    <row r="184" spans="2:20">
      <c r="B184" s="379"/>
      <c r="C184" s="379"/>
      <c r="D184" s="379"/>
      <c r="E184" s="379"/>
      <c r="F184" s="379"/>
      <c r="G184" s="379"/>
      <c r="H184" s="379"/>
      <c r="I184" s="379"/>
      <c r="J184" s="379"/>
      <c r="K184" s="379"/>
      <c r="L184" s="379"/>
      <c r="M184" s="379"/>
      <c r="N184" s="379"/>
      <c r="O184" s="379"/>
      <c r="P184" s="379"/>
      <c r="Q184" s="379"/>
      <c r="R184" s="379"/>
      <c r="S184" s="379"/>
      <c r="T184" s="379"/>
    </row>
    <row r="185" spans="2:20">
      <c r="B185" s="379"/>
      <c r="C185" s="379"/>
      <c r="D185" s="379"/>
      <c r="E185" s="379"/>
      <c r="F185" s="379"/>
      <c r="G185" s="379"/>
      <c r="H185" s="379"/>
      <c r="I185" s="379"/>
      <c r="J185" s="379"/>
      <c r="K185" s="379"/>
      <c r="L185" s="379"/>
      <c r="M185" s="379"/>
      <c r="N185" s="379"/>
      <c r="O185" s="379"/>
      <c r="P185" s="379"/>
      <c r="Q185" s="379"/>
      <c r="R185" s="379"/>
      <c r="S185" s="379"/>
      <c r="T185" s="379"/>
    </row>
    <row r="186" spans="2:20">
      <c r="B186" s="379"/>
      <c r="C186" s="379"/>
      <c r="D186" s="379"/>
      <c r="E186" s="379"/>
      <c r="F186" s="379"/>
      <c r="G186" s="379"/>
      <c r="H186" s="379"/>
      <c r="I186" s="379"/>
      <c r="J186" s="379"/>
      <c r="K186" s="379"/>
      <c r="L186" s="379"/>
      <c r="M186" s="379"/>
      <c r="N186" s="379"/>
      <c r="O186" s="379"/>
      <c r="P186" s="379"/>
      <c r="Q186" s="379"/>
      <c r="R186" s="379"/>
      <c r="S186" s="379"/>
      <c r="T186" s="379"/>
    </row>
    <row r="187" spans="2:20">
      <c r="B187" s="379"/>
      <c r="C187" s="379"/>
      <c r="D187" s="379"/>
      <c r="E187" s="379"/>
      <c r="F187" s="379"/>
      <c r="G187" s="379"/>
      <c r="H187" s="379"/>
      <c r="I187" s="379"/>
      <c r="J187" s="379"/>
      <c r="K187" s="379"/>
      <c r="L187" s="379"/>
      <c r="M187" s="379"/>
      <c r="N187" s="379"/>
      <c r="O187" s="379"/>
      <c r="P187" s="379"/>
      <c r="Q187" s="379"/>
      <c r="R187" s="379"/>
      <c r="S187" s="379"/>
      <c r="T187" s="379"/>
    </row>
    <row r="188" spans="2:20">
      <c r="B188" s="379"/>
      <c r="C188" s="379"/>
      <c r="D188" s="379"/>
      <c r="E188" s="379"/>
      <c r="F188" s="379"/>
      <c r="G188" s="379"/>
      <c r="H188" s="379"/>
      <c r="I188" s="379"/>
      <c r="J188" s="379"/>
      <c r="K188" s="379"/>
      <c r="L188" s="379"/>
      <c r="M188" s="379"/>
      <c r="N188" s="379"/>
      <c r="O188" s="379"/>
      <c r="P188" s="379"/>
      <c r="Q188" s="379"/>
      <c r="R188" s="379"/>
      <c r="S188" s="379"/>
      <c r="T188" s="379"/>
    </row>
    <row r="189" spans="2:20">
      <c r="B189" s="379"/>
      <c r="C189" s="379"/>
      <c r="D189" s="379"/>
      <c r="E189" s="379"/>
      <c r="F189" s="379"/>
      <c r="G189" s="379"/>
      <c r="H189" s="379"/>
      <c r="I189" s="379"/>
      <c r="J189" s="379"/>
      <c r="K189" s="379"/>
      <c r="L189" s="379"/>
      <c r="M189" s="379"/>
      <c r="N189" s="379"/>
      <c r="O189" s="379"/>
      <c r="P189" s="379"/>
      <c r="Q189" s="379"/>
      <c r="R189" s="379"/>
      <c r="S189" s="379"/>
      <c r="T189" s="379"/>
    </row>
    <row r="190" spans="2:20">
      <c r="B190" s="379"/>
      <c r="C190" s="379"/>
      <c r="D190" s="379"/>
      <c r="E190" s="379"/>
      <c r="F190" s="379"/>
      <c r="G190" s="379"/>
      <c r="H190" s="379"/>
      <c r="I190" s="379"/>
      <c r="J190" s="379"/>
      <c r="K190" s="379"/>
      <c r="L190" s="379"/>
      <c r="M190" s="379"/>
      <c r="N190" s="379"/>
      <c r="O190" s="379"/>
      <c r="P190" s="379"/>
      <c r="Q190" s="379"/>
      <c r="R190" s="379"/>
      <c r="S190" s="379"/>
      <c r="T190" s="379"/>
    </row>
    <row r="191" spans="2:20">
      <c r="B191" s="379"/>
      <c r="C191" s="379"/>
      <c r="D191" s="379"/>
      <c r="E191" s="379"/>
      <c r="F191" s="379"/>
      <c r="G191" s="379"/>
      <c r="H191" s="379"/>
      <c r="I191" s="379"/>
      <c r="J191" s="379"/>
      <c r="K191" s="379"/>
      <c r="L191" s="379"/>
      <c r="M191" s="379"/>
      <c r="N191" s="379"/>
      <c r="O191" s="379"/>
      <c r="P191" s="379"/>
      <c r="Q191" s="379"/>
      <c r="R191" s="379"/>
      <c r="S191" s="379"/>
      <c r="T191" s="379"/>
    </row>
    <row r="192" spans="2:20">
      <c r="B192" s="379"/>
      <c r="C192" s="379"/>
      <c r="D192" s="379"/>
      <c r="E192" s="379"/>
      <c r="F192" s="379"/>
      <c r="G192" s="379"/>
      <c r="H192" s="379"/>
      <c r="I192" s="379"/>
      <c r="J192" s="379"/>
      <c r="K192" s="379"/>
      <c r="L192" s="379"/>
      <c r="M192" s="379"/>
      <c r="N192" s="379"/>
      <c r="O192" s="379"/>
      <c r="P192" s="379"/>
      <c r="Q192" s="379"/>
      <c r="R192" s="379"/>
      <c r="S192" s="379"/>
      <c r="T192" s="379"/>
    </row>
    <row r="193" spans="2:20">
      <c r="B193" s="379"/>
      <c r="C193" s="379"/>
      <c r="D193" s="379"/>
      <c r="E193" s="379"/>
      <c r="F193" s="379"/>
      <c r="G193" s="379"/>
      <c r="H193" s="379"/>
      <c r="I193" s="379"/>
      <c r="J193" s="379"/>
      <c r="K193" s="379"/>
      <c r="L193" s="379"/>
      <c r="M193" s="379"/>
      <c r="N193" s="379"/>
      <c r="O193" s="379"/>
      <c r="P193" s="379"/>
      <c r="Q193" s="379"/>
      <c r="R193" s="379"/>
      <c r="S193" s="379"/>
      <c r="T193" s="379"/>
    </row>
    <row r="194" spans="2:20">
      <c r="B194" s="379"/>
      <c r="C194" s="379"/>
      <c r="D194" s="379"/>
      <c r="E194" s="379"/>
      <c r="F194" s="379"/>
      <c r="G194" s="379"/>
      <c r="H194" s="379"/>
      <c r="I194" s="379"/>
      <c r="J194" s="379"/>
      <c r="K194" s="379"/>
      <c r="L194" s="379"/>
      <c r="M194" s="379"/>
      <c r="N194" s="379"/>
      <c r="O194" s="379"/>
      <c r="P194" s="379"/>
      <c r="Q194" s="379"/>
      <c r="R194" s="379"/>
      <c r="S194" s="379"/>
      <c r="T194" s="379"/>
    </row>
    <row r="195" spans="2:20">
      <c r="B195" s="379"/>
      <c r="C195" s="379"/>
      <c r="D195" s="379"/>
      <c r="E195" s="379"/>
      <c r="F195" s="379"/>
      <c r="G195" s="379"/>
      <c r="H195" s="379"/>
      <c r="I195" s="379"/>
      <c r="J195" s="379"/>
      <c r="K195" s="379"/>
      <c r="L195" s="379"/>
      <c r="M195" s="379"/>
      <c r="N195" s="379"/>
      <c r="O195" s="379"/>
      <c r="P195" s="379"/>
      <c r="Q195" s="379"/>
      <c r="R195" s="379"/>
      <c r="S195" s="379"/>
      <c r="T195" s="379"/>
    </row>
    <row r="196" spans="2:20">
      <c r="B196" s="379"/>
      <c r="C196" s="379"/>
      <c r="D196" s="379"/>
      <c r="E196" s="379"/>
      <c r="F196" s="379"/>
      <c r="G196" s="379"/>
      <c r="H196" s="379"/>
      <c r="I196" s="379"/>
      <c r="J196" s="379"/>
      <c r="K196" s="379"/>
      <c r="L196" s="379"/>
      <c r="M196" s="379"/>
      <c r="N196" s="379"/>
      <c r="O196" s="379"/>
      <c r="P196" s="379"/>
      <c r="Q196" s="379"/>
      <c r="R196" s="379"/>
      <c r="S196" s="379"/>
      <c r="T196" s="379"/>
    </row>
    <row r="197" spans="2:20">
      <c r="B197" s="379"/>
      <c r="C197" s="379"/>
      <c r="D197" s="379"/>
      <c r="E197" s="379"/>
      <c r="F197" s="379"/>
      <c r="G197" s="379"/>
      <c r="H197" s="379"/>
      <c r="I197" s="379"/>
      <c r="J197" s="379"/>
      <c r="K197" s="379"/>
      <c r="L197" s="379"/>
      <c r="M197" s="379"/>
      <c r="N197" s="379"/>
      <c r="O197" s="379"/>
      <c r="P197" s="379"/>
      <c r="Q197" s="379"/>
      <c r="R197" s="379"/>
      <c r="S197" s="379"/>
      <c r="T197" s="379"/>
    </row>
    <row r="198" spans="2:20">
      <c r="B198" s="379"/>
      <c r="C198" s="379"/>
      <c r="D198" s="379"/>
      <c r="E198" s="379"/>
      <c r="F198" s="379"/>
      <c r="G198" s="379"/>
      <c r="H198" s="379"/>
      <c r="I198" s="379"/>
      <c r="J198" s="379"/>
      <c r="K198" s="379"/>
      <c r="L198" s="379"/>
      <c r="M198" s="379"/>
      <c r="N198" s="379"/>
      <c r="O198" s="379"/>
      <c r="P198" s="379"/>
      <c r="Q198" s="379"/>
      <c r="R198" s="379"/>
      <c r="S198" s="379"/>
      <c r="T198" s="379"/>
    </row>
    <row r="199" spans="2:20">
      <c r="B199" s="379"/>
      <c r="C199" s="379"/>
      <c r="D199" s="379"/>
      <c r="E199" s="379"/>
      <c r="F199" s="379"/>
      <c r="G199" s="379"/>
      <c r="H199" s="379"/>
      <c r="I199" s="379"/>
      <c r="J199" s="379"/>
      <c r="K199" s="379"/>
      <c r="L199" s="379"/>
      <c r="M199" s="379"/>
      <c r="N199" s="379"/>
      <c r="O199" s="379"/>
      <c r="P199" s="379"/>
      <c r="Q199" s="379"/>
      <c r="R199" s="379"/>
      <c r="S199" s="379"/>
      <c r="T199" s="379"/>
    </row>
    <row r="200" spans="2:20">
      <c r="B200" s="379"/>
      <c r="C200" s="379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79"/>
      <c r="T200" s="379"/>
    </row>
    <row r="201" spans="2:20">
      <c r="B201" s="379"/>
      <c r="C201" s="379"/>
      <c r="D201" s="379"/>
      <c r="E201" s="379"/>
      <c r="F201" s="379"/>
      <c r="G201" s="379"/>
      <c r="H201" s="379"/>
      <c r="I201" s="379"/>
      <c r="J201" s="379"/>
      <c r="K201" s="379"/>
      <c r="L201" s="379"/>
      <c r="M201" s="379"/>
      <c r="N201" s="379"/>
      <c r="O201" s="379"/>
      <c r="P201" s="379"/>
      <c r="Q201" s="379"/>
      <c r="R201" s="379"/>
      <c r="S201" s="379"/>
      <c r="T201" s="379"/>
    </row>
    <row r="202" spans="2:20">
      <c r="B202" s="379"/>
      <c r="C202" s="379"/>
      <c r="D202" s="379"/>
      <c r="E202" s="379"/>
      <c r="F202" s="379"/>
      <c r="G202" s="379"/>
      <c r="H202" s="379"/>
      <c r="I202" s="379"/>
      <c r="J202" s="379"/>
      <c r="K202" s="379"/>
      <c r="L202" s="379"/>
      <c r="M202" s="379"/>
      <c r="N202" s="379"/>
      <c r="O202" s="379"/>
      <c r="P202" s="379"/>
      <c r="Q202" s="379"/>
      <c r="R202" s="379"/>
      <c r="S202" s="379"/>
      <c r="T202" s="379"/>
    </row>
    <row r="203" spans="2:20">
      <c r="B203" s="379"/>
      <c r="C203" s="379"/>
      <c r="D203" s="379"/>
      <c r="E203" s="379"/>
      <c r="F203" s="379"/>
      <c r="G203" s="379"/>
      <c r="H203" s="379"/>
      <c r="I203" s="379"/>
      <c r="J203" s="379"/>
      <c r="K203" s="379"/>
      <c r="L203" s="379"/>
      <c r="M203" s="379"/>
      <c r="N203" s="379"/>
      <c r="O203" s="379"/>
      <c r="P203" s="379"/>
      <c r="Q203" s="379"/>
      <c r="R203" s="379"/>
      <c r="S203" s="379"/>
      <c r="T203" s="379"/>
    </row>
    <row r="204" spans="2:20">
      <c r="B204" s="379"/>
      <c r="C204" s="379"/>
      <c r="D204" s="379"/>
      <c r="E204" s="379"/>
      <c r="F204" s="379"/>
      <c r="G204" s="379"/>
      <c r="H204" s="379"/>
      <c r="I204" s="379"/>
      <c r="J204" s="379"/>
      <c r="K204" s="379"/>
      <c r="L204" s="379"/>
      <c r="M204" s="379"/>
      <c r="N204" s="379"/>
      <c r="O204" s="379"/>
      <c r="P204" s="379"/>
      <c r="Q204" s="379"/>
      <c r="R204" s="379"/>
      <c r="S204" s="379"/>
      <c r="T204" s="379"/>
    </row>
    <row r="205" spans="2:20">
      <c r="B205" s="379"/>
      <c r="C205" s="379"/>
      <c r="D205" s="379"/>
      <c r="E205" s="379"/>
      <c r="F205" s="379"/>
      <c r="G205" s="379"/>
      <c r="H205" s="379"/>
      <c r="I205" s="379"/>
      <c r="J205" s="379"/>
      <c r="K205" s="379"/>
      <c r="L205" s="379"/>
      <c r="M205" s="379"/>
      <c r="N205" s="379"/>
      <c r="O205" s="379"/>
      <c r="P205" s="379"/>
      <c r="Q205" s="379"/>
      <c r="R205" s="379"/>
      <c r="S205" s="379"/>
      <c r="T205" s="379"/>
    </row>
    <row r="206" spans="2:20">
      <c r="B206" s="379"/>
      <c r="C206" s="379"/>
      <c r="D206" s="379"/>
      <c r="E206" s="379"/>
      <c r="F206" s="379"/>
      <c r="G206" s="379"/>
      <c r="H206" s="379"/>
      <c r="I206" s="379"/>
      <c r="J206" s="379"/>
      <c r="K206" s="379"/>
      <c r="L206" s="379"/>
      <c r="M206" s="379"/>
      <c r="N206" s="379"/>
      <c r="O206" s="379"/>
      <c r="P206" s="379"/>
      <c r="Q206" s="379"/>
      <c r="R206" s="379"/>
      <c r="S206" s="379"/>
      <c r="T206" s="379"/>
    </row>
    <row r="207" spans="2:20">
      <c r="B207" s="379"/>
      <c r="C207" s="379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79"/>
      <c r="T207" s="379"/>
    </row>
    <row r="208" spans="2:20">
      <c r="B208" s="379"/>
      <c r="C208" s="379"/>
      <c r="D208" s="379"/>
      <c r="E208" s="379"/>
      <c r="F208" s="379"/>
      <c r="G208" s="379"/>
      <c r="H208" s="379"/>
      <c r="I208" s="379"/>
      <c r="J208" s="379"/>
      <c r="K208" s="379"/>
      <c r="L208" s="379"/>
      <c r="M208" s="379"/>
      <c r="N208" s="379"/>
      <c r="O208" s="379"/>
      <c r="P208" s="379"/>
      <c r="Q208" s="379"/>
      <c r="R208" s="379"/>
      <c r="S208" s="379"/>
      <c r="T208" s="379"/>
    </row>
    <row r="209" spans="2:20">
      <c r="B209" s="379"/>
      <c r="C209" s="379"/>
      <c r="D209" s="379"/>
      <c r="E209" s="379"/>
      <c r="F209" s="379"/>
      <c r="G209" s="379"/>
      <c r="H209" s="379"/>
      <c r="I209" s="379"/>
      <c r="J209" s="379"/>
      <c r="K209" s="379"/>
      <c r="L209" s="379"/>
      <c r="M209" s="379"/>
      <c r="N209" s="379"/>
      <c r="O209" s="379"/>
      <c r="P209" s="379"/>
      <c r="Q209" s="379"/>
      <c r="R209" s="379"/>
      <c r="S209" s="379"/>
      <c r="T209" s="379"/>
    </row>
    <row r="210" spans="2:20">
      <c r="B210" s="379"/>
      <c r="C210" s="379"/>
      <c r="D210" s="379"/>
      <c r="E210" s="379"/>
      <c r="F210" s="379"/>
      <c r="G210" s="379"/>
      <c r="H210" s="379"/>
      <c r="I210" s="379"/>
      <c r="J210" s="379"/>
      <c r="K210" s="379"/>
      <c r="L210" s="379"/>
      <c r="M210" s="379"/>
      <c r="N210" s="379"/>
      <c r="O210" s="379"/>
      <c r="P210" s="379"/>
      <c r="Q210" s="379"/>
      <c r="R210" s="379"/>
      <c r="S210" s="379"/>
      <c r="T210" s="379"/>
    </row>
    <row r="211" spans="2:20">
      <c r="B211" s="379"/>
      <c r="C211" s="379"/>
      <c r="D211" s="379"/>
      <c r="E211" s="379"/>
      <c r="F211" s="379"/>
      <c r="G211" s="379"/>
      <c r="H211" s="379"/>
      <c r="I211" s="379"/>
      <c r="J211" s="379"/>
      <c r="K211" s="379"/>
      <c r="L211" s="379"/>
      <c r="M211" s="379"/>
      <c r="N211" s="379"/>
      <c r="O211" s="379"/>
      <c r="P211" s="379"/>
      <c r="Q211" s="379"/>
      <c r="R211" s="379"/>
      <c r="S211" s="379"/>
      <c r="T211" s="379"/>
    </row>
    <row r="212" spans="2:20">
      <c r="B212" s="379"/>
      <c r="C212" s="379"/>
      <c r="D212" s="379"/>
      <c r="E212" s="379"/>
      <c r="F212" s="379"/>
      <c r="G212" s="379"/>
      <c r="H212" s="379"/>
      <c r="I212" s="379"/>
      <c r="J212" s="379"/>
      <c r="K212" s="379"/>
      <c r="L212" s="379"/>
      <c r="M212" s="379"/>
      <c r="N212" s="379"/>
      <c r="O212" s="379"/>
      <c r="P212" s="379"/>
      <c r="Q212" s="379"/>
      <c r="R212" s="379"/>
      <c r="S212" s="379"/>
      <c r="T212" s="379"/>
    </row>
    <row r="213" spans="2:20">
      <c r="B213" s="379"/>
      <c r="C213" s="379"/>
      <c r="D213" s="379"/>
      <c r="E213" s="379"/>
      <c r="F213" s="379"/>
      <c r="G213" s="379"/>
      <c r="H213" s="379"/>
      <c r="I213" s="379"/>
      <c r="J213" s="379"/>
      <c r="K213" s="379"/>
      <c r="L213" s="379"/>
      <c r="M213" s="379"/>
      <c r="N213" s="379"/>
      <c r="O213" s="379"/>
      <c r="P213" s="379"/>
      <c r="Q213" s="379"/>
      <c r="R213" s="379"/>
      <c r="S213" s="379"/>
      <c r="T213" s="379"/>
    </row>
    <row r="214" spans="2:20">
      <c r="B214" s="379"/>
      <c r="C214" s="379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79"/>
      <c r="T214" s="379"/>
    </row>
    <row r="215" spans="2:20">
      <c r="B215" s="379"/>
      <c r="C215" s="379"/>
      <c r="D215" s="379"/>
      <c r="E215" s="379"/>
      <c r="F215" s="379"/>
      <c r="G215" s="379"/>
      <c r="H215" s="379"/>
      <c r="I215" s="379"/>
      <c r="J215" s="379"/>
      <c r="K215" s="379"/>
      <c r="L215" s="379"/>
      <c r="M215" s="379"/>
      <c r="N215" s="379"/>
      <c r="O215" s="379"/>
      <c r="P215" s="379"/>
      <c r="Q215" s="379"/>
      <c r="R215" s="379"/>
      <c r="S215" s="379"/>
      <c r="T215" s="379"/>
    </row>
    <row r="216" spans="2:20">
      <c r="B216" s="379"/>
      <c r="C216" s="379"/>
      <c r="D216" s="379"/>
      <c r="E216" s="379"/>
      <c r="F216" s="379"/>
      <c r="G216" s="379"/>
      <c r="H216" s="379"/>
      <c r="I216" s="379"/>
      <c r="J216" s="379"/>
      <c r="K216" s="379"/>
      <c r="L216" s="379"/>
      <c r="M216" s="379"/>
      <c r="N216" s="379"/>
      <c r="O216" s="379"/>
      <c r="P216" s="379"/>
      <c r="Q216" s="379"/>
      <c r="R216" s="379"/>
      <c r="S216" s="379"/>
      <c r="T216" s="379"/>
    </row>
    <row r="217" spans="2:20">
      <c r="B217" s="379"/>
      <c r="C217" s="379"/>
      <c r="D217" s="379"/>
      <c r="E217" s="379"/>
      <c r="F217" s="379"/>
      <c r="G217" s="379"/>
      <c r="H217" s="379"/>
      <c r="I217" s="379"/>
      <c r="J217" s="379"/>
      <c r="K217" s="379"/>
      <c r="L217" s="379"/>
      <c r="M217" s="379"/>
      <c r="N217" s="379"/>
      <c r="O217" s="379"/>
      <c r="P217" s="379"/>
      <c r="Q217" s="379"/>
      <c r="R217" s="379"/>
      <c r="S217" s="379"/>
      <c r="T217" s="379"/>
    </row>
    <row r="218" spans="2:20">
      <c r="B218" s="379"/>
      <c r="C218" s="379"/>
      <c r="D218" s="379"/>
      <c r="E218" s="379"/>
      <c r="F218" s="379"/>
      <c r="G218" s="379"/>
      <c r="H218" s="379"/>
      <c r="I218" s="379"/>
      <c r="J218" s="379"/>
      <c r="K218" s="379"/>
      <c r="L218" s="379"/>
      <c r="M218" s="379"/>
      <c r="N218" s="379"/>
      <c r="O218" s="379"/>
      <c r="P218" s="379"/>
      <c r="Q218" s="379"/>
      <c r="R218" s="379"/>
      <c r="S218" s="379"/>
      <c r="T218" s="379"/>
    </row>
    <row r="219" spans="2:20">
      <c r="B219" s="379"/>
      <c r="C219" s="379"/>
      <c r="D219" s="379"/>
      <c r="E219" s="379"/>
      <c r="F219" s="379"/>
      <c r="G219" s="379"/>
      <c r="H219" s="379"/>
      <c r="I219" s="379"/>
      <c r="J219" s="379"/>
      <c r="K219" s="379"/>
      <c r="L219" s="379"/>
      <c r="M219" s="379"/>
      <c r="N219" s="379"/>
      <c r="O219" s="379"/>
      <c r="P219" s="379"/>
      <c r="Q219" s="379"/>
      <c r="R219" s="379"/>
      <c r="S219" s="379"/>
      <c r="T219" s="379"/>
    </row>
    <row r="220" spans="2:20">
      <c r="B220" s="379"/>
      <c r="C220" s="379"/>
      <c r="D220" s="379"/>
      <c r="E220" s="379"/>
      <c r="F220" s="379"/>
      <c r="G220" s="379"/>
      <c r="H220" s="379"/>
      <c r="I220" s="379"/>
      <c r="J220" s="379"/>
      <c r="K220" s="379"/>
      <c r="L220" s="379"/>
      <c r="M220" s="379"/>
      <c r="N220" s="379"/>
      <c r="O220" s="379"/>
      <c r="P220" s="379"/>
      <c r="Q220" s="379"/>
      <c r="R220" s="379"/>
      <c r="S220" s="379"/>
      <c r="T220" s="379"/>
    </row>
    <row r="221" spans="2:20">
      <c r="B221" s="379"/>
      <c r="C221" s="379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79"/>
      <c r="T221" s="379"/>
    </row>
    <row r="222" spans="2:20">
      <c r="B222" s="379"/>
      <c r="C222" s="379"/>
      <c r="D222" s="379"/>
      <c r="E222" s="379"/>
      <c r="F222" s="379"/>
      <c r="G222" s="379"/>
      <c r="H222" s="379"/>
      <c r="I222" s="379"/>
      <c r="J222" s="379"/>
      <c r="K222" s="379"/>
      <c r="L222" s="379"/>
      <c r="M222" s="379"/>
      <c r="N222" s="379"/>
      <c r="O222" s="379"/>
      <c r="P222" s="379"/>
      <c r="Q222" s="379"/>
      <c r="R222" s="379"/>
      <c r="S222" s="379"/>
      <c r="T222" s="379"/>
    </row>
    <row r="223" spans="2:20">
      <c r="B223" s="379"/>
      <c r="C223" s="379"/>
      <c r="D223" s="379"/>
      <c r="E223" s="379"/>
      <c r="F223" s="379"/>
      <c r="G223" s="379"/>
      <c r="H223" s="379"/>
      <c r="I223" s="379"/>
      <c r="J223" s="379"/>
      <c r="K223" s="379"/>
      <c r="L223" s="379"/>
      <c r="M223" s="379"/>
      <c r="N223" s="379"/>
      <c r="O223" s="379"/>
      <c r="P223" s="379"/>
      <c r="Q223" s="379"/>
      <c r="R223" s="379"/>
      <c r="S223" s="379"/>
      <c r="T223" s="379"/>
    </row>
    <row r="224" spans="2:20">
      <c r="B224" s="379"/>
      <c r="C224" s="379"/>
      <c r="D224" s="379"/>
      <c r="E224" s="379"/>
      <c r="F224" s="379"/>
      <c r="G224" s="379"/>
      <c r="H224" s="379"/>
      <c r="I224" s="379"/>
      <c r="J224" s="379"/>
      <c r="K224" s="379"/>
      <c r="L224" s="379"/>
      <c r="M224" s="379"/>
      <c r="N224" s="379"/>
      <c r="O224" s="379"/>
      <c r="P224" s="379"/>
      <c r="Q224" s="379"/>
      <c r="R224" s="379"/>
      <c r="S224" s="379"/>
      <c r="T224" s="379"/>
    </row>
    <row r="225" spans="2:20">
      <c r="B225" s="379"/>
      <c r="C225" s="379"/>
      <c r="D225" s="379"/>
      <c r="E225" s="379"/>
      <c r="F225" s="379"/>
      <c r="G225" s="379"/>
      <c r="H225" s="379"/>
      <c r="I225" s="379"/>
      <c r="J225" s="379"/>
      <c r="K225" s="379"/>
      <c r="L225" s="379"/>
      <c r="M225" s="379"/>
      <c r="N225" s="379"/>
      <c r="O225" s="379"/>
      <c r="P225" s="379"/>
      <c r="Q225" s="379"/>
      <c r="R225" s="379"/>
      <c r="S225" s="379"/>
      <c r="T225" s="379"/>
    </row>
    <row r="226" spans="2:20">
      <c r="B226" s="379"/>
      <c r="C226" s="379"/>
      <c r="D226" s="379"/>
      <c r="E226" s="379"/>
      <c r="F226" s="379"/>
      <c r="G226" s="379"/>
      <c r="H226" s="379"/>
      <c r="I226" s="379"/>
      <c r="J226" s="379"/>
      <c r="K226" s="379"/>
      <c r="L226" s="379"/>
      <c r="M226" s="379"/>
      <c r="N226" s="379"/>
      <c r="O226" s="379"/>
      <c r="P226" s="379"/>
      <c r="Q226" s="379"/>
      <c r="R226" s="379"/>
      <c r="S226" s="379"/>
      <c r="T226" s="379"/>
    </row>
    <row r="227" spans="2:20">
      <c r="B227" s="379"/>
      <c r="C227" s="379"/>
      <c r="D227" s="379"/>
      <c r="E227" s="379"/>
      <c r="F227" s="379"/>
      <c r="G227" s="379"/>
      <c r="H227" s="379"/>
      <c r="I227" s="379"/>
      <c r="J227" s="379"/>
      <c r="K227" s="379"/>
      <c r="L227" s="379"/>
      <c r="M227" s="379"/>
      <c r="N227" s="379"/>
      <c r="O227" s="379"/>
      <c r="P227" s="379"/>
      <c r="Q227" s="379"/>
      <c r="R227" s="379"/>
      <c r="S227" s="379"/>
      <c r="T227" s="379"/>
    </row>
    <row r="228" spans="2:20">
      <c r="B228" s="379"/>
      <c r="C228" s="379"/>
      <c r="D228" s="379"/>
      <c r="E228" s="379"/>
      <c r="F228" s="379"/>
      <c r="G228" s="379"/>
      <c r="H228" s="379"/>
      <c r="I228" s="379"/>
      <c r="J228" s="379"/>
      <c r="K228" s="379"/>
      <c r="L228" s="379"/>
      <c r="M228" s="379"/>
      <c r="N228" s="379"/>
      <c r="O228" s="379"/>
      <c r="P228" s="379"/>
      <c r="Q228" s="379"/>
      <c r="R228" s="379"/>
      <c r="S228" s="379"/>
      <c r="T228" s="379"/>
    </row>
    <row r="229" spans="2:20">
      <c r="B229" s="379"/>
      <c r="C229" s="379"/>
      <c r="D229" s="379"/>
      <c r="E229" s="379"/>
      <c r="F229" s="379"/>
      <c r="G229" s="379"/>
      <c r="H229" s="379"/>
      <c r="I229" s="379"/>
      <c r="J229" s="379"/>
      <c r="K229" s="379"/>
      <c r="L229" s="379"/>
      <c r="M229" s="379"/>
      <c r="N229" s="379"/>
      <c r="O229" s="379"/>
      <c r="P229" s="379"/>
      <c r="Q229" s="379"/>
      <c r="R229" s="379"/>
      <c r="S229" s="379"/>
      <c r="T229" s="379"/>
    </row>
    <row r="230" spans="2:20">
      <c r="B230" s="379"/>
      <c r="C230" s="379"/>
      <c r="D230" s="379"/>
      <c r="E230" s="379"/>
      <c r="F230" s="379"/>
      <c r="G230" s="379"/>
      <c r="H230" s="379"/>
      <c r="I230" s="379"/>
      <c r="J230" s="379"/>
      <c r="K230" s="379"/>
      <c r="L230" s="379"/>
      <c r="M230" s="379"/>
      <c r="N230" s="379"/>
      <c r="O230" s="379"/>
      <c r="P230" s="379"/>
      <c r="Q230" s="379"/>
      <c r="R230" s="379"/>
      <c r="S230" s="379"/>
      <c r="T230" s="379"/>
    </row>
    <row r="231" spans="2:20">
      <c r="B231" s="379"/>
      <c r="C231" s="379"/>
      <c r="D231" s="379"/>
      <c r="E231" s="379"/>
      <c r="F231" s="379"/>
      <c r="G231" s="379"/>
      <c r="H231" s="379"/>
      <c r="I231" s="379"/>
      <c r="J231" s="379"/>
      <c r="K231" s="379"/>
      <c r="L231" s="379"/>
      <c r="M231" s="379"/>
      <c r="N231" s="379"/>
      <c r="O231" s="379"/>
      <c r="P231" s="379"/>
      <c r="Q231" s="379"/>
      <c r="R231" s="379"/>
      <c r="S231" s="379"/>
      <c r="T231" s="379"/>
    </row>
    <row r="232" spans="2:20">
      <c r="B232" s="379"/>
      <c r="C232" s="379"/>
      <c r="D232" s="379"/>
      <c r="E232" s="379"/>
      <c r="F232" s="379"/>
      <c r="G232" s="379"/>
      <c r="H232" s="379"/>
      <c r="I232" s="379"/>
      <c r="J232" s="379"/>
      <c r="K232" s="379"/>
      <c r="L232" s="379"/>
      <c r="M232" s="379"/>
      <c r="N232" s="379"/>
      <c r="O232" s="379"/>
      <c r="P232" s="379"/>
      <c r="Q232" s="379"/>
      <c r="R232" s="379"/>
      <c r="S232" s="379"/>
      <c r="T232" s="379"/>
    </row>
    <row r="233" spans="2:20">
      <c r="B233" s="379"/>
      <c r="C233" s="379"/>
      <c r="D233" s="379"/>
      <c r="E233" s="379"/>
      <c r="F233" s="379"/>
      <c r="G233" s="379"/>
      <c r="H233" s="379"/>
      <c r="I233" s="379"/>
      <c r="J233" s="379"/>
      <c r="K233" s="379"/>
      <c r="L233" s="379"/>
      <c r="M233" s="379"/>
      <c r="N233" s="379"/>
      <c r="O233" s="379"/>
      <c r="P233" s="379"/>
      <c r="Q233" s="379"/>
      <c r="R233" s="379"/>
      <c r="S233" s="379"/>
      <c r="T233" s="379"/>
    </row>
    <row r="234" spans="2:20">
      <c r="B234" s="379"/>
      <c r="C234" s="379"/>
      <c r="D234" s="379"/>
      <c r="E234" s="379"/>
      <c r="F234" s="379"/>
      <c r="G234" s="379"/>
      <c r="H234" s="379"/>
      <c r="I234" s="379"/>
      <c r="J234" s="379"/>
      <c r="K234" s="379"/>
      <c r="L234" s="379"/>
      <c r="M234" s="379"/>
      <c r="N234" s="379"/>
      <c r="O234" s="379"/>
      <c r="P234" s="379"/>
      <c r="Q234" s="379"/>
      <c r="R234" s="379"/>
      <c r="S234" s="379"/>
      <c r="T234" s="379"/>
    </row>
    <row r="235" spans="2:20">
      <c r="B235" s="379"/>
      <c r="C235" s="379"/>
      <c r="D235" s="379"/>
      <c r="E235" s="379"/>
      <c r="F235" s="379"/>
      <c r="G235" s="379"/>
      <c r="H235" s="379"/>
      <c r="I235" s="379"/>
      <c r="J235" s="379"/>
      <c r="K235" s="379"/>
      <c r="L235" s="379"/>
      <c r="M235" s="379"/>
      <c r="N235" s="379"/>
      <c r="O235" s="379"/>
      <c r="P235" s="379"/>
      <c r="Q235" s="379"/>
      <c r="R235" s="379"/>
      <c r="S235" s="379"/>
      <c r="T235" s="379"/>
    </row>
    <row r="236" spans="2:20">
      <c r="B236" s="379"/>
      <c r="C236" s="379"/>
      <c r="D236" s="379"/>
      <c r="E236" s="379"/>
      <c r="F236" s="379"/>
      <c r="G236" s="379"/>
      <c r="H236" s="379"/>
      <c r="I236" s="379"/>
      <c r="J236" s="379"/>
      <c r="K236" s="379"/>
      <c r="L236" s="379"/>
      <c r="M236" s="379"/>
      <c r="N236" s="379"/>
      <c r="O236" s="379"/>
      <c r="P236" s="379"/>
      <c r="Q236" s="379"/>
      <c r="R236" s="379"/>
      <c r="S236" s="379"/>
      <c r="T236" s="379"/>
    </row>
    <row r="237" spans="2:20">
      <c r="B237" s="379"/>
      <c r="C237" s="379"/>
      <c r="D237" s="379"/>
      <c r="E237" s="379"/>
      <c r="F237" s="379"/>
      <c r="G237" s="379"/>
      <c r="H237" s="379"/>
      <c r="I237" s="379"/>
      <c r="J237" s="379"/>
      <c r="K237" s="379"/>
      <c r="L237" s="379"/>
      <c r="M237" s="379"/>
      <c r="N237" s="379"/>
      <c r="O237" s="379"/>
      <c r="P237" s="379"/>
      <c r="Q237" s="379"/>
      <c r="R237" s="379"/>
      <c r="S237" s="379"/>
      <c r="T237" s="379"/>
    </row>
    <row r="238" spans="2:20">
      <c r="B238" s="379"/>
      <c r="C238" s="379"/>
      <c r="D238" s="379"/>
      <c r="E238" s="379"/>
      <c r="F238" s="379"/>
      <c r="G238" s="379"/>
      <c r="H238" s="379"/>
      <c r="I238" s="379"/>
      <c r="J238" s="379"/>
      <c r="K238" s="379"/>
      <c r="L238" s="379"/>
      <c r="M238" s="379"/>
      <c r="N238" s="379"/>
      <c r="O238" s="379"/>
      <c r="P238" s="379"/>
      <c r="Q238" s="379"/>
      <c r="R238" s="379"/>
      <c r="S238" s="379"/>
      <c r="T238" s="379"/>
    </row>
    <row r="239" spans="2:20">
      <c r="B239" s="379"/>
      <c r="C239" s="379"/>
      <c r="D239" s="379"/>
      <c r="E239" s="379"/>
      <c r="F239" s="379"/>
      <c r="G239" s="379"/>
      <c r="H239" s="379"/>
      <c r="I239" s="379"/>
      <c r="J239" s="379"/>
      <c r="K239" s="379"/>
      <c r="L239" s="379"/>
      <c r="M239" s="379"/>
      <c r="N239" s="379"/>
      <c r="O239" s="379"/>
      <c r="P239" s="379"/>
      <c r="Q239" s="379"/>
      <c r="R239" s="379"/>
      <c r="S239" s="379"/>
      <c r="T239" s="379"/>
    </row>
    <row r="240" spans="2:20">
      <c r="B240" s="379"/>
      <c r="C240" s="379"/>
      <c r="D240" s="379"/>
      <c r="E240" s="379"/>
      <c r="F240" s="379"/>
      <c r="G240" s="379"/>
      <c r="H240" s="379"/>
      <c r="I240" s="379"/>
      <c r="J240" s="379"/>
      <c r="K240" s="379"/>
      <c r="L240" s="379"/>
      <c r="M240" s="379"/>
      <c r="N240" s="379"/>
      <c r="O240" s="379"/>
      <c r="P240" s="379"/>
      <c r="Q240" s="379"/>
      <c r="R240" s="379"/>
      <c r="S240" s="379"/>
      <c r="T240" s="379"/>
    </row>
    <row r="241" spans="2:20">
      <c r="B241" s="379"/>
      <c r="C241" s="379"/>
      <c r="D241" s="379"/>
      <c r="E241" s="379"/>
      <c r="F241" s="379"/>
      <c r="G241" s="379"/>
      <c r="H241" s="379"/>
      <c r="I241" s="379"/>
      <c r="J241" s="379"/>
      <c r="K241" s="379"/>
      <c r="L241" s="379"/>
      <c r="M241" s="379"/>
      <c r="N241" s="379"/>
      <c r="O241" s="379"/>
      <c r="P241" s="379"/>
      <c r="Q241" s="379"/>
      <c r="R241" s="379"/>
      <c r="S241" s="379"/>
      <c r="T241" s="379"/>
    </row>
    <row r="242" spans="2:20">
      <c r="B242" s="379"/>
      <c r="C242" s="379"/>
      <c r="D242" s="379"/>
      <c r="E242" s="379"/>
      <c r="F242" s="379"/>
      <c r="G242" s="379"/>
      <c r="H242" s="379"/>
      <c r="I242" s="379"/>
      <c r="J242" s="379"/>
      <c r="K242" s="379"/>
      <c r="L242" s="379"/>
      <c r="M242" s="379"/>
      <c r="N242" s="379"/>
      <c r="O242" s="379"/>
      <c r="P242" s="379"/>
      <c r="Q242" s="379"/>
      <c r="R242" s="379"/>
      <c r="S242" s="379"/>
      <c r="T242" s="379"/>
    </row>
    <row r="243" spans="2:20">
      <c r="B243" s="379"/>
      <c r="C243" s="379"/>
      <c r="D243" s="379"/>
      <c r="E243" s="379"/>
      <c r="F243" s="379"/>
      <c r="G243" s="379"/>
      <c r="H243" s="379"/>
      <c r="I243" s="379"/>
      <c r="J243" s="379"/>
      <c r="K243" s="379"/>
      <c r="L243" s="379"/>
      <c r="M243" s="379"/>
      <c r="N243" s="379"/>
      <c r="O243" s="379"/>
      <c r="P243" s="379"/>
      <c r="Q243" s="379"/>
      <c r="R243" s="379"/>
      <c r="S243" s="379"/>
      <c r="T243" s="379"/>
    </row>
    <row r="244" spans="2:20">
      <c r="B244" s="379"/>
      <c r="C244" s="379"/>
      <c r="D244" s="379"/>
      <c r="E244" s="379"/>
      <c r="F244" s="379"/>
      <c r="G244" s="379"/>
      <c r="H244" s="379"/>
      <c r="I244" s="379"/>
      <c r="J244" s="379"/>
      <c r="K244" s="379"/>
      <c r="L244" s="379"/>
      <c r="M244" s="379"/>
      <c r="N244" s="379"/>
      <c r="O244" s="379"/>
      <c r="P244" s="379"/>
      <c r="Q244" s="379"/>
      <c r="R244" s="379"/>
      <c r="S244" s="379"/>
      <c r="T244" s="379"/>
    </row>
    <row r="245" spans="2:20">
      <c r="B245" s="379"/>
      <c r="C245" s="379"/>
      <c r="D245" s="379"/>
      <c r="E245" s="379"/>
      <c r="F245" s="379"/>
      <c r="G245" s="379"/>
      <c r="H245" s="379"/>
      <c r="I245" s="379"/>
      <c r="J245" s="379"/>
      <c r="K245" s="379"/>
      <c r="L245" s="379"/>
      <c r="M245" s="379"/>
      <c r="N245" s="379"/>
      <c r="O245" s="379"/>
      <c r="P245" s="379"/>
      <c r="Q245" s="379"/>
      <c r="R245" s="379"/>
      <c r="S245" s="379"/>
      <c r="T245" s="379"/>
    </row>
    <row r="246" spans="2:20">
      <c r="B246" s="379"/>
      <c r="C246" s="379"/>
      <c r="D246" s="379"/>
      <c r="E246" s="379"/>
      <c r="F246" s="379"/>
      <c r="G246" s="379"/>
      <c r="H246" s="379"/>
      <c r="I246" s="379"/>
      <c r="J246" s="379"/>
      <c r="K246" s="379"/>
      <c r="L246" s="379"/>
      <c r="M246" s="379"/>
      <c r="N246" s="379"/>
      <c r="O246" s="379"/>
      <c r="P246" s="379"/>
      <c r="Q246" s="379"/>
      <c r="R246" s="379"/>
      <c r="S246" s="379"/>
      <c r="T246" s="379"/>
    </row>
    <row r="247" spans="2:20">
      <c r="B247" s="379"/>
      <c r="C247" s="379"/>
      <c r="D247" s="379"/>
      <c r="E247" s="379"/>
      <c r="F247" s="379"/>
      <c r="G247" s="379"/>
      <c r="H247" s="379"/>
      <c r="I247" s="379"/>
      <c r="J247" s="379"/>
      <c r="K247" s="379"/>
      <c r="L247" s="379"/>
      <c r="M247" s="379"/>
      <c r="N247" s="379"/>
      <c r="O247" s="379"/>
      <c r="P247" s="379"/>
      <c r="Q247" s="379"/>
      <c r="R247" s="379"/>
      <c r="S247" s="379"/>
      <c r="T247" s="379"/>
    </row>
    <row r="248" spans="2:20">
      <c r="B248" s="379"/>
      <c r="C248" s="379"/>
      <c r="D248" s="379"/>
      <c r="E248" s="379"/>
      <c r="F248" s="379"/>
      <c r="G248" s="379"/>
      <c r="H248" s="379"/>
      <c r="I248" s="379"/>
      <c r="J248" s="379"/>
      <c r="K248" s="379"/>
      <c r="L248" s="379"/>
      <c r="M248" s="379"/>
      <c r="N248" s="379"/>
      <c r="O248" s="379"/>
      <c r="P248" s="379"/>
      <c r="Q248" s="379"/>
      <c r="R248" s="379"/>
      <c r="S248" s="379"/>
      <c r="T248" s="379"/>
    </row>
    <row r="249" spans="2:20">
      <c r="B249" s="379"/>
      <c r="C249" s="379"/>
      <c r="D249" s="379"/>
      <c r="E249" s="379"/>
      <c r="F249" s="379"/>
      <c r="G249" s="379"/>
      <c r="H249" s="379"/>
      <c r="I249" s="379"/>
      <c r="J249" s="379"/>
      <c r="K249" s="379"/>
      <c r="L249" s="379"/>
      <c r="M249" s="379"/>
      <c r="N249" s="379"/>
      <c r="O249" s="379"/>
      <c r="P249" s="379"/>
      <c r="Q249" s="379"/>
      <c r="R249" s="379"/>
      <c r="S249" s="379"/>
      <c r="T249" s="379"/>
    </row>
    <row r="250" spans="2:20">
      <c r="B250" s="379"/>
      <c r="C250" s="379"/>
      <c r="D250" s="379"/>
      <c r="E250" s="379"/>
      <c r="F250" s="379"/>
      <c r="G250" s="379"/>
      <c r="H250" s="379"/>
      <c r="I250" s="379"/>
      <c r="J250" s="379"/>
      <c r="K250" s="379"/>
      <c r="L250" s="379"/>
      <c r="M250" s="379"/>
      <c r="N250" s="379"/>
      <c r="O250" s="379"/>
      <c r="P250" s="379"/>
      <c r="Q250" s="379"/>
      <c r="R250" s="379"/>
      <c r="S250" s="379"/>
      <c r="T250" s="379"/>
    </row>
    <row r="251" spans="2:20">
      <c r="B251" s="379"/>
      <c r="C251" s="379"/>
      <c r="D251" s="379"/>
      <c r="E251" s="379"/>
      <c r="F251" s="379"/>
      <c r="G251" s="379"/>
      <c r="H251" s="379"/>
      <c r="I251" s="379"/>
      <c r="J251" s="379"/>
      <c r="K251" s="379"/>
      <c r="L251" s="379"/>
      <c r="M251" s="379"/>
      <c r="N251" s="379"/>
      <c r="O251" s="379"/>
      <c r="P251" s="379"/>
      <c r="Q251" s="379"/>
      <c r="R251" s="379"/>
      <c r="S251" s="379"/>
      <c r="T251" s="379"/>
    </row>
    <row r="252" spans="2:20">
      <c r="B252" s="379"/>
      <c r="C252" s="379"/>
      <c r="D252" s="379"/>
      <c r="E252" s="379"/>
      <c r="F252" s="379"/>
      <c r="G252" s="379"/>
      <c r="H252" s="379"/>
      <c r="I252" s="379"/>
      <c r="J252" s="379"/>
      <c r="K252" s="379"/>
      <c r="L252" s="379"/>
      <c r="M252" s="379"/>
      <c r="N252" s="379"/>
      <c r="O252" s="379"/>
      <c r="P252" s="379"/>
      <c r="Q252" s="379"/>
      <c r="R252" s="379"/>
      <c r="S252" s="379"/>
      <c r="T252" s="379"/>
    </row>
    <row r="253" spans="2:20">
      <c r="B253" s="379"/>
      <c r="C253" s="379"/>
      <c r="D253" s="379"/>
      <c r="E253" s="379"/>
      <c r="F253" s="379"/>
      <c r="G253" s="379"/>
      <c r="H253" s="379"/>
      <c r="I253" s="379"/>
      <c r="J253" s="379"/>
      <c r="K253" s="379"/>
      <c r="L253" s="379"/>
      <c r="M253" s="379"/>
      <c r="N253" s="379"/>
      <c r="O253" s="379"/>
      <c r="P253" s="379"/>
      <c r="Q253" s="379"/>
      <c r="R253" s="379"/>
      <c r="S253" s="379"/>
      <c r="T253" s="379"/>
    </row>
    <row r="254" spans="2:20">
      <c r="B254" s="379"/>
      <c r="C254" s="379"/>
      <c r="D254" s="379"/>
      <c r="E254" s="379"/>
      <c r="F254" s="379"/>
      <c r="G254" s="379"/>
      <c r="H254" s="379"/>
      <c r="I254" s="379"/>
      <c r="J254" s="379"/>
      <c r="K254" s="379"/>
      <c r="L254" s="379"/>
      <c r="M254" s="379"/>
      <c r="N254" s="379"/>
      <c r="O254" s="379"/>
      <c r="P254" s="379"/>
      <c r="Q254" s="379"/>
      <c r="R254" s="379"/>
      <c r="S254" s="379"/>
      <c r="T254" s="379"/>
    </row>
    <row r="255" spans="2:20">
      <c r="B255" s="379"/>
      <c r="C255" s="379"/>
      <c r="D255" s="379"/>
      <c r="E255" s="379"/>
      <c r="F255" s="379"/>
      <c r="G255" s="379"/>
      <c r="H255" s="379"/>
      <c r="I255" s="379"/>
      <c r="J255" s="379"/>
      <c r="K255" s="379"/>
      <c r="L255" s="379"/>
      <c r="M255" s="379"/>
      <c r="N255" s="379"/>
      <c r="O255" s="379"/>
      <c r="P255" s="379"/>
      <c r="Q255" s="379"/>
      <c r="R255" s="379"/>
      <c r="S255" s="379"/>
      <c r="T255" s="379"/>
    </row>
    <row r="256" spans="2:20">
      <c r="B256" s="379"/>
      <c r="C256" s="379"/>
      <c r="D256" s="379"/>
      <c r="E256" s="379"/>
      <c r="F256" s="379"/>
      <c r="G256" s="379"/>
      <c r="H256" s="379"/>
      <c r="I256" s="379"/>
      <c r="J256" s="379"/>
      <c r="K256" s="379"/>
      <c r="L256" s="379"/>
      <c r="M256" s="379"/>
      <c r="N256" s="379"/>
      <c r="O256" s="379"/>
      <c r="P256" s="379"/>
      <c r="Q256" s="379"/>
      <c r="R256" s="379"/>
      <c r="S256" s="379"/>
      <c r="T256" s="379"/>
    </row>
    <row r="257" spans="2:20">
      <c r="B257" s="379"/>
      <c r="C257" s="379"/>
      <c r="D257" s="379"/>
      <c r="E257" s="379"/>
      <c r="F257" s="379"/>
      <c r="G257" s="379"/>
      <c r="H257" s="379"/>
      <c r="I257" s="379"/>
      <c r="J257" s="379"/>
      <c r="K257" s="379"/>
      <c r="L257" s="379"/>
      <c r="M257" s="379"/>
      <c r="N257" s="379"/>
      <c r="O257" s="379"/>
      <c r="P257" s="379"/>
      <c r="Q257" s="379"/>
      <c r="R257" s="379"/>
      <c r="S257" s="379"/>
      <c r="T257" s="379"/>
    </row>
    <row r="258" spans="2:20">
      <c r="B258" s="379"/>
      <c r="C258" s="379"/>
      <c r="D258" s="379"/>
      <c r="E258" s="379"/>
      <c r="F258" s="379"/>
      <c r="G258" s="379"/>
      <c r="H258" s="379"/>
      <c r="I258" s="379"/>
      <c r="J258" s="379"/>
      <c r="K258" s="379"/>
      <c r="L258" s="379"/>
      <c r="M258" s="379"/>
      <c r="N258" s="379"/>
      <c r="O258" s="379"/>
      <c r="P258" s="379"/>
      <c r="Q258" s="379"/>
      <c r="R258" s="379"/>
      <c r="S258" s="379"/>
      <c r="T258" s="379"/>
    </row>
    <row r="259" spans="2:20">
      <c r="B259" s="379"/>
      <c r="C259" s="379"/>
      <c r="D259" s="379"/>
      <c r="E259" s="379"/>
      <c r="F259" s="379"/>
      <c r="G259" s="379"/>
      <c r="H259" s="379"/>
      <c r="I259" s="379"/>
      <c r="J259" s="379"/>
      <c r="K259" s="379"/>
      <c r="L259" s="379"/>
      <c r="M259" s="379"/>
      <c r="N259" s="379"/>
      <c r="O259" s="379"/>
      <c r="P259" s="379"/>
      <c r="Q259" s="379"/>
      <c r="R259" s="379"/>
      <c r="S259" s="379"/>
      <c r="T259" s="379"/>
    </row>
    <row r="260" spans="2:20">
      <c r="B260" s="379"/>
      <c r="C260" s="379"/>
      <c r="D260" s="379"/>
      <c r="E260" s="379"/>
      <c r="F260" s="379"/>
      <c r="G260" s="379"/>
      <c r="H260" s="379"/>
      <c r="I260" s="379"/>
      <c r="J260" s="379"/>
      <c r="K260" s="379"/>
      <c r="L260" s="379"/>
      <c r="M260" s="379"/>
      <c r="N260" s="379"/>
      <c r="O260" s="379"/>
      <c r="P260" s="379"/>
      <c r="Q260" s="379"/>
      <c r="R260" s="379"/>
      <c r="S260" s="379"/>
      <c r="T260" s="379"/>
    </row>
    <row r="261" spans="2:20">
      <c r="B261" s="379"/>
      <c r="C261" s="379"/>
      <c r="D261" s="379"/>
      <c r="E261" s="379"/>
      <c r="F261" s="379"/>
      <c r="G261" s="379"/>
      <c r="H261" s="379"/>
      <c r="I261" s="379"/>
      <c r="J261" s="379"/>
      <c r="K261" s="379"/>
      <c r="L261" s="379"/>
      <c r="M261" s="379"/>
      <c r="N261" s="379"/>
      <c r="O261" s="379"/>
      <c r="P261" s="379"/>
      <c r="Q261" s="379"/>
      <c r="R261" s="379"/>
      <c r="S261" s="379"/>
      <c r="T261" s="379"/>
    </row>
    <row r="262" spans="2:20">
      <c r="B262" s="379"/>
      <c r="C262" s="379"/>
      <c r="D262" s="379"/>
      <c r="E262" s="379"/>
      <c r="F262" s="379"/>
      <c r="G262" s="379"/>
      <c r="H262" s="379"/>
      <c r="I262" s="379"/>
      <c r="J262" s="379"/>
      <c r="K262" s="379"/>
      <c r="L262" s="379"/>
      <c r="M262" s="379"/>
      <c r="N262" s="379"/>
      <c r="O262" s="379"/>
      <c r="P262" s="379"/>
      <c r="Q262" s="379"/>
      <c r="R262" s="379"/>
      <c r="S262" s="379"/>
      <c r="T262" s="379"/>
    </row>
    <row r="263" spans="2:20">
      <c r="B263" s="379"/>
      <c r="C263" s="379"/>
      <c r="D263" s="379"/>
      <c r="E263" s="379"/>
      <c r="F263" s="379"/>
      <c r="G263" s="379"/>
      <c r="H263" s="379"/>
      <c r="I263" s="379"/>
      <c r="J263" s="379"/>
      <c r="K263" s="379"/>
      <c r="L263" s="379"/>
      <c r="M263" s="379"/>
      <c r="N263" s="379"/>
      <c r="O263" s="379"/>
      <c r="P263" s="379"/>
      <c r="Q263" s="379"/>
      <c r="R263" s="379"/>
      <c r="S263" s="379"/>
      <c r="T263" s="379"/>
    </row>
    <row r="264" spans="2:20">
      <c r="B264" s="379"/>
      <c r="C264" s="379"/>
      <c r="D264" s="379"/>
      <c r="E264" s="379"/>
      <c r="F264" s="379"/>
      <c r="G264" s="379"/>
      <c r="H264" s="379"/>
      <c r="I264" s="379"/>
      <c r="J264" s="379"/>
      <c r="K264" s="379"/>
      <c r="L264" s="379"/>
      <c r="M264" s="379"/>
      <c r="N264" s="379"/>
      <c r="O264" s="379"/>
      <c r="P264" s="379"/>
      <c r="Q264" s="379"/>
      <c r="R264" s="379"/>
      <c r="S264" s="379"/>
      <c r="T264" s="379"/>
    </row>
    <row r="265" spans="2:20">
      <c r="B265" s="379"/>
      <c r="C265" s="379"/>
      <c r="D265" s="379"/>
      <c r="E265" s="379"/>
      <c r="F265" s="379"/>
      <c r="G265" s="379"/>
      <c r="H265" s="379"/>
      <c r="I265" s="379"/>
      <c r="J265" s="379"/>
      <c r="K265" s="379"/>
      <c r="L265" s="379"/>
      <c r="M265" s="379"/>
      <c r="N265" s="379"/>
      <c r="O265" s="379"/>
      <c r="P265" s="379"/>
      <c r="Q265" s="379"/>
      <c r="R265" s="379"/>
      <c r="S265" s="379"/>
      <c r="T265" s="379"/>
    </row>
    <row r="266" spans="2:20">
      <c r="B266" s="379"/>
      <c r="C266" s="379"/>
      <c r="D266" s="379"/>
      <c r="E266" s="379"/>
      <c r="F266" s="379"/>
      <c r="G266" s="379"/>
      <c r="H266" s="379"/>
      <c r="I266" s="379"/>
      <c r="J266" s="379"/>
      <c r="K266" s="379"/>
      <c r="L266" s="379"/>
      <c r="M266" s="379"/>
      <c r="N266" s="379"/>
      <c r="O266" s="379"/>
      <c r="P266" s="379"/>
      <c r="Q266" s="379"/>
      <c r="R266" s="379"/>
      <c r="S266" s="379"/>
      <c r="T266" s="379"/>
    </row>
    <row r="267" spans="2:20">
      <c r="B267" s="379"/>
      <c r="C267" s="379"/>
      <c r="D267" s="379"/>
      <c r="E267" s="379"/>
      <c r="F267" s="379"/>
      <c r="G267" s="379"/>
      <c r="H267" s="379"/>
      <c r="I267" s="379"/>
      <c r="J267" s="379"/>
      <c r="K267" s="379"/>
      <c r="L267" s="379"/>
      <c r="M267" s="379"/>
      <c r="N267" s="379"/>
      <c r="O267" s="379"/>
      <c r="P267" s="379"/>
      <c r="Q267" s="379"/>
      <c r="R267" s="379"/>
      <c r="S267" s="379"/>
      <c r="T267" s="379"/>
    </row>
    <row r="268" spans="2:20">
      <c r="B268" s="379"/>
      <c r="C268" s="379"/>
      <c r="D268" s="379"/>
      <c r="E268" s="379"/>
      <c r="F268" s="379"/>
      <c r="G268" s="379"/>
      <c r="H268" s="379"/>
      <c r="I268" s="379"/>
      <c r="J268" s="379"/>
      <c r="K268" s="379"/>
      <c r="L268" s="379"/>
      <c r="M268" s="379"/>
      <c r="N268" s="379"/>
      <c r="O268" s="379"/>
      <c r="P268" s="379"/>
      <c r="Q268" s="379"/>
      <c r="R268" s="379"/>
      <c r="S268" s="379"/>
      <c r="T268" s="379"/>
    </row>
    <row r="269" spans="2:20">
      <c r="B269" s="379"/>
      <c r="C269" s="379"/>
      <c r="D269" s="379"/>
      <c r="E269" s="379"/>
      <c r="F269" s="379"/>
      <c r="G269" s="379"/>
      <c r="H269" s="379"/>
      <c r="I269" s="379"/>
      <c r="J269" s="379"/>
      <c r="K269" s="379"/>
      <c r="L269" s="379"/>
      <c r="M269" s="379"/>
      <c r="N269" s="379"/>
      <c r="O269" s="379"/>
      <c r="P269" s="379"/>
      <c r="Q269" s="379"/>
      <c r="R269" s="379"/>
      <c r="S269" s="379"/>
      <c r="T269" s="379"/>
    </row>
    <row r="270" spans="2:20">
      <c r="B270" s="379"/>
      <c r="C270" s="379"/>
      <c r="D270" s="379"/>
      <c r="E270" s="379"/>
      <c r="F270" s="379"/>
      <c r="G270" s="379"/>
      <c r="H270" s="379"/>
      <c r="I270" s="379"/>
      <c r="J270" s="379"/>
      <c r="K270" s="379"/>
      <c r="L270" s="379"/>
      <c r="M270" s="379"/>
      <c r="N270" s="379"/>
      <c r="O270" s="379"/>
      <c r="P270" s="379"/>
      <c r="Q270" s="379"/>
      <c r="R270" s="379"/>
      <c r="S270" s="379"/>
      <c r="T270" s="379"/>
    </row>
    <row r="271" spans="2:20">
      <c r="B271" s="379"/>
      <c r="C271" s="379"/>
      <c r="D271" s="379"/>
      <c r="E271" s="379"/>
      <c r="F271" s="379"/>
      <c r="G271" s="379"/>
      <c r="H271" s="379"/>
      <c r="I271" s="379"/>
      <c r="J271" s="379"/>
      <c r="K271" s="379"/>
      <c r="L271" s="379"/>
      <c r="M271" s="379"/>
      <c r="N271" s="379"/>
      <c r="O271" s="379"/>
      <c r="P271" s="379"/>
      <c r="Q271" s="379"/>
      <c r="R271" s="379"/>
      <c r="S271" s="379"/>
      <c r="T271" s="379"/>
    </row>
    <row r="272" spans="2:20">
      <c r="B272" s="379"/>
      <c r="C272" s="379"/>
      <c r="D272" s="379"/>
      <c r="E272" s="379"/>
      <c r="F272" s="379"/>
      <c r="G272" s="379"/>
      <c r="H272" s="379"/>
      <c r="I272" s="379"/>
      <c r="J272" s="379"/>
      <c r="K272" s="379"/>
      <c r="L272" s="379"/>
      <c r="M272" s="379"/>
      <c r="N272" s="379"/>
      <c r="O272" s="379"/>
      <c r="P272" s="379"/>
      <c r="Q272" s="379"/>
      <c r="R272" s="379"/>
      <c r="S272" s="379"/>
      <c r="T272" s="379"/>
    </row>
    <row r="273" spans="2:20">
      <c r="B273" s="379"/>
      <c r="C273" s="379"/>
      <c r="D273" s="379"/>
      <c r="E273" s="379"/>
      <c r="F273" s="379"/>
      <c r="G273" s="379"/>
      <c r="H273" s="379"/>
      <c r="I273" s="379"/>
      <c r="J273" s="379"/>
      <c r="K273" s="379"/>
      <c r="L273" s="379"/>
      <c r="M273" s="379"/>
      <c r="N273" s="379"/>
      <c r="O273" s="379"/>
      <c r="P273" s="379"/>
      <c r="Q273" s="379"/>
      <c r="R273" s="379"/>
      <c r="S273" s="379"/>
      <c r="T273" s="379"/>
    </row>
    <row r="274" spans="2:20">
      <c r="B274" s="379"/>
      <c r="C274" s="379"/>
      <c r="D274" s="379"/>
      <c r="E274" s="379"/>
      <c r="F274" s="379"/>
      <c r="G274" s="379"/>
      <c r="H274" s="379"/>
      <c r="I274" s="379"/>
      <c r="J274" s="379"/>
      <c r="K274" s="379"/>
      <c r="L274" s="379"/>
      <c r="M274" s="379"/>
      <c r="N274" s="379"/>
      <c r="O274" s="379"/>
      <c r="P274" s="379"/>
      <c r="Q274" s="379"/>
      <c r="R274" s="379"/>
      <c r="S274" s="379"/>
      <c r="T274" s="379"/>
    </row>
    <row r="275" spans="2:20">
      <c r="B275" s="379"/>
      <c r="C275" s="379"/>
      <c r="D275" s="379"/>
      <c r="E275" s="379"/>
      <c r="F275" s="379"/>
      <c r="G275" s="379"/>
      <c r="H275" s="379"/>
      <c r="I275" s="379"/>
      <c r="J275" s="379"/>
      <c r="K275" s="379"/>
      <c r="L275" s="379"/>
      <c r="M275" s="379"/>
      <c r="N275" s="379"/>
      <c r="O275" s="379"/>
      <c r="P275" s="379"/>
      <c r="Q275" s="379"/>
      <c r="R275" s="379"/>
      <c r="S275" s="379"/>
      <c r="T275" s="379"/>
    </row>
    <row r="276" spans="2:20">
      <c r="B276" s="379"/>
      <c r="C276" s="379"/>
      <c r="D276" s="379"/>
      <c r="E276" s="379"/>
      <c r="F276" s="379"/>
      <c r="G276" s="379"/>
      <c r="H276" s="379"/>
      <c r="I276" s="379"/>
      <c r="J276" s="379"/>
      <c r="K276" s="379"/>
      <c r="L276" s="379"/>
      <c r="M276" s="379"/>
      <c r="N276" s="379"/>
      <c r="O276" s="379"/>
      <c r="P276" s="379"/>
      <c r="Q276" s="379"/>
      <c r="R276" s="379"/>
      <c r="S276" s="379"/>
      <c r="T276" s="379"/>
    </row>
    <row r="277" spans="2:20">
      <c r="B277" s="379"/>
      <c r="C277" s="379"/>
      <c r="D277" s="379"/>
      <c r="E277" s="379"/>
      <c r="F277" s="379"/>
      <c r="G277" s="379"/>
      <c r="H277" s="379"/>
      <c r="I277" s="379"/>
      <c r="J277" s="379"/>
      <c r="K277" s="379"/>
      <c r="L277" s="379"/>
      <c r="M277" s="379"/>
      <c r="N277" s="379"/>
      <c r="O277" s="379"/>
      <c r="P277" s="379"/>
      <c r="Q277" s="379"/>
      <c r="R277" s="379"/>
      <c r="S277" s="379"/>
      <c r="T277" s="379"/>
    </row>
    <row r="278" spans="2:20">
      <c r="B278" s="379"/>
      <c r="C278" s="379"/>
      <c r="D278" s="379"/>
      <c r="E278" s="379"/>
      <c r="F278" s="379"/>
      <c r="G278" s="379"/>
      <c r="H278" s="379"/>
      <c r="I278" s="379"/>
      <c r="J278" s="379"/>
      <c r="K278" s="379"/>
      <c r="L278" s="379"/>
      <c r="M278" s="379"/>
      <c r="N278" s="379"/>
      <c r="O278" s="379"/>
      <c r="P278" s="379"/>
      <c r="Q278" s="379"/>
      <c r="R278" s="379"/>
      <c r="S278" s="379"/>
      <c r="T278" s="379"/>
    </row>
    <row r="279" spans="2:20">
      <c r="B279" s="379"/>
      <c r="C279" s="379"/>
      <c r="D279" s="379"/>
      <c r="E279" s="379"/>
      <c r="F279" s="379"/>
      <c r="G279" s="379"/>
      <c r="H279" s="379"/>
      <c r="I279" s="379"/>
      <c r="J279" s="379"/>
      <c r="K279" s="379"/>
      <c r="L279" s="379"/>
      <c r="M279" s="379"/>
      <c r="N279" s="379"/>
      <c r="O279" s="379"/>
      <c r="P279" s="379"/>
      <c r="Q279" s="379"/>
      <c r="R279" s="379"/>
      <c r="S279" s="379"/>
      <c r="T279" s="379"/>
    </row>
    <row r="280" spans="2:20">
      <c r="B280" s="379"/>
      <c r="C280" s="379"/>
      <c r="D280" s="379"/>
      <c r="E280" s="379"/>
      <c r="F280" s="379"/>
      <c r="G280" s="379"/>
      <c r="H280" s="379"/>
      <c r="I280" s="379"/>
      <c r="J280" s="379"/>
      <c r="K280" s="379"/>
      <c r="L280" s="379"/>
      <c r="M280" s="379"/>
      <c r="N280" s="379"/>
      <c r="O280" s="379"/>
      <c r="P280" s="379"/>
      <c r="Q280" s="379"/>
      <c r="R280" s="379"/>
      <c r="S280" s="379"/>
      <c r="T280" s="379"/>
    </row>
    <row r="281" spans="2:20">
      <c r="B281" s="379"/>
      <c r="C281" s="379"/>
      <c r="D281" s="379"/>
      <c r="E281" s="379"/>
      <c r="F281" s="379"/>
      <c r="G281" s="379"/>
      <c r="H281" s="379"/>
      <c r="I281" s="379"/>
      <c r="J281" s="379"/>
      <c r="K281" s="379"/>
      <c r="L281" s="379"/>
      <c r="M281" s="379"/>
      <c r="N281" s="379"/>
      <c r="O281" s="379"/>
      <c r="P281" s="379"/>
      <c r="Q281" s="379"/>
      <c r="R281" s="379"/>
      <c r="S281" s="379"/>
      <c r="T281" s="379"/>
    </row>
    <row r="282" spans="2:20">
      <c r="B282" s="379"/>
      <c r="C282" s="379"/>
      <c r="D282" s="379"/>
      <c r="E282" s="379"/>
      <c r="F282" s="379"/>
      <c r="G282" s="379"/>
      <c r="H282" s="379"/>
      <c r="I282" s="379"/>
      <c r="J282" s="379"/>
      <c r="K282" s="379"/>
      <c r="L282" s="379"/>
      <c r="M282" s="379"/>
      <c r="N282" s="379"/>
      <c r="O282" s="379"/>
      <c r="P282" s="379"/>
      <c r="Q282" s="379"/>
      <c r="R282" s="379"/>
      <c r="S282" s="379"/>
      <c r="T282" s="379"/>
    </row>
    <row r="283" spans="2:20">
      <c r="B283" s="379"/>
      <c r="C283" s="379"/>
      <c r="D283" s="379"/>
      <c r="E283" s="379"/>
      <c r="F283" s="379"/>
      <c r="G283" s="379"/>
      <c r="H283" s="379"/>
      <c r="I283" s="379"/>
      <c r="J283" s="379"/>
      <c r="K283" s="379"/>
      <c r="L283" s="379"/>
      <c r="M283" s="379"/>
      <c r="N283" s="379"/>
      <c r="O283" s="379"/>
      <c r="P283" s="379"/>
      <c r="Q283" s="379"/>
      <c r="R283" s="379"/>
      <c r="S283" s="379"/>
      <c r="T283" s="379"/>
    </row>
    <row r="284" spans="2:20">
      <c r="B284" s="379"/>
      <c r="C284" s="379"/>
      <c r="D284" s="379"/>
      <c r="E284" s="379"/>
      <c r="F284" s="379"/>
      <c r="G284" s="379"/>
      <c r="H284" s="379"/>
      <c r="I284" s="379"/>
      <c r="J284" s="379"/>
      <c r="K284" s="379"/>
      <c r="L284" s="379"/>
      <c r="M284" s="379"/>
      <c r="N284" s="379"/>
      <c r="O284" s="379"/>
      <c r="P284" s="379"/>
      <c r="Q284" s="379"/>
      <c r="R284" s="379"/>
      <c r="S284" s="379"/>
      <c r="T284" s="379"/>
    </row>
    <row r="285" spans="2:20">
      <c r="B285" s="379"/>
      <c r="C285" s="379"/>
      <c r="D285" s="379"/>
      <c r="E285" s="379"/>
      <c r="F285" s="379"/>
      <c r="G285" s="379"/>
      <c r="H285" s="379"/>
      <c r="I285" s="379"/>
      <c r="J285" s="379"/>
      <c r="K285" s="379"/>
      <c r="L285" s="379"/>
      <c r="M285" s="379"/>
      <c r="N285" s="379"/>
      <c r="O285" s="379"/>
      <c r="P285" s="379"/>
      <c r="Q285" s="379"/>
      <c r="R285" s="379"/>
      <c r="S285" s="379"/>
      <c r="T285" s="379"/>
    </row>
    <row r="286" spans="2:20">
      <c r="B286" s="379"/>
      <c r="C286" s="379"/>
      <c r="D286" s="379"/>
      <c r="E286" s="379"/>
      <c r="F286" s="379"/>
      <c r="G286" s="379"/>
      <c r="H286" s="379"/>
      <c r="I286" s="379"/>
      <c r="J286" s="379"/>
      <c r="K286" s="379"/>
      <c r="L286" s="379"/>
      <c r="M286" s="379"/>
      <c r="N286" s="379"/>
      <c r="O286" s="379"/>
      <c r="P286" s="379"/>
      <c r="Q286" s="379"/>
      <c r="R286" s="379"/>
      <c r="S286" s="379"/>
      <c r="T286" s="379"/>
    </row>
    <row r="287" spans="2:20">
      <c r="B287" s="379"/>
      <c r="C287" s="379"/>
      <c r="D287" s="379"/>
      <c r="E287" s="379"/>
      <c r="F287" s="379"/>
      <c r="G287" s="379"/>
      <c r="H287" s="379"/>
      <c r="I287" s="379"/>
      <c r="J287" s="379"/>
      <c r="K287" s="379"/>
      <c r="L287" s="379"/>
      <c r="M287" s="379"/>
      <c r="N287" s="379"/>
      <c r="O287" s="379"/>
      <c r="P287" s="379"/>
      <c r="Q287" s="379"/>
      <c r="R287" s="379"/>
      <c r="S287" s="379"/>
      <c r="T287" s="379"/>
    </row>
    <row r="288" spans="2:20">
      <c r="B288" s="379"/>
      <c r="C288" s="379"/>
      <c r="D288" s="379"/>
      <c r="E288" s="379"/>
      <c r="F288" s="379"/>
      <c r="G288" s="379"/>
      <c r="H288" s="379"/>
      <c r="I288" s="379"/>
      <c r="J288" s="379"/>
      <c r="K288" s="379"/>
      <c r="L288" s="379"/>
      <c r="M288" s="379"/>
      <c r="N288" s="379"/>
      <c r="O288" s="379"/>
      <c r="P288" s="379"/>
      <c r="Q288" s="379"/>
      <c r="R288" s="379"/>
      <c r="S288" s="379"/>
      <c r="T288" s="379"/>
    </row>
    <row r="289" spans="2:20">
      <c r="B289" s="379"/>
      <c r="C289" s="379"/>
      <c r="D289" s="379"/>
      <c r="E289" s="379"/>
      <c r="F289" s="379"/>
      <c r="G289" s="379"/>
      <c r="H289" s="379"/>
      <c r="I289" s="379"/>
      <c r="J289" s="379"/>
      <c r="K289" s="379"/>
      <c r="L289" s="379"/>
      <c r="M289" s="379"/>
      <c r="N289" s="379"/>
      <c r="O289" s="379"/>
      <c r="P289" s="379"/>
      <c r="Q289" s="379"/>
      <c r="R289" s="379"/>
      <c r="S289" s="379"/>
      <c r="T289" s="379"/>
    </row>
    <row r="290" spans="2:20">
      <c r="B290" s="379"/>
      <c r="C290" s="379"/>
      <c r="D290" s="379"/>
      <c r="E290" s="379"/>
      <c r="F290" s="379"/>
      <c r="G290" s="379"/>
      <c r="H290" s="379"/>
      <c r="I290" s="379"/>
      <c r="J290" s="379"/>
      <c r="K290" s="379"/>
      <c r="L290" s="379"/>
      <c r="M290" s="379"/>
      <c r="N290" s="379"/>
      <c r="O290" s="379"/>
      <c r="P290" s="379"/>
      <c r="Q290" s="379"/>
      <c r="R290" s="379"/>
      <c r="S290" s="379"/>
      <c r="T290" s="379"/>
    </row>
    <row r="291" spans="2:20">
      <c r="B291" s="379"/>
      <c r="C291" s="379"/>
      <c r="D291" s="379"/>
      <c r="E291" s="379"/>
      <c r="F291" s="379"/>
      <c r="G291" s="379"/>
      <c r="H291" s="379"/>
      <c r="I291" s="379"/>
      <c r="J291" s="379"/>
      <c r="K291" s="379"/>
      <c r="L291" s="379"/>
      <c r="M291" s="379"/>
      <c r="N291" s="379"/>
      <c r="O291" s="379"/>
      <c r="P291" s="379"/>
      <c r="Q291" s="379"/>
      <c r="R291" s="379"/>
      <c r="S291" s="379"/>
      <c r="T291" s="379"/>
    </row>
    <row r="292" spans="2:20">
      <c r="B292" s="379"/>
      <c r="C292" s="379"/>
      <c r="D292" s="379"/>
      <c r="E292" s="379"/>
      <c r="F292" s="379"/>
      <c r="G292" s="379"/>
      <c r="H292" s="379"/>
      <c r="I292" s="379"/>
      <c r="J292" s="379"/>
      <c r="K292" s="379"/>
      <c r="L292" s="379"/>
      <c r="M292" s="379"/>
      <c r="N292" s="379"/>
      <c r="O292" s="379"/>
      <c r="P292" s="379"/>
      <c r="Q292" s="379"/>
      <c r="R292" s="379"/>
      <c r="S292" s="379"/>
      <c r="T292" s="379"/>
    </row>
    <row r="293" spans="2:20">
      <c r="B293" s="379"/>
      <c r="C293" s="379"/>
      <c r="D293" s="379"/>
      <c r="E293" s="379"/>
      <c r="F293" s="379"/>
      <c r="G293" s="379"/>
      <c r="H293" s="379"/>
      <c r="I293" s="379"/>
      <c r="J293" s="379"/>
      <c r="K293" s="379"/>
      <c r="L293" s="379"/>
      <c r="M293" s="379"/>
      <c r="N293" s="379"/>
      <c r="O293" s="379"/>
      <c r="P293" s="379"/>
      <c r="Q293" s="379"/>
      <c r="R293" s="379"/>
      <c r="S293" s="379"/>
      <c r="T293" s="379"/>
    </row>
    <row r="294" spans="2:20">
      <c r="B294" s="379"/>
      <c r="C294" s="379"/>
      <c r="D294" s="379"/>
      <c r="E294" s="379"/>
      <c r="F294" s="379"/>
      <c r="G294" s="379"/>
      <c r="H294" s="379"/>
      <c r="I294" s="379"/>
      <c r="J294" s="379"/>
      <c r="K294" s="379"/>
      <c r="L294" s="379"/>
      <c r="M294" s="379"/>
      <c r="N294" s="379"/>
      <c r="O294" s="379"/>
      <c r="P294" s="379"/>
      <c r="Q294" s="379"/>
      <c r="R294" s="379"/>
      <c r="S294" s="379"/>
      <c r="T294" s="379"/>
    </row>
    <row r="295" spans="2:20">
      <c r="B295" s="379"/>
      <c r="C295" s="379"/>
      <c r="D295" s="379"/>
      <c r="E295" s="379"/>
      <c r="F295" s="379"/>
      <c r="G295" s="379"/>
      <c r="H295" s="379"/>
      <c r="I295" s="379"/>
      <c r="J295" s="379"/>
      <c r="K295" s="379"/>
      <c r="L295" s="379"/>
      <c r="M295" s="379"/>
      <c r="N295" s="379"/>
      <c r="O295" s="379"/>
      <c r="P295" s="379"/>
      <c r="Q295" s="379"/>
      <c r="R295" s="379"/>
      <c r="S295" s="379"/>
      <c r="T295" s="379"/>
    </row>
    <row r="296" spans="2:20">
      <c r="B296" s="379"/>
      <c r="C296" s="379"/>
      <c r="D296" s="379"/>
      <c r="E296" s="379"/>
      <c r="F296" s="379"/>
      <c r="G296" s="379"/>
      <c r="H296" s="379"/>
      <c r="I296" s="379"/>
      <c r="J296" s="379"/>
      <c r="K296" s="379"/>
      <c r="L296" s="379"/>
      <c r="M296" s="379"/>
      <c r="N296" s="379"/>
      <c r="O296" s="379"/>
      <c r="P296" s="379"/>
      <c r="Q296" s="379"/>
      <c r="R296" s="379"/>
      <c r="S296" s="379"/>
      <c r="T296" s="379"/>
    </row>
    <row r="297" spans="2:20">
      <c r="B297" s="379"/>
      <c r="C297" s="379"/>
      <c r="D297" s="379"/>
      <c r="E297" s="379"/>
      <c r="F297" s="379"/>
      <c r="G297" s="379"/>
      <c r="H297" s="379"/>
      <c r="I297" s="379"/>
      <c r="J297" s="379"/>
      <c r="K297" s="379"/>
      <c r="L297" s="379"/>
      <c r="M297" s="379"/>
      <c r="N297" s="379"/>
      <c r="O297" s="379"/>
      <c r="P297" s="379"/>
      <c r="Q297" s="379"/>
      <c r="R297" s="379"/>
      <c r="S297" s="379"/>
      <c r="T297" s="379"/>
    </row>
    <row r="298" spans="2:20">
      <c r="B298" s="379"/>
      <c r="C298" s="379"/>
      <c r="D298" s="379"/>
      <c r="E298" s="379"/>
      <c r="F298" s="379"/>
      <c r="G298" s="379"/>
      <c r="H298" s="379"/>
      <c r="I298" s="379"/>
      <c r="J298" s="379"/>
      <c r="K298" s="379"/>
      <c r="L298" s="379"/>
      <c r="M298" s="379"/>
      <c r="N298" s="379"/>
      <c r="O298" s="379"/>
      <c r="P298" s="379"/>
      <c r="Q298" s="379"/>
      <c r="R298" s="379"/>
      <c r="S298" s="379"/>
      <c r="T298" s="379"/>
    </row>
    <row r="299" spans="2:20">
      <c r="B299" s="379"/>
      <c r="C299" s="379"/>
      <c r="D299" s="379"/>
      <c r="E299" s="379"/>
      <c r="F299" s="379"/>
      <c r="G299" s="379"/>
      <c r="H299" s="379"/>
      <c r="I299" s="379"/>
      <c r="J299" s="379"/>
      <c r="K299" s="379"/>
      <c r="L299" s="379"/>
      <c r="M299" s="379"/>
      <c r="N299" s="379"/>
      <c r="O299" s="379"/>
      <c r="P299" s="379"/>
      <c r="Q299" s="379"/>
      <c r="R299" s="379"/>
      <c r="S299" s="379"/>
      <c r="T299" s="379"/>
    </row>
    <row r="300" spans="2:20">
      <c r="B300" s="379"/>
      <c r="C300" s="379"/>
      <c r="D300" s="379"/>
      <c r="E300" s="379"/>
      <c r="F300" s="379"/>
      <c r="G300" s="379"/>
      <c r="H300" s="379"/>
      <c r="I300" s="379"/>
      <c r="J300" s="379"/>
      <c r="K300" s="379"/>
      <c r="L300" s="379"/>
      <c r="M300" s="379"/>
      <c r="N300" s="379"/>
      <c r="O300" s="379"/>
      <c r="P300" s="379"/>
      <c r="Q300" s="379"/>
      <c r="R300" s="379"/>
      <c r="S300" s="379"/>
      <c r="T300" s="379"/>
    </row>
    <row r="301" spans="2:20">
      <c r="B301" s="379"/>
      <c r="C301" s="379"/>
      <c r="D301" s="379"/>
      <c r="E301" s="379"/>
      <c r="F301" s="379"/>
      <c r="G301" s="379"/>
      <c r="H301" s="379"/>
      <c r="I301" s="379"/>
      <c r="J301" s="379"/>
      <c r="K301" s="379"/>
      <c r="L301" s="379"/>
      <c r="M301" s="379"/>
      <c r="N301" s="379"/>
      <c r="O301" s="379"/>
      <c r="P301" s="379"/>
      <c r="Q301" s="379"/>
      <c r="R301" s="379"/>
      <c r="S301" s="379"/>
      <c r="T301" s="379"/>
    </row>
    <row r="302" spans="2:20">
      <c r="B302" s="380"/>
      <c r="C302" s="380"/>
      <c r="D302" s="380"/>
      <c r="G302" s="380"/>
      <c r="H302" s="380"/>
      <c r="I302" s="380"/>
      <c r="M302" s="381"/>
      <c r="S302" s="380"/>
      <c r="T302" s="380"/>
    </row>
    <row r="303" spans="2:20" ht="115.5">
      <c r="B303" s="382" t="s">
        <v>134</v>
      </c>
      <c r="C303" s="382" t="s">
        <v>135</v>
      </c>
      <c r="D303" s="382" t="s">
        <v>136</v>
      </c>
      <c r="E303" s="382" t="s">
        <v>137</v>
      </c>
      <c r="F303" s="382" t="s">
        <v>138</v>
      </c>
      <c r="G303" s="382" t="s">
        <v>139</v>
      </c>
      <c r="H303" s="382" t="s">
        <v>140</v>
      </c>
      <c r="I303" s="382" t="s">
        <v>141</v>
      </c>
      <c r="J303" s="382" t="s">
        <v>142</v>
      </c>
      <c r="K303" s="383"/>
      <c r="L303" s="383"/>
      <c r="M303" s="384"/>
      <c r="N303" s="383"/>
      <c r="O303" s="383"/>
      <c r="P303" s="383"/>
      <c r="Q303" s="383"/>
      <c r="R303" s="383"/>
      <c r="S303" s="385"/>
      <c r="T303" s="385"/>
    </row>
    <row r="304" spans="2:20">
      <c r="B304" s="379"/>
      <c r="C304" s="379"/>
      <c r="D304" s="379"/>
      <c r="E304" s="379"/>
      <c r="F304" s="379"/>
      <c r="G304" s="379"/>
      <c r="H304" s="379"/>
      <c r="I304" s="379"/>
      <c r="J304" s="379"/>
      <c r="M304" s="381"/>
      <c r="S304" s="380"/>
      <c r="T304" s="380"/>
    </row>
    <row r="305" spans="2:20">
      <c r="B305" s="379"/>
      <c r="C305" s="379"/>
      <c r="D305" s="379"/>
      <c r="E305" s="379"/>
      <c r="F305" s="379"/>
      <c r="G305" s="379"/>
      <c r="H305" s="379"/>
      <c r="I305" s="379"/>
      <c r="J305" s="379"/>
      <c r="M305" s="381"/>
      <c r="S305" s="380"/>
      <c r="T305" s="380"/>
    </row>
    <row r="306" spans="2:20">
      <c r="B306" s="379"/>
      <c r="C306" s="379"/>
      <c r="D306" s="379"/>
      <c r="E306" s="379"/>
      <c r="F306" s="379"/>
      <c r="G306" s="379"/>
      <c r="H306" s="379"/>
      <c r="I306" s="379"/>
      <c r="J306" s="379"/>
      <c r="M306" s="381"/>
      <c r="S306" s="380"/>
      <c r="T306" s="380"/>
    </row>
    <row r="307" spans="2:20">
      <c r="B307" s="379"/>
      <c r="C307" s="379"/>
      <c r="D307" s="379"/>
      <c r="E307" s="379"/>
      <c r="F307" s="379"/>
      <c r="G307" s="379"/>
      <c r="H307" s="379"/>
      <c r="I307" s="379"/>
      <c r="J307" s="379"/>
      <c r="M307" s="381"/>
      <c r="S307" s="380"/>
      <c r="T307" s="380"/>
    </row>
    <row r="308" spans="2:20">
      <c r="B308" s="379"/>
      <c r="C308" s="379"/>
      <c r="D308" s="379"/>
      <c r="E308" s="379"/>
      <c r="F308" s="379"/>
      <c r="G308" s="379"/>
      <c r="H308" s="379"/>
      <c r="I308" s="379"/>
      <c r="J308" s="379"/>
      <c r="M308" s="381"/>
      <c r="S308" s="380"/>
      <c r="T308" s="380"/>
    </row>
    <row r="309" spans="2:20">
      <c r="B309" s="379"/>
      <c r="C309" s="379"/>
      <c r="D309" s="379"/>
      <c r="E309" s="379"/>
      <c r="F309" s="379"/>
      <c r="G309" s="379"/>
      <c r="H309" s="379"/>
      <c r="I309" s="379"/>
      <c r="J309" s="379"/>
      <c r="M309" s="381"/>
      <c r="S309" s="380"/>
      <c r="T309" s="380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C2F30-C91E-40D8-A5F8-556E03D97137}">
  <sheetPr codeName="Planilha5"/>
  <dimension ref="A1:AH497"/>
  <sheetViews>
    <sheetView topLeftCell="C1" zoomScaleNormal="100" workbookViewId="0">
      <selection activeCell="F13" sqref="F13"/>
    </sheetView>
  </sheetViews>
  <sheetFormatPr defaultColWidth="9.140625" defaultRowHeight="15.75"/>
  <cols>
    <col min="1" max="1" width="18.28515625" style="871" bestFit="1" customWidth="1"/>
    <col min="2" max="2" width="71.42578125" style="871" bestFit="1" customWidth="1"/>
    <col min="3" max="3" width="9.5703125" style="871" customWidth="1"/>
    <col min="4" max="4" width="15.42578125" style="871" customWidth="1"/>
    <col min="5" max="5" width="8.85546875" style="871" customWidth="1"/>
    <col min="6" max="6" width="19.42578125" style="871" customWidth="1"/>
    <col min="7" max="7" width="17.7109375" style="871" customWidth="1"/>
    <col min="8" max="8" width="16.5703125" style="871" customWidth="1"/>
    <col min="9" max="10" width="12.7109375" style="871" customWidth="1"/>
    <col min="11" max="11" width="13.28515625" style="871" customWidth="1"/>
    <col min="12" max="13" width="12.7109375" style="871" customWidth="1"/>
    <col min="14" max="14" width="15.85546875" style="871" customWidth="1"/>
    <col min="15" max="16" width="12.7109375" style="871" customWidth="1"/>
    <col min="17" max="17" width="12" style="871" customWidth="1"/>
    <col min="18" max="18" width="12.7109375" style="871" customWidth="1"/>
    <col min="19" max="19" width="14.28515625" style="871" customWidth="1"/>
    <col min="20" max="20" width="12.7109375" style="871" customWidth="1"/>
    <col min="21" max="21" width="12" style="871" customWidth="1"/>
    <col min="22" max="22" width="16.85546875" style="871" customWidth="1"/>
    <col min="23" max="24" width="12.7109375" style="871" customWidth="1"/>
    <col min="25" max="25" width="12" style="871" customWidth="1"/>
    <col min="26" max="26" width="10.5703125" style="871" customWidth="1"/>
    <col min="27" max="27" width="10.5703125" style="871" bestFit="1" customWidth="1"/>
    <col min="28" max="28" width="9.85546875" style="871" bestFit="1" customWidth="1"/>
    <col min="29" max="29" width="12" style="871" bestFit="1" customWidth="1"/>
    <col min="30" max="30" width="13.28515625" style="872" bestFit="1" customWidth="1"/>
    <col min="31" max="31" width="11.7109375" style="871" bestFit="1" customWidth="1"/>
    <col min="32" max="32" width="12.7109375" style="871" bestFit="1" customWidth="1"/>
    <col min="33" max="34" width="10.5703125" style="871" bestFit="1" customWidth="1"/>
    <col min="35" max="16384" width="9.140625" style="871"/>
  </cols>
  <sheetData>
    <row r="1" spans="1:34">
      <c r="A1" t="s">
        <v>143</v>
      </c>
      <c r="B1" t="s">
        <v>144</v>
      </c>
      <c r="C1" t="s">
        <v>145</v>
      </c>
      <c r="D1" t="s">
        <v>146</v>
      </c>
      <c r="E1" s="233" t="s">
        <v>147</v>
      </c>
      <c r="F1" s="233" t="s">
        <v>84</v>
      </c>
      <c r="G1" s="234" t="s">
        <v>148</v>
      </c>
      <c r="H1" s="233" t="s">
        <v>149</v>
      </c>
      <c r="I1" t="s">
        <v>150</v>
      </c>
      <c r="J1" t="s">
        <v>151</v>
      </c>
      <c r="K1" t="s">
        <v>152</v>
      </c>
      <c r="L1" t="s">
        <v>153</v>
      </c>
      <c r="M1" t="s">
        <v>154</v>
      </c>
      <c r="N1" t="s">
        <v>155</v>
      </c>
      <c r="O1" t="s">
        <v>156</v>
      </c>
      <c r="P1" t="s">
        <v>157</v>
      </c>
      <c r="Q1" t="s">
        <v>158</v>
      </c>
      <c r="R1" t="s">
        <v>159</v>
      </c>
      <c r="S1" t="s">
        <v>56</v>
      </c>
      <c r="T1" t="s">
        <v>160</v>
      </c>
      <c r="U1" t="s">
        <v>161</v>
      </c>
      <c r="V1" t="s">
        <v>162</v>
      </c>
      <c r="W1" t="s">
        <v>46</v>
      </c>
      <c r="X1" t="s">
        <v>163</v>
      </c>
      <c r="Y1" t="s">
        <v>164</v>
      </c>
      <c r="Z1" t="s">
        <v>165</v>
      </c>
      <c r="AA1" t="s">
        <v>166</v>
      </c>
      <c r="AB1" t="s">
        <v>167</v>
      </c>
      <c r="AC1" t="s">
        <v>168</v>
      </c>
      <c r="AD1" t="s">
        <v>169</v>
      </c>
      <c r="AE1" t="s">
        <v>170</v>
      </c>
      <c r="AF1" t="s">
        <v>171</v>
      </c>
      <c r="AG1" t="s">
        <v>172</v>
      </c>
      <c r="AH1" s="871" t="s">
        <v>173</v>
      </c>
    </row>
    <row r="2" spans="1:34">
      <c r="A2">
        <v>1</v>
      </c>
      <c r="B2">
        <v>26</v>
      </c>
      <c r="C2" t="s">
        <v>174</v>
      </c>
      <c r="D2">
        <v>146</v>
      </c>
      <c r="E2">
        <v>19565201.240160301</v>
      </c>
      <c r="F2">
        <v>46758490.759839699</v>
      </c>
      <c r="G2">
        <v>0</v>
      </c>
      <c r="H2">
        <v>0</v>
      </c>
      <c r="I2" s="878">
        <v>44043</v>
      </c>
      <c r="J2">
        <v>1</v>
      </c>
      <c r="K2" t="s">
        <v>174</v>
      </c>
      <c r="L2">
        <v>26</v>
      </c>
      <c r="M2">
        <v>0.126913222702456</v>
      </c>
      <c r="N2">
        <v>0.40838140747559898</v>
      </c>
      <c r="O2">
        <v>0.38677346546491498</v>
      </c>
      <c r="P2">
        <v>7.7931904357029597E-2</v>
      </c>
      <c r="Q2">
        <v>9.4278108345678402E-2</v>
      </c>
      <c r="R2">
        <v>0</v>
      </c>
      <c r="S2">
        <v>-5.7551819806983002E-3</v>
      </c>
      <c r="T2">
        <v>-7.8100358660472598E-3</v>
      </c>
      <c r="U2">
        <v>0</v>
      </c>
      <c r="V2">
        <v>5.4532567919030302E-3</v>
      </c>
      <c r="W2">
        <v>4.0747075411620197E-2</v>
      </c>
      <c r="X2">
        <v>0</v>
      </c>
      <c r="Y2">
        <v>1.34046541960256</v>
      </c>
      <c r="Z2">
        <v>0</v>
      </c>
      <c r="AA2">
        <v>1.1634870360174999E-2</v>
      </c>
      <c r="AB2">
        <v>0.18897421624321201</v>
      </c>
      <c r="AC2">
        <v>0</v>
      </c>
      <c r="AD2">
        <v>-0.92319840916964802</v>
      </c>
      <c r="AE2">
        <v>-0.2094946895607</v>
      </c>
      <c r="AF2">
        <v>0</v>
      </c>
      <c r="AG2" s="878">
        <v>44043</v>
      </c>
      <c r="AH2" s="873">
        <f>DATE(YEAR(I2),MONTH(I2),1)</f>
        <v>44013</v>
      </c>
    </row>
    <row r="3" spans="1:34">
      <c r="A3">
        <v>2</v>
      </c>
      <c r="B3">
        <v>26</v>
      </c>
      <c r="C3" t="s">
        <v>174</v>
      </c>
      <c r="D3">
        <v>146</v>
      </c>
      <c r="E3">
        <v>0</v>
      </c>
      <c r="F3">
        <v>0</v>
      </c>
      <c r="G3" t="s">
        <v>175</v>
      </c>
      <c r="H3" t="s">
        <v>175</v>
      </c>
      <c r="I3" s="878">
        <v>44055</v>
      </c>
      <c r="J3">
        <v>2</v>
      </c>
      <c r="K3" t="s">
        <v>174</v>
      </c>
      <c r="L3">
        <v>26</v>
      </c>
      <c r="M3">
        <v>0</v>
      </c>
      <c r="N3" t="s">
        <v>175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 t="s">
        <v>175</v>
      </c>
      <c r="Z3" t="s">
        <v>175</v>
      </c>
      <c r="AA3" t="s">
        <v>175</v>
      </c>
      <c r="AB3" t="s">
        <v>175</v>
      </c>
      <c r="AC3" t="s">
        <v>175</v>
      </c>
      <c r="AD3" t="s">
        <v>175</v>
      </c>
      <c r="AE3" t="s">
        <v>175</v>
      </c>
      <c r="AF3" t="s">
        <v>175</v>
      </c>
      <c r="AG3" s="878">
        <v>44055</v>
      </c>
      <c r="AH3" s="873">
        <f t="shared" ref="AH3:AH66" si="0">DATE(YEAR(I3),MONTH(I3),1)</f>
        <v>44044</v>
      </c>
    </row>
    <row r="4" spans="1:34">
      <c r="A4">
        <v>3</v>
      </c>
      <c r="B4">
        <v>26</v>
      </c>
      <c r="C4" t="s">
        <v>174</v>
      </c>
      <c r="D4">
        <v>146</v>
      </c>
      <c r="E4">
        <v>0</v>
      </c>
      <c r="F4">
        <v>0</v>
      </c>
      <c r="G4" t="s">
        <v>175</v>
      </c>
      <c r="H4" t="s">
        <v>175</v>
      </c>
      <c r="I4" s="878">
        <v>44088</v>
      </c>
      <c r="J4">
        <v>3</v>
      </c>
      <c r="K4" t="s">
        <v>174</v>
      </c>
      <c r="L4">
        <v>26</v>
      </c>
      <c r="M4">
        <v>0</v>
      </c>
      <c r="N4" t="s">
        <v>175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 t="s">
        <v>175</v>
      </c>
      <c r="Z4" t="s">
        <v>175</v>
      </c>
      <c r="AA4" t="s">
        <v>175</v>
      </c>
      <c r="AB4" t="s">
        <v>175</v>
      </c>
      <c r="AC4" t="s">
        <v>175</v>
      </c>
      <c r="AD4" t="s">
        <v>175</v>
      </c>
      <c r="AE4" t="s">
        <v>175</v>
      </c>
      <c r="AF4" t="s">
        <v>175</v>
      </c>
      <c r="AG4" s="878">
        <v>44088</v>
      </c>
      <c r="AH4" s="873">
        <f t="shared" si="0"/>
        <v>44075</v>
      </c>
    </row>
    <row r="5" spans="1:34">
      <c r="A5">
        <v>4</v>
      </c>
      <c r="B5">
        <v>26</v>
      </c>
      <c r="C5" t="s">
        <v>174</v>
      </c>
      <c r="D5">
        <v>146</v>
      </c>
      <c r="E5">
        <v>0</v>
      </c>
      <c r="F5">
        <v>0</v>
      </c>
      <c r="G5" t="s">
        <v>175</v>
      </c>
      <c r="H5" t="s">
        <v>175</v>
      </c>
      <c r="I5" s="878">
        <v>44117</v>
      </c>
      <c r="J5">
        <v>4</v>
      </c>
      <c r="K5" t="s">
        <v>174</v>
      </c>
      <c r="L5">
        <v>26</v>
      </c>
      <c r="M5" t="s">
        <v>175</v>
      </c>
      <c r="N5" t="s">
        <v>175</v>
      </c>
      <c r="O5" t="s">
        <v>175</v>
      </c>
      <c r="P5" t="s">
        <v>175</v>
      </c>
      <c r="Q5" t="s">
        <v>175</v>
      </c>
      <c r="R5" t="s">
        <v>175</v>
      </c>
      <c r="S5" t="s">
        <v>175</v>
      </c>
      <c r="T5" t="s">
        <v>175</v>
      </c>
      <c r="U5" t="s">
        <v>175</v>
      </c>
      <c r="V5" t="s">
        <v>175</v>
      </c>
      <c r="W5" t="s">
        <v>175</v>
      </c>
      <c r="X5" t="s">
        <v>175</v>
      </c>
      <c r="Y5" t="s">
        <v>175</v>
      </c>
      <c r="Z5" t="s">
        <v>175</v>
      </c>
      <c r="AA5" t="s">
        <v>175</v>
      </c>
      <c r="AB5" t="s">
        <v>175</v>
      </c>
      <c r="AC5" t="s">
        <v>175</v>
      </c>
      <c r="AD5" t="s">
        <v>175</v>
      </c>
      <c r="AE5" t="s">
        <v>175</v>
      </c>
      <c r="AF5" t="s">
        <v>175</v>
      </c>
      <c r="AG5" s="878">
        <v>44117</v>
      </c>
      <c r="AH5" s="873">
        <f t="shared" si="0"/>
        <v>44105</v>
      </c>
    </row>
    <row r="6" spans="1:34">
      <c r="A6">
        <v>5</v>
      </c>
      <c r="B6">
        <v>26</v>
      </c>
      <c r="C6" t="s">
        <v>174</v>
      </c>
      <c r="D6">
        <v>146</v>
      </c>
      <c r="E6">
        <v>0</v>
      </c>
      <c r="F6">
        <v>0</v>
      </c>
      <c r="G6" t="s">
        <v>175</v>
      </c>
      <c r="H6" t="s">
        <v>175</v>
      </c>
      <c r="I6" s="878">
        <v>44147</v>
      </c>
      <c r="J6">
        <v>5</v>
      </c>
      <c r="K6" t="s">
        <v>174</v>
      </c>
      <c r="L6">
        <v>26</v>
      </c>
      <c r="M6" t="s">
        <v>175</v>
      </c>
      <c r="N6" t="s">
        <v>175</v>
      </c>
      <c r="O6" t="s">
        <v>175</v>
      </c>
      <c r="P6" t="s">
        <v>175</v>
      </c>
      <c r="Q6" t="s">
        <v>175</v>
      </c>
      <c r="R6" t="s">
        <v>175</v>
      </c>
      <c r="S6" t="s">
        <v>175</v>
      </c>
      <c r="T6" t="s">
        <v>175</v>
      </c>
      <c r="U6" t="s">
        <v>175</v>
      </c>
      <c r="V6" t="s">
        <v>175</v>
      </c>
      <c r="W6" t="s">
        <v>175</v>
      </c>
      <c r="X6" t="s">
        <v>175</v>
      </c>
      <c r="Y6" t="s">
        <v>175</v>
      </c>
      <c r="Z6" t="s">
        <v>175</v>
      </c>
      <c r="AA6" t="s">
        <v>175</v>
      </c>
      <c r="AB6" t="s">
        <v>175</v>
      </c>
      <c r="AC6" t="s">
        <v>175</v>
      </c>
      <c r="AD6" t="s">
        <v>175</v>
      </c>
      <c r="AE6" t="s">
        <v>175</v>
      </c>
      <c r="AF6" t="s">
        <v>175</v>
      </c>
      <c r="AG6" s="878">
        <v>44147</v>
      </c>
      <c r="AH6" s="873">
        <f t="shared" si="0"/>
        <v>44136</v>
      </c>
    </row>
    <row r="7" spans="1:34">
      <c r="A7">
        <v>6</v>
      </c>
      <c r="B7">
        <v>26</v>
      </c>
      <c r="C7" t="s">
        <v>174</v>
      </c>
      <c r="D7">
        <v>146</v>
      </c>
      <c r="E7">
        <v>0</v>
      </c>
      <c r="F7">
        <v>0</v>
      </c>
      <c r="G7" t="s">
        <v>175</v>
      </c>
      <c r="H7" t="s">
        <v>175</v>
      </c>
      <c r="I7" s="878">
        <v>44179</v>
      </c>
      <c r="J7">
        <v>6</v>
      </c>
      <c r="K7" t="s">
        <v>174</v>
      </c>
      <c r="L7">
        <v>26</v>
      </c>
      <c r="M7" t="s">
        <v>175</v>
      </c>
      <c r="N7" t="s">
        <v>175</v>
      </c>
      <c r="O7" t="s">
        <v>175</v>
      </c>
      <c r="P7" t="s">
        <v>175</v>
      </c>
      <c r="Q7" t="s">
        <v>175</v>
      </c>
      <c r="R7" t="s">
        <v>175</v>
      </c>
      <c r="S7" t="s">
        <v>175</v>
      </c>
      <c r="T7" t="s">
        <v>175</v>
      </c>
      <c r="U7" t="s">
        <v>175</v>
      </c>
      <c r="V7" t="s">
        <v>175</v>
      </c>
      <c r="W7" t="s">
        <v>175</v>
      </c>
      <c r="X7" t="s">
        <v>175</v>
      </c>
      <c r="Y7" t="s">
        <v>175</v>
      </c>
      <c r="Z7" t="s">
        <v>175</v>
      </c>
      <c r="AA7" t="s">
        <v>175</v>
      </c>
      <c r="AB7" t="s">
        <v>175</v>
      </c>
      <c r="AC7" t="s">
        <v>175</v>
      </c>
      <c r="AD7" t="s">
        <v>175</v>
      </c>
      <c r="AE7" t="s">
        <v>175</v>
      </c>
      <c r="AF7" t="s">
        <v>175</v>
      </c>
      <c r="AG7" s="878">
        <v>44179</v>
      </c>
      <c r="AH7" s="873">
        <f t="shared" si="0"/>
        <v>44166</v>
      </c>
    </row>
    <row r="8" spans="1:34">
      <c r="A8">
        <v>7</v>
      </c>
      <c r="B8">
        <v>26</v>
      </c>
      <c r="C8" t="s">
        <v>174</v>
      </c>
      <c r="D8">
        <v>146</v>
      </c>
      <c r="E8">
        <v>0</v>
      </c>
      <c r="F8">
        <v>0</v>
      </c>
      <c r="G8" t="s">
        <v>175</v>
      </c>
      <c r="H8" t="s">
        <v>175</v>
      </c>
      <c r="I8" s="878">
        <v>44193</v>
      </c>
      <c r="J8">
        <v>7</v>
      </c>
      <c r="K8" t="s">
        <v>174</v>
      </c>
      <c r="L8">
        <v>26</v>
      </c>
      <c r="M8" t="s">
        <v>175</v>
      </c>
      <c r="N8" t="s">
        <v>175</v>
      </c>
      <c r="O8" t="s">
        <v>175</v>
      </c>
      <c r="P8" t="s">
        <v>175</v>
      </c>
      <c r="Q8" t="s">
        <v>175</v>
      </c>
      <c r="R8" t="s">
        <v>175</v>
      </c>
      <c r="S8" t="s">
        <v>175</v>
      </c>
      <c r="T8" t="s">
        <v>175</v>
      </c>
      <c r="U8" t="s">
        <v>175</v>
      </c>
      <c r="V8" t="s">
        <v>175</v>
      </c>
      <c r="W8" t="s">
        <v>175</v>
      </c>
      <c r="X8" t="s">
        <v>175</v>
      </c>
      <c r="Y8" t="s">
        <v>175</v>
      </c>
      <c r="Z8" t="s">
        <v>175</v>
      </c>
      <c r="AA8" t="s">
        <v>175</v>
      </c>
      <c r="AB8" t="s">
        <v>175</v>
      </c>
      <c r="AC8" t="s">
        <v>175</v>
      </c>
      <c r="AD8" t="s">
        <v>175</v>
      </c>
      <c r="AE8" t="s">
        <v>175</v>
      </c>
      <c r="AF8" t="s">
        <v>175</v>
      </c>
      <c r="AG8" s="878">
        <v>44193</v>
      </c>
      <c r="AH8" s="873">
        <f t="shared" si="0"/>
        <v>44166</v>
      </c>
    </row>
    <row r="9" spans="1:34">
      <c r="A9">
        <v>8</v>
      </c>
      <c r="B9">
        <v>26</v>
      </c>
      <c r="C9" t="s">
        <v>174</v>
      </c>
      <c r="D9">
        <v>146</v>
      </c>
      <c r="E9">
        <v>0</v>
      </c>
      <c r="F9">
        <v>0</v>
      </c>
      <c r="G9" t="s">
        <v>175</v>
      </c>
      <c r="H9" t="s">
        <v>175</v>
      </c>
      <c r="I9" s="878">
        <v>44208</v>
      </c>
      <c r="J9">
        <v>8</v>
      </c>
      <c r="K9" t="s">
        <v>174</v>
      </c>
      <c r="L9">
        <v>26</v>
      </c>
      <c r="M9" t="s">
        <v>175</v>
      </c>
      <c r="N9" t="s">
        <v>175</v>
      </c>
      <c r="O9" t="s">
        <v>175</v>
      </c>
      <c r="P9" t="s">
        <v>175</v>
      </c>
      <c r="Q9" t="s">
        <v>175</v>
      </c>
      <c r="R9" t="s">
        <v>175</v>
      </c>
      <c r="S9" t="s">
        <v>175</v>
      </c>
      <c r="T9" t="s">
        <v>175</v>
      </c>
      <c r="U9" t="s">
        <v>175</v>
      </c>
      <c r="V9" t="s">
        <v>175</v>
      </c>
      <c r="W9" t="s">
        <v>175</v>
      </c>
      <c r="X9" t="s">
        <v>175</v>
      </c>
      <c r="Y9" t="s">
        <v>175</v>
      </c>
      <c r="Z9" t="s">
        <v>175</v>
      </c>
      <c r="AA9" t="s">
        <v>175</v>
      </c>
      <c r="AB9" t="s">
        <v>175</v>
      </c>
      <c r="AC9" t="s">
        <v>175</v>
      </c>
      <c r="AD9" t="s">
        <v>175</v>
      </c>
      <c r="AE9" t="s">
        <v>175</v>
      </c>
      <c r="AF9" t="s">
        <v>175</v>
      </c>
      <c r="AG9" s="878">
        <v>44208</v>
      </c>
      <c r="AH9" s="873">
        <f t="shared" si="0"/>
        <v>44197</v>
      </c>
    </row>
    <row r="10" spans="1:34">
      <c r="A10">
        <v>1</v>
      </c>
      <c r="B10">
        <v>31</v>
      </c>
      <c r="C10" t="s">
        <v>176</v>
      </c>
      <c r="D10">
        <v>107</v>
      </c>
      <c r="E10">
        <v>18460448.6599406</v>
      </c>
      <c r="F10">
        <v>9476340.8515916392</v>
      </c>
      <c r="G10">
        <v>0</v>
      </c>
      <c r="H10">
        <v>0</v>
      </c>
      <c r="I10" s="878">
        <v>44043</v>
      </c>
      <c r="J10">
        <v>1</v>
      </c>
      <c r="K10" t="s">
        <v>176</v>
      </c>
      <c r="L10">
        <v>31</v>
      </c>
      <c r="M10">
        <v>7.52816827771014E-2</v>
      </c>
      <c r="N10">
        <v>0.92471831722289899</v>
      </c>
      <c r="O10">
        <v>0</v>
      </c>
      <c r="P10">
        <v>0</v>
      </c>
      <c r="Q10">
        <v>0.139414760093585</v>
      </c>
      <c r="R10">
        <v>0</v>
      </c>
      <c r="S10">
        <v>-8.5287240362824507E-3</v>
      </c>
      <c r="T10">
        <v>-1.4167568533684101E-2</v>
      </c>
      <c r="U10">
        <v>0</v>
      </c>
      <c r="V10">
        <v>-6.1317527091833503E-2</v>
      </c>
      <c r="W10">
        <v>1.9880742345316098E-2</v>
      </c>
      <c r="X10">
        <v>0</v>
      </c>
      <c r="Y10">
        <v>1.27658738766947</v>
      </c>
      <c r="Z10">
        <v>0</v>
      </c>
      <c r="AA10">
        <v>-3.8834037200605402E-2</v>
      </c>
      <c r="AB10">
        <v>0.108092771565738</v>
      </c>
      <c r="AC10">
        <v>0</v>
      </c>
      <c r="AD10">
        <v>-0.54411241649813302</v>
      </c>
      <c r="AE10">
        <v>0.12298461168642601</v>
      </c>
      <c r="AF10">
        <v>0</v>
      </c>
      <c r="AG10" s="878">
        <v>44043</v>
      </c>
      <c r="AH10" s="873">
        <f t="shared" si="0"/>
        <v>44013</v>
      </c>
    </row>
    <row r="11" spans="1:34">
      <c r="A11">
        <v>2</v>
      </c>
      <c r="B11">
        <v>31</v>
      </c>
      <c r="C11" t="s">
        <v>176</v>
      </c>
      <c r="D11">
        <v>107</v>
      </c>
      <c r="E11">
        <v>9387066.6099999994</v>
      </c>
      <c r="F11">
        <v>1520926.9382040601</v>
      </c>
      <c r="G11" t="s">
        <v>175</v>
      </c>
      <c r="H11" t="s">
        <v>175</v>
      </c>
      <c r="I11" s="878">
        <v>44055</v>
      </c>
      <c r="J11">
        <v>2</v>
      </c>
      <c r="K11" t="s">
        <v>176</v>
      </c>
      <c r="L11">
        <v>31</v>
      </c>
      <c r="M11">
        <v>1</v>
      </c>
      <c r="N11" t="s">
        <v>175</v>
      </c>
      <c r="O11">
        <v>0</v>
      </c>
      <c r="P11">
        <v>0</v>
      </c>
      <c r="Q11">
        <v>0.41920302268792398</v>
      </c>
      <c r="R11">
        <v>0</v>
      </c>
      <c r="S11">
        <v>-1.69947944448334E-2</v>
      </c>
      <c r="T11">
        <v>0.147787456218191</v>
      </c>
      <c r="U11">
        <v>0</v>
      </c>
      <c r="V11">
        <v>0.41016513712381802</v>
      </c>
      <c r="W11">
        <v>3.9839178414900402E-2</v>
      </c>
      <c r="X11">
        <v>0</v>
      </c>
      <c r="Y11" t="s">
        <v>175</v>
      </c>
      <c r="Z11" t="s">
        <v>175</v>
      </c>
      <c r="AA11" t="s">
        <v>175</v>
      </c>
      <c r="AB11" t="s">
        <v>175</v>
      </c>
      <c r="AC11" t="s">
        <v>175</v>
      </c>
      <c r="AD11" t="s">
        <v>175</v>
      </c>
      <c r="AE11" t="s">
        <v>175</v>
      </c>
      <c r="AF11" t="s">
        <v>175</v>
      </c>
      <c r="AG11" s="878">
        <v>44055</v>
      </c>
      <c r="AH11" s="873">
        <f t="shared" si="0"/>
        <v>44044</v>
      </c>
    </row>
    <row r="12" spans="1:34">
      <c r="A12">
        <v>3</v>
      </c>
      <c r="B12">
        <v>31</v>
      </c>
      <c r="C12" t="s">
        <v>176</v>
      </c>
      <c r="D12">
        <v>107</v>
      </c>
      <c r="E12">
        <v>3863681.65</v>
      </c>
      <c r="F12">
        <v>7044279.0856746603</v>
      </c>
      <c r="G12" t="s">
        <v>175</v>
      </c>
      <c r="H12" t="s">
        <v>175</v>
      </c>
      <c r="I12" s="878">
        <v>44088</v>
      </c>
      <c r="J12">
        <v>3</v>
      </c>
      <c r="K12" t="s">
        <v>176</v>
      </c>
      <c r="L12">
        <v>31</v>
      </c>
      <c r="M12">
        <v>1</v>
      </c>
      <c r="N12" t="s">
        <v>175</v>
      </c>
      <c r="O12">
        <v>0</v>
      </c>
      <c r="P12">
        <v>0</v>
      </c>
      <c r="Q12">
        <v>0.50778917211925001</v>
      </c>
      <c r="R12">
        <v>0</v>
      </c>
      <c r="S12">
        <v>-4.1184093258936398E-2</v>
      </c>
      <c r="T12">
        <v>0.38367275745766899</v>
      </c>
      <c r="U12">
        <v>0</v>
      </c>
      <c r="V12">
        <v>5.3355919522675599E-2</v>
      </c>
      <c r="W12">
        <v>9.6366244159342099E-2</v>
      </c>
      <c r="X12">
        <v>0</v>
      </c>
      <c r="Y12" t="s">
        <v>175</v>
      </c>
      <c r="Z12" t="s">
        <v>175</v>
      </c>
      <c r="AA12" t="s">
        <v>175</v>
      </c>
      <c r="AB12" t="s">
        <v>175</v>
      </c>
      <c r="AC12" t="s">
        <v>175</v>
      </c>
      <c r="AD12" t="s">
        <v>175</v>
      </c>
      <c r="AE12" t="s">
        <v>175</v>
      </c>
      <c r="AF12" t="s">
        <v>175</v>
      </c>
      <c r="AG12" s="878">
        <v>44088</v>
      </c>
      <c r="AH12" s="873">
        <f t="shared" si="0"/>
        <v>44075</v>
      </c>
    </row>
    <row r="13" spans="1:34">
      <c r="A13">
        <v>4</v>
      </c>
      <c r="B13">
        <v>31</v>
      </c>
      <c r="C13" t="s">
        <v>176</v>
      </c>
      <c r="D13">
        <v>107</v>
      </c>
      <c r="E13">
        <v>2232796.634079</v>
      </c>
      <c r="F13">
        <v>8675123.1015956607</v>
      </c>
      <c r="G13" t="s">
        <v>175</v>
      </c>
      <c r="H13" t="s">
        <v>175</v>
      </c>
      <c r="I13" s="878">
        <v>44117</v>
      </c>
      <c r="J13">
        <v>4</v>
      </c>
      <c r="K13" t="s">
        <v>176</v>
      </c>
      <c r="L13">
        <v>31</v>
      </c>
      <c r="M13">
        <v>1</v>
      </c>
      <c r="N13">
        <v>0</v>
      </c>
      <c r="O13">
        <v>0</v>
      </c>
      <c r="P13">
        <v>0</v>
      </c>
      <c r="Q13">
        <v>0.95847711163795801</v>
      </c>
      <c r="R13">
        <v>0</v>
      </c>
      <c r="S13">
        <v>-7.1032440900335295E-2</v>
      </c>
      <c r="T13">
        <v>1.9636903722047702E-3</v>
      </c>
      <c r="U13">
        <v>0</v>
      </c>
      <c r="V13">
        <v>-5.5466700227322203E-2</v>
      </c>
      <c r="W13">
        <v>0.16605833911749401</v>
      </c>
      <c r="X13">
        <v>0</v>
      </c>
      <c r="Y13" t="s">
        <v>175</v>
      </c>
      <c r="Z13" t="s">
        <v>175</v>
      </c>
      <c r="AA13" t="s">
        <v>175</v>
      </c>
      <c r="AB13" t="s">
        <v>175</v>
      </c>
      <c r="AC13" t="s">
        <v>175</v>
      </c>
      <c r="AD13" t="s">
        <v>175</v>
      </c>
      <c r="AE13" t="s">
        <v>175</v>
      </c>
      <c r="AF13" t="s">
        <v>175</v>
      </c>
      <c r="AG13" s="878">
        <v>44117</v>
      </c>
      <c r="AH13" s="873">
        <f t="shared" si="0"/>
        <v>44105</v>
      </c>
    </row>
    <row r="14" spans="1:34">
      <c r="A14">
        <v>5</v>
      </c>
      <c r="B14">
        <v>31</v>
      </c>
      <c r="C14" t="s">
        <v>176</v>
      </c>
      <c r="D14">
        <v>107</v>
      </c>
      <c r="E14">
        <v>10691198.7471429</v>
      </c>
      <c r="F14">
        <v>0</v>
      </c>
      <c r="G14" t="s">
        <v>175</v>
      </c>
      <c r="H14" t="s">
        <v>175</v>
      </c>
      <c r="I14" s="878">
        <v>44147</v>
      </c>
      <c r="J14">
        <v>5</v>
      </c>
      <c r="K14" t="s">
        <v>176</v>
      </c>
      <c r="L14">
        <v>31</v>
      </c>
      <c r="M14">
        <v>1</v>
      </c>
      <c r="N14">
        <v>0</v>
      </c>
      <c r="O14">
        <v>0</v>
      </c>
      <c r="P14">
        <v>0</v>
      </c>
      <c r="Q14">
        <v>1.1498828337455</v>
      </c>
      <c r="R14">
        <v>0</v>
      </c>
      <c r="S14">
        <v>-6.3664521740113096E-3</v>
      </c>
      <c r="T14">
        <v>-2.02505327594744E-3</v>
      </c>
      <c r="U14">
        <v>0</v>
      </c>
      <c r="V14">
        <v>-0.14832356047019099</v>
      </c>
      <c r="W14">
        <v>6.8322321746548901E-3</v>
      </c>
      <c r="X14">
        <v>0</v>
      </c>
      <c r="Y14" t="s">
        <v>175</v>
      </c>
      <c r="Z14" t="s">
        <v>175</v>
      </c>
      <c r="AA14" t="s">
        <v>175</v>
      </c>
      <c r="AB14" t="s">
        <v>175</v>
      </c>
      <c r="AC14" t="s">
        <v>175</v>
      </c>
      <c r="AD14" t="s">
        <v>175</v>
      </c>
      <c r="AE14" t="s">
        <v>175</v>
      </c>
      <c r="AF14" t="s">
        <v>175</v>
      </c>
      <c r="AG14" s="878">
        <v>44147</v>
      </c>
      <c r="AH14" s="873">
        <f t="shared" si="0"/>
        <v>44136</v>
      </c>
    </row>
    <row r="15" spans="1:34">
      <c r="A15">
        <v>6</v>
      </c>
      <c r="B15">
        <v>31</v>
      </c>
      <c r="C15" t="s">
        <v>176</v>
      </c>
      <c r="D15">
        <v>107</v>
      </c>
      <c r="E15">
        <v>9476340.8571428601</v>
      </c>
      <c r="F15">
        <v>0</v>
      </c>
      <c r="G15" t="s">
        <v>175</v>
      </c>
      <c r="H15" t="s">
        <v>175</v>
      </c>
      <c r="I15" s="878">
        <v>44179</v>
      </c>
      <c r="J15">
        <v>6</v>
      </c>
      <c r="K15" t="s">
        <v>176</v>
      </c>
      <c r="L15">
        <v>31</v>
      </c>
      <c r="M15">
        <v>1</v>
      </c>
      <c r="N15">
        <v>0</v>
      </c>
      <c r="O15">
        <v>0</v>
      </c>
      <c r="P15">
        <v>0</v>
      </c>
      <c r="Q15">
        <v>0.56875007437195801</v>
      </c>
      <c r="R15">
        <v>0</v>
      </c>
      <c r="S15">
        <v>0</v>
      </c>
      <c r="T15">
        <v>0.30272393433949202</v>
      </c>
      <c r="U15">
        <v>0</v>
      </c>
      <c r="V15">
        <v>9.4523378560690194E-2</v>
      </c>
      <c r="W15">
        <v>3.4002612727860898E-2</v>
      </c>
      <c r="X15">
        <v>0</v>
      </c>
      <c r="Y15" t="s">
        <v>175</v>
      </c>
      <c r="Z15" t="s">
        <v>175</v>
      </c>
      <c r="AA15" t="s">
        <v>175</v>
      </c>
      <c r="AB15" t="s">
        <v>175</v>
      </c>
      <c r="AC15" t="s">
        <v>175</v>
      </c>
      <c r="AD15" t="s">
        <v>175</v>
      </c>
      <c r="AE15" t="s">
        <v>175</v>
      </c>
      <c r="AF15" t="s">
        <v>175</v>
      </c>
      <c r="AG15" s="878">
        <v>44179</v>
      </c>
      <c r="AH15" s="873">
        <f t="shared" si="0"/>
        <v>44166</v>
      </c>
    </row>
    <row r="16" spans="1:34">
      <c r="A16">
        <v>7</v>
      </c>
      <c r="B16">
        <v>31</v>
      </c>
      <c r="C16" t="s">
        <v>176</v>
      </c>
      <c r="D16">
        <v>107</v>
      </c>
      <c r="E16">
        <v>9476340.8571428601</v>
      </c>
      <c r="F16">
        <v>0</v>
      </c>
      <c r="G16" t="s">
        <v>175</v>
      </c>
      <c r="H16" t="s">
        <v>175</v>
      </c>
      <c r="I16" s="878">
        <v>44193</v>
      </c>
      <c r="J16">
        <v>7</v>
      </c>
      <c r="K16" t="s">
        <v>176</v>
      </c>
      <c r="L16">
        <v>31</v>
      </c>
      <c r="M16">
        <v>1</v>
      </c>
      <c r="N16">
        <v>0</v>
      </c>
      <c r="O16">
        <v>0</v>
      </c>
      <c r="P16">
        <v>0</v>
      </c>
      <c r="Q16">
        <v>0.607565909242618</v>
      </c>
      <c r="R16">
        <v>0</v>
      </c>
      <c r="S16">
        <v>0</v>
      </c>
      <c r="T16">
        <v>2.5293745059697201E-2</v>
      </c>
      <c r="U16">
        <v>0</v>
      </c>
      <c r="V16">
        <v>0.36708870515779501</v>
      </c>
      <c r="W16">
        <v>5.1640539889839697E-5</v>
      </c>
      <c r="X16">
        <v>0</v>
      </c>
      <c r="Y16" t="s">
        <v>175</v>
      </c>
      <c r="Z16" t="s">
        <v>175</v>
      </c>
      <c r="AA16" t="s">
        <v>175</v>
      </c>
      <c r="AB16" t="s">
        <v>175</v>
      </c>
      <c r="AC16" t="s">
        <v>175</v>
      </c>
      <c r="AD16" t="s">
        <v>175</v>
      </c>
      <c r="AE16" t="s">
        <v>175</v>
      </c>
      <c r="AF16" t="s">
        <v>175</v>
      </c>
      <c r="AG16" s="878">
        <v>44193</v>
      </c>
      <c r="AH16" s="873">
        <f t="shared" si="0"/>
        <v>44166</v>
      </c>
    </row>
    <row r="17" spans="1:34">
      <c r="A17">
        <v>8</v>
      </c>
      <c r="B17">
        <v>31</v>
      </c>
      <c r="C17" t="s">
        <v>176</v>
      </c>
      <c r="D17">
        <v>107</v>
      </c>
      <c r="E17">
        <v>0</v>
      </c>
      <c r="F17">
        <v>0</v>
      </c>
      <c r="G17" t="s">
        <v>175</v>
      </c>
      <c r="H17" t="s">
        <v>175</v>
      </c>
      <c r="I17" s="878">
        <v>44208</v>
      </c>
      <c r="J17">
        <v>8</v>
      </c>
      <c r="K17" t="s">
        <v>176</v>
      </c>
      <c r="L17">
        <v>31</v>
      </c>
      <c r="M17">
        <v>1</v>
      </c>
      <c r="N17">
        <v>0</v>
      </c>
      <c r="O17">
        <v>0</v>
      </c>
      <c r="P17">
        <v>0</v>
      </c>
      <c r="Q17">
        <v>0.607565909242618</v>
      </c>
      <c r="R17">
        <v>0</v>
      </c>
      <c r="S17">
        <v>0</v>
      </c>
      <c r="T17">
        <v>2.5293745059697201E-2</v>
      </c>
      <c r="U17">
        <v>0</v>
      </c>
      <c r="V17">
        <v>0.36708870515779501</v>
      </c>
      <c r="W17">
        <v>5.1640539889839697E-5</v>
      </c>
      <c r="X17">
        <v>0</v>
      </c>
      <c r="Y17" t="s">
        <v>175</v>
      </c>
      <c r="Z17" t="s">
        <v>175</v>
      </c>
      <c r="AA17" t="s">
        <v>175</v>
      </c>
      <c r="AB17" t="s">
        <v>175</v>
      </c>
      <c r="AC17" t="s">
        <v>175</v>
      </c>
      <c r="AD17" t="s">
        <v>175</v>
      </c>
      <c r="AE17" t="s">
        <v>175</v>
      </c>
      <c r="AF17" t="s">
        <v>175</v>
      </c>
      <c r="AG17" s="878">
        <v>44208</v>
      </c>
      <c r="AH17" s="873">
        <f t="shared" si="0"/>
        <v>44197</v>
      </c>
    </row>
    <row r="18" spans="1:34">
      <c r="A18">
        <v>1</v>
      </c>
      <c r="B18">
        <v>32</v>
      </c>
      <c r="C18" t="s">
        <v>177</v>
      </c>
      <c r="D18">
        <v>115</v>
      </c>
      <c r="E18">
        <v>23162548.5461297</v>
      </c>
      <c r="F18">
        <v>0</v>
      </c>
      <c r="G18">
        <v>0</v>
      </c>
      <c r="H18">
        <v>0</v>
      </c>
      <c r="I18" s="878">
        <v>44043</v>
      </c>
      <c r="J18">
        <v>1</v>
      </c>
      <c r="K18" t="s">
        <v>177</v>
      </c>
      <c r="L18">
        <v>32</v>
      </c>
      <c r="M18">
        <v>0</v>
      </c>
      <c r="N18">
        <v>0.867194987156233</v>
      </c>
      <c r="O18">
        <v>0.10965920065163</v>
      </c>
      <c r="P18">
        <v>2.3145812192136499E-2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1.5313435947236</v>
      </c>
      <c r="Z18">
        <v>0</v>
      </c>
      <c r="AA18">
        <v>-4.40518570219533E-2</v>
      </c>
      <c r="AB18">
        <v>0.15456964981075799</v>
      </c>
      <c r="AC18">
        <v>0</v>
      </c>
      <c r="AD18">
        <v>-0.98724984488610101</v>
      </c>
      <c r="AE18">
        <v>0.212583444529934</v>
      </c>
      <c r="AF18">
        <v>0</v>
      </c>
      <c r="AG18" s="878">
        <v>44043</v>
      </c>
      <c r="AH18" s="873">
        <f t="shared" si="0"/>
        <v>44013</v>
      </c>
    </row>
    <row r="19" spans="1:34">
      <c r="A19">
        <v>2</v>
      </c>
      <c r="B19">
        <v>32</v>
      </c>
      <c r="C19" t="s">
        <v>177</v>
      </c>
      <c r="D19">
        <v>115</v>
      </c>
      <c r="E19">
        <v>4045832.8318431899</v>
      </c>
      <c r="F19">
        <v>0</v>
      </c>
      <c r="G19" t="s">
        <v>175</v>
      </c>
      <c r="H19" t="s">
        <v>175</v>
      </c>
      <c r="I19" s="878">
        <v>44055</v>
      </c>
      <c r="J19">
        <v>2</v>
      </c>
      <c r="K19" t="s">
        <v>177</v>
      </c>
      <c r="L19">
        <v>32</v>
      </c>
      <c r="M19">
        <v>0.73114540059084998</v>
      </c>
      <c r="N19" t="s">
        <v>175</v>
      </c>
      <c r="O19">
        <v>0.26885459940915002</v>
      </c>
      <c r="P19">
        <v>0</v>
      </c>
      <c r="Q19">
        <v>0.66164060844544703</v>
      </c>
      <c r="R19">
        <v>0</v>
      </c>
      <c r="S19">
        <v>-5.21243598320014E-2</v>
      </c>
      <c r="T19">
        <v>-1.37793984523891</v>
      </c>
      <c r="U19">
        <v>0</v>
      </c>
      <c r="V19">
        <v>1.4564144245776101</v>
      </c>
      <c r="W19">
        <v>4.3154572638704702E-2</v>
      </c>
      <c r="X19">
        <v>0</v>
      </c>
      <c r="Y19" t="s">
        <v>175</v>
      </c>
      <c r="Z19" t="s">
        <v>175</v>
      </c>
      <c r="AA19" t="s">
        <v>175</v>
      </c>
      <c r="AB19" t="s">
        <v>175</v>
      </c>
      <c r="AC19" t="s">
        <v>175</v>
      </c>
      <c r="AD19" t="s">
        <v>175</v>
      </c>
      <c r="AE19" t="s">
        <v>175</v>
      </c>
      <c r="AF19" t="s">
        <v>175</v>
      </c>
      <c r="AG19" s="878">
        <v>44055</v>
      </c>
      <c r="AH19" s="873">
        <f t="shared" si="0"/>
        <v>44044</v>
      </c>
    </row>
    <row r="20" spans="1:34">
      <c r="A20">
        <v>3</v>
      </c>
      <c r="B20">
        <v>32</v>
      </c>
      <c r="C20" t="s">
        <v>177</v>
      </c>
      <c r="D20">
        <v>115</v>
      </c>
      <c r="E20">
        <v>0</v>
      </c>
      <c r="F20">
        <v>0</v>
      </c>
      <c r="G20" t="s">
        <v>175</v>
      </c>
      <c r="H20" t="s">
        <v>175</v>
      </c>
      <c r="I20" s="878">
        <v>44088</v>
      </c>
      <c r="J20">
        <v>3</v>
      </c>
      <c r="K20" t="s">
        <v>177</v>
      </c>
      <c r="L20">
        <v>32</v>
      </c>
      <c r="M20">
        <v>0</v>
      </c>
      <c r="N20" t="s">
        <v>175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 t="s">
        <v>175</v>
      </c>
      <c r="Z20" t="s">
        <v>175</v>
      </c>
      <c r="AA20" t="s">
        <v>175</v>
      </c>
      <c r="AB20" t="s">
        <v>175</v>
      </c>
      <c r="AC20" t="s">
        <v>175</v>
      </c>
      <c r="AD20" t="s">
        <v>175</v>
      </c>
      <c r="AE20" t="s">
        <v>175</v>
      </c>
      <c r="AF20" t="s">
        <v>175</v>
      </c>
      <c r="AG20" s="878">
        <v>44088</v>
      </c>
      <c r="AH20" s="873">
        <f t="shared" si="0"/>
        <v>44075</v>
      </c>
    </row>
    <row r="21" spans="1:34">
      <c r="A21">
        <v>4</v>
      </c>
      <c r="B21">
        <v>32</v>
      </c>
      <c r="C21" t="s">
        <v>177</v>
      </c>
      <c r="D21">
        <v>115</v>
      </c>
      <c r="E21">
        <v>0</v>
      </c>
      <c r="F21">
        <v>0</v>
      </c>
      <c r="G21" t="s">
        <v>175</v>
      </c>
      <c r="H21" t="s">
        <v>175</v>
      </c>
      <c r="I21" s="878">
        <v>44117</v>
      </c>
      <c r="J21">
        <v>4</v>
      </c>
      <c r="K21" t="s">
        <v>177</v>
      </c>
      <c r="L21">
        <v>32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 t="s">
        <v>175</v>
      </c>
      <c r="Z21" t="s">
        <v>175</v>
      </c>
      <c r="AA21" t="s">
        <v>175</v>
      </c>
      <c r="AB21" t="s">
        <v>175</v>
      </c>
      <c r="AC21" t="s">
        <v>175</v>
      </c>
      <c r="AD21" t="s">
        <v>175</v>
      </c>
      <c r="AE21" t="s">
        <v>175</v>
      </c>
      <c r="AF21" t="s">
        <v>175</v>
      </c>
      <c r="AG21" s="878">
        <v>44117</v>
      </c>
      <c r="AH21" s="873">
        <f t="shared" si="0"/>
        <v>44105</v>
      </c>
    </row>
    <row r="22" spans="1:34">
      <c r="A22">
        <v>5</v>
      </c>
      <c r="B22">
        <v>32</v>
      </c>
      <c r="C22" t="s">
        <v>177</v>
      </c>
      <c r="D22">
        <v>115</v>
      </c>
      <c r="E22">
        <v>142006.51088978999</v>
      </c>
      <c r="F22">
        <v>0</v>
      </c>
      <c r="G22" t="s">
        <v>175</v>
      </c>
      <c r="H22" t="s">
        <v>175</v>
      </c>
      <c r="I22" s="878">
        <v>44147</v>
      </c>
      <c r="J22">
        <v>5</v>
      </c>
      <c r="K22" t="s">
        <v>177</v>
      </c>
      <c r="L22">
        <v>32</v>
      </c>
      <c r="M22">
        <v>0.69414998016034501</v>
      </c>
      <c r="N22">
        <v>0</v>
      </c>
      <c r="O22">
        <v>0.30585001983965499</v>
      </c>
      <c r="P22">
        <v>0</v>
      </c>
      <c r="Q22">
        <v>0.57788014692206702</v>
      </c>
      <c r="R22">
        <v>0</v>
      </c>
      <c r="S22">
        <v>-5.5351101547697403E-6</v>
      </c>
      <c r="T22">
        <v>9.4293284623221396E-2</v>
      </c>
      <c r="U22">
        <v>0</v>
      </c>
      <c r="V22">
        <v>2.2070702245734701E-2</v>
      </c>
      <c r="W22">
        <v>-8.8618520523318402E-5</v>
      </c>
      <c r="X22">
        <v>0</v>
      </c>
      <c r="Y22" t="s">
        <v>175</v>
      </c>
      <c r="Z22" t="s">
        <v>175</v>
      </c>
      <c r="AA22" t="s">
        <v>175</v>
      </c>
      <c r="AB22" t="s">
        <v>175</v>
      </c>
      <c r="AC22" t="s">
        <v>175</v>
      </c>
      <c r="AD22" t="s">
        <v>175</v>
      </c>
      <c r="AE22" t="s">
        <v>175</v>
      </c>
      <c r="AF22" t="s">
        <v>175</v>
      </c>
      <c r="AG22" s="878">
        <v>44147</v>
      </c>
      <c r="AH22" s="873">
        <f t="shared" si="0"/>
        <v>44136</v>
      </c>
    </row>
    <row r="23" spans="1:34">
      <c r="A23">
        <v>6</v>
      </c>
      <c r="B23">
        <v>32</v>
      </c>
      <c r="C23" t="s">
        <v>177</v>
      </c>
      <c r="D23">
        <v>115</v>
      </c>
      <c r="E23">
        <v>3722767.8101610602</v>
      </c>
      <c r="F23">
        <v>0</v>
      </c>
      <c r="G23" t="s">
        <v>175</v>
      </c>
      <c r="H23" t="s">
        <v>175</v>
      </c>
      <c r="I23" s="878">
        <v>44179</v>
      </c>
      <c r="J23">
        <v>6</v>
      </c>
      <c r="K23" t="s">
        <v>177</v>
      </c>
      <c r="L23">
        <v>32</v>
      </c>
      <c r="M23">
        <v>0.885597306162338</v>
      </c>
      <c r="N23">
        <v>0</v>
      </c>
      <c r="O23">
        <v>0.114402693837662</v>
      </c>
      <c r="P23">
        <v>0</v>
      </c>
      <c r="Q23">
        <v>0.78323862302923297</v>
      </c>
      <c r="R23">
        <v>0</v>
      </c>
      <c r="S23">
        <v>-1.68409944906124E-6</v>
      </c>
      <c r="T23">
        <v>3.0236334062946998E-2</v>
      </c>
      <c r="U23">
        <v>0</v>
      </c>
      <c r="V23">
        <v>7.2150996029859998E-2</v>
      </c>
      <c r="W23">
        <v>-2.6962860253139601E-5</v>
      </c>
      <c r="X23">
        <v>0</v>
      </c>
      <c r="Y23" t="s">
        <v>175</v>
      </c>
      <c r="Z23" t="s">
        <v>175</v>
      </c>
      <c r="AA23" t="s">
        <v>175</v>
      </c>
      <c r="AB23" t="s">
        <v>175</v>
      </c>
      <c r="AC23" t="s">
        <v>175</v>
      </c>
      <c r="AD23" t="s">
        <v>175</v>
      </c>
      <c r="AE23" t="s">
        <v>175</v>
      </c>
      <c r="AF23" t="s">
        <v>175</v>
      </c>
      <c r="AG23" s="878">
        <v>44179</v>
      </c>
      <c r="AH23" s="873">
        <f t="shared" si="0"/>
        <v>44166</v>
      </c>
    </row>
    <row r="24" spans="1:34">
      <c r="A24">
        <v>7</v>
      </c>
      <c r="B24">
        <v>32</v>
      </c>
      <c r="C24" t="s">
        <v>177</v>
      </c>
      <c r="D24">
        <v>115</v>
      </c>
      <c r="E24">
        <v>5486888.5087920399</v>
      </c>
      <c r="F24">
        <v>0</v>
      </c>
      <c r="G24" t="s">
        <v>175</v>
      </c>
      <c r="H24" t="s">
        <v>175</v>
      </c>
      <c r="I24" s="878">
        <v>44193</v>
      </c>
      <c r="J24">
        <v>7</v>
      </c>
      <c r="K24" t="s">
        <v>177</v>
      </c>
      <c r="L24">
        <v>32</v>
      </c>
      <c r="M24">
        <v>0.885597306162338</v>
      </c>
      <c r="N24">
        <v>0</v>
      </c>
      <c r="O24">
        <v>0.114402693837662</v>
      </c>
      <c r="P24">
        <v>0</v>
      </c>
      <c r="Q24">
        <v>0.78323862302923297</v>
      </c>
      <c r="R24">
        <v>0</v>
      </c>
      <c r="S24">
        <v>-1.68409944906124E-6</v>
      </c>
      <c r="T24">
        <v>3.0236334062946998E-2</v>
      </c>
      <c r="U24">
        <v>0</v>
      </c>
      <c r="V24">
        <v>7.2150996029859998E-2</v>
      </c>
      <c r="W24">
        <v>-2.6962860253139601E-5</v>
      </c>
      <c r="X24">
        <v>0</v>
      </c>
      <c r="Y24" t="s">
        <v>175</v>
      </c>
      <c r="Z24" t="s">
        <v>175</v>
      </c>
      <c r="AA24" t="s">
        <v>175</v>
      </c>
      <c r="AB24" t="s">
        <v>175</v>
      </c>
      <c r="AC24" t="s">
        <v>175</v>
      </c>
      <c r="AD24" t="s">
        <v>175</v>
      </c>
      <c r="AE24" t="s">
        <v>175</v>
      </c>
      <c r="AF24" t="s">
        <v>175</v>
      </c>
      <c r="AG24" s="878">
        <v>44193</v>
      </c>
      <c r="AH24" s="873">
        <f t="shared" si="0"/>
        <v>44166</v>
      </c>
    </row>
    <row r="25" spans="1:34">
      <c r="A25">
        <v>8</v>
      </c>
      <c r="B25">
        <v>32</v>
      </c>
      <c r="C25" t="s">
        <v>177</v>
      </c>
      <c r="D25">
        <v>115</v>
      </c>
      <c r="E25">
        <v>0</v>
      </c>
      <c r="F25">
        <v>0</v>
      </c>
      <c r="G25" t="s">
        <v>175</v>
      </c>
      <c r="H25" t="s">
        <v>175</v>
      </c>
      <c r="I25" s="878">
        <v>44208</v>
      </c>
      <c r="J25">
        <v>8</v>
      </c>
      <c r="K25" t="s">
        <v>177</v>
      </c>
      <c r="L25">
        <v>32</v>
      </c>
      <c r="M25">
        <v>0.885597306162338</v>
      </c>
      <c r="N25">
        <v>0</v>
      </c>
      <c r="O25">
        <v>0.114402693837662</v>
      </c>
      <c r="P25">
        <v>0</v>
      </c>
      <c r="Q25">
        <v>0.78323862302923297</v>
      </c>
      <c r="R25">
        <v>0</v>
      </c>
      <c r="S25">
        <v>-1.68409944906124E-6</v>
      </c>
      <c r="T25">
        <v>3.0236334062946998E-2</v>
      </c>
      <c r="U25">
        <v>0</v>
      </c>
      <c r="V25">
        <v>7.2150996029859998E-2</v>
      </c>
      <c r="W25">
        <v>-2.6962860253139601E-5</v>
      </c>
      <c r="X25">
        <v>0</v>
      </c>
      <c r="Y25" t="s">
        <v>175</v>
      </c>
      <c r="Z25" t="s">
        <v>175</v>
      </c>
      <c r="AA25" t="s">
        <v>175</v>
      </c>
      <c r="AB25" t="s">
        <v>175</v>
      </c>
      <c r="AC25" t="s">
        <v>175</v>
      </c>
      <c r="AD25" t="s">
        <v>175</v>
      </c>
      <c r="AE25" t="s">
        <v>175</v>
      </c>
      <c r="AF25" t="s">
        <v>175</v>
      </c>
      <c r="AG25" s="878">
        <v>44208</v>
      </c>
      <c r="AH25" s="873">
        <f t="shared" si="0"/>
        <v>44197</v>
      </c>
    </row>
    <row r="26" spans="1:34">
      <c r="A26">
        <v>1</v>
      </c>
      <c r="B26">
        <v>37</v>
      </c>
      <c r="C26" t="s">
        <v>178</v>
      </c>
      <c r="D26">
        <v>116</v>
      </c>
      <c r="E26">
        <v>116674306.05664299</v>
      </c>
      <c r="F26">
        <v>0</v>
      </c>
      <c r="G26">
        <v>0</v>
      </c>
      <c r="H26">
        <v>0</v>
      </c>
      <c r="I26" s="878">
        <v>44043</v>
      </c>
      <c r="J26">
        <v>1</v>
      </c>
      <c r="K26" t="s">
        <v>178</v>
      </c>
      <c r="L26">
        <v>37</v>
      </c>
      <c r="M26">
        <v>0</v>
      </c>
      <c r="N26">
        <v>0.86737123185347698</v>
      </c>
      <c r="O26">
        <v>0.120869583254548</v>
      </c>
      <c r="P26">
        <v>1.17591848919756E-2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1.2612899205807699</v>
      </c>
      <c r="Z26">
        <v>0</v>
      </c>
      <c r="AA26">
        <v>-2.1486009599945399E-2</v>
      </c>
      <c r="AB26">
        <v>8.93517087210174E-2</v>
      </c>
      <c r="AC26">
        <v>0</v>
      </c>
      <c r="AD26">
        <v>-0.475994483164427</v>
      </c>
      <c r="AE26">
        <v>1.42100953160595E-2</v>
      </c>
      <c r="AF26">
        <v>0</v>
      </c>
      <c r="AG26" s="878">
        <v>44043</v>
      </c>
      <c r="AH26" s="873">
        <f t="shared" si="0"/>
        <v>44013</v>
      </c>
    </row>
    <row r="27" spans="1:34">
      <c r="A27">
        <v>2</v>
      </c>
      <c r="B27">
        <v>37</v>
      </c>
      <c r="C27" t="s">
        <v>178</v>
      </c>
      <c r="D27">
        <v>116</v>
      </c>
      <c r="E27">
        <v>19113923.609999999</v>
      </c>
      <c r="F27">
        <v>0</v>
      </c>
      <c r="G27" t="s">
        <v>175</v>
      </c>
      <c r="H27" t="s">
        <v>175</v>
      </c>
      <c r="I27" s="878">
        <v>44055</v>
      </c>
      <c r="J27">
        <v>2</v>
      </c>
      <c r="K27" t="s">
        <v>178</v>
      </c>
      <c r="L27">
        <v>37</v>
      </c>
      <c r="M27">
        <v>1</v>
      </c>
      <c r="N27" t="s">
        <v>175</v>
      </c>
      <c r="O27">
        <v>0</v>
      </c>
      <c r="P27">
        <v>0</v>
      </c>
      <c r="Q27">
        <v>0.38360499538985099</v>
      </c>
      <c r="R27">
        <v>0</v>
      </c>
      <c r="S27">
        <v>-3.89026001345135E-2</v>
      </c>
      <c r="T27">
        <v>0.52167947389138802</v>
      </c>
      <c r="U27">
        <v>0</v>
      </c>
      <c r="V27">
        <v>6.95264794988011E-2</v>
      </c>
      <c r="W27">
        <v>6.4091651354473297E-2</v>
      </c>
      <c r="X27">
        <v>0</v>
      </c>
      <c r="Y27" t="s">
        <v>175</v>
      </c>
      <c r="Z27" t="s">
        <v>175</v>
      </c>
      <c r="AA27" t="s">
        <v>175</v>
      </c>
      <c r="AB27" t="s">
        <v>175</v>
      </c>
      <c r="AC27" t="s">
        <v>175</v>
      </c>
      <c r="AD27" t="s">
        <v>175</v>
      </c>
      <c r="AE27" t="s">
        <v>175</v>
      </c>
      <c r="AF27" t="s">
        <v>175</v>
      </c>
      <c r="AG27" s="878">
        <v>44055</v>
      </c>
      <c r="AH27" s="873">
        <f t="shared" si="0"/>
        <v>44044</v>
      </c>
    </row>
    <row r="28" spans="1:34">
      <c r="A28">
        <v>3</v>
      </c>
      <c r="B28">
        <v>37</v>
      </c>
      <c r="C28" t="s">
        <v>178</v>
      </c>
      <c r="D28">
        <v>116</v>
      </c>
      <c r="E28">
        <v>9471914.5500000007</v>
      </c>
      <c r="F28">
        <v>0</v>
      </c>
      <c r="G28" t="s">
        <v>175</v>
      </c>
      <c r="H28" t="s">
        <v>175</v>
      </c>
      <c r="I28" s="878">
        <v>44088</v>
      </c>
      <c r="J28">
        <v>3</v>
      </c>
      <c r="K28" t="s">
        <v>178</v>
      </c>
      <c r="L28">
        <v>37</v>
      </c>
      <c r="M28">
        <v>0.90118828787101202</v>
      </c>
      <c r="N28" t="s">
        <v>175</v>
      </c>
      <c r="O28">
        <v>0</v>
      </c>
      <c r="P28">
        <v>9.8811712128987594E-2</v>
      </c>
      <c r="Q28">
        <v>-0.139402081219373</v>
      </c>
      <c r="R28">
        <v>0</v>
      </c>
      <c r="S28">
        <v>0</v>
      </c>
      <c r="T28">
        <v>0.956287871185177</v>
      </c>
      <c r="U28">
        <v>0</v>
      </c>
      <c r="V28">
        <v>-2.7539752936733899E-2</v>
      </c>
      <c r="W28">
        <v>0.11184225084194201</v>
      </c>
      <c r="X28">
        <v>0</v>
      </c>
      <c r="Y28" t="s">
        <v>175</v>
      </c>
      <c r="Z28" t="s">
        <v>175</v>
      </c>
      <c r="AA28" t="s">
        <v>175</v>
      </c>
      <c r="AB28" t="s">
        <v>175</v>
      </c>
      <c r="AC28" t="s">
        <v>175</v>
      </c>
      <c r="AD28" t="s">
        <v>175</v>
      </c>
      <c r="AE28" t="s">
        <v>175</v>
      </c>
      <c r="AF28" t="s">
        <v>175</v>
      </c>
      <c r="AG28" s="878">
        <v>44088</v>
      </c>
      <c r="AH28" s="873">
        <f t="shared" si="0"/>
        <v>44075</v>
      </c>
    </row>
    <row r="29" spans="1:34">
      <c r="A29">
        <v>4</v>
      </c>
      <c r="B29">
        <v>37</v>
      </c>
      <c r="C29" t="s">
        <v>178</v>
      </c>
      <c r="D29">
        <v>116</v>
      </c>
      <c r="E29">
        <v>206412.44741226599</v>
      </c>
      <c r="F29">
        <v>0</v>
      </c>
      <c r="G29" t="s">
        <v>175</v>
      </c>
      <c r="H29" t="s">
        <v>175</v>
      </c>
      <c r="I29" s="878">
        <v>44117</v>
      </c>
      <c r="J29">
        <v>4</v>
      </c>
      <c r="K29" t="s">
        <v>178</v>
      </c>
      <c r="L29">
        <v>37</v>
      </c>
      <c r="M29">
        <v>0</v>
      </c>
      <c r="N29">
        <v>0</v>
      </c>
      <c r="O29">
        <v>0</v>
      </c>
      <c r="P29">
        <v>1</v>
      </c>
      <c r="Q29" t="s">
        <v>175</v>
      </c>
      <c r="R29" t="s">
        <v>175</v>
      </c>
      <c r="S29" t="s">
        <v>175</v>
      </c>
      <c r="T29" t="s">
        <v>175</v>
      </c>
      <c r="U29" t="s">
        <v>175</v>
      </c>
      <c r="V29" t="s">
        <v>175</v>
      </c>
      <c r="W29" t="s">
        <v>175</v>
      </c>
      <c r="X29" t="s">
        <v>175</v>
      </c>
      <c r="Y29" t="s">
        <v>175</v>
      </c>
      <c r="Z29" t="s">
        <v>175</v>
      </c>
      <c r="AA29" t="s">
        <v>175</v>
      </c>
      <c r="AB29" t="s">
        <v>175</v>
      </c>
      <c r="AC29" t="s">
        <v>175</v>
      </c>
      <c r="AD29" t="s">
        <v>175</v>
      </c>
      <c r="AE29" t="s">
        <v>175</v>
      </c>
      <c r="AF29" t="s">
        <v>175</v>
      </c>
      <c r="AG29" s="878">
        <v>44117</v>
      </c>
      <c r="AH29" s="873">
        <f t="shared" si="0"/>
        <v>44105</v>
      </c>
    </row>
    <row r="30" spans="1:34">
      <c r="A30">
        <v>5</v>
      </c>
      <c r="B30">
        <v>37</v>
      </c>
      <c r="C30" t="s">
        <v>178</v>
      </c>
      <c r="D30">
        <v>116</v>
      </c>
      <c r="E30">
        <v>1698280.7748001199</v>
      </c>
      <c r="F30">
        <v>0</v>
      </c>
      <c r="G30" t="s">
        <v>175</v>
      </c>
      <c r="H30" t="s">
        <v>175</v>
      </c>
      <c r="I30" s="878">
        <v>44147</v>
      </c>
      <c r="J30">
        <v>5</v>
      </c>
      <c r="K30" t="s">
        <v>178</v>
      </c>
      <c r="L30">
        <v>37</v>
      </c>
      <c r="M30">
        <v>0</v>
      </c>
      <c r="N30">
        <v>0</v>
      </c>
      <c r="O30">
        <v>1</v>
      </c>
      <c r="P30">
        <v>0</v>
      </c>
      <c r="Q30" t="s">
        <v>175</v>
      </c>
      <c r="R30" t="s">
        <v>175</v>
      </c>
      <c r="S30" t="s">
        <v>175</v>
      </c>
      <c r="T30" t="s">
        <v>175</v>
      </c>
      <c r="U30" t="s">
        <v>175</v>
      </c>
      <c r="V30" t="s">
        <v>175</v>
      </c>
      <c r="W30" t="s">
        <v>175</v>
      </c>
      <c r="X30" t="s">
        <v>175</v>
      </c>
      <c r="Y30" t="s">
        <v>175</v>
      </c>
      <c r="Z30" t="s">
        <v>175</v>
      </c>
      <c r="AA30" t="s">
        <v>175</v>
      </c>
      <c r="AB30" t="s">
        <v>175</v>
      </c>
      <c r="AC30" t="s">
        <v>175</v>
      </c>
      <c r="AD30" t="s">
        <v>175</v>
      </c>
      <c r="AE30" t="s">
        <v>175</v>
      </c>
      <c r="AF30" t="s">
        <v>175</v>
      </c>
      <c r="AG30" s="878">
        <v>44147</v>
      </c>
      <c r="AH30" s="873">
        <f t="shared" si="0"/>
        <v>44136</v>
      </c>
    </row>
    <row r="31" spans="1:34">
      <c r="A31">
        <v>6</v>
      </c>
      <c r="B31">
        <v>37</v>
      </c>
      <c r="C31" t="s">
        <v>178</v>
      </c>
      <c r="D31">
        <v>116</v>
      </c>
      <c r="E31">
        <v>59930390.2610709</v>
      </c>
      <c r="F31">
        <v>0</v>
      </c>
      <c r="G31" t="s">
        <v>175</v>
      </c>
      <c r="H31" t="s">
        <v>175</v>
      </c>
      <c r="I31" s="878">
        <v>44179</v>
      </c>
      <c r="J31">
        <v>6</v>
      </c>
      <c r="K31" t="s">
        <v>178</v>
      </c>
      <c r="L31">
        <v>37</v>
      </c>
      <c r="M31">
        <v>1</v>
      </c>
      <c r="N31">
        <v>0</v>
      </c>
      <c r="O31">
        <v>0</v>
      </c>
      <c r="P31">
        <v>0</v>
      </c>
      <c r="Q31">
        <v>0.85979864444653797</v>
      </c>
      <c r="R31">
        <v>0</v>
      </c>
      <c r="S31">
        <v>0</v>
      </c>
      <c r="T31">
        <v>3.4957061678686799E-2</v>
      </c>
      <c r="U31">
        <v>0</v>
      </c>
      <c r="V31">
        <v>0.105242425683005</v>
      </c>
      <c r="W31">
        <v>1.8681917709998999E-6</v>
      </c>
      <c r="X31">
        <v>0</v>
      </c>
      <c r="Y31" t="s">
        <v>175</v>
      </c>
      <c r="Z31" t="s">
        <v>175</v>
      </c>
      <c r="AA31" t="s">
        <v>175</v>
      </c>
      <c r="AB31" t="s">
        <v>175</v>
      </c>
      <c r="AC31" t="s">
        <v>175</v>
      </c>
      <c r="AD31" t="s">
        <v>175</v>
      </c>
      <c r="AE31" t="s">
        <v>175</v>
      </c>
      <c r="AF31" t="s">
        <v>175</v>
      </c>
      <c r="AG31" s="878">
        <v>44179</v>
      </c>
      <c r="AH31" s="873">
        <f t="shared" si="0"/>
        <v>44166</v>
      </c>
    </row>
    <row r="32" spans="1:34">
      <c r="A32">
        <v>7</v>
      </c>
      <c r="B32">
        <v>37</v>
      </c>
      <c r="C32" t="s">
        <v>178</v>
      </c>
      <c r="D32">
        <v>116</v>
      </c>
      <c r="E32">
        <v>0</v>
      </c>
      <c r="F32">
        <v>0</v>
      </c>
      <c r="G32" t="s">
        <v>175</v>
      </c>
      <c r="H32" t="s">
        <v>175</v>
      </c>
      <c r="I32" s="878">
        <v>44193</v>
      </c>
      <c r="J32">
        <v>7</v>
      </c>
      <c r="K32" t="s">
        <v>178</v>
      </c>
      <c r="L32">
        <v>37</v>
      </c>
      <c r="M32">
        <v>0.98279103416195301</v>
      </c>
      <c r="N32">
        <v>0</v>
      </c>
      <c r="O32">
        <v>1.7208965838046601E-2</v>
      </c>
      <c r="P32">
        <v>0</v>
      </c>
      <c r="Q32">
        <v>0.803938958203952</v>
      </c>
      <c r="R32">
        <v>0</v>
      </c>
      <c r="S32">
        <v>0</v>
      </c>
      <c r="T32">
        <v>2.39245066052583E-2</v>
      </c>
      <c r="U32">
        <v>0</v>
      </c>
      <c r="V32">
        <v>0.15492625430258899</v>
      </c>
      <c r="W32">
        <v>1.3150501543895599E-6</v>
      </c>
      <c r="X32">
        <v>0</v>
      </c>
      <c r="Y32" t="s">
        <v>175</v>
      </c>
      <c r="Z32" t="s">
        <v>175</v>
      </c>
      <c r="AA32" t="s">
        <v>175</v>
      </c>
      <c r="AB32" t="s">
        <v>175</v>
      </c>
      <c r="AC32" t="s">
        <v>175</v>
      </c>
      <c r="AD32" t="s">
        <v>175</v>
      </c>
      <c r="AE32" t="s">
        <v>175</v>
      </c>
      <c r="AF32" t="s">
        <v>175</v>
      </c>
      <c r="AG32" s="878">
        <v>44193</v>
      </c>
      <c r="AH32" s="873">
        <f t="shared" si="0"/>
        <v>44166</v>
      </c>
    </row>
    <row r="33" spans="1:34">
      <c r="A33">
        <v>8</v>
      </c>
      <c r="B33">
        <v>37</v>
      </c>
      <c r="C33" t="s">
        <v>178</v>
      </c>
      <c r="D33">
        <v>116</v>
      </c>
      <c r="E33">
        <v>38126623.351973899</v>
      </c>
      <c r="F33">
        <v>0</v>
      </c>
      <c r="G33" t="s">
        <v>175</v>
      </c>
      <c r="H33" t="s">
        <v>175</v>
      </c>
      <c r="I33" s="878">
        <v>44208</v>
      </c>
      <c r="J33">
        <v>8</v>
      </c>
      <c r="K33" t="s">
        <v>178</v>
      </c>
      <c r="L33">
        <v>37</v>
      </c>
      <c r="M33">
        <v>0.98279103416195301</v>
      </c>
      <c r="N33">
        <v>0</v>
      </c>
      <c r="O33">
        <v>1.7208965838046601E-2</v>
      </c>
      <c r="P33">
        <v>0</v>
      </c>
      <c r="Q33">
        <v>0.803938958203952</v>
      </c>
      <c r="R33">
        <v>0</v>
      </c>
      <c r="S33">
        <v>0</v>
      </c>
      <c r="T33">
        <v>2.39245066052583E-2</v>
      </c>
      <c r="U33">
        <v>0</v>
      </c>
      <c r="V33">
        <v>0.15492625430258899</v>
      </c>
      <c r="W33">
        <v>1.3150501543895599E-6</v>
      </c>
      <c r="X33">
        <v>0</v>
      </c>
      <c r="Y33" t="s">
        <v>175</v>
      </c>
      <c r="Z33" t="s">
        <v>175</v>
      </c>
      <c r="AA33" t="s">
        <v>175</v>
      </c>
      <c r="AB33" t="s">
        <v>175</v>
      </c>
      <c r="AC33" t="s">
        <v>175</v>
      </c>
      <c r="AD33" t="s">
        <v>175</v>
      </c>
      <c r="AE33" t="s">
        <v>175</v>
      </c>
      <c r="AF33" t="s">
        <v>175</v>
      </c>
      <c r="AG33" s="878">
        <v>44208</v>
      </c>
      <c r="AH33" s="873">
        <f t="shared" si="0"/>
        <v>44197</v>
      </c>
    </row>
    <row r="34" spans="1:34">
      <c r="A34">
        <v>1</v>
      </c>
      <c r="B34">
        <v>38</v>
      </c>
      <c r="C34" t="s">
        <v>179</v>
      </c>
      <c r="D34">
        <v>119</v>
      </c>
      <c r="E34">
        <v>116326948.24215101</v>
      </c>
      <c r="F34">
        <v>27154960.785434</v>
      </c>
      <c r="G34">
        <v>0</v>
      </c>
      <c r="H34">
        <v>0</v>
      </c>
      <c r="I34" s="878">
        <v>44043</v>
      </c>
      <c r="J34">
        <v>1</v>
      </c>
      <c r="K34" t="s">
        <v>179</v>
      </c>
      <c r="L34">
        <v>38</v>
      </c>
      <c r="M34">
        <v>1.7118764796894899E-2</v>
      </c>
      <c r="N34">
        <v>0.75991722791511396</v>
      </c>
      <c r="O34">
        <v>0.21352762344821599</v>
      </c>
      <c r="P34">
        <v>9.4363838397749592E-3</v>
      </c>
      <c r="Q34">
        <v>-1.48161266150363E-2</v>
      </c>
      <c r="R34">
        <v>0</v>
      </c>
      <c r="S34">
        <v>-4.5257642426918803E-3</v>
      </c>
      <c r="T34">
        <v>-9.1731237342474702E-3</v>
      </c>
      <c r="U34">
        <v>0</v>
      </c>
      <c r="V34">
        <v>3.63306431366405E-2</v>
      </c>
      <c r="W34">
        <v>9.3031362522300702E-3</v>
      </c>
      <c r="X34">
        <v>0</v>
      </c>
      <c r="Y34">
        <v>1.1434730578774199</v>
      </c>
      <c r="Z34">
        <v>0</v>
      </c>
      <c r="AA34">
        <v>-3.05177188402649E-3</v>
      </c>
      <c r="AB34">
        <v>0.120192582211435</v>
      </c>
      <c r="AC34">
        <v>0</v>
      </c>
      <c r="AD34">
        <v>-0.45501971443295097</v>
      </c>
      <c r="AE34">
        <v>-4.56769258567611E-2</v>
      </c>
      <c r="AF34">
        <v>0</v>
      </c>
      <c r="AG34" s="878">
        <v>44043</v>
      </c>
      <c r="AH34" s="873">
        <f t="shared" si="0"/>
        <v>44013</v>
      </c>
    </row>
    <row r="35" spans="1:34">
      <c r="A35">
        <v>2</v>
      </c>
      <c r="B35">
        <v>38</v>
      </c>
      <c r="C35" t="s">
        <v>179</v>
      </c>
      <c r="D35">
        <v>119</v>
      </c>
      <c r="E35">
        <v>22634418.23</v>
      </c>
      <c r="F35">
        <v>0</v>
      </c>
      <c r="G35" t="s">
        <v>175</v>
      </c>
      <c r="H35" t="s">
        <v>175</v>
      </c>
      <c r="I35" s="878">
        <v>44055</v>
      </c>
      <c r="J35">
        <v>2</v>
      </c>
      <c r="K35" t="s">
        <v>179</v>
      </c>
      <c r="L35">
        <v>38</v>
      </c>
      <c r="M35">
        <v>0.743960440050213</v>
      </c>
      <c r="N35" t="s">
        <v>175</v>
      </c>
      <c r="O35">
        <v>0</v>
      </c>
      <c r="P35">
        <v>0.256039559949787</v>
      </c>
      <c r="Q35">
        <v>0.30834809877330899</v>
      </c>
      <c r="R35">
        <v>0</v>
      </c>
      <c r="S35">
        <v>-2.3271357588154701E-2</v>
      </c>
      <c r="T35">
        <v>0.34200330110411098</v>
      </c>
      <c r="U35">
        <v>0</v>
      </c>
      <c r="V35">
        <v>6.8846240551318896E-2</v>
      </c>
      <c r="W35">
        <v>4.8034157209628101E-2</v>
      </c>
      <c r="X35">
        <v>0</v>
      </c>
      <c r="Y35" t="s">
        <v>175</v>
      </c>
      <c r="Z35" t="s">
        <v>175</v>
      </c>
      <c r="AA35" t="s">
        <v>175</v>
      </c>
      <c r="AB35" t="s">
        <v>175</v>
      </c>
      <c r="AC35" t="s">
        <v>175</v>
      </c>
      <c r="AD35" t="s">
        <v>175</v>
      </c>
      <c r="AE35" t="s">
        <v>175</v>
      </c>
      <c r="AF35" t="s">
        <v>175</v>
      </c>
      <c r="AG35" s="878">
        <v>44055</v>
      </c>
      <c r="AH35" s="873">
        <f t="shared" si="0"/>
        <v>44044</v>
      </c>
    </row>
    <row r="36" spans="1:34">
      <c r="A36">
        <v>3</v>
      </c>
      <c r="B36">
        <v>38</v>
      </c>
      <c r="C36" t="s">
        <v>179</v>
      </c>
      <c r="D36">
        <v>119</v>
      </c>
      <c r="E36">
        <v>13433571.3306059</v>
      </c>
      <c r="F36">
        <v>0</v>
      </c>
      <c r="G36" t="s">
        <v>175</v>
      </c>
      <c r="H36" t="s">
        <v>175</v>
      </c>
      <c r="I36" s="878">
        <v>44088</v>
      </c>
      <c r="J36">
        <v>3</v>
      </c>
      <c r="K36" t="s">
        <v>179</v>
      </c>
      <c r="L36">
        <v>38</v>
      </c>
      <c r="M36">
        <v>0.59257676855169805</v>
      </c>
      <c r="N36" t="s">
        <v>175</v>
      </c>
      <c r="O36">
        <v>0</v>
      </c>
      <c r="P36">
        <v>0.407423231448302</v>
      </c>
      <c r="Q36">
        <v>4.5867739588611602E-2</v>
      </c>
      <c r="R36">
        <v>0</v>
      </c>
      <c r="S36">
        <v>-3.7167520774635802E-2</v>
      </c>
      <c r="T36">
        <v>0.54637776533674598</v>
      </c>
      <c r="U36">
        <v>0</v>
      </c>
      <c r="V36">
        <v>3.9047125144588503E-2</v>
      </c>
      <c r="W36">
        <v>-1.5483407436120999E-3</v>
      </c>
      <c r="X36">
        <v>0</v>
      </c>
      <c r="Y36" t="s">
        <v>175</v>
      </c>
      <c r="Z36" t="s">
        <v>175</v>
      </c>
      <c r="AA36" t="s">
        <v>175</v>
      </c>
      <c r="AB36" t="s">
        <v>175</v>
      </c>
      <c r="AC36" t="s">
        <v>175</v>
      </c>
      <c r="AD36" t="s">
        <v>175</v>
      </c>
      <c r="AE36" t="s">
        <v>175</v>
      </c>
      <c r="AF36" t="s">
        <v>175</v>
      </c>
      <c r="AG36" s="878">
        <v>44088</v>
      </c>
      <c r="AH36" s="873">
        <f t="shared" si="0"/>
        <v>44075</v>
      </c>
    </row>
    <row r="37" spans="1:34">
      <c r="A37">
        <v>4</v>
      </c>
      <c r="B37">
        <v>38</v>
      </c>
      <c r="C37" t="s">
        <v>179</v>
      </c>
      <c r="D37">
        <v>119</v>
      </c>
      <c r="E37">
        <v>10694858.018706299</v>
      </c>
      <c r="F37">
        <v>0</v>
      </c>
      <c r="G37" t="s">
        <v>175</v>
      </c>
      <c r="H37" t="s">
        <v>175</v>
      </c>
      <c r="I37" s="878">
        <v>44117</v>
      </c>
      <c r="J37">
        <v>4</v>
      </c>
      <c r="K37" t="s">
        <v>179</v>
      </c>
      <c r="L37">
        <v>38</v>
      </c>
      <c r="M37">
        <v>0.51035706477406395</v>
      </c>
      <c r="N37">
        <v>0</v>
      </c>
      <c r="O37">
        <v>0.48964293522593599</v>
      </c>
      <c r="P37">
        <v>0</v>
      </c>
      <c r="Q37">
        <v>-0.26667112104484703</v>
      </c>
      <c r="R37">
        <v>0</v>
      </c>
      <c r="S37">
        <v>-5.0492773785803198E-2</v>
      </c>
      <c r="T37">
        <v>0.67845072390028305</v>
      </c>
      <c r="U37">
        <v>0</v>
      </c>
      <c r="V37">
        <v>-6.2853676796403996E-2</v>
      </c>
      <c r="W37">
        <v>0.21192391250083401</v>
      </c>
      <c r="X37">
        <v>0</v>
      </c>
      <c r="Y37" t="s">
        <v>175</v>
      </c>
      <c r="Z37" t="s">
        <v>175</v>
      </c>
      <c r="AA37" t="s">
        <v>175</v>
      </c>
      <c r="AB37" t="s">
        <v>175</v>
      </c>
      <c r="AC37" t="s">
        <v>175</v>
      </c>
      <c r="AD37" t="s">
        <v>175</v>
      </c>
      <c r="AE37" t="s">
        <v>175</v>
      </c>
      <c r="AF37" t="s">
        <v>175</v>
      </c>
      <c r="AG37" s="878">
        <v>44117</v>
      </c>
      <c r="AH37" s="873">
        <f t="shared" si="0"/>
        <v>44105</v>
      </c>
    </row>
    <row r="38" spans="1:34">
      <c r="A38">
        <v>5</v>
      </c>
      <c r="B38">
        <v>38</v>
      </c>
      <c r="C38" t="s">
        <v>179</v>
      </c>
      <c r="D38">
        <v>119</v>
      </c>
      <c r="E38">
        <v>6087882.7013617698</v>
      </c>
      <c r="F38">
        <v>0</v>
      </c>
      <c r="G38" t="s">
        <v>175</v>
      </c>
      <c r="H38" t="s">
        <v>175</v>
      </c>
      <c r="I38" s="878">
        <v>44147</v>
      </c>
      <c r="J38">
        <v>5</v>
      </c>
      <c r="K38" t="s">
        <v>179</v>
      </c>
      <c r="L38">
        <v>38</v>
      </c>
      <c r="M38">
        <v>0.874236707027646</v>
      </c>
      <c r="N38">
        <v>0</v>
      </c>
      <c r="O38">
        <v>0.125763292972354</v>
      </c>
      <c r="P38">
        <v>0</v>
      </c>
      <c r="Q38">
        <v>-0.53227268736215605</v>
      </c>
      <c r="R38">
        <v>0</v>
      </c>
      <c r="S38">
        <v>-9.3935195514074102E-2</v>
      </c>
      <c r="T38">
        <v>1.3697936623467999</v>
      </c>
      <c r="U38">
        <v>0</v>
      </c>
      <c r="V38">
        <v>-6.4718882163978295E-2</v>
      </c>
      <c r="W38">
        <v>0.195369809721057</v>
      </c>
      <c r="X38">
        <v>0</v>
      </c>
      <c r="Y38" t="s">
        <v>175</v>
      </c>
      <c r="Z38" t="s">
        <v>175</v>
      </c>
      <c r="AA38" t="s">
        <v>175</v>
      </c>
      <c r="AB38" t="s">
        <v>175</v>
      </c>
      <c r="AC38" t="s">
        <v>175</v>
      </c>
      <c r="AD38" t="s">
        <v>175</v>
      </c>
      <c r="AE38" t="s">
        <v>175</v>
      </c>
      <c r="AF38" t="s">
        <v>175</v>
      </c>
      <c r="AG38" s="878">
        <v>44147</v>
      </c>
      <c r="AH38" s="873">
        <f t="shared" si="0"/>
        <v>44136</v>
      </c>
    </row>
    <row r="39" spans="1:34">
      <c r="A39">
        <v>6</v>
      </c>
      <c r="B39">
        <v>38</v>
      </c>
      <c r="C39" t="s">
        <v>179</v>
      </c>
      <c r="D39">
        <v>119</v>
      </c>
      <c r="E39">
        <v>3103184.6917414698</v>
      </c>
      <c r="F39">
        <v>0</v>
      </c>
      <c r="G39" t="s">
        <v>175</v>
      </c>
      <c r="H39" t="s">
        <v>175</v>
      </c>
      <c r="I39" s="878">
        <v>44179</v>
      </c>
      <c r="J39">
        <v>6</v>
      </c>
      <c r="K39" t="s">
        <v>179</v>
      </c>
      <c r="L39">
        <v>38</v>
      </c>
      <c r="M39">
        <v>1</v>
      </c>
      <c r="N39">
        <v>0</v>
      </c>
      <c r="O39">
        <v>0</v>
      </c>
      <c r="P39">
        <v>0</v>
      </c>
      <c r="Q39">
        <v>0.73885392337213696</v>
      </c>
      <c r="R39">
        <v>0</v>
      </c>
      <c r="S39">
        <v>-1.07123146420366E-2</v>
      </c>
      <c r="T39">
        <v>0.14921188219750101</v>
      </c>
      <c r="U39">
        <v>0</v>
      </c>
      <c r="V39">
        <v>0.100264483341514</v>
      </c>
      <c r="W39">
        <v>2.2382025730884401E-2</v>
      </c>
      <c r="X39">
        <v>0</v>
      </c>
      <c r="Y39" t="s">
        <v>175</v>
      </c>
      <c r="Z39" t="s">
        <v>175</v>
      </c>
      <c r="AA39" t="s">
        <v>175</v>
      </c>
      <c r="AB39" t="s">
        <v>175</v>
      </c>
      <c r="AC39" t="s">
        <v>175</v>
      </c>
      <c r="AD39" t="s">
        <v>175</v>
      </c>
      <c r="AE39" t="s">
        <v>175</v>
      </c>
      <c r="AF39" t="s">
        <v>175</v>
      </c>
      <c r="AG39" s="878">
        <v>44179</v>
      </c>
      <c r="AH39" s="873">
        <f t="shared" si="0"/>
        <v>44166</v>
      </c>
    </row>
    <row r="40" spans="1:34">
      <c r="A40">
        <v>7</v>
      </c>
      <c r="B40">
        <v>38</v>
      </c>
      <c r="C40" t="s">
        <v>179</v>
      </c>
      <c r="D40">
        <v>119</v>
      </c>
      <c r="E40">
        <v>0</v>
      </c>
      <c r="F40">
        <v>0</v>
      </c>
      <c r="G40" t="s">
        <v>175</v>
      </c>
      <c r="H40" t="s">
        <v>175</v>
      </c>
      <c r="I40" s="878">
        <v>44193</v>
      </c>
      <c r="J40">
        <v>7</v>
      </c>
      <c r="K40" t="s">
        <v>179</v>
      </c>
      <c r="L40">
        <v>38</v>
      </c>
      <c r="M40">
        <v>1</v>
      </c>
      <c r="N40">
        <v>0</v>
      </c>
      <c r="O40">
        <v>0</v>
      </c>
      <c r="P40">
        <v>0</v>
      </c>
      <c r="Q40">
        <v>0.82126503969893105</v>
      </c>
      <c r="R40">
        <v>0</v>
      </c>
      <c r="S40">
        <v>-3.0459635377212799E-4</v>
      </c>
      <c r="T40">
        <v>3.2667100991598801E-2</v>
      </c>
      <c r="U40">
        <v>0</v>
      </c>
      <c r="V40">
        <v>0.14568610208279401</v>
      </c>
      <c r="W40">
        <v>6.8635358044825501E-4</v>
      </c>
      <c r="X40">
        <v>0</v>
      </c>
      <c r="Y40" t="s">
        <v>175</v>
      </c>
      <c r="Z40" t="s">
        <v>175</v>
      </c>
      <c r="AA40" t="s">
        <v>175</v>
      </c>
      <c r="AB40" t="s">
        <v>175</v>
      </c>
      <c r="AC40" t="s">
        <v>175</v>
      </c>
      <c r="AD40" t="s">
        <v>175</v>
      </c>
      <c r="AE40" t="s">
        <v>175</v>
      </c>
      <c r="AF40" t="s">
        <v>175</v>
      </c>
      <c r="AG40" s="878">
        <v>44193</v>
      </c>
      <c r="AH40" s="873">
        <f t="shared" si="0"/>
        <v>44166</v>
      </c>
    </row>
    <row r="41" spans="1:34">
      <c r="A41">
        <v>8</v>
      </c>
      <c r="B41">
        <v>38</v>
      </c>
      <c r="C41" t="s">
        <v>179</v>
      </c>
      <c r="D41">
        <v>119</v>
      </c>
      <c r="E41">
        <v>0</v>
      </c>
      <c r="F41">
        <v>0</v>
      </c>
      <c r="G41" t="s">
        <v>175</v>
      </c>
      <c r="H41" t="s">
        <v>175</v>
      </c>
      <c r="I41" s="878">
        <v>44208</v>
      </c>
      <c r="J41">
        <v>8</v>
      </c>
      <c r="K41" t="s">
        <v>179</v>
      </c>
      <c r="L41">
        <v>38</v>
      </c>
      <c r="M41">
        <v>1</v>
      </c>
      <c r="N41">
        <v>0</v>
      </c>
      <c r="O41">
        <v>0</v>
      </c>
      <c r="P41">
        <v>0</v>
      </c>
      <c r="Q41">
        <v>0.82126503969893105</v>
      </c>
      <c r="R41">
        <v>0</v>
      </c>
      <c r="S41">
        <v>-3.0459635377212799E-4</v>
      </c>
      <c r="T41">
        <v>3.2667100991598801E-2</v>
      </c>
      <c r="U41">
        <v>0</v>
      </c>
      <c r="V41">
        <v>0.14568610208279401</v>
      </c>
      <c r="W41">
        <v>6.8635358044825501E-4</v>
      </c>
      <c r="X41">
        <v>0</v>
      </c>
      <c r="Y41" t="s">
        <v>175</v>
      </c>
      <c r="Z41" t="s">
        <v>175</v>
      </c>
      <c r="AA41" t="s">
        <v>175</v>
      </c>
      <c r="AB41" t="s">
        <v>175</v>
      </c>
      <c r="AC41" t="s">
        <v>175</v>
      </c>
      <c r="AD41" t="s">
        <v>175</v>
      </c>
      <c r="AE41" t="s">
        <v>175</v>
      </c>
      <c r="AF41" t="s">
        <v>175</v>
      </c>
      <c r="AG41" s="878">
        <v>44208</v>
      </c>
      <c r="AH41" s="873">
        <f t="shared" si="0"/>
        <v>44197</v>
      </c>
    </row>
    <row r="42" spans="1:34">
      <c r="A42">
        <v>1</v>
      </c>
      <c r="B42">
        <v>39</v>
      </c>
      <c r="C42" t="s">
        <v>180</v>
      </c>
      <c r="D42">
        <v>130</v>
      </c>
      <c r="E42">
        <v>275589583.739595</v>
      </c>
      <c r="F42">
        <v>0</v>
      </c>
      <c r="G42">
        <v>36244326</v>
      </c>
      <c r="H42">
        <v>0</v>
      </c>
      <c r="I42" s="878">
        <v>44043</v>
      </c>
      <c r="J42">
        <v>1</v>
      </c>
      <c r="K42" t="s">
        <v>180</v>
      </c>
      <c r="L42">
        <v>39</v>
      </c>
      <c r="M42">
        <v>9.5723560739515198E-2</v>
      </c>
      <c r="N42">
        <v>0.64799641077415304</v>
      </c>
      <c r="O42">
        <v>0.217040372676328</v>
      </c>
      <c r="P42">
        <v>3.9239655810004298E-2</v>
      </c>
      <c r="Q42">
        <v>0.14944062997528501</v>
      </c>
      <c r="R42">
        <v>0</v>
      </c>
      <c r="S42">
        <v>0</v>
      </c>
      <c r="T42">
        <v>-8.4413517391753699E-3</v>
      </c>
      <c r="U42">
        <v>0</v>
      </c>
      <c r="V42">
        <v>-1.2096409938271899E-3</v>
      </c>
      <c r="W42">
        <v>-4.4066076502767199E-2</v>
      </c>
      <c r="X42">
        <v>0</v>
      </c>
      <c r="Y42">
        <v>0.82098829284415098</v>
      </c>
      <c r="Z42">
        <v>0</v>
      </c>
      <c r="AA42">
        <v>-1.38880573353474E-2</v>
      </c>
      <c r="AB42">
        <v>8.9415480387982596E-2</v>
      </c>
      <c r="AC42">
        <v>0</v>
      </c>
      <c r="AD42">
        <v>-0.316021487235504</v>
      </c>
      <c r="AE42">
        <v>6.7502182112869499E-2</v>
      </c>
      <c r="AF42">
        <v>0</v>
      </c>
      <c r="AG42" s="878">
        <v>44043</v>
      </c>
      <c r="AH42" s="873">
        <f t="shared" si="0"/>
        <v>44013</v>
      </c>
    </row>
    <row r="43" spans="1:34">
      <c r="A43">
        <v>2</v>
      </c>
      <c r="B43">
        <v>39</v>
      </c>
      <c r="C43" t="s">
        <v>180</v>
      </c>
      <c r="D43">
        <v>130</v>
      </c>
      <c r="E43">
        <v>13387324.99</v>
      </c>
      <c r="F43">
        <v>0</v>
      </c>
      <c r="G43" t="s">
        <v>175</v>
      </c>
      <c r="H43" t="s">
        <v>175</v>
      </c>
      <c r="I43" s="878">
        <v>44055</v>
      </c>
      <c r="J43">
        <v>2</v>
      </c>
      <c r="K43" t="s">
        <v>180</v>
      </c>
      <c r="L43">
        <v>39</v>
      </c>
      <c r="M43">
        <v>0.48551746237622001</v>
      </c>
      <c r="N43" t="s">
        <v>175</v>
      </c>
      <c r="O43">
        <v>0.37239457100000001</v>
      </c>
      <c r="P43">
        <v>0.14208796700000001</v>
      </c>
      <c r="Q43">
        <v>0.46384100770661102</v>
      </c>
      <c r="R43">
        <v>0</v>
      </c>
      <c r="S43">
        <v>0</v>
      </c>
      <c r="T43">
        <v>0.54118734625783305</v>
      </c>
      <c r="U43">
        <v>0</v>
      </c>
      <c r="V43">
        <v>-5.2029059544771598E-2</v>
      </c>
      <c r="W43">
        <v>-0.46748183204345201</v>
      </c>
      <c r="X43">
        <v>0</v>
      </c>
      <c r="Y43" t="s">
        <v>175</v>
      </c>
      <c r="Z43" t="s">
        <v>175</v>
      </c>
      <c r="AA43" t="s">
        <v>175</v>
      </c>
      <c r="AB43" t="s">
        <v>175</v>
      </c>
      <c r="AC43" t="s">
        <v>175</v>
      </c>
      <c r="AD43" t="s">
        <v>175</v>
      </c>
      <c r="AE43" t="s">
        <v>175</v>
      </c>
      <c r="AF43" t="s">
        <v>175</v>
      </c>
      <c r="AG43" s="878">
        <v>44055</v>
      </c>
      <c r="AH43" s="873">
        <f t="shared" si="0"/>
        <v>44044</v>
      </c>
    </row>
    <row r="44" spans="1:34">
      <c r="A44">
        <v>3</v>
      </c>
      <c r="B44">
        <v>39</v>
      </c>
      <c r="C44" t="s">
        <v>180</v>
      </c>
      <c r="D44">
        <v>130</v>
      </c>
      <c r="E44">
        <v>55242282.350000001</v>
      </c>
      <c r="F44">
        <v>0</v>
      </c>
      <c r="G44" t="s">
        <v>175</v>
      </c>
      <c r="H44" t="s">
        <v>175</v>
      </c>
      <c r="I44" s="878">
        <v>44088</v>
      </c>
      <c r="J44">
        <v>3</v>
      </c>
      <c r="K44" t="s">
        <v>180</v>
      </c>
      <c r="L44">
        <v>39</v>
      </c>
      <c r="M44">
        <v>0.71712321923716804</v>
      </c>
      <c r="N44" t="s">
        <v>175</v>
      </c>
      <c r="O44">
        <v>0.25165389999999999</v>
      </c>
      <c r="P44">
        <v>3.1222881000000001E-2</v>
      </c>
      <c r="Q44">
        <v>0.21610473686994899</v>
      </c>
      <c r="R44">
        <v>0</v>
      </c>
      <c r="S44">
        <v>1.4362386777897799E-4</v>
      </c>
      <c r="T44">
        <v>0.33162535175067898</v>
      </c>
      <c r="U44">
        <v>0</v>
      </c>
      <c r="V44">
        <v>-1.1781221120825601E-4</v>
      </c>
      <c r="W44">
        <v>0.16936731895996801</v>
      </c>
      <c r="X44">
        <v>0</v>
      </c>
      <c r="Y44" t="s">
        <v>175</v>
      </c>
      <c r="Z44" t="s">
        <v>175</v>
      </c>
      <c r="AA44" t="s">
        <v>175</v>
      </c>
      <c r="AB44" t="s">
        <v>175</v>
      </c>
      <c r="AC44" t="s">
        <v>175</v>
      </c>
      <c r="AD44" t="s">
        <v>175</v>
      </c>
      <c r="AE44" t="s">
        <v>175</v>
      </c>
      <c r="AF44" t="s">
        <v>175</v>
      </c>
      <c r="AG44" s="878">
        <v>44088</v>
      </c>
      <c r="AH44" s="873">
        <f t="shared" si="0"/>
        <v>44075</v>
      </c>
    </row>
    <row r="45" spans="1:34">
      <c r="A45">
        <v>4</v>
      </c>
      <c r="B45">
        <v>39</v>
      </c>
      <c r="C45" t="s">
        <v>180</v>
      </c>
      <c r="D45">
        <v>130</v>
      </c>
      <c r="E45">
        <v>16459523.9296073</v>
      </c>
      <c r="F45">
        <v>0</v>
      </c>
      <c r="G45" t="s">
        <v>175</v>
      </c>
      <c r="H45" t="s">
        <v>175</v>
      </c>
      <c r="I45" s="878">
        <v>44117</v>
      </c>
      <c r="J45">
        <v>4</v>
      </c>
      <c r="K45" t="s">
        <v>180</v>
      </c>
      <c r="L45">
        <v>39</v>
      </c>
      <c r="M45">
        <v>0.51425304487245604</v>
      </c>
      <c r="N45">
        <v>0</v>
      </c>
      <c r="O45">
        <v>0.44957964952023699</v>
      </c>
      <c r="P45">
        <v>3.6167305607306799E-2</v>
      </c>
      <c r="Q45">
        <v>-0.57848708466986698</v>
      </c>
      <c r="R45">
        <v>0</v>
      </c>
      <c r="S45">
        <v>3.6440487461283699E-4</v>
      </c>
      <c r="T45">
        <v>0.89227660237254303</v>
      </c>
      <c r="U45">
        <v>0</v>
      </c>
      <c r="V45">
        <v>-0.240404322221696</v>
      </c>
      <c r="W45">
        <v>0.44050344451686302</v>
      </c>
      <c r="X45">
        <v>0</v>
      </c>
      <c r="Y45" t="s">
        <v>175</v>
      </c>
      <c r="Z45" t="s">
        <v>175</v>
      </c>
      <c r="AA45" t="s">
        <v>175</v>
      </c>
      <c r="AB45" t="s">
        <v>175</v>
      </c>
      <c r="AC45" t="s">
        <v>175</v>
      </c>
      <c r="AD45" t="s">
        <v>175</v>
      </c>
      <c r="AE45" t="s">
        <v>175</v>
      </c>
      <c r="AF45" t="s">
        <v>175</v>
      </c>
      <c r="AG45" s="878">
        <v>44117</v>
      </c>
      <c r="AH45" s="873">
        <f t="shared" si="0"/>
        <v>44105</v>
      </c>
    </row>
    <row r="46" spans="1:34">
      <c r="A46">
        <v>5</v>
      </c>
      <c r="B46">
        <v>39</v>
      </c>
      <c r="C46" t="s">
        <v>180</v>
      </c>
      <c r="D46">
        <v>130</v>
      </c>
      <c r="E46">
        <v>56019997.980832599</v>
      </c>
      <c r="F46">
        <v>0</v>
      </c>
      <c r="G46" t="s">
        <v>175</v>
      </c>
      <c r="H46" t="s">
        <v>175</v>
      </c>
      <c r="I46" s="878">
        <v>44147</v>
      </c>
      <c r="J46">
        <v>5</v>
      </c>
      <c r="K46" t="s">
        <v>180</v>
      </c>
      <c r="L46">
        <v>39</v>
      </c>
      <c r="M46">
        <v>0.91466257040548604</v>
      </c>
      <c r="N46">
        <v>0</v>
      </c>
      <c r="O46">
        <v>8.5337429594514402E-2</v>
      </c>
      <c r="P46">
        <v>0</v>
      </c>
      <c r="Q46">
        <v>0.497913571946071</v>
      </c>
      <c r="R46">
        <v>0</v>
      </c>
      <c r="S46">
        <v>7.0386174315715196E-5</v>
      </c>
      <c r="T46">
        <v>0.163289501660315</v>
      </c>
      <c r="U46">
        <v>0</v>
      </c>
      <c r="V46">
        <v>0.16887188844685599</v>
      </c>
      <c r="W46">
        <v>8.4517222177927107E-2</v>
      </c>
      <c r="X46">
        <v>0</v>
      </c>
      <c r="Y46" t="s">
        <v>175</v>
      </c>
      <c r="Z46" t="s">
        <v>175</v>
      </c>
      <c r="AA46" t="s">
        <v>175</v>
      </c>
      <c r="AB46" t="s">
        <v>175</v>
      </c>
      <c r="AC46" t="s">
        <v>175</v>
      </c>
      <c r="AD46" t="s">
        <v>175</v>
      </c>
      <c r="AE46" t="s">
        <v>175</v>
      </c>
      <c r="AF46" t="s">
        <v>175</v>
      </c>
      <c r="AG46" s="878">
        <v>44147</v>
      </c>
      <c r="AH46" s="873">
        <f t="shared" si="0"/>
        <v>44136</v>
      </c>
    </row>
    <row r="47" spans="1:34">
      <c r="A47">
        <v>6</v>
      </c>
      <c r="B47">
        <v>39</v>
      </c>
      <c r="C47" t="s">
        <v>180</v>
      </c>
      <c r="D47">
        <v>130</v>
      </c>
      <c r="E47">
        <v>0</v>
      </c>
      <c r="F47">
        <v>0</v>
      </c>
      <c r="G47" t="s">
        <v>175</v>
      </c>
      <c r="H47" t="s">
        <v>175</v>
      </c>
      <c r="I47" s="878">
        <v>44179</v>
      </c>
      <c r="J47">
        <v>6</v>
      </c>
      <c r="K47" t="s">
        <v>180</v>
      </c>
      <c r="L47">
        <v>39</v>
      </c>
      <c r="M47" t="s">
        <v>175</v>
      </c>
      <c r="N47">
        <v>0</v>
      </c>
      <c r="O47" t="s">
        <v>175</v>
      </c>
      <c r="P47" t="s">
        <v>175</v>
      </c>
      <c r="Q47" t="s">
        <v>175</v>
      </c>
      <c r="R47" t="s">
        <v>175</v>
      </c>
      <c r="S47" t="s">
        <v>175</v>
      </c>
      <c r="T47" t="s">
        <v>175</v>
      </c>
      <c r="U47" t="s">
        <v>175</v>
      </c>
      <c r="V47" t="s">
        <v>175</v>
      </c>
      <c r="W47" t="s">
        <v>175</v>
      </c>
      <c r="X47" t="s">
        <v>175</v>
      </c>
      <c r="Y47" t="s">
        <v>175</v>
      </c>
      <c r="Z47" t="s">
        <v>175</v>
      </c>
      <c r="AA47" t="s">
        <v>175</v>
      </c>
      <c r="AB47" t="s">
        <v>175</v>
      </c>
      <c r="AC47" t="s">
        <v>175</v>
      </c>
      <c r="AD47" t="s">
        <v>175</v>
      </c>
      <c r="AE47" t="s">
        <v>175</v>
      </c>
      <c r="AF47" t="s">
        <v>175</v>
      </c>
      <c r="AG47" s="878">
        <v>44179</v>
      </c>
      <c r="AH47" s="873">
        <f t="shared" si="0"/>
        <v>44166</v>
      </c>
    </row>
    <row r="48" spans="1:34">
      <c r="A48">
        <v>7</v>
      </c>
      <c r="B48">
        <v>39</v>
      </c>
      <c r="C48" t="s">
        <v>180</v>
      </c>
      <c r="D48">
        <v>130</v>
      </c>
      <c r="E48">
        <v>0</v>
      </c>
      <c r="F48">
        <v>0</v>
      </c>
      <c r="G48" t="s">
        <v>175</v>
      </c>
      <c r="H48" t="s">
        <v>175</v>
      </c>
      <c r="I48" s="878">
        <v>44193</v>
      </c>
      <c r="J48">
        <v>7</v>
      </c>
      <c r="K48" t="s">
        <v>180</v>
      </c>
      <c r="L48">
        <v>39</v>
      </c>
      <c r="M48" t="s">
        <v>175</v>
      </c>
      <c r="N48">
        <v>0</v>
      </c>
      <c r="O48" t="s">
        <v>175</v>
      </c>
      <c r="P48" t="s">
        <v>175</v>
      </c>
      <c r="Q48" t="s">
        <v>175</v>
      </c>
      <c r="R48" t="s">
        <v>175</v>
      </c>
      <c r="S48" t="s">
        <v>175</v>
      </c>
      <c r="T48" t="s">
        <v>175</v>
      </c>
      <c r="U48" t="s">
        <v>175</v>
      </c>
      <c r="V48" t="s">
        <v>175</v>
      </c>
      <c r="W48" t="s">
        <v>175</v>
      </c>
      <c r="X48" t="s">
        <v>175</v>
      </c>
      <c r="Y48" t="s">
        <v>175</v>
      </c>
      <c r="Z48" t="s">
        <v>175</v>
      </c>
      <c r="AA48" t="s">
        <v>175</v>
      </c>
      <c r="AB48" t="s">
        <v>175</v>
      </c>
      <c r="AC48" t="s">
        <v>175</v>
      </c>
      <c r="AD48" t="s">
        <v>175</v>
      </c>
      <c r="AE48" t="s">
        <v>175</v>
      </c>
      <c r="AF48" t="s">
        <v>175</v>
      </c>
      <c r="AG48" s="878">
        <v>44193</v>
      </c>
      <c r="AH48" s="873">
        <f t="shared" si="0"/>
        <v>44166</v>
      </c>
    </row>
    <row r="49" spans="1:34">
      <c r="A49">
        <v>8</v>
      </c>
      <c r="B49">
        <v>39</v>
      </c>
      <c r="C49" t="s">
        <v>180</v>
      </c>
      <c r="D49">
        <v>130</v>
      </c>
      <c r="E49">
        <v>0</v>
      </c>
      <c r="F49">
        <v>0</v>
      </c>
      <c r="G49" t="s">
        <v>175</v>
      </c>
      <c r="H49" t="s">
        <v>175</v>
      </c>
      <c r="I49" s="878">
        <v>44208</v>
      </c>
      <c r="J49">
        <v>8</v>
      </c>
      <c r="K49" t="s">
        <v>180</v>
      </c>
      <c r="L49">
        <v>39</v>
      </c>
      <c r="M49" t="s">
        <v>175</v>
      </c>
      <c r="N49">
        <v>0</v>
      </c>
      <c r="O49" t="s">
        <v>175</v>
      </c>
      <c r="P49" t="s">
        <v>175</v>
      </c>
      <c r="Q49" t="s">
        <v>175</v>
      </c>
      <c r="R49" t="s">
        <v>175</v>
      </c>
      <c r="S49" t="s">
        <v>175</v>
      </c>
      <c r="T49" t="s">
        <v>175</v>
      </c>
      <c r="U49" t="s">
        <v>175</v>
      </c>
      <c r="V49" t="s">
        <v>175</v>
      </c>
      <c r="W49" t="s">
        <v>175</v>
      </c>
      <c r="X49" t="s">
        <v>175</v>
      </c>
      <c r="Y49" t="s">
        <v>175</v>
      </c>
      <c r="Z49" t="s">
        <v>175</v>
      </c>
      <c r="AA49" t="s">
        <v>175</v>
      </c>
      <c r="AB49" t="s">
        <v>175</v>
      </c>
      <c r="AC49" t="s">
        <v>175</v>
      </c>
      <c r="AD49" t="s">
        <v>175</v>
      </c>
      <c r="AE49" t="s">
        <v>175</v>
      </c>
      <c r="AF49" t="s">
        <v>175</v>
      </c>
      <c r="AG49" s="878">
        <v>44208</v>
      </c>
      <c r="AH49" s="873">
        <f t="shared" si="0"/>
        <v>44197</v>
      </c>
    </row>
    <row r="50" spans="1:34">
      <c r="A50">
        <v>1</v>
      </c>
      <c r="B50">
        <v>40</v>
      </c>
      <c r="C50" t="s">
        <v>181</v>
      </c>
      <c r="D50">
        <v>133</v>
      </c>
      <c r="E50">
        <v>52215774.079999998</v>
      </c>
      <c r="F50">
        <v>0</v>
      </c>
      <c r="G50">
        <v>14062550</v>
      </c>
      <c r="H50">
        <v>0</v>
      </c>
      <c r="I50" s="878">
        <v>44043</v>
      </c>
      <c r="J50">
        <v>1</v>
      </c>
      <c r="K50" t="s">
        <v>181</v>
      </c>
      <c r="L50">
        <v>40</v>
      </c>
      <c r="M50">
        <v>4.58694825800968E-2</v>
      </c>
      <c r="N50">
        <v>0.70506830224363304</v>
      </c>
      <c r="O50">
        <v>0.21215279336531601</v>
      </c>
      <c r="P50">
        <v>3.6909421810953899E-2</v>
      </c>
      <c r="Q50">
        <v>4.2321161005871098E-2</v>
      </c>
      <c r="R50">
        <v>0</v>
      </c>
      <c r="S50">
        <v>0</v>
      </c>
      <c r="T50">
        <v>-9.0815746616647198E-3</v>
      </c>
      <c r="U50">
        <v>0</v>
      </c>
      <c r="V50">
        <v>1.27036821868562E-2</v>
      </c>
      <c r="W50">
        <v>-7.3785950965738595E-5</v>
      </c>
      <c r="X50">
        <v>0</v>
      </c>
      <c r="Y50">
        <v>0.81504766380111604</v>
      </c>
      <c r="Z50">
        <v>0</v>
      </c>
      <c r="AA50">
        <v>-1.49965254866014E-2</v>
      </c>
      <c r="AB50">
        <v>0.13692001759292299</v>
      </c>
      <c r="AC50">
        <v>0</v>
      </c>
      <c r="AD50">
        <v>-0.30493907654152702</v>
      </c>
      <c r="AE50">
        <v>7.3036222877721907E-2</v>
      </c>
      <c r="AF50">
        <v>0</v>
      </c>
      <c r="AG50" s="878">
        <v>44043</v>
      </c>
      <c r="AH50" s="873">
        <f t="shared" si="0"/>
        <v>44013</v>
      </c>
    </row>
    <row r="51" spans="1:34">
      <c r="A51">
        <v>2</v>
      </c>
      <c r="B51">
        <v>40</v>
      </c>
      <c r="C51" t="s">
        <v>181</v>
      </c>
      <c r="D51">
        <v>133</v>
      </c>
      <c r="E51">
        <v>11928356.92</v>
      </c>
      <c r="F51">
        <v>0</v>
      </c>
      <c r="G51" t="s">
        <v>175</v>
      </c>
      <c r="H51" t="s">
        <v>175</v>
      </c>
      <c r="I51" s="878">
        <v>44055</v>
      </c>
      <c r="J51">
        <v>2</v>
      </c>
      <c r="K51" t="s">
        <v>181</v>
      </c>
      <c r="L51">
        <v>40</v>
      </c>
      <c r="M51">
        <v>0.48686343611096899</v>
      </c>
      <c r="N51" t="s">
        <v>175</v>
      </c>
      <c r="O51">
        <v>0.41449513199999999</v>
      </c>
      <c r="P51">
        <v>9.8641432000000001E-2</v>
      </c>
      <c r="Q51">
        <v>-0.142573991965043</v>
      </c>
      <c r="R51">
        <v>0</v>
      </c>
      <c r="S51">
        <v>0</v>
      </c>
      <c r="T51">
        <v>0.39741026619432901</v>
      </c>
      <c r="U51">
        <v>0</v>
      </c>
      <c r="V51">
        <v>0.232522714799098</v>
      </c>
      <c r="W51">
        <v>-4.9555291741507903E-4</v>
      </c>
      <c r="X51">
        <v>0</v>
      </c>
      <c r="Y51" t="s">
        <v>175</v>
      </c>
      <c r="Z51" t="s">
        <v>175</v>
      </c>
      <c r="AA51" t="s">
        <v>175</v>
      </c>
      <c r="AB51" t="s">
        <v>175</v>
      </c>
      <c r="AC51" t="s">
        <v>175</v>
      </c>
      <c r="AD51" t="s">
        <v>175</v>
      </c>
      <c r="AE51" t="s">
        <v>175</v>
      </c>
      <c r="AF51" t="s">
        <v>175</v>
      </c>
      <c r="AG51" s="878">
        <v>44055</v>
      </c>
      <c r="AH51" s="873">
        <f t="shared" si="0"/>
        <v>44044</v>
      </c>
    </row>
    <row r="52" spans="1:34">
      <c r="A52">
        <v>3</v>
      </c>
      <c r="B52">
        <v>40</v>
      </c>
      <c r="C52" t="s">
        <v>181</v>
      </c>
      <c r="D52">
        <v>133</v>
      </c>
      <c r="E52">
        <v>17272465</v>
      </c>
      <c r="F52">
        <v>0</v>
      </c>
      <c r="G52" t="s">
        <v>175</v>
      </c>
      <c r="H52" t="s">
        <v>175</v>
      </c>
      <c r="I52" s="878">
        <v>44088</v>
      </c>
      <c r="J52">
        <v>3</v>
      </c>
      <c r="K52" t="s">
        <v>181</v>
      </c>
      <c r="L52">
        <v>40</v>
      </c>
      <c r="M52">
        <v>0.368343424526275</v>
      </c>
      <c r="N52" t="s">
        <v>175</v>
      </c>
      <c r="O52">
        <v>0.56132359399999998</v>
      </c>
      <c r="P52">
        <v>7.0332982000000002E-2</v>
      </c>
      <c r="Q52">
        <v>-1.58870694755767E-3</v>
      </c>
      <c r="R52">
        <v>0</v>
      </c>
      <c r="S52">
        <v>0</v>
      </c>
      <c r="T52">
        <v>0.43199779671962701</v>
      </c>
      <c r="U52">
        <v>0</v>
      </c>
      <c r="V52">
        <v>-6.2600191250851298E-2</v>
      </c>
      <c r="W52">
        <v>5.3452600505722798E-4</v>
      </c>
      <c r="X52">
        <v>0</v>
      </c>
      <c r="Y52" t="s">
        <v>175</v>
      </c>
      <c r="Z52" t="s">
        <v>175</v>
      </c>
      <c r="AA52" t="s">
        <v>175</v>
      </c>
      <c r="AB52" t="s">
        <v>175</v>
      </c>
      <c r="AC52" t="s">
        <v>175</v>
      </c>
      <c r="AD52" t="s">
        <v>175</v>
      </c>
      <c r="AE52" t="s">
        <v>175</v>
      </c>
      <c r="AF52" t="s">
        <v>175</v>
      </c>
      <c r="AG52" s="878">
        <v>44088</v>
      </c>
      <c r="AH52" s="873">
        <f t="shared" si="0"/>
        <v>44075</v>
      </c>
    </row>
    <row r="53" spans="1:34">
      <c r="A53">
        <v>4</v>
      </c>
      <c r="B53">
        <v>40</v>
      </c>
      <c r="C53" t="s">
        <v>181</v>
      </c>
      <c r="D53">
        <v>133</v>
      </c>
      <c r="E53">
        <v>0</v>
      </c>
      <c r="F53">
        <v>0</v>
      </c>
      <c r="G53" t="s">
        <v>175</v>
      </c>
      <c r="H53" t="s">
        <v>175</v>
      </c>
      <c r="I53" s="878">
        <v>44117</v>
      </c>
      <c r="J53">
        <v>4</v>
      </c>
      <c r="K53" t="s">
        <v>181</v>
      </c>
      <c r="L53">
        <v>40</v>
      </c>
      <c r="M53" t="s">
        <v>175</v>
      </c>
      <c r="N53" t="s">
        <v>175</v>
      </c>
      <c r="O53" t="s">
        <v>175</v>
      </c>
      <c r="P53" t="s">
        <v>175</v>
      </c>
      <c r="Q53" t="s">
        <v>175</v>
      </c>
      <c r="R53" t="s">
        <v>175</v>
      </c>
      <c r="S53" t="s">
        <v>175</v>
      </c>
      <c r="T53" t="s">
        <v>175</v>
      </c>
      <c r="U53" t="s">
        <v>175</v>
      </c>
      <c r="V53" t="s">
        <v>175</v>
      </c>
      <c r="W53" t="s">
        <v>175</v>
      </c>
      <c r="X53" t="s">
        <v>175</v>
      </c>
      <c r="Y53" t="s">
        <v>175</v>
      </c>
      <c r="Z53" t="s">
        <v>175</v>
      </c>
      <c r="AA53" t="s">
        <v>175</v>
      </c>
      <c r="AB53" t="s">
        <v>175</v>
      </c>
      <c r="AC53" t="s">
        <v>175</v>
      </c>
      <c r="AD53" t="s">
        <v>175</v>
      </c>
      <c r="AE53" t="s">
        <v>175</v>
      </c>
      <c r="AF53" t="s">
        <v>175</v>
      </c>
      <c r="AG53" s="878">
        <v>44117</v>
      </c>
      <c r="AH53" s="873">
        <f t="shared" si="0"/>
        <v>44105</v>
      </c>
    </row>
    <row r="54" spans="1:34">
      <c r="A54">
        <v>5</v>
      </c>
      <c r="B54">
        <v>40</v>
      </c>
      <c r="C54" t="s">
        <v>181</v>
      </c>
      <c r="D54">
        <v>133</v>
      </c>
      <c r="E54">
        <v>0</v>
      </c>
      <c r="F54">
        <v>0</v>
      </c>
      <c r="G54" t="s">
        <v>175</v>
      </c>
      <c r="H54" t="s">
        <v>175</v>
      </c>
      <c r="I54" s="878">
        <v>44147</v>
      </c>
      <c r="J54">
        <v>5</v>
      </c>
      <c r="K54" t="s">
        <v>181</v>
      </c>
      <c r="L54">
        <v>40</v>
      </c>
      <c r="M54" t="s">
        <v>175</v>
      </c>
      <c r="N54" t="s">
        <v>175</v>
      </c>
      <c r="O54" t="s">
        <v>175</v>
      </c>
      <c r="P54" t="s">
        <v>175</v>
      </c>
      <c r="Q54" t="s">
        <v>175</v>
      </c>
      <c r="R54" t="s">
        <v>175</v>
      </c>
      <c r="S54" t="s">
        <v>175</v>
      </c>
      <c r="T54" t="s">
        <v>175</v>
      </c>
      <c r="U54" t="s">
        <v>175</v>
      </c>
      <c r="V54" t="s">
        <v>175</v>
      </c>
      <c r="W54" t="s">
        <v>175</v>
      </c>
      <c r="X54" t="s">
        <v>175</v>
      </c>
      <c r="Y54" t="s">
        <v>175</v>
      </c>
      <c r="Z54" t="s">
        <v>175</v>
      </c>
      <c r="AA54" t="s">
        <v>175</v>
      </c>
      <c r="AB54" t="s">
        <v>175</v>
      </c>
      <c r="AC54" t="s">
        <v>175</v>
      </c>
      <c r="AD54" t="s">
        <v>175</v>
      </c>
      <c r="AE54" t="s">
        <v>175</v>
      </c>
      <c r="AF54" t="s">
        <v>175</v>
      </c>
      <c r="AG54" s="878">
        <v>44147</v>
      </c>
      <c r="AH54" s="873">
        <f t="shared" si="0"/>
        <v>44136</v>
      </c>
    </row>
    <row r="55" spans="1:34">
      <c r="A55">
        <v>6</v>
      </c>
      <c r="B55">
        <v>40</v>
      </c>
      <c r="C55" t="s">
        <v>181</v>
      </c>
      <c r="D55">
        <v>133</v>
      </c>
      <c r="E55">
        <v>0</v>
      </c>
      <c r="F55">
        <v>0</v>
      </c>
      <c r="G55" t="s">
        <v>175</v>
      </c>
      <c r="H55" t="s">
        <v>175</v>
      </c>
      <c r="I55" s="878">
        <v>44179</v>
      </c>
      <c r="J55">
        <v>6</v>
      </c>
      <c r="K55" t="s">
        <v>181</v>
      </c>
      <c r="L55">
        <v>40</v>
      </c>
      <c r="M55" t="s">
        <v>175</v>
      </c>
      <c r="N55" t="s">
        <v>175</v>
      </c>
      <c r="O55" t="s">
        <v>175</v>
      </c>
      <c r="P55" t="s">
        <v>175</v>
      </c>
      <c r="Q55" t="s">
        <v>175</v>
      </c>
      <c r="R55" t="s">
        <v>175</v>
      </c>
      <c r="S55" t="s">
        <v>175</v>
      </c>
      <c r="T55" t="s">
        <v>175</v>
      </c>
      <c r="U55" t="s">
        <v>175</v>
      </c>
      <c r="V55" t="s">
        <v>175</v>
      </c>
      <c r="W55" t="s">
        <v>175</v>
      </c>
      <c r="X55" t="s">
        <v>175</v>
      </c>
      <c r="Y55" t="s">
        <v>175</v>
      </c>
      <c r="Z55" t="s">
        <v>175</v>
      </c>
      <c r="AA55" t="s">
        <v>175</v>
      </c>
      <c r="AB55" t="s">
        <v>175</v>
      </c>
      <c r="AC55" t="s">
        <v>175</v>
      </c>
      <c r="AD55" t="s">
        <v>175</v>
      </c>
      <c r="AE55" t="s">
        <v>175</v>
      </c>
      <c r="AF55" t="s">
        <v>175</v>
      </c>
      <c r="AG55" s="878">
        <v>44179</v>
      </c>
      <c r="AH55" s="873">
        <f t="shared" si="0"/>
        <v>44166</v>
      </c>
    </row>
    <row r="56" spans="1:34">
      <c r="A56">
        <v>7</v>
      </c>
      <c r="B56">
        <v>40</v>
      </c>
      <c r="C56" t="s">
        <v>181</v>
      </c>
      <c r="D56">
        <v>133</v>
      </c>
      <c r="E56">
        <v>0</v>
      </c>
      <c r="F56">
        <v>0</v>
      </c>
      <c r="G56" t="s">
        <v>175</v>
      </c>
      <c r="H56" t="s">
        <v>175</v>
      </c>
      <c r="I56" s="878">
        <v>44193</v>
      </c>
      <c r="J56">
        <v>7</v>
      </c>
      <c r="K56" t="s">
        <v>181</v>
      </c>
      <c r="L56">
        <v>40</v>
      </c>
      <c r="M56" t="s">
        <v>175</v>
      </c>
      <c r="N56" t="s">
        <v>175</v>
      </c>
      <c r="O56" t="s">
        <v>175</v>
      </c>
      <c r="P56" t="s">
        <v>175</v>
      </c>
      <c r="Q56" t="s">
        <v>175</v>
      </c>
      <c r="R56" t="s">
        <v>175</v>
      </c>
      <c r="S56" t="s">
        <v>175</v>
      </c>
      <c r="T56" t="s">
        <v>175</v>
      </c>
      <c r="U56" t="s">
        <v>175</v>
      </c>
      <c r="V56" t="s">
        <v>175</v>
      </c>
      <c r="W56" t="s">
        <v>175</v>
      </c>
      <c r="X56" t="s">
        <v>175</v>
      </c>
      <c r="Y56" t="s">
        <v>175</v>
      </c>
      <c r="Z56" t="s">
        <v>175</v>
      </c>
      <c r="AA56" t="s">
        <v>175</v>
      </c>
      <c r="AB56" t="s">
        <v>175</v>
      </c>
      <c r="AC56" t="s">
        <v>175</v>
      </c>
      <c r="AD56" t="s">
        <v>175</v>
      </c>
      <c r="AE56" t="s">
        <v>175</v>
      </c>
      <c r="AF56" t="s">
        <v>175</v>
      </c>
      <c r="AG56" s="878">
        <v>44193</v>
      </c>
      <c r="AH56" s="873">
        <f t="shared" si="0"/>
        <v>44166</v>
      </c>
    </row>
    <row r="57" spans="1:34">
      <c r="A57">
        <v>8</v>
      </c>
      <c r="B57">
        <v>40</v>
      </c>
      <c r="C57" t="s">
        <v>181</v>
      </c>
      <c r="D57">
        <v>133</v>
      </c>
      <c r="E57">
        <v>0</v>
      </c>
      <c r="F57">
        <v>0</v>
      </c>
      <c r="G57" t="s">
        <v>175</v>
      </c>
      <c r="H57" t="s">
        <v>175</v>
      </c>
      <c r="I57" s="878">
        <v>44208</v>
      </c>
      <c r="J57">
        <v>8</v>
      </c>
      <c r="K57" t="s">
        <v>181</v>
      </c>
      <c r="L57">
        <v>40</v>
      </c>
      <c r="M57" t="s">
        <v>175</v>
      </c>
      <c r="N57" t="s">
        <v>175</v>
      </c>
      <c r="O57" t="s">
        <v>175</v>
      </c>
      <c r="P57" t="s">
        <v>175</v>
      </c>
      <c r="Q57" t="s">
        <v>175</v>
      </c>
      <c r="R57" t="s">
        <v>175</v>
      </c>
      <c r="S57" t="s">
        <v>175</v>
      </c>
      <c r="T57" t="s">
        <v>175</v>
      </c>
      <c r="U57" t="s">
        <v>175</v>
      </c>
      <c r="V57" t="s">
        <v>175</v>
      </c>
      <c r="W57" t="s">
        <v>175</v>
      </c>
      <c r="X57" t="s">
        <v>175</v>
      </c>
      <c r="Y57" t="s">
        <v>175</v>
      </c>
      <c r="Z57" t="s">
        <v>175</v>
      </c>
      <c r="AA57" t="s">
        <v>175</v>
      </c>
      <c r="AB57" t="s">
        <v>175</v>
      </c>
      <c r="AC57" t="s">
        <v>175</v>
      </c>
      <c r="AD57" t="s">
        <v>175</v>
      </c>
      <c r="AE57" t="s">
        <v>175</v>
      </c>
      <c r="AF57" t="s">
        <v>175</v>
      </c>
      <c r="AG57" s="878">
        <v>44208</v>
      </c>
      <c r="AH57" s="873">
        <f t="shared" si="0"/>
        <v>44197</v>
      </c>
    </row>
    <row r="58" spans="1:34">
      <c r="A58">
        <v>1</v>
      </c>
      <c r="B58">
        <v>43</v>
      </c>
      <c r="C58" t="s">
        <v>182</v>
      </c>
      <c r="D58">
        <v>114</v>
      </c>
      <c r="E58">
        <v>297595795.19</v>
      </c>
      <c r="F58">
        <v>0</v>
      </c>
      <c r="G58">
        <v>47551108</v>
      </c>
      <c r="H58">
        <v>0</v>
      </c>
      <c r="I58" s="878">
        <v>44043</v>
      </c>
      <c r="J58">
        <v>1</v>
      </c>
      <c r="K58" t="s">
        <v>182</v>
      </c>
      <c r="L58">
        <v>43</v>
      </c>
      <c r="M58">
        <v>4.8692043837694897E-2</v>
      </c>
      <c r="N58">
        <v>0.600279026328013</v>
      </c>
      <c r="O58">
        <v>0.31447832414778398</v>
      </c>
      <c r="P58">
        <v>3.65506056865086E-2</v>
      </c>
      <c r="Q58">
        <v>3.8210160520516297E-2</v>
      </c>
      <c r="R58">
        <v>0</v>
      </c>
      <c r="S58">
        <v>0</v>
      </c>
      <c r="T58">
        <v>-1.18180323332271E-2</v>
      </c>
      <c r="U58">
        <v>0</v>
      </c>
      <c r="V58">
        <v>2.2375562753798602E-2</v>
      </c>
      <c r="W58">
        <v>-7.5647103392867106E-5</v>
      </c>
      <c r="X58">
        <v>0</v>
      </c>
      <c r="Y58">
        <v>0.72656226752056197</v>
      </c>
      <c r="Z58">
        <v>0</v>
      </c>
      <c r="AA58">
        <v>-1.2988289884426799E-2</v>
      </c>
      <c r="AB58">
        <v>0.11566631037990199</v>
      </c>
      <c r="AC58">
        <v>0</v>
      </c>
      <c r="AD58">
        <v>-0.27509237758009297</v>
      </c>
      <c r="AE58">
        <v>4.6131115892069197E-2</v>
      </c>
      <c r="AF58">
        <v>0</v>
      </c>
      <c r="AG58" s="878">
        <v>44043</v>
      </c>
      <c r="AH58" s="873">
        <f t="shared" si="0"/>
        <v>44013</v>
      </c>
    </row>
    <row r="59" spans="1:34">
      <c r="A59">
        <v>2</v>
      </c>
      <c r="B59">
        <v>43</v>
      </c>
      <c r="C59" t="s">
        <v>182</v>
      </c>
      <c r="D59">
        <v>114</v>
      </c>
      <c r="E59">
        <v>52402519.450000003</v>
      </c>
      <c r="F59">
        <v>0</v>
      </c>
      <c r="G59" t="s">
        <v>175</v>
      </c>
      <c r="H59" t="s">
        <v>175</v>
      </c>
      <c r="I59" s="878">
        <v>44055</v>
      </c>
      <c r="J59">
        <v>2</v>
      </c>
      <c r="K59" t="s">
        <v>182</v>
      </c>
      <c r="L59">
        <v>43</v>
      </c>
      <c r="M59">
        <v>0.62644250671241297</v>
      </c>
      <c r="N59" t="s">
        <v>175</v>
      </c>
      <c r="O59">
        <v>0.32806476600000001</v>
      </c>
      <c r="P59">
        <v>4.5492726999999997E-2</v>
      </c>
      <c r="Q59">
        <v>3.33778406735089E-2</v>
      </c>
      <c r="R59">
        <v>0</v>
      </c>
      <c r="S59">
        <v>0</v>
      </c>
      <c r="T59">
        <v>0</v>
      </c>
      <c r="U59">
        <v>0.41564271932101199</v>
      </c>
      <c r="V59">
        <v>0.178057568157202</v>
      </c>
      <c r="W59">
        <v>-6.3562143930992097E-4</v>
      </c>
      <c r="X59">
        <v>0</v>
      </c>
      <c r="Y59" t="s">
        <v>175</v>
      </c>
      <c r="Z59" t="s">
        <v>175</v>
      </c>
      <c r="AA59" t="s">
        <v>175</v>
      </c>
      <c r="AB59" t="s">
        <v>175</v>
      </c>
      <c r="AC59" t="s">
        <v>175</v>
      </c>
      <c r="AD59" t="s">
        <v>175</v>
      </c>
      <c r="AE59" t="s">
        <v>175</v>
      </c>
      <c r="AF59" t="s">
        <v>175</v>
      </c>
      <c r="AG59" s="878">
        <v>44055</v>
      </c>
      <c r="AH59" s="873">
        <f t="shared" si="0"/>
        <v>44044</v>
      </c>
    </row>
    <row r="60" spans="1:34">
      <c r="A60">
        <v>3</v>
      </c>
      <c r="B60">
        <v>43</v>
      </c>
      <c r="C60" t="s">
        <v>182</v>
      </c>
      <c r="D60">
        <v>114</v>
      </c>
      <c r="E60">
        <v>57169107.359999999</v>
      </c>
      <c r="F60">
        <v>0</v>
      </c>
      <c r="G60" t="s">
        <v>175</v>
      </c>
      <c r="H60" t="s">
        <v>175</v>
      </c>
      <c r="I60" s="878">
        <v>44088</v>
      </c>
      <c r="J60">
        <v>3</v>
      </c>
      <c r="K60" t="s">
        <v>182</v>
      </c>
      <c r="L60">
        <v>43</v>
      </c>
      <c r="M60">
        <v>0.27673241949230598</v>
      </c>
      <c r="N60" t="s">
        <v>175</v>
      </c>
      <c r="O60">
        <v>0.60262294299999997</v>
      </c>
      <c r="P60">
        <v>0.120644638</v>
      </c>
      <c r="Q60">
        <v>2.2502298224128602E-2</v>
      </c>
      <c r="R60">
        <v>0</v>
      </c>
      <c r="S60">
        <v>0</v>
      </c>
      <c r="T60">
        <v>0.31069594238152698</v>
      </c>
      <c r="U60">
        <v>0</v>
      </c>
      <c r="V60">
        <v>-5.6062104989897103E-2</v>
      </c>
      <c r="W60">
        <v>-4.03716123452679E-4</v>
      </c>
      <c r="X60">
        <v>0</v>
      </c>
      <c r="Y60" t="s">
        <v>175</v>
      </c>
      <c r="Z60" t="s">
        <v>175</v>
      </c>
      <c r="AA60" t="s">
        <v>175</v>
      </c>
      <c r="AB60" t="s">
        <v>175</v>
      </c>
      <c r="AC60" t="s">
        <v>175</v>
      </c>
      <c r="AD60" t="s">
        <v>175</v>
      </c>
      <c r="AE60" t="s">
        <v>175</v>
      </c>
      <c r="AF60" t="s">
        <v>175</v>
      </c>
      <c r="AG60" s="878">
        <v>44088</v>
      </c>
      <c r="AH60" s="873">
        <f t="shared" si="0"/>
        <v>44075</v>
      </c>
    </row>
    <row r="61" spans="1:34">
      <c r="A61">
        <v>4</v>
      </c>
      <c r="B61">
        <v>43</v>
      </c>
      <c r="C61" t="s">
        <v>182</v>
      </c>
      <c r="D61">
        <v>114</v>
      </c>
      <c r="E61">
        <v>0</v>
      </c>
      <c r="F61">
        <v>0</v>
      </c>
      <c r="G61" t="s">
        <v>175</v>
      </c>
      <c r="H61" t="s">
        <v>175</v>
      </c>
      <c r="I61" s="878">
        <v>44117</v>
      </c>
      <c r="J61">
        <v>4</v>
      </c>
      <c r="K61" t="s">
        <v>182</v>
      </c>
      <c r="L61">
        <v>43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 t="s">
        <v>175</v>
      </c>
      <c r="Z61" t="s">
        <v>175</v>
      </c>
      <c r="AA61" t="s">
        <v>175</v>
      </c>
      <c r="AB61" t="s">
        <v>175</v>
      </c>
      <c r="AC61" t="s">
        <v>175</v>
      </c>
      <c r="AD61" t="s">
        <v>175</v>
      </c>
      <c r="AE61" t="s">
        <v>175</v>
      </c>
      <c r="AF61" t="s">
        <v>175</v>
      </c>
      <c r="AG61" s="878">
        <v>44117</v>
      </c>
      <c r="AH61" s="873">
        <f t="shared" si="0"/>
        <v>44105</v>
      </c>
    </row>
    <row r="62" spans="1:34">
      <c r="A62">
        <v>5</v>
      </c>
      <c r="B62">
        <v>43</v>
      </c>
      <c r="C62" t="s">
        <v>182</v>
      </c>
      <c r="D62">
        <v>114</v>
      </c>
      <c r="E62">
        <v>0</v>
      </c>
      <c r="F62">
        <v>0</v>
      </c>
      <c r="G62" t="s">
        <v>175</v>
      </c>
      <c r="H62" t="s">
        <v>175</v>
      </c>
      <c r="I62" s="878">
        <v>44147</v>
      </c>
      <c r="J62">
        <v>5</v>
      </c>
      <c r="K62" t="s">
        <v>182</v>
      </c>
      <c r="L62">
        <v>43</v>
      </c>
      <c r="M62" t="s">
        <v>175</v>
      </c>
      <c r="N62" t="s">
        <v>175</v>
      </c>
      <c r="O62" t="s">
        <v>175</v>
      </c>
      <c r="P62" t="s">
        <v>175</v>
      </c>
      <c r="Q62" t="s">
        <v>175</v>
      </c>
      <c r="R62" t="s">
        <v>175</v>
      </c>
      <c r="S62" t="s">
        <v>175</v>
      </c>
      <c r="T62" t="s">
        <v>175</v>
      </c>
      <c r="U62" t="s">
        <v>175</v>
      </c>
      <c r="V62" t="s">
        <v>175</v>
      </c>
      <c r="W62" t="s">
        <v>175</v>
      </c>
      <c r="X62" t="s">
        <v>175</v>
      </c>
      <c r="Y62" t="s">
        <v>175</v>
      </c>
      <c r="Z62" t="s">
        <v>175</v>
      </c>
      <c r="AA62" t="s">
        <v>175</v>
      </c>
      <c r="AB62" t="s">
        <v>175</v>
      </c>
      <c r="AC62" t="s">
        <v>175</v>
      </c>
      <c r="AD62" t="s">
        <v>175</v>
      </c>
      <c r="AE62" t="s">
        <v>175</v>
      </c>
      <c r="AF62" t="s">
        <v>175</v>
      </c>
      <c r="AG62" s="878">
        <v>44147</v>
      </c>
      <c r="AH62" s="873">
        <f t="shared" si="0"/>
        <v>44136</v>
      </c>
    </row>
    <row r="63" spans="1:34">
      <c r="A63">
        <v>6</v>
      </c>
      <c r="B63">
        <v>43</v>
      </c>
      <c r="C63" t="s">
        <v>182</v>
      </c>
      <c r="D63">
        <v>114</v>
      </c>
      <c r="E63">
        <v>0</v>
      </c>
      <c r="F63">
        <v>0</v>
      </c>
      <c r="G63" t="s">
        <v>175</v>
      </c>
      <c r="H63" t="s">
        <v>175</v>
      </c>
      <c r="I63" s="878">
        <v>44179</v>
      </c>
      <c r="J63">
        <v>6</v>
      </c>
      <c r="K63" t="s">
        <v>182</v>
      </c>
      <c r="L63">
        <v>43</v>
      </c>
      <c r="M63" t="s">
        <v>175</v>
      </c>
      <c r="N63" t="s">
        <v>175</v>
      </c>
      <c r="O63" t="s">
        <v>175</v>
      </c>
      <c r="P63" t="s">
        <v>175</v>
      </c>
      <c r="Q63" t="s">
        <v>175</v>
      </c>
      <c r="R63" t="s">
        <v>175</v>
      </c>
      <c r="S63" t="s">
        <v>175</v>
      </c>
      <c r="T63" t="s">
        <v>175</v>
      </c>
      <c r="U63" t="s">
        <v>175</v>
      </c>
      <c r="V63" t="s">
        <v>175</v>
      </c>
      <c r="W63" t="s">
        <v>175</v>
      </c>
      <c r="X63" t="s">
        <v>175</v>
      </c>
      <c r="Y63" t="s">
        <v>175</v>
      </c>
      <c r="Z63" t="s">
        <v>175</v>
      </c>
      <c r="AA63" t="s">
        <v>175</v>
      </c>
      <c r="AB63" t="s">
        <v>175</v>
      </c>
      <c r="AC63" t="s">
        <v>175</v>
      </c>
      <c r="AD63" t="s">
        <v>175</v>
      </c>
      <c r="AE63" t="s">
        <v>175</v>
      </c>
      <c r="AF63" t="s">
        <v>175</v>
      </c>
      <c r="AG63" s="878">
        <v>44179</v>
      </c>
      <c r="AH63" s="873">
        <f t="shared" si="0"/>
        <v>44166</v>
      </c>
    </row>
    <row r="64" spans="1:34">
      <c r="A64">
        <v>7</v>
      </c>
      <c r="B64">
        <v>43</v>
      </c>
      <c r="C64" t="s">
        <v>182</v>
      </c>
      <c r="D64">
        <v>114</v>
      </c>
      <c r="E64">
        <v>0</v>
      </c>
      <c r="F64">
        <v>0</v>
      </c>
      <c r="G64" t="s">
        <v>175</v>
      </c>
      <c r="H64" t="s">
        <v>175</v>
      </c>
      <c r="I64" s="878">
        <v>44193</v>
      </c>
      <c r="J64">
        <v>7</v>
      </c>
      <c r="K64" t="s">
        <v>182</v>
      </c>
      <c r="L64">
        <v>43</v>
      </c>
      <c r="M64" t="s">
        <v>175</v>
      </c>
      <c r="N64" t="s">
        <v>175</v>
      </c>
      <c r="O64" t="s">
        <v>175</v>
      </c>
      <c r="P64" t="s">
        <v>175</v>
      </c>
      <c r="Q64" t="s">
        <v>175</v>
      </c>
      <c r="R64" t="s">
        <v>175</v>
      </c>
      <c r="S64" t="s">
        <v>175</v>
      </c>
      <c r="T64" t="s">
        <v>175</v>
      </c>
      <c r="U64" t="s">
        <v>175</v>
      </c>
      <c r="V64" t="s">
        <v>175</v>
      </c>
      <c r="W64" t="s">
        <v>175</v>
      </c>
      <c r="X64" t="s">
        <v>175</v>
      </c>
      <c r="Y64" t="s">
        <v>175</v>
      </c>
      <c r="Z64" t="s">
        <v>175</v>
      </c>
      <c r="AA64" t="s">
        <v>175</v>
      </c>
      <c r="AB64" t="s">
        <v>175</v>
      </c>
      <c r="AC64" t="s">
        <v>175</v>
      </c>
      <c r="AD64" t="s">
        <v>175</v>
      </c>
      <c r="AE64" t="s">
        <v>175</v>
      </c>
      <c r="AF64" t="s">
        <v>175</v>
      </c>
      <c r="AG64" s="878">
        <v>44193</v>
      </c>
      <c r="AH64" s="873">
        <f t="shared" si="0"/>
        <v>44166</v>
      </c>
    </row>
    <row r="65" spans="1:34">
      <c r="A65">
        <v>8</v>
      </c>
      <c r="B65">
        <v>43</v>
      </c>
      <c r="C65" t="s">
        <v>182</v>
      </c>
      <c r="D65">
        <v>114</v>
      </c>
      <c r="E65">
        <v>0</v>
      </c>
      <c r="F65">
        <v>0</v>
      </c>
      <c r="G65" t="s">
        <v>175</v>
      </c>
      <c r="H65" t="s">
        <v>175</v>
      </c>
      <c r="I65" s="878">
        <v>44208</v>
      </c>
      <c r="J65">
        <v>8</v>
      </c>
      <c r="K65" t="s">
        <v>182</v>
      </c>
      <c r="L65">
        <v>43</v>
      </c>
      <c r="M65" t="s">
        <v>175</v>
      </c>
      <c r="N65" t="s">
        <v>175</v>
      </c>
      <c r="O65" t="s">
        <v>175</v>
      </c>
      <c r="P65" t="s">
        <v>175</v>
      </c>
      <c r="Q65" t="s">
        <v>175</v>
      </c>
      <c r="R65" t="s">
        <v>175</v>
      </c>
      <c r="S65" t="s">
        <v>175</v>
      </c>
      <c r="T65" t="s">
        <v>175</v>
      </c>
      <c r="U65" t="s">
        <v>175</v>
      </c>
      <c r="V65" t="s">
        <v>175</v>
      </c>
      <c r="W65" t="s">
        <v>175</v>
      </c>
      <c r="X65" t="s">
        <v>175</v>
      </c>
      <c r="Y65" t="s">
        <v>175</v>
      </c>
      <c r="Z65" t="s">
        <v>175</v>
      </c>
      <c r="AA65" t="s">
        <v>175</v>
      </c>
      <c r="AB65" t="s">
        <v>175</v>
      </c>
      <c r="AC65" t="s">
        <v>175</v>
      </c>
      <c r="AD65" t="s">
        <v>175</v>
      </c>
      <c r="AE65" t="s">
        <v>175</v>
      </c>
      <c r="AF65" t="s">
        <v>175</v>
      </c>
      <c r="AG65" s="878">
        <v>44208</v>
      </c>
      <c r="AH65" s="873">
        <f t="shared" si="0"/>
        <v>44197</v>
      </c>
    </row>
    <row r="66" spans="1:34">
      <c r="A66">
        <v>1</v>
      </c>
      <c r="B66">
        <v>44</v>
      </c>
      <c r="C66" t="s">
        <v>183</v>
      </c>
      <c r="D66">
        <v>108</v>
      </c>
      <c r="E66">
        <v>132078968.16502599</v>
      </c>
      <c r="F66">
        <v>0</v>
      </c>
      <c r="G66">
        <v>24335496</v>
      </c>
      <c r="H66">
        <v>164529925</v>
      </c>
      <c r="I66" s="878">
        <v>44043</v>
      </c>
      <c r="J66">
        <v>1</v>
      </c>
      <c r="K66" t="s">
        <v>183</v>
      </c>
      <c r="L66">
        <v>44</v>
      </c>
      <c r="M66">
        <v>0.10243625603247</v>
      </c>
      <c r="N66">
        <v>0.84194069858769705</v>
      </c>
      <c r="O66">
        <v>5.1964828457170702E-2</v>
      </c>
      <c r="P66">
        <v>3.6582169226620702E-3</v>
      </c>
      <c r="Q66">
        <v>5.1758951152007203E-2</v>
      </c>
      <c r="R66">
        <v>0</v>
      </c>
      <c r="S66">
        <v>-8.7352129044637396E-6</v>
      </c>
      <c r="T66">
        <v>-1.23338166662304E-2</v>
      </c>
      <c r="U66">
        <v>0</v>
      </c>
      <c r="V66">
        <v>2.92339062284631E-2</v>
      </c>
      <c r="W66">
        <v>3.3785950531134298E-2</v>
      </c>
      <c r="X66">
        <v>0</v>
      </c>
      <c r="Y66">
        <v>0.76172005412538502</v>
      </c>
      <c r="Z66">
        <v>0</v>
      </c>
      <c r="AA66">
        <v>-1.34390257624707E-2</v>
      </c>
      <c r="AB66">
        <v>0.18263585719408801</v>
      </c>
      <c r="AC66">
        <v>0</v>
      </c>
      <c r="AD66">
        <v>-0.151264825873037</v>
      </c>
      <c r="AE66">
        <v>6.2288638903731403E-2</v>
      </c>
      <c r="AF66">
        <v>0</v>
      </c>
      <c r="AG66" s="878">
        <v>44043</v>
      </c>
      <c r="AH66" s="873">
        <f t="shared" si="0"/>
        <v>44013</v>
      </c>
    </row>
    <row r="67" spans="1:34">
      <c r="A67">
        <v>2</v>
      </c>
      <c r="B67">
        <v>44</v>
      </c>
      <c r="C67" t="s">
        <v>183</v>
      </c>
      <c r="D67">
        <v>108</v>
      </c>
      <c r="E67">
        <v>3689304.8349740701</v>
      </c>
      <c r="F67">
        <v>0</v>
      </c>
      <c r="G67" t="s">
        <v>175</v>
      </c>
      <c r="H67" t="s">
        <v>175</v>
      </c>
      <c r="I67" s="878">
        <v>44055</v>
      </c>
      <c r="J67">
        <v>2</v>
      </c>
      <c r="K67" t="s">
        <v>183</v>
      </c>
      <c r="L67">
        <v>44</v>
      </c>
      <c r="M67">
        <v>0.80009057102396697</v>
      </c>
      <c r="N67" t="s">
        <v>175</v>
      </c>
      <c r="O67">
        <v>0.159993055</v>
      </c>
      <c r="P67">
        <v>3.9916373999999998E-2</v>
      </c>
      <c r="Q67">
        <v>0.33431290681896603</v>
      </c>
      <c r="R67">
        <v>0</v>
      </c>
      <c r="S67">
        <v>-5.17391696916318E-5</v>
      </c>
      <c r="T67">
        <v>0.395788378241415</v>
      </c>
      <c r="U67">
        <v>0</v>
      </c>
      <c r="V67">
        <v>7.0374666901664107E-2</v>
      </c>
      <c r="W67">
        <v>-3.33641768386326E-4</v>
      </c>
      <c r="X67">
        <v>0</v>
      </c>
      <c r="Y67" t="s">
        <v>175</v>
      </c>
      <c r="Z67" t="s">
        <v>175</v>
      </c>
      <c r="AA67" t="s">
        <v>175</v>
      </c>
      <c r="AB67" t="s">
        <v>175</v>
      </c>
      <c r="AC67" t="s">
        <v>175</v>
      </c>
      <c r="AD67" t="s">
        <v>175</v>
      </c>
      <c r="AE67" t="s">
        <v>175</v>
      </c>
      <c r="AF67" t="s">
        <v>175</v>
      </c>
      <c r="AG67" s="878">
        <v>44055</v>
      </c>
      <c r="AH67" s="873">
        <f t="shared" ref="AH67:AH130" si="1">DATE(YEAR(I67),MONTH(I67),1)</f>
        <v>44044</v>
      </c>
    </row>
    <row r="68" spans="1:34">
      <c r="A68">
        <v>3</v>
      </c>
      <c r="B68">
        <v>44</v>
      </c>
      <c r="C68" t="s">
        <v>183</v>
      </c>
      <c r="D68">
        <v>108</v>
      </c>
      <c r="E68">
        <v>0</v>
      </c>
      <c r="F68">
        <v>0</v>
      </c>
      <c r="G68" t="s">
        <v>175</v>
      </c>
      <c r="H68" t="s">
        <v>175</v>
      </c>
      <c r="I68" s="878">
        <v>44088</v>
      </c>
      <c r="J68">
        <v>3</v>
      </c>
      <c r="K68" t="s">
        <v>183</v>
      </c>
      <c r="L68">
        <v>44</v>
      </c>
      <c r="M68">
        <v>0.56317249110675205</v>
      </c>
      <c r="N68" t="s">
        <v>175</v>
      </c>
      <c r="O68">
        <v>0.38217756349999998</v>
      </c>
      <c r="P68">
        <v>5.464994535E-2</v>
      </c>
      <c r="Q68">
        <v>-7.2581043745785001E-2</v>
      </c>
      <c r="R68">
        <v>0</v>
      </c>
      <c r="S68">
        <v>-6.4820153906737201E-5</v>
      </c>
      <c r="T68">
        <v>0.60840853948899798</v>
      </c>
      <c r="U68">
        <v>0</v>
      </c>
      <c r="V68">
        <v>2.6525594296728301E-2</v>
      </c>
      <c r="W68">
        <v>8.8422122071708201E-4</v>
      </c>
      <c r="X68">
        <v>0</v>
      </c>
      <c r="Y68" t="s">
        <v>175</v>
      </c>
      <c r="Z68" t="s">
        <v>175</v>
      </c>
      <c r="AA68" t="s">
        <v>175</v>
      </c>
      <c r="AB68" t="s">
        <v>175</v>
      </c>
      <c r="AC68" t="s">
        <v>175</v>
      </c>
      <c r="AD68" t="s">
        <v>175</v>
      </c>
      <c r="AE68" t="s">
        <v>175</v>
      </c>
      <c r="AF68" t="s">
        <v>175</v>
      </c>
      <c r="AG68" s="878">
        <v>44088</v>
      </c>
      <c r="AH68" s="873">
        <f t="shared" si="1"/>
        <v>44075</v>
      </c>
    </row>
    <row r="69" spans="1:34">
      <c r="A69">
        <v>4</v>
      </c>
      <c r="B69">
        <v>44</v>
      </c>
      <c r="C69" t="s">
        <v>183</v>
      </c>
      <c r="D69">
        <v>108</v>
      </c>
      <c r="E69">
        <v>0</v>
      </c>
      <c r="F69">
        <v>0</v>
      </c>
      <c r="G69" t="s">
        <v>175</v>
      </c>
      <c r="H69" t="s">
        <v>175</v>
      </c>
      <c r="I69" s="878">
        <v>44117</v>
      </c>
      <c r="J69">
        <v>4</v>
      </c>
      <c r="K69" t="s">
        <v>183</v>
      </c>
      <c r="L69">
        <v>44</v>
      </c>
      <c r="M69">
        <v>0.46503753375045398</v>
      </c>
      <c r="N69">
        <v>0</v>
      </c>
      <c r="O69">
        <v>0.290099394189541</v>
      </c>
      <c r="P69">
        <v>0.24486307206000499</v>
      </c>
      <c r="Q69">
        <v>-1.8816345048079299E-2</v>
      </c>
      <c r="R69">
        <v>0</v>
      </c>
      <c r="S69">
        <v>-5.9681716529128599E-5</v>
      </c>
      <c r="T69">
        <v>0.53882076675359702</v>
      </c>
      <c r="U69">
        <v>0</v>
      </c>
      <c r="V69">
        <v>-5.5845893510386199E-2</v>
      </c>
      <c r="W69">
        <v>9.3868727185144197E-4</v>
      </c>
      <c r="X69">
        <v>0</v>
      </c>
      <c r="Y69" t="s">
        <v>175</v>
      </c>
      <c r="Z69" t="s">
        <v>175</v>
      </c>
      <c r="AA69" t="s">
        <v>175</v>
      </c>
      <c r="AB69" t="s">
        <v>175</v>
      </c>
      <c r="AC69" t="s">
        <v>175</v>
      </c>
      <c r="AD69" t="s">
        <v>175</v>
      </c>
      <c r="AE69" t="s">
        <v>175</v>
      </c>
      <c r="AF69" t="s">
        <v>175</v>
      </c>
      <c r="AG69" s="878">
        <v>44117</v>
      </c>
      <c r="AH69" s="873">
        <f t="shared" si="1"/>
        <v>44105</v>
      </c>
    </row>
    <row r="70" spans="1:34">
      <c r="A70">
        <v>5</v>
      </c>
      <c r="B70">
        <v>44</v>
      </c>
      <c r="C70" t="s">
        <v>183</v>
      </c>
      <c r="D70">
        <v>108</v>
      </c>
      <c r="E70">
        <v>0</v>
      </c>
      <c r="F70">
        <v>0</v>
      </c>
      <c r="G70" t="s">
        <v>175</v>
      </c>
      <c r="H70" t="s">
        <v>175</v>
      </c>
      <c r="I70" s="878">
        <v>44147</v>
      </c>
      <c r="J70">
        <v>5</v>
      </c>
      <c r="K70" t="s">
        <v>183</v>
      </c>
      <c r="L70">
        <v>44</v>
      </c>
      <c r="M70">
        <v>0.90703292648834899</v>
      </c>
      <c r="N70">
        <v>0</v>
      </c>
      <c r="O70">
        <v>0</v>
      </c>
      <c r="P70">
        <v>9.2967073511650594E-2</v>
      </c>
      <c r="Q70">
        <v>-0.37760270417481301</v>
      </c>
      <c r="R70">
        <v>0</v>
      </c>
      <c r="S70">
        <v>-1.3052146216995601E-4</v>
      </c>
      <c r="T70">
        <v>1.3564026704083401</v>
      </c>
      <c r="U70">
        <v>0</v>
      </c>
      <c r="V70">
        <v>-7.4133601037314506E-2</v>
      </c>
      <c r="W70">
        <v>2.49708275430425E-3</v>
      </c>
      <c r="X70">
        <v>0</v>
      </c>
      <c r="Y70" t="s">
        <v>175</v>
      </c>
      <c r="Z70" t="s">
        <v>175</v>
      </c>
      <c r="AA70" t="s">
        <v>175</v>
      </c>
      <c r="AB70" t="s">
        <v>175</v>
      </c>
      <c r="AC70" t="s">
        <v>175</v>
      </c>
      <c r="AD70" t="s">
        <v>175</v>
      </c>
      <c r="AE70" t="s">
        <v>175</v>
      </c>
      <c r="AF70" t="s">
        <v>175</v>
      </c>
      <c r="AG70" s="878">
        <v>44147</v>
      </c>
      <c r="AH70" s="873">
        <f t="shared" si="1"/>
        <v>44136</v>
      </c>
    </row>
    <row r="71" spans="1:34">
      <c r="A71">
        <v>6</v>
      </c>
      <c r="B71">
        <v>44</v>
      </c>
      <c r="C71" t="s">
        <v>183</v>
      </c>
      <c r="D71">
        <v>108</v>
      </c>
      <c r="E71">
        <v>0</v>
      </c>
      <c r="F71">
        <v>0</v>
      </c>
      <c r="G71" t="s">
        <v>175</v>
      </c>
      <c r="H71" t="s">
        <v>175</v>
      </c>
      <c r="I71" s="878">
        <v>44179</v>
      </c>
      <c r="J71">
        <v>6</v>
      </c>
      <c r="K71" t="s">
        <v>183</v>
      </c>
      <c r="L71">
        <v>44</v>
      </c>
      <c r="M71">
        <v>0.97208185093599597</v>
      </c>
      <c r="N71">
        <v>0</v>
      </c>
      <c r="O71">
        <v>0</v>
      </c>
      <c r="P71">
        <v>2.79181490640035E-2</v>
      </c>
      <c r="Q71">
        <v>0.55641223716445898</v>
      </c>
      <c r="R71">
        <v>0</v>
      </c>
      <c r="S71">
        <v>-6.6737909756349804E-11</v>
      </c>
      <c r="T71">
        <v>0.32716288639827201</v>
      </c>
      <c r="U71">
        <v>0</v>
      </c>
      <c r="V71">
        <v>8.7685731377205603E-2</v>
      </c>
      <c r="W71">
        <v>8.2099606279716303E-4</v>
      </c>
      <c r="X71">
        <v>0</v>
      </c>
      <c r="Y71" t="s">
        <v>175</v>
      </c>
      <c r="Z71" t="s">
        <v>175</v>
      </c>
      <c r="AA71" t="s">
        <v>175</v>
      </c>
      <c r="AB71" t="s">
        <v>175</v>
      </c>
      <c r="AC71" t="s">
        <v>175</v>
      </c>
      <c r="AD71" t="s">
        <v>175</v>
      </c>
      <c r="AE71" t="s">
        <v>175</v>
      </c>
      <c r="AF71" t="s">
        <v>175</v>
      </c>
      <c r="AG71" s="878">
        <v>44179</v>
      </c>
      <c r="AH71" s="873">
        <f t="shared" si="1"/>
        <v>44166</v>
      </c>
    </row>
    <row r="72" spans="1:34">
      <c r="A72">
        <v>7</v>
      </c>
      <c r="B72">
        <v>44</v>
      </c>
      <c r="C72" t="s">
        <v>183</v>
      </c>
      <c r="D72">
        <v>108</v>
      </c>
      <c r="E72">
        <v>0</v>
      </c>
      <c r="F72">
        <v>0</v>
      </c>
      <c r="G72" t="s">
        <v>175</v>
      </c>
      <c r="H72" t="s">
        <v>175</v>
      </c>
      <c r="I72" s="878">
        <v>44193</v>
      </c>
      <c r="J72">
        <v>7</v>
      </c>
      <c r="K72" t="s">
        <v>183</v>
      </c>
      <c r="L72">
        <v>44</v>
      </c>
      <c r="M72">
        <v>1</v>
      </c>
      <c r="N72">
        <v>0</v>
      </c>
      <c r="O72">
        <v>0</v>
      </c>
      <c r="P72">
        <v>0</v>
      </c>
      <c r="Q72">
        <v>0.69893581251751102</v>
      </c>
      <c r="R72">
        <v>0</v>
      </c>
      <c r="S72">
        <v>0</v>
      </c>
      <c r="T72">
        <v>0.140979367499484</v>
      </c>
      <c r="U72">
        <v>0</v>
      </c>
      <c r="V72">
        <v>0.15968617394801299</v>
      </c>
      <c r="W72">
        <v>3.9864603499199802E-4</v>
      </c>
      <c r="X72">
        <v>0</v>
      </c>
      <c r="Y72" t="s">
        <v>175</v>
      </c>
      <c r="Z72" t="s">
        <v>175</v>
      </c>
      <c r="AA72" t="s">
        <v>175</v>
      </c>
      <c r="AB72" t="s">
        <v>175</v>
      </c>
      <c r="AC72" t="s">
        <v>175</v>
      </c>
      <c r="AD72" t="s">
        <v>175</v>
      </c>
      <c r="AE72" t="s">
        <v>175</v>
      </c>
      <c r="AF72" t="s">
        <v>175</v>
      </c>
      <c r="AG72" s="878">
        <v>44193</v>
      </c>
      <c r="AH72" s="873">
        <f t="shared" si="1"/>
        <v>44166</v>
      </c>
    </row>
    <row r="73" spans="1:34">
      <c r="A73">
        <v>8</v>
      </c>
      <c r="B73">
        <v>44</v>
      </c>
      <c r="C73" t="s">
        <v>183</v>
      </c>
      <c r="D73">
        <v>108</v>
      </c>
      <c r="E73">
        <v>0</v>
      </c>
      <c r="F73">
        <v>0</v>
      </c>
      <c r="G73" t="s">
        <v>175</v>
      </c>
      <c r="H73" t="s">
        <v>175</v>
      </c>
      <c r="I73" s="878">
        <v>44208</v>
      </c>
      <c r="J73">
        <v>8</v>
      </c>
      <c r="K73" t="s">
        <v>183</v>
      </c>
      <c r="L73">
        <v>44</v>
      </c>
      <c r="M73">
        <v>1</v>
      </c>
      <c r="N73">
        <v>0</v>
      </c>
      <c r="O73">
        <v>0</v>
      </c>
      <c r="P73">
        <v>0</v>
      </c>
      <c r="Q73">
        <v>0.69893581251751102</v>
      </c>
      <c r="R73">
        <v>0</v>
      </c>
      <c r="S73">
        <v>0</v>
      </c>
      <c r="T73">
        <v>0.140979367499484</v>
      </c>
      <c r="U73">
        <v>0</v>
      </c>
      <c r="V73">
        <v>0.15968617394801299</v>
      </c>
      <c r="W73">
        <v>3.9864603499199802E-4</v>
      </c>
      <c r="X73">
        <v>0</v>
      </c>
      <c r="Y73" t="s">
        <v>175</v>
      </c>
      <c r="Z73" t="s">
        <v>175</v>
      </c>
      <c r="AA73" t="s">
        <v>175</v>
      </c>
      <c r="AB73" t="s">
        <v>175</v>
      </c>
      <c r="AC73" t="s">
        <v>175</v>
      </c>
      <c r="AD73" t="s">
        <v>175</v>
      </c>
      <c r="AE73" t="s">
        <v>175</v>
      </c>
      <c r="AF73" t="s">
        <v>175</v>
      </c>
      <c r="AG73" s="878">
        <v>44208</v>
      </c>
      <c r="AH73" s="873">
        <f t="shared" si="1"/>
        <v>44197</v>
      </c>
    </row>
    <row r="74" spans="1:34">
      <c r="A74">
        <v>1</v>
      </c>
      <c r="B74">
        <v>46</v>
      </c>
      <c r="C74" t="s">
        <v>184</v>
      </c>
      <c r="D74">
        <v>163</v>
      </c>
      <c r="E74">
        <v>5328346.22</v>
      </c>
      <c r="F74">
        <v>295939.60466835898</v>
      </c>
      <c r="G74">
        <v>0</v>
      </c>
      <c r="H74">
        <v>0</v>
      </c>
      <c r="I74" s="878">
        <v>44043</v>
      </c>
      <c r="J74">
        <v>1</v>
      </c>
      <c r="K74" t="s">
        <v>184</v>
      </c>
      <c r="L74">
        <v>46</v>
      </c>
      <c r="M74">
        <v>0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0.51688045151090101</v>
      </c>
      <c r="Z74">
        <v>0</v>
      </c>
      <c r="AA74">
        <v>-7.9383711668796209E-3</v>
      </c>
      <c r="AB74">
        <v>0.33872342101673703</v>
      </c>
      <c r="AC74">
        <v>0</v>
      </c>
      <c r="AD74">
        <v>0</v>
      </c>
      <c r="AE74">
        <v>0.15233449863924201</v>
      </c>
      <c r="AF74">
        <v>0</v>
      </c>
      <c r="AG74" s="878">
        <v>44043</v>
      </c>
      <c r="AH74" s="873">
        <f t="shared" si="1"/>
        <v>44013</v>
      </c>
    </row>
    <row r="75" spans="1:34">
      <c r="A75">
        <v>2</v>
      </c>
      <c r="B75">
        <v>46</v>
      </c>
      <c r="C75" t="s">
        <v>184</v>
      </c>
      <c r="D75">
        <v>163</v>
      </c>
      <c r="E75">
        <v>67939.73</v>
      </c>
      <c r="F75">
        <v>301217.75170634402</v>
      </c>
      <c r="G75" t="s">
        <v>175</v>
      </c>
      <c r="H75" t="s">
        <v>175</v>
      </c>
      <c r="I75" s="878">
        <v>44055</v>
      </c>
      <c r="J75">
        <v>2</v>
      </c>
      <c r="K75" t="s">
        <v>184</v>
      </c>
      <c r="L75">
        <v>46</v>
      </c>
      <c r="M75">
        <v>1</v>
      </c>
      <c r="N75" t="s">
        <v>175</v>
      </c>
      <c r="O75">
        <v>0</v>
      </c>
      <c r="P75">
        <v>0</v>
      </c>
      <c r="Q75">
        <v>1.34864234975771</v>
      </c>
      <c r="R75">
        <v>0</v>
      </c>
      <c r="S75">
        <v>0.19618522135064301</v>
      </c>
      <c r="T75">
        <v>-0.534665385942514</v>
      </c>
      <c r="U75">
        <v>0</v>
      </c>
      <c r="V75">
        <v>0</v>
      </c>
      <c r="W75">
        <v>-1.01621851658383E-2</v>
      </c>
      <c r="X75">
        <v>0</v>
      </c>
      <c r="Y75" t="s">
        <v>175</v>
      </c>
      <c r="Z75" t="s">
        <v>175</v>
      </c>
      <c r="AA75" t="s">
        <v>175</v>
      </c>
      <c r="AB75" t="s">
        <v>175</v>
      </c>
      <c r="AC75" t="s">
        <v>175</v>
      </c>
      <c r="AD75" t="s">
        <v>175</v>
      </c>
      <c r="AE75" t="s">
        <v>175</v>
      </c>
      <c r="AF75" t="s">
        <v>175</v>
      </c>
      <c r="AG75" s="878">
        <v>44055</v>
      </c>
      <c r="AH75" s="873">
        <f t="shared" si="1"/>
        <v>44044</v>
      </c>
    </row>
    <row r="76" spans="1:34">
      <c r="A76">
        <v>3</v>
      </c>
      <c r="B76">
        <v>46</v>
      </c>
      <c r="C76" t="s">
        <v>184</v>
      </c>
      <c r="D76">
        <v>163</v>
      </c>
      <c r="E76">
        <v>786145.29</v>
      </c>
      <c r="F76">
        <v>305683.80688622198</v>
      </c>
      <c r="G76" t="s">
        <v>175</v>
      </c>
      <c r="H76" t="s">
        <v>175</v>
      </c>
      <c r="I76" s="878">
        <v>44088</v>
      </c>
      <c r="J76">
        <v>3</v>
      </c>
      <c r="K76" t="s">
        <v>184</v>
      </c>
      <c r="L76">
        <v>46</v>
      </c>
      <c r="M76">
        <v>0.905151952220839</v>
      </c>
      <c r="N76" t="s">
        <v>175</v>
      </c>
      <c r="O76">
        <v>9.4848047779160699E-2</v>
      </c>
      <c r="P76">
        <v>0</v>
      </c>
      <c r="Q76">
        <v>0.29496846809613297</v>
      </c>
      <c r="R76">
        <v>0</v>
      </c>
      <c r="S76">
        <v>0</v>
      </c>
      <c r="T76">
        <v>0.610907415731477</v>
      </c>
      <c r="U76">
        <v>0</v>
      </c>
      <c r="V76">
        <v>0</v>
      </c>
      <c r="W76">
        <v>-7.2393160677142502E-4</v>
      </c>
      <c r="X76">
        <v>0</v>
      </c>
      <c r="Y76" t="s">
        <v>175</v>
      </c>
      <c r="Z76" t="s">
        <v>175</v>
      </c>
      <c r="AA76" t="s">
        <v>175</v>
      </c>
      <c r="AB76" t="s">
        <v>175</v>
      </c>
      <c r="AC76" t="s">
        <v>175</v>
      </c>
      <c r="AD76" t="s">
        <v>175</v>
      </c>
      <c r="AE76" t="s">
        <v>175</v>
      </c>
      <c r="AF76" t="s">
        <v>175</v>
      </c>
      <c r="AG76" s="878">
        <v>44088</v>
      </c>
      <c r="AH76" s="873">
        <f t="shared" si="1"/>
        <v>44075</v>
      </c>
    </row>
    <row r="77" spans="1:34">
      <c r="A77">
        <v>4</v>
      </c>
      <c r="B77">
        <v>46</v>
      </c>
      <c r="C77" t="s">
        <v>184</v>
      </c>
      <c r="D77">
        <v>163</v>
      </c>
      <c r="E77">
        <v>988742.25581026904</v>
      </c>
      <c r="F77">
        <v>309595.28161982098</v>
      </c>
      <c r="G77" t="s">
        <v>175</v>
      </c>
      <c r="H77" t="s">
        <v>175</v>
      </c>
      <c r="I77" s="878">
        <v>44117</v>
      </c>
      <c r="J77">
        <v>4</v>
      </c>
      <c r="K77" t="s">
        <v>184</v>
      </c>
      <c r="L77">
        <v>46</v>
      </c>
      <c r="M77">
        <v>0.96744180820549697</v>
      </c>
      <c r="N77">
        <v>0</v>
      </c>
      <c r="O77">
        <v>0</v>
      </c>
      <c r="P77">
        <v>3.25581917945027E-2</v>
      </c>
      <c r="Q77">
        <v>0.29261399013128198</v>
      </c>
      <c r="R77">
        <v>0</v>
      </c>
      <c r="S77">
        <v>0</v>
      </c>
      <c r="T77">
        <v>0.67539379287345502</v>
      </c>
      <c r="U77">
        <v>0</v>
      </c>
      <c r="V77">
        <v>0</v>
      </c>
      <c r="W77">
        <v>-5.6597479923968497E-4</v>
      </c>
      <c r="X77">
        <v>0</v>
      </c>
      <c r="Y77" t="s">
        <v>175</v>
      </c>
      <c r="Z77" t="s">
        <v>175</v>
      </c>
      <c r="AA77" t="s">
        <v>175</v>
      </c>
      <c r="AB77" t="s">
        <v>175</v>
      </c>
      <c r="AC77" t="s">
        <v>175</v>
      </c>
      <c r="AD77" t="s">
        <v>175</v>
      </c>
      <c r="AE77" t="s">
        <v>175</v>
      </c>
      <c r="AF77" t="s">
        <v>175</v>
      </c>
      <c r="AG77" s="878">
        <v>44117</v>
      </c>
      <c r="AH77" s="873">
        <f t="shared" si="1"/>
        <v>44105</v>
      </c>
    </row>
    <row r="78" spans="1:34">
      <c r="A78">
        <v>5</v>
      </c>
      <c r="B78">
        <v>46</v>
      </c>
      <c r="C78" t="s">
        <v>184</v>
      </c>
      <c r="D78">
        <v>163</v>
      </c>
      <c r="E78">
        <v>922646.55641199998</v>
      </c>
      <c r="F78">
        <v>327243.17350868299</v>
      </c>
      <c r="G78" t="s">
        <v>175</v>
      </c>
      <c r="H78" t="s">
        <v>175</v>
      </c>
      <c r="I78" s="878">
        <v>44147</v>
      </c>
      <c r="J78">
        <v>5</v>
      </c>
      <c r="K78" t="s">
        <v>184</v>
      </c>
      <c r="L78">
        <v>46</v>
      </c>
      <c r="M78">
        <v>0.98867678023011396</v>
      </c>
      <c r="N78">
        <v>0</v>
      </c>
      <c r="O78">
        <v>0</v>
      </c>
      <c r="P78">
        <v>1.1323219769886501E-2</v>
      </c>
      <c r="Q78">
        <v>0.265587060834995</v>
      </c>
      <c r="R78">
        <v>0</v>
      </c>
      <c r="S78">
        <v>0</v>
      </c>
      <c r="T78">
        <v>0.723697191003284</v>
      </c>
      <c r="U78">
        <v>0</v>
      </c>
      <c r="V78">
        <v>0</v>
      </c>
      <c r="W78">
        <v>-6.0747160816564203E-4</v>
      </c>
      <c r="X78">
        <v>0</v>
      </c>
      <c r="Y78" t="s">
        <v>175</v>
      </c>
      <c r="Z78" t="s">
        <v>175</v>
      </c>
      <c r="AA78" t="s">
        <v>175</v>
      </c>
      <c r="AB78" t="s">
        <v>175</v>
      </c>
      <c r="AC78" t="s">
        <v>175</v>
      </c>
      <c r="AD78" t="s">
        <v>175</v>
      </c>
      <c r="AE78" t="s">
        <v>175</v>
      </c>
      <c r="AF78" t="s">
        <v>175</v>
      </c>
      <c r="AG78" s="878">
        <v>44147</v>
      </c>
      <c r="AH78" s="873">
        <f t="shared" si="1"/>
        <v>44136</v>
      </c>
    </row>
    <row r="79" spans="1:34">
      <c r="A79">
        <v>6</v>
      </c>
      <c r="B79">
        <v>46</v>
      </c>
      <c r="C79" t="s">
        <v>184</v>
      </c>
      <c r="D79">
        <v>163</v>
      </c>
      <c r="E79">
        <v>868976.73846716504</v>
      </c>
      <c r="F79">
        <v>290902.44957750902</v>
      </c>
      <c r="G79" t="s">
        <v>175</v>
      </c>
      <c r="H79" t="s">
        <v>175</v>
      </c>
      <c r="I79" s="878">
        <v>44179</v>
      </c>
      <c r="J79">
        <v>6</v>
      </c>
      <c r="K79" t="s">
        <v>184</v>
      </c>
      <c r="L79">
        <v>46</v>
      </c>
      <c r="M79">
        <v>1</v>
      </c>
      <c r="N79">
        <v>0</v>
      </c>
      <c r="O79">
        <v>0</v>
      </c>
      <c r="P79">
        <v>0</v>
      </c>
      <c r="Q79">
        <v>0.23378401250978401</v>
      </c>
      <c r="R79">
        <v>0</v>
      </c>
      <c r="S79">
        <v>0</v>
      </c>
      <c r="T79">
        <v>0.76683119731500304</v>
      </c>
      <c r="U79">
        <v>0</v>
      </c>
      <c r="V79">
        <v>0</v>
      </c>
      <c r="W79">
        <v>-6.1520982478679303E-4</v>
      </c>
      <c r="X79">
        <v>0</v>
      </c>
      <c r="Y79" t="s">
        <v>175</v>
      </c>
      <c r="Z79" t="s">
        <v>175</v>
      </c>
      <c r="AA79" t="s">
        <v>175</v>
      </c>
      <c r="AB79" t="s">
        <v>175</v>
      </c>
      <c r="AC79" t="s">
        <v>175</v>
      </c>
      <c r="AD79" t="s">
        <v>175</v>
      </c>
      <c r="AE79" t="s">
        <v>175</v>
      </c>
      <c r="AF79" t="s">
        <v>175</v>
      </c>
      <c r="AG79" s="878">
        <v>44179</v>
      </c>
      <c r="AH79" s="873">
        <f t="shared" si="1"/>
        <v>44166</v>
      </c>
    </row>
    <row r="80" spans="1:34">
      <c r="A80">
        <v>7</v>
      </c>
      <c r="B80">
        <v>46</v>
      </c>
      <c r="C80" t="s">
        <v>184</v>
      </c>
      <c r="D80">
        <v>163</v>
      </c>
      <c r="E80">
        <v>0</v>
      </c>
      <c r="F80">
        <v>311667.774571285</v>
      </c>
      <c r="G80" t="s">
        <v>175</v>
      </c>
      <c r="H80" t="s">
        <v>175</v>
      </c>
      <c r="I80" s="878">
        <v>44193</v>
      </c>
      <c r="J80">
        <v>7</v>
      </c>
      <c r="K80" t="s">
        <v>184</v>
      </c>
      <c r="L80">
        <v>46</v>
      </c>
      <c r="M80">
        <v>1</v>
      </c>
      <c r="N80">
        <v>0</v>
      </c>
      <c r="O80">
        <v>0</v>
      </c>
      <c r="P80">
        <v>0</v>
      </c>
      <c r="Q80">
        <v>0.22091975656124599</v>
      </c>
      <c r="R80">
        <v>0</v>
      </c>
      <c r="S80">
        <v>-5.8746107630892698E-2</v>
      </c>
      <c r="T80">
        <v>0.83854441427808801</v>
      </c>
      <c r="U80">
        <v>0</v>
      </c>
      <c r="V80">
        <v>0</v>
      </c>
      <c r="W80">
        <v>-7.18063208440912E-4</v>
      </c>
      <c r="X80">
        <v>0</v>
      </c>
      <c r="Y80" t="s">
        <v>175</v>
      </c>
      <c r="Z80" t="s">
        <v>175</v>
      </c>
      <c r="AA80" t="s">
        <v>175</v>
      </c>
      <c r="AB80" t="s">
        <v>175</v>
      </c>
      <c r="AC80" t="s">
        <v>175</v>
      </c>
      <c r="AD80" t="s">
        <v>175</v>
      </c>
      <c r="AE80" t="s">
        <v>175</v>
      </c>
      <c r="AF80" t="s">
        <v>175</v>
      </c>
      <c r="AG80" s="878">
        <v>44193</v>
      </c>
      <c r="AH80" s="873">
        <f t="shared" si="1"/>
        <v>44166</v>
      </c>
    </row>
    <row r="81" spans="1:34">
      <c r="A81">
        <v>8</v>
      </c>
      <c r="B81">
        <v>46</v>
      </c>
      <c r="C81" t="s">
        <v>184</v>
      </c>
      <c r="D81">
        <v>163</v>
      </c>
      <c r="E81">
        <v>820248.74603349704</v>
      </c>
      <c r="F81">
        <v>0</v>
      </c>
      <c r="G81" t="s">
        <v>175</v>
      </c>
      <c r="H81" t="s">
        <v>175</v>
      </c>
      <c r="I81" s="878">
        <v>44208</v>
      </c>
      <c r="J81">
        <v>8</v>
      </c>
      <c r="K81" t="s">
        <v>184</v>
      </c>
      <c r="L81">
        <v>46</v>
      </c>
      <c r="M81">
        <v>1</v>
      </c>
      <c r="N81">
        <v>0</v>
      </c>
      <c r="O81">
        <v>0</v>
      </c>
      <c r="P81">
        <v>0</v>
      </c>
      <c r="Q81">
        <v>0.22091975656124599</v>
      </c>
      <c r="R81">
        <v>0</v>
      </c>
      <c r="S81">
        <v>-5.8746107630892698E-2</v>
      </c>
      <c r="T81">
        <v>0.83854441427808801</v>
      </c>
      <c r="U81">
        <v>0</v>
      </c>
      <c r="V81">
        <v>0</v>
      </c>
      <c r="W81">
        <v>-7.18063208440912E-4</v>
      </c>
      <c r="X81">
        <v>0</v>
      </c>
      <c r="Y81" t="s">
        <v>175</v>
      </c>
      <c r="Z81" t="s">
        <v>175</v>
      </c>
      <c r="AA81" t="s">
        <v>175</v>
      </c>
      <c r="AB81" t="s">
        <v>175</v>
      </c>
      <c r="AC81" t="s">
        <v>175</v>
      </c>
      <c r="AD81" t="s">
        <v>175</v>
      </c>
      <c r="AE81" t="s">
        <v>175</v>
      </c>
      <c r="AF81" t="s">
        <v>175</v>
      </c>
      <c r="AG81" s="878">
        <v>44208</v>
      </c>
      <c r="AH81" s="873">
        <f t="shared" si="1"/>
        <v>44197</v>
      </c>
    </row>
    <row r="82" spans="1:34">
      <c r="A82">
        <v>1</v>
      </c>
      <c r="B82">
        <v>47</v>
      </c>
      <c r="C82" t="s">
        <v>185</v>
      </c>
      <c r="D82">
        <v>129</v>
      </c>
      <c r="E82">
        <v>329807042.79000002</v>
      </c>
      <c r="F82">
        <v>0</v>
      </c>
      <c r="G82">
        <v>77923217</v>
      </c>
      <c r="H82">
        <v>0</v>
      </c>
      <c r="I82" s="878">
        <v>44043</v>
      </c>
      <c r="J82">
        <v>1</v>
      </c>
      <c r="K82" t="s">
        <v>185</v>
      </c>
      <c r="L82">
        <v>47</v>
      </c>
      <c r="M82">
        <v>2.7998518039857902E-2</v>
      </c>
      <c r="N82">
        <v>0.77196285802040299</v>
      </c>
      <c r="O82">
        <v>0.160342254959042</v>
      </c>
      <c r="P82">
        <v>3.9696368980697103E-2</v>
      </c>
      <c r="Q82">
        <v>4.2146233213883999E-2</v>
      </c>
      <c r="R82">
        <v>0</v>
      </c>
      <c r="S82">
        <v>0</v>
      </c>
      <c r="T82">
        <v>-4.5210840469701002E-2</v>
      </c>
      <c r="U82">
        <v>0</v>
      </c>
      <c r="V82">
        <v>3.1135551199194401E-2</v>
      </c>
      <c r="W82">
        <v>-7.2425903519501294E-5</v>
      </c>
      <c r="X82">
        <v>0</v>
      </c>
      <c r="Y82">
        <v>0.93086455995036799</v>
      </c>
      <c r="Z82">
        <v>0</v>
      </c>
      <c r="AA82">
        <v>-1.4290643770303301E-2</v>
      </c>
      <c r="AB82">
        <v>9.1932560322788695E-2</v>
      </c>
      <c r="AC82">
        <v>0</v>
      </c>
      <c r="AD82">
        <v>-0.30270009844333401</v>
      </c>
      <c r="AE82">
        <v>6.6156479960883599E-2</v>
      </c>
      <c r="AF82">
        <v>0</v>
      </c>
      <c r="AG82" s="878">
        <v>44043</v>
      </c>
      <c r="AH82" s="873">
        <f t="shared" si="1"/>
        <v>44013</v>
      </c>
    </row>
    <row r="83" spans="1:34">
      <c r="A83">
        <v>2</v>
      </c>
      <c r="B83">
        <v>47</v>
      </c>
      <c r="C83" t="s">
        <v>185</v>
      </c>
      <c r="D83">
        <v>129</v>
      </c>
      <c r="E83">
        <v>47668138.219999999</v>
      </c>
      <c r="F83">
        <v>0</v>
      </c>
      <c r="G83" t="s">
        <v>175</v>
      </c>
      <c r="H83" t="s">
        <v>175</v>
      </c>
      <c r="I83" s="878">
        <v>44055</v>
      </c>
      <c r="J83">
        <v>2</v>
      </c>
      <c r="K83" t="s">
        <v>185</v>
      </c>
      <c r="L83">
        <v>47</v>
      </c>
      <c r="M83">
        <v>0.85752394227114104</v>
      </c>
      <c r="N83" t="s">
        <v>175</v>
      </c>
      <c r="O83">
        <v>5.6512639000000003E-2</v>
      </c>
      <c r="P83">
        <v>8.5963418999999999E-2</v>
      </c>
      <c r="Q83">
        <v>9.13742521392601E-3</v>
      </c>
      <c r="R83">
        <v>0</v>
      </c>
      <c r="S83">
        <v>0</v>
      </c>
      <c r="T83">
        <v>0.64471881617024496</v>
      </c>
      <c r="U83">
        <v>0</v>
      </c>
      <c r="V83">
        <v>0.20427450973360001</v>
      </c>
      <c r="W83">
        <v>-6.0680884662945005E-4</v>
      </c>
      <c r="X83">
        <v>0</v>
      </c>
      <c r="Y83" t="s">
        <v>175</v>
      </c>
      <c r="Z83" t="s">
        <v>175</v>
      </c>
      <c r="AA83" t="s">
        <v>175</v>
      </c>
      <c r="AB83" t="s">
        <v>175</v>
      </c>
      <c r="AC83" t="s">
        <v>175</v>
      </c>
      <c r="AD83" t="s">
        <v>175</v>
      </c>
      <c r="AE83" t="s">
        <v>175</v>
      </c>
      <c r="AF83" t="s">
        <v>175</v>
      </c>
      <c r="AG83" s="878">
        <v>44055</v>
      </c>
      <c r="AH83" s="873">
        <f t="shared" si="1"/>
        <v>44044</v>
      </c>
    </row>
    <row r="84" spans="1:34">
      <c r="A84">
        <v>3</v>
      </c>
      <c r="B84">
        <v>47</v>
      </c>
      <c r="C84" t="s">
        <v>185</v>
      </c>
      <c r="D84">
        <v>129</v>
      </c>
      <c r="E84">
        <v>44208245.990000002</v>
      </c>
      <c r="F84">
        <v>0</v>
      </c>
      <c r="G84" t="s">
        <v>175</v>
      </c>
      <c r="H84" t="s">
        <v>175</v>
      </c>
      <c r="I84" s="878">
        <v>44088</v>
      </c>
      <c r="J84">
        <v>3</v>
      </c>
      <c r="K84" t="s">
        <v>185</v>
      </c>
      <c r="L84">
        <v>47</v>
      </c>
      <c r="M84">
        <v>0.58496159295740302</v>
      </c>
      <c r="N84" t="s">
        <v>175</v>
      </c>
      <c r="O84">
        <v>0.28062363899999998</v>
      </c>
      <c r="P84">
        <v>0.13441476799999999</v>
      </c>
      <c r="Q84">
        <v>5.4889672571907001E-2</v>
      </c>
      <c r="R84">
        <v>0</v>
      </c>
      <c r="S84">
        <v>0</v>
      </c>
      <c r="T84">
        <v>0.57985739629482003</v>
      </c>
      <c r="U84">
        <v>0</v>
      </c>
      <c r="V84">
        <v>-5.0906892830270001E-2</v>
      </c>
      <c r="W84">
        <v>1.1214169209463601E-3</v>
      </c>
      <c r="X84">
        <v>0</v>
      </c>
      <c r="Y84" t="s">
        <v>175</v>
      </c>
      <c r="Z84" t="s">
        <v>175</v>
      </c>
      <c r="AA84" t="s">
        <v>175</v>
      </c>
      <c r="AB84" t="s">
        <v>175</v>
      </c>
      <c r="AC84" t="s">
        <v>175</v>
      </c>
      <c r="AD84" t="s">
        <v>175</v>
      </c>
      <c r="AE84" t="s">
        <v>175</v>
      </c>
      <c r="AF84" t="s">
        <v>175</v>
      </c>
      <c r="AG84" s="878">
        <v>44088</v>
      </c>
      <c r="AH84" s="873">
        <f t="shared" si="1"/>
        <v>44075</v>
      </c>
    </row>
    <row r="85" spans="1:34">
      <c r="A85">
        <v>4</v>
      </c>
      <c r="B85">
        <v>47</v>
      </c>
      <c r="C85" t="s">
        <v>185</v>
      </c>
      <c r="D85">
        <v>129</v>
      </c>
      <c r="E85">
        <v>0</v>
      </c>
      <c r="F85">
        <v>0</v>
      </c>
      <c r="G85" t="s">
        <v>175</v>
      </c>
      <c r="H85" t="s">
        <v>175</v>
      </c>
      <c r="I85" s="878">
        <v>44117</v>
      </c>
      <c r="J85">
        <v>4</v>
      </c>
      <c r="K85" t="s">
        <v>185</v>
      </c>
      <c r="L85">
        <v>47</v>
      </c>
      <c r="M85" t="s">
        <v>175</v>
      </c>
      <c r="N85" t="s">
        <v>175</v>
      </c>
      <c r="O85" t="s">
        <v>175</v>
      </c>
      <c r="P85" t="s">
        <v>175</v>
      </c>
      <c r="Q85" t="s">
        <v>175</v>
      </c>
      <c r="R85" t="s">
        <v>175</v>
      </c>
      <c r="S85" t="s">
        <v>175</v>
      </c>
      <c r="T85" t="s">
        <v>175</v>
      </c>
      <c r="U85" t="s">
        <v>175</v>
      </c>
      <c r="V85" t="s">
        <v>175</v>
      </c>
      <c r="W85" t="s">
        <v>175</v>
      </c>
      <c r="X85" t="s">
        <v>175</v>
      </c>
      <c r="Y85" t="s">
        <v>175</v>
      </c>
      <c r="Z85" t="s">
        <v>175</v>
      </c>
      <c r="AA85" t="s">
        <v>175</v>
      </c>
      <c r="AB85" t="s">
        <v>175</v>
      </c>
      <c r="AC85" t="s">
        <v>175</v>
      </c>
      <c r="AD85" t="s">
        <v>175</v>
      </c>
      <c r="AE85" t="s">
        <v>175</v>
      </c>
      <c r="AF85" t="s">
        <v>175</v>
      </c>
      <c r="AG85" s="878">
        <v>44117</v>
      </c>
      <c r="AH85" s="873">
        <f t="shared" si="1"/>
        <v>44105</v>
      </c>
    </row>
    <row r="86" spans="1:34">
      <c r="A86">
        <v>5</v>
      </c>
      <c r="B86">
        <v>47</v>
      </c>
      <c r="C86" t="s">
        <v>185</v>
      </c>
      <c r="D86">
        <v>129</v>
      </c>
      <c r="E86">
        <v>0</v>
      </c>
      <c r="F86">
        <v>0</v>
      </c>
      <c r="G86" t="s">
        <v>175</v>
      </c>
      <c r="H86" t="s">
        <v>175</v>
      </c>
      <c r="I86" s="878">
        <v>44147</v>
      </c>
      <c r="J86">
        <v>5</v>
      </c>
      <c r="K86" t="s">
        <v>185</v>
      </c>
      <c r="L86">
        <v>47</v>
      </c>
      <c r="M86" t="s">
        <v>175</v>
      </c>
      <c r="N86" t="s">
        <v>175</v>
      </c>
      <c r="O86" t="s">
        <v>175</v>
      </c>
      <c r="P86" t="s">
        <v>175</v>
      </c>
      <c r="Q86" t="s">
        <v>175</v>
      </c>
      <c r="R86" t="s">
        <v>175</v>
      </c>
      <c r="S86" t="s">
        <v>175</v>
      </c>
      <c r="T86" t="s">
        <v>175</v>
      </c>
      <c r="U86" t="s">
        <v>175</v>
      </c>
      <c r="V86" t="s">
        <v>175</v>
      </c>
      <c r="W86" t="s">
        <v>175</v>
      </c>
      <c r="X86" t="s">
        <v>175</v>
      </c>
      <c r="Y86" t="s">
        <v>175</v>
      </c>
      <c r="Z86" t="s">
        <v>175</v>
      </c>
      <c r="AA86" t="s">
        <v>175</v>
      </c>
      <c r="AB86" t="s">
        <v>175</v>
      </c>
      <c r="AC86" t="s">
        <v>175</v>
      </c>
      <c r="AD86" t="s">
        <v>175</v>
      </c>
      <c r="AE86" t="s">
        <v>175</v>
      </c>
      <c r="AF86" t="s">
        <v>175</v>
      </c>
      <c r="AG86" s="878">
        <v>44147</v>
      </c>
      <c r="AH86" s="873">
        <f t="shared" si="1"/>
        <v>44136</v>
      </c>
    </row>
    <row r="87" spans="1:34">
      <c r="A87">
        <v>6</v>
      </c>
      <c r="B87">
        <v>47</v>
      </c>
      <c r="C87" t="s">
        <v>185</v>
      </c>
      <c r="D87">
        <v>129</v>
      </c>
      <c r="E87">
        <v>0</v>
      </c>
      <c r="F87">
        <v>0</v>
      </c>
      <c r="G87" t="s">
        <v>175</v>
      </c>
      <c r="H87" t="s">
        <v>175</v>
      </c>
      <c r="I87" s="878">
        <v>44179</v>
      </c>
      <c r="J87">
        <v>6</v>
      </c>
      <c r="K87" t="s">
        <v>185</v>
      </c>
      <c r="L87">
        <v>47</v>
      </c>
      <c r="M87" t="s">
        <v>175</v>
      </c>
      <c r="N87" t="s">
        <v>175</v>
      </c>
      <c r="O87" t="s">
        <v>175</v>
      </c>
      <c r="P87" t="s">
        <v>175</v>
      </c>
      <c r="Q87" t="s">
        <v>175</v>
      </c>
      <c r="R87" t="s">
        <v>175</v>
      </c>
      <c r="S87" t="s">
        <v>175</v>
      </c>
      <c r="T87" t="s">
        <v>175</v>
      </c>
      <c r="U87" t="s">
        <v>175</v>
      </c>
      <c r="V87" t="s">
        <v>175</v>
      </c>
      <c r="W87" t="s">
        <v>175</v>
      </c>
      <c r="X87" t="s">
        <v>175</v>
      </c>
      <c r="Y87" t="s">
        <v>175</v>
      </c>
      <c r="Z87" t="s">
        <v>175</v>
      </c>
      <c r="AA87" t="s">
        <v>175</v>
      </c>
      <c r="AB87" t="s">
        <v>175</v>
      </c>
      <c r="AC87" t="s">
        <v>175</v>
      </c>
      <c r="AD87" t="s">
        <v>175</v>
      </c>
      <c r="AE87" t="s">
        <v>175</v>
      </c>
      <c r="AF87" t="s">
        <v>175</v>
      </c>
      <c r="AG87" s="878">
        <v>44179</v>
      </c>
      <c r="AH87" s="873">
        <f t="shared" si="1"/>
        <v>44166</v>
      </c>
    </row>
    <row r="88" spans="1:34">
      <c r="A88">
        <v>7</v>
      </c>
      <c r="B88">
        <v>47</v>
      </c>
      <c r="C88" t="s">
        <v>185</v>
      </c>
      <c r="D88">
        <v>129</v>
      </c>
      <c r="E88">
        <v>0</v>
      </c>
      <c r="F88">
        <v>0</v>
      </c>
      <c r="G88" t="s">
        <v>175</v>
      </c>
      <c r="H88" t="s">
        <v>175</v>
      </c>
      <c r="I88" s="878">
        <v>44193</v>
      </c>
      <c r="J88">
        <v>7</v>
      </c>
      <c r="K88" t="s">
        <v>185</v>
      </c>
      <c r="L88">
        <v>47</v>
      </c>
      <c r="M88" t="s">
        <v>175</v>
      </c>
      <c r="N88" t="s">
        <v>175</v>
      </c>
      <c r="O88" t="s">
        <v>175</v>
      </c>
      <c r="P88" t="s">
        <v>175</v>
      </c>
      <c r="Q88" t="s">
        <v>175</v>
      </c>
      <c r="R88" t="s">
        <v>175</v>
      </c>
      <c r="S88" t="s">
        <v>175</v>
      </c>
      <c r="T88" t="s">
        <v>175</v>
      </c>
      <c r="U88" t="s">
        <v>175</v>
      </c>
      <c r="V88" t="s">
        <v>175</v>
      </c>
      <c r="W88" t="s">
        <v>175</v>
      </c>
      <c r="X88" t="s">
        <v>175</v>
      </c>
      <c r="Y88" t="s">
        <v>175</v>
      </c>
      <c r="Z88" t="s">
        <v>175</v>
      </c>
      <c r="AA88" t="s">
        <v>175</v>
      </c>
      <c r="AB88" t="s">
        <v>175</v>
      </c>
      <c r="AC88" t="s">
        <v>175</v>
      </c>
      <c r="AD88" t="s">
        <v>175</v>
      </c>
      <c r="AE88" t="s">
        <v>175</v>
      </c>
      <c r="AF88" t="s">
        <v>175</v>
      </c>
      <c r="AG88" s="878">
        <v>44193</v>
      </c>
      <c r="AH88" s="873">
        <f t="shared" si="1"/>
        <v>44166</v>
      </c>
    </row>
    <row r="89" spans="1:34">
      <c r="A89">
        <v>8</v>
      </c>
      <c r="B89">
        <v>47</v>
      </c>
      <c r="C89" t="s">
        <v>185</v>
      </c>
      <c r="D89">
        <v>129</v>
      </c>
      <c r="E89">
        <v>0</v>
      </c>
      <c r="F89">
        <v>0</v>
      </c>
      <c r="G89" t="s">
        <v>175</v>
      </c>
      <c r="H89" t="s">
        <v>175</v>
      </c>
      <c r="I89" s="878">
        <v>44208</v>
      </c>
      <c r="J89">
        <v>8</v>
      </c>
      <c r="K89" t="s">
        <v>185</v>
      </c>
      <c r="L89">
        <v>47</v>
      </c>
      <c r="M89" t="s">
        <v>175</v>
      </c>
      <c r="N89" t="s">
        <v>175</v>
      </c>
      <c r="O89" t="s">
        <v>175</v>
      </c>
      <c r="P89" t="s">
        <v>175</v>
      </c>
      <c r="Q89" t="s">
        <v>175</v>
      </c>
      <c r="R89" t="s">
        <v>175</v>
      </c>
      <c r="S89" t="s">
        <v>175</v>
      </c>
      <c r="T89" t="s">
        <v>175</v>
      </c>
      <c r="U89" t="s">
        <v>175</v>
      </c>
      <c r="V89" t="s">
        <v>175</v>
      </c>
      <c r="W89" t="s">
        <v>175</v>
      </c>
      <c r="X89" t="s">
        <v>175</v>
      </c>
      <c r="Y89" t="s">
        <v>175</v>
      </c>
      <c r="Z89" t="s">
        <v>175</v>
      </c>
      <c r="AA89" t="s">
        <v>175</v>
      </c>
      <c r="AB89" t="s">
        <v>175</v>
      </c>
      <c r="AC89" t="s">
        <v>175</v>
      </c>
      <c r="AD89" t="s">
        <v>175</v>
      </c>
      <c r="AE89" t="s">
        <v>175</v>
      </c>
      <c r="AF89" t="s">
        <v>175</v>
      </c>
      <c r="AG89" s="878">
        <v>44208</v>
      </c>
      <c r="AH89" s="873">
        <f t="shared" si="1"/>
        <v>44197</v>
      </c>
    </row>
    <row r="90" spans="1:34">
      <c r="A90">
        <v>1</v>
      </c>
      <c r="B90">
        <v>51</v>
      </c>
      <c r="C90" t="s">
        <v>186</v>
      </c>
      <c r="D90">
        <v>139</v>
      </c>
      <c r="E90">
        <v>16823735.579999998</v>
      </c>
      <c r="F90">
        <v>0</v>
      </c>
      <c r="G90">
        <v>0</v>
      </c>
      <c r="H90">
        <v>0</v>
      </c>
      <c r="I90" s="878">
        <v>44043</v>
      </c>
      <c r="J90">
        <v>1</v>
      </c>
      <c r="K90" t="s">
        <v>186</v>
      </c>
      <c r="L90">
        <v>51</v>
      </c>
      <c r="M90">
        <v>6.7800439340900395E-2</v>
      </c>
      <c r="N90">
        <v>0.67022577718704002</v>
      </c>
      <c r="O90">
        <v>0.1532265512124</v>
      </c>
      <c r="P90">
        <v>0.10874723225966</v>
      </c>
      <c r="Q90">
        <v>5.4187155248230298E-2</v>
      </c>
      <c r="R90">
        <v>0</v>
      </c>
      <c r="S90">
        <v>-3.9190908117186299E-3</v>
      </c>
      <c r="T90">
        <v>-2.6661081192489301E-3</v>
      </c>
      <c r="U90">
        <v>9.6310724584064802E-4</v>
      </c>
      <c r="V90">
        <v>2.9451921987937299E-4</v>
      </c>
      <c r="W90">
        <v>1.8893257882101801E-2</v>
      </c>
      <c r="X90">
        <v>4.75986758158047E-5</v>
      </c>
      <c r="Y90">
        <v>0.50039286167248498</v>
      </c>
      <c r="Z90">
        <v>0</v>
      </c>
      <c r="AA90">
        <v>7.6418025276838396E-4</v>
      </c>
      <c r="AB90">
        <v>5.9224624196832103E-2</v>
      </c>
      <c r="AC90">
        <v>1.52734953241796E-2</v>
      </c>
      <c r="AD90">
        <v>-0.159578083916636</v>
      </c>
      <c r="AE90">
        <v>0.25389965183273999</v>
      </c>
      <c r="AF90">
        <v>2.4904782467003502E-4</v>
      </c>
      <c r="AG90" s="878">
        <v>44043</v>
      </c>
      <c r="AH90" s="873">
        <f t="shared" si="1"/>
        <v>44013</v>
      </c>
    </row>
    <row r="91" spans="1:34">
      <c r="A91">
        <v>2</v>
      </c>
      <c r="B91">
        <v>51</v>
      </c>
      <c r="C91" t="s">
        <v>186</v>
      </c>
      <c r="D91">
        <v>139</v>
      </c>
      <c r="E91">
        <v>534196.42000000004</v>
      </c>
      <c r="F91">
        <v>0</v>
      </c>
      <c r="G91" t="s">
        <v>175</v>
      </c>
      <c r="H91" t="s">
        <v>175</v>
      </c>
      <c r="I91" s="878">
        <v>44055</v>
      </c>
      <c r="J91">
        <v>2</v>
      </c>
      <c r="K91" t="s">
        <v>186</v>
      </c>
      <c r="L91">
        <v>51</v>
      </c>
      <c r="M91">
        <v>0.85215709260474803</v>
      </c>
      <c r="N91" t="s">
        <v>175</v>
      </c>
      <c r="O91">
        <v>0.14784290739525199</v>
      </c>
      <c r="P91">
        <v>0</v>
      </c>
      <c r="Q91">
        <v>0.21486715176268201</v>
      </c>
      <c r="R91">
        <v>0</v>
      </c>
      <c r="S91">
        <v>0.114087316525936</v>
      </c>
      <c r="T91">
        <v>-1.78304134054111E-2</v>
      </c>
      <c r="U91">
        <v>4.7058225803766202E-3</v>
      </c>
      <c r="V91">
        <v>0.44528282365722799</v>
      </c>
      <c r="W91">
        <v>9.0897089466599801E-2</v>
      </c>
      <c r="X91">
        <v>1.4730201733712301E-4</v>
      </c>
      <c r="Y91" t="s">
        <v>175</v>
      </c>
      <c r="Z91" t="s">
        <v>175</v>
      </c>
      <c r="AA91" t="s">
        <v>175</v>
      </c>
      <c r="AB91" t="s">
        <v>175</v>
      </c>
      <c r="AC91" t="s">
        <v>175</v>
      </c>
      <c r="AD91" t="s">
        <v>175</v>
      </c>
      <c r="AE91" t="s">
        <v>175</v>
      </c>
      <c r="AF91" t="s">
        <v>175</v>
      </c>
      <c r="AG91" s="878">
        <v>44055</v>
      </c>
      <c r="AH91" s="873">
        <f t="shared" si="1"/>
        <v>44044</v>
      </c>
    </row>
    <row r="92" spans="1:34">
      <c r="A92">
        <v>3</v>
      </c>
      <c r="B92">
        <v>51</v>
      </c>
      <c r="C92" t="s">
        <v>186</v>
      </c>
      <c r="D92">
        <v>139</v>
      </c>
      <c r="E92">
        <v>0</v>
      </c>
      <c r="F92">
        <v>0</v>
      </c>
      <c r="G92" t="s">
        <v>175</v>
      </c>
      <c r="H92" t="s">
        <v>175</v>
      </c>
      <c r="I92" s="878">
        <v>44088</v>
      </c>
      <c r="J92">
        <v>3</v>
      </c>
      <c r="K92" t="s">
        <v>186</v>
      </c>
      <c r="L92">
        <v>51</v>
      </c>
      <c r="M92">
        <v>0</v>
      </c>
      <c r="N92" t="s">
        <v>175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 t="s">
        <v>175</v>
      </c>
      <c r="Z92" t="s">
        <v>175</v>
      </c>
      <c r="AA92" t="s">
        <v>175</v>
      </c>
      <c r="AB92" t="s">
        <v>175</v>
      </c>
      <c r="AC92" t="s">
        <v>175</v>
      </c>
      <c r="AD92" t="s">
        <v>175</v>
      </c>
      <c r="AE92" t="s">
        <v>175</v>
      </c>
      <c r="AF92" t="s">
        <v>175</v>
      </c>
      <c r="AG92" s="878">
        <v>44088</v>
      </c>
      <c r="AH92" s="873">
        <f t="shared" si="1"/>
        <v>44075</v>
      </c>
    </row>
    <row r="93" spans="1:34">
      <c r="A93">
        <v>4</v>
      </c>
      <c r="B93">
        <v>51</v>
      </c>
      <c r="C93" t="s">
        <v>186</v>
      </c>
      <c r="D93">
        <v>139</v>
      </c>
      <c r="E93">
        <v>0</v>
      </c>
      <c r="F93">
        <v>0</v>
      </c>
      <c r="G93" t="s">
        <v>175</v>
      </c>
      <c r="H93" t="s">
        <v>175</v>
      </c>
      <c r="I93" s="878">
        <v>44117</v>
      </c>
      <c r="J93">
        <v>4</v>
      </c>
      <c r="K93" t="s">
        <v>186</v>
      </c>
      <c r="L93">
        <v>51</v>
      </c>
      <c r="M93" t="s">
        <v>175</v>
      </c>
      <c r="N93" t="s">
        <v>175</v>
      </c>
      <c r="O93" t="s">
        <v>175</v>
      </c>
      <c r="P93" t="s">
        <v>175</v>
      </c>
      <c r="Q93" t="s">
        <v>175</v>
      </c>
      <c r="R93" t="s">
        <v>175</v>
      </c>
      <c r="S93" t="s">
        <v>175</v>
      </c>
      <c r="T93" t="s">
        <v>175</v>
      </c>
      <c r="U93" t="s">
        <v>175</v>
      </c>
      <c r="V93" t="s">
        <v>175</v>
      </c>
      <c r="W93" t="s">
        <v>175</v>
      </c>
      <c r="X93" t="s">
        <v>175</v>
      </c>
      <c r="Y93" t="s">
        <v>175</v>
      </c>
      <c r="Z93" t="s">
        <v>175</v>
      </c>
      <c r="AA93" t="s">
        <v>175</v>
      </c>
      <c r="AB93" t="s">
        <v>175</v>
      </c>
      <c r="AC93" t="s">
        <v>175</v>
      </c>
      <c r="AD93" t="s">
        <v>175</v>
      </c>
      <c r="AE93" t="s">
        <v>175</v>
      </c>
      <c r="AF93" t="s">
        <v>175</v>
      </c>
      <c r="AG93" s="878">
        <v>44117</v>
      </c>
      <c r="AH93" s="873">
        <f t="shared" si="1"/>
        <v>44105</v>
      </c>
    </row>
    <row r="94" spans="1:34">
      <c r="A94">
        <v>5</v>
      </c>
      <c r="B94">
        <v>51</v>
      </c>
      <c r="C94" t="s">
        <v>186</v>
      </c>
      <c r="D94">
        <v>139</v>
      </c>
      <c r="E94">
        <v>0</v>
      </c>
      <c r="F94">
        <v>0</v>
      </c>
      <c r="G94" t="s">
        <v>175</v>
      </c>
      <c r="H94" t="s">
        <v>175</v>
      </c>
      <c r="I94" s="878">
        <v>44147</v>
      </c>
      <c r="J94">
        <v>5</v>
      </c>
      <c r="K94" t="s">
        <v>186</v>
      </c>
      <c r="L94">
        <v>51</v>
      </c>
      <c r="M94" t="s">
        <v>175</v>
      </c>
      <c r="N94" t="s">
        <v>175</v>
      </c>
      <c r="O94" t="s">
        <v>175</v>
      </c>
      <c r="P94" t="s">
        <v>175</v>
      </c>
      <c r="Q94" t="s">
        <v>175</v>
      </c>
      <c r="R94" t="s">
        <v>175</v>
      </c>
      <c r="S94" t="s">
        <v>175</v>
      </c>
      <c r="T94" t="s">
        <v>175</v>
      </c>
      <c r="U94" t="s">
        <v>175</v>
      </c>
      <c r="V94" t="s">
        <v>175</v>
      </c>
      <c r="W94" t="s">
        <v>175</v>
      </c>
      <c r="X94" t="s">
        <v>175</v>
      </c>
      <c r="Y94" t="s">
        <v>175</v>
      </c>
      <c r="Z94" t="s">
        <v>175</v>
      </c>
      <c r="AA94" t="s">
        <v>175</v>
      </c>
      <c r="AB94" t="s">
        <v>175</v>
      </c>
      <c r="AC94" t="s">
        <v>175</v>
      </c>
      <c r="AD94" t="s">
        <v>175</v>
      </c>
      <c r="AE94" t="s">
        <v>175</v>
      </c>
      <c r="AF94" t="s">
        <v>175</v>
      </c>
      <c r="AG94" s="878">
        <v>44147</v>
      </c>
      <c r="AH94" s="873">
        <f t="shared" si="1"/>
        <v>44136</v>
      </c>
    </row>
    <row r="95" spans="1:34">
      <c r="A95">
        <v>6</v>
      </c>
      <c r="B95">
        <v>51</v>
      </c>
      <c r="C95" t="s">
        <v>186</v>
      </c>
      <c r="D95">
        <v>139</v>
      </c>
      <c r="E95">
        <v>0</v>
      </c>
      <c r="F95">
        <v>0</v>
      </c>
      <c r="G95" t="s">
        <v>175</v>
      </c>
      <c r="H95" t="s">
        <v>175</v>
      </c>
      <c r="I95" s="878">
        <v>44179</v>
      </c>
      <c r="J95">
        <v>6</v>
      </c>
      <c r="K95" t="s">
        <v>186</v>
      </c>
      <c r="L95">
        <v>51</v>
      </c>
      <c r="M95" t="s">
        <v>175</v>
      </c>
      <c r="N95" t="s">
        <v>175</v>
      </c>
      <c r="O95" t="s">
        <v>175</v>
      </c>
      <c r="P95" t="s">
        <v>175</v>
      </c>
      <c r="Q95" t="s">
        <v>175</v>
      </c>
      <c r="R95" t="s">
        <v>175</v>
      </c>
      <c r="S95" t="s">
        <v>175</v>
      </c>
      <c r="T95" t="s">
        <v>175</v>
      </c>
      <c r="U95" t="s">
        <v>175</v>
      </c>
      <c r="V95" t="s">
        <v>175</v>
      </c>
      <c r="W95" t="s">
        <v>175</v>
      </c>
      <c r="X95" t="s">
        <v>175</v>
      </c>
      <c r="Y95" t="s">
        <v>175</v>
      </c>
      <c r="Z95" t="s">
        <v>175</v>
      </c>
      <c r="AA95" t="s">
        <v>175</v>
      </c>
      <c r="AB95" t="s">
        <v>175</v>
      </c>
      <c r="AC95" t="s">
        <v>175</v>
      </c>
      <c r="AD95" t="s">
        <v>175</v>
      </c>
      <c r="AE95" t="s">
        <v>175</v>
      </c>
      <c r="AF95" t="s">
        <v>175</v>
      </c>
      <c r="AG95" s="878">
        <v>44179</v>
      </c>
      <c r="AH95" s="873">
        <f t="shared" si="1"/>
        <v>44166</v>
      </c>
    </row>
    <row r="96" spans="1:34">
      <c r="A96">
        <v>7</v>
      </c>
      <c r="B96">
        <v>51</v>
      </c>
      <c r="C96" t="s">
        <v>186</v>
      </c>
      <c r="D96">
        <v>139</v>
      </c>
      <c r="E96">
        <v>0</v>
      </c>
      <c r="F96">
        <v>0</v>
      </c>
      <c r="G96" t="s">
        <v>175</v>
      </c>
      <c r="H96" t="s">
        <v>175</v>
      </c>
      <c r="I96" s="878">
        <v>44193</v>
      </c>
      <c r="J96">
        <v>7</v>
      </c>
      <c r="K96" t="s">
        <v>186</v>
      </c>
      <c r="L96">
        <v>51</v>
      </c>
      <c r="M96" t="s">
        <v>175</v>
      </c>
      <c r="N96" t="s">
        <v>175</v>
      </c>
      <c r="O96" t="s">
        <v>175</v>
      </c>
      <c r="P96" t="s">
        <v>175</v>
      </c>
      <c r="Q96" t="s">
        <v>175</v>
      </c>
      <c r="R96" t="s">
        <v>175</v>
      </c>
      <c r="S96" t="s">
        <v>175</v>
      </c>
      <c r="T96" t="s">
        <v>175</v>
      </c>
      <c r="U96" t="s">
        <v>175</v>
      </c>
      <c r="V96" t="s">
        <v>175</v>
      </c>
      <c r="W96" t="s">
        <v>175</v>
      </c>
      <c r="X96" t="s">
        <v>175</v>
      </c>
      <c r="Y96" t="s">
        <v>175</v>
      </c>
      <c r="Z96" t="s">
        <v>175</v>
      </c>
      <c r="AA96" t="s">
        <v>175</v>
      </c>
      <c r="AB96" t="s">
        <v>175</v>
      </c>
      <c r="AC96" t="s">
        <v>175</v>
      </c>
      <c r="AD96" t="s">
        <v>175</v>
      </c>
      <c r="AE96" t="s">
        <v>175</v>
      </c>
      <c r="AF96" t="s">
        <v>175</v>
      </c>
      <c r="AG96" s="878">
        <v>44193</v>
      </c>
      <c r="AH96" s="873">
        <f t="shared" si="1"/>
        <v>44166</v>
      </c>
    </row>
    <row r="97" spans="1:34">
      <c r="A97">
        <v>8</v>
      </c>
      <c r="B97">
        <v>51</v>
      </c>
      <c r="C97" t="s">
        <v>186</v>
      </c>
      <c r="D97">
        <v>139</v>
      </c>
      <c r="E97">
        <v>0</v>
      </c>
      <c r="F97">
        <v>0</v>
      </c>
      <c r="G97" t="s">
        <v>175</v>
      </c>
      <c r="H97" t="s">
        <v>175</v>
      </c>
      <c r="I97" s="878">
        <v>44208</v>
      </c>
      <c r="J97">
        <v>8</v>
      </c>
      <c r="K97" t="s">
        <v>186</v>
      </c>
      <c r="L97">
        <v>51</v>
      </c>
      <c r="M97" t="s">
        <v>175</v>
      </c>
      <c r="N97" t="s">
        <v>175</v>
      </c>
      <c r="O97" t="s">
        <v>175</v>
      </c>
      <c r="P97" t="s">
        <v>175</v>
      </c>
      <c r="Q97" t="s">
        <v>175</v>
      </c>
      <c r="R97" t="s">
        <v>175</v>
      </c>
      <c r="S97" t="s">
        <v>175</v>
      </c>
      <c r="T97" t="s">
        <v>175</v>
      </c>
      <c r="U97" t="s">
        <v>175</v>
      </c>
      <c r="V97" t="s">
        <v>175</v>
      </c>
      <c r="W97" t="s">
        <v>175</v>
      </c>
      <c r="X97" t="s">
        <v>175</v>
      </c>
      <c r="Y97" t="s">
        <v>175</v>
      </c>
      <c r="Z97" t="s">
        <v>175</v>
      </c>
      <c r="AA97" t="s">
        <v>175</v>
      </c>
      <c r="AB97" t="s">
        <v>175</v>
      </c>
      <c r="AC97" t="s">
        <v>175</v>
      </c>
      <c r="AD97" t="s">
        <v>175</v>
      </c>
      <c r="AE97" t="s">
        <v>175</v>
      </c>
      <c r="AF97" t="s">
        <v>175</v>
      </c>
      <c r="AG97" s="878">
        <v>44208</v>
      </c>
      <c r="AH97" s="873">
        <f t="shared" si="1"/>
        <v>44197</v>
      </c>
    </row>
    <row r="98" spans="1:34">
      <c r="A98">
        <v>1</v>
      </c>
      <c r="B98">
        <v>63</v>
      </c>
      <c r="C98" t="s">
        <v>187</v>
      </c>
      <c r="D98">
        <v>136</v>
      </c>
      <c r="E98">
        <v>379994268.899737</v>
      </c>
      <c r="F98">
        <v>0</v>
      </c>
      <c r="G98">
        <v>153654661</v>
      </c>
      <c r="H98">
        <v>0</v>
      </c>
      <c r="I98" s="878">
        <v>44043</v>
      </c>
      <c r="J98">
        <v>1</v>
      </c>
      <c r="K98" t="s">
        <v>187</v>
      </c>
      <c r="L98">
        <v>63</v>
      </c>
      <c r="M98">
        <v>6.0174608108574598E-2</v>
      </c>
      <c r="N98">
        <v>0.71341286312734697</v>
      </c>
      <c r="O98">
        <v>0.16604797156919601</v>
      </c>
      <c r="P98">
        <v>6.0364557194882998E-2</v>
      </c>
      <c r="Q98">
        <v>-1.16794313913339E-2</v>
      </c>
      <c r="R98">
        <v>6.6817390224037002E-2</v>
      </c>
      <c r="S98">
        <v>0</v>
      </c>
      <c r="T98">
        <v>-3.89606626462703E-3</v>
      </c>
      <c r="U98">
        <v>9.0484041198767799E-4</v>
      </c>
      <c r="V98">
        <v>8.0597557626796799E-3</v>
      </c>
      <c r="W98">
        <v>-3.1880634168821799E-5</v>
      </c>
      <c r="X98">
        <v>0</v>
      </c>
      <c r="Y98">
        <v>0.182513037175253</v>
      </c>
      <c r="Z98">
        <v>0.66626313136207105</v>
      </c>
      <c r="AA98">
        <v>-9.87537267156368E-3</v>
      </c>
      <c r="AB98">
        <v>9.9876978283171602E-2</v>
      </c>
      <c r="AC98">
        <v>1.80130358747238E-2</v>
      </c>
      <c r="AD98">
        <v>-0.324125915845144</v>
      </c>
      <c r="AE98">
        <v>8.07479689488355E-2</v>
      </c>
      <c r="AF98">
        <v>0</v>
      </c>
      <c r="AG98" s="878">
        <v>44043</v>
      </c>
      <c r="AH98" s="873">
        <f t="shared" si="1"/>
        <v>44013</v>
      </c>
    </row>
    <row r="99" spans="1:34">
      <c r="A99">
        <v>2</v>
      </c>
      <c r="B99">
        <v>63</v>
      </c>
      <c r="C99" t="s">
        <v>187</v>
      </c>
      <c r="D99">
        <v>136</v>
      </c>
      <c r="E99">
        <v>135033530.408793</v>
      </c>
      <c r="F99">
        <v>0</v>
      </c>
      <c r="G99" t="s">
        <v>175</v>
      </c>
      <c r="H99" t="s">
        <v>175</v>
      </c>
      <c r="I99" s="878">
        <v>44055</v>
      </c>
      <c r="J99">
        <v>2</v>
      </c>
      <c r="K99" t="s">
        <v>187</v>
      </c>
      <c r="L99">
        <v>63</v>
      </c>
      <c r="M99">
        <v>0.377201872994542</v>
      </c>
      <c r="N99" t="s">
        <v>175</v>
      </c>
      <c r="O99">
        <v>0.40675791410000001</v>
      </c>
      <c r="P99">
        <v>0.2160402129</v>
      </c>
      <c r="Q99">
        <v>-0.38438669505198297</v>
      </c>
      <c r="R99">
        <v>0.44265613533952303</v>
      </c>
      <c r="S99">
        <v>-3.3709582511112899E-12</v>
      </c>
      <c r="T99">
        <v>0.30059569728504798</v>
      </c>
      <c r="U99">
        <v>2.3174512119499599E-2</v>
      </c>
      <c r="V99">
        <v>-4.5690847365506097E-3</v>
      </c>
      <c r="W99">
        <v>-2.68691957623098E-4</v>
      </c>
      <c r="X99">
        <v>0</v>
      </c>
      <c r="Y99" t="s">
        <v>175</v>
      </c>
      <c r="Z99" t="s">
        <v>175</v>
      </c>
      <c r="AA99" t="s">
        <v>175</v>
      </c>
      <c r="AB99" t="s">
        <v>175</v>
      </c>
      <c r="AC99" t="s">
        <v>175</v>
      </c>
      <c r="AD99" t="s">
        <v>175</v>
      </c>
      <c r="AE99" t="s">
        <v>175</v>
      </c>
      <c r="AF99" t="s">
        <v>175</v>
      </c>
      <c r="AG99" s="878">
        <v>44055</v>
      </c>
      <c r="AH99" s="873">
        <f t="shared" si="1"/>
        <v>44044</v>
      </c>
    </row>
    <row r="100" spans="1:34">
      <c r="A100">
        <v>3</v>
      </c>
      <c r="B100">
        <v>63</v>
      </c>
      <c r="C100" t="s">
        <v>187</v>
      </c>
      <c r="D100">
        <v>136</v>
      </c>
      <c r="E100">
        <v>115192320.08158199</v>
      </c>
      <c r="F100">
        <v>0</v>
      </c>
      <c r="G100" t="s">
        <v>175</v>
      </c>
      <c r="H100" t="s">
        <v>175</v>
      </c>
      <c r="I100" s="878">
        <v>44088</v>
      </c>
      <c r="J100">
        <v>3</v>
      </c>
      <c r="K100" t="s">
        <v>187</v>
      </c>
      <c r="L100">
        <v>63</v>
      </c>
      <c r="M100">
        <v>0.52550710484585506</v>
      </c>
      <c r="N100" t="s">
        <v>175</v>
      </c>
      <c r="O100">
        <v>0.41697505200000001</v>
      </c>
      <c r="P100">
        <v>5.7517843200000002E-2</v>
      </c>
      <c r="Q100">
        <v>-0.346138315015531</v>
      </c>
      <c r="R100">
        <v>0.64389630106996498</v>
      </c>
      <c r="S100">
        <v>-2.6700968577534199E-12</v>
      </c>
      <c r="T100">
        <v>0.255787297831926</v>
      </c>
      <c r="U100">
        <v>3.65030553768253E-2</v>
      </c>
      <c r="V100">
        <v>-6.4335853280535205E-2</v>
      </c>
      <c r="W100">
        <v>-2.0538113412571301E-4</v>
      </c>
      <c r="X100">
        <v>0</v>
      </c>
      <c r="Y100" t="s">
        <v>175</v>
      </c>
      <c r="Z100" t="s">
        <v>175</v>
      </c>
      <c r="AA100" t="s">
        <v>175</v>
      </c>
      <c r="AB100" t="s">
        <v>175</v>
      </c>
      <c r="AC100" t="s">
        <v>175</v>
      </c>
      <c r="AD100" t="s">
        <v>175</v>
      </c>
      <c r="AE100" t="s">
        <v>175</v>
      </c>
      <c r="AF100" t="s">
        <v>175</v>
      </c>
      <c r="AG100" s="878">
        <v>44088</v>
      </c>
      <c r="AH100" s="873">
        <f t="shared" si="1"/>
        <v>44075</v>
      </c>
    </row>
    <row r="101" spans="1:34">
      <c r="A101">
        <v>4</v>
      </c>
      <c r="B101">
        <v>63</v>
      </c>
      <c r="C101" t="s">
        <v>187</v>
      </c>
      <c r="D101">
        <v>136</v>
      </c>
      <c r="E101">
        <v>46301450.609888501</v>
      </c>
      <c r="F101">
        <v>0</v>
      </c>
      <c r="G101" t="s">
        <v>175</v>
      </c>
      <c r="H101" t="s">
        <v>175</v>
      </c>
      <c r="I101" s="878">
        <v>44117</v>
      </c>
      <c r="J101">
        <v>4</v>
      </c>
      <c r="K101" t="s">
        <v>187</v>
      </c>
      <c r="L101">
        <v>63</v>
      </c>
      <c r="M101">
        <v>0.90256892397493704</v>
      </c>
      <c r="N101">
        <v>0</v>
      </c>
      <c r="O101">
        <v>9.7431076025063595E-2</v>
      </c>
      <c r="P101">
        <v>0</v>
      </c>
      <c r="Q101">
        <v>-0.54684108951366495</v>
      </c>
      <c r="R101">
        <v>0.96936227401016495</v>
      </c>
      <c r="S101">
        <v>4.5908469562243202E-5</v>
      </c>
      <c r="T101">
        <v>0.48502741368444702</v>
      </c>
      <c r="U101">
        <v>5.1328244898820097E-2</v>
      </c>
      <c r="V101">
        <v>-5.6645323804827702E-2</v>
      </c>
      <c r="W101">
        <v>2.9149623043509302E-4</v>
      </c>
      <c r="X101">
        <v>0</v>
      </c>
      <c r="Y101" t="s">
        <v>175</v>
      </c>
      <c r="Z101" t="s">
        <v>175</v>
      </c>
      <c r="AA101" t="s">
        <v>175</v>
      </c>
      <c r="AB101" t="s">
        <v>175</v>
      </c>
      <c r="AC101" t="s">
        <v>175</v>
      </c>
      <c r="AD101" t="s">
        <v>175</v>
      </c>
      <c r="AE101" t="s">
        <v>175</v>
      </c>
      <c r="AF101" t="s">
        <v>175</v>
      </c>
      <c r="AG101" s="878">
        <v>44117</v>
      </c>
      <c r="AH101" s="873">
        <f t="shared" si="1"/>
        <v>44105</v>
      </c>
    </row>
    <row r="102" spans="1:34">
      <c r="A102">
        <v>5</v>
      </c>
      <c r="B102">
        <v>63</v>
      </c>
      <c r="C102" t="s">
        <v>187</v>
      </c>
      <c r="D102">
        <v>136</v>
      </c>
      <c r="E102">
        <v>0</v>
      </c>
      <c r="F102">
        <v>0</v>
      </c>
      <c r="G102" t="s">
        <v>175</v>
      </c>
      <c r="H102" t="s">
        <v>175</v>
      </c>
      <c r="I102" s="878">
        <v>44147</v>
      </c>
      <c r="J102">
        <v>5</v>
      </c>
      <c r="K102" t="s">
        <v>187</v>
      </c>
      <c r="L102">
        <v>63</v>
      </c>
      <c r="M102" t="s">
        <v>175</v>
      </c>
      <c r="N102" t="s">
        <v>175</v>
      </c>
      <c r="O102" t="s">
        <v>175</v>
      </c>
      <c r="P102" t="s">
        <v>175</v>
      </c>
      <c r="Q102" t="s">
        <v>175</v>
      </c>
      <c r="R102" t="s">
        <v>175</v>
      </c>
      <c r="S102" t="s">
        <v>175</v>
      </c>
      <c r="T102" t="s">
        <v>175</v>
      </c>
      <c r="U102" t="s">
        <v>175</v>
      </c>
      <c r="V102" t="s">
        <v>175</v>
      </c>
      <c r="W102" t="s">
        <v>175</v>
      </c>
      <c r="X102" t="s">
        <v>175</v>
      </c>
      <c r="Y102" t="s">
        <v>175</v>
      </c>
      <c r="Z102" t="s">
        <v>175</v>
      </c>
      <c r="AA102" t="s">
        <v>175</v>
      </c>
      <c r="AB102" t="s">
        <v>175</v>
      </c>
      <c r="AC102" t="s">
        <v>175</v>
      </c>
      <c r="AD102" t="s">
        <v>175</v>
      </c>
      <c r="AE102" t="s">
        <v>175</v>
      </c>
      <c r="AF102" t="s">
        <v>175</v>
      </c>
      <c r="AG102" s="878">
        <v>44147</v>
      </c>
      <c r="AH102" s="873">
        <f t="shared" si="1"/>
        <v>44136</v>
      </c>
    </row>
    <row r="103" spans="1:34">
      <c r="A103">
        <v>6</v>
      </c>
      <c r="B103">
        <v>63</v>
      </c>
      <c r="C103" t="s">
        <v>187</v>
      </c>
      <c r="D103">
        <v>136</v>
      </c>
      <c r="E103">
        <v>0</v>
      </c>
      <c r="F103">
        <v>0</v>
      </c>
      <c r="G103" t="s">
        <v>175</v>
      </c>
      <c r="H103" t="s">
        <v>175</v>
      </c>
      <c r="I103" s="878">
        <v>44179</v>
      </c>
      <c r="J103">
        <v>6</v>
      </c>
      <c r="K103" t="s">
        <v>187</v>
      </c>
      <c r="L103">
        <v>63</v>
      </c>
      <c r="M103" t="s">
        <v>175</v>
      </c>
      <c r="N103" t="s">
        <v>175</v>
      </c>
      <c r="O103" t="s">
        <v>175</v>
      </c>
      <c r="P103" t="s">
        <v>175</v>
      </c>
      <c r="Q103" t="s">
        <v>175</v>
      </c>
      <c r="R103" t="s">
        <v>175</v>
      </c>
      <c r="S103" t="s">
        <v>175</v>
      </c>
      <c r="T103" t="s">
        <v>175</v>
      </c>
      <c r="U103" t="s">
        <v>175</v>
      </c>
      <c r="V103" t="s">
        <v>175</v>
      </c>
      <c r="W103" t="s">
        <v>175</v>
      </c>
      <c r="X103" t="s">
        <v>175</v>
      </c>
      <c r="Y103" t="s">
        <v>175</v>
      </c>
      <c r="Z103" t="s">
        <v>175</v>
      </c>
      <c r="AA103" t="s">
        <v>175</v>
      </c>
      <c r="AB103" t="s">
        <v>175</v>
      </c>
      <c r="AC103" t="s">
        <v>175</v>
      </c>
      <c r="AD103" t="s">
        <v>175</v>
      </c>
      <c r="AE103" t="s">
        <v>175</v>
      </c>
      <c r="AF103" t="s">
        <v>175</v>
      </c>
      <c r="AG103" s="878">
        <v>44179</v>
      </c>
      <c r="AH103" s="873">
        <f t="shared" si="1"/>
        <v>44166</v>
      </c>
    </row>
    <row r="104" spans="1:34">
      <c r="A104">
        <v>7</v>
      </c>
      <c r="B104">
        <v>63</v>
      </c>
      <c r="C104" t="s">
        <v>187</v>
      </c>
      <c r="D104">
        <v>136</v>
      </c>
      <c r="E104">
        <v>0</v>
      </c>
      <c r="F104">
        <v>0</v>
      </c>
      <c r="G104" t="s">
        <v>175</v>
      </c>
      <c r="H104" t="s">
        <v>175</v>
      </c>
      <c r="I104" s="878">
        <v>44193</v>
      </c>
      <c r="J104">
        <v>7</v>
      </c>
      <c r="K104" t="s">
        <v>187</v>
      </c>
      <c r="L104">
        <v>63</v>
      </c>
      <c r="M104" t="s">
        <v>175</v>
      </c>
      <c r="N104" t="s">
        <v>175</v>
      </c>
      <c r="O104" t="s">
        <v>175</v>
      </c>
      <c r="P104" t="s">
        <v>175</v>
      </c>
      <c r="Q104" t="s">
        <v>175</v>
      </c>
      <c r="R104" t="s">
        <v>175</v>
      </c>
      <c r="S104" t="s">
        <v>175</v>
      </c>
      <c r="T104" t="s">
        <v>175</v>
      </c>
      <c r="U104" t="s">
        <v>175</v>
      </c>
      <c r="V104" t="s">
        <v>175</v>
      </c>
      <c r="W104" t="s">
        <v>175</v>
      </c>
      <c r="X104" t="s">
        <v>175</v>
      </c>
      <c r="Y104" t="s">
        <v>175</v>
      </c>
      <c r="Z104" t="s">
        <v>175</v>
      </c>
      <c r="AA104" t="s">
        <v>175</v>
      </c>
      <c r="AB104" t="s">
        <v>175</v>
      </c>
      <c r="AC104" t="s">
        <v>175</v>
      </c>
      <c r="AD104" t="s">
        <v>175</v>
      </c>
      <c r="AE104" t="s">
        <v>175</v>
      </c>
      <c r="AF104" t="s">
        <v>175</v>
      </c>
      <c r="AG104" s="878">
        <v>44193</v>
      </c>
      <c r="AH104" s="873">
        <f t="shared" si="1"/>
        <v>44166</v>
      </c>
    </row>
    <row r="105" spans="1:34">
      <c r="A105">
        <v>8</v>
      </c>
      <c r="B105">
        <v>63</v>
      </c>
      <c r="C105" t="s">
        <v>187</v>
      </c>
      <c r="D105">
        <v>136</v>
      </c>
      <c r="E105">
        <v>0</v>
      </c>
      <c r="F105">
        <v>0</v>
      </c>
      <c r="G105" t="s">
        <v>175</v>
      </c>
      <c r="H105" t="s">
        <v>175</v>
      </c>
      <c r="I105" s="878">
        <v>44208</v>
      </c>
      <c r="J105">
        <v>8</v>
      </c>
      <c r="K105" t="s">
        <v>187</v>
      </c>
      <c r="L105">
        <v>63</v>
      </c>
      <c r="M105" t="s">
        <v>175</v>
      </c>
      <c r="N105" t="s">
        <v>175</v>
      </c>
      <c r="O105" t="s">
        <v>175</v>
      </c>
      <c r="P105" t="s">
        <v>175</v>
      </c>
      <c r="Q105" t="s">
        <v>175</v>
      </c>
      <c r="R105" t="s">
        <v>175</v>
      </c>
      <c r="S105" t="s">
        <v>175</v>
      </c>
      <c r="T105" t="s">
        <v>175</v>
      </c>
      <c r="U105" t="s">
        <v>175</v>
      </c>
      <c r="V105" t="s">
        <v>175</v>
      </c>
      <c r="W105" t="s">
        <v>175</v>
      </c>
      <c r="X105" t="s">
        <v>175</v>
      </c>
      <c r="Y105" t="s">
        <v>175</v>
      </c>
      <c r="Z105" t="s">
        <v>175</v>
      </c>
      <c r="AA105" t="s">
        <v>175</v>
      </c>
      <c r="AB105" t="s">
        <v>175</v>
      </c>
      <c r="AC105" t="s">
        <v>175</v>
      </c>
      <c r="AD105" t="s">
        <v>175</v>
      </c>
      <c r="AE105" t="s">
        <v>175</v>
      </c>
      <c r="AF105" t="s">
        <v>175</v>
      </c>
      <c r="AG105" s="878">
        <v>44208</v>
      </c>
      <c r="AH105" s="873">
        <f t="shared" si="1"/>
        <v>44197</v>
      </c>
    </row>
    <row r="106" spans="1:34">
      <c r="A106">
        <v>1</v>
      </c>
      <c r="B106">
        <v>82</v>
      </c>
      <c r="C106" t="s">
        <v>188</v>
      </c>
      <c r="D106">
        <v>128</v>
      </c>
      <c r="E106">
        <v>3227248.2065834198</v>
      </c>
      <c r="F106">
        <v>0</v>
      </c>
      <c r="G106">
        <v>0</v>
      </c>
      <c r="H106">
        <v>0</v>
      </c>
      <c r="I106" s="878">
        <v>44043</v>
      </c>
      <c r="J106">
        <v>1</v>
      </c>
      <c r="K106" t="s">
        <v>188</v>
      </c>
      <c r="L106">
        <v>82</v>
      </c>
      <c r="M106">
        <v>0.15409033696924199</v>
      </c>
      <c r="N106">
        <v>0.80988802238969604</v>
      </c>
      <c r="O106">
        <v>0</v>
      </c>
      <c r="P106">
        <v>3.6021640641061503E-2</v>
      </c>
      <c r="Q106">
        <v>0.170975914689565</v>
      </c>
      <c r="R106">
        <v>0</v>
      </c>
      <c r="S106">
        <v>1.0680355206940299E-3</v>
      </c>
      <c r="T106">
        <v>4.6960038287676498E-3</v>
      </c>
      <c r="U106">
        <v>4.1191017608600599E-3</v>
      </c>
      <c r="V106">
        <v>-3.2047499133931297E-2</v>
      </c>
      <c r="W106">
        <v>5.2787803032868499E-3</v>
      </c>
      <c r="X106">
        <v>0</v>
      </c>
      <c r="Y106">
        <v>0.90640628052542305</v>
      </c>
      <c r="Z106">
        <v>0</v>
      </c>
      <c r="AA106">
        <v>-6.81105592391541E-2</v>
      </c>
      <c r="AB106">
        <v>7.6093991087664098E-2</v>
      </c>
      <c r="AC106">
        <v>8.7647930465780594E-2</v>
      </c>
      <c r="AD106">
        <v>-0.526817629989349</v>
      </c>
      <c r="AE106">
        <v>0.33466800953933101</v>
      </c>
      <c r="AF106">
        <v>0</v>
      </c>
      <c r="AG106" s="878">
        <v>44043</v>
      </c>
      <c r="AH106" s="873">
        <f t="shared" si="1"/>
        <v>44013</v>
      </c>
    </row>
    <row r="107" spans="1:34">
      <c r="A107">
        <v>2</v>
      </c>
      <c r="B107">
        <v>82</v>
      </c>
      <c r="C107" t="s">
        <v>188</v>
      </c>
      <c r="D107">
        <v>128</v>
      </c>
      <c r="E107">
        <v>257091.67356004499</v>
      </c>
      <c r="F107">
        <v>0</v>
      </c>
      <c r="G107" t="s">
        <v>175</v>
      </c>
      <c r="H107" t="s">
        <v>175</v>
      </c>
      <c r="I107" s="878">
        <v>44055</v>
      </c>
      <c r="J107">
        <v>2</v>
      </c>
      <c r="K107" t="s">
        <v>188</v>
      </c>
      <c r="L107">
        <v>82</v>
      </c>
      <c r="M107">
        <v>1</v>
      </c>
      <c r="N107" t="s">
        <v>175</v>
      </c>
      <c r="O107">
        <v>0</v>
      </c>
      <c r="P107">
        <v>0</v>
      </c>
      <c r="Q107">
        <v>1.66853922192407</v>
      </c>
      <c r="R107">
        <v>0</v>
      </c>
      <c r="S107">
        <v>4.0618485400107198E-4</v>
      </c>
      <c r="T107">
        <v>3.7599220500450503E-2</v>
      </c>
      <c r="U107">
        <v>4.4593623789483998E-2</v>
      </c>
      <c r="V107">
        <v>7.3171686203654898E-2</v>
      </c>
      <c r="W107">
        <v>-0.82430993727166202</v>
      </c>
      <c r="X107">
        <v>0</v>
      </c>
      <c r="Y107" t="s">
        <v>175</v>
      </c>
      <c r="Z107" t="s">
        <v>175</v>
      </c>
      <c r="AA107" t="s">
        <v>175</v>
      </c>
      <c r="AB107" t="s">
        <v>175</v>
      </c>
      <c r="AC107" t="s">
        <v>175</v>
      </c>
      <c r="AD107" t="s">
        <v>175</v>
      </c>
      <c r="AE107" t="s">
        <v>175</v>
      </c>
      <c r="AF107" t="s">
        <v>175</v>
      </c>
      <c r="AG107" s="878">
        <v>44055</v>
      </c>
      <c r="AH107" s="873">
        <f t="shared" si="1"/>
        <v>44044</v>
      </c>
    </row>
    <row r="108" spans="1:34">
      <c r="A108">
        <v>3</v>
      </c>
      <c r="B108">
        <v>82</v>
      </c>
      <c r="C108" t="s">
        <v>188</v>
      </c>
      <c r="D108">
        <v>128</v>
      </c>
      <c r="E108">
        <v>257091.67356004499</v>
      </c>
      <c r="F108">
        <v>0</v>
      </c>
      <c r="G108" t="s">
        <v>175</v>
      </c>
      <c r="H108" t="s">
        <v>175</v>
      </c>
      <c r="I108" s="878">
        <v>44088</v>
      </c>
      <c r="J108">
        <v>3</v>
      </c>
      <c r="K108" t="s">
        <v>188</v>
      </c>
      <c r="L108">
        <v>82</v>
      </c>
      <c r="M108">
        <v>1</v>
      </c>
      <c r="N108" t="s">
        <v>175</v>
      </c>
      <c r="O108">
        <v>0</v>
      </c>
      <c r="P108">
        <v>0</v>
      </c>
      <c r="Q108">
        <v>0.66238244090686105</v>
      </c>
      <c r="R108">
        <v>0</v>
      </c>
      <c r="S108">
        <v>0</v>
      </c>
      <c r="T108">
        <v>3.6194691555674299E-2</v>
      </c>
      <c r="U108">
        <v>3.4030738833826298E-2</v>
      </c>
      <c r="V108">
        <v>-7.1510470708267396E-2</v>
      </c>
      <c r="W108">
        <v>0.33890259941190598</v>
      </c>
      <c r="X108">
        <v>0</v>
      </c>
      <c r="Y108" t="s">
        <v>175</v>
      </c>
      <c r="Z108" t="s">
        <v>175</v>
      </c>
      <c r="AA108" t="s">
        <v>175</v>
      </c>
      <c r="AB108" t="s">
        <v>175</v>
      </c>
      <c r="AC108" t="s">
        <v>175</v>
      </c>
      <c r="AD108" t="s">
        <v>175</v>
      </c>
      <c r="AE108" t="s">
        <v>175</v>
      </c>
      <c r="AF108" t="s">
        <v>175</v>
      </c>
      <c r="AG108" s="878">
        <v>44088</v>
      </c>
      <c r="AH108" s="873">
        <f t="shared" si="1"/>
        <v>44075</v>
      </c>
    </row>
    <row r="109" spans="1:34">
      <c r="A109">
        <v>4</v>
      </c>
      <c r="B109">
        <v>82</v>
      </c>
      <c r="C109" t="s">
        <v>188</v>
      </c>
      <c r="D109">
        <v>128</v>
      </c>
      <c r="E109">
        <v>983.43948882298196</v>
      </c>
      <c r="F109">
        <v>0</v>
      </c>
      <c r="G109" t="s">
        <v>175</v>
      </c>
      <c r="H109" t="s">
        <v>175</v>
      </c>
      <c r="I109" s="878">
        <v>44117</v>
      </c>
      <c r="J109">
        <v>4</v>
      </c>
      <c r="K109" t="s">
        <v>188</v>
      </c>
      <c r="L109">
        <v>82</v>
      </c>
      <c r="M109">
        <v>1</v>
      </c>
      <c r="N109">
        <v>0</v>
      </c>
      <c r="O109">
        <v>0</v>
      </c>
      <c r="P109">
        <v>0</v>
      </c>
      <c r="Q109">
        <v>0.84444810625547495</v>
      </c>
      <c r="R109">
        <v>0</v>
      </c>
      <c r="S109">
        <v>0</v>
      </c>
      <c r="T109">
        <v>9.3758005507128206E-2</v>
      </c>
      <c r="U109">
        <v>0.106974602241682</v>
      </c>
      <c r="V109">
        <v>-4.4698907632077199E-2</v>
      </c>
      <c r="W109">
        <v>-4.8180637220862898E-4</v>
      </c>
      <c r="X109">
        <v>0</v>
      </c>
      <c r="Y109" t="s">
        <v>175</v>
      </c>
      <c r="Z109" t="s">
        <v>175</v>
      </c>
      <c r="AA109" t="s">
        <v>175</v>
      </c>
      <c r="AB109" t="s">
        <v>175</v>
      </c>
      <c r="AC109" t="s">
        <v>175</v>
      </c>
      <c r="AD109" t="s">
        <v>175</v>
      </c>
      <c r="AE109" t="s">
        <v>175</v>
      </c>
      <c r="AF109" t="s">
        <v>175</v>
      </c>
      <c r="AG109" s="878">
        <v>44117</v>
      </c>
      <c r="AH109" s="873">
        <f t="shared" si="1"/>
        <v>44105</v>
      </c>
    </row>
    <row r="110" spans="1:34">
      <c r="A110">
        <v>5</v>
      </c>
      <c r="B110">
        <v>82</v>
      </c>
      <c r="C110" t="s">
        <v>188</v>
      </c>
      <c r="D110">
        <v>128</v>
      </c>
      <c r="E110">
        <v>0</v>
      </c>
      <c r="F110">
        <v>0</v>
      </c>
      <c r="G110" t="s">
        <v>175</v>
      </c>
      <c r="H110" t="s">
        <v>175</v>
      </c>
      <c r="I110" s="878">
        <v>44147</v>
      </c>
      <c r="J110">
        <v>5</v>
      </c>
      <c r="K110" t="s">
        <v>188</v>
      </c>
      <c r="L110">
        <v>82</v>
      </c>
      <c r="M110">
        <v>1</v>
      </c>
      <c r="N110">
        <v>0</v>
      </c>
      <c r="O110">
        <v>0</v>
      </c>
      <c r="P110">
        <v>0</v>
      </c>
      <c r="Q110">
        <v>1.3986726748329701</v>
      </c>
      <c r="R110">
        <v>0</v>
      </c>
      <c r="S110">
        <v>0</v>
      </c>
      <c r="T110">
        <v>8.3169908534900305E-2</v>
      </c>
      <c r="U110">
        <v>9.5748875402439607E-2</v>
      </c>
      <c r="V110">
        <v>-0.16911584047103001</v>
      </c>
      <c r="W110">
        <v>-0.40847561829927798</v>
      </c>
      <c r="X110">
        <v>0</v>
      </c>
      <c r="Y110" t="s">
        <v>175</v>
      </c>
      <c r="Z110" t="s">
        <v>175</v>
      </c>
      <c r="AA110" t="s">
        <v>175</v>
      </c>
      <c r="AB110" t="s">
        <v>175</v>
      </c>
      <c r="AC110" t="s">
        <v>175</v>
      </c>
      <c r="AD110" t="s">
        <v>175</v>
      </c>
      <c r="AE110" t="s">
        <v>175</v>
      </c>
      <c r="AF110" t="s">
        <v>175</v>
      </c>
      <c r="AG110" s="878">
        <v>44147</v>
      </c>
      <c r="AH110" s="873">
        <f t="shared" si="1"/>
        <v>44136</v>
      </c>
    </row>
    <row r="111" spans="1:34">
      <c r="A111">
        <v>6</v>
      </c>
      <c r="B111">
        <v>82</v>
      </c>
      <c r="C111" t="s">
        <v>188</v>
      </c>
      <c r="D111">
        <v>128</v>
      </c>
      <c r="E111">
        <v>0</v>
      </c>
      <c r="F111">
        <v>0</v>
      </c>
      <c r="G111" t="s">
        <v>175</v>
      </c>
      <c r="H111" t="s">
        <v>175</v>
      </c>
      <c r="I111" s="878">
        <v>44179</v>
      </c>
      <c r="J111">
        <v>6</v>
      </c>
      <c r="K111" t="s">
        <v>188</v>
      </c>
      <c r="L111">
        <v>82</v>
      </c>
      <c r="M111">
        <v>1</v>
      </c>
      <c r="N111">
        <v>0</v>
      </c>
      <c r="O111">
        <v>0</v>
      </c>
      <c r="P111">
        <v>0</v>
      </c>
      <c r="Q111">
        <v>0.78760490711602205</v>
      </c>
      <c r="R111">
        <v>0</v>
      </c>
      <c r="S111">
        <v>0</v>
      </c>
      <c r="T111">
        <v>0.12335429366813799</v>
      </c>
      <c r="U111">
        <v>0.13449727676720299</v>
      </c>
      <c r="V111">
        <v>-4.4963806131360001E-2</v>
      </c>
      <c r="W111">
        <v>-4.9267142000316102E-4</v>
      </c>
      <c r="X111">
        <v>0</v>
      </c>
      <c r="Y111" t="s">
        <v>175</v>
      </c>
      <c r="Z111" t="s">
        <v>175</v>
      </c>
      <c r="AA111" t="s">
        <v>175</v>
      </c>
      <c r="AB111" t="s">
        <v>175</v>
      </c>
      <c r="AC111" t="s">
        <v>175</v>
      </c>
      <c r="AD111" t="s">
        <v>175</v>
      </c>
      <c r="AE111" t="s">
        <v>175</v>
      </c>
      <c r="AF111" t="s">
        <v>175</v>
      </c>
      <c r="AG111" s="878">
        <v>44179</v>
      </c>
      <c r="AH111" s="873">
        <f t="shared" si="1"/>
        <v>44166</v>
      </c>
    </row>
    <row r="112" spans="1:34">
      <c r="A112">
        <v>7</v>
      </c>
      <c r="B112">
        <v>82</v>
      </c>
      <c r="C112" t="s">
        <v>188</v>
      </c>
      <c r="D112">
        <v>128</v>
      </c>
      <c r="E112">
        <v>0</v>
      </c>
      <c r="F112">
        <v>0</v>
      </c>
      <c r="G112" t="s">
        <v>175</v>
      </c>
      <c r="H112" t="s">
        <v>175</v>
      </c>
      <c r="I112" s="878">
        <v>44193</v>
      </c>
      <c r="J112">
        <v>7</v>
      </c>
      <c r="K112" t="s">
        <v>188</v>
      </c>
      <c r="L112">
        <v>82</v>
      </c>
      <c r="M112">
        <v>1</v>
      </c>
      <c r="N112">
        <v>0</v>
      </c>
      <c r="O112">
        <v>0</v>
      </c>
      <c r="P112">
        <v>0</v>
      </c>
      <c r="Q112">
        <v>0.87024040675495595</v>
      </c>
      <c r="R112">
        <v>0</v>
      </c>
      <c r="S112">
        <v>0</v>
      </c>
      <c r="T112">
        <v>2.2241509481235901E-2</v>
      </c>
      <c r="U112">
        <v>2.8815188315978402E-2</v>
      </c>
      <c r="V112">
        <v>9.2856764189007193E-2</v>
      </c>
      <c r="W112">
        <v>-1.41538687411779E-2</v>
      </c>
      <c r="X112">
        <v>0</v>
      </c>
      <c r="Y112" t="s">
        <v>175</v>
      </c>
      <c r="Z112" t="s">
        <v>175</v>
      </c>
      <c r="AA112" t="s">
        <v>175</v>
      </c>
      <c r="AB112" t="s">
        <v>175</v>
      </c>
      <c r="AC112" t="s">
        <v>175</v>
      </c>
      <c r="AD112" t="s">
        <v>175</v>
      </c>
      <c r="AE112" t="s">
        <v>175</v>
      </c>
      <c r="AF112" t="s">
        <v>175</v>
      </c>
      <c r="AG112" s="878">
        <v>44193</v>
      </c>
      <c r="AH112" s="873">
        <f t="shared" si="1"/>
        <v>44166</v>
      </c>
    </row>
    <row r="113" spans="1:34">
      <c r="A113">
        <v>8</v>
      </c>
      <c r="B113">
        <v>82</v>
      </c>
      <c r="C113" t="s">
        <v>188</v>
      </c>
      <c r="D113">
        <v>128</v>
      </c>
      <c r="E113">
        <v>0</v>
      </c>
      <c r="F113">
        <v>0</v>
      </c>
      <c r="G113" t="s">
        <v>175</v>
      </c>
      <c r="H113" t="s">
        <v>175</v>
      </c>
      <c r="I113" s="878">
        <v>44208</v>
      </c>
      <c r="J113">
        <v>8</v>
      </c>
      <c r="K113" t="s">
        <v>188</v>
      </c>
      <c r="L113">
        <v>82</v>
      </c>
      <c r="M113">
        <v>1</v>
      </c>
      <c r="N113">
        <v>0</v>
      </c>
      <c r="O113">
        <v>0</v>
      </c>
      <c r="P113">
        <v>0</v>
      </c>
      <c r="Q113">
        <v>0.87024040675495595</v>
      </c>
      <c r="R113">
        <v>0</v>
      </c>
      <c r="S113">
        <v>0</v>
      </c>
      <c r="T113">
        <v>2.2241509481235901E-2</v>
      </c>
      <c r="U113">
        <v>2.8815188315978402E-2</v>
      </c>
      <c r="V113">
        <v>9.2856764189007193E-2</v>
      </c>
      <c r="W113">
        <v>-1.41538687411779E-2</v>
      </c>
      <c r="X113">
        <v>0</v>
      </c>
      <c r="Y113" t="s">
        <v>175</v>
      </c>
      <c r="Z113" t="s">
        <v>175</v>
      </c>
      <c r="AA113" t="s">
        <v>175</v>
      </c>
      <c r="AB113" t="s">
        <v>175</v>
      </c>
      <c r="AC113" t="s">
        <v>175</v>
      </c>
      <c r="AD113" t="s">
        <v>175</v>
      </c>
      <c r="AE113" t="s">
        <v>175</v>
      </c>
      <c r="AF113" t="s">
        <v>175</v>
      </c>
      <c r="AG113" s="878">
        <v>44208</v>
      </c>
      <c r="AH113" s="873">
        <f t="shared" si="1"/>
        <v>44197</v>
      </c>
    </row>
    <row r="114" spans="1:34">
      <c r="A114">
        <v>1</v>
      </c>
      <c r="B114">
        <v>86</v>
      </c>
      <c r="C114" t="s">
        <v>189</v>
      </c>
      <c r="D114">
        <v>144</v>
      </c>
      <c r="E114">
        <v>235844.59</v>
      </c>
      <c r="F114">
        <v>239000</v>
      </c>
      <c r="G114">
        <v>0</v>
      </c>
      <c r="H114">
        <v>0</v>
      </c>
      <c r="I114" s="878">
        <v>44043</v>
      </c>
      <c r="J114">
        <v>1</v>
      </c>
      <c r="K114" t="s">
        <v>189</v>
      </c>
      <c r="L114">
        <v>86</v>
      </c>
      <c r="M114">
        <v>0.250847687453844</v>
      </c>
      <c r="N114">
        <v>0.74890125739157298</v>
      </c>
      <c r="O114">
        <v>0</v>
      </c>
      <c r="P114">
        <v>2.5105515458294001E-4</v>
      </c>
      <c r="Q114">
        <v>4.8592889071570403E-2</v>
      </c>
      <c r="R114">
        <v>0</v>
      </c>
      <c r="S114">
        <v>-6.4407625377372393E-2</v>
      </c>
      <c r="T114">
        <v>0</v>
      </c>
      <c r="U114">
        <v>0</v>
      </c>
      <c r="V114">
        <v>0</v>
      </c>
      <c r="W114">
        <v>0.26666242375964599</v>
      </c>
      <c r="X114">
        <v>0</v>
      </c>
      <c r="Y114">
        <v>0.29448557628563798</v>
      </c>
      <c r="Z114">
        <v>0</v>
      </c>
      <c r="AA114">
        <v>5.6220666329467199E-2</v>
      </c>
      <c r="AB114">
        <v>0</v>
      </c>
      <c r="AC114">
        <v>0</v>
      </c>
      <c r="AD114">
        <v>0</v>
      </c>
      <c r="AE114">
        <v>0.39819501477646801</v>
      </c>
      <c r="AF114">
        <v>0</v>
      </c>
      <c r="AG114" s="878">
        <v>44043</v>
      </c>
      <c r="AH114" s="873">
        <f t="shared" si="1"/>
        <v>44013</v>
      </c>
    </row>
    <row r="115" spans="1:34">
      <c r="A115">
        <v>2</v>
      </c>
      <c r="B115">
        <v>86</v>
      </c>
      <c r="C115" t="s">
        <v>189</v>
      </c>
      <c r="D115">
        <v>144</v>
      </c>
      <c r="E115">
        <v>318724.3</v>
      </c>
      <c r="F115">
        <v>0</v>
      </c>
      <c r="G115" t="s">
        <v>175</v>
      </c>
      <c r="H115" t="s">
        <v>175</v>
      </c>
      <c r="I115" s="878">
        <v>44055</v>
      </c>
      <c r="J115">
        <v>2</v>
      </c>
      <c r="K115" t="s">
        <v>189</v>
      </c>
      <c r="L115">
        <v>86</v>
      </c>
      <c r="M115">
        <v>1</v>
      </c>
      <c r="N115" t="s">
        <v>175</v>
      </c>
      <c r="O115">
        <v>0</v>
      </c>
      <c r="P115">
        <v>0</v>
      </c>
      <c r="Q115">
        <v>0.53709971282390501</v>
      </c>
      <c r="R115">
        <v>0</v>
      </c>
      <c r="S115">
        <v>-6.4258326083075606E-2</v>
      </c>
      <c r="T115">
        <v>0</v>
      </c>
      <c r="U115">
        <v>0</v>
      </c>
      <c r="V115">
        <v>0</v>
      </c>
      <c r="W115">
        <v>0.52715861325917102</v>
      </c>
      <c r="X115">
        <v>0</v>
      </c>
      <c r="Y115" t="s">
        <v>175</v>
      </c>
      <c r="Z115" t="s">
        <v>175</v>
      </c>
      <c r="AA115" t="s">
        <v>175</v>
      </c>
      <c r="AB115" t="s">
        <v>175</v>
      </c>
      <c r="AC115" t="s">
        <v>175</v>
      </c>
      <c r="AD115" t="s">
        <v>175</v>
      </c>
      <c r="AE115" t="s">
        <v>175</v>
      </c>
      <c r="AF115" t="s">
        <v>175</v>
      </c>
      <c r="AG115" s="878">
        <v>44055</v>
      </c>
      <c r="AH115" s="873">
        <f t="shared" si="1"/>
        <v>44044</v>
      </c>
    </row>
    <row r="116" spans="1:34">
      <c r="A116">
        <v>3</v>
      </c>
      <c r="B116">
        <v>86</v>
      </c>
      <c r="C116" t="s">
        <v>189</v>
      </c>
      <c r="D116">
        <v>144</v>
      </c>
      <c r="E116">
        <v>80551.190000000104</v>
      </c>
      <c r="F116">
        <v>0</v>
      </c>
      <c r="G116" t="s">
        <v>175</v>
      </c>
      <c r="H116" t="s">
        <v>175</v>
      </c>
      <c r="I116" s="878">
        <v>44088</v>
      </c>
      <c r="J116">
        <v>3</v>
      </c>
      <c r="K116" t="s">
        <v>189</v>
      </c>
      <c r="L116">
        <v>86</v>
      </c>
      <c r="M116">
        <v>0</v>
      </c>
      <c r="N116" t="s">
        <v>175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 t="s">
        <v>175</v>
      </c>
      <c r="Z116" t="s">
        <v>175</v>
      </c>
      <c r="AA116" t="s">
        <v>175</v>
      </c>
      <c r="AB116" t="s">
        <v>175</v>
      </c>
      <c r="AC116" t="s">
        <v>175</v>
      </c>
      <c r="AD116" t="s">
        <v>175</v>
      </c>
      <c r="AE116" t="s">
        <v>175</v>
      </c>
      <c r="AF116" t="s">
        <v>175</v>
      </c>
      <c r="AG116" s="878">
        <v>44088</v>
      </c>
      <c r="AH116" s="873">
        <f t="shared" si="1"/>
        <v>44075</v>
      </c>
    </row>
    <row r="117" spans="1:34">
      <c r="A117">
        <v>4</v>
      </c>
      <c r="B117">
        <v>86</v>
      </c>
      <c r="C117" t="s">
        <v>189</v>
      </c>
      <c r="D117">
        <v>144</v>
      </c>
      <c r="E117">
        <v>0</v>
      </c>
      <c r="F117">
        <v>0</v>
      </c>
      <c r="G117" t="s">
        <v>175</v>
      </c>
      <c r="H117" t="s">
        <v>175</v>
      </c>
      <c r="I117" s="878">
        <v>44117</v>
      </c>
      <c r="J117">
        <v>4</v>
      </c>
      <c r="K117" t="s">
        <v>189</v>
      </c>
      <c r="L117">
        <v>86</v>
      </c>
      <c r="M117">
        <v>6.7443223975753294E-2</v>
      </c>
      <c r="N117">
        <v>0</v>
      </c>
      <c r="O117">
        <v>0</v>
      </c>
      <c r="P117">
        <v>0.93255677602424702</v>
      </c>
      <c r="Q117">
        <v>7.1217696017899595E-2</v>
      </c>
      <c r="R117">
        <v>0</v>
      </c>
      <c r="S117">
        <v>1.12595904697657E-2</v>
      </c>
      <c r="T117">
        <v>0</v>
      </c>
      <c r="U117">
        <v>0</v>
      </c>
      <c r="V117">
        <v>0</v>
      </c>
      <c r="W117">
        <v>-1.5034062511911901E-2</v>
      </c>
      <c r="X117">
        <v>0</v>
      </c>
      <c r="Y117" t="s">
        <v>175</v>
      </c>
      <c r="Z117" t="s">
        <v>175</v>
      </c>
      <c r="AA117" t="s">
        <v>175</v>
      </c>
      <c r="AB117" t="s">
        <v>175</v>
      </c>
      <c r="AC117" t="s">
        <v>175</v>
      </c>
      <c r="AD117" t="s">
        <v>175</v>
      </c>
      <c r="AE117" t="s">
        <v>175</v>
      </c>
      <c r="AF117" t="s">
        <v>175</v>
      </c>
      <c r="AG117" s="878">
        <v>44117</v>
      </c>
      <c r="AH117" s="873">
        <f t="shared" si="1"/>
        <v>44105</v>
      </c>
    </row>
    <row r="118" spans="1:34">
      <c r="A118">
        <v>5</v>
      </c>
      <c r="B118">
        <v>86</v>
      </c>
      <c r="C118" t="s">
        <v>189</v>
      </c>
      <c r="D118">
        <v>144</v>
      </c>
      <c r="E118">
        <v>0</v>
      </c>
      <c r="F118">
        <v>0</v>
      </c>
      <c r="G118" t="s">
        <v>175</v>
      </c>
      <c r="H118" t="s">
        <v>175</v>
      </c>
      <c r="I118" s="878">
        <v>44147</v>
      </c>
      <c r="J118">
        <v>5</v>
      </c>
      <c r="K118" t="s">
        <v>189</v>
      </c>
      <c r="L118">
        <v>86</v>
      </c>
      <c r="M118">
        <v>0.12541995989410001</v>
      </c>
      <c r="N118">
        <v>0</v>
      </c>
      <c r="O118">
        <v>0</v>
      </c>
      <c r="P118">
        <v>0.87458004010589996</v>
      </c>
      <c r="Q118">
        <v>0.12772313156562101</v>
      </c>
      <c r="R118">
        <v>0</v>
      </c>
      <c r="S118">
        <v>1.0210410594110601E-2</v>
      </c>
      <c r="T118">
        <v>0</v>
      </c>
      <c r="U118">
        <v>0</v>
      </c>
      <c r="V118">
        <v>0</v>
      </c>
      <c r="W118">
        <v>-1.2513582265631399E-2</v>
      </c>
      <c r="X118">
        <v>0</v>
      </c>
      <c r="Y118" t="s">
        <v>175</v>
      </c>
      <c r="Z118" t="s">
        <v>175</v>
      </c>
      <c r="AA118" t="s">
        <v>175</v>
      </c>
      <c r="AB118" t="s">
        <v>175</v>
      </c>
      <c r="AC118" t="s">
        <v>175</v>
      </c>
      <c r="AD118" t="s">
        <v>175</v>
      </c>
      <c r="AE118" t="s">
        <v>175</v>
      </c>
      <c r="AF118" t="s">
        <v>175</v>
      </c>
      <c r="AG118" s="878">
        <v>44147</v>
      </c>
      <c r="AH118" s="873">
        <f t="shared" si="1"/>
        <v>44136</v>
      </c>
    </row>
    <row r="119" spans="1:34">
      <c r="A119">
        <v>6</v>
      </c>
      <c r="B119">
        <v>86</v>
      </c>
      <c r="C119" t="s">
        <v>189</v>
      </c>
      <c r="D119">
        <v>144</v>
      </c>
      <c r="E119">
        <v>0</v>
      </c>
      <c r="F119">
        <v>0</v>
      </c>
      <c r="G119" t="s">
        <v>175</v>
      </c>
      <c r="H119" t="s">
        <v>175</v>
      </c>
      <c r="I119" s="878">
        <v>44179</v>
      </c>
      <c r="J119">
        <v>6</v>
      </c>
      <c r="K119" t="s">
        <v>189</v>
      </c>
      <c r="L119">
        <v>86</v>
      </c>
      <c r="M119">
        <v>1</v>
      </c>
      <c r="N119">
        <v>0</v>
      </c>
      <c r="O119">
        <v>0</v>
      </c>
      <c r="P119">
        <v>0</v>
      </c>
      <c r="Q119">
        <v>1.0059893758620699</v>
      </c>
      <c r="R119">
        <v>0</v>
      </c>
      <c r="S119">
        <v>5.5000179166983097E-2</v>
      </c>
      <c r="T119">
        <v>0</v>
      </c>
      <c r="U119">
        <v>0</v>
      </c>
      <c r="V119">
        <v>0</v>
      </c>
      <c r="W119">
        <v>-6.0989555029050298E-2</v>
      </c>
      <c r="X119">
        <v>0</v>
      </c>
      <c r="Y119" t="s">
        <v>175</v>
      </c>
      <c r="Z119" t="s">
        <v>175</v>
      </c>
      <c r="AA119" t="s">
        <v>175</v>
      </c>
      <c r="AB119" t="s">
        <v>175</v>
      </c>
      <c r="AC119" t="s">
        <v>175</v>
      </c>
      <c r="AD119" t="s">
        <v>175</v>
      </c>
      <c r="AE119" t="s">
        <v>175</v>
      </c>
      <c r="AF119" t="s">
        <v>175</v>
      </c>
      <c r="AG119" s="878">
        <v>44179</v>
      </c>
      <c r="AH119" s="873">
        <f t="shared" si="1"/>
        <v>44166</v>
      </c>
    </row>
    <row r="120" spans="1:34">
      <c r="A120">
        <v>7</v>
      </c>
      <c r="B120">
        <v>86</v>
      </c>
      <c r="C120" t="s">
        <v>189</v>
      </c>
      <c r="D120">
        <v>144</v>
      </c>
      <c r="E120">
        <v>0</v>
      </c>
      <c r="F120">
        <v>0</v>
      </c>
      <c r="G120" t="s">
        <v>175</v>
      </c>
      <c r="H120" t="s">
        <v>175</v>
      </c>
      <c r="I120" s="878">
        <v>44193</v>
      </c>
      <c r="J120">
        <v>7</v>
      </c>
      <c r="K120" t="s">
        <v>189</v>
      </c>
      <c r="L120">
        <v>86</v>
      </c>
      <c r="M120">
        <v>0.174664906658589</v>
      </c>
      <c r="N120">
        <v>0</v>
      </c>
      <c r="O120">
        <v>0</v>
      </c>
      <c r="P120">
        <v>0.82533509334141097</v>
      </c>
      <c r="Q120">
        <v>0.13044932228702599</v>
      </c>
      <c r="R120">
        <v>0</v>
      </c>
      <c r="S120">
        <v>5.1499058704833699E-2</v>
      </c>
      <c r="T120">
        <v>0</v>
      </c>
      <c r="U120">
        <v>0</v>
      </c>
      <c r="V120">
        <v>0</v>
      </c>
      <c r="W120">
        <v>-7.2834743332705603E-3</v>
      </c>
      <c r="X120">
        <v>0</v>
      </c>
      <c r="Y120" t="s">
        <v>175</v>
      </c>
      <c r="Z120" t="s">
        <v>175</v>
      </c>
      <c r="AA120" t="s">
        <v>175</v>
      </c>
      <c r="AB120" t="s">
        <v>175</v>
      </c>
      <c r="AC120" t="s">
        <v>175</v>
      </c>
      <c r="AD120" t="s">
        <v>175</v>
      </c>
      <c r="AE120" t="s">
        <v>175</v>
      </c>
      <c r="AF120" t="s">
        <v>175</v>
      </c>
      <c r="AG120" s="878">
        <v>44193</v>
      </c>
      <c r="AH120" s="873">
        <f t="shared" si="1"/>
        <v>44166</v>
      </c>
    </row>
    <row r="121" spans="1:34">
      <c r="A121">
        <v>8</v>
      </c>
      <c r="B121">
        <v>86</v>
      </c>
      <c r="C121" t="s">
        <v>189</v>
      </c>
      <c r="D121">
        <v>144</v>
      </c>
      <c r="E121">
        <v>0</v>
      </c>
      <c r="F121">
        <v>0</v>
      </c>
      <c r="G121" t="s">
        <v>175</v>
      </c>
      <c r="H121" t="s">
        <v>175</v>
      </c>
      <c r="I121" s="878">
        <v>44208</v>
      </c>
      <c r="J121">
        <v>8</v>
      </c>
      <c r="K121" t="s">
        <v>189</v>
      </c>
      <c r="L121">
        <v>86</v>
      </c>
      <c r="M121">
        <v>0.174664906658589</v>
      </c>
      <c r="N121">
        <v>0</v>
      </c>
      <c r="O121">
        <v>0</v>
      </c>
      <c r="P121">
        <v>0.82533509334141097</v>
      </c>
      <c r="Q121">
        <v>0.13044932228702599</v>
      </c>
      <c r="R121">
        <v>0</v>
      </c>
      <c r="S121">
        <v>5.1499058704833699E-2</v>
      </c>
      <c r="T121">
        <v>0</v>
      </c>
      <c r="U121">
        <v>0</v>
      </c>
      <c r="V121">
        <v>0</v>
      </c>
      <c r="W121">
        <v>-7.2834743332705603E-3</v>
      </c>
      <c r="X121">
        <v>0</v>
      </c>
      <c r="Y121" t="s">
        <v>175</v>
      </c>
      <c r="Z121" t="s">
        <v>175</v>
      </c>
      <c r="AA121" t="s">
        <v>175</v>
      </c>
      <c r="AB121" t="s">
        <v>175</v>
      </c>
      <c r="AC121" t="s">
        <v>175</v>
      </c>
      <c r="AD121" t="s">
        <v>175</v>
      </c>
      <c r="AE121" t="s">
        <v>175</v>
      </c>
      <c r="AF121" t="s">
        <v>175</v>
      </c>
      <c r="AG121" s="878">
        <v>44208</v>
      </c>
      <c r="AH121" s="873">
        <f t="shared" si="1"/>
        <v>44197</v>
      </c>
    </row>
    <row r="122" spans="1:34">
      <c r="A122">
        <v>1</v>
      </c>
      <c r="B122">
        <v>87</v>
      </c>
      <c r="C122" t="s">
        <v>190</v>
      </c>
      <c r="D122">
        <v>158</v>
      </c>
      <c r="E122">
        <v>3374184.5809788899</v>
      </c>
      <c r="F122">
        <v>0</v>
      </c>
      <c r="G122">
        <v>0</v>
      </c>
      <c r="H122">
        <v>0</v>
      </c>
      <c r="I122" s="878">
        <v>44043</v>
      </c>
      <c r="J122">
        <v>1</v>
      </c>
      <c r="K122" t="s">
        <v>190</v>
      </c>
      <c r="L122">
        <v>87</v>
      </c>
      <c r="M122">
        <v>0.123192366106686</v>
      </c>
      <c r="N122">
        <v>0.86308136807877001</v>
      </c>
      <c r="O122">
        <v>0</v>
      </c>
      <c r="P122">
        <v>1.3726265814543901E-2</v>
      </c>
      <c r="Q122">
        <v>7.68761364007743E-2</v>
      </c>
      <c r="R122">
        <v>0</v>
      </c>
      <c r="S122">
        <v>-1.0934758177190499E-2</v>
      </c>
      <c r="T122">
        <v>-3.95383458519679E-4</v>
      </c>
      <c r="U122">
        <v>2.4593061031906202E-3</v>
      </c>
      <c r="V122">
        <v>1.56843279479474E-3</v>
      </c>
      <c r="W122">
        <v>5.36186324436368E-2</v>
      </c>
      <c r="X122">
        <v>0</v>
      </c>
      <c r="Y122">
        <v>1.1911691258018</v>
      </c>
      <c r="Z122">
        <v>0</v>
      </c>
      <c r="AA122">
        <v>-5.7792977456347101E-2</v>
      </c>
      <c r="AB122">
        <v>3.54866490349216E-3</v>
      </c>
      <c r="AC122">
        <v>3.2906878242614297E-2</v>
      </c>
      <c r="AD122">
        <v>-0.56394367938104994</v>
      </c>
      <c r="AE122">
        <v>0.25719335596826198</v>
      </c>
      <c r="AF122">
        <v>0</v>
      </c>
      <c r="AG122" s="878">
        <v>44043</v>
      </c>
      <c r="AH122" s="873">
        <f t="shared" si="1"/>
        <v>44013</v>
      </c>
    </row>
    <row r="123" spans="1:34">
      <c r="A123">
        <v>2</v>
      </c>
      <c r="B123">
        <v>87</v>
      </c>
      <c r="C123" t="s">
        <v>190</v>
      </c>
      <c r="D123">
        <v>158</v>
      </c>
      <c r="E123">
        <v>585374.22950037697</v>
      </c>
      <c r="F123">
        <v>0</v>
      </c>
      <c r="G123" t="s">
        <v>175</v>
      </c>
      <c r="H123" t="s">
        <v>175</v>
      </c>
      <c r="I123" s="878">
        <v>44055</v>
      </c>
      <c r="J123">
        <v>2</v>
      </c>
      <c r="K123" t="s">
        <v>190</v>
      </c>
      <c r="L123">
        <v>87</v>
      </c>
      <c r="M123">
        <v>1</v>
      </c>
      <c r="N123" t="s">
        <v>175</v>
      </c>
      <c r="O123">
        <v>0</v>
      </c>
      <c r="P123">
        <v>0</v>
      </c>
      <c r="Q123">
        <v>1.7157455832386299</v>
      </c>
      <c r="R123">
        <v>0</v>
      </c>
      <c r="S123">
        <v>-4.8880344373299703E-2</v>
      </c>
      <c r="T123">
        <v>-4.9776535392661502E-3</v>
      </c>
      <c r="U123">
        <v>1.7125975221025001E-3</v>
      </c>
      <c r="V123">
        <v>-0.93704155417023105</v>
      </c>
      <c r="W123">
        <v>0.27344137132206597</v>
      </c>
      <c r="X123">
        <v>0</v>
      </c>
      <c r="Y123" t="s">
        <v>175</v>
      </c>
      <c r="Z123" t="s">
        <v>175</v>
      </c>
      <c r="AA123" t="s">
        <v>175</v>
      </c>
      <c r="AB123" t="s">
        <v>175</v>
      </c>
      <c r="AC123" t="s">
        <v>175</v>
      </c>
      <c r="AD123" t="s">
        <v>175</v>
      </c>
      <c r="AE123" t="s">
        <v>175</v>
      </c>
      <c r="AF123" t="s">
        <v>175</v>
      </c>
      <c r="AG123" s="878">
        <v>44055</v>
      </c>
      <c r="AH123" s="873">
        <f t="shared" si="1"/>
        <v>44044</v>
      </c>
    </row>
    <row r="124" spans="1:34">
      <c r="A124">
        <v>3</v>
      </c>
      <c r="B124">
        <v>87</v>
      </c>
      <c r="C124" t="s">
        <v>190</v>
      </c>
      <c r="D124">
        <v>158</v>
      </c>
      <c r="E124">
        <v>585739.73314096604</v>
      </c>
      <c r="F124">
        <v>0</v>
      </c>
      <c r="G124" t="s">
        <v>175</v>
      </c>
      <c r="H124" t="s">
        <v>175</v>
      </c>
      <c r="I124" s="878">
        <v>44088</v>
      </c>
      <c r="J124">
        <v>3</v>
      </c>
      <c r="K124" t="s">
        <v>190</v>
      </c>
      <c r="L124">
        <v>87</v>
      </c>
      <c r="M124">
        <v>0.91382268035737801</v>
      </c>
      <c r="N124" t="s">
        <v>175</v>
      </c>
      <c r="O124">
        <v>8.6177319642621805E-2</v>
      </c>
      <c r="P124">
        <v>0</v>
      </c>
      <c r="Q124">
        <v>0.64731991166668101</v>
      </c>
      <c r="R124">
        <v>0</v>
      </c>
      <c r="S124">
        <v>0</v>
      </c>
      <c r="T124">
        <v>1.9994794555612001E-2</v>
      </c>
      <c r="U124">
        <v>2.1594434016524101E-2</v>
      </c>
      <c r="V124">
        <v>6.7486870779099997E-2</v>
      </c>
      <c r="W124">
        <v>0.15742666933946101</v>
      </c>
      <c r="X124">
        <v>0</v>
      </c>
      <c r="Y124" t="s">
        <v>175</v>
      </c>
      <c r="Z124" t="s">
        <v>175</v>
      </c>
      <c r="AA124" t="s">
        <v>175</v>
      </c>
      <c r="AB124" t="s">
        <v>175</v>
      </c>
      <c r="AC124" t="s">
        <v>175</v>
      </c>
      <c r="AD124" t="s">
        <v>175</v>
      </c>
      <c r="AE124" t="s">
        <v>175</v>
      </c>
      <c r="AF124" t="s">
        <v>175</v>
      </c>
      <c r="AG124" s="878">
        <v>44088</v>
      </c>
      <c r="AH124" s="873">
        <f t="shared" si="1"/>
        <v>44075</v>
      </c>
    </row>
    <row r="125" spans="1:34">
      <c r="A125">
        <v>4</v>
      </c>
      <c r="B125">
        <v>87</v>
      </c>
      <c r="C125" t="s">
        <v>190</v>
      </c>
      <c r="D125">
        <v>158</v>
      </c>
      <c r="E125">
        <v>586106.27819280303</v>
      </c>
      <c r="F125">
        <v>0</v>
      </c>
      <c r="G125" t="s">
        <v>175</v>
      </c>
      <c r="H125" t="s">
        <v>175</v>
      </c>
      <c r="I125" s="878">
        <v>44117</v>
      </c>
      <c r="J125">
        <v>4</v>
      </c>
      <c r="K125" t="s">
        <v>190</v>
      </c>
      <c r="L125">
        <v>87</v>
      </c>
      <c r="M125">
        <v>0.585900690704248</v>
      </c>
      <c r="N125">
        <v>0</v>
      </c>
      <c r="O125">
        <v>0</v>
      </c>
      <c r="P125">
        <v>0.414099309295752</v>
      </c>
      <c r="Q125">
        <v>0.60260928093160304</v>
      </c>
      <c r="R125">
        <v>0</v>
      </c>
      <c r="S125">
        <v>0</v>
      </c>
      <c r="T125">
        <v>2.4416948499934601E-2</v>
      </c>
      <c r="U125">
        <v>2.8934221397373502E-2</v>
      </c>
      <c r="V125">
        <v>-7.0059760124663098E-2</v>
      </c>
      <c r="W125">
        <v>0</v>
      </c>
      <c r="X125">
        <v>0</v>
      </c>
      <c r="Y125" t="s">
        <v>175</v>
      </c>
      <c r="Z125" t="s">
        <v>175</v>
      </c>
      <c r="AA125" t="s">
        <v>175</v>
      </c>
      <c r="AB125" t="s">
        <v>175</v>
      </c>
      <c r="AC125" t="s">
        <v>175</v>
      </c>
      <c r="AD125" t="s">
        <v>175</v>
      </c>
      <c r="AE125" t="s">
        <v>175</v>
      </c>
      <c r="AF125" t="s">
        <v>175</v>
      </c>
      <c r="AG125" s="878">
        <v>44117</v>
      </c>
      <c r="AH125" s="873">
        <f t="shared" si="1"/>
        <v>44105</v>
      </c>
    </row>
    <row r="126" spans="1:34">
      <c r="A126">
        <v>5</v>
      </c>
      <c r="B126">
        <v>87</v>
      </c>
      <c r="C126" t="s">
        <v>190</v>
      </c>
      <c r="D126">
        <v>158</v>
      </c>
      <c r="E126">
        <v>586473.867623128</v>
      </c>
      <c r="F126">
        <v>0</v>
      </c>
      <c r="G126" t="s">
        <v>175</v>
      </c>
      <c r="H126" t="s">
        <v>175</v>
      </c>
      <c r="I126" s="878">
        <v>44147</v>
      </c>
      <c r="J126">
        <v>5</v>
      </c>
      <c r="K126" t="s">
        <v>190</v>
      </c>
      <c r="L126">
        <v>87</v>
      </c>
      <c r="M126">
        <v>0.74888799608800305</v>
      </c>
      <c r="N126">
        <v>0</v>
      </c>
      <c r="O126">
        <v>0</v>
      </c>
      <c r="P126">
        <v>0.25111200391199701</v>
      </c>
      <c r="Q126">
        <v>0.79363873280095398</v>
      </c>
      <c r="R126">
        <v>0</v>
      </c>
      <c r="S126">
        <v>0</v>
      </c>
      <c r="T126">
        <v>5.9948963541385496E-3</v>
      </c>
      <c r="U126">
        <v>2.3740734681992601E-2</v>
      </c>
      <c r="V126">
        <v>-6.9329647705145395E-2</v>
      </c>
      <c r="W126">
        <v>-5.1567200439369002E-3</v>
      </c>
      <c r="X126">
        <v>0</v>
      </c>
      <c r="Y126" t="s">
        <v>175</v>
      </c>
      <c r="Z126" t="s">
        <v>175</v>
      </c>
      <c r="AA126" t="s">
        <v>175</v>
      </c>
      <c r="AB126" t="s">
        <v>175</v>
      </c>
      <c r="AC126" t="s">
        <v>175</v>
      </c>
      <c r="AD126" t="s">
        <v>175</v>
      </c>
      <c r="AE126" t="s">
        <v>175</v>
      </c>
      <c r="AF126" t="s">
        <v>175</v>
      </c>
      <c r="AG126" s="878">
        <v>44147</v>
      </c>
      <c r="AH126" s="873">
        <f t="shared" si="1"/>
        <v>44136</v>
      </c>
    </row>
    <row r="127" spans="1:34">
      <c r="A127">
        <v>6</v>
      </c>
      <c r="B127">
        <v>87</v>
      </c>
      <c r="C127" t="s">
        <v>190</v>
      </c>
      <c r="D127">
        <v>158</v>
      </c>
      <c r="E127">
        <v>586842.50440763903</v>
      </c>
      <c r="F127">
        <v>0</v>
      </c>
      <c r="G127" t="s">
        <v>175</v>
      </c>
      <c r="H127" t="s">
        <v>175</v>
      </c>
      <c r="I127" s="878">
        <v>44179</v>
      </c>
      <c r="J127">
        <v>6</v>
      </c>
      <c r="K127" t="s">
        <v>190</v>
      </c>
      <c r="L127">
        <v>87</v>
      </c>
      <c r="M127">
        <v>0.42686785254989501</v>
      </c>
      <c r="N127">
        <v>0</v>
      </c>
      <c r="O127">
        <v>0</v>
      </c>
      <c r="P127">
        <v>0.57313214745010499</v>
      </c>
      <c r="Q127">
        <v>1.1389981837360299</v>
      </c>
      <c r="R127">
        <v>0</v>
      </c>
      <c r="S127">
        <v>0</v>
      </c>
      <c r="T127">
        <v>1.44867425393912E-2</v>
      </c>
      <c r="U127">
        <v>3.7961632623660299E-2</v>
      </c>
      <c r="V127">
        <v>-0.76549191055487198</v>
      </c>
      <c r="W127">
        <v>9.1320420568220904E-4</v>
      </c>
      <c r="X127">
        <v>0</v>
      </c>
      <c r="Y127" t="s">
        <v>175</v>
      </c>
      <c r="Z127" t="s">
        <v>175</v>
      </c>
      <c r="AA127" t="s">
        <v>175</v>
      </c>
      <c r="AB127" t="s">
        <v>175</v>
      </c>
      <c r="AC127" t="s">
        <v>175</v>
      </c>
      <c r="AD127" t="s">
        <v>175</v>
      </c>
      <c r="AE127" t="s">
        <v>175</v>
      </c>
      <c r="AF127" t="s">
        <v>175</v>
      </c>
      <c r="AG127" s="878">
        <v>44179</v>
      </c>
      <c r="AH127" s="873">
        <f t="shared" si="1"/>
        <v>44166</v>
      </c>
    </row>
    <row r="128" spans="1:34">
      <c r="A128">
        <v>7</v>
      </c>
      <c r="B128">
        <v>87</v>
      </c>
      <c r="C128" t="s">
        <v>190</v>
      </c>
      <c r="D128">
        <v>158</v>
      </c>
      <c r="E128">
        <v>587212.19153050706</v>
      </c>
      <c r="F128">
        <v>0</v>
      </c>
      <c r="G128" t="s">
        <v>175</v>
      </c>
      <c r="H128" t="s">
        <v>175</v>
      </c>
      <c r="I128" s="878">
        <v>44193</v>
      </c>
      <c r="J128">
        <v>7</v>
      </c>
      <c r="K128" t="s">
        <v>190</v>
      </c>
      <c r="L128">
        <v>87</v>
      </c>
      <c r="M128">
        <v>0.42686785254989501</v>
      </c>
      <c r="N128">
        <v>0</v>
      </c>
      <c r="O128">
        <v>0</v>
      </c>
      <c r="P128">
        <v>0.57313214745010499</v>
      </c>
      <c r="Q128">
        <v>1.1389981837360299</v>
      </c>
      <c r="R128">
        <v>0</v>
      </c>
      <c r="S128">
        <v>0</v>
      </c>
      <c r="T128">
        <v>1.44867425393912E-2</v>
      </c>
      <c r="U128">
        <v>3.7961632623660299E-2</v>
      </c>
      <c r="V128">
        <v>-0.76549191055487198</v>
      </c>
      <c r="W128">
        <v>9.1320420568220904E-4</v>
      </c>
      <c r="X128">
        <v>0</v>
      </c>
      <c r="Y128" t="s">
        <v>175</v>
      </c>
      <c r="Z128" t="s">
        <v>175</v>
      </c>
      <c r="AA128" t="s">
        <v>175</v>
      </c>
      <c r="AB128" t="s">
        <v>175</v>
      </c>
      <c r="AC128" t="s">
        <v>175</v>
      </c>
      <c r="AD128" t="s">
        <v>175</v>
      </c>
      <c r="AE128" t="s">
        <v>175</v>
      </c>
      <c r="AF128" t="s">
        <v>175</v>
      </c>
      <c r="AG128" s="878">
        <v>44193</v>
      </c>
      <c r="AH128" s="873">
        <f t="shared" si="1"/>
        <v>44166</v>
      </c>
    </row>
    <row r="129" spans="1:34">
      <c r="A129">
        <v>8</v>
      </c>
      <c r="B129">
        <v>87</v>
      </c>
      <c r="C129" t="s">
        <v>190</v>
      </c>
      <c r="D129">
        <v>158</v>
      </c>
      <c r="E129">
        <v>0</v>
      </c>
      <c r="F129">
        <v>0</v>
      </c>
      <c r="G129" t="s">
        <v>175</v>
      </c>
      <c r="H129" t="s">
        <v>175</v>
      </c>
      <c r="I129" s="878">
        <v>44208</v>
      </c>
      <c r="J129">
        <v>8</v>
      </c>
      <c r="K129" t="s">
        <v>190</v>
      </c>
      <c r="L129">
        <v>87</v>
      </c>
      <c r="M129">
        <v>0.42686785254989501</v>
      </c>
      <c r="N129">
        <v>0</v>
      </c>
      <c r="O129">
        <v>0</v>
      </c>
      <c r="P129">
        <v>0.57313214745010499</v>
      </c>
      <c r="Q129">
        <v>1.1389981837360299</v>
      </c>
      <c r="R129">
        <v>0</v>
      </c>
      <c r="S129">
        <v>0</v>
      </c>
      <c r="T129">
        <v>1.44867425393912E-2</v>
      </c>
      <c r="U129">
        <v>3.7961632623660299E-2</v>
      </c>
      <c r="V129">
        <v>-0.76549191055487198</v>
      </c>
      <c r="W129">
        <v>9.1320420568220904E-4</v>
      </c>
      <c r="X129">
        <v>0</v>
      </c>
      <c r="Y129" t="s">
        <v>175</v>
      </c>
      <c r="Z129" t="s">
        <v>175</v>
      </c>
      <c r="AA129" t="s">
        <v>175</v>
      </c>
      <c r="AB129" t="s">
        <v>175</v>
      </c>
      <c r="AC129" t="s">
        <v>175</v>
      </c>
      <c r="AD129" t="s">
        <v>175</v>
      </c>
      <c r="AE129" t="s">
        <v>175</v>
      </c>
      <c r="AF129" t="s">
        <v>175</v>
      </c>
      <c r="AG129" s="878">
        <v>44208</v>
      </c>
      <c r="AH129" s="873">
        <f t="shared" si="1"/>
        <v>44197</v>
      </c>
    </row>
    <row r="130" spans="1:34">
      <c r="A130">
        <v>1</v>
      </c>
      <c r="B130">
        <v>95</v>
      </c>
      <c r="C130" t="s">
        <v>191</v>
      </c>
      <c r="D130">
        <v>138</v>
      </c>
      <c r="E130">
        <v>2979999.9989239499</v>
      </c>
      <c r="F130">
        <v>0</v>
      </c>
      <c r="G130">
        <v>0</v>
      </c>
      <c r="H130">
        <v>0</v>
      </c>
      <c r="I130" s="878">
        <v>44043</v>
      </c>
      <c r="J130">
        <v>1</v>
      </c>
      <c r="K130" t="s">
        <v>191</v>
      </c>
      <c r="L130">
        <v>95</v>
      </c>
      <c r="M130">
        <v>0.14812877501628099</v>
      </c>
      <c r="N130">
        <v>0.69866801265177902</v>
      </c>
      <c r="O130">
        <v>0</v>
      </c>
      <c r="P130">
        <v>0.15320321233194101</v>
      </c>
      <c r="Q130">
        <v>7.3854482987103398E-2</v>
      </c>
      <c r="R130">
        <v>0</v>
      </c>
      <c r="S130">
        <v>3.9976685533448901E-3</v>
      </c>
      <c r="T130">
        <v>4.18923080748657E-2</v>
      </c>
      <c r="U130">
        <v>0</v>
      </c>
      <c r="V130">
        <v>4.8312591697662602E-3</v>
      </c>
      <c r="W130">
        <v>2.3553056231200499E-2</v>
      </c>
      <c r="X130">
        <v>0</v>
      </c>
      <c r="Y130">
        <v>0.35319535580317302</v>
      </c>
      <c r="Z130">
        <v>0</v>
      </c>
      <c r="AA130">
        <v>-3.5332161899680699E-2</v>
      </c>
      <c r="AB130">
        <v>0.236075951944241</v>
      </c>
      <c r="AC130">
        <v>5.8327544271677997E-4</v>
      </c>
      <c r="AD130">
        <v>0</v>
      </c>
      <c r="AE130">
        <v>0.14414559136132901</v>
      </c>
      <c r="AF130">
        <v>0</v>
      </c>
      <c r="AG130" s="878">
        <v>44043</v>
      </c>
      <c r="AH130" s="873">
        <f t="shared" si="1"/>
        <v>44013</v>
      </c>
    </row>
    <row r="131" spans="1:34">
      <c r="A131">
        <v>2</v>
      </c>
      <c r="B131">
        <v>95</v>
      </c>
      <c r="C131" t="s">
        <v>191</v>
      </c>
      <c r="D131">
        <v>138</v>
      </c>
      <c r="E131">
        <v>0</v>
      </c>
      <c r="F131">
        <v>0</v>
      </c>
      <c r="G131" t="s">
        <v>175</v>
      </c>
      <c r="H131" t="s">
        <v>175</v>
      </c>
      <c r="I131" s="878">
        <v>44055</v>
      </c>
      <c r="J131">
        <v>2</v>
      </c>
      <c r="K131" t="s">
        <v>191</v>
      </c>
      <c r="L131">
        <v>95</v>
      </c>
      <c r="M131">
        <v>1</v>
      </c>
      <c r="N131" t="s">
        <v>175</v>
      </c>
      <c r="O131">
        <v>0</v>
      </c>
      <c r="P131">
        <v>0</v>
      </c>
      <c r="Q131">
        <v>0.73506366168716297</v>
      </c>
      <c r="R131">
        <v>0</v>
      </c>
      <c r="S131">
        <v>0</v>
      </c>
      <c r="T131">
        <v>5.0940119370531597E-2</v>
      </c>
      <c r="U131">
        <v>7.61077084818188E-3</v>
      </c>
      <c r="V131">
        <v>8.8864751177334902E-2</v>
      </c>
      <c r="W131">
        <v>0.117520696916789</v>
      </c>
      <c r="X131">
        <v>0</v>
      </c>
      <c r="Y131" t="s">
        <v>175</v>
      </c>
      <c r="Z131" t="s">
        <v>175</v>
      </c>
      <c r="AA131" t="s">
        <v>175</v>
      </c>
      <c r="AB131" t="s">
        <v>175</v>
      </c>
      <c r="AC131" t="s">
        <v>175</v>
      </c>
      <c r="AD131" t="s">
        <v>175</v>
      </c>
      <c r="AE131" t="s">
        <v>175</v>
      </c>
      <c r="AF131" t="s">
        <v>175</v>
      </c>
      <c r="AG131" s="878">
        <v>44055</v>
      </c>
      <c r="AH131" s="873">
        <f t="shared" ref="AH131:AH194" si="2">DATE(YEAR(I131),MONTH(I131),1)</f>
        <v>44044</v>
      </c>
    </row>
    <row r="132" spans="1:34">
      <c r="A132">
        <v>3</v>
      </c>
      <c r="B132">
        <v>95</v>
      </c>
      <c r="C132" t="s">
        <v>191</v>
      </c>
      <c r="D132">
        <v>138</v>
      </c>
      <c r="E132">
        <v>0</v>
      </c>
      <c r="F132">
        <v>0</v>
      </c>
      <c r="G132" t="s">
        <v>175</v>
      </c>
      <c r="H132" t="s">
        <v>175</v>
      </c>
      <c r="I132" s="878">
        <v>44088</v>
      </c>
      <c r="J132">
        <v>3</v>
      </c>
      <c r="K132" t="s">
        <v>191</v>
      </c>
      <c r="L132">
        <v>95</v>
      </c>
      <c r="M132">
        <v>0</v>
      </c>
      <c r="N132" t="s">
        <v>175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 t="s">
        <v>175</v>
      </c>
      <c r="Z132" t="s">
        <v>175</v>
      </c>
      <c r="AA132" t="s">
        <v>175</v>
      </c>
      <c r="AB132" t="s">
        <v>175</v>
      </c>
      <c r="AC132" t="s">
        <v>175</v>
      </c>
      <c r="AD132" t="s">
        <v>175</v>
      </c>
      <c r="AE132" t="s">
        <v>175</v>
      </c>
      <c r="AF132" t="s">
        <v>175</v>
      </c>
      <c r="AG132" s="878">
        <v>44088</v>
      </c>
      <c r="AH132" s="873">
        <f t="shared" si="2"/>
        <v>44075</v>
      </c>
    </row>
    <row r="133" spans="1:34">
      <c r="A133">
        <v>4</v>
      </c>
      <c r="B133">
        <v>95</v>
      </c>
      <c r="C133" t="s">
        <v>191</v>
      </c>
      <c r="D133">
        <v>138</v>
      </c>
      <c r="E133">
        <v>0</v>
      </c>
      <c r="F133">
        <v>0</v>
      </c>
      <c r="G133" t="s">
        <v>175</v>
      </c>
      <c r="H133" t="s">
        <v>175</v>
      </c>
      <c r="I133" s="878">
        <v>44117</v>
      </c>
      <c r="J133">
        <v>4</v>
      </c>
      <c r="K133" t="s">
        <v>191</v>
      </c>
      <c r="L133">
        <v>95</v>
      </c>
      <c r="M133" t="s">
        <v>175</v>
      </c>
      <c r="N133" t="s">
        <v>175</v>
      </c>
      <c r="O133" t="s">
        <v>175</v>
      </c>
      <c r="P133" t="s">
        <v>175</v>
      </c>
      <c r="Q133" t="s">
        <v>175</v>
      </c>
      <c r="R133" t="s">
        <v>175</v>
      </c>
      <c r="S133" t="s">
        <v>175</v>
      </c>
      <c r="T133" t="s">
        <v>175</v>
      </c>
      <c r="U133" t="s">
        <v>175</v>
      </c>
      <c r="V133" t="s">
        <v>175</v>
      </c>
      <c r="W133" t="s">
        <v>175</v>
      </c>
      <c r="X133" t="s">
        <v>175</v>
      </c>
      <c r="Y133" t="s">
        <v>175</v>
      </c>
      <c r="Z133" t="s">
        <v>175</v>
      </c>
      <c r="AA133" t="s">
        <v>175</v>
      </c>
      <c r="AB133" t="s">
        <v>175</v>
      </c>
      <c r="AC133" t="s">
        <v>175</v>
      </c>
      <c r="AD133" t="s">
        <v>175</v>
      </c>
      <c r="AE133" t="s">
        <v>175</v>
      </c>
      <c r="AF133" t="s">
        <v>175</v>
      </c>
      <c r="AG133" s="878">
        <v>44117</v>
      </c>
      <c r="AH133" s="873">
        <f t="shared" si="2"/>
        <v>44105</v>
      </c>
    </row>
    <row r="134" spans="1:34">
      <c r="A134">
        <v>5</v>
      </c>
      <c r="B134">
        <v>95</v>
      </c>
      <c r="C134" t="s">
        <v>191</v>
      </c>
      <c r="D134">
        <v>138</v>
      </c>
      <c r="E134">
        <v>0</v>
      </c>
      <c r="F134">
        <v>0</v>
      </c>
      <c r="G134" t="s">
        <v>175</v>
      </c>
      <c r="H134" t="s">
        <v>175</v>
      </c>
      <c r="I134" s="878">
        <v>44147</v>
      </c>
      <c r="J134">
        <v>5</v>
      </c>
      <c r="K134" t="s">
        <v>191</v>
      </c>
      <c r="L134">
        <v>95</v>
      </c>
      <c r="M134" t="s">
        <v>175</v>
      </c>
      <c r="N134" t="s">
        <v>175</v>
      </c>
      <c r="O134" t="s">
        <v>175</v>
      </c>
      <c r="P134" t="s">
        <v>175</v>
      </c>
      <c r="Q134" t="s">
        <v>175</v>
      </c>
      <c r="R134" t="s">
        <v>175</v>
      </c>
      <c r="S134" t="s">
        <v>175</v>
      </c>
      <c r="T134" t="s">
        <v>175</v>
      </c>
      <c r="U134" t="s">
        <v>175</v>
      </c>
      <c r="V134" t="s">
        <v>175</v>
      </c>
      <c r="W134" t="s">
        <v>175</v>
      </c>
      <c r="X134" t="s">
        <v>175</v>
      </c>
      <c r="Y134" t="s">
        <v>175</v>
      </c>
      <c r="Z134" t="s">
        <v>175</v>
      </c>
      <c r="AA134" t="s">
        <v>175</v>
      </c>
      <c r="AB134" t="s">
        <v>175</v>
      </c>
      <c r="AC134" t="s">
        <v>175</v>
      </c>
      <c r="AD134" t="s">
        <v>175</v>
      </c>
      <c r="AE134" t="s">
        <v>175</v>
      </c>
      <c r="AF134" t="s">
        <v>175</v>
      </c>
      <c r="AG134" s="878">
        <v>44147</v>
      </c>
      <c r="AH134" s="873">
        <f t="shared" si="2"/>
        <v>44136</v>
      </c>
    </row>
    <row r="135" spans="1:34">
      <c r="A135">
        <v>6</v>
      </c>
      <c r="B135">
        <v>95</v>
      </c>
      <c r="C135" t="s">
        <v>191</v>
      </c>
      <c r="D135">
        <v>138</v>
      </c>
      <c r="E135">
        <v>0</v>
      </c>
      <c r="F135">
        <v>0</v>
      </c>
      <c r="G135" t="s">
        <v>175</v>
      </c>
      <c r="H135" t="s">
        <v>175</v>
      </c>
      <c r="I135" s="878">
        <v>44179</v>
      </c>
      <c r="J135">
        <v>6</v>
      </c>
      <c r="K135" t="s">
        <v>191</v>
      </c>
      <c r="L135">
        <v>95</v>
      </c>
      <c r="M135" t="s">
        <v>175</v>
      </c>
      <c r="N135" t="s">
        <v>175</v>
      </c>
      <c r="O135" t="s">
        <v>175</v>
      </c>
      <c r="P135" t="s">
        <v>175</v>
      </c>
      <c r="Q135" t="s">
        <v>175</v>
      </c>
      <c r="R135" t="s">
        <v>175</v>
      </c>
      <c r="S135" t="s">
        <v>175</v>
      </c>
      <c r="T135" t="s">
        <v>175</v>
      </c>
      <c r="U135" t="s">
        <v>175</v>
      </c>
      <c r="V135" t="s">
        <v>175</v>
      </c>
      <c r="W135" t="s">
        <v>175</v>
      </c>
      <c r="X135" t="s">
        <v>175</v>
      </c>
      <c r="Y135" t="s">
        <v>175</v>
      </c>
      <c r="Z135" t="s">
        <v>175</v>
      </c>
      <c r="AA135" t="s">
        <v>175</v>
      </c>
      <c r="AB135" t="s">
        <v>175</v>
      </c>
      <c r="AC135" t="s">
        <v>175</v>
      </c>
      <c r="AD135" t="s">
        <v>175</v>
      </c>
      <c r="AE135" t="s">
        <v>175</v>
      </c>
      <c r="AF135" t="s">
        <v>175</v>
      </c>
      <c r="AG135" s="878">
        <v>44179</v>
      </c>
      <c r="AH135" s="873">
        <f t="shared" si="2"/>
        <v>44166</v>
      </c>
    </row>
    <row r="136" spans="1:34">
      <c r="A136">
        <v>7</v>
      </c>
      <c r="B136">
        <v>95</v>
      </c>
      <c r="C136" t="s">
        <v>191</v>
      </c>
      <c r="D136">
        <v>138</v>
      </c>
      <c r="E136">
        <v>0</v>
      </c>
      <c r="F136">
        <v>0</v>
      </c>
      <c r="G136" t="s">
        <v>175</v>
      </c>
      <c r="H136" t="s">
        <v>175</v>
      </c>
      <c r="I136" s="878">
        <v>44193</v>
      </c>
      <c r="J136">
        <v>7</v>
      </c>
      <c r="K136" t="s">
        <v>191</v>
      </c>
      <c r="L136">
        <v>95</v>
      </c>
      <c r="M136" t="s">
        <v>175</v>
      </c>
      <c r="N136" t="s">
        <v>175</v>
      </c>
      <c r="O136" t="s">
        <v>175</v>
      </c>
      <c r="P136" t="s">
        <v>175</v>
      </c>
      <c r="Q136" t="s">
        <v>175</v>
      </c>
      <c r="R136" t="s">
        <v>175</v>
      </c>
      <c r="S136" t="s">
        <v>175</v>
      </c>
      <c r="T136" t="s">
        <v>175</v>
      </c>
      <c r="U136" t="s">
        <v>175</v>
      </c>
      <c r="V136" t="s">
        <v>175</v>
      </c>
      <c r="W136" t="s">
        <v>175</v>
      </c>
      <c r="X136" t="s">
        <v>175</v>
      </c>
      <c r="Y136" t="s">
        <v>175</v>
      </c>
      <c r="Z136" t="s">
        <v>175</v>
      </c>
      <c r="AA136" t="s">
        <v>175</v>
      </c>
      <c r="AB136" t="s">
        <v>175</v>
      </c>
      <c r="AC136" t="s">
        <v>175</v>
      </c>
      <c r="AD136" t="s">
        <v>175</v>
      </c>
      <c r="AE136" t="s">
        <v>175</v>
      </c>
      <c r="AF136" t="s">
        <v>175</v>
      </c>
      <c r="AG136" s="878">
        <v>44193</v>
      </c>
      <c r="AH136" s="873">
        <f t="shared" si="2"/>
        <v>44166</v>
      </c>
    </row>
    <row r="137" spans="1:34">
      <c r="A137">
        <v>8</v>
      </c>
      <c r="B137">
        <v>95</v>
      </c>
      <c r="C137" t="s">
        <v>191</v>
      </c>
      <c r="D137">
        <v>138</v>
      </c>
      <c r="E137">
        <v>0</v>
      </c>
      <c r="F137">
        <v>0</v>
      </c>
      <c r="G137" t="s">
        <v>175</v>
      </c>
      <c r="H137" t="s">
        <v>175</v>
      </c>
      <c r="I137" s="878">
        <v>44208</v>
      </c>
      <c r="J137">
        <v>8</v>
      </c>
      <c r="K137" t="s">
        <v>191</v>
      </c>
      <c r="L137">
        <v>95</v>
      </c>
      <c r="M137" t="s">
        <v>175</v>
      </c>
      <c r="N137" t="s">
        <v>175</v>
      </c>
      <c r="O137" t="s">
        <v>175</v>
      </c>
      <c r="P137" t="s">
        <v>175</v>
      </c>
      <c r="Q137" t="s">
        <v>175</v>
      </c>
      <c r="R137" t="s">
        <v>175</v>
      </c>
      <c r="S137" t="s">
        <v>175</v>
      </c>
      <c r="T137" t="s">
        <v>175</v>
      </c>
      <c r="U137" t="s">
        <v>175</v>
      </c>
      <c r="V137" t="s">
        <v>175</v>
      </c>
      <c r="W137" t="s">
        <v>175</v>
      </c>
      <c r="X137" t="s">
        <v>175</v>
      </c>
      <c r="Y137" t="s">
        <v>175</v>
      </c>
      <c r="Z137" t="s">
        <v>175</v>
      </c>
      <c r="AA137" t="s">
        <v>175</v>
      </c>
      <c r="AB137" t="s">
        <v>175</v>
      </c>
      <c r="AC137" t="s">
        <v>175</v>
      </c>
      <c r="AD137" t="s">
        <v>175</v>
      </c>
      <c r="AE137" t="s">
        <v>175</v>
      </c>
      <c r="AF137" t="s">
        <v>175</v>
      </c>
      <c r="AG137" s="878">
        <v>44208</v>
      </c>
      <c r="AH137" s="873">
        <f t="shared" si="2"/>
        <v>44197</v>
      </c>
    </row>
    <row r="138" spans="1:34">
      <c r="A138">
        <v>1</v>
      </c>
      <c r="B138">
        <v>103</v>
      </c>
      <c r="C138" t="s">
        <v>192</v>
      </c>
      <c r="D138">
        <v>123</v>
      </c>
      <c r="E138">
        <v>3443607.8112460799</v>
      </c>
      <c r="F138">
        <v>0</v>
      </c>
      <c r="G138">
        <v>0</v>
      </c>
      <c r="H138">
        <v>0</v>
      </c>
      <c r="I138" s="878">
        <v>44043</v>
      </c>
      <c r="J138">
        <v>1</v>
      </c>
      <c r="K138" t="s">
        <v>192</v>
      </c>
      <c r="L138">
        <v>103</v>
      </c>
      <c r="M138">
        <v>8.5407871701611904E-2</v>
      </c>
      <c r="N138">
        <v>0.74002702856341895</v>
      </c>
      <c r="O138">
        <v>0</v>
      </c>
      <c r="P138">
        <v>0.17456509973497</v>
      </c>
      <c r="Q138">
        <v>0.114344996405866</v>
      </c>
      <c r="R138">
        <v>0</v>
      </c>
      <c r="S138">
        <v>-3.77727362673434E-3</v>
      </c>
      <c r="T138">
        <v>-3.9138154398497401E-3</v>
      </c>
      <c r="U138">
        <v>1.37590425518566E-3</v>
      </c>
      <c r="V138">
        <v>-5.0060272113453402E-2</v>
      </c>
      <c r="W138">
        <v>2.7438332220598102E-2</v>
      </c>
      <c r="X138">
        <v>0</v>
      </c>
      <c r="Y138">
        <v>0.68774502607180998</v>
      </c>
      <c r="Z138">
        <v>0</v>
      </c>
      <c r="AA138">
        <v>-5.9321659104412897E-3</v>
      </c>
      <c r="AB138">
        <v>0.243738347268142</v>
      </c>
      <c r="AC138">
        <v>1.88648416605979E-2</v>
      </c>
      <c r="AD138">
        <v>-0.29009320827063401</v>
      </c>
      <c r="AE138">
        <v>8.5704187743943797E-2</v>
      </c>
      <c r="AF138">
        <v>0</v>
      </c>
      <c r="AG138" s="878">
        <v>44043</v>
      </c>
      <c r="AH138" s="873">
        <f t="shared" si="2"/>
        <v>44013</v>
      </c>
    </row>
    <row r="139" spans="1:34">
      <c r="A139">
        <v>2</v>
      </c>
      <c r="B139">
        <v>103</v>
      </c>
      <c r="C139" t="s">
        <v>192</v>
      </c>
      <c r="D139">
        <v>123</v>
      </c>
      <c r="E139">
        <v>477542.98855952901</v>
      </c>
      <c r="F139">
        <v>0</v>
      </c>
      <c r="G139" t="s">
        <v>175</v>
      </c>
      <c r="H139" t="s">
        <v>175</v>
      </c>
      <c r="I139" s="878">
        <v>44055</v>
      </c>
      <c r="J139">
        <v>2</v>
      </c>
      <c r="K139" t="s">
        <v>192</v>
      </c>
      <c r="L139">
        <v>103</v>
      </c>
      <c r="M139">
        <v>0.79243245714042998</v>
      </c>
      <c r="N139" t="s">
        <v>175</v>
      </c>
      <c r="O139">
        <v>0.20756754285956999</v>
      </c>
      <c r="P139">
        <v>0</v>
      </c>
      <c r="Q139">
        <v>0.64160501504788503</v>
      </c>
      <c r="R139">
        <v>0</v>
      </c>
      <c r="S139">
        <v>-2.5522696745418402E-2</v>
      </c>
      <c r="T139">
        <v>-4.2643457449006203E-2</v>
      </c>
      <c r="U139">
        <v>9.4477607808002E-3</v>
      </c>
      <c r="V139">
        <v>2.39865956986565E-2</v>
      </c>
      <c r="W139">
        <v>0.18555923980751199</v>
      </c>
      <c r="X139">
        <v>0</v>
      </c>
      <c r="Y139" t="s">
        <v>175</v>
      </c>
      <c r="Z139" t="s">
        <v>175</v>
      </c>
      <c r="AA139" t="s">
        <v>175</v>
      </c>
      <c r="AB139" t="s">
        <v>175</v>
      </c>
      <c r="AC139" t="s">
        <v>175</v>
      </c>
      <c r="AD139" t="s">
        <v>175</v>
      </c>
      <c r="AE139" t="s">
        <v>175</v>
      </c>
      <c r="AF139" t="s">
        <v>175</v>
      </c>
      <c r="AG139" s="878">
        <v>44055</v>
      </c>
      <c r="AH139" s="873">
        <f t="shared" si="2"/>
        <v>44044</v>
      </c>
    </row>
    <row r="140" spans="1:34">
      <c r="A140">
        <v>3</v>
      </c>
      <c r="B140">
        <v>103</v>
      </c>
      <c r="C140" t="s">
        <v>192</v>
      </c>
      <c r="D140">
        <v>123</v>
      </c>
      <c r="E140">
        <v>563713.53565724602</v>
      </c>
      <c r="F140">
        <v>0</v>
      </c>
      <c r="G140" t="s">
        <v>175</v>
      </c>
      <c r="H140" t="s">
        <v>175</v>
      </c>
      <c r="I140" s="878">
        <v>44088</v>
      </c>
      <c r="J140">
        <v>3</v>
      </c>
      <c r="K140" t="s">
        <v>192</v>
      </c>
      <c r="L140">
        <v>103</v>
      </c>
      <c r="M140">
        <v>0.87561015014052601</v>
      </c>
      <c r="N140" t="s">
        <v>175</v>
      </c>
      <c r="O140">
        <v>0.124389849859474</v>
      </c>
      <c r="P140">
        <v>0</v>
      </c>
      <c r="Q140">
        <v>0.59768689152881305</v>
      </c>
      <c r="R140">
        <v>0</v>
      </c>
      <c r="S140">
        <v>-1.5610917153804501E-2</v>
      </c>
      <c r="T140">
        <v>0.15732161102668199</v>
      </c>
      <c r="U140">
        <v>1.53018079273233E-2</v>
      </c>
      <c r="V140">
        <v>7.2250504933494396E-3</v>
      </c>
      <c r="W140">
        <v>0.11368570631816299</v>
      </c>
      <c r="X140">
        <v>0</v>
      </c>
      <c r="Y140" t="s">
        <v>175</v>
      </c>
      <c r="Z140" t="s">
        <v>175</v>
      </c>
      <c r="AA140" t="s">
        <v>175</v>
      </c>
      <c r="AB140" t="s">
        <v>175</v>
      </c>
      <c r="AC140" t="s">
        <v>175</v>
      </c>
      <c r="AD140" t="s">
        <v>175</v>
      </c>
      <c r="AE140" t="s">
        <v>175</v>
      </c>
      <c r="AF140" t="s">
        <v>175</v>
      </c>
      <c r="AG140" s="878">
        <v>44088</v>
      </c>
      <c r="AH140" s="873">
        <f t="shared" si="2"/>
        <v>44075</v>
      </c>
    </row>
    <row r="141" spans="1:34">
      <c r="A141">
        <v>4</v>
      </c>
      <c r="B141">
        <v>103</v>
      </c>
      <c r="C141" t="s">
        <v>192</v>
      </c>
      <c r="D141">
        <v>123</v>
      </c>
      <c r="E141">
        <v>603815.671424623</v>
      </c>
      <c r="F141">
        <v>0</v>
      </c>
      <c r="G141" t="s">
        <v>175</v>
      </c>
      <c r="H141" t="s">
        <v>175</v>
      </c>
      <c r="I141" s="878">
        <v>44117</v>
      </c>
      <c r="J141">
        <v>4</v>
      </c>
      <c r="K141" t="s">
        <v>192</v>
      </c>
      <c r="L141">
        <v>103</v>
      </c>
      <c r="M141">
        <v>0.87561015014052601</v>
      </c>
      <c r="N141">
        <v>0</v>
      </c>
      <c r="O141">
        <v>0.124389849859474</v>
      </c>
      <c r="P141">
        <v>0</v>
      </c>
      <c r="Q141">
        <v>0.59768689152881305</v>
      </c>
      <c r="R141">
        <v>0</v>
      </c>
      <c r="S141">
        <v>-1.5610917153804501E-2</v>
      </c>
      <c r="T141">
        <v>0.15732161102668199</v>
      </c>
      <c r="U141">
        <v>1.53018079273233E-2</v>
      </c>
      <c r="V141">
        <v>7.2250504933494396E-3</v>
      </c>
      <c r="W141">
        <v>0.11368570631816299</v>
      </c>
      <c r="X141">
        <v>0</v>
      </c>
      <c r="Y141" t="s">
        <v>175</v>
      </c>
      <c r="Z141" t="s">
        <v>175</v>
      </c>
      <c r="AA141" t="s">
        <v>175</v>
      </c>
      <c r="AB141" t="s">
        <v>175</v>
      </c>
      <c r="AC141" t="s">
        <v>175</v>
      </c>
      <c r="AD141" t="s">
        <v>175</v>
      </c>
      <c r="AE141" t="s">
        <v>175</v>
      </c>
      <c r="AF141" t="s">
        <v>175</v>
      </c>
      <c r="AG141" s="878">
        <v>44117</v>
      </c>
      <c r="AH141" s="873">
        <f t="shared" si="2"/>
        <v>44105</v>
      </c>
    </row>
    <row r="142" spans="1:34">
      <c r="A142">
        <v>5</v>
      </c>
      <c r="B142">
        <v>103</v>
      </c>
      <c r="C142" t="s">
        <v>192</v>
      </c>
      <c r="D142">
        <v>123</v>
      </c>
      <c r="E142">
        <v>490867.99071936402</v>
      </c>
      <c r="F142">
        <v>0</v>
      </c>
      <c r="G142" t="s">
        <v>175</v>
      </c>
      <c r="H142" t="s">
        <v>175</v>
      </c>
      <c r="I142" s="878">
        <v>44147</v>
      </c>
      <c r="J142">
        <v>5</v>
      </c>
      <c r="K142" t="s">
        <v>192</v>
      </c>
      <c r="L142">
        <v>103</v>
      </c>
      <c r="M142">
        <v>0.99675529172584898</v>
      </c>
      <c r="N142">
        <v>0</v>
      </c>
      <c r="O142">
        <v>0</v>
      </c>
      <c r="P142">
        <v>3.2447082741521799E-3</v>
      </c>
      <c r="Q142">
        <v>-1.9128065223828301</v>
      </c>
      <c r="R142">
        <v>0</v>
      </c>
      <c r="S142">
        <v>-0.38193362061046099</v>
      </c>
      <c r="T142">
        <v>2.0470062101745898</v>
      </c>
      <c r="U142">
        <v>-4.3897932618168899E-2</v>
      </c>
      <c r="V142">
        <v>-0.184819138174696</v>
      </c>
      <c r="W142">
        <v>1.4732062953374101</v>
      </c>
      <c r="X142">
        <v>0</v>
      </c>
      <c r="Y142" t="s">
        <v>175</v>
      </c>
      <c r="Z142" t="s">
        <v>175</v>
      </c>
      <c r="AA142" t="s">
        <v>175</v>
      </c>
      <c r="AB142" t="s">
        <v>175</v>
      </c>
      <c r="AC142" t="s">
        <v>175</v>
      </c>
      <c r="AD142" t="s">
        <v>175</v>
      </c>
      <c r="AE142" t="s">
        <v>175</v>
      </c>
      <c r="AF142" t="s">
        <v>175</v>
      </c>
      <c r="AG142" s="878">
        <v>44147</v>
      </c>
      <c r="AH142" s="873">
        <f t="shared" si="2"/>
        <v>44136</v>
      </c>
    </row>
    <row r="143" spans="1:34">
      <c r="A143">
        <v>6</v>
      </c>
      <c r="B143">
        <v>103</v>
      </c>
      <c r="C143" t="s">
        <v>192</v>
      </c>
      <c r="D143">
        <v>123</v>
      </c>
      <c r="E143">
        <v>0</v>
      </c>
      <c r="F143">
        <v>0</v>
      </c>
      <c r="G143" t="s">
        <v>175</v>
      </c>
      <c r="H143" t="s">
        <v>175</v>
      </c>
      <c r="I143" s="878">
        <v>44179</v>
      </c>
      <c r="J143">
        <v>6</v>
      </c>
      <c r="K143" t="s">
        <v>192</v>
      </c>
      <c r="L143">
        <v>103</v>
      </c>
      <c r="M143">
        <v>1</v>
      </c>
      <c r="N143">
        <v>0</v>
      </c>
      <c r="O143">
        <v>0</v>
      </c>
      <c r="P143">
        <v>0</v>
      </c>
      <c r="Q143">
        <v>0.60519594369654195</v>
      </c>
      <c r="R143">
        <v>0</v>
      </c>
      <c r="S143">
        <v>8.7082089802331203E-2</v>
      </c>
      <c r="T143">
        <v>0.52350216843408104</v>
      </c>
      <c r="U143">
        <v>3.82038410161811E-2</v>
      </c>
      <c r="V143">
        <v>-0.25398404294913501</v>
      </c>
      <c r="W143">
        <v>0</v>
      </c>
      <c r="X143">
        <v>0</v>
      </c>
      <c r="Y143" t="s">
        <v>175</v>
      </c>
      <c r="Z143" t="s">
        <v>175</v>
      </c>
      <c r="AA143" t="s">
        <v>175</v>
      </c>
      <c r="AB143" t="s">
        <v>175</v>
      </c>
      <c r="AC143" t="s">
        <v>175</v>
      </c>
      <c r="AD143" t="s">
        <v>175</v>
      </c>
      <c r="AE143" t="s">
        <v>175</v>
      </c>
      <c r="AF143" t="s">
        <v>175</v>
      </c>
      <c r="AG143" s="878">
        <v>44179</v>
      </c>
      <c r="AH143" s="873">
        <f t="shared" si="2"/>
        <v>44166</v>
      </c>
    </row>
    <row r="144" spans="1:34">
      <c r="A144">
        <v>7</v>
      </c>
      <c r="B144">
        <v>103</v>
      </c>
      <c r="C144" t="s">
        <v>192</v>
      </c>
      <c r="D144">
        <v>123</v>
      </c>
      <c r="E144">
        <v>0</v>
      </c>
      <c r="F144">
        <v>0</v>
      </c>
      <c r="G144" t="s">
        <v>175</v>
      </c>
      <c r="H144" t="s">
        <v>175</v>
      </c>
      <c r="I144" s="878">
        <v>44193</v>
      </c>
      <c r="J144">
        <v>7</v>
      </c>
      <c r="K144" t="s">
        <v>192</v>
      </c>
      <c r="L144">
        <v>103</v>
      </c>
      <c r="M144">
        <v>1</v>
      </c>
      <c r="N144">
        <v>0</v>
      </c>
      <c r="O144">
        <v>0</v>
      </c>
      <c r="P144">
        <v>0</v>
      </c>
      <c r="Q144">
        <v>0.88550651797838598</v>
      </c>
      <c r="R144">
        <v>0</v>
      </c>
      <c r="S144">
        <v>0</v>
      </c>
      <c r="T144">
        <v>0.233466658511539</v>
      </c>
      <c r="U144">
        <v>3.07426286772963E-2</v>
      </c>
      <c r="V144">
        <v>-0.14971580516722099</v>
      </c>
      <c r="W144">
        <v>0</v>
      </c>
      <c r="X144">
        <v>0</v>
      </c>
      <c r="Y144" t="s">
        <v>175</v>
      </c>
      <c r="Z144" t="s">
        <v>175</v>
      </c>
      <c r="AA144" t="s">
        <v>175</v>
      </c>
      <c r="AB144" t="s">
        <v>175</v>
      </c>
      <c r="AC144" t="s">
        <v>175</v>
      </c>
      <c r="AD144" t="s">
        <v>175</v>
      </c>
      <c r="AE144" t="s">
        <v>175</v>
      </c>
      <c r="AF144" t="s">
        <v>175</v>
      </c>
      <c r="AG144" s="878">
        <v>44193</v>
      </c>
      <c r="AH144" s="873">
        <f t="shared" si="2"/>
        <v>44166</v>
      </c>
    </row>
    <row r="145" spans="1:34">
      <c r="A145">
        <v>8</v>
      </c>
      <c r="B145">
        <v>103</v>
      </c>
      <c r="C145" t="s">
        <v>192</v>
      </c>
      <c r="D145">
        <v>123</v>
      </c>
      <c r="E145">
        <v>0</v>
      </c>
      <c r="F145">
        <v>0</v>
      </c>
      <c r="G145" t="s">
        <v>175</v>
      </c>
      <c r="H145" t="s">
        <v>175</v>
      </c>
      <c r="I145" s="878">
        <v>44208</v>
      </c>
      <c r="J145">
        <v>8</v>
      </c>
      <c r="K145" t="s">
        <v>192</v>
      </c>
      <c r="L145">
        <v>103</v>
      </c>
      <c r="M145">
        <v>1</v>
      </c>
      <c r="N145">
        <v>0</v>
      </c>
      <c r="O145">
        <v>0</v>
      </c>
      <c r="P145">
        <v>0</v>
      </c>
      <c r="Q145">
        <v>0.88550651797838598</v>
      </c>
      <c r="R145">
        <v>0</v>
      </c>
      <c r="S145">
        <v>0</v>
      </c>
      <c r="T145">
        <v>0.233466658511539</v>
      </c>
      <c r="U145">
        <v>3.07426286772963E-2</v>
      </c>
      <c r="V145">
        <v>-0.14971580516722099</v>
      </c>
      <c r="W145">
        <v>0</v>
      </c>
      <c r="X145">
        <v>0</v>
      </c>
      <c r="Y145" t="s">
        <v>175</v>
      </c>
      <c r="Z145" t="s">
        <v>175</v>
      </c>
      <c r="AA145" t="s">
        <v>175</v>
      </c>
      <c r="AB145" t="s">
        <v>175</v>
      </c>
      <c r="AC145" t="s">
        <v>175</v>
      </c>
      <c r="AD145" t="s">
        <v>175</v>
      </c>
      <c r="AE145" t="s">
        <v>175</v>
      </c>
      <c r="AF145" t="s">
        <v>175</v>
      </c>
      <c r="AG145" s="878">
        <v>44208</v>
      </c>
      <c r="AH145" s="873">
        <f t="shared" si="2"/>
        <v>44197</v>
      </c>
    </row>
    <row r="146" spans="1:34">
      <c r="A146">
        <v>1</v>
      </c>
      <c r="B146">
        <v>369</v>
      </c>
      <c r="C146" t="s">
        <v>193</v>
      </c>
      <c r="D146">
        <v>120</v>
      </c>
      <c r="E146">
        <v>32143473.811485302</v>
      </c>
      <c r="F146">
        <v>71410825</v>
      </c>
      <c r="G146">
        <v>0</v>
      </c>
      <c r="H146">
        <v>97848047</v>
      </c>
      <c r="I146" s="878">
        <v>44043</v>
      </c>
      <c r="J146">
        <v>1</v>
      </c>
      <c r="K146" t="s">
        <v>193</v>
      </c>
      <c r="L146">
        <v>369</v>
      </c>
      <c r="M146">
        <v>7.48597463633114E-2</v>
      </c>
      <c r="N146">
        <v>0.83789834129180096</v>
      </c>
      <c r="O146">
        <v>0</v>
      </c>
      <c r="P146">
        <v>8.7241912344888095E-2</v>
      </c>
      <c r="Q146">
        <v>3.80275946889682E-2</v>
      </c>
      <c r="R146">
        <v>0</v>
      </c>
      <c r="S146">
        <v>-1.4091905348996001E-2</v>
      </c>
      <c r="T146">
        <v>-3.5796075281586202E-2</v>
      </c>
      <c r="U146">
        <v>0</v>
      </c>
      <c r="V146">
        <v>1.2050243447823E-2</v>
      </c>
      <c r="W146">
        <v>7.4669888857102407E-2</v>
      </c>
      <c r="X146">
        <v>0</v>
      </c>
      <c r="Y146">
        <v>1.72203117978561</v>
      </c>
      <c r="Z146">
        <v>0</v>
      </c>
      <c r="AA146">
        <v>8.2966427824210501E-2</v>
      </c>
      <c r="AB146">
        <v>0.10208027667587</v>
      </c>
      <c r="AC146">
        <v>0</v>
      </c>
      <c r="AD146">
        <v>-0.37937203432078298</v>
      </c>
      <c r="AE146">
        <v>-0.68980750867310803</v>
      </c>
      <c r="AF146">
        <v>0</v>
      </c>
      <c r="AG146" s="878">
        <v>44043</v>
      </c>
      <c r="AH146" s="873">
        <f t="shared" si="2"/>
        <v>44013</v>
      </c>
    </row>
    <row r="147" spans="1:34">
      <c r="A147">
        <v>2</v>
      </c>
      <c r="B147">
        <v>369</v>
      </c>
      <c r="C147" t="s">
        <v>193</v>
      </c>
      <c r="D147">
        <v>120</v>
      </c>
      <c r="E147">
        <v>8010840.29</v>
      </c>
      <c r="F147">
        <v>0</v>
      </c>
      <c r="G147" t="s">
        <v>175</v>
      </c>
      <c r="H147" t="s">
        <v>175</v>
      </c>
      <c r="I147" s="878">
        <v>44055</v>
      </c>
      <c r="J147">
        <v>2</v>
      </c>
      <c r="K147" t="s">
        <v>193</v>
      </c>
      <c r="L147">
        <v>369</v>
      </c>
      <c r="M147">
        <v>0.87988537161178604</v>
      </c>
      <c r="N147" t="s">
        <v>175</v>
      </c>
      <c r="O147">
        <v>0.120114628388214</v>
      </c>
      <c r="P147">
        <v>0</v>
      </c>
      <c r="Q147">
        <v>0.12183320563758</v>
      </c>
      <c r="R147">
        <v>0</v>
      </c>
      <c r="S147">
        <v>-5.6571969277994003E-2</v>
      </c>
      <c r="T147">
        <v>0.38617115835088001</v>
      </c>
      <c r="U147">
        <v>0</v>
      </c>
      <c r="V147">
        <v>0.12823546174081299</v>
      </c>
      <c r="W147">
        <v>0.30021751516050699</v>
      </c>
      <c r="X147">
        <v>0</v>
      </c>
      <c r="Y147" t="s">
        <v>175</v>
      </c>
      <c r="Z147" t="s">
        <v>175</v>
      </c>
      <c r="AA147" t="s">
        <v>175</v>
      </c>
      <c r="AB147" t="s">
        <v>175</v>
      </c>
      <c r="AC147" t="s">
        <v>175</v>
      </c>
      <c r="AD147" t="s">
        <v>175</v>
      </c>
      <c r="AE147" t="s">
        <v>175</v>
      </c>
      <c r="AF147" t="s">
        <v>175</v>
      </c>
      <c r="AG147" s="878">
        <v>44055</v>
      </c>
      <c r="AH147" s="873">
        <f t="shared" si="2"/>
        <v>44044</v>
      </c>
    </row>
    <row r="148" spans="1:34">
      <c r="A148">
        <v>3</v>
      </c>
      <c r="B148">
        <v>369</v>
      </c>
      <c r="C148" t="s">
        <v>193</v>
      </c>
      <c r="D148">
        <v>120</v>
      </c>
      <c r="E148">
        <v>19902351.98</v>
      </c>
      <c r="F148">
        <v>0</v>
      </c>
      <c r="G148" t="s">
        <v>175</v>
      </c>
      <c r="H148" t="s">
        <v>175</v>
      </c>
      <c r="I148" s="878">
        <v>44088</v>
      </c>
      <c r="J148">
        <v>3</v>
      </c>
      <c r="K148" t="s">
        <v>193</v>
      </c>
      <c r="L148">
        <v>369</v>
      </c>
      <c r="M148">
        <v>0.52161181568244597</v>
      </c>
      <c r="N148" t="s">
        <v>175</v>
      </c>
      <c r="O148">
        <v>0.20380314328143401</v>
      </c>
      <c r="P148">
        <v>0.27458504103611903</v>
      </c>
      <c r="Q148">
        <v>0.22276172344320899</v>
      </c>
      <c r="R148">
        <v>0</v>
      </c>
      <c r="S148">
        <v>-2.2752923271862398E-2</v>
      </c>
      <c r="T148">
        <v>0.21983652691147099</v>
      </c>
      <c r="U148">
        <v>0</v>
      </c>
      <c r="V148">
        <v>-1.9217982483427199E-2</v>
      </c>
      <c r="W148">
        <v>0.120984471083056</v>
      </c>
      <c r="X148">
        <v>0</v>
      </c>
      <c r="Y148" t="s">
        <v>175</v>
      </c>
      <c r="Z148" t="s">
        <v>175</v>
      </c>
      <c r="AA148" t="s">
        <v>175</v>
      </c>
      <c r="AB148" t="s">
        <v>175</v>
      </c>
      <c r="AC148" t="s">
        <v>175</v>
      </c>
      <c r="AD148" t="s">
        <v>175</v>
      </c>
      <c r="AE148" t="s">
        <v>175</v>
      </c>
      <c r="AF148" t="s">
        <v>175</v>
      </c>
      <c r="AG148" s="878">
        <v>44088</v>
      </c>
      <c r="AH148" s="873">
        <f t="shared" si="2"/>
        <v>44075</v>
      </c>
    </row>
    <row r="149" spans="1:34">
      <c r="A149">
        <v>4</v>
      </c>
      <c r="B149">
        <v>369</v>
      </c>
      <c r="C149" t="s">
        <v>193</v>
      </c>
      <c r="D149">
        <v>120</v>
      </c>
      <c r="E149">
        <v>13383829.0691636</v>
      </c>
      <c r="F149">
        <v>0</v>
      </c>
      <c r="G149" t="s">
        <v>175</v>
      </c>
      <c r="H149" t="s">
        <v>175</v>
      </c>
      <c r="I149" s="878">
        <v>44117</v>
      </c>
      <c r="J149">
        <v>4</v>
      </c>
      <c r="K149" t="s">
        <v>193</v>
      </c>
      <c r="L149">
        <v>369</v>
      </c>
      <c r="M149">
        <v>0.37625140617335001</v>
      </c>
      <c r="N149">
        <v>0</v>
      </c>
      <c r="O149">
        <v>0.40225882297781801</v>
      </c>
      <c r="P149">
        <v>0.22148977084883201</v>
      </c>
      <c r="Q149">
        <v>-1.27663620784655E-2</v>
      </c>
      <c r="R149">
        <v>0</v>
      </c>
      <c r="S149">
        <v>-3.3874631126391899E-2</v>
      </c>
      <c r="T149">
        <v>0.28620712423481798</v>
      </c>
      <c r="U149">
        <v>0</v>
      </c>
      <c r="V149">
        <v>-4.3484040841741699E-2</v>
      </c>
      <c r="W149">
        <v>0.180169315985131</v>
      </c>
      <c r="X149">
        <v>0</v>
      </c>
      <c r="Y149" t="s">
        <v>175</v>
      </c>
      <c r="Z149" t="s">
        <v>175</v>
      </c>
      <c r="AA149" t="s">
        <v>175</v>
      </c>
      <c r="AB149" t="s">
        <v>175</v>
      </c>
      <c r="AC149" t="s">
        <v>175</v>
      </c>
      <c r="AD149" t="s">
        <v>175</v>
      </c>
      <c r="AE149" t="s">
        <v>175</v>
      </c>
      <c r="AF149" t="s">
        <v>175</v>
      </c>
      <c r="AG149" s="878">
        <v>44117</v>
      </c>
      <c r="AH149" s="873">
        <f t="shared" si="2"/>
        <v>44105</v>
      </c>
    </row>
    <row r="150" spans="1:34">
      <c r="A150">
        <v>5</v>
      </c>
      <c r="B150">
        <v>369</v>
      </c>
      <c r="C150" t="s">
        <v>193</v>
      </c>
      <c r="D150">
        <v>120</v>
      </c>
      <c r="E150">
        <v>2800528.3178675799</v>
      </c>
      <c r="F150">
        <v>0</v>
      </c>
      <c r="G150" t="s">
        <v>175</v>
      </c>
      <c r="H150" t="s">
        <v>175</v>
      </c>
      <c r="I150" s="878">
        <v>44147</v>
      </c>
      <c r="J150">
        <v>5</v>
      </c>
      <c r="K150" t="s">
        <v>193</v>
      </c>
      <c r="L150">
        <v>369</v>
      </c>
      <c r="M150">
        <v>1</v>
      </c>
      <c r="N150">
        <v>0</v>
      </c>
      <c r="O150">
        <v>0</v>
      </c>
      <c r="P150">
        <v>0</v>
      </c>
      <c r="Q150">
        <v>-1.05945355497292</v>
      </c>
      <c r="R150">
        <v>0</v>
      </c>
      <c r="S150">
        <v>-0.162130293450928</v>
      </c>
      <c r="T150">
        <v>1.3528890196260399</v>
      </c>
      <c r="U150">
        <v>0</v>
      </c>
      <c r="V150">
        <v>6.37145907389354E-3</v>
      </c>
      <c r="W150">
        <v>0.86232336972391099</v>
      </c>
      <c r="X150">
        <v>0</v>
      </c>
      <c r="Y150" t="s">
        <v>175</v>
      </c>
      <c r="Z150" t="s">
        <v>175</v>
      </c>
      <c r="AA150" t="s">
        <v>175</v>
      </c>
      <c r="AB150" t="s">
        <v>175</v>
      </c>
      <c r="AC150" t="s">
        <v>175</v>
      </c>
      <c r="AD150" t="s">
        <v>175</v>
      </c>
      <c r="AE150" t="s">
        <v>175</v>
      </c>
      <c r="AF150" t="s">
        <v>175</v>
      </c>
      <c r="AG150" s="878">
        <v>44147</v>
      </c>
      <c r="AH150" s="873">
        <f t="shared" si="2"/>
        <v>44136</v>
      </c>
    </row>
    <row r="151" spans="1:34">
      <c r="A151">
        <v>6</v>
      </c>
      <c r="B151">
        <v>369</v>
      </c>
      <c r="C151" t="s">
        <v>193</v>
      </c>
      <c r="D151">
        <v>120</v>
      </c>
      <c r="E151">
        <v>27318820.924821101</v>
      </c>
      <c r="F151">
        <v>0</v>
      </c>
      <c r="G151" t="s">
        <v>175</v>
      </c>
      <c r="H151" t="s">
        <v>175</v>
      </c>
      <c r="I151" s="878">
        <v>44179</v>
      </c>
      <c r="J151">
        <v>6</v>
      </c>
      <c r="K151" t="s">
        <v>193</v>
      </c>
      <c r="L151">
        <v>369</v>
      </c>
      <c r="M151">
        <v>1</v>
      </c>
      <c r="N151">
        <v>0</v>
      </c>
      <c r="O151">
        <v>0</v>
      </c>
      <c r="P151">
        <v>0</v>
      </c>
      <c r="Q151">
        <v>0.69378813014457497</v>
      </c>
      <c r="R151">
        <v>0</v>
      </c>
      <c r="S151">
        <v>-1.6663102812795299E-2</v>
      </c>
      <c r="T151">
        <v>0.13511056863105</v>
      </c>
      <c r="U151">
        <v>0</v>
      </c>
      <c r="V151">
        <v>9.9176582342647701E-2</v>
      </c>
      <c r="W151">
        <v>8.8587821694523602E-2</v>
      </c>
      <c r="X151">
        <v>0</v>
      </c>
      <c r="Y151" t="s">
        <v>175</v>
      </c>
      <c r="Z151" t="s">
        <v>175</v>
      </c>
      <c r="AA151" t="s">
        <v>175</v>
      </c>
      <c r="AB151" t="s">
        <v>175</v>
      </c>
      <c r="AC151" t="s">
        <v>175</v>
      </c>
      <c r="AD151" t="s">
        <v>175</v>
      </c>
      <c r="AE151" t="s">
        <v>175</v>
      </c>
      <c r="AF151" t="s">
        <v>175</v>
      </c>
      <c r="AG151" s="878">
        <v>44179</v>
      </c>
      <c r="AH151" s="873">
        <f t="shared" si="2"/>
        <v>44166</v>
      </c>
    </row>
    <row r="152" spans="1:34">
      <c r="A152">
        <v>7</v>
      </c>
      <c r="B152">
        <v>369</v>
      </c>
      <c r="C152" t="s">
        <v>193</v>
      </c>
      <c r="D152">
        <v>120</v>
      </c>
      <c r="E152">
        <v>0</v>
      </c>
      <c r="F152">
        <v>0</v>
      </c>
      <c r="G152" t="s">
        <v>175</v>
      </c>
      <c r="H152" t="s">
        <v>175</v>
      </c>
      <c r="I152" s="878">
        <v>44193</v>
      </c>
      <c r="J152">
        <v>7</v>
      </c>
      <c r="K152" t="s">
        <v>193</v>
      </c>
      <c r="L152">
        <v>369</v>
      </c>
      <c r="M152">
        <v>1</v>
      </c>
      <c r="N152">
        <v>0</v>
      </c>
      <c r="O152">
        <v>0</v>
      </c>
      <c r="P152">
        <v>0</v>
      </c>
      <c r="Q152">
        <v>0.47974556881253999</v>
      </c>
      <c r="R152">
        <v>0</v>
      </c>
      <c r="S152">
        <v>7.8564178641378404E-3</v>
      </c>
      <c r="T152">
        <v>8.5046901937935807E-2</v>
      </c>
      <c r="U152">
        <v>0</v>
      </c>
      <c r="V152">
        <v>0.155018574449487</v>
      </c>
      <c r="W152">
        <v>0.27233253693589898</v>
      </c>
      <c r="X152">
        <v>0</v>
      </c>
      <c r="Y152" t="s">
        <v>175</v>
      </c>
      <c r="Z152" t="s">
        <v>175</v>
      </c>
      <c r="AA152" t="s">
        <v>175</v>
      </c>
      <c r="AB152" t="s">
        <v>175</v>
      </c>
      <c r="AC152" t="s">
        <v>175</v>
      </c>
      <c r="AD152" t="s">
        <v>175</v>
      </c>
      <c r="AE152" t="s">
        <v>175</v>
      </c>
      <c r="AF152" t="s">
        <v>175</v>
      </c>
      <c r="AG152" s="878">
        <v>44193</v>
      </c>
      <c r="AH152" s="873">
        <f t="shared" si="2"/>
        <v>44166</v>
      </c>
    </row>
    <row r="153" spans="1:34">
      <c r="A153">
        <v>8</v>
      </c>
      <c r="B153">
        <v>369</v>
      </c>
      <c r="C153" t="s">
        <v>193</v>
      </c>
      <c r="D153">
        <v>120</v>
      </c>
      <c r="E153">
        <v>7980679.6066624103</v>
      </c>
      <c r="F153">
        <v>0</v>
      </c>
      <c r="G153" t="s">
        <v>175</v>
      </c>
      <c r="H153" t="s">
        <v>175</v>
      </c>
      <c r="I153" s="878">
        <v>44208</v>
      </c>
      <c r="J153">
        <v>8</v>
      </c>
      <c r="K153" t="s">
        <v>193</v>
      </c>
      <c r="L153">
        <v>369</v>
      </c>
      <c r="M153">
        <v>1</v>
      </c>
      <c r="N153">
        <v>0</v>
      </c>
      <c r="O153">
        <v>0</v>
      </c>
      <c r="P153">
        <v>0</v>
      </c>
      <c r="Q153">
        <v>0.47974556881253999</v>
      </c>
      <c r="R153">
        <v>0</v>
      </c>
      <c r="S153">
        <v>7.8564178641378404E-3</v>
      </c>
      <c r="T153">
        <v>8.5046901937935807E-2</v>
      </c>
      <c r="U153">
        <v>0</v>
      </c>
      <c r="V153">
        <v>0.155018574449487</v>
      </c>
      <c r="W153">
        <v>0.27233253693589898</v>
      </c>
      <c r="X153">
        <v>0</v>
      </c>
      <c r="Y153" t="s">
        <v>175</v>
      </c>
      <c r="Z153" t="s">
        <v>175</v>
      </c>
      <c r="AA153" t="s">
        <v>175</v>
      </c>
      <c r="AB153" t="s">
        <v>175</v>
      </c>
      <c r="AC153" t="s">
        <v>175</v>
      </c>
      <c r="AD153" t="s">
        <v>175</v>
      </c>
      <c r="AE153" t="s">
        <v>175</v>
      </c>
      <c r="AF153" t="s">
        <v>175</v>
      </c>
      <c r="AG153" s="878">
        <v>44208</v>
      </c>
      <c r="AH153" s="873">
        <f t="shared" si="2"/>
        <v>44197</v>
      </c>
    </row>
    <row r="154" spans="1:34">
      <c r="A154">
        <v>1</v>
      </c>
      <c r="B154">
        <v>370</v>
      </c>
      <c r="C154" t="s">
        <v>194</v>
      </c>
      <c r="D154">
        <v>105</v>
      </c>
      <c r="E154">
        <v>7512541.7999999998</v>
      </c>
      <c r="F154">
        <v>49806038.193812497</v>
      </c>
      <c r="G154">
        <v>0</v>
      </c>
      <c r="H154">
        <v>0</v>
      </c>
      <c r="I154" s="878">
        <v>44043</v>
      </c>
      <c r="J154">
        <v>1</v>
      </c>
      <c r="K154" t="s">
        <v>195</v>
      </c>
      <c r="L154">
        <v>370</v>
      </c>
      <c r="M154">
        <v>8.2718481513141096E-2</v>
      </c>
      <c r="N154">
        <v>0.91728151848685902</v>
      </c>
      <c r="O154">
        <v>0</v>
      </c>
      <c r="P154">
        <v>0</v>
      </c>
      <c r="Q154">
        <v>3.5943242272542197E-2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4.6775239240599002E-2</v>
      </c>
      <c r="X154">
        <v>0</v>
      </c>
      <c r="Y154">
        <v>0.44462353873358801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0.47265797975327101</v>
      </c>
      <c r="AF154">
        <v>0</v>
      </c>
      <c r="AG154" s="878">
        <v>44043</v>
      </c>
      <c r="AH154" s="873">
        <f t="shared" si="2"/>
        <v>44013</v>
      </c>
    </row>
    <row r="155" spans="1:34">
      <c r="A155">
        <v>2</v>
      </c>
      <c r="B155">
        <v>370</v>
      </c>
      <c r="C155" t="s">
        <v>194</v>
      </c>
      <c r="D155">
        <v>105</v>
      </c>
      <c r="E155">
        <v>602919.24054725701</v>
      </c>
      <c r="F155">
        <v>0</v>
      </c>
      <c r="G155" t="s">
        <v>175</v>
      </c>
      <c r="H155" t="s">
        <v>175</v>
      </c>
      <c r="I155" s="878">
        <v>44055</v>
      </c>
      <c r="J155">
        <v>2</v>
      </c>
      <c r="K155" t="s">
        <v>195</v>
      </c>
      <c r="L155">
        <v>370</v>
      </c>
      <c r="M155">
        <v>1</v>
      </c>
      <c r="N155" t="s">
        <v>175</v>
      </c>
      <c r="O155">
        <v>0</v>
      </c>
      <c r="P155">
        <v>0</v>
      </c>
      <c r="Q155">
        <v>0.419351224289576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0.58064877571042495</v>
      </c>
      <c r="X155">
        <v>0</v>
      </c>
      <c r="Y155" t="s">
        <v>175</v>
      </c>
      <c r="Z155" t="s">
        <v>175</v>
      </c>
      <c r="AA155" t="s">
        <v>175</v>
      </c>
      <c r="AB155" t="s">
        <v>175</v>
      </c>
      <c r="AC155" t="s">
        <v>175</v>
      </c>
      <c r="AD155" t="s">
        <v>175</v>
      </c>
      <c r="AE155" t="s">
        <v>175</v>
      </c>
      <c r="AF155" t="s">
        <v>175</v>
      </c>
      <c r="AG155" s="878">
        <v>44055</v>
      </c>
      <c r="AH155" s="873">
        <f t="shared" si="2"/>
        <v>44044</v>
      </c>
    </row>
    <row r="156" spans="1:34">
      <c r="A156">
        <v>3</v>
      </c>
      <c r="B156">
        <v>370</v>
      </c>
      <c r="C156" t="s">
        <v>194</v>
      </c>
      <c r="D156">
        <v>105</v>
      </c>
      <c r="E156">
        <v>533194.23945274297</v>
      </c>
      <c r="F156">
        <v>18506.8061874509</v>
      </c>
      <c r="G156" t="s">
        <v>175</v>
      </c>
      <c r="H156" t="s">
        <v>175</v>
      </c>
      <c r="I156" s="878">
        <v>44088</v>
      </c>
      <c r="J156">
        <v>3</v>
      </c>
      <c r="K156" t="s">
        <v>195</v>
      </c>
      <c r="L156">
        <v>370</v>
      </c>
      <c r="M156">
        <v>1</v>
      </c>
      <c r="N156" t="s">
        <v>175</v>
      </c>
      <c r="O156">
        <v>0</v>
      </c>
      <c r="P156">
        <v>0</v>
      </c>
      <c r="Q156">
        <v>0.34452191800215198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0.65547808199784796</v>
      </c>
      <c r="X156">
        <v>0</v>
      </c>
      <c r="Y156" t="s">
        <v>175</v>
      </c>
      <c r="Z156" t="s">
        <v>175</v>
      </c>
      <c r="AA156" t="s">
        <v>175</v>
      </c>
      <c r="AB156" t="s">
        <v>175</v>
      </c>
      <c r="AC156" t="s">
        <v>175</v>
      </c>
      <c r="AD156" t="s">
        <v>175</v>
      </c>
      <c r="AE156" t="s">
        <v>175</v>
      </c>
      <c r="AF156" t="s">
        <v>175</v>
      </c>
      <c r="AG156" s="878">
        <v>44088</v>
      </c>
      <c r="AH156" s="873">
        <f t="shared" si="2"/>
        <v>44075</v>
      </c>
    </row>
    <row r="157" spans="1:34">
      <c r="A157">
        <v>4</v>
      </c>
      <c r="B157">
        <v>370</v>
      </c>
      <c r="C157" t="s">
        <v>194</v>
      </c>
      <c r="D157">
        <v>105</v>
      </c>
      <c r="E157">
        <v>632761.31999999995</v>
      </c>
      <c r="F157">
        <v>0</v>
      </c>
      <c r="G157" t="s">
        <v>175</v>
      </c>
      <c r="H157" t="s">
        <v>175</v>
      </c>
      <c r="I157" s="878">
        <v>44117</v>
      </c>
      <c r="J157">
        <v>4</v>
      </c>
      <c r="K157" t="s">
        <v>195</v>
      </c>
      <c r="L157">
        <v>370</v>
      </c>
      <c r="M157">
        <v>1</v>
      </c>
      <c r="N157">
        <v>0</v>
      </c>
      <c r="O157">
        <v>0</v>
      </c>
      <c r="P157">
        <v>0</v>
      </c>
      <c r="Q157">
        <v>0.45047908427778099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0.54952091572221895</v>
      </c>
      <c r="X157">
        <v>0</v>
      </c>
      <c r="Y157" t="s">
        <v>175</v>
      </c>
      <c r="Z157" t="s">
        <v>175</v>
      </c>
      <c r="AA157" t="s">
        <v>175</v>
      </c>
      <c r="AB157" t="s">
        <v>175</v>
      </c>
      <c r="AC157" t="s">
        <v>175</v>
      </c>
      <c r="AD157" t="s">
        <v>175</v>
      </c>
      <c r="AE157" t="s">
        <v>175</v>
      </c>
      <c r="AF157" t="s">
        <v>175</v>
      </c>
      <c r="AG157" s="878">
        <v>44117</v>
      </c>
      <c r="AH157" s="873">
        <f t="shared" si="2"/>
        <v>44105</v>
      </c>
    </row>
    <row r="158" spans="1:34">
      <c r="A158">
        <v>5</v>
      </c>
      <c r="B158">
        <v>370</v>
      </c>
      <c r="C158" t="s">
        <v>194</v>
      </c>
      <c r="D158">
        <v>105</v>
      </c>
      <c r="E158">
        <v>605232.67000000004</v>
      </c>
      <c r="F158">
        <v>0</v>
      </c>
      <c r="G158" t="s">
        <v>175</v>
      </c>
      <c r="H158" t="s">
        <v>175</v>
      </c>
      <c r="I158" s="878">
        <v>44147</v>
      </c>
      <c r="J158">
        <v>5</v>
      </c>
      <c r="K158" t="s">
        <v>195</v>
      </c>
      <c r="L158">
        <v>370</v>
      </c>
      <c r="M158">
        <v>1</v>
      </c>
      <c r="N158">
        <v>0</v>
      </c>
      <c r="O158">
        <v>0</v>
      </c>
      <c r="P158">
        <v>0</v>
      </c>
      <c r="Q158">
        <v>0.42548445046761901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0.57451554953238104</v>
      </c>
      <c r="X158">
        <v>0</v>
      </c>
      <c r="Y158" t="s">
        <v>175</v>
      </c>
      <c r="Z158" t="s">
        <v>175</v>
      </c>
      <c r="AA158" t="s">
        <v>175</v>
      </c>
      <c r="AB158" t="s">
        <v>175</v>
      </c>
      <c r="AC158" t="s">
        <v>175</v>
      </c>
      <c r="AD158" t="s">
        <v>175</v>
      </c>
      <c r="AE158" t="s">
        <v>175</v>
      </c>
      <c r="AF158" t="s">
        <v>175</v>
      </c>
      <c r="AG158" s="878">
        <v>44147</v>
      </c>
      <c r="AH158" s="873">
        <f t="shared" si="2"/>
        <v>44136</v>
      </c>
    </row>
    <row r="159" spans="1:34">
      <c r="A159">
        <v>6</v>
      </c>
      <c r="B159">
        <v>370</v>
      </c>
      <c r="C159" t="s">
        <v>194</v>
      </c>
      <c r="D159">
        <v>105</v>
      </c>
      <c r="E159">
        <v>591920.73000001197</v>
      </c>
      <c r="F159">
        <v>0</v>
      </c>
      <c r="G159" t="s">
        <v>175</v>
      </c>
      <c r="H159" t="s">
        <v>175</v>
      </c>
      <c r="I159" s="878">
        <v>44179</v>
      </c>
      <c r="J159">
        <v>6</v>
      </c>
      <c r="K159" t="s">
        <v>195</v>
      </c>
      <c r="L159">
        <v>370</v>
      </c>
      <c r="M159">
        <v>1</v>
      </c>
      <c r="N159">
        <v>0</v>
      </c>
      <c r="O159">
        <v>0</v>
      </c>
      <c r="P159">
        <v>0</v>
      </c>
      <c r="Q159">
        <v>0.92350215192110297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7.6497848078896993E-2</v>
      </c>
      <c r="X159">
        <v>0</v>
      </c>
      <c r="Y159" t="s">
        <v>175</v>
      </c>
      <c r="Z159" t="s">
        <v>175</v>
      </c>
      <c r="AA159" t="s">
        <v>175</v>
      </c>
      <c r="AB159" t="s">
        <v>175</v>
      </c>
      <c r="AC159" t="s">
        <v>175</v>
      </c>
      <c r="AD159" t="s">
        <v>175</v>
      </c>
      <c r="AE159" t="s">
        <v>175</v>
      </c>
      <c r="AF159" t="s">
        <v>175</v>
      </c>
      <c r="AG159" s="878">
        <v>44179</v>
      </c>
      <c r="AH159" s="873">
        <f t="shared" si="2"/>
        <v>44166</v>
      </c>
    </row>
    <row r="160" spans="1:34">
      <c r="A160">
        <v>7</v>
      </c>
      <c r="B160">
        <v>370</v>
      </c>
      <c r="C160" t="s">
        <v>194</v>
      </c>
      <c r="D160">
        <v>105</v>
      </c>
      <c r="E160">
        <v>0</v>
      </c>
      <c r="F160">
        <v>0</v>
      </c>
      <c r="G160" t="s">
        <v>175</v>
      </c>
      <c r="H160" t="s">
        <v>175</v>
      </c>
      <c r="I160" s="878">
        <v>44193</v>
      </c>
      <c r="J160">
        <v>7</v>
      </c>
      <c r="K160" t="s">
        <v>195</v>
      </c>
      <c r="L160">
        <v>370</v>
      </c>
      <c r="M160" t="s">
        <v>175</v>
      </c>
      <c r="N160">
        <v>0</v>
      </c>
      <c r="O160" t="s">
        <v>175</v>
      </c>
      <c r="P160" t="s">
        <v>175</v>
      </c>
      <c r="Q160" t="s">
        <v>175</v>
      </c>
      <c r="R160" t="s">
        <v>175</v>
      </c>
      <c r="S160" t="s">
        <v>175</v>
      </c>
      <c r="T160" t="s">
        <v>175</v>
      </c>
      <c r="U160" t="s">
        <v>175</v>
      </c>
      <c r="V160" t="s">
        <v>175</v>
      </c>
      <c r="W160" t="s">
        <v>175</v>
      </c>
      <c r="X160" t="s">
        <v>175</v>
      </c>
      <c r="Y160" t="s">
        <v>175</v>
      </c>
      <c r="Z160" t="s">
        <v>175</v>
      </c>
      <c r="AA160" t="s">
        <v>175</v>
      </c>
      <c r="AB160" t="s">
        <v>175</v>
      </c>
      <c r="AC160" t="s">
        <v>175</v>
      </c>
      <c r="AD160" t="s">
        <v>175</v>
      </c>
      <c r="AE160" t="s">
        <v>175</v>
      </c>
      <c r="AF160" t="s">
        <v>175</v>
      </c>
      <c r="AG160" s="878">
        <v>44193</v>
      </c>
      <c r="AH160" s="873">
        <f t="shared" si="2"/>
        <v>44166</v>
      </c>
    </row>
    <row r="161" spans="1:34">
      <c r="A161">
        <v>8</v>
      </c>
      <c r="B161">
        <v>370</v>
      </c>
      <c r="C161" t="s">
        <v>194</v>
      </c>
      <c r="D161">
        <v>105</v>
      </c>
      <c r="E161">
        <v>0</v>
      </c>
      <c r="F161">
        <v>0</v>
      </c>
      <c r="G161" t="s">
        <v>175</v>
      </c>
      <c r="H161" t="s">
        <v>175</v>
      </c>
      <c r="I161" s="878">
        <v>44208</v>
      </c>
      <c r="J161">
        <v>8</v>
      </c>
      <c r="K161" t="s">
        <v>195</v>
      </c>
      <c r="L161">
        <v>370</v>
      </c>
      <c r="M161" t="s">
        <v>175</v>
      </c>
      <c r="N161">
        <v>0</v>
      </c>
      <c r="O161" t="s">
        <v>175</v>
      </c>
      <c r="P161" t="s">
        <v>175</v>
      </c>
      <c r="Q161" t="s">
        <v>175</v>
      </c>
      <c r="R161" t="s">
        <v>175</v>
      </c>
      <c r="S161" t="s">
        <v>175</v>
      </c>
      <c r="T161" t="s">
        <v>175</v>
      </c>
      <c r="U161" t="s">
        <v>175</v>
      </c>
      <c r="V161" t="s">
        <v>175</v>
      </c>
      <c r="W161" t="s">
        <v>175</v>
      </c>
      <c r="X161" t="s">
        <v>175</v>
      </c>
      <c r="Y161" t="s">
        <v>175</v>
      </c>
      <c r="Z161" t="s">
        <v>175</v>
      </c>
      <c r="AA161" t="s">
        <v>175</v>
      </c>
      <c r="AB161" t="s">
        <v>175</v>
      </c>
      <c r="AC161" t="s">
        <v>175</v>
      </c>
      <c r="AD161" t="s">
        <v>175</v>
      </c>
      <c r="AE161" t="s">
        <v>175</v>
      </c>
      <c r="AF161" t="s">
        <v>175</v>
      </c>
      <c r="AG161" s="878">
        <v>44208</v>
      </c>
      <c r="AH161" s="873">
        <f t="shared" si="2"/>
        <v>44197</v>
      </c>
    </row>
    <row r="162" spans="1:34">
      <c r="A162">
        <v>1</v>
      </c>
      <c r="B162">
        <v>371</v>
      </c>
      <c r="C162" t="s">
        <v>196</v>
      </c>
      <c r="D162">
        <v>113</v>
      </c>
      <c r="E162">
        <v>141429910.92059401</v>
      </c>
      <c r="F162">
        <v>0</v>
      </c>
      <c r="G162">
        <v>0</v>
      </c>
      <c r="H162">
        <v>143079977</v>
      </c>
      <c r="I162" s="878">
        <v>44043</v>
      </c>
      <c r="J162">
        <v>1</v>
      </c>
      <c r="K162" t="s">
        <v>196</v>
      </c>
      <c r="L162">
        <v>371</v>
      </c>
      <c r="M162">
        <v>1.8127053557810699E-3</v>
      </c>
      <c r="N162">
        <v>0.84617453084016603</v>
      </c>
      <c r="O162">
        <v>0.13063062157041999</v>
      </c>
      <c r="P162">
        <v>2.13821422336327E-2</v>
      </c>
      <c r="Q162">
        <v>-6.0073863121997098E-2</v>
      </c>
      <c r="R162">
        <v>0</v>
      </c>
      <c r="S162">
        <v>-9.1663395781099201E-3</v>
      </c>
      <c r="T162">
        <v>-1.8222760752829699E-2</v>
      </c>
      <c r="U162">
        <v>0</v>
      </c>
      <c r="V162">
        <v>6.8942433347552998E-2</v>
      </c>
      <c r="W162">
        <v>2.0333235461164799E-2</v>
      </c>
      <c r="X162">
        <v>0</v>
      </c>
      <c r="Y162">
        <v>1.2198229194732499</v>
      </c>
      <c r="Z162">
        <v>0</v>
      </c>
      <c r="AA162">
        <v>-4.0253845830366099E-2</v>
      </c>
      <c r="AB162">
        <v>0.166667525183088</v>
      </c>
      <c r="AC162">
        <v>0</v>
      </c>
      <c r="AD162">
        <v>-0.54040490920560202</v>
      </c>
      <c r="AE162">
        <v>4.0342841219800099E-2</v>
      </c>
      <c r="AF162">
        <v>0</v>
      </c>
      <c r="AG162" s="878">
        <v>44043</v>
      </c>
      <c r="AH162" s="873">
        <f t="shared" si="2"/>
        <v>44013</v>
      </c>
    </row>
    <row r="163" spans="1:34">
      <c r="A163">
        <v>2</v>
      </c>
      <c r="B163">
        <v>371</v>
      </c>
      <c r="C163" t="s">
        <v>196</v>
      </c>
      <c r="D163">
        <v>113</v>
      </c>
      <c r="E163">
        <v>30620853.27</v>
      </c>
      <c r="F163">
        <v>0</v>
      </c>
      <c r="G163" t="s">
        <v>175</v>
      </c>
      <c r="H163" t="s">
        <v>175</v>
      </c>
      <c r="I163" s="878">
        <v>44055</v>
      </c>
      <c r="J163">
        <v>2</v>
      </c>
      <c r="K163" t="s">
        <v>196</v>
      </c>
      <c r="L163">
        <v>371</v>
      </c>
      <c r="M163">
        <v>0.98316494709909197</v>
      </c>
      <c r="N163" t="s">
        <v>175</v>
      </c>
      <c r="O163">
        <v>1.6835052900908101E-2</v>
      </c>
      <c r="P163">
        <v>0</v>
      </c>
      <c r="Q163">
        <v>0.29770557800209102</v>
      </c>
      <c r="R163">
        <v>0</v>
      </c>
      <c r="S163">
        <v>-4.2334179800798698E-2</v>
      </c>
      <c r="T163">
        <v>0.65195968366225998</v>
      </c>
      <c r="U163">
        <v>0</v>
      </c>
      <c r="V163">
        <v>7.1164754579125994E-2</v>
      </c>
      <c r="W163">
        <v>4.6691106564134503E-3</v>
      </c>
      <c r="X163">
        <v>0</v>
      </c>
      <c r="Y163" t="s">
        <v>175</v>
      </c>
      <c r="Z163" t="s">
        <v>175</v>
      </c>
      <c r="AA163" t="s">
        <v>175</v>
      </c>
      <c r="AB163" t="s">
        <v>175</v>
      </c>
      <c r="AC163" t="s">
        <v>175</v>
      </c>
      <c r="AD163" t="s">
        <v>175</v>
      </c>
      <c r="AE163" t="s">
        <v>175</v>
      </c>
      <c r="AF163" t="s">
        <v>175</v>
      </c>
      <c r="AG163" s="878">
        <v>44055</v>
      </c>
      <c r="AH163" s="873">
        <f t="shared" si="2"/>
        <v>44044</v>
      </c>
    </row>
    <row r="164" spans="1:34">
      <c r="A164">
        <v>3</v>
      </c>
      <c r="B164">
        <v>371</v>
      </c>
      <c r="C164" t="s">
        <v>196</v>
      </c>
      <c r="D164">
        <v>113</v>
      </c>
      <c r="E164">
        <v>784876.11</v>
      </c>
      <c r="F164">
        <v>0</v>
      </c>
      <c r="G164" t="s">
        <v>175</v>
      </c>
      <c r="H164" t="s">
        <v>175</v>
      </c>
      <c r="I164" s="878">
        <v>44088</v>
      </c>
      <c r="J164">
        <v>3</v>
      </c>
      <c r="K164" t="s">
        <v>196</v>
      </c>
      <c r="L164">
        <v>371</v>
      </c>
      <c r="M164">
        <v>0</v>
      </c>
      <c r="N164" t="s">
        <v>175</v>
      </c>
      <c r="O164">
        <v>0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 t="s">
        <v>175</v>
      </c>
      <c r="Z164" t="s">
        <v>175</v>
      </c>
      <c r="AA164" t="s">
        <v>175</v>
      </c>
      <c r="AB164" t="s">
        <v>175</v>
      </c>
      <c r="AC164" t="s">
        <v>175</v>
      </c>
      <c r="AD164" t="s">
        <v>175</v>
      </c>
      <c r="AE164" t="s">
        <v>175</v>
      </c>
      <c r="AF164" t="s">
        <v>175</v>
      </c>
      <c r="AG164" s="878">
        <v>44088</v>
      </c>
      <c r="AH164" s="873">
        <f t="shared" si="2"/>
        <v>44075</v>
      </c>
    </row>
    <row r="165" spans="1:34">
      <c r="A165">
        <v>4</v>
      </c>
      <c r="B165">
        <v>371</v>
      </c>
      <c r="C165" t="s">
        <v>196</v>
      </c>
      <c r="D165">
        <v>113</v>
      </c>
      <c r="E165">
        <v>0</v>
      </c>
      <c r="F165">
        <v>0</v>
      </c>
      <c r="G165" t="s">
        <v>175</v>
      </c>
      <c r="H165" t="s">
        <v>175</v>
      </c>
      <c r="I165" s="878">
        <v>44117</v>
      </c>
      <c r="J165">
        <v>4</v>
      </c>
      <c r="K165" t="s">
        <v>196</v>
      </c>
      <c r="L165">
        <v>371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 t="s">
        <v>175</v>
      </c>
      <c r="Z165" t="s">
        <v>175</v>
      </c>
      <c r="AA165" t="s">
        <v>175</v>
      </c>
      <c r="AB165" t="s">
        <v>175</v>
      </c>
      <c r="AC165" t="s">
        <v>175</v>
      </c>
      <c r="AD165" t="s">
        <v>175</v>
      </c>
      <c r="AE165" t="s">
        <v>175</v>
      </c>
      <c r="AF165" t="s">
        <v>175</v>
      </c>
      <c r="AG165" s="878">
        <v>44117</v>
      </c>
      <c r="AH165" s="873">
        <f t="shared" si="2"/>
        <v>44105</v>
      </c>
    </row>
    <row r="166" spans="1:34">
      <c r="A166">
        <v>5</v>
      </c>
      <c r="B166">
        <v>371</v>
      </c>
      <c r="C166" t="s">
        <v>196</v>
      </c>
      <c r="D166">
        <v>113</v>
      </c>
      <c r="E166">
        <v>0</v>
      </c>
      <c r="F166">
        <v>0</v>
      </c>
      <c r="G166" t="s">
        <v>175</v>
      </c>
      <c r="H166" t="s">
        <v>175</v>
      </c>
      <c r="I166" s="878">
        <v>44147</v>
      </c>
      <c r="J166">
        <v>5</v>
      </c>
      <c r="K166" t="s">
        <v>196</v>
      </c>
      <c r="L166">
        <v>371</v>
      </c>
      <c r="M166" t="s">
        <v>175</v>
      </c>
      <c r="N166" t="s">
        <v>175</v>
      </c>
      <c r="O166" t="s">
        <v>175</v>
      </c>
      <c r="P166" t="s">
        <v>175</v>
      </c>
      <c r="Q166" t="s">
        <v>175</v>
      </c>
      <c r="R166" t="s">
        <v>175</v>
      </c>
      <c r="S166" t="s">
        <v>175</v>
      </c>
      <c r="T166" t="s">
        <v>175</v>
      </c>
      <c r="U166" t="s">
        <v>175</v>
      </c>
      <c r="V166" t="s">
        <v>175</v>
      </c>
      <c r="W166" t="s">
        <v>175</v>
      </c>
      <c r="X166" t="s">
        <v>175</v>
      </c>
      <c r="Y166" t="s">
        <v>175</v>
      </c>
      <c r="Z166" t="s">
        <v>175</v>
      </c>
      <c r="AA166" t="s">
        <v>175</v>
      </c>
      <c r="AB166" t="s">
        <v>175</v>
      </c>
      <c r="AC166" t="s">
        <v>175</v>
      </c>
      <c r="AD166" t="s">
        <v>175</v>
      </c>
      <c r="AE166" t="s">
        <v>175</v>
      </c>
      <c r="AF166" t="s">
        <v>175</v>
      </c>
      <c r="AG166" s="878">
        <v>44147</v>
      </c>
      <c r="AH166" s="873">
        <f t="shared" si="2"/>
        <v>44136</v>
      </c>
    </row>
    <row r="167" spans="1:34">
      <c r="A167">
        <v>6</v>
      </c>
      <c r="B167">
        <v>371</v>
      </c>
      <c r="C167" t="s">
        <v>196</v>
      </c>
      <c r="D167">
        <v>113</v>
      </c>
      <c r="E167">
        <v>89680443.760199502</v>
      </c>
      <c r="F167">
        <v>0</v>
      </c>
      <c r="G167" t="s">
        <v>175</v>
      </c>
      <c r="H167" t="s">
        <v>175</v>
      </c>
      <c r="I167" s="878">
        <v>44179</v>
      </c>
      <c r="J167">
        <v>6</v>
      </c>
      <c r="K167" t="s">
        <v>196</v>
      </c>
      <c r="L167">
        <v>371</v>
      </c>
      <c r="M167">
        <v>1</v>
      </c>
      <c r="N167" t="s">
        <v>175</v>
      </c>
      <c r="O167">
        <v>0</v>
      </c>
      <c r="P167">
        <v>0</v>
      </c>
      <c r="Q167">
        <v>0.85271853208012005</v>
      </c>
      <c r="R167">
        <v>0</v>
      </c>
      <c r="S167">
        <v>-4.1485374041724101E-6</v>
      </c>
      <c r="T167">
        <v>5.1605121314276699E-2</v>
      </c>
      <c r="U167">
        <v>0</v>
      </c>
      <c r="V167">
        <v>9.5673639791788501E-2</v>
      </c>
      <c r="W167">
        <v>6.8553512192207696E-6</v>
      </c>
      <c r="X167">
        <v>0</v>
      </c>
      <c r="Y167" t="s">
        <v>175</v>
      </c>
      <c r="Z167" t="s">
        <v>175</v>
      </c>
      <c r="AA167" t="s">
        <v>175</v>
      </c>
      <c r="AB167" t="s">
        <v>175</v>
      </c>
      <c r="AC167" t="s">
        <v>175</v>
      </c>
      <c r="AD167" t="s">
        <v>175</v>
      </c>
      <c r="AE167" t="s">
        <v>175</v>
      </c>
      <c r="AF167" t="s">
        <v>175</v>
      </c>
      <c r="AG167" s="878">
        <v>44179</v>
      </c>
      <c r="AH167" s="873">
        <f t="shared" si="2"/>
        <v>44166</v>
      </c>
    </row>
    <row r="168" spans="1:34">
      <c r="A168">
        <v>7</v>
      </c>
      <c r="B168">
        <v>371</v>
      </c>
      <c r="C168" t="s">
        <v>196</v>
      </c>
      <c r="D168">
        <v>113</v>
      </c>
      <c r="E168">
        <v>0</v>
      </c>
      <c r="F168">
        <v>0</v>
      </c>
      <c r="G168" t="s">
        <v>175</v>
      </c>
      <c r="H168" t="s">
        <v>175</v>
      </c>
      <c r="I168" s="878">
        <v>44193</v>
      </c>
      <c r="J168">
        <v>7</v>
      </c>
      <c r="K168" t="s">
        <v>196</v>
      </c>
      <c r="L168">
        <v>371</v>
      </c>
      <c r="M168">
        <v>1</v>
      </c>
      <c r="N168" t="s">
        <v>175</v>
      </c>
      <c r="O168">
        <v>0</v>
      </c>
      <c r="P168">
        <v>0</v>
      </c>
      <c r="Q168">
        <v>0.786600757178744</v>
      </c>
      <c r="R168">
        <v>0</v>
      </c>
      <c r="S168">
        <v>-3.4554703100416502E-6</v>
      </c>
      <c r="T168">
        <v>4.4737118142342602E-2</v>
      </c>
      <c r="U168">
        <v>0</v>
      </c>
      <c r="V168">
        <v>0.16865987006818201</v>
      </c>
      <c r="W168">
        <v>5.7100810418399203E-6</v>
      </c>
      <c r="X168">
        <v>0</v>
      </c>
      <c r="Y168" t="s">
        <v>175</v>
      </c>
      <c r="Z168" t="s">
        <v>175</v>
      </c>
      <c r="AA168" t="s">
        <v>175</v>
      </c>
      <c r="AB168" t="s">
        <v>175</v>
      </c>
      <c r="AC168" t="s">
        <v>175</v>
      </c>
      <c r="AD168" t="s">
        <v>175</v>
      </c>
      <c r="AE168" t="s">
        <v>175</v>
      </c>
      <c r="AF168" t="s">
        <v>175</v>
      </c>
      <c r="AG168" s="878">
        <v>44193</v>
      </c>
      <c r="AH168" s="873">
        <f t="shared" si="2"/>
        <v>44166</v>
      </c>
    </row>
    <row r="169" spans="1:34">
      <c r="A169">
        <v>8</v>
      </c>
      <c r="B169">
        <v>371</v>
      </c>
      <c r="C169" t="s">
        <v>196</v>
      </c>
      <c r="D169">
        <v>113</v>
      </c>
      <c r="E169">
        <v>118620312.11763801</v>
      </c>
      <c r="F169">
        <v>0</v>
      </c>
      <c r="G169" t="s">
        <v>175</v>
      </c>
      <c r="H169" t="s">
        <v>175</v>
      </c>
      <c r="I169" s="878">
        <v>44208</v>
      </c>
      <c r="J169">
        <v>8</v>
      </c>
      <c r="K169" t="s">
        <v>196</v>
      </c>
      <c r="L169">
        <v>371</v>
      </c>
      <c r="M169">
        <v>1</v>
      </c>
      <c r="N169" t="s">
        <v>175</v>
      </c>
      <c r="O169">
        <v>0</v>
      </c>
      <c r="P169">
        <v>0</v>
      </c>
      <c r="Q169">
        <v>0.786600757178744</v>
      </c>
      <c r="R169">
        <v>0</v>
      </c>
      <c r="S169">
        <v>-3.4554703100416502E-6</v>
      </c>
      <c r="T169">
        <v>4.4737118142342602E-2</v>
      </c>
      <c r="U169">
        <v>0</v>
      </c>
      <c r="V169">
        <v>0.16865987006818201</v>
      </c>
      <c r="W169">
        <v>5.7100810418399203E-6</v>
      </c>
      <c r="X169">
        <v>0</v>
      </c>
      <c r="Y169" t="s">
        <v>175</v>
      </c>
      <c r="Z169" t="s">
        <v>175</v>
      </c>
      <c r="AA169" t="s">
        <v>175</v>
      </c>
      <c r="AB169" t="s">
        <v>175</v>
      </c>
      <c r="AC169" t="s">
        <v>175</v>
      </c>
      <c r="AD169" t="s">
        <v>175</v>
      </c>
      <c r="AE169" t="s">
        <v>175</v>
      </c>
      <c r="AF169" t="s">
        <v>175</v>
      </c>
      <c r="AG169" s="878">
        <v>44208</v>
      </c>
      <c r="AH169" s="873">
        <f t="shared" si="2"/>
        <v>44197</v>
      </c>
    </row>
    <row r="170" spans="1:34">
      <c r="A170">
        <v>1</v>
      </c>
      <c r="B170">
        <v>380</v>
      </c>
      <c r="C170" t="s">
        <v>197</v>
      </c>
      <c r="D170">
        <v>154</v>
      </c>
      <c r="E170">
        <v>219423404</v>
      </c>
      <c r="F170">
        <v>0</v>
      </c>
      <c r="G170">
        <v>0</v>
      </c>
      <c r="H170">
        <v>0</v>
      </c>
      <c r="I170" s="878">
        <v>44043</v>
      </c>
      <c r="J170">
        <v>1</v>
      </c>
      <c r="K170" t="s">
        <v>197</v>
      </c>
      <c r="L170">
        <v>380</v>
      </c>
      <c r="M170">
        <v>6.4028532215756398E-2</v>
      </c>
      <c r="N170">
        <v>0.78587679457855297</v>
      </c>
      <c r="O170">
        <v>0.112934316486071</v>
      </c>
      <c r="P170">
        <v>3.7160356719618898E-2</v>
      </c>
      <c r="Q170">
        <v>7.9032128997991707E-3</v>
      </c>
      <c r="R170">
        <v>2.6886279287921401E-2</v>
      </c>
      <c r="S170">
        <v>-2.6477811552298E-3</v>
      </c>
      <c r="T170">
        <v>-5.8258455586893297E-3</v>
      </c>
      <c r="U170">
        <v>8.1665451724733502E-4</v>
      </c>
      <c r="V170">
        <v>1.7800744312982601E-3</v>
      </c>
      <c r="W170">
        <v>3.5115937793409401E-2</v>
      </c>
      <c r="X170">
        <v>0</v>
      </c>
      <c r="Y170">
        <v>0.302930352497434</v>
      </c>
      <c r="Z170">
        <v>0.43628787996299401</v>
      </c>
      <c r="AA170">
        <v>-1.0966481606625901E-2</v>
      </c>
      <c r="AB170">
        <v>0.10999074177807</v>
      </c>
      <c r="AC170">
        <v>1.19137078623298E-2</v>
      </c>
      <c r="AD170">
        <v>-0.26881628604611402</v>
      </c>
      <c r="AE170">
        <v>0.204536880130466</v>
      </c>
      <c r="AF170">
        <v>0</v>
      </c>
      <c r="AG170" s="878">
        <v>44043</v>
      </c>
      <c r="AH170" s="873">
        <f t="shared" si="2"/>
        <v>44013</v>
      </c>
    </row>
    <row r="171" spans="1:34">
      <c r="A171">
        <v>2</v>
      </c>
      <c r="B171">
        <v>380</v>
      </c>
      <c r="C171" t="s">
        <v>197</v>
      </c>
      <c r="D171">
        <v>154</v>
      </c>
      <c r="E171">
        <v>0</v>
      </c>
      <c r="F171">
        <v>0</v>
      </c>
      <c r="G171" t="s">
        <v>175</v>
      </c>
      <c r="H171" t="s">
        <v>175</v>
      </c>
      <c r="I171" s="878">
        <v>44055</v>
      </c>
      <c r="J171">
        <v>2</v>
      </c>
      <c r="K171" t="s">
        <v>197</v>
      </c>
      <c r="L171">
        <v>380</v>
      </c>
      <c r="M171">
        <v>0.72237189380120703</v>
      </c>
      <c r="N171" t="s">
        <v>175</v>
      </c>
      <c r="O171">
        <v>3.5969033168694299E-2</v>
      </c>
      <c r="P171">
        <v>0.24165907303009901</v>
      </c>
      <c r="Q171">
        <v>7.4574294779582107E-2</v>
      </c>
      <c r="R171">
        <v>0.30901380891608798</v>
      </c>
      <c r="S171">
        <v>-3.18531358309868E-3</v>
      </c>
      <c r="T171">
        <v>5.5045201115488399E-2</v>
      </c>
      <c r="U171">
        <v>1.7535231897489401E-2</v>
      </c>
      <c r="V171">
        <v>5.0965184173622301E-2</v>
      </c>
      <c r="W171">
        <v>0.218423486502035</v>
      </c>
      <c r="X171">
        <v>0</v>
      </c>
      <c r="Y171" t="s">
        <v>175</v>
      </c>
      <c r="Z171" t="s">
        <v>175</v>
      </c>
      <c r="AA171" t="s">
        <v>175</v>
      </c>
      <c r="AB171" t="s">
        <v>175</v>
      </c>
      <c r="AC171" t="s">
        <v>175</v>
      </c>
      <c r="AD171" t="s">
        <v>175</v>
      </c>
      <c r="AE171" t="s">
        <v>175</v>
      </c>
      <c r="AF171" t="s">
        <v>175</v>
      </c>
      <c r="AG171" s="878">
        <v>44055</v>
      </c>
      <c r="AH171" s="873">
        <f t="shared" si="2"/>
        <v>44044</v>
      </c>
    </row>
    <row r="172" spans="1:34">
      <c r="A172">
        <v>3</v>
      </c>
      <c r="B172">
        <v>380</v>
      </c>
      <c r="C172" t="s">
        <v>197</v>
      </c>
      <c r="D172">
        <v>154</v>
      </c>
      <c r="E172">
        <v>0</v>
      </c>
      <c r="F172">
        <v>0</v>
      </c>
      <c r="G172" t="s">
        <v>175</v>
      </c>
      <c r="H172" t="s">
        <v>175</v>
      </c>
      <c r="I172" s="878">
        <v>44088</v>
      </c>
      <c r="J172">
        <v>3</v>
      </c>
      <c r="K172" t="s">
        <v>197</v>
      </c>
      <c r="L172">
        <v>380</v>
      </c>
      <c r="M172">
        <v>0.26735761731601199</v>
      </c>
      <c r="N172" t="s">
        <v>175</v>
      </c>
      <c r="O172">
        <v>6.5208147562153304E-2</v>
      </c>
      <c r="P172">
        <v>0.66743423512183497</v>
      </c>
      <c r="Q172">
        <v>-0.79799775008682805</v>
      </c>
      <c r="R172">
        <v>0.68462768132807295</v>
      </c>
      <c r="S172">
        <v>2.54526747788901E-3</v>
      </c>
      <c r="T172">
        <v>0.27353730409181098</v>
      </c>
      <c r="U172">
        <v>1.38631879866666E-2</v>
      </c>
      <c r="V172">
        <v>5.1349229080824302E-2</v>
      </c>
      <c r="W172">
        <v>3.9432697437575499E-2</v>
      </c>
      <c r="X172">
        <v>0</v>
      </c>
      <c r="Y172" t="s">
        <v>175</v>
      </c>
      <c r="Z172" t="s">
        <v>175</v>
      </c>
      <c r="AA172" t="s">
        <v>175</v>
      </c>
      <c r="AB172" t="s">
        <v>175</v>
      </c>
      <c r="AC172" t="s">
        <v>175</v>
      </c>
      <c r="AD172" t="s">
        <v>175</v>
      </c>
      <c r="AE172" t="s">
        <v>175</v>
      </c>
      <c r="AF172" t="s">
        <v>175</v>
      </c>
      <c r="AG172" s="878">
        <v>44088</v>
      </c>
      <c r="AH172" s="873">
        <f t="shared" si="2"/>
        <v>44075</v>
      </c>
    </row>
    <row r="173" spans="1:34">
      <c r="A173">
        <v>4</v>
      </c>
      <c r="B173">
        <v>380</v>
      </c>
      <c r="C173" t="s">
        <v>197</v>
      </c>
      <c r="D173">
        <v>154</v>
      </c>
      <c r="E173">
        <v>0</v>
      </c>
      <c r="F173">
        <v>0</v>
      </c>
      <c r="G173" t="s">
        <v>175</v>
      </c>
      <c r="H173" t="s">
        <v>175</v>
      </c>
      <c r="I173" s="878">
        <v>44117</v>
      </c>
      <c r="J173">
        <v>4</v>
      </c>
      <c r="K173" t="s">
        <v>197</v>
      </c>
      <c r="L173">
        <v>380</v>
      </c>
      <c r="M173">
        <v>0.122568771459133</v>
      </c>
      <c r="N173">
        <v>0</v>
      </c>
      <c r="O173">
        <v>0.82607417541653505</v>
      </c>
      <c r="P173">
        <v>5.1357053124332697E-2</v>
      </c>
      <c r="Q173">
        <v>-1.29698485637765</v>
      </c>
      <c r="R173">
        <v>1.29428265595612</v>
      </c>
      <c r="S173">
        <v>-2.3663303183534498E-5</v>
      </c>
      <c r="T173">
        <v>0.26289561106363502</v>
      </c>
      <c r="U173">
        <v>2.8873691671383001E-2</v>
      </c>
      <c r="V173">
        <v>-0.16829574049385401</v>
      </c>
      <c r="W173">
        <v>1.82107294269111E-3</v>
      </c>
      <c r="X173">
        <v>0</v>
      </c>
      <c r="Y173" t="s">
        <v>175</v>
      </c>
      <c r="Z173" t="s">
        <v>175</v>
      </c>
      <c r="AA173" t="s">
        <v>175</v>
      </c>
      <c r="AB173" t="s">
        <v>175</v>
      </c>
      <c r="AC173" t="s">
        <v>175</v>
      </c>
      <c r="AD173" t="s">
        <v>175</v>
      </c>
      <c r="AE173" t="s">
        <v>175</v>
      </c>
      <c r="AF173" t="s">
        <v>175</v>
      </c>
      <c r="AG173" s="878">
        <v>44117</v>
      </c>
      <c r="AH173" s="873">
        <f t="shared" si="2"/>
        <v>44105</v>
      </c>
    </row>
    <row r="174" spans="1:34">
      <c r="A174">
        <v>5</v>
      </c>
      <c r="B174">
        <v>380</v>
      </c>
      <c r="C174" t="s">
        <v>197</v>
      </c>
      <c r="D174">
        <v>154</v>
      </c>
      <c r="E174">
        <v>0</v>
      </c>
      <c r="F174">
        <v>0</v>
      </c>
      <c r="G174" t="s">
        <v>175</v>
      </c>
      <c r="H174" t="s">
        <v>175</v>
      </c>
      <c r="I174" s="878">
        <v>44147</v>
      </c>
      <c r="J174">
        <v>5</v>
      </c>
      <c r="K174" t="s">
        <v>197</v>
      </c>
      <c r="L174">
        <v>380</v>
      </c>
      <c r="M174">
        <v>1</v>
      </c>
      <c r="N174">
        <v>0</v>
      </c>
      <c r="O174">
        <v>0</v>
      </c>
      <c r="P174">
        <v>0</v>
      </c>
      <c r="Q174">
        <v>5.47755635519395E-2</v>
      </c>
      <c r="R174">
        <v>0.57975655837002205</v>
      </c>
      <c r="S174">
        <v>-1.0012200495211801E-5</v>
      </c>
      <c r="T174">
        <v>0.15703276898850099</v>
      </c>
      <c r="U174">
        <v>1.18491537381217E-2</v>
      </c>
      <c r="V174">
        <v>0.19582563631673999</v>
      </c>
      <c r="W174">
        <v>7.7033123517148696E-4</v>
      </c>
      <c r="X174">
        <v>0</v>
      </c>
      <c r="Y174" t="s">
        <v>175</v>
      </c>
      <c r="Z174" t="s">
        <v>175</v>
      </c>
      <c r="AA174" t="s">
        <v>175</v>
      </c>
      <c r="AB174" t="s">
        <v>175</v>
      </c>
      <c r="AC174" t="s">
        <v>175</v>
      </c>
      <c r="AD174" t="s">
        <v>175</v>
      </c>
      <c r="AE174" t="s">
        <v>175</v>
      </c>
      <c r="AF174" t="s">
        <v>175</v>
      </c>
      <c r="AG174" s="878">
        <v>44147</v>
      </c>
      <c r="AH174" s="873">
        <f t="shared" si="2"/>
        <v>44136</v>
      </c>
    </row>
    <row r="175" spans="1:34">
      <c r="A175">
        <v>6</v>
      </c>
      <c r="B175">
        <v>380</v>
      </c>
      <c r="C175" t="s">
        <v>197</v>
      </c>
      <c r="D175">
        <v>154</v>
      </c>
      <c r="E175">
        <v>0</v>
      </c>
      <c r="F175">
        <v>0</v>
      </c>
      <c r="G175" t="s">
        <v>175</v>
      </c>
      <c r="H175" t="s">
        <v>175</v>
      </c>
      <c r="I175" s="878">
        <v>44179</v>
      </c>
      <c r="J175">
        <v>6</v>
      </c>
      <c r="K175" t="s">
        <v>197</v>
      </c>
      <c r="L175">
        <v>380</v>
      </c>
      <c r="M175">
        <v>1</v>
      </c>
      <c r="N175">
        <v>0</v>
      </c>
      <c r="O175">
        <v>0</v>
      </c>
      <c r="P175">
        <v>0</v>
      </c>
      <c r="Q175">
        <v>0.75763862644364299</v>
      </c>
      <c r="R175">
        <v>0.12796206041050301</v>
      </c>
      <c r="S175">
        <v>7.3398732213094699E-4</v>
      </c>
      <c r="T175">
        <v>3.5145835788048502E-2</v>
      </c>
      <c r="U175">
        <v>4.0937755211348003E-3</v>
      </c>
      <c r="V175">
        <v>7.4171699835947902E-2</v>
      </c>
      <c r="W175">
        <v>2.54014678591764E-4</v>
      </c>
      <c r="X175">
        <v>0</v>
      </c>
      <c r="Y175" t="s">
        <v>175</v>
      </c>
      <c r="Z175" t="s">
        <v>175</v>
      </c>
      <c r="AA175" t="s">
        <v>175</v>
      </c>
      <c r="AB175" t="s">
        <v>175</v>
      </c>
      <c r="AC175" t="s">
        <v>175</v>
      </c>
      <c r="AD175" t="s">
        <v>175</v>
      </c>
      <c r="AE175" t="s">
        <v>175</v>
      </c>
      <c r="AF175" t="s">
        <v>175</v>
      </c>
      <c r="AG175" s="878">
        <v>44179</v>
      </c>
      <c r="AH175" s="873">
        <f t="shared" si="2"/>
        <v>44166</v>
      </c>
    </row>
    <row r="176" spans="1:34">
      <c r="A176">
        <v>7</v>
      </c>
      <c r="B176">
        <v>380</v>
      </c>
      <c r="C176" t="s">
        <v>197</v>
      </c>
      <c r="D176">
        <v>154</v>
      </c>
      <c r="E176">
        <v>0</v>
      </c>
      <c r="F176">
        <v>0</v>
      </c>
      <c r="G176" t="s">
        <v>175</v>
      </c>
      <c r="H176" t="s">
        <v>175</v>
      </c>
      <c r="I176" s="878">
        <v>44193</v>
      </c>
      <c r="J176">
        <v>7</v>
      </c>
      <c r="K176" t="s">
        <v>197</v>
      </c>
      <c r="L176">
        <v>380</v>
      </c>
      <c r="M176" t="s">
        <v>175</v>
      </c>
      <c r="N176">
        <v>0</v>
      </c>
      <c r="O176" t="s">
        <v>175</v>
      </c>
      <c r="P176" t="s">
        <v>175</v>
      </c>
      <c r="Q176" t="s">
        <v>175</v>
      </c>
      <c r="R176" t="s">
        <v>175</v>
      </c>
      <c r="S176" t="s">
        <v>175</v>
      </c>
      <c r="T176" t="s">
        <v>175</v>
      </c>
      <c r="U176" t="s">
        <v>175</v>
      </c>
      <c r="V176" t="s">
        <v>175</v>
      </c>
      <c r="W176" t="s">
        <v>175</v>
      </c>
      <c r="X176" t="s">
        <v>175</v>
      </c>
      <c r="Y176" t="s">
        <v>175</v>
      </c>
      <c r="Z176" t="s">
        <v>175</v>
      </c>
      <c r="AA176" t="s">
        <v>175</v>
      </c>
      <c r="AB176" t="s">
        <v>175</v>
      </c>
      <c r="AC176" t="s">
        <v>175</v>
      </c>
      <c r="AD176" t="s">
        <v>175</v>
      </c>
      <c r="AE176" t="s">
        <v>175</v>
      </c>
      <c r="AF176" t="s">
        <v>175</v>
      </c>
      <c r="AG176" s="878">
        <v>44193</v>
      </c>
      <c r="AH176" s="873">
        <f t="shared" si="2"/>
        <v>44166</v>
      </c>
    </row>
    <row r="177" spans="1:34">
      <c r="A177">
        <v>8</v>
      </c>
      <c r="B177">
        <v>380</v>
      </c>
      <c r="C177" t="s">
        <v>197</v>
      </c>
      <c r="D177">
        <v>154</v>
      </c>
      <c r="E177">
        <v>0</v>
      </c>
      <c r="F177">
        <v>0</v>
      </c>
      <c r="G177" t="s">
        <v>175</v>
      </c>
      <c r="H177" t="s">
        <v>175</v>
      </c>
      <c r="I177" s="878">
        <v>44208</v>
      </c>
      <c r="J177">
        <v>8</v>
      </c>
      <c r="K177" t="s">
        <v>197</v>
      </c>
      <c r="L177">
        <v>380</v>
      </c>
      <c r="M177" t="s">
        <v>175</v>
      </c>
      <c r="N177">
        <v>0</v>
      </c>
      <c r="O177" t="s">
        <v>175</v>
      </c>
      <c r="P177" t="s">
        <v>175</v>
      </c>
      <c r="Q177" t="s">
        <v>175</v>
      </c>
      <c r="R177" t="s">
        <v>175</v>
      </c>
      <c r="S177" t="s">
        <v>175</v>
      </c>
      <c r="T177" t="s">
        <v>175</v>
      </c>
      <c r="U177" t="s">
        <v>175</v>
      </c>
      <c r="V177" t="s">
        <v>175</v>
      </c>
      <c r="W177" t="s">
        <v>175</v>
      </c>
      <c r="X177" t="s">
        <v>175</v>
      </c>
      <c r="Y177" t="s">
        <v>175</v>
      </c>
      <c r="Z177" t="s">
        <v>175</v>
      </c>
      <c r="AA177" t="s">
        <v>175</v>
      </c>
      <c r="AB177" t="s">
        <v>175</v>
      </c>
      <c r="AC177" t="s">
        <v>175</v>
      </c>
      <c r="AD177" t="s">
        <v>175</v>
      </c>
      <c r="AE177" t="s">
        <v>175</v>
      </c>
      <c r="AF177" t="s">
        <v>175</v>
      </c>
      <c r="AG177" s="878">
        <v>44208</v>
      </c>
      <c r="AH177" s="873">
        <f t="shared" si="2"/>
        <v>44197</v>
      </c>
    </row>
    <row r="178" spans="1:34">
      <c r="A178">
        <v>1</v>
      </c>
      <c r="B178">
        <v>381</v>
      </c>
      <c r="C178" t="s">
        <v>198</v>
      </c>
      <c r="D178">
        <v>149</v>
      </c>
      <c r="E178">
        <v>13921562.9</v>
      </c>
      <c r="F178">
        <v>0</v>
      </c>
      <c r="G178">
        <v>0</v>
      </c>
      <c r="H178">
        <v>0</v>
      </c>
      <c r="I178" s="878">
        <v>44043</v>
      </c>
      <c r="J178">
        <v>1</v>
      </c>
      <c r="K178" t="s">
        <v>198</v>
      </c>
      <c r="L178">
        <v>381</v>
      </c>
      <c r="M178">
        <v>0.20928893386694</v>
      </c>
      <c r="N178">
        <v>0.71137164818770704</v>
      </c>
      <c r="O178">
        <v>2.8907704085185001E-2</v>
      </c>
      <c r="P178">
        <v>5.0431713860168002E-2</v>
      </c>
      <c r="Q178">
        <v>0.18245731635614501</v>
      </c>
      <c r="R178">
        <v>0</v>
      </c>
      <c r="S178">
        <v>-1.70174106244499E-3</v>
      </c>
      <c r="T178">
        <v>-1.5740083532876301E-3</v>
      </c>
      <c r="U178">
        <v>1.11933224964775E-3</v>
      </c>
      <c r="V178">
        <v>-9.1820457369183005E-3</v>
      </c>
      <c r="W178">
        <v>3.8170080413797602E-2</v>
      </c>
      <c r="X178">
        <v>0</v>
      </c>
      <c r="Y178">
        <v>0.84640064224645495</v>
      </c>
      <c r="Z178">
        <v>0</v>
      </c>
      <c r="AA178">
        <v>-6.8350599419604498E-3</v>
      </c>
      <c r="AB178">
        <v>6.2036423364740897E-2</v>
      </c>
      <c r="AC178">
        <v>9.9472674954725702E-3</v>
      </c>
      <c r="AD178">
        <v>-0.40389586508404801</v>
      </c>
      <c r="AE178">
        <v>0.20371824010704601</v>
      </c>
      <c r="AF178">
        <v>0</v>
      </c>
      <c r="AG178" s="878">
        <v>44043</v>
      </c>
      <c r="AH178" s="873">
        <f t="shared" si="2"/>
        <v>44013</v>
      </c>
    </row>
    <row r="179" spans="1:34">
      <c r="A179">
        <v>2</v>
      </c>
      <c r="B179">
        <v>381</v>
      </c>
      <c r="C179" t="s">
        <v>198</v>
      </c>
      <c r="D179">
        <v>149</v>
      </c>
      <c r="E179">
        <v>913899.27040915401</v>
      </c>
      <c r="F179">
        <v>0</v>
      </c>
      <c r="G179" t="s">
        <v>175</v>
      </c>
      <c r="H179" t="s">
        <v>175</v>
      </c>
      <c r="I179" s="878">
        <v>44055</v>
      </c>
      <c r="J179">
        <v>2</v>
      </c>
      <c r="K179" t="s">
        <v>198</v>
      </c>
      <c r="L179">
        <v>381</v>
      </c>
      <c r="M179">
        <v>0.36909744599126698</v>
      </c>
      <c r="N179" t="s">
        <v>175</v>
      </c>
      <c r="O179">
        <v>0.12085025334992</v>
      </c>
      <c r="P179">
        <v>0.51005230065881302</v>
      </c>
      <c r="Q179">
        <v>0.12942182009908801</v>
      </c>
      <c r="R179">
        <v>0</v>
      </c>
      <c r="S179">
        <v>-1.1435858167901601E-2</v>
      </c>
      <c r="T179">
        <v>-1.43903344794854E-2</v>
      </c>
      <c r="U179">
        <v>7.7373856179687103E-3</v>
      </c>
      <c r="V179">
        <v>6.1787639625365898E-3</v>
      </c>
      <c r="W179">
        <v>0.25158566895906098</v>
      </c>
      <c r="X179">
        <v>0</v>
      </c>
      <c r="Y179" t="s">
        <v>175</v>
      </c>
      <c r="Z179" t="s">
        <v>175</v>
      </c>
      <c r="AA179" t="s">
        <v>175</v>
      </c>
      <c r="AB179" t="s">
        <v>175</v>
      </c>
      <c r="AC179" t="s">
        <v>175</v>
      </c>
      <c r="AD179" t="s">
        <v>175</v>
      </c>
      <c r="AE179" t="s">
        <v>175</v>
      </c>
      <c r="AF179" t="s">
        <v>175</v>
      </c>
      <c r="AG179" s="878">
        <v>44055</v>
      </c>
      <c r="AH179" s="873">
        <f t="shared" si="2"/>
        <v>44044</v>
      </c>
    </row>
    <row r="180" spans="1:34">
      <c r="A180">
        <v>3</v>
      </c>
      <c r="B180">
        <v>381</v>
      </c>
      <c r="C180" t="s">
        <v>198</v>
      </c>
      <c r="D180">
        <v>149</v>
      </c>
      <c r="E180">
        <v>1131427.69149928</v>
      </c>
      <c r="F180">
        <v>0</v>
      </c>
      <c r="G180" t="s">
        <v>175</v>
      </c>
      <c r="H180" t="s">
        <v>175</v>
      </c>
      <c r="I180" s="878">
        <v>44088</v>
      </c>
      <c r="J180">
        <v>3</v>
      </c>
      <c r="K180" t="s">
        <v>198</v>
      </c>
      <c r="L180">
        <v>381</v>
      </c>
      <c r="M180">
        <v>0.73888799058655497</v>
      </c>
      <c r="N180" t="s">
        <v>175</v>
      </c>
      <c r="O180">
        <v>0.26111200941344498</v>
      </c>
      <c r="P180">
        <v>0</v>
      </c>
      <c r="Q180">
        <v>0.52372931728503902</v>
      </c>
      <c r="R180">
        <v>0</v>
      </c>
      <c r="S180">
        <v>-2.3073506862956099E-3</v>
      </c>
      <c r="T180">
        <v>-1.7908876542654401E-2</v>
      </c>
      <c r="U180">
        <v>8.3344036976910098E-3</v>
      </c>
      <c r="V180">
        <v>3.2698681703237503E-2</v>
      </c>
      <c r="W180">
        <v>0.19434181512953699</v>
      </c>
      <c r="X180">
        <v>0</v>
      </c>
      <c r="Y180" t="s">
        <v>175</v>
      </c>
      <c r="Z180" t="s">
        <v>175</v>
      </c>
      <c r="AA180" t="s">
        <v>175</v>
      </c>
      <c r="AB180" t="s">
        <v>175</v>
      </c>
      <c r="AC180" t="s">
        <v>175</v>
      </c>
      <c r="AD180" t="s">
        <v>175</v>
      </c>
      <c r="AE180" t="s">
        <v>175</v>
      </c>
      <c r="AF180" t="s">
        <v>175</v>
      </c>
      <c r="AG180" s="878">
        <v>44088</v>
      </c>
      <c r="AH180" s="873">
        <f t="shared" si="2"/>
        <v>44075</v>
      </c>
    </row>
    <row r="181" spans="1:34">
      <c r="A181">
        <v>4</v>
      </c>
      <c r="B181">
        <v>381</v>
      </c>
      <c r="C181" t="s">
        <v>198</v>
      </c>
      <c r="D181">
        <v>149</v>
      </c>
      <c r="E181">
        <v>1438834.12549653</v>
      </c>
      <c r="F181">
        <v>0</v>
      </c>
      <c r="G181" t="s">
        <v>175</v>
      </c>
      <c r="H181" t="s">
        <v>175</v>
      </c>
      <c r="I181" s="878">
        <v>44117</v>
      </c>
      <c r="J181">
        <v>4</v>
      </c>
      <c r="K181" t="s">
        <v>198</v>
      </c>
      <c r="L181">
        <v>381</v>
      </c>
      <c r="M181">
        <v>0.95018665013852199</v>
      </c>
      <c r="N181">
        <v>0</v>
      </c>
      <c r="O181">
        <v>4.9813349861478201E-2</v>
      </c>
      <c r="P181">
        <v>0</v>
      </c>
      <c r="Q181">
        <v>0.125861314768552</v>
      </c>
      <c r="R181">
        <v>0.48523725270544199</v>
      </c>
      <c r="S181">
        <v>6.2836332313899403E-4</v>
      </c>
      <c r="T181">
        <v>0.15966421719856899</v>
      </c>
      <c r="U181">
        <v>1.9847754362905801E-2</v>
      </c>
      <c r="V181">
        <v>-1.5294516367661199E-2</v>
      </c>
      <c r="W181">
        <v>0.17424226414757499</v>
      </c>
      <c r="X181">
        <v>0</v>
      </c>
      <c r="Y181" t="s">
        <v>175</v>
      </c>
      <c r="Z181" t="s">
        <v>175</v>
      </c>
      <c r="AA181" t="s">
        <v>175</v>
      </c>
      <c r="AB181" t="s">
        <v>175</v>
      </c>
      <c r="AC181" t="s">
        <v>175</v>
      </c>
      <c r="AD181" t="s">
        <v>175</v>
      </c>
      <c r="AE181" t="s">
        <v>175</v>
      </c>
      <c r="AF181" t="s">
        <v>175</v>
      </c>
      <c r="AG181" s="878">
        <v>44117</v>
      </c>
      <c r="AH181" s="873">
        <f t="shared" si="2"/>
        <v>44105</v>
      </c>
    </row>
    <row r="182" spans="1:34">
      <c r="A182">
        <v>5</v>
      </c>
      <c r="B182">
        <v>381</v>
      </c>
      <c r="C182" t="s">
        <v>198</v>
      </c>
      <c r="D182">
        <v>149</v>
      </c>
      <c r="E182">
        <v>1384457.9625531</v>
      </c>
      <c r="F182">
        <v>0</v>
      </c>
      <c r="G182" t="s">
        <v>175</v>
      </c>
      <c r="H182" t="s">
        <v>175</v>
      </c>
      <c r="I182" s="878">
        <v>44147</v>
      </c>
      <c r="J182">
        <v>5</v>
      </c>
      <c r="K182" t="s">
        <v>198</v>
      </c>
      <c r="L182">
        <v>381</v>
      </c>
      <c r="M182">
        <v>0.81034228494653304</v>
      </c>
      <c r="N182">
        <v>0</v>
      </c>
      <c r="O182">
        <v>0.18965771505346701</v>
      </c>
      <c r="P182">
        <v>0</v>
      </c>
      <c r="Q182">
        <v>-0.32608082287611501</v>
      </c>
      <c r="R182">
        <v>0.771074981847781</v>
      </c>
      <c r="S182">
        <v>2.2693567403517601E-3</v>
      </c>
      <c r="T182">
        <v>0.30114644058449502</v>
      </c>
      <c r="U182">
        <v>3.77097301881354E-2</v>
      </c>
      <c r="V182">
        <v>3.7027760159700197E-2</v>
      </c>
      <c r="W182">
        <v>-1.28051616978149E-2</v>
      </c>
      <c r="X182">
        <v>0</v>
      </c>
      <c r="Y182" t="s">
        <v>175</v>
      </c>
      <c r="Z182" t="s">
        <v>175</v>
      </c>
      <c r="AA182" t="s">
        <v>175</v>
      </c>
      <c r="AB182" t="s">
        <v>175</v>
      </c>
      <c r="AC182" t="s">
        <v>175</v>
      </c>
      <c r="AD182" t="s">
        <v>175</v>
      </c>
      <c r="AE182" t="s">
        <v>175</v>
      </c>
      <c r="AF182" t="s">
        <v>175</v>
      </c>
      <c r="AG182" s="878">
        <v>44147</v>
      </c>
      <c r="AH182" s="873">
        <f t="shared" si="2"/>
        <v>44136</v>
      </c>
    </row>
    <row r="183" spans="1:34">
      <c r="A183">
        <v>6</v>
      </c>
      <c r="B183">
        <v>381</v>
      </c>
      <c r="C183" t="s">
        <v>198</v>
      </c>
      <c r="D183">
        <v>149</v>
      </c>
      <c r="E183">
        <v>1510269.8873931</v>
      </c>
      <c r="F183">
        <v>0</v>
      </c>
      <c r="G183" t="s">
        <v>175</v>
      </c>
      <c r="H183" t="s">
        <v>175</v>
      </c>
      <c r="I183" s="878">
        <v>44179</v>
      </c>
      <c r="J183">
        <v>6</v>
      </c>
      <c r="K183" t="s">
        <v>198</v>
      </c>
      <c r="L183">
        <v>381</v>
      </c>
      <c r="M183">
        <v>0.81204939180577396</v>
      </c>
      <c r="N183">
        <v>0</v>
      </c>
      <c r="O183">
        <v>0.18795060819422599</v>
      </c>
      <c r="P183">
        <v>0</v>
      </c>
      <c r="Q183">
        <v>0.374014926467649</v>
      </c>
      <c r="R183">
        <v>0.18364457617539101</v>
      </c>
      <c r="S183">
        <v>-4.01889866945215E-4</v>
      </c>
      <c r="T183">
        <v>6.6170185117092495E-2</v>
      </c>
      <c r="U183">
        <v>9.2297308866412294E-3</v>
      </c>
      <c r="V183">
        <v>0.16772164469646</v>
      </c>
      <c r="W183">
        <v>1.16702183294848E-2</v>
      </c>
      <c r="X183">
        <v>0</v>
      </c>
      <c r="Y183" t="s">
        <v>175</v>
      </c>
      <c r="Z183" t="s">
        <v>175</v>
      </c>
      <c r="AA183" t="s">
        <v>175</v>
      </c>
      <c r="AB183" t="s">
        <v>175</v>
      </c>
      <c r="AC183" t="s">
        <v>175</v>
      </c>
      <c r="AD183" t="s">
        <v>175</v>
      </c>
      <c r="AE183" t="s">
        <v>175</v>
      </c>
      <c r="AF183" t="s">
        <v>175</v>
      </c>
      <c r="AG183" s="878">
        <v>44179</v>
      </c>
      <c r="AH183" s="873">
        <f t="shared" si="2"/>
        <v>44166</v>
      </c>
    </row>
    <row r="184" spans="1:34">
      <c r="A184">
        <v>7</v>
      </c>
      <c r="B184">
        <v>381</v>
      </c>
      <c r="C184" t="s">
        <v>198</v>
      </c>
      <c r="D184">
        <v>149</v>
      </c>
      <c r="E184">
        <v>1605647.1626488301</v>
      </c>
      <c r="F184">
        <v>0</v>
      </c>
      <c r="G184" t="s">
        <v>175</v>
      </c>
      <c r="H184" t="s">
        <v>175</v>
      </c>
      <c r="I184" s="878">
        <v>44193</v>
      </c>
      <c r="J184">
        <v>7</v>
      </c>
      <c r="K184" t="s">
        <v>198</v>
      </c>
      <c r="L184">
        <v>381</v>
      </c>
      <c r="M184">
        <v>0.99524439434858902</v>
      </c>
      <c r="N184">
        <v>0</v>
      </c>
      <c r="O184">
        <v>0</v>
      </c>
      <c r="P184">
        <v>4.7556056514108996E-3</v>
      </c>
      <c r="Q184">
        <v>0.728561845252513</v>
      </c>
      <c r="R184">
        <v>9.7704062898577096E-2</v>
      </c>
      <c r="S184">
        <v>7.5490790048358602E-3</v>
      </c>
      <c r="T184">
        <v>1.40454585744989E-2</v>
      </c>
      <c r="U184">
        <v>3.42138103308271E-3</v>
      </c>
      <c r="V184">
        <v>0.133513832188733</v>
      </c>
      <c r="W184">
        <v>1.0448735396348399E-2</v>
      </c>
      <c r="X184">
        <v>0</v>
      </c>
      <c r="Y184" t="s">
        <v>175</v>
      </c>
      <c r="Z184" t="s">
        <v>175</v>
      </c>
      <c r="AA184" t="s">
        <v>175</v>
      </c>
      <c r="AB184" t="s">
        <v>175</v>
      </c>
      <c r="AC184" t="s">
        <v>175</v>
      </c>
      <c r="AD184" t="s">
        <v>175</v>
      </c>
      <c r="AE184" t="s">
        <v>175</v>
      </c>
      <c r="AF184" t="s">
        <v>175</v>
      </c>
      <c r="AG184" s="878">
        <v>44193</v>
      </c>
      <c r="AH184" s="873">
        <f t="shared" si="2"/>
        <v>44166</v>
      </c>
    </row>
    <row r="185" spans="1:34">
      <c r="A185">
        <v>8</v>
      </c>
      <c r="B185">
        <v>381</v>
      </c>
      <c r="C185" t="s">
        <v>198</v>
      </c>
      <c r="D185">
        <v>149</v>
      </c>
      <c r="E185">
        <v>0</v>
      </c>
      <c r="F185">
        <v>0</v>
      </c>
      <c r="G185" t="s">
        <v>175</v>
      </c>
      <c r="H185" t="s">
        <v>175</v>
      </c>
      <c r="I185" s="878">
        <v>44208</v>
      </c>
      <c r="J185">
        <v>8</v>
      </c>
      <c r="K185" t="s">
        <v>198</v>
      </c>
      <c r="L185">
        <v>381</v>
      </c>
      <c r="M185">
        <v>0.99524439434858902</v>
      </c>
      <c r="N185">
        <v>0</v>
      </c>
      <c r="O185">
        <v>0</v>
      </c>
      <c r="P185">
        <v>4.7556056514108996E-3</v>
      </c>
      <c r="Q185">
        <v>0.728561845252513</v>
      </c>
      <c r="R185">
        <v>9.7704062898577096E-2</v>
      </c>
      <c r="S185">
        <v>7.5490790048358602E-3</v>
      </c>
      <c r="T185">
        <v>1.40454585744989E-2</v>
      </c>
      <c r="U185">
        <v>3.42138103308271E-3</v>
      </c>
      <c r="V185">
        <v>0.133513832188733</v>
      </c>
      <c r="W185">
        <v>1.0448735396348399E-2</v>
      </c>
      <c r="X185">
        <v>0</v>
      </c>
      <c r="Y185" t="s">
        <v>175</v>
      </c>
      <c r="Z185" t="s">
        <v>175</v>
      </c>
      <c r="AA185" t="s">
        <v>175</v>
      </c>
      <c r="AB185" t="s">
        <v>175</v>
      </c>
      <c r="AC185" t="s">
        <v>175</v>
      </c>
      <c r="AD185" t="s">
        <v>175</v>
      </c>
      <c r="AE185" t="s">
        <v>175</v>
      </c>
      <c r="AF185" t="s">
        <v>175</v>
      </c>
      <c r="AG185" s="878">
        <v>44208</v>
      </c>
      <c r="AH185" s="873">
        <f t="shared" si="2"/>
        <v>44197</v>
      </c>
    </row>
    <row r="186" spans="1:34">
      <c r="A186">
        <v>1</v>
      </c>
      <c r="B186">
        <v>382</v>
      </c>
      <c r="C186" t="s">
        <v>199</v>
      </c>
      <c r="D186">
        <v>160</v>
      </c>
      <c r="E186">
        <v>735757874.12087703</v>
      </c>
      <c r="F186">
        <v>149106927.69457901</v>
      </c>
      <c r="G186">
        <v>0</v>
      </c>
      <c r="H186">
        <v>0</v>
      </c>
      <c r="I186" s="878">
        <v>44043</v>
      </c>
      <c r="J186">
        <v>1</v>
      </c>
      <c r="K186" t="s">
        <v>199</v>
      </c>
      <c r="L186">
        <v>382</v>
      </c>
      <c r="M186">
        <v>5.74189421700134E-2</v>
      </c>
      <c r="N186">
        <v>0.63180757622938999</v>
      </c>
      <c r="O186">
        <v>0.21932245335890699</v>
      </c>
      <c r="P186">
        <v>9.1451028241690102E-2</v>
      </c>
      <c r="Q186">
        <v>6.4415123390655998E-2</v>
      </c>
      <c r="R186">
        <v>0</v>
      </c>
      <c r="S186">
        <v>0</v>
      </c>
      <c r="T186">
        <v>-1.27004451482821E-2</v>
      </c>
      <c r="U186">
        <v>1.33121451753779E-3</v>
      </c>
      <c r="V186">
        <v>4.4839839870467798E-3</v>
      </c>
      <c r="W186">
        <v>-1.1093457694516201E-4</v>
      </c>
      <c r="X186">
        <v>0</v>
      </c>
      <c r="Y186">
        <v>0.98671132299799102</v>
      </c>
      <c r="Z186">
        <v>0</v>
      </c>
      <c r="AA186">
        <v>-1.0362777508987101E-2</v>
      </c>
      <c r="AB186">
        <v>7.4327190959855793E-2</v>
      </c>
      <c r="AC186">
        <v>1.8294406982844801E-2</v>
      </c>
      <c r="AD186">
        <v>-0.25633913124661201</v>
      </c>
      <c r="AE186">
        <v>-0.18082343595570199</v>
      </c>
      <c r="AF186">
        <v>0</v>
      </c>
      <c r="AG186" s="878">
        <v>44043</v>
      </c>
      <c r="AH186" s="873">
        <f t="shared" si="2"/>
        <v>44013</v>
      </c>
    </row>
    <row r="187" spans="1:34">
      <c r="A187">
        <v>2</v>
      </c>
      <c r="B187">
        <v>382</v>
      </c>
      <c r="C187" t="s">
        <v>199</v>
      </c>
      <c r="D187">
        <v>160</v>
      </c>
      <c r="E187">
        <v>125540448.730114</v>
      </c>
      <c r="F187">
        <v>0</v>
      </c>
      <c r="G187" t="s">
        <v>175</v>
      </c>
      <c r="H187" t="s">
        <v>175</v>
      </c>
      <c r="I187" s="878">
        <v>44055</v>
      </c>
      <c r="J187">
        <v>2</v>
      </c>
      <c r="K187" t="s">
        <v>199</v>
      </c>
      <c r="L187">
        <v>382</v>
      </c>
      <c r="M187">
        <v>0.39560086502889402</v>
      </c>
      <c r="N187" t="s">
        <v>175</v>
      </c>
      <c r="O187">
        <v>0.20996818761181399</v>
      </c>
      <c r="P187">
        <v>0.39443094735929202</v>
      </c>
      <c r="Q187">
        <v>3.5661512730496003E-2</v>
      </c>
      <c r="R187">
        <v>0</v>
      </c>
      <c r="S187">
        <v>0</v>
      </c>
      <c r="T187">
        <v>0.33136075081229899</v>
      </c>
      <c r="U187">
        <v>1.6652019102241199E-2</v>
      </c>
      <c r="V187">
        <v>1.2465014061460399E-2</v>
      </c>
      <c r="W187">
        <v>-5.3843167760300595E-4</v>
      </c>
      <c r="X187">
        <v>0</v>
      </c>
      <c r="Y187" t="s">
        <v>175</v>
      </c>
      <c r="Z187" t="s">
        <v>175</v>
      </c>
      <c r="AA187" t="s">
        <v>175</v>
      </c>
      <c r="AB187" t="s">
        <v>175</v>
      </c>
      <c r="AC187" t="s">
        <v>175</v>
      </c>
      <c r="AD187" t="s">
        <v>175</v>
      </c>
      <c r="AE187" t="s">
        <v>175</v>
      </c>
      <c r="AF187" t="s">
        <v>175</v>
      </c>
      <c r="AG187" s="878">
        <v>44055</v>
      </c>
      <c r="AH187" s="873">
        <f t="shared" si="2"/>
        <v>44044</v>
      </c>
    </row>
    <row r="188" spans="1:34">
      <c r="A188">
        <v>3</v>
      </c>
      <c r="B188">
        <v>382</v>
      </c>
      <c r="C188" t="s">
        <v>199</v>
      </c>
      <c r="D188">
        <v>160</v>
      </c>
      <c r="E188">
        <v>117306803.410004</v>
      </c>
      <c r="F188">
        <v>0</v>
      </c>
      <c r="G188" t="s">
        <v>175</v>
      </c>
      <c r="H188" t="s">
        <v>175</v>
      </c>
      <c r="I188" s="878">
        <v>44088</v>
      </c>
      <c r="J188">
        <v>3</v>
      </c>
      <c r="K188" t="s">
        <v>199</v>
      </c>
      <c r="L188">
        <v>382</v>
      </c>
      <c r="M188">
        <v>0.53413390841248398</v>
      </c>
      <c r="N188" t="s">
        <v>175</v>
      </c>
      <c r="O188">
        <v>0.132746506124472</v>
      </c>
      <c r="P188">
        <v>0.33311958546304399</v>
      </c>
      <c r="Q188">
        <v>0.29685450796931401</v>
      </c>
      <c r="R188">
        <v>0</v>
      </c>
      <c r="S188">
        <v>0</v>
      </c>
      <c r="T188">
        <v>0.241853285602046</v>
      </c>
      <c r="U188">
        <v>2.5329460768582002E-2</v>
      </c>
      <c r="V188">
        <v>-3.0268625584351401E-2</v>
      </c>
      <c r="W188">
        <v>3.6527965689355998E-4</v>
      </c>
      <c r="X188">
        <v>0</v>
      </c>
      <c r="Y188" t="s">
        <v>175</v>
      </c>
      <c r="Z188" t="s">
        <v>175</v>
      </c>
      <c r="AA188" t="s">
        <v>175</v>
      </c>
      <c r="AB188" t="s">
        <v>175</v>
      </c>
      <c r="AC188" t="s">
        <v>175</v>
      </c>
      <c r="AD188" t="s">
        <v>175</v>
      </c>
      <c r="AE188" t="s">
        <v>175</v>
      </c>
      <c r="AF188" t="s">
        <v>175</v>
      </c>
      <c r="AG188" s="878">
        <v>44088</v>
      </c>
      <c r="AH188" s="873">
        <f t="shared" si="2"/>
        <v>44075</v>
      </c>
    </row>
    <row r="189" spans="1:34">
      <c r="A189">
        <v>4</v>
      </c>
      <c r="B189">
        <v>382</v>
      </c>
      <c r="C189" t="s">
        <v>199</v>
      </c>
      <c r="D189">
        <v>160</v>
      </c>
      <c r="E189">
        <v>91283073.576375306</v>
      </c>
      <c r="F189">
        <v>0</v>
      </c>
      <c r="G189" t="s">
        <v>175</v>
      </c>
      <c r="H189" t="s">
        <v>175</v>
      </c>
      <c r="I189" s="878">
        <v>44117</v>
      </c>
      <c r="J189">
        <v>4</v>
      </c>
      <c r="K189" t="s">
        <v>199</v>
      </c>
      <c r="L189">
        <v>382</v>
      </c>
      <c r="M189">
        <v>0.69466232950986795</v>
      </c>
      <c r="N189">
        <v>0</v>
      </c>
      <c r="O189">
        <v>9.7977723753416499E-2</v>
      </c>
      <c r="P189">
        <v>0.20735994673671601</v>
      </c>
      <c r="Q189">
        <v>0.387171368533477</v>
      </c>
      <c r="R189">
        <v>0</v>
      </c>
      <c r="S189">
        <v>0</v>
      </c>
      <c r="T189">
        <v>0.36668792957572999</v>
      </c>
      <c r="U189">
        <v>2.9843405669903698E-2</v>
      </c>
      <c r="V189">
        <v>-8.8493157306297601E-2</v>
      </c>
      <c r="W189">
        <v>-5.4721696294434698E-4</v>
      </c>
      <c r="X189">
        <v>0</v>
      </c>
      <c r="Y189" t="s">
        <v>175</v>
      </c>
      <c r="Z189" t="s">
        <v>175</v>
      </c>
      <c r="AA189" t="s">
        <v>175</v>
      </c>
      <c r="AB189" t="s">
        <v>175</v>
      </c>
      <c r="AC189" t="s">
        <v>175</v>
      </c>
      <c r="AD189" t="s">
        <v>175</v>
      </c>
      <c r="AE189" t="s">
        <v>175</v>
      </c>
      <c r="AF189" t="s">
        <v>175</v>
      </c>
      <c r="AG189" s="878">
        <v>44117</v>
      </c>
      <c r="AH189" s="873">
        <f t="shared" si="2"/>
        <v>44105</v>
      </c>
    </row>
    <row r="190" spans="1:34">
      <c r="A190">
        <v>5</v>
      </c>
      <c r="B190">
        <v>382</v>
      </c>
      <c r="C190" t="s">
        <v>199</v>
      </c>
      <c r="D190">
        <v>160</v>
      </c>
      <c r="E190">
        <v>54239433.777916603</v>
      </c>
      <c r="F190">
        <v>0</v>
      </c>
      <c r="G190" t="s">
        <v>175</v>
      </c>
      <c r="H190" t="s">
        <v>175</v>
      </c>
      <c r="I190" s="878">
        <v>44147</v>
      </c>
      <c r="J190">
        <v>5</v>
      </c>
      <c r="K190" t="s">
        <v>199</v>
      </c>
      <c r="L190">
        <v>382</v>
      </c>
      <c r="M190">
        <v>0.99003517980279898</v>
      </c>
      <c r="N190">
        <v>0</v>
      </c>
      <c r="O190">
        <v>4.7897921287702204E-3</v>
      </c>
      <c r="P190">
        <v>5.1750280684300402E-3</v>
      </c>
      <c r="Q190">
        <v>0.72003644712748704</v>
      </c>
      <c r="R190">
        <v>0</v>
      </c>
      <c r="S190">
        <v>0</v>
      </c>
      <c r="T190">
        <v>0.24088866713565399</v>
      </c>
      <c r="U190">
        <v>2.22528663675951E-2</v>
      </c>
      <c r="V190">
        <v>7.2781205404195597E-3</v>
      </c>
      <c r="W190">
        <v>-4.20921368355711E-4</v>
      </c>
      <c r="X190">
        <v>0</v>
      </c>
      <c r="Y190" t="s">
        <v>175</v>
      </c>
      <c r="Z190" t="s">
        <v>175</v>
      </c>
      <c r="AA190" t="s">
        <v>175</v>
      </c>
      <c r="AB190" t="s">
        <v>175</v>
      </c>
      <c r="AC190" t="s">
        <v>175</v>
      </c>
      <c r="AD190" t="s">
        <v>175</v>
      </c>
      <c r="AE190" t="s">
        <v>175</v>
      </c>
      <c r="AF190" t="s">
        <v>175</v>
      </c>
      <c r="AG190" s="878">
        <v>44147</v>
      </c>
      <c r="AH190" s="873">
        <f t="shared" si="2"/>
        <v>44136</v>
      </c>
    </row>
    <row r="191" spans="1:34">
      <c r="A191">
        <v>6</v>
      </c>
      <c r="B191">
        <v>382</v>
      </c>
      <c r="C191" t="s">
        <v>199</v>
      </c>
      <c r="D191">
        <v>160</v>
      </c>
      <c r="E191">
        <v>52808613.690133303</v>
      </c>
      <c r="F191">
        <v>0</v>
      </c>
      <c r="G191" t="s">
        <v>175</v>
      </c>
      <c r="H191" t="s">
        <v>175</v>
      </c>
      <c r="I191" s="878">
        <v>44179</v>
      </c>
      <c r="J191">
        <v>6</v>
      </c>
      <c r="K191" t="s">
        <v>199</v>
      </c>
      <c r="L191">
        <v>382</v>
      </c>
      <c r="M191">
        <v>0.97116334076762201</v>
      </c>
      <c r="N191">
        <v>0</v>
      </c>
      <c r="O191">
        <v>0</v>
      </c>
      <c r="P191">
        <v>2.88366592323776E-2</v>
      </c>
      <c r="Q191">
        <v>0.80417011260596805</v>
      </c>
      <c r="R191">
        <v>0</v>
      </c>
      <c r="S191">
        <v>0</v>
      </c>
      <c r="T191">
        <v>0.135143909615875</v>
      </c>
      <c r="U191">
        <v>1.0798929347919E-2</v>
      </c>
      <c r="V191">
        <v>2.1246117967989999E-2</v>
      </c>
      <c r="W191">
        <v>-1.9572877012936601E-4</v>
      </c>
      <c r="X191">
        <v>0</v>
      </c>
      <c r="Y191" t="s">
        <v>175</v>
      </c>
      <c r="Z191" t="s">
        <v>175</v>
      </c>
      <c r="AA191" t="s">
        <v>175</v>
      </c>
      <c r="AB191" t="s">
        <v>175</v>
      </c>
      <c r="AC191" t="s">
        <v>175</v>
      </c>
      <c r="AD191" t="s">
        <v>175</v>
      </c>
      <c r="AE191" t="s">
        <v>175</v>
      </c>
      <c r="AF191" t="s">
        <v>175</v>
      </c>
      <c r="AG191" s="878">
        <v>44179</v>
      </c>
      <c r="AH191" s="873">
        <f t="shared" si="2"/>
        <v>44166</v>
      </c>
    </row>
    <row r="192" spans="1:34">
      <c r="A192">
        <v>7</v>
      </c>
      <c r="B192">
        <v>382</v>
      </c>
      <c r="C192" t="s">
        <v>199</v>
      </c>
      <c r="D192">
        <v>160</v>
      </c>
      <c r="E192">
        <v>0</v>
      </c>
      <c r="F192">
        <v>0</v>
      </c>
      <c r="G192" t="s">
        <v>175</v>
      </c>
      <c r="H192" t="s">
        <v>175</v>
      </c>
      <c r="I192" s="878">
        <v>44193</v>
      </c>
      <c r="J192">
        <v>7</v>
      </c>
      <c r="K192" t="s">
        <v>199</v>
      </c>
      <c r="L192">
        <v>382</v>
      </c>
      <c r="M192" t="s">
        <v>175</v>
      </c>
      <c r="N192">
        <v>0</v>
      </c>
      <c r="O192" t="s">
        <v>175</v>
      </c>
      <c r="P192" t="s">
        <v>175</v>
      </c>
      <c r="Q192" t="s">
        <v>175</v>
      </c>
      <c r="R192" t="s">
        <v>175</v>
      </c>
      <c r="S192" t="s">
        <v>175</v>
      </c>
      <c r="T192" t="s">
        <v>175</v>
      </c>
      <c r="U192" t="s">
        <v>175</v>
      </c>
      <c r="V192" t="s">
        <v>175</v>
      </c>
      <c r="W192" t="s">
        <v>175</v>
      </c>
      <c r="X192" t="s">
        <v>175</v>
      </c>
      <c r="Y192" t="s">
        <v>175</v>
      </c>
      <c r="Z192" t="s">
        <v>175</v>
      </c>
      <c r="AA192" t="s">
        <v>175</v>
      </c>
      <c r="AB192" t="s">
        <v>175</v>
      </c>
      <c r="AC192" t="s">
        <v>175</v>
      </c>
      <c r="AD192" t="s">
        <v>175</v>
      </c>
      <c r="AE192" t="s">
        <v>175</v>
      </c>
      <c r="AF192" t="s">
        <v>175</v>
      </c>
      <c r="AG192" s="878">
        <v>44193</v>
      </c>
      <c r="AH192" s="873">
        <f t="shared" si="2"/>
        <v>44166</v>
      </c>
    </row>
    <row r="193" spans="1:34">
      <c r="A193">
        <v>8</v>
      </c>
      <c r="B193">
        <v>382</v>
      </c>
      <c r="C193" t="s">
        <v>199</v>
      </c>
      <c r="D193">
        <v>160</v>
      </c>
      <c r="E193">
        <v>0</v>
      </c>
      <c r="F193">
        <v>0</v>
      </c>
      <c r="G193" t="s">
        <v>175</v>
      </c>
      <c r="H193" t="s">
        <v>175</v>
      </c>
      <c r="I193" s="878">
        <v>44208</v>
      </c>
      <c r="J193">
        <v>8</v>
      </c>
      <c r="K193" t="s">
        <v>199</v>
      </c>
      <c r="L193">
        <v>382</v>
      </c>
      <c r="M193" t="s">
        <v>175</v>
      </c>
      <c r="N193">
        <v>0</v>
      </c>
      <c r="O193" t="s">
        <v>175</v>
      </c>
      <c r="P193" t="s">
        <v>175</v>
      </c>
      <c r="Q193" t="s">
        <v>175</v>
      </c>
      <c r="R193" t="s">
        <v>175</v>
      </c>
      <c r="S193" t="s">
        <v>175</v>
      </c>
      <c r="T193" t="s">
        <v>175</v>
      </c>
      <c r="U193" t="s">
        <v>175</v>
      </c>
      <c r="V193" t="s">
        <v>175</v>
      </c>
      <c r="W193" t="s">
        <v>175</v>
      </c>
      <c r="X193" t="s">
        <v>175</v>
      </c>
      <c r="Y193" t="s">
        <v>175</v>
      </c>
      <c r="Z193" t="s">
        <v>175</v>
      </c>
      <c r="AA193" t="s">
        <v>175</v>
      </c>
      <c r="AB193" t="s">
        <v>175</v>
      </c>
      <c r="AC193" t="s">
        <v>175</v>
      </c>
      <c r="AD193" t="s">
        <v>175</v>
      </c>
      <c r="AE193" t="s">
        <v>175</v>
      </c>
      <c r="AF193" t="s">
        <v>175</v>
      </c>
      <c r="AG193" s="878">
        <v>44208</v>
      </c>
      <c r="AH193" s="873">
        <f t="shared" si="2"/>
        <v>44197</v>
      </c>
    </row>
    <row r="194" spans="1:34">
      <c r="A194">
        <v>1</v>
      </c>
      <c r="B194">
        <v>383</v>
      </c>
      <c r="C194" t="s">
        <v>200</v>
      </c>
      <c r="D194">
        <v>103</v>
      </c>
      <c r="E194">
        <v>301891659.587273</v>
      </c>
      <c r="F194">
        <v>0</v>
      </c>
      <c r="G194">
        <v>0</v>
      </c>
      <c r="H194">
        <v>0</v>
      </c>
      <c r="I194" s="878">
        <v>44043</v>
      </c>
      <c r="J194">
        <v>1</v>
      </c>
      <c r="K194" t="s">
        <v>200</v>
      </c>
      <c r="L194">
        <v>383</v>
      </c>
      <c r="M194">
        <v>0.11065639352317801</v>
      </c>
      <c r="N194">
        <v>0.59012744711418397</v>
      </c>
      <c r="O194">
        <v>0.203215430544431</v>
      </c>
      <c r="P194">
        <v>9.6000728818207107E-2</v>
      </c>
      <c r="Q194">
        <v>0.124881918460758</v>
      </c>
      <c r="R194">
        <v>0</v>
      </c>
      <c r="S194">
        <v>0</v>
      </c>
      <c r="T194">
        <v>-9.4990904835064293E-3</v>
      </c>
      <c r="U194">
        <v>1.5016564210348501E-3</v>
      </c>
      <c r="V194">
        <v>-6.1022935895979997E-3</v>
      </c>
      <c r="W194">
        <v>-1.2579728551091699E-4</v>
      </c>
      <c r="X194">
        <v>0</v>
      </c>
      <c r="Y194">
        <v>0.91513197899196297</v>
      </c>
      <c r="Z194">
        <v>0</v>
      </c>
      <c r="AA194">
        <v>-9.7113041720769903E-3</v>
      </c>
      <c r="AB194">
        <v>7.2266089573964395E-2</v>
      </c>
      <c r="AC194">
        <v>1.81351501316665E-2</v>
      </c>
      <c r="AD194">
        <v>-0.24553104293383199</v>
      </c>
      <c r="AE194">
        <v>-0.16016342447750101</v>
      </c>
      <c r="AF194">
        <v>0</v>
      </c>
      <c r="AG194" s="878">
        <v>44043</v>
      </c>
      <c r="AH194" s="873">
        <f t="shared" si="2"/>
        <v>44013</v>
      </c>
    </row>
    <row r="195" spans="1:34">
      <c r="A195">
        <v>2</v>
      </c>
      <c r="B195">
        <v>383</v>
      </c>
      <c r="C195" t="s">
        <v>200</v>
      </c>
      <c r="D195">
        <v>103</v>
      </c>
      <c r="E195">
        <v>48138675.727655701</v>
      </c>
      <c r="F195">
        <v>0</v>
      </c>
      <c r="G195" t="s">
        <v>175</v>
      </c>
      <c r="H195" t="s">
        <v>175</v>
      </c>
      <c r="I195" s="878">
        <v>44055</v>
      </c>
      <c r="J195">
        <v>2</v>
      </c>
      <c r="K195" t="s">
        <v>200</v>
      </c>
      <c r="L195">
        <v>383</v>
      </c>
      <c r="M195">
        <v>0.62459078361950904</v>
      </c>
      <c r="N195" t="s">
        <v>175</v>
      </c>
      <c r="O195">
        <v>0.22288981153937101</v>
      </c>
      <c r="P195">
        <v>0.15251940484111901</v>
      </c>
      <c r="Q195">
        <v>0.28682494897710697</v>
      </c>
      <c r="R195">
        <v>0</v>
      </c>
      <c r="S195">
        <v>0</v>
      </c>
      <c r="T195">
        <v>0.39954839942179499</v>
      </c>
      <c r="U195">
        <v>2.4437670216058499E-2</v>
      </c>
      <c r="V195">
        <v>-8.51682974996366E-2</v>
      </c>
      <c r="W195">
        <v>-1.0519374958150201E-3</v>
      </c>
      <c r="X195">
        <v>0</v>
      </c>
      <c r="Y195" t="s">
        <v>175</v>
      </c>
      <c r="Z195" t="s">
        <v>175</v>
      </c>
      <c r="AA195" t="s">
        <v>175</v>
      </c>
      <c r="AB195" t="s">
        <v>175</v>
      </c>
      <c r="AC195" t="s">
        <v>175</v>
      </c>
      <c r="AD195" t="s">
        <v>175</v>
      </c>
      <c r="AE195" t="s">
        <v>175</v>
      </c>
      <c r="AF195" t="s">
        <v>175</v>
      </c>
      <c r="AG195" s="878">
        <v>44055</v>
      </c>
      <c r="AH195" s="873">
        <f t="shared" ref="AH195:AH258" si="3">DATE(YEAR(I195),MONTH(I195),1)</f>
        <v>44044</v>
      </c>
    </row>
    <row r="196" spans="1:34">
      <c r="A196">
        <v>3</v>
      </c>
      <c r="B196">
        <v>383</v>
      </c>
      <c r="C196" t="s">
        <v>200</v>
      </c>
      <c r="D196">
        <v>103</v>
      </c>
      <c r="E196">
        <v>67061837.82</v>
      </c>
      <c r="F196">
        <v>0</v>
      </c>
      <c r="G196" t="s">
        <v>175</v>
      </c>
      <c r="H196" t="s">
        <v>175</v>
      </c>
      <c r="I196" s="878">
        <v>44088</v>
      </c>
      <c r="J196">
        <v>3</v>
      </c>
      <c r="K196" t="s">
        <v>200</v>
      </c>
      <c r="L196">
        <v>383</v>
      </c>
      <c r="M196">
        <v>0.64732185223484895</v>
      </c>
      <c r="N196" t="s">
        <v>175</v>
      </c>
      <c r="O196">
        <v>9.79438846314689E-2</v>
      </c>
      <c r="P196">
        <v>0.25473426313368203</v>
      </c>
      <c r="Q196">
        <v>0.39327229026516802</v>
      </c>
      <c r="R196">
        <v>0</v>
      </c>
      <c r="S196">
        <v>7.0932292746619905E-5</v>
      </c>
      <c r="T196">
        <v>0.244119577721196</v>
      </c>
      <c r="U196">
        <v>3.1454155069856E-2</v>
      </c>
      <c r="V196">
        <v>-2.22021323807234E-2</v>
      </c>
      <c r="W196">
        <v>6.07029266606412E-4</v>
      </c>
      <c r="X196">
        <v>0</v>
      </c>
      <c r="Y196" t="s">
        <v>175</v>
      </c>
      <c r="Z196" t="s">
        <v>175</v>
      </c>
      <c r="AA196" t="s">
        <v>175</v>
      </c>
      <c r="AB196" t="s">
        <v>175</v>
      </c>
      <c r="AC196" t="s">
        <v>175</v>
      </c>
      <c r="AD196" t="s">
        <v>175</v>
      </c>
      <c r="AE196" t="s">
        <v>175</v>
      </c>
      <c r="AF196" t="s">
        <v>175</v>
      </c>
      <c r="AG196" s="878">
        <v>44088</v>
      </c>
      <c r="AH196" s="873">
        <f t="shared" si="3"/>
        <v>44075</v>
      </c>
    </row>
    <row r="197" spans="1:34">
      <c r="A197">
        <v>4</v>
      </c>
      <c r="B197">
        <v>383</v>
      </c>
      <c r="C197" t="s">
        <v>200</v>
      </c>
      <c r="D197">
        <v>103</v>
      </c>
      <c r="E197">
        <v>88668323.072982803</v>
      </c>
      <c r="F197">
        <v>0</v>
      </c>
      <c r="G197" t="s">
        <v>175</v>
      </c>
      <c r="H197" t="s">
        <v>175</v>
      </c>
      <c r="I197" s="878">
        <v>44117</v>
      </c>
      <c r="J197">
        <v>4</v>
      </c>
      <c r="K197" t="s">
        <v>200</v>
      </c>
      <c r="L197">
        <v>383</v>
      </c>
      <c r="M197">
        <v>0.72345990132261295</v>
      </c>
      <c r="N197">
        <v>0</v>
      </c>
      <c r="O197">
        <v>0.17400389639266201</v>
      </c>
      <c r="P197">
        <v>0.102536202284726</v>
      </c>
      <c r="Q197">
        <v>0.35196319395884601</v>
      </c>
      <c r="R197">
        <v>0</v>
      </c>
      <c r="S197">
        <v>1.2588600428844199E-4</v>
      </c>
      <c r="T197">
        <v>0.48597018701165801</v>
      </c>
      <c r="U197">
        <v>4.2202831548291998E-2</v>
      </c>
      <c r="V197">
        <v>-0.15787947295563901</v>
      </c>
      <c r="W197">
        <v>1.07727575516601E-3</v>
      </c>
      <c r="X197">
        <v>0</v>
      </c>
      <c r="Y197" t="s">
        <v>175</v>
      </c>
      <c r="Z197" t="s">
        <v>175</v>
      </c>
      <c r="AA197" t="s">
        <v>175</v>
      </c>
      <c r="AB197" t="s">
        <v>175</v>
      </c>
      <c r="AC197" t="s">
        <v>175</v>
      </c>
      <c r="AD197" t="s">
        <v>175</v>
      </c>
      <c r="AE197" t="s">
        <v>175</v>
      </c>
      <c r="AF197" t="s">
        <v>175</v>
      </c>
      <c r="AG197" s="878">
        <v>44117</v>
      </c>
      <c r="AH197" s="873">
        <f t="shared" si="3"/>
        <v>44105</v>
      </c>
    </row>
    <row r="198" spans="1:34">
      <c r="A198">
        <v>5</v>
      </c>
      <c r="B198">
        <v>383</v>
      </c>
      <c r="C198" t="s">
        <v>200</v>
      </c>
      <c r="D198">
        <v>103</v>
      </c>
      <c r="E198">
        <v>37823065.268186398</v>
      </c>
      <c r="F198">
        <v>0</v>
      </c>
      <c r="G198" t="s">
        <v>175</v>
      </c>
      <c r="H198" t="s">
        <v>175</v>
      </c>
      <c r="I198" s="878">
        <v>44147</v>
      </c>
      <c r="J198">
        <v>5</v>
      </c>
      <c r="K198" t="s">
        <v>200</v>
      </c>
      <c r="L198">
        <v>383</v>
      </c>
      <c r="M198">
        <v>0.92919337896606702</v>
      </c>
      <c r="N198">
        <v>0</v>
      </c>
      <c r="O198">
        <v>7.0806621033933301E-2</v>
      </c>
      <c r="P198">
        <v>0</v>
      </c>
      <c r="Q198">
        <v>0.57760284286098396</v>
      </c>
      <c r="R198">
        <v>0</v>
      </c>
      <c r="S198">
        <v>5.2282983065329301E-5</v>
      </c>
      <c r="T198">
        <v>0.191415607759263</v>
      </c>
      <c r="U198">
        <v>1.7016884902783701E-2</v>
      </c>
      <c r="V198">
        <v>0.142658661104165</v>
      </c>
      <c r="W198">
        <v>4.47099355806381E-4</v>
      </c>
      <c r="X198">
        <v>0</v>
      </c>
      <c r="Y198" t="s">
        <v>175</v>
      </c>
      <c r="Z198" t="s">
        <v>175</v>
      </c>
      <c r="AA198" t="s">
        <v>175</v>
      </c>
      <c r="AB198" t="s">
        <v>175</v>
      </c>
      <c r="AC198" t="s">
        <v>175</v>
      </c>
      <c r="AD198" t="s">
        <v>175</v>
      </c>
      <c r="AE198" t="s">
        <v>175</v>
      </c>
      <c r="AF198" t="s">
        <v>175</v>
      </c>
      <c r="AG198" s="878">
        <v>44147</v>
      </c>
      <c r="AH198" s="873">
        <f t="shared" si="3"/>
        <v>44136</v>
      </c>
    </row>
    <row r="199" spans="1:34">
      <c r="A199">
        <v>6</v>
      </c>
      <c r="B199">
        <v>383</v>
      </c>
      <c r="C199" t="s">
        <v>200</v>
      </c>
      <c r="D199">
        <v>103</v>
      </c>
      <c r="E199">
        <v>162711197.78999999</v>
      </c>
      <c r="F199">
        <v>93194330.733902499</v>
      </c>
      <c r="G199" t="s">
        <v>175</v>
      </c>
      <c r="H199" t="s">
        <v>175</v>
      </c>
      <c r="I199" s="878">
        <v>44179</v>
      </c>
      <c r="J199">
        <v>6</v>
      </c>
      <c r="K199" t="s">
        <v>200</v>
      </c>
      <c r="L199">
        <v>383</v>
      </c>
      <c r="M199">
        <v>0.99952300510933401</v>
      </c>
      <c r="N199">
        <v>0</v>
      </c>
      <c r="O199">
        <v>0</v>
      </c>
      <c r="P199">
        <v>4.7699489066615401E-4</v>
      </c>
      <c r="Q199">
        <v>0.87221081835537995</v>
      </c>
      <c r="R199">
        <v>0</v>
      </c>
      <c r="S199">
        <v>2.73255932006497E-5</v>
      </c>
      <c r="T199">
        <v>0.10540378654292</v>
      </c>
      <c r="U199">
        <v>9.2762650665752892E-3</v>
      </c>
      <c r="V199">
        <v>1.2370966395305501E-2</v>
      </c>
      <c r="W199">
        <v>2.33843155952346E-4</v>
      </c>
      <c r="X199">
        <v>0</v>
      </c>
      <c r="Y199" t="s">
        <v>175</v>
      </c>
      <c r="Z199" t="s">
        <v>175</v>
      </c>
      <c r="AA199" t="s">
        <v>175</v>
      </c>
      <c r="AB199" t="s">
        <v>175</v>
      </c>
      <c r="AC199" t="s">
        <v>175</v>
      </c>
      <c r="AD199" t="s">
        <v>175</v>
      </c>
      <c r="AE199" t="s">
        <v>175</v>
      </c>
      <c r="AF199" t="s">
        <v>175</v>
      </c>
      <c r="AG199" s="878">
        <v>44179</v>
      </c>
      <c r="AH199" s="873">
        <f t="shared" si="3"/>
        <v>44166</v>
      </c>
    </row>
    <row r="200" spans="1:34">
      <c r="A200">
        <v>7</v>
      </c>
      <c r="B200">
        <v>383</v>
      </c>
      <c r="C200" t="s">
        <v>200</v>
      </c>
      <c r="D200">
        <v>103</v>
      </c>
      <c r="E200">
        <v>0</v>
      </c>
      <c r="F200">
        <v>0</v>
      </c>
      <c r="G200" t="s">
        <v>175</v>
      </c>
      <c r="H200" t="s">
        <v>175</v>
      </c>
      <c r="I200" s="878">
        <v>44193</v>
      </c>
      <c r="J200">
        <v>7</v>
      </c>
      <c r="K200" t="s">
        <v>200</v>
      </c>
      <c r="L200">
        <v>383</v>
      </c>
      <c r="M200" t="s">
        <v>175</v>
      </c>
      <c r="N200">
        <v>0</v>
      </c>
      <c r="O200" t="s">
        <v>175</v>
      </c>
      <c r="P200" t="s">
        <v>175</v>
      </c>
      <c r="Q200" t="s">
        <v>175</v>
      </c>
      <c r="R200" t="s">
        <v>175</v>
      </c>
      <c r="S200" t="s">
        <v>175</v>
      </c>
      <c r="T200" t="s">
        <v>175</v>
      </c>
      <c r="U200" t="s">
        <v>175</v>
      </c>
      <c r="V200" t="s">
        <v>175</v>
      </c>
      <c r="W200" t="s">
        <v>175</v>
      </c>
      <c r="X200" t="s">
        <v>175</v>
      </c>
      <c r="Y200" t="s">
        <v>175</v>
      </c>
      <c r="Z200" t="s">
        <v>175</v>
      </c>
      <c r="AA200" t="s">
        <v>175</v>
      </c>
      <c r="AB200" t="s">
        <v>175</v>
      </c>
      <c r="AC200" t="s">
        <v>175</v>
      </c>
      <c r="AD200" t="s">
        <v>175</v>
      </c>
      <c r="AE200" t="s">
        <v>175</v>
      </c>
      <c r="AF200" t="s">
        <v>175</v>
      </c>
      <c r="AG200" s="878">
        <v>44193</v>
      </c>
      <c r="AH200" s="873">
        <f t="shared" si="3"/>
        <v>44166</v>
      </c>
    </row>
    <row r="201" spans="1:34">
      <c r="A201">
        <v>8</v>
      </c>
      <c r="B201">
        <v>383</v>
      </c>
      <c r="C201" t="s">
        <v>200</v>
      </c>
      <c r="D201">
        <v>103</v>
      </c>
      <c r="E201">
        <v>0</v>
      </c>
      <c r="F201">
        <v>0</v>
      </c>
      <c r="G201" t="s">
        <v>175</v>
      </c>
      <c r="H201" t="s">
        <v>175</v>
      </c>
      <c r="I201" s="878">
        <v>44208</v>
      </c>
      <c r="J201">
        <v>8</v>
      </c>
      <c r="K201" t="s">
        <v>200</v>
      </c>
      <c r="L201">
        <v>383</v>
      </c>
      <c r="M201" t="s">
        <v>175</v>
      </c>
      <c r="N201">
        <v>0</v>
      </c>
      <c r="O201" t="s">
        <v>175</v>
      </c>
      <c r="P201" t="s">
        <v>175</v>
      </c>
      <c r="Q201" t="s">
        <v>175</v>
      </c>
      <c r="R201" t="s">
        <v>175</v>
      </c>
      <c r="S201" t="s">
        <v>175</v>
      </c>
      <c r="T201" t="s">
        <v>175</v>
      </c>
      <c r="U201" t="s">
        <v>175</v>
      </c>
      <c r="V201" t="s">
        <v>175</v>
      </c>
      <c r="W201" t="s">
        <v>175</v>
      </c>
      <c r="X201" t="s">
        <v>175</v>
      </c>
      <c r="Y201" t="s">
        <v>175</v>
      </c>
      <c r="Z201" t="s">
        <v>175</v>
      </c>
      <c r="AA201" t="s">
        <v>175</v>
      </c>
      <c r="AB201" t="s">
        <v>175</v>
      </c>
      <c r="AC201" t="s">
        <v>175</v>
      </c>
      <c r="AD201" t="s">
        <v>175</v>
      </c>
      <c r="AE201" t="s">
        <v>175</v>
      </c>
      <c r="AF201" t="s">
        <v>175</v>
      </c>
      <c r="AG201" s="878">
        <v>44208</v>
      </c>
      <c r="AH201" s="873">
        <f t="shared" si="3"/>
        <v>44197</v>
      </c>
    </row>
    <row r="202" spans="1:34">
      <c r="A202">
        <v>1</v>
      </c>
      <c r="B202">
        <v>385</v>
      </c>
      <c r="C202" t="s">
        <v>201</v>
      </c>
      <c r="D202">
        <v>145</v>
      </c>
      <c r="E202">
        <v>470965466.30000001</v>
      </c>
      <c r="F202">
        <v>0</v>
      </c>
      <c r="G202">
        <v>0</v>
      </c>
      <c r="H202">
        <v>0</v>
      </c>
      <c r="I202" s="878">
        <v>44043</v>
      </c>
      <c r="J202">
        <v>1</v>
      </c>
      <c r="K202" t="s">
        <v>201</v>
      </c>
      <c r="L202">
        <v>385</v>
      </c>
      <c r="M202">
        <v>5.5875230163546299E-2</v>
      </c>
      <c r="N202">
        <v>0.77769406777734396</v>
      </c>
      <c r="O202">
        <v>0.12887102642279699</v>
      </c>
      <c r="P202">
        <v>3.7559675636312503E-2</v>
      </c>
      <c r="Q202">
        <v>-1.7087568217672901E-2</v>
      </c>
      <c r="R202">
        <v>6.8591542509687201E-2</v>
      </c>
      <c r="S202">
        <v>-3.8623524750949802E-3</v>
      </c>
      <c r="T202">
        <v>-2.1874415790045398E-2</v>
      </c>
      <c r="U202">
        <v>1.0746353255609801E-3</v>
      </c>
      <c r="V202">
        <v>9.0577304847791404E-3</v>
      </c>
      <c r="W202">
        <v>1.9975658326332201E-2</v>
      </c>
      <c r="X202">
        <v>0</v>
      </c>
      <c r="Y202">
        <v>0.22165458783750999</v>
      </c>
      <c r="Z202">
        <v>0.60351219183413496</v>
      </c>
      <c r="AA202">
        <v>-1.2167061562593199E-2</v>
      </c>
      <c r="AB202">
        <v>0.14222113412868101</v>
      </c>
      <c r="AC202">
        <v>2.2578849351988901E-2</v>
      </c>
      <c r="AD202">
        <v>-0.31285834404382201</v>
      </c>
      <c r="AE202">
        <v>0.11275271023144399</v>
      </c>
      <c r="AF202">
        <v>0</v>
      </c>
      <c r="AG202" s="878">
        <v>44043</v>
      </c>
      <c r="AH202" s="873">
        <f t="shared" si="3"/>
        <v>44013</v>
      </c>
    </row>
    <row r="203" spans="1:34">
      <c r="A203">
        <v>2</v>
      </c>
      <c r="B203">
        <v>385</v>
      </c>
      <c r="C203" t="s">
        <v>201</v>
      </c>
      <c r="D203">
        <v>145</v>
      </c>
      <c r="E203">
        <v>70781718.019999996</v>
      </c>
      <c r="F203">
        <v>0</v>
      </c>
      <c r="G203" t="s">
        <v>175</v>
      </c>
      <c r="H203" t="s">
        <v>175</v>
      </c>
      <c r="I203" s="878">
        <v>44055</v>
      </c>
      <c r="J203">
        <v>2</v>
      </c>
      <c r="K203" t="s">
        <v>201</v>
      </c>
      <c r="L203">
        <v>385</v>
      </c>
      <c r="M203">
        <v>0.83660902825647798</v>
      </c>
      <c r="N203" t="s">
        <v>175</v>
      </c>
      <c r="O203">
        <v>0.16339097174352199</v>
      </c>
      <c r="P203">
        <v>0</v>
      </c>
      <c r="Q203">
        <v>-0.16261104296779999</v>
      </c>
      <c r="R203">
        <v>0.53326759054676498</v>
      </c>
      <c r="S203">
        <v>-2.60612790863015E-2</v>
      </c>
      <c r="T203">
        <v>0.28184311130626799</v>
      </c>
      <c r="U203">
        <v>7.2360411148298101E-3</v>
      </c>
      <c r="V203">
        <v>4.0681523322252E-2</v>
      </c>
      <c r="W203">
        <v>0.16225308402046501</v>
      </c>
      <c r="X203">
        <v>0</v>
      </c>
      <c r="Y203" t="s">
        <v>175</v>
      </c>
      <c r="Z203" t="s">
        <v>175</v>
      </c>
      <c r="AA203" t="s">
        <v>175</v>
      </c>
      <c r="AB203" t="s">
        <v>175</v>
      </c>
      <c r="AC203" t="s">
        <v>175</v>
      </c>
      <c r="AD203" t="s">
        <v>175</v>
      </c>
      <c r="AE203" t="s">
        <v>175</v>
      </c>
      <c r="AF203" t="s">
        <v>175</v>
      </c>
      <c r="AG203" s="878">
        <v>44055</v>
      </c>
      <c r="AH203" s="873">
        <f t="shared" si="3"/>
        <v>44044</v>
      </c>
    </row>
    <row r="204" spans="1:34">
      <c r="A204">
        <v>3</v>
      </c>
      <c r="B204">
        <v>385</v>
      </c>
      <c r="C204" t="s">
        <v>201</v>
      </c>
      <c r="D204">
        <v>145</v>
      </c>
      <c r="E204">
        <v>72543957.680000007</v>
      </c>
      <c r="F204">
        <v>0</v>
      </c>
      <c r="G204" t="s">
        <v>175</v>
      </c>
      <c r="H204" t="s">
        <v>175</v>
      </c>
      <c r="I204" s="878">
        <v>44088</v>
      </c>
      <c r="J204">
        <v>3</v>
      </c>
      <c r="K204" t="s">
        <v>201</v>
      </c>
      <c r="L204">
        <v>385</v>
      </c>
      <c r="M204">
        <v>0.87533969689695901</v>
      </c>
      <c r="N204" t="s">
        <v>175</v>
      </c>
      <c r="O204">
        <v>7.8733690708105999E-2</v>
      </c>
      <c r="P204">
        <v>4.5926612394935298E-2</v>
      </c>
      <c r="Q204">
        <v>4.6899793466561597E-2</v>
      </c>
      <c r="R204">
        <v>0.355790433514377</v>
      </c>
      <c r="S204">
        <v>-2.1841908393597599E-2</v>
      </c>
      <c r="T204">
        <v>0.33579586709192299</v>
      </c>
      <c r="U204">
        <v>4.0025008272750198E-2</v>
      </c>
      <c r="V204">
        <v>5.7222815183746696E-3</v>
      </c>
      <c r="W204">
        <v>0.11294822142657</v>
      </c>
      <c r="X204">
        <v>0</v>
      </c>
      <c r="Y204" t="s">
        <v>175</v>
      </c>
      <c r="Z204" t="s">
        <v>175</v>
      </c>
      <c r="AA204" t="s">
        <v>175</v>
      </c>
      <c r="AB204" t="s">
        <v>175</v>
      </c>
      <c r="AC204" t="s">
        <v>175</v>
      </c>
      <c r="AD204" t="s">
        <v>175</v>
      </c>
      <c r="AE204" t="s">
        <v>175</v>
      </c>
      <c r="AF204" t="s">
        <v>175</v>
      </c>
      <c r="AG204" s="878">
        <v>44088</v>
      </c>
      <c r="AH204" s="873">
        <f t="shared" si="3"/>
        <v>44075</v>
      </c>
    </row>
    <row r="205" spans="1:34">
      <c r="A205">
        <v>4</v>
      </c>
      <c r="B205">
        <v>385</v>
      </c>
      <c r="C205" t="s">
        <v>201</v>
      </c>
      <c r="D205">
        <v>145</v>
      </c>
      <c r="E205">
        <v>0</v>
      </c>
      <c r="F205">
        <v>0</v>
      </c>
      <c r="G205" t="s">
        <v>175</v>
      </c>
      <c r="H205" t="s">
        <v>175</v>
      </c>
      <c r="I205" s="878">
        <v>44117</v>
      </c>
      <c r="J205">
        <v>4</v>
      </c>
      <c r="K205" t="s">
        <v>201</v>
      </c>
      <c r="L205">
        <v>385</v>
      </c>
      <c r="M205" t="s">
        <v>175</v>
      </c>
      <c r="N205" t="s">
        <v>175</v>
      </c>
      <c r="O205" t="s">
        <v>175</v>
      </c>
      <c r="P205" t="s">
        <v>175</v>
      </c>
      <c r="Q205" t="s">
        <v>175</v>
      </c>
      <c r="R205" t="s">
        <v>175</v>
      </c>
      <c r="S205" t="s">
        <v>175</v>
      </c>
      <c r="T205" t="s">
        <v>175</v>
      </c>
      <c r="U205" t="s">
        <v>175</v>
      </c>
      <c r="V205" t="s">
        <v>175</v>
      </c>
      <c r="W205" t="s">
        <v>175</v>
      </c>
      <c r="X205" t="s">
        <v>175</v>
      </c>
      <c r="Y205" t="s">
        <v>175</v>
      </c>
      <c r="Z205" t="s">
        <v>175</v>
      </c>
      <c r="AA205" t="s">
        <v>175</v>
      </c>
      <c r="AB205" t="s">
        <v>175</v>
      </c>
      <c r="AC205" t="s">
        <v>175</v>
      </c>
      <c r="AD205" t="s">
        <v>175</v>
      </c>
      <c r="AE205" t="s">
        <v>175</v>
      </c>
      <c r="AF205" t="s">
        <v>175</v>
      </c>
      <c r="AG205" s="878">
        <v>44117</v>
      </c>
      <c r="AH205" s="873">
        <f t="shared" si="3"/>
        <v>44105</v>
      </c>
    </row>
    <row r="206" spans="1:34">
      <c r="A206">
        <v>5</v>
      </c>
      <c r="B206">
        <v>385</v>
      </c>
      <c r="C206" t="s">
        <v>201</v>
      </c>
      <c r="D206">
        <v>145</v>
      </c>
      <c r="E206">
        <v>0</v>
      </c>
      <c r="F206">
        <v>0</v>
      </c>
      <c r="G206" t="s">
        <v>175</v>
      </c>
      <c r="H206" t="s">
        <v>175</v>
      </c>
      <c r="I206" s="878">
        <v>44147</v>
      </c>
      <c r="J206">
        <v>5</v>
      </c>
      <c r="K206" t="s">
        <v>201</v>
      </c>
      <c r="L206">
        <v>385</v>
      </c>
      <c r="M206" t="s">
        <v>175</v>
      </c>
      <c r="N206" t="s">
        <v>175</v>
      </c>
      <c r="O206" t="s">
        <v>175</v>
      </c>
      <c r="P206" t="s">
        <v>175</v>
      </c>
      <c r="Q206" t="s">
        <v>175</v>
      </c>
      <c r="R206" t="s">
        <v>175</v>
      </c>
      <c r="S206" t="s">
        <v>175</v>
      </c>
      <c r="T206" t="s">
        <v>175</v>
      </c>
      <c r="U206" t="s">
        <v>175</v>
      </c>
      <c r="V206" t="s">
        <v>175</v>
      </c>
      <c r="W206" t="s">
        <v>175</v>
      </c>
      <c r="X206" t="s">
        <v>175</v>
      </c>
      <c r="Y206" t="s">
        <v>175</v>
      </c>
      <c r="Z206" t="s">
        <v>175</v>
      </c>
      <c r="AA206" t="s">
        <v>175</v>
      </c>
      <c r="AB206" t="s">
        <v>175</v>
      </c>
      <c r="AC206" t="s">
        <v>175</v>
      </c>
      <c r="AD206" t="s">
        <v>175</v>
      </c>
      <c r="AE206" t="s">
        <v>175</v>
      </c>
      <c r="AF206" t="s">
        <v>175</v>
      </c>
      <c r="AG206" s="878">
        <v>44147</v>
      </c>
      <c r="AH206" s="873">
        <f t="shared" si="3"/>
        <v>44136</v>
      </c>
    </row>
    <row r="207" spans="1:34">
      <c r="A207">
        <v>6</v>
      </c>
      <c r="B207">
        <v>385</v>
      </c>
      <c r="C207" t="s">
        <v>201</v>
      </c>
      <c r="D207">
        <v>145</v>
      </c>
      <c r="E207">
        <v>0</v>
      </c>
      <c r="F207">
        <v>0</v>
      </c>
      <c r="G207" t="s">
        <v>175</v>
      </c>
      <c r="H207" t="s">
        <v>175</v>
      </c>
      <c r="I207" s="878">
        <v>44179</v>
      </c>
      <c r="J207">
        <v>6</v>
      </c>
      <c r="K207" t="s">
        <v>201</v>
      </c>
      <c r="L207">
        <v>385</v>
      </c>
      <c r="M207" t="s">
        <v>175</v>
      </c>
      <c r="N207" t="s">
        <v>175</v>
      </c>
      <c r="O207" t="s">
        <v>175</v>
      </c>
      <c r="P207" t="s">
        <v>175</v>
      </c>
      <c r="Q207" t="s">
        <v>175</v>
      </c>
      <c r="R207" t="s">
        <v>175</v>
      </c>
      <c r="S207" t="s">
        <v>175</v>
      </c>
      <c r="T207" t="s">
        <v>175</v>
      </c>
      <c r="U207" t="s">
        <v>175</v>
      </c>
      <c r="V207" t="s">
        <v>175</v>
      </c>
      <c r="W207" t="s">
        <v>175</v>
      </c>
      <c r="X207" t="s">
        <v>175</v>
      </c>
      <c r="Y207" t="s">
        <v>175</v>
      </c>
      <c r="Z207" t="s">
        <v>175</v>
      </c>
      <c r="AA207" t="s">
        <v>175</v>
      </c>
      <c r="AB207" t="s">
        <v>175</v>
      </c>
      <c r="AC207" t="s">
        <v>175</v>
      </c>
      <c r="AD207" t="s">
        <v>175</v>
      </c>
      <c r="AE207" t="s">
        <v>175</v>
      </c>
      <c r="AF207" t="s">
        <v>175</v>
      </c>
      <c r="AG207" s="878">
        <v>44179</v>
      </c>
      <c r="AH207" s="873">
        <f t="shared" si="3"/>
        <v>44166</v>
      </c>
    </row>
    <row r="208" spans="1:34">
      <c r="A208">
        <v>7</v>
      </c>
      <c r="B208">
        <v>385</v>
      </c>
      <c r="C208" t="s">
        <v>201</v>
      </c>
      <c r="D208">
        <v>145</v>
      </c>
      <c r="E208">
        <v>0</v>
      </c>
      <c r="F208">
        <v>0</v>
      </c>
      <c r="G208" t="s">
        <v>175</v>
      </c>
      <c r="H208" t="s">
        <v>175</v>
      </c>
      <c r="I208" s="878">
        <v>44193</v>
      </c>
      <c r="J208">
        <v>7</v>
      </c>
      <c r="K208" t="s">
        <v>201</v>
      </c>
      <c r="L208">
        <v>385</v>
      </c>
      <c r="M208" t="s">
        <v>175</v>
      </c>
      <c r="N208" t="s">
        <v>175</v>
      </c>
      <c r="O208" t="s">
        <v>175</v>
      </c>
      <c r="P208" t="s">
        <v>175</v>
      </c>
      <c r="Q208" t="s">
        <v>175</v>
      </c>
      <c r="R208" t="s">
        <v>175</v>
      </c>
      <c r="S208" t="s">
        <v>175</v>
      </c>
      <c r="T208" t="s">
        <v>175</v>
      </c>
      <c r="U208" t="s">
        <v>175</v>
      </c>
      <c r="V208" t="s">
        <v>175</v>
      </c>
      <c r="W208" t="s">
        <v>175</v>
      </c>
      <c r="X208" t="s">
        <v>175</v>
      </c>
      <c r="Y208" t="s">
        <v>175</v>
      </c>
      <c r="Z208" t="s">
        <v>175</v>
      </c>
      <c r="AA208" t="s">
        <v>175</v>
      </c>
      <c r="AB208" t="s">
        <v>175</v>
      </c>
      <c r="AC208" t="s">
        <v>175</v>
      </c>
      <c r="AD208" t="s">
        <v>175</v>
      </c>
      <c r="AE208" t="s">
        <v>175</v>
      </c>
      <c r="AF208" t="s">
        <v>175</v>
      </c>
      <c r="AG208" s="878">
        <v>44193</v>
      </c>
      <c r="AH208" s="873">
        <f t="shared" si="3"/>
        <v>44166</v>
      </c>
    </row>
    <row r="209" spans="1:34">
      <c r="A209">
        <v>8</v>
      </c>
      <c r="B209">
        <v>385</v>
      </c>
      <c r="C209" t="s">
        <v>201</v>
      </c>
      <c r="D209">
        <v>145</v>
      </c>
      <c r="E209">
        <v>0</v>
      </c>
      <c r="F209">
        <v>0</v>
      </c>
      <c r="G209" t="s">
        <v>175</v>
      </c>
      <c r="H209" t="s">
        <v>175</v>
      </c>
      <c r="I209" s="878">
        <v>44208</v>
      </c>
      <c r="J209">
        <v>8</v>
      </c>
      <c r="K209" t="s">
        <v>201</v>
      </c>
      <c r="L209">
        <v>385</v>
      </c>
      <c r="M209" t="s">
        <v>175</v>
      </c>
      <c r="N209" t="s">
        <v>175</v>
      </c>
      <c r="O209" t="s">
        <v>175</v>
      </c>
      <c r="P209" t="s">
        <v>175</v>
      </c>
      <c r="Q209" t="s">
        <v>175</v>
      </c>
      <c r="R209" t="s">
        <v>175</v>
      </c>
      <c r="S209" t="s">
        <v>175</v>
      </c>
      <c r="T209" t="s">
        <v>175</v>
      </c>
      <c r="U209" t="s">
        <v>175</v>
      </c>
      <c r="V209" t="s">
        <v>175</v>
      </c>
      <c r="W209" t="s">
        <v>175</v>
      </c>
      <c r="X209" t="s">
        <v>175</v>
      </c>
      <c r="Y209" t="s">
        <v>175</v>
      </c>
      <c r="Z209" t="s">
        <v>175</v>
      </c>
      <c r="AA209" t="s">
        <v>175</v>
      </c>
      <c r="AB209" t="s">
        <v>175</v>
      </c>
      <c r="AC209" t="s">
        <v>175</v>
      </c>
      <c r="AD209" t="s">
        <v>175</v>
      </c>
      <c r="AE209" t="s">
        <v>175</v>
      </c>
      <c r="AF209" t="s">
        <v>175</v>
      </c>
      <c r="AG209" s="878">
        <v>44208</v>
      </c>
      <c r="AH209" s="873">
        <f t="shared" si="3"/>
        <v>44197</v>
      </c>
    </row>
    <row r="210" spans="1:34">
      <c r="A210">
        <v>1</v>
      </c>
      <c r="B210">
        <v>390</v>
      </c>
      <c r="C210" t="s">
        <v>202</v>
      </c>
      <c r="D210">
        <v>148</v>
      </c>
      <c r="E210">
        <v>1389232809</v>
      </c>
      <c r="F210">
        <v>0</v>
      </c>
      <c r="G210">
        <v>0</v>
      </c>
      <c r="H210">
        <v>0</v>
      </c>
      <c r="I210" s="878">
        <v>44043</v>
      </c>
      <c r="J210">
        <v>1</v>
      </c>
      <c r="K210" t="s">
        <v>202</v>
      </c>
      <c r="L210">
        <v>390</v>
      </c>
      <c r="M210">
        <v>8.95418328807117E-2</v>
      </c>
      <c r="N210">
        <v>0.72496939943942895</v>
      </c>
      <c r="O210">
        <v>0.119868881592181</v>
      </c>
      <c r="P210">
        <v>6.5619886087678297E-2</v>
      </c>
      <c r="Q210">
        <v>-2.6511883331309102E-2</v>
      </c>
      <c r="R210">
        <v>7.2497207642874498E-2</v>
      </c>
      <c r="S210">
        <v>-3.67877503973366E-3</v>
      </c>
      <c r="T210">
        <v>-5.3940911841891797E-3</v>
      </c>
      <c r="U210">
        <v>1.04073822573967E-3</v>
      </c>
      <c r="V210">
        <v>-1.33096344983555E-3</v>
      </c>
      <c r="W210">
        <v>5.2919600017165003E-2</v>
      </c>
      <c r="X210">
        <v>0</v>
      </c>
      <c r="Y210">
        <v>0.22884835426459199</v>
      </c>
      <c r="Z210">
        <v>0.60215181921461103</v>
      </c>
      <c r="AA210">
        <v>-1.6054744745602902E-2</v>
      </c>
      <c r="AB210">
        <v>4.45002796306498E-2</v>
      </c>
      <c r="AC210">
        <v>1.52470632649526E-2</v>
      </c>
      <c r="AD210">
        <v>-0.238843049265759</v>
      </c>
      <c r="AE210">
        <v>8.9119677075985004E-2</v>
      </c>
      <c r="AF210">
        <v>0</v>
      </c>
      <c r="AG210" s="878">
        <v>44043</v>
      </c>
      <c r="AH210" s="873">
        <f t="shared" si="3"/>
        <v>44013</v>
      </c>
    </row>
    <row r="211" spans="1:34">
      <c r="A211">
        <v>2</v>
      </c>
      <c r="B211">
        <v>390</v>
      </c>
      <c r="C211" t="s">
        <v>202</v>
      </c>
      <c r="D211">
        <v>148</v>
      </c>
      <c r="E211">
        <v>0</v>
      </c>
      <c r="F211">
        <v>0</v>
      </c>
      <c r="G211" t="s">
        <v>175</v>
      </c>
      <c r="H211" t="s">
        <v>175</v>
      </c>
      <c r="I211" s="878">
        <v>44055</v>
      </c>
      <c r="J211">
        <v>2</v>
      </c>
      <c r="K211" t="s">
        <v>202</v>
      </c>
      <c r="L211">
        <v>390</v>
      </c>
      <c r="M211">
        <v>0</v>
      </c>
      <c r="N211" t="s">
        <v>175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 t="s">
        <v>175</v>
      </c>
      <c r="Z211" t="s">
        <v>175</v>
      </c>
      <c r="AA211" t="s">
        <v>175</v>
      </c>
      <c r="AB211" t="s">
        <v>175</v>
      </c>
      <c r="AC211" t="s">
        <v>175</v>
      </c>
      <c r="AD211" t="s">
        <v>175</v>
      </c>
      <c r="AE211" t="s">
        <v>175</v>
      </c>
      <c r="AF211" t="s">
        <v>175</v>
      </c>
      <c r="AG211" s="878">
        <v>44055</v>
      </c>
      <c r="AH211" s="873">
        <f t="shared" si="3"/>
        <v>44044</v>
      </c>
    </row>
    <row r="212" spans="1:34">
      <c r="A212">
        <v>3</v>
      </c>
      <c r="B212">
        <v>390</v>
      </c>
      <c r="C212" t="s">
        <v>202</v>
      </c>
      <c r="D212">
        <v>148</v>
      </c>
      <c r="E212">
        <v>0</v>
      </c>
      <c r="F212">
        <v>0</v>
      </c>
      <c r="G212" t="s">
        <v>175</v>
      </c>
      <c r="H212" t="s">
        <v>175</v>
      </c>
      <c r="I212" s="878">
        <v>44088</v>
      </c>
      <c r="J212">
        <v>3</v>
      </c>
      <c r="K212" t="s">
        <v>202</v>
      </c>
      <c r="L212">
        <v>390</v>
      </c>
      <c r="M212">
        <v>0</v>
      </c>
      <c r="N212" t="s">
        <v>175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 t="s">
        <v>175</v>
      </c>
      <c r="Z212" t="s">
        <v>175</v>
      </c>
      <c r="AA212" t="s">
        <v>175</v>
      </c>
      <c r="AB212" t="s">
        <v>175</v>
      </c>
      <c r="AC212" t="s">
        <v>175</v>
      </c>
      <c r="AD212" t="s">
        <v>175</v>
      </c>
      <c r="AE212" t="s">
        <v>175</v>
      </c>
      <c r="AF212" t="s">
        <v>175</v>
      </c>
      <c r="AG212" s="878">
        <v>44088</v>
      </c>
      <c r="AH212" s="873">
        <f t="shared" si="3"/>
        <v>44075</v>
      </c>
    </row>
    <row r="213" spans="1:34">
      <c r="A213">
        <v>4</v>
      </c>
      <c r="B213">
        <v>390</v>
      </c>
      <c r="C213" t="s">
        <v>202</v>
      </c>
      <c r="D213">
        <v>148</v>
      </c>
      <c r="E213">
        <v>0</v>
      </c>
      <c r="F213">
        <v>0</v>
      </c>
      <c r="G213" t="s">
        <v>175</v>
      </c>
      <c r="H213" t="s">
        <v>175</v>
      </c>
      <c r="I213" s="878">
        <v>44117</v>
      </c>
      <c r="J213">
        <v>4</v>
      </c>
      <c r="K213" t="s">
        <v>202</v>
      </c>
      <c r="L213">
        <v>390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 t="s">
        <v>175</v>
      </c>
      <c r="Z213" t="s">
        <v>175</v>
      </c>
      <c r="AA213" t="s">
        <v>175</v>
      </c>
      <c r="AB213" t="s">
        <v>175</v>
      </c>
      <c r="AC213" t="s">
        <v>175</v>
      </c>
      <c r="AD213" t="s">
        <v>175</v>
      </c>
      <c r="AE213" t="s">
        <v>175</v>
      </c>
      <c r="AF213" t="s">
        <v>175</v>
      </c>
      <c r="AG213" s="878">
        <v>44117</v>
      </c>
      <c r="AH213" s="873">
        <f t="shared" si="3"/>
        <v>44105</v>
      </c>
    </row>
    <row r="214" spans="1:34">
      <c r="A214">
        <v>5</v>
      </c>
      <c r="B214">
        <v>390</v>
      </c>
      <c r="C214" t="s">
        <v>202</v>
      </c>
      <c r="D214">
        <v>148</v>
      </c>
      <c r="E214">
        <v>0</v>
      </c>
      <c r="F214">
        <v>0</v>
      </c>
      <c r="G214" t="s">
        <v>175</v>
      </c>
      <c r="H214" t="s">
        <v>175</v>
      </c>
      <c r="I214" s="878">
        <v>44147</v>
      </c>
      <c r="J214">
        <v>5</v>
      </c>
      <c r="K214" t="s">
        <v>202</v>
      </c>
      <c r="L214">
        <v>390</v>
      </c>
      <c r="M214" t="s">
        <v>175</v>
      </c>
      <c r="N214" t="s">
        <v>175</v>
      </c>
      <c r="O214" t="s">
        <v>175</v>
      </c>
      <c r="P214" t="s">
        <v>175</v>
      </c>
      <c r="Q214" t="s">
        <v>175</v>
      </c>
      <c r="R214" t="s">
        <v>175</v>
      </c>
      <c r="S214" t="s">
        <v>175</v>
      </c>
      <c r="T214" t="s">
        <v>175</v>
      </c>
      <c r="U214" t="s">
        <v>175</v>
      </c>
      <c r="V214" t="s">
        <v>175</v>
      </c>
      <c r="W214" t="s">
        <v>175</v>
      </c>
      <c r="X214" t="s">
        <v>175</v>
      </c>
      <c r="Y214" t="s">
        <v>175</v>
      </c>
      <c r="Z214" t="s">
        <v>175</v>
      </c>
      <c r="AA214" t="s">
        <v>175</v>
      </c>
      <c r="AB214" t="s">
        <v>175</v>
      </c>
      <c r="AC214" t="s">
        <v>175</v>
      </c>
      <c r="AD214" t="s">
        <v>175</v>
      </c>
      <c r="AE214" t="s">
        <v>175</v>
      </c>
      <c r="AF214" t="s">
        <v>175</v>
      </c>
      <c r="AG214" s="878">
        <v>44147</v>
      </c>
      <c r="AH214" s="873">
        <f t="shared" si="3"/>
        <v>44136</v>
      </c>
    </row>
    <row r="215" spans="1:34">
      <c r="A215">
        <v>6</v>
      </c>
      <c r="B215">
        <v>390</v>
      </c>
      <c r="C215" t="s">
        <v>202</v>
      </c>
      <c r="D215">
        <v>148</v>
      </c>
      <c r="E215">
        <v>0</v>
      </c>
      <c r="F215">
        <v>0</v>
      </c>
      <c r="G215" t="s">
        <v>175</v>
      </c>
      <c r="H215" t="s">
        <v>175</v>
      </c>
      <c r="I215" s="878">
        <v>44179</v>
      </c>
      <c r="J215">
        <v>6</v>
      </c>
      <c r="K215" t="s">
        <v>202</v>
      </c>
      <c r="L215">
        <v>390</v>
      </c>
      <c r="M215" t="s">
        <v>175</v>
      </c>
      <c r="N215" t="s">
        <v>175</v>
      </c>
      <c r="O215" t="s">
        <v>175</v>
      </c>
      <c r="P215" t="s">
        <v>175</v>
      </c>
      <c r="Q215" t="s">
        <v>175</v>
      </c>
      <c r="R215" t="s">
        <v>175</v>
      </c>
      <c r="S215" t="s">
        <v>175</v>
      </c>
      <c r="T215" t="s">
        <v>175</v>
      </c>
      <c r="U215" t="s">
        <v>175</v>
      </c>
      <c r="V215" t="s">
        <v>175</v>
      </c>
      <c r="W215" t="s">
        <v>175</v>
      </c>
      <c r="X215" t="s">
        <v>175</v>
      </c>
      <c r="Y215" t="s">
        <v>175</v>
      </c>
      <c r="Z215" t="s">
        <v>175</v>
      </c>
      <c r="AA215" t="s">
        <v>175</v>
      </c>
      <c r="AB215" t="s">
        <v>175</v>
      </c>
      <c r="AC215" t="s">
        <v>175</v>
      </c>
      <c r="AD215" t="s">
        <v>175</v>
      </c>
      <c r="AE215" t="s">
        <v>175</v>
      </c>
      <c r="AF215" t="s">
        <v>175</v>
      </c>
      <c r="AG215" s="878">
        <v>44179</v>
      </c>
      <c r="AH215" s="873">
        <f t="shared" si="3"/>
        <v>44166</v>
      </c>
    </row>
    <row r="216" spans="1:34">
      <c r="A216">
        <v>7</v>
      </c>
      <c r="B216">
        <v>390</v>
      </c>
      <c r="C216" t="s">
        <v>202</v>
      </c>
      <c r="D216">
        <v>148</v>
      </c>
      <c r="E216">
        <v>0</v>
      </c>
      <c r="F216">
        <v>0</v>
      </c>
      <c r="G216" t="s">
        <v>175</v>
      </c>
      <c r="H216" t="s">
        <v>175</v>
      </c>
      <c r="I216" s="878">
        <v>44193</v>
      </c>
      <c r="J216">
        <v>7</v>
      </c>
      <c r="K216" t="s">
        <v>202</v>
      </c>
      <c r="L216">
        <v>390</v>
      </c>
      <c r="M216" t="s">
        <v>175</v>
      </c>
      <c r="N216" t="s">
        <v>175</v>
      </c>
      <c r="O216" t="s">
        <v>175</v>
      </c>
      <c r="P216" t="s">
        <v>175</v>
      </c>
      <c r="Q216" t="s">
        <v>175</v>
      </c>
      <c r="R216" t="s">
        <v>175</v>
      </c>
      <c r="S216" t="s">
        <v>175</v>
      </c>
      <c r="T216" t="s">
        <v>175</v>
      </c>
      <c r="U216" t="s">
        <v>175</v>
      </c>
      <c r="V216" t="s">
        <v>175</v>
      </c>
      <c r="W216" t="s">
        <v>175</v>
      </c>
      <c r="X216" t="s">
        <v>175</v>
      </c>
      <c r="Y216" t="s">
        <v>175</v>
      </c>
      <c r="Z216" t="s">
        <v>175</v>
      </c>
      <c r="AA216" t="s">
        <v>175</v>
      </c>
      <c r="AB216" t="s">
        <v>175</v>
      </c>
      <c r="AC216" t="s">
        <v>175</v>
      </c>
      <c r="AD216" t="s">
        <v>175</v>
      </c>
      <c r="AE216" t="s">
        <v>175</v>
      </c>
      <c r="AF216" t="s">
        <v>175</v>
      </c>
      <c r="AG216" s="878">
        <v>44193</v>
      </c>
      <c r="AH216" s="873">
        <f t="shared" si="3"/>
        <v>44166</v>
      </c>
    </row>
    <row r="217" spans="1:34">
      <c r="A217">
        <v>8</v>
      </c>
      <c r="B217">
        <v>390</v>
      </c>
      <c r="C217" t="s">
        <v>202</v>
      </c>
      <c r="D217">
        <v>148</v>
      </c>
      <c r="E217">
        <v>0</v>
      </c>
      <c r="F217">
        <v>0</v>
      </c>
      <c r="G217" t="s">
        <v>175</v>
      </c>
      <c r="H217" t="s">
        <v>175</v>
      </c>
      <c r="I217" s="878">
        <v>44208</v>
      </c>
      <c r="J217">
        <v>8</v>
      </c>
      <c r="K217" t="s">
        <v>202</v>
      </c>
      <c r="L217">
        <v>390</v>
      </c>
      <c r="M217" t="s">
        <v>175</v>
      </c>
      <c r="N217" t="s">
        <v>175</v>
      </c>
      <c r="O217" t="s">
        <v>175</v>
      </c>
      <c r="P217" t="s">
        <v>175</v>
      </c>
      <c r="Q217" t="s">
        <v>175</v>
      </c>
      <c r="R217" t="s">
        <v>175</v>
      </c>
      <c r="S217" t="s">
        <v>175</v>
      </c>
      <c r="T217" t="s">
        <v>175</v>
      </c>
      <c r="U217" t="s">
        <v>175</v>
      </c>
      <c r="V217" t="s">
        <v>175</v>
      </c>
      <c r="W217" t="s">
        <v>175</v>
      </c>
      <c r="X217" t="s">
        <v>175</v>
      </c>
      <c r="Y217" t="s">
        <v>175</v>
      </c>
      <c r="Z217" t="s">
        <v>175</v>
      </c>
      <c r="AA217" t="s">
        <v>175</v>
      </c>
      <c r="AB217" t="s">
        <v>175</v>
      </c>
      <c r="AC217" t="s">
        <v>175</v>
      </c>
      <c r="AD217" t="s">
        <v>175</v>
      </c>
      <c r="AE217" t="s">
        <v>175</v>
      </c>
      <c r="AF217" t="s">
        <v>175</v>
      </c>
      <c r="AG217" s="878">
        <v>44208</v>
      </c>
      <c r="AH217" s="873">
        <f t="shared" si="3"/>
        <v>44197</v>
      </c>
    </row>
    <row r="218" spans="1:34">
      <c r="A218">
        <v>1</v>
      </c>
      <c r="B218">
        <v>391</v>
      </c>
      <c r="C218" t="s">
        <v>203</v>
      </c>
      <c r="D218">
        <v>104</v>
      </c>
      <c r="E218">
        <v>311227372.86000001</v>
      </c>
      <c r="F218">
        <v>0</v>
      </c>
      <c r="G218">
        <v>0</v>
      </c>
      <c r="H218">
        <v>0</v>
      </c>
      <c r="I218" s="878">
        <v>44043</v>
      </c>
      <c r="J218">
        <v>1</v>
      </c>
      <c r="K218" t="s">
        <v>203</v>
      </c>
      <c r="L218">
        <v>391</v>
      </c>
      <c r="M218">
        <v>3.2091924171762598E-2</v>
      </c>
      <c r="N218">
        <v>0.739116995417612</v>
      </c>
      <c r="O218">
        <v>0.160510560626271</v>
      </c>
      <c r="P218">
        <v>6.8280519784354801E-2</v>
      </c>
      <c r="Q218">
        <v>-3.3474782260513002E-2</v>
      </c>
      <c r="R218">
        <v>4.4506006051822602E-2</v>
      </c>
      <c r="S218">
        <v>-6.7683975565593201E-3</v>
      </c>
      <c r="T218">
        <v>-1.0684012429381501E-2</v>
      </c>
      <c r="U218">
        <v>1.44482744518194E-3</v>
      </c>
      <c r="V218">
        <v>1.0359390854256E-3</v>
      </c>
      <c r="W218">
        <v>3.6032343835786303E-2</v>
      </c>
      <c r="X218">
        <v>0</v>
      </c>
      <c r="Y218">
        <v>0.27507458798783202</v>
      </c>
      <c r="Z218">
        <v>0.74890236002745902</v>
      </c>
      <c r="AA218">
        <v>-1.6071881801508699E-2</v>
      </c>
      <c r="AB218">
        <v>8.0410429069995307E-2</v>
      </c>
      <c r="AC218">
        <v>2.3464998412222202E-2</v>
      </c>
      <c r="AD218">
        <v>-0.47217892719257998</v>
      </c>
      <c r="AE218">
        <v>9.9515428914191795E-2</v>
      </c>
      <c r="AF218">
        <v>0</v>
      </c>
      <c r="AG218" s="878">
        <v>44043</v>
      </c>
      <c r="AH218" s="873">
        <f t="shared" si="3"/>
        <v>44013</v>
      </c>
    </row>
    <row r="219" spans="1:34">
      <c r="A219">
        <v>2</v>
      </c>
      <c r="B219">
        <v>391</v>
      </c>
      <c r="C219" t="s">
        <v>203</v>
      </c>
      <c r="D219">
        <v>104</v>
      </c>
      <c r="E219">
        <v>43060716.140000001</v>
      </c>
      <c r="F219">
        <v>0</v>
      </c>
      <c r="G219" t="s">
        <v>175</v>
      </c>
      <c r="H219" t="s">
        <v>175</v>
      </c>
      <c r="I219" s="878">
        <v>44055</v>
      </c>
      <c r="J219">
        <v>2</v>
      </c>
      <c r="K219" t="s">
        <v>203</v>
      </c>
      <c r="L219">
        <v>391</v>
      </c>
      <c r="M219">
        <v>0.55065601087181104</v>
      </c>
      <c r="N219" t="s">
        <v>175</v>
      </c>
      <c r="O219">
        <v>0.194689788490571</v>
      </c>
      <c r="P219">
        <v>0.25465420063761801</v>
      </c>
      <c r="Q219">
        <v>-0.22956865914639701</v>
      </c>
      <c r="R219">
        <v>0.34251240593141202</v>
      </c>
      <c r="S219">
        <v>-6.8257415486230599E-2</v>
      </c>
      <c r="T219">
        <v>1.6758674102077299E-2</v>
      </c>
      <c r="U219">
        <v>2.1148305117217801E-2</v>
      </c>
      <c r="V219">
        <v>0.27913862378417897</v>
      </c>
      <c r="W219">
        <v>0.18892407656955301</v>
      </c>
      <c r="X219">
        <v>0</v>
      </c>
      <c r="Y219" t="s">
        <v>175</v>
      </c>
      <c r="Z219" t="s">
        <v>175</v>
      </c>
      <c r="AA219" t="s">
        <v>175</v>
      </c>
      <c r="AB219" t="s">
        <v>175</v>
      </c>
      <c r="AC219" t="s">
        <v>175</v>
      </c>
      <c r="AD219" t="s">
        <v>175</v>
      </c>
      <c r="AE219" t="s">
        <v>175</v>
      </c>
      <c r="AF219" t="s">
        <v>175</v>
      </c>
      <c r="AG219" s="878">
        <v>44055</v>
      </c>
      <c r="AH219" s="873">
        <f t="shared" si="3"/>
        <v>44044</v>
      </c>
    </row>
    <row r="220" spans="1:34">
      <c r="A220">
        <v>3</v>
      </c>
      <c r="B220">
        <v>391</v>
      </c>
      <c r="C220" t="s">
        <v>203</v>
      </c>
      <c r="D220">
        <v>104</v>
      </c>
      <c r="E220">
        <v>0</v>
      </c>
      <c r="F220">
        <v>0</v>
      </c>
      <c r="G220" t="s">
        <v>175</v>
      </c>
      <c r="H220" t="s">
        <v>175</v>
      </c>
      <c r="I220" s="878">
        <v>44088</v>
      </c>
      <c r="J220">
        <v>3</v>
      </c>
      <c r="K220" t="s">
        <v>203</v>
      </c>
      <c r="L220">
        <v>391</v>
      </c>
      <c r="M220">
        <v>0.74590560407288498</v>
      </c>
      <c r="N220" t="s">
        <v>175</v>
      </c>
      <c r="O220">
        <v>3.1875692338067203E-2</v>
      </c>
      <c r="P220">
        <v>0.22221870358904799</v>
      </c>
      <c r="Q220">
        <v>-0.29825692744598198</v>
      </c>
      <c r="R220">
        <v>0.54436433784344795</v>
      </c>
      <c r="S220">
        <v>-3.1428313487665303E-2</v>
      </c>
      <c r="T220">
        <v>0.31401520918046799</v>
      </c>
      <c r="U220">
        <v>2.2903710616403599E-2</v>
      </c>
      <c r="V220">
        <v>2.6382094232660601E-2</v>
      </c>
      <c r="W220">
        <v>0.16792549313355201</v>
      </c>
      <c r="X220">
        <v>0</v>
      </c>
      <c r="Y220" t="s">
        <v>175</v>
      </c>
      <c r="Z220" t="s">
        <v>175</v>
      </c>
      <c r="AA220" t="s">
        <v>175</v>
      </c>
      <c r="AB220" t="s">
        <v>175</v>
      </c>
      <c r="AC220" t="s">
        <v>175</v>
      </c>
      <c r="AD220" t="s">
        <v>175</v>
      </c>
      <c r="AE220" t="s">
        <v>175</v>
      </c>
      <c r="AF220" t="s">
        <v>175</v>
      </c>
      <c r="AG220" s="878">
        <v>44088</v>
      </c>
      <c r="AH220" s="873">
        <f t="shared" si="3"/>
        <v>44075</v>
      </c>
    </row>
    <row r="221" spans="1:34">
      <c r="A221">
        <v>4</v>
      </c>
      <c r="B221">
        <v>391</v>
      </c>
      <c r="C221" t="s">
        <v>203</v>
      </c>
      <c r="D221">
        <v>104</v>
      </c>
      <c r="E221">
        <v>0</v>
      </c>
      <c r="F221">
        <v>0</v>
      </c>
      <c r="G221" t="s">
        <v>175</v>
      </c>
      <c r="H221" t="s">
        <v>175</v>
      </c>
      <c r="I221" s="878">
        <v>44117</v>
      </c>
      <c r="J221">
        <v>4</v>
      </c>
      <c r="K221" t="s">
        <v>203</v>
      </c>
      <c r="L221">
        <v>391</v>
      </c>
      <c r="M221">
        <v>0.76468736899893397</v>
      </c>
      <c r="N221">
        <v>0</v>
      </c>
      <c r="O221">
        <v>0.19847424613775499</v>
      </c>
      <c r="P221">
        <v>3.6838384863310002E-2</v>
      </c>
      <c r="Q221">
        <v>-0.19377213687527201</v>
      </c>
      <c r="R221">
        <v>0.54278122049167499</v>
      </c>
      <c r="S221">
        <v>-3.0188354355667399E-2</v>
      </c>
      <c r="T221">
        <v>0.22464768749678499</v>
      </c>
      <c r="U221">
        <v>3.0660917142440399E-2</v>
      </c>
      <c r="V221">
        <v>-3.5459020372745002E-2</v>
      </c>
      <c r="W221">
        <v>0.22601705547171799</v>
      </c>
      <c r="X221">
        <v>0</v>
      </c>
      <c r="Y221" t="s">
        <v>175</v>
      </c>
      <c r="Z221" t="s">
        <v>175</v>
      </c>
      <c r="AA221" t="s">
        <v>175</v>
      </c>
      <c r="AB221" t="s">
        <v>175</v>
      </c>
      <c r="AC221" t="s">
        <v>175</v>
      </c>
      <c r="AD221" t="s">
        <v>175</v>
      </c>
      <c r="AE221" t="s">
        <v>175</v>
      </c>
      <c r="AF221" t="s">
        <v>175</v>
      </c>
      <c r="AG221" s="878">
        <v>44117</v>
      </c>
      <c r="AH221" s="873">
        <f t="shared" si="3"/>
        <v>44105</v>
      </c>
    </row>
    <row r="222" spans="1:34">
      <c r="A222">
        <v>5</v>
      </c>
      <c r="B222">
        <v>391</v>
      </c>
      <c r="C222" t="s">
        <v>203</v>
      </c>
      <c r="D222">
        <v>104</v>
      </c>
      <c r="E222">
        <v>0</v>
      </c>
      <c r="F222">
        <v>0</v>
      </c>
      <c r="G222" t="s">
        <v>175</v>
      </c>
      <c r="H222" t="s">
        <v>175</v>
      </c>
      <c r="I222" s="878">
        <v>44147</v>
      </c>
      <c r="J222">
        <v>5</v>
      </c>
      <c r="K222" t="s">
        <v>203</v>
      </c>
      <c r="L222">
        <v>391</v>
      </c>
      <c r="M222">
        <v>0.98313823080562501</v>
      </c>
      <c r="N222">
        <v>0</v>
      </c>
      <c r="O222">
        <v>0</v>
      </c>
      <c r="P222">
        <v>1.6861769194375199E-2</v>
      </c>
      <c r="Q222">
        <v>0.80805730300395495</v>
      </c>
      <c r="R222">
        <v>0.36086908637505799</v>
      </c>
      <c r="S222">
        <v>4.3457034101480801E-2</v>
      </c>
      <c r="T222">
        <v>-2.7304849732648802E-3</v>
      </c>
      <c r="U222">
        <v>8.0373069675075404E-3</v>
      </c>
      <c r="V222">
        <v>-5.9108005425179598E-2</v>
      </c>
      <c r="W222">
        <v>-0.175444009243932</v>
      </c>
      <c r="X222">
        <v>0</v>
      </c>
      <c r="Y222" t="s">
        <v>175</v>
      </c>
      <c r="Z222" t="s">
        <v>175</v>
      </c>
      <c r="AA222" t="s">
        <v>175</v>
      </c>
      <c r="AB222" t="s">
        <v>175</v>
      </c>
      <c r="AC222" t="s">
        <v>175</v>
      </c>
      <c r="AD222" t="s">
        <v>175</v>
      </c>
      <c r="AE222" t="s">
        <v>175</v>
      </c>
      <c r="AF222" t="s">
        <v>175</v>
      </c>
      <c r="AG222" s="878">
        <v>44147</v>
      </c>
      <c r="AH222" s="873">
        <f t="shared" si="3"/>
        <v>44136</v>
      </c>
    </row>
    <row r="223" spans="1:34">
      <c r="A223">
        <v>6</v>
      </c>
      <c r="B223">
        <v>391</v>
      </c>
      <c r="C223" t="s">
        <v>203</v>
      </c>
      <c r="D223">
        <v>104</v>
      </c>
      <c r="E223">
        <v>0</v>
      </c>
      <c r="F223">
        <v>0</v>
      </c>
      <c r="G223" t="s">
        <v>175</v>
      </c>
      <c r="H223" t="s">
        <v>175</v>
      </c>
      <c r="I223" s="878">
        <v>44179</v>
      </c>
      <c r="J223">
        <v>6</v>
      </c>
      <c r="K223" t="s">
        <v>203</v>
      </c>
      <c r="L223">
        <v>391</v>
      </c>
      <c r="M223">
        <v>0.85708355999680497</v>
      </c>
      <c r="N223">
        <v>0</v>
      </c>
      <c r="O223">
        <v>0.14291644000319501</v>
      </c>
      <c r="P223">
        <v>0</v>
      </c>
      <c r="Q223">
        <v>0.65792130674862404</v>
      </c>
      <c r="R223">
        <v>0.110449467348778</v>
      </c>
      <c r="S223">
        <v>0</v>
      </c>
      <c r="T223">
        <v>2.1882861385157298E-2</v>
      </c>
      <c r="U223">
        <v>3.8965415695921598E-3</v>
      </c>
      <c r="V223">
        <v>6.2844863500284107E-2</v>
      </c>
      <c r="W223">
        <v>8.8519444369505206E-5</v>
      </c>
      <c r="X223">
        <v>0</v>
      </c>
      <c r="Y223" t="s">
        <v>175</v>
      </c>
      <c r="Z223" t="s">
        <v>175</v>
      </c>
      <c r="AA223" t="s">
        <v>175</v>
      </c>
      <c r="AB223" t="s">
        <v>175</v>
      </c>
      <c r="AC223" t="s">
        <v>175</v>
      </c>
      <c r="AD223" t="s">
        <v>175</v>
      </c>
      <c r="AE223" t="s">
        <v>175</v>
      </c>
      <c r="AF223" t="s">
        <v>175</v>
      </c>
      <c r="AG223" s="878">
        <v>44179</v>
      </c>
      <c r="AH223" s="873">
        <f t="shared" si="3"/>
        <v>44166</v>
      </c>
    </row>
    <row r="224" spans="1:34">
      <c r="A224">
        <v>7</v>
      </c>
      <c r="B224">
        <v>391</v>
      </c>
      <c r="C224" t="s">
        <v>203</v>
      </c>
      <c r="D224">
        <v>104</v>
      </c>
      <c r="E224">
        <v>0</v>
      </c>
      <c r="F224">
        <v>0</v>
      </c>
      <c r="G224" t="s">
        <v>175</v>
      </c>
      <c r="H224" t="s">
        <v>175</v>
      </c>
      <c r="I224" s="878">
        <v>44193</v>
      </c>
      <c r="J224">
        <v>7</v>
      </c>
      <c r="K224" t="s">
        <v>203</v>
      </c>
      <c r="L224">
        <v>391</v>
      </c>
      <c r="M224" t="s">
        <v>175</v>
      </c>
      <c r="N224">
        <v>0</v>
      </c>
      <c r="O224" t="s">
        <v>175</v>
      </c>
      <c r="P224" t="s">
        <v>175</v>
      </c>
      <c r="Q224" t="s">
        <v>175</v>
      </c>
      <c r="R224" t="s">
        <v>175</v>
      </c>
      <c r="S224" t="s">
        <v>175</v>
      </c>
      <c r="T224" t="s">
        <v>175</v>
      </c>
      <c r="U224" t="s">
        <v>175</v>
      </c>
      <c r="V224" t="s">
        <v>175</v>
      </c>
      <c r="W224" t="s">
        <v>175</v>
      </c>
      <c r="X224" t="s">
        <v>175</v>
      </c>
      <c r="Y224" t="s">
        <v>175</v>
      </c>
      <c r="Z224" t="s">
        <v>175</v>
      </c>
      <c r="AA224" t="s">
        <v>175</v>
      </c>
      <c r="AB224" t="s">
        <v>175</v>
      </c>
      <c r="AC224" t="s">
        <v>175</v>
      </c>
      <c r="AD224" t="s">
        <v>175</v>
      </c>
      <c r="AE224" t="s">
        <v>175</v>
      </c>
      <c r="AF224" t="s">
        <v>175</v>
      </c>
      <c r="AG224" s="878">
        <v>44193</v>
      </c>
      <c r="AH224" s="873">
        <f t="shared" si="3"/>
        <v>44166</v>
      </c>
    </row>
    <row r="225" spans="1:34">
      <c r="A225">
        <v>8</v>
      </c>
      <c r="B225">
        <v>391</v>
      </c>
      <c r="C225" t="s">
        <v>203</v>
      </c>
      <c r="D225">
        <v>104</v>
      </c>
      <c r="E225">
        <v>0</v>
      </c>
      <c r="F225">
        <v>0</v>
      </c>
      <c r="G225" t="s">
        <v>175</v>
      </c>
      <c r="H225" t="s">
        <v>175</v>
      </c>
      <c r="I225" s="878">
        <v>44208</v>
      </c>
      <c r="J225">
        <v>8</v>
      </c>
      <c r="K225" t="s">
        <v>203</v>
      </c>
      <c r="L225">
        <v>391</v>
      </c>
      <c r="M225" t="s">
        <v>175</v>
      </c>
      <c r="N225">
        <v>0</v>
      </c>
      <c r="O225" t="s">
        <v>175</v>
      </c>
      <c r="P225" t="s">
        <v>175</v>
      </c>
      <c r="Q225" t="s">
        <v>175</v>
      </c>
      <c r="R225" t="s">
        <v>175</v>
      </c>
      <c r="S225" t="s">
        <v>175</v>
      </c>
      <c r="T225" t="s">
        <v>175</v>
      </c>
      <c r="U225" t="s">
        <v>175</v>
      </c>
      <c r="V225" t="s">
        <v>175</v>
      </c>
      <c r="W225" t="s">
        <v>175</v>
      </c>
      <c r="X225" t="s">
        <v>175</v>
      </c>
      <c r="Y225" t="s">
        <v>175</v>
      </c>
      <c r="Z225" t="s">
        <v>175</v>
      </c>
      <c r="AA225" t="s">
        <v>175</v>
      </c>
      <c r="AB225" t="s">
        <v>175</v>
      </c>
      <c r="AC225" t="s">
        <v>175</v>
      </c>
      <c r="AD225" t="s">
        <v>175</v>
      </c>
      <c r="AE225" t="s">
        <v>175</v>
      </c>
      <c r="AF225" t="s">
        <v>175</v>
      </c>
      <c r="AG225" s="878">
        <v>44208</v>
      </c>
      <c r="AH225" s="873">
        <f t="shared" si="3"/>
        <v>44197</v>
      </c>
    </row>
    <row r="226" spans="1:34">
      <c r="A226">
        <v>1</v>
      </c>
      <c r="B226">
        <v>398</v>
      </c>
      <c r="C226" t="s">
        <v>204</v>
      </c>
      <c r="D226">
        <v>147</v>
      </c>
      <c r="E226">
        <v>2262630.16</v>
      </c>
      <c r="F226">
        <v>0</v>
      </c>
      <c r="G226">
        <v>0</v>
      </c>
      <c r="H226">
        <v>0</v>
      </c>
      <c r="I226" s="878">
        <v>44043</v>
      </c>
      <c r="J226">
        <v>1</v>
      </c>
      <c r="K226" t="s">
        <v>204</v>
      </c>
      <c r="L226">
        <v>398</v>
      </c>
      <c r="M226">
        <v>0</v>
      </c>
      <c r="N226">
        <v>0.74337164995940097</v>
      </c>
      <c r="O226">
        <v>0.10507186676649399</v>
      </c>
      <c r="P226">
        <v>0.15155648327410601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0.74477811199958899</v>
      </c>
      <c r="Z226">
        <v>0</v>
      </c>
      <c r="AA226">
        <v>-4.7413246087522801E-2</v>
      </c>
      <c r="AB226">
        <v>0.39351558898887301</v>
      </c>
      <c r="AC226">
        <v>3.9257081325662101E-2</v>
      </c>
      <c r="AD226">
        <v>-0.52537140193563803</v>
      </c>
      <c r="AE226">
        <v>0.13860551566843801</v>
      </c>
      <c r="AF226">
        <v>0</v>
      </c>
      <c r="AG226" s="878">
        <v>44043</v>
      </c>
      <c r="AH226" s="873">
        <f t="shared" si="3"/>
        <v>44013</v>
      </c>
    </row>
    <row r="227" spans="1:34">
      <c r="A227">
        <v>2</v>
      </c>
      <c r="B227">
        <v>398</v>
      </c>
      <c r="C227" t="s">
        <v>204</v>
      </c>
      <c r="D227">
        <v>147</v>
      </c>
      <c r="E227">
        <v>261688</v>
      </c>
      <c r="F227">
        <v>0</v>
      </c>
      <c r="G227" t="s">
        <v>175</v>
      </c>
      <c r="H227" t="s">
        <v>175</v>
      </c>
      <c r="I227" s="878">
        <v>44055</v>
      </c>
      <c r="J227">
        <v>2</v>
      </c>
      <c r="K227" t="s">
        <v>204</v>
      </c>
      <c r="L227">
        <v>398</v>
      </c>
      <c r="M227">
        <v>1</v>
      </c>
      <c r="N227" t="s">
        <v>175</v>
      </c>
      <c r="O227">
        <v>0</v>
      </c>
      <c r="P227">
        <v>0</v>
      </c>
      <c r="Q227">
        <v>0.95892481117071204</v>
      </c>
      <c r="R227">
        <v>0</v>
      </c>
      <c r="S227">
        <v>3.06936669093711E-4</v>
      </c>
      <c r="T227">
        <v>-5.8561557116206697E-2</v>
      </c>
      <c r="U227">
        <v>3.2430456331333297E-2</v>
      </c>
      <c r="V227">
        <v>-0.16331521490963299</v>
      </c>
      <c r="W227">
        <v>0.23021456785470101</v>
      </c>
      <c r="X227">
        <v>0</v>
      </c>
      <c r="Y227" t="s">
        <v>175</v>
      </c>
      <c r="Z227" t="s">
        <v>175</v>
      </c>
      <c r="AA227" t="s">
        <v>175</v>
      </c>
      <c r="AB227" t="s">
        <v>175</v>
      </c>
      <c r="AC227" t="s">
        <v>175</v>
      </c>
      <c r="AD227" t="s">
        <v>175</v>
      </c>
      <c r="AE227" t="s">
        <v>175</v>
      </c>
      <c r="AF227" t="s">
        <v>175</v>
      </c>
      <c r="AG227" s="878">
        <v>44055</v>
      </c>
      <c r="AH227" s="873">
        <f t="shared" si="3"/>
        <v>44044</v>
      </c>
    </row>
    <row r="228" spans="1:34">
      <c r="A228">
        <v>3</v>
      </c>
      <c r="B228">
        <v>398</v>
      </c>
      <c r="C228" t="s">
        <v>204</v>
      </c>
      <c r="D228">
        <v>147</v>
      </c>
      <c r="E228">
        <v>610908.4</v>
      </c>
      <c r="F228">
        <v>0</v>
      </c>
      <c r="G228" t="s">
        <v>175</v>
      </c>
      <c r="H228" t="s">
        <v>175</v>
      </c>
      <c r="I228" s="878">
        <v>44088</v>
      </c>
      <c r="J228">
        <v>3</v>
      </c>
      <c r="K228" t="s">
        <v>204</v>
      </c>
      <c r="L228">
        <v>398</v>
      </c>
      <c r="M228">
        <v>0.75067006554841098</v>
      </c>
      <c r="N228" t="s">
        <v>175</v>
      </c>
      <c r="O228">
        <v>0.24932993445158899</v>
      </c>
      <c r="P228">
        <v>0</v>
      </c>
      <c r="Q228">
        <v>0.66086722655234598</v>
      </c>
      <c r="R228">
        <v>0</v>
      </c>
      <c r="S228">
        <v>-3.7070643027103602E-3</v>
      </c>
      <c r="T228">
        <v>0.15187427963097</v>
      </c>
      <c r="U228">
        <v>1.39461131427544E-2</v>
      </c>
      <c r="V228">
        <v>-9.3004562993999701E-2</v>
      </c>
      <c r="W228">
        <v>2.06940735190504E-2</v>
      </c>
      <c r="X228">
        <v>0</v>
      </c>
      <c r="Y228" t="s">
        <v>175</v>
      </c>
      <c r="Z228" t="s">
        <v>175</v>
      </c>
      <c r="AA228" t="s">
        <v>175</v>
      </c>
      <c r="AB228" t="s">
        <v>175</v>
      </c>
      <c r="AC228" t="s">
        <v>175</v>
      </c>
      <c r="AD228" t="s">
        <v>175</v>
      </c>
      <c r="AE228" t="s">
        <v>175</v>
      </c>
      <c r="AF228" t="s">
        <v>175</v>
      </c>
      <c r="AG228" s="878">
        <v>44088</v>
      </c>
      <c r="AH228" s="873">
        <f t="shared" si="3"/>
        <v>44075</v>
      </c>
    </row>
    <row r="229" spans="1:34">
      <c r="A229">
        <v>4</v>
      </c>
      <c r="B229">
        <v>398</v>
      </c>
      <c r="C229" t="s">
        <v>204</v>
      </c>
      <c r="D229">
        <v>147</v>
      </c>
      <c r="E229">
        <v>683950</v>
      </c>
      <c r="F229">
        <v>0</v>
      </c>
      <c r="G229" t="s">
        <v>175</v>
      </c>
      <c r="H229" t="s">
        <v>175</v>
      </c>
      <c r="I229" s="878">
        <v>44117</v>
      </c>
      <c r="J229">
        <v>4</v>
      </c>
      <c r="K229" t="s">
        <v>204</v>
      </c>
      <c r="L229">
        <v>398</v>
      </c>
      <c r="M229">
        <v>0.86005387480839401</v>
      </c>
      <c r="N229">
        <v>0</v>
      </c>
      <c r="O229">
        <v>0.134316461865091</v>
      </c>
      <c r="P229">
        <v>5.6296633265147797E-3</v>
      </c>
      <c r="Q229">
        <v>0.804306849686934</v>
      </c>
      <c r="R229">
        <v>0</v>
      </c>
      <c r="S229">
        <v>-7.7015529392521001E-3</v>
      </c>
      <c r="T229">
        <v>0.13914617177077299</v>
      </c>
      <c r="U229">
        <v>3.8568670151178999E-2</v>
      </c>
      <c r="V229">
        <v>-0.154650090077571</v>
      </c>
      <c r="W229">
        <v>4.0383826216330097E-2</v>
      </c>
      <c r="X229">
        <v>0</v>
      </c>
      <c r="Y229" t="s">
        <v>175</v>
      </c>
      <c r="Z229" t="s">
        <v>175</v>
      </c>
      <c r="AA229" t="s">
        <v>175</v>
      </c>
      <c r="AB229" t="s">
        <v>175</v>
      </c>
      <c r="AC229" t="s">
        <v>175</v>
      </c>
      <c r="AD229" t="s">
        <v>175</v>
      </c>
      <c r="AE229" t="s">
        <v>175</v>
      </c>
      <c r="AF229" t="s">
        <v>175</v>
      </c>
      <c r="AG229" s="878">
        <v>44117</v>
      </c>
      <c r="AH229" s="873">
        <f t="shared" si="3"/>
        <v>44105</v>
      </c>
    </row>
    <row r="230" spans="1:34">
      <c r="A230">
        <v>5</v>
      </c>
      <c r="B230">
        <v>398</v>
      </c>
      <c r="C230" t="s">
        <v>204</v>
      </c>
      <c r="D230">
        <v>147</v>
      </c>
      <c r="E230">
        <v>936669</v>
      </c>
      <c r="F230">
        <v>0</v>
      </c>
      <c r="G230" t="s">
        <v>175</v>
      </c>
      <c r="H230" t="s">
        <v>175</v>
      </c>
      <c r="I230" s="878">
        <v>44147</v>
      </c>
      <c r="J230">
        <v>5</v>
      </c>
      <c r="K230" t="s">
        <v>204</v>
      </c>
      <c r="L230">
        <v>398</v>
      </c>
      <c r="M230">
        <v>0.98556620535282602</v>
      </c>
      <c r="N230">
        <v>0</v>
      </c>
      <c r="O230">
        <v>0</v>
      </c>
      <c r="P230">
        <v>1.4433794647174199E-2</v>
      </c>
      <c r="Q230">
        <v>0.93273407921359797</v>
      </c>
      <c r="R230">
        <v>0</v>
      </c>
      <c r="S230">
        <v>-8.5649612346965706E-3</v>
      </c>
      <c r="T230">
        <v>0.14811872686136399</v>
      </c>
      <c r="U230">
        <v>2.4292070378067101E-2</v>
      </c>
      <c r="V230">
        <v>-0.15330514524879599</v>
      </c>
      <c r="W230">
        <v>4.2291435383289701E-2</v>
      </c>
      <c r="X230">
        <v>0</v>
      </c>
      <c r="Y230" t="s">
        <v>175</v>
      </c>
      <c r="Z230" t="s">
        <v>175</v>
      </c>
      <c r="AA230" t="s">
        <v>175</v>
      </c>
      <c r="AB230" t="s">
        <v>175</v>
      </c>
      <c r="AC230" t="s">
        <v>175</v>
      </c>
      <c r="AD230" t="s">
        <v>175</v>
      </c>
      <c r="AE230" t="s">
        <v>175</v>
      </c>
      <c r="AF230" t="s">
        <v>175</v>
      </c>
      <c r="AG230" s="878">
        <v>44147</v>
      </c>
      <c r="AH230" s="873">
        <f t="shared" si="3"/>
        <v>44136</v>
      </c>
    </row>
    <row r="231" spans="1:34">
      <c r="A231">
        <v>6</v>
      </c>
      <c r="B231">
        <v>398</v>
      </c>
      <c r="C231" t="s">
        <v>204</v>
      </c>
      <c r="D231">
        <v>147</v>
      </c>
      <c r="E231">
        <v>729699</v>
      </c>
      <c r="F231">
        <v>0</v>
      </c>
      <c r="G231" t="s">
        <v>175</v>
      </c>
      <c r="H231" t="s">
        <v>175</v>
      </c>
      <c r="I231" s="878">
        <v>44179</v>
      </c>
      <c r="J231">
        <v>6</v>
      </c>
      <c r="K231" t="s">
        <v>204</v>
      </c>
      <c r="L231">
        <v>398</v>
      </c>
      <c r="M231">
        <v>1</v>
      </c>
      <c r="N231">
        <v>0</v>
      </c>
      <c r="O231">
        <v>0</v>
      </c>
      <c r="P231">
        <v>0</v>
      </c>
      <c r="Q231">
        <v>0.94402379878059495</v>
      </c>
      <c r="R231">
        <v>0</v>
      </c>
      <c r="S231">
        <v>4.8747383747713303E-3</v>
      </c>
      <c r="T231">
        <v>0.22927539565366001</v>
      </c>
      <c r="U231">
        <v>4.6636770924386201E-2</v>
      </c>
      <c r="V231">
        <v>-0.33489935221656297</v>
      </c>
      <c r="W231">
        <v>0.11008864848315</v>
      </c>
      <c r="X231">
        <v>0</v>
      </c>
      <c r="Y231" t="s">
        <v>175</v>
      </c>
      <c r="Z231" t="s">
        <v>175</v>
      </c>
      <c r="AA231" t="s">
        <v>175</v>
      </c>
      <c r="AB231" t="s">
        <v>175</v>
      </c>
      <c r="AC231" t="s">
        <v>175</v>
      </c>
      <c r="AD231" t="s">
        <v>175</v>
      </c>
      <c r="AE231" t="s">
        <v>175</v>
      </c>
      <c r="AF231" t="s">
        <v>175</v>
      </c>
      <c r="AG231" s="878">
        <v>44179</v>
      </c>
      <c r="AH231" s="873">
        <f t="shared" si="3"/>
        <v>44166</v>
      </c>
    </row>
    <row r="232" spans="1:34">
      <c r="A232">
        <v>7</v>
      </c>
      <c r="B232">
        <v>398</v>
      </c>
      <c r="C232" t="s">
        <v>204</v>
      </c>
      <c r="D232">
        <v>147</v>
      </c>
      <c r="E232">
        <v>765293.91</v>
      </c>
      <c r="F232">
        <v>0</v>
      </c>
      <c r="G232" t="s">
        <v>175</v>
      </c>
      <c r="H232" t="s">
        <v>175</v>
      </c>
      <c r="I232" s="878">
        <v>44193</v>
      </c>
      <c r="J232">
        <v>7</v>
      </c>
      <c r="K232" t="s">
        <v>204</v>
      </c>
      <c r="L232">
        <v>398</v>
      </c>
      <c r="M232">
        <v>1</v>
      </c>
      <c r="N232">
        <v>0</v>
      </c>
      <c r="O232">
        <v>0</v>
      </c>
      <c r="P232">
        <v>0</v>
      </c>
      <c r="Q232">
        <v>0.749910550614868</v>
      </c>
      <c r="R232">
        <v>0</v>
      </c>
      <c r="S232">
        <v>3.4075287520281002E-2</v>
      </c>
      <c r="T232">
        <v>6.5658734887035303E-2</v>
      </c>
      <c r="U232">
        <v>1.2566070024095301E-2</v>
      </c>
      <c r="V232">
        <v>0.112611722179359</v>
      </c>
      <c r="W232">
        <v>2.5177634774361701E-2</v>
      </c>
      <c r="X232">
        <v>0</v>
      </c>
      <c r="Y232" t="s">
        <v>175</v>
      </c>
      <c r="Z232" t="s">
        <v>175</v>
      </c>
      <c r="AA232" t="s">
        <v>175</v>
      </c>
      <c r="AB232" t="s">
        <v>175</v>
      </c>
      <c r="AC232" t="s">
        <v>175</v>
      </c>
      <c r="AD232" t="s">
        <v>175</v>
      </c>
      <c r="AE232" t="s">
        <v>175</v>
      </c>
      <c r="AF232" t="s">
        <v>175</v>
      </c>
      <c r="AG232" s="878">
        <v>44193</v>
      </c>
      <c r="AH232" s="873">
        <f t="shared" si="3"/>
        <v>44166</v>
      </c>
    </row>
    <row r="233" spans="1:34">
      <c r="A233">
        <v>8</v>
      </c>
      <c r="B233">
        <v>398</v>
      </c>
      <c r="C233" t="s">
        <v>204</v>
      </c>
      <c r="D233">
        <v>147</v>
      </c>
      <c r="E233">
        <v>0</v>
      </c>
      <c r="F233">
        <v>0</v>
      </c>
      <c r="G233" t="s">
        <v>175</v>
      </c>
      <c r="H233" t="s">
        <v>175</v>
      </c>
      <c r="I233" s="878">
        <v>44208</v>
      </c>
      <c r="J233">
        <v>8</v>
      </c>
      <c r="K233" t="s">
        <v>204</v>
      </c>
      <c r="L233">
        <v>398</v>
      </c>
      <c r="M233">
        <v>1</v>
      </c>
      <c r="N233">
        <v>0</v>
      </c>
      <c r="O233">
        <v>0</v>
      </c>
      <c r="P233">
        <v>0</v>
      </c>
      <c r="Q233">
        <v>0.749910550614868</v>
      </c>
      <c r="R233">
        <v>0</v>
      </c>
      <c r="S233">
        <v>3.4075287520281002E-2</v>
      </c>
      <c r="T233">
        <v>6.5658734887035303E-2</v>
      </c>
      <c r="U233">
        <v>1.2566070024095301E-2</v>
      </c>
      <c r="V233">
        <v>0.112611722179359</v>
      </c>
      <c r="W233">
        <v>2.5177634774361701E-2</v>
      </c>
      <c r="X233">
        <v>0</v>
      </c>
      <c r="Y233" t="s">
        <v>175</v>
      </c>
      <c r="Z233" t="s">
        <v>175</v>
      </c>
      <c r="AA233" t="s">
        <v>175</v>
      </c>
      <c r="AB233" t="s">
        <v>175</v>
      </c>
      <c r="AC233" t="s">
        <v>175</v>
      </c>
      <c r="AD233" t="s">
        <v>175</v>
      </c>
      <c r="AE233" t="s">
        <v>175</v>
      </c>
      <c r="AF233" t="s">
        <v>175</v>
      </c>
      <c r="AG233" s="878">
        <v>44208</v>
      </c>
      <c r="AH233" s="873">
        <f t="shared" si="3"/>
        <v>44197</v>
      </c>
    </row>
    <row r="234" spans="1:34">
      <c r="A234">
        <v>1</v>
      </c>
      <c r="B234">
        <v>399</v>
      </c>
      <c r="C234" t="s">
        <v>205</v>
      </c>
      <c r="D234">
        <v>157</v>
      </c>
      <c r="E234">
        <v>2065831.40182553</v>
      </c>
      <c r="F234">
        <v>0</v>
      </c>
      <c r="G234">
        <v>0</v>
      </c>
      <c r="H234">
        <v>0</v>
      </c>
      <c r="I234" s="878">
        <v>44043</v>
      </c>
      <c r="J234">
        <v>1</v>
      </c>
      <c r="K234" t="s">
        <v>205</v>
      </c>
      <c r="L234">
        <v>399</v>
      </c>
      <c r="M234">
        <v>0.133387415871939</v>
      </c>
      <c r="N234">
        <v>0.69114130491683901</v>
      </c>
      <c r="O234">
        <v>0</v>
      </c>
      <c r="P234">
        <v>0.17547127921122199</v>
      </c>
      <c r="Q234">
        <v>3.98314710158875E-2</v>
      </c>
      <c r="R234">
        <v>0</v>
      </c>
      <c r="S234">
        <v>-4.0969044616736301E-3</v>
      </c>
      <c r="T234">
        <v>-3.05545531915382E-2</v>
      </c>
      <c r="U234">
        <v>0</v>
      </c>
      <c r="V234">
        <v>0</v>
      </c>
      <c r="W234">
        <v>0.12820740250926299</v>
      </c>
      <c r="X234">
        <v>0</v>
      </c>
      <c r="Y234">
        <v>0.36349309513817801</v>
      </c>
      <c r="Z234">
        <v>0</v>
      </c>
      <c r="AA234">
        <v>-3.3092970346247801E-2</v>
      </c>
      <c r="AB234">
        <v>0.18749073580195999</v>
      </c>
      <c r="AC234">
        <v>0</v>
      </c>
      <c r="AD234">
        <v>0</v>
      </c>
      <c r="AE234">
        <v>0.17325044432295</v>
      </c>
      <c r="AF234">
        <v>0</v>
      </c>
      <c r="AG234" s="878">
        <v>44043</v>
      </c>
      <c r="AH234" s="873">
        <f t="shared" si="3"/>
        <v>44013</v>
      </c>
    </row>
    <row r="235" spans="1:34">
      <c r="A235">
        <v>2</v>
      </c>
      <c r="B235">
        <v>399</v>
      </c>
      <c r="C235" t="s">
        <v>205</v>
      </c>
      <c r="D235">
        <v>157</v>
      </c>
      <c r="E235">
        <v>229191.20075746</v>
      </c>
      <c r="F235">
        <v>0</v>
      </c>
      <c r="G235" t="s">
        <v>175</v>
      </c>
      <c r="H235" t="s">
        <v>175</v>
      </c>
      <c r="I235" s="878">
        <v>44055</v>
      </c>
      <c r="J235">
        <v>2</v>
      </c>
      <c r="K235" t="s">
        <v>205</v>
      </c>
      <c r="L235">
        <v>399</v>
      </c>
      <c r="M235">
        <v>0.466628747902601</v>
      </c>
      <c r="N235" t="s">
        <v>175</v>
      </c>
      <c r="O235">
        <v>0.533371252097399</v>
      </c>
      <c r="P235">
        <v>0</v>
      </c>
      <c r="Q235">
        <v>0.46825438443355999</v>
      </c>
      <c r="R235">
        <v>0</v>
      </c>
      <c r="S235">
        <v>0</v>
      </c>
      <c r="T235">
        <v>-8.1379167948510606E-2</v>
      </c>
      <c r="U235">
        <v>0</v>
      </c>
      <c r="V235">
        <v>0</v>
      </c>
      <c r="W235">
        <v>7.9753531417551995E-2</v>
      </c>
      <c r="X235">
        <v>0</v>
      </c>
      <c r="Y235" t="s">
        <v>175</v>
      </c>
      <c r="Z235" t="s">
        <v>175</v>
      </c>
      <c r="AA235" t="s">
        <v>175</v>
      </c>
      <c r="AB235" t="s">
        <v>175</v>
      </c>
      <c r="AC235" t="s">
        <v>175</v>
      </c>
      <c r="AD235" t="s">
        <v>175</v>
      </c>
      <c r="AE235" t="s">
        <v>175</v>
      </c>
      <c r="AF235" t="s">
        <v>175</v>
      </c>
      <c r="AG235" s="878">
        <v>44055</v>
      </c>
      <c r="AH235" s="873">
        <f t="shared" si="3"/>
        <v>44044</v>
      </c>
    </row>
    <row r="236" spans="1:34">
      <c r="A236">
        <v>3</v>
      </c>
      <c r="B236">
        <v>399</v>
      </c>
      <c r="C236" t="s">
        <v>205</v>
      </c>
      <c r="D236">
        <v>157</v>
      </c>
      <c r="E236">
        <v>314895.05278020701</v>
      </c>
      <c r="F236">
        <v>0</v>
      </c>
      <c r="G236" t="s">
        <v>175</v>
      </c>
      <c r="H236" t="s">
        <v>175</v>
      </c>
      <c r="I236" s="878">
        <v>44088</v>
      </c>
      <c r="J236">
        <v>3</v>
      </c>
      <c r="K236" t="s">
        <v>205</v>
      </c>
      <c r="L236">
        <v>399</v>
      </c>
      <c r="M236">
        <v>0.57507579346573001</v>
      </c>
      <c r="N236" t="s">
        <v>175</v>
      </c>
      <c r="O236">
        <v>0.42492420653426999</v>
      </c>
      <c r="P236">
        <v>0</v>
      </c>
      <c r="Q236">
        <v>0.37990326841099398</v>
      </c>
      <c r="R236">
        <v>0</v>
      </c>
      <c r="S236">
        <v>-3.7864556525546298E-4</v>
      </c>
      <c r="T236">
        <v>0.27079900957310399</v>
      </c>
      <c r="U236">
        <v>0</v>
      </c>
      <c r="V236">
        <v>0</v>
      </c>
      <c r="W236">
        <v>-7.5247838953112905E-2</v>
      </c>
      <c r="X236">
        <v>0</v>
      </c>
      <c r="Y236" t="s">
        <v>175</v>
      </c>
      <c r="Z236" t="s">
        <v>175</v>
      </c>
      <c r="AA236" t="s">
        <v>175</v>
      </c>
      <c r="AB236" t="s">
        <v>175</v>
      </c>
      <c r="AC236" t="s">
        <v>175</v>
      </c>
      <c r="AD236" t="s">
        <v>175</v>
      </c>
      <c r="AE236" t="s">
        <v>175</v>
      </c>
      <c r="AF236" t="s">
        <v>175</v>
      </c>
      <c r="AG236" s="878">
        <v>44088</v>
      </c>
      <c r="AH236" s="873">
        <f t="shared" si="3"/>
        <v>44075</v>
      </c>
    </row>
    <row r="237" spans="1:34">
      <c r="A237">
        <v>4</v>
      </c>
      <c r="B237">
        <v>399</v>
      </c>
      <c r="C237" t="s">
        <v>205</v>
      </c>
      <c r="D237">
        <v>157</v>
      </c>
      <c r="E237">
        <v>258289.53927374</v>
      </c>
      <c r="F237">
        <v>0</v>
      </c>
      <c r="G237" t="s">
        <v>175</v>
      </c>
      <c r="H237" t="s">
        <v>175</v>
      </c>
      <c r="I237" s="878">
        <v>44117</v>
      </c>
      <c r="J237">
        <v>4</v>
      </c>
      <c r="K237" t="s">
        <v>205</v>
      </c>
      <c r="L237">
        <v>399</v>
      </c>
      <c r="M237">
        <v>0.52549806844549396</v>
      </c>
      <c r="N237">
        <v>0</v>
      </c>
      <c r="O237">
        <v>0</v>
      </c>
      <c r="P237">
        <v>0.47450193155450598</v>
      </c>
      <c r="Q237">
        <v>0.36374081681194198</v>
      </c>
      <c r="R237">
        <v>0</v>
      </c>
      <c r="S237">
        <v>0</v>
      </c>
      <c r="T237">
        <v>0.165369084732648</v>
      </c>
      <c r="U237">
        <v>0</v>
      </c>
      <c r="V237">
        <v>0</v>
      </c>
      <c r="W237">
        <v>-3.6118330990959902E-3</v>
      </c>
      <c r="X237">
        <v>0</v>
      </c>
      <c r="Y237" t="s">
        <v>175</v>
      </c>
      <c r="Z237" t="s">
        <v>175</v>
      </c>
      <c r="AA237" t="s">
        <v>175</v>
      </c>
      <c r="AB237" t="s">
        <v>175</v>
      </c>
      <c r="AC237" t="s">
        <v>175</v>
      </c>
      <c r="AD237" t="s">
        <v>175</v>
      </c>
      <c r="AE237" t="s">
        <v>175</v>
      </c>
      <c r="AF237" t="s">
        <v>175</v>
      </c>
      <c r="AG237" s="878">
        <v>44117</v>
      </c>
      <c r="AH237" s="873">
        <f t="shared" si="3"/>
        <v>44105</v>
      </c>
    </row>
    <row r="238" spans="1:34">
      <c r="A238">
        <v>5</v>
      </c>
      <c r="B238">
        <v>399</v>
      </c>
      <c r="C238" t="s">
        <v>205</v>
      </c>
      <c r="D238">
        <v>157</v>
      </c>
      <c r="E238">
        <v>280118.425661129</v>
      </c>
      <c r="F238">
        <v>0</v>
      </c>
      <c r="G238" t="s">
        <v>175</v>
      </c>
      <c r="H238" t="s">
        <v>175</v>
      </c>
      <c r="I238" s="878">
        <v>44147</v>
      </c>
      <c r="J238">
        <v>5</v>
      </c>
      <c r="K238" t="s">
        <v>205</v>
      </c>
      <c r="L238">
        <v>399</v>
      </c>
      <c r="M238">
        <v>0.794605181314742</v>
      </c>
      <c r="N238">
        <v>0</v>
      </c>
      <c r="O238">
        <v>0</v>
      </c>
      <c r="P238">
        <v>0.205394818685258</v>
      </c>
      <c r="Q238">
        <v>0.60499490057718197</v>
      </c>
      <c r="R238">
        <v>0</v>
      </c>
      <c r="S238">
        <v>0</v>
      </c>
      <c r="T238">
        <v>0.19653663476317901</v>
      </c>
      <c r="U238">
        <v>0</v>
      </c>
      <c r="V238">
        <v>0</v>
      </c>
      <c r="W238">
        <v>-6.9263540256193201E-3</v>
      </c>
      <c r="X238">
        <v>0</v>
      </c>
      <c r="Y238" t="s">
        <v>175</v>
      </c>
      <c r="Z238" t="s">
        <v>175</v>
      </c>
      <c r="AA238" t="s">
        <v>175</v>
      </c>
      <c r="AB238" t="s">
        <v>175</v>
      </c>
      <c r="AC238" t="s">
        <v>175</v>
      </c>
      <c r="AD238" t="s">
        <v>175</v>
      </c>
      <c r="AE238" t="s">
        <v>175</v>
      </c>
      <c r="AF238" t="s">
        <v>175</v>
      </c>
      <c r="AG238" s="878">
        <v>44147</v>
      </c>
      <c r="AH238" s="873">
        <f t="shared" si="3"/>
        <v>44136</v>
      </c>
    </row>
    <row r="239" spans="1:34">
      <c r="A239">
        <v>6</v>
      </c>
      <c r="B239">
        <v>399</v>
      </c>
      <c r="C239" t="s">
        <v>205</v>
      </c>
      <c r="D239">
        <v>157</v>
      </c>
      <c r="E239">
        <v>255183.32970193701</v>
      </c>
      <c r="F239">
        <v>27084.5467762144</v>
      </c>
      <c r="G239" t="s">
        <v>175</v>
      </c>
      <c r="H239" t="s">
        <v>175</v>
      </c>
      <c r="I239" s="878">
        <v>44179</v>
      </c>
      <c r="J239">
        <v>6</v>
      </c>
      <c r="K239" t="s">
        <v>205</v>
      </c>
      <c r="L239">
        <v>399</v>
      </c>
      <c r="M239">
        <v>1</v>
      </c>
      <c r="N239">
        <v>0</v>
      </c>
      <c r="O239">
        <v>0</v>
      </c>
      <c r="P239">
        <v>0</v>
      </c>
      <c r="Q239">
        <v>0.80169029067695996</v>
      </c>
      <c r="R239">
        <v>0</v>
      </c>
      <c r="S239">
        <v>0</v>
      </c>
      <c r="T239">
        <v>0.20463124527267601</v>
      </c>
      <c r="U239">
        <v>0</v>
      </c>
      <c r="V239">
        <v>0</v>
      </c>
      <c r="W239">
        <v>-6.3215359496354403E-3</v>
      </c>
      <c r="X239">
        <v>0</v>
      </c>
      <c r="Y239" t="s">
        <v>175</v>
      </c>
      <c r="Z239" t="s">
        <v>175</v>
      </c>
      <c r="AA239" t="s">
        <v>175</v>
      </c>
      <c r="AB239" t="s">
        <v>175</v>
      </c>
      <c r="AC239" t="s">
        <v>175</v>
      </c>
      <c r="AD239" t="s">
        <v>175</v>
      </c>
      <c r="AE239" t="s">
        <v>175</v>
      </c>
      <c r="AF239" t="s">
        <v>175</v>
      </c>
      <c r="AG239" s="878">
        <v>44179</v>
      </c>
      <c r="AH239" s="873">
        <f t="shared" si="3"/>
        <v>44166</v>
      </c>
    </row>
    <row r="240" spans="1:34">
      <c r="A240">
        <v>7</v>
      </c>
      <c r="B240">
        <v>399</v>
      </c>
      <c r="C240" t="s">
        <v>205</v>
      </c>
      <c r="D240">
        <v>157</v>
      </c>
      <c r="E240">
        <v>0</v>
      </c>
      <c r="F240">
        <v>242524.495548159</v>
      </c>
      <c r="G240" t="s">
        <v>175</v>
      </c>
      <c r="H240" t="s">
        <v>175</v>
      </c>
      <c r="I240" s="878">
        <v>44193</v>
      </c>
      <c r="J240">
        <v>7</v>
      </c>
      <c r="K240" t="s">
        <v>205</v>
      </c>
      <c r="L240">
        <v>399</v>
      </c>
      <c r="M240">
        <v>1</v>
      </c>
      <c r="N240">
        <v>0</v>
      </c>
      <c r="O240">
        <v>0</v>
      </c>
      <c r="P240">
        <v>0</v>
      </c>
      <c r="Q240">
        <v>0.80169029067695996</v>
      </c>
      <c r="R240">
        <v>0</v>
      </c>
      <c r="S240">
        <v>0</v>
      </c>
      <c r="T240">
        <v>0.20463124527267601</v>
      </c>
      <c r="U240">
        <v>0</v>
      </c>
      <c r="V240">
        <v>0</v>
      </c>
      <c r="W240">
        <v>-6.3215359496354403E-3</v>
      </c>
      <c r="X240">
        <v>0</v>
      </c>
      <c r="Y240" t="s">
        <v>175</v>
      </c>
      <c r="Z240" t="s">
        <v>175</v>
      </c>
      <c r="AA240" t="s">
        <v>175</v>
      </c>
      <c r="AB240" t="s">
        <v>175</v>
      </c>
      <c r="AC240" t="s">
        <v>175</v>
      </c>
      <c r="AD240" t="s">
        <v>175</v>
      </c>
      <c r="AE240" t="s">
        <v>175</v>
      </c>
      <c r="AF240" t="s">
        <v>175</v>
      </c>
      <c r="AG240" s="878">
        <v>44193</v>
      </c>
      <c r="AH240" s="873">
        <f t="shared" si="3"/>
        <v>44166</v>
      </c>
    </row>
    <row r="241" spans="1:34">
      <c r="A241">
        <v>8</v>
      </c>
      <c r="B241">
        <v>399</v>
      </c>
      <c r="C241" t="s">
        <v>205</v>
      </c>
      <c r="D241">
        <v>157</v>
      </c>
      <c r="E241">
        <v>0</v>
      </c>
      <c r="F241">
        <v>0</v>
      </c>
      <c r="G241" t="s">
        <v>175</v>
      </c>
      <c r="H241" t="s">
        <v>175</v>
      </c>
      <c r="I241" s="878">
        <v>44208</v>
      </c>
      <c r="J241">
        <v>8</v>
      </c>
      <c r="K241" t="s">
        <v>205</v>
      </c>
      <c r="L241">
        <v>399</v>
      </c>
      <c r="M241">
        <v>1</v>
      </c>
      <c r="N241">
        <v>0</v>
      </c>
      <c r="O241">
        <v>0</v>
      </c>
      <c r="P241">
        <v>0</v>
      </c>
      <c r="Q241">
        <v>0.80169029067695996</v>
      </c>
      <c r="R241">
        <v>0</v>
      </c>
      <c r="S241">
        <v>0</v>
      </c>
      <c r="T241">
        <v>0.20463124527267601</v>
      </c>
      <c r="U241">
        <v>0</v>
      </c>
      <c r="V241">
        <v>0</v>
      </c>
      <c r="W241">
        <v>-6.3215359496354403E-3</v>
      </c>
      <c r="X241">
        <v>0</v>
      </c>
      <c r="Y241" t="s">
        <v>175</v>
      </c>
      <c r="Z241" t="s">
        <v>175</v>
      </c>
      <c r="AA241" t="s">
        <v>175</v>
      </c>
      <c r="AB241" t="s">
        <v>175</v>
      </c>
      <c r="AC241" t="s">
        <v>175</v>
      </c>
      <c r="AD241" t="s">
        <v>175</v>
      </c>
      <c r="AE241" t="s">
        <v>175</v>
      </c>
      <c r="AF241" t="s">
        <v>175</v>
      </c>
      <c r="AG241" s="878">
        <v>44208</v>
      </c>
      <c r="AH241" s="873">
        <f t="shared" si="3"/>
        <v>44197</v>
      </c>
    </row>
    <row r="242" spans="1:34">
      <c r="A242">
        <v>1</v>
      </c>
      <c r="B242">
        <v>400</v>
      </c>
      <c r="C242" t="s">
        <v>206</v>
      </c>
      <c r="D242">
        <v>164</v>
      </c>
      <c r="E242">
        <v>606130.75</v>
      </c>
      <c r="F242">
        <v>0</v>
      </c>
      <c r="G242">
        <v>0</v>
      </c>
      <c r="H242">
        <v>0</v>
      </c>
      <c r="I242" s="878">
        <v>44043</v>
      </c>
      <c r="J242">
        <v>1</v>
      </c>
      <c r="K242" t="s">
        <v>206</v>
      </c>
      <c r="L242">
        <v>400</v>
      </c>
      <c r="M242">
        <v>7.6012959085599005E-2</v>
      </c>
      <c r="N242">
        <v>0.84479792233245998</v>
      </c>
      <c r="O242">
        <v>0</v>
      </c>
      <c r="P242">
        <v>7.9189118581940304E-2</v>
      </c>
      <c r="Q242">
        <v>6.6662092542354695E-2</v>
      </c>
      <c r="R242">
        <v>2.2209448757552199E-3</v>
      </c>
      <c r="S242">
        <v>0</v>
      </c>
      <c r="T242">
        <v>1.9497628866647901E-3</v>
      </c>
      <c r="U242">
        <v>0</v>
      </c>
      <c r="V242">
        <v>5.0207520594868302E-3</v>
      </c>
      <c r="W242">
        <v>1.5940672133741199E-4</v>
      </c>
      <c r="X242">
        <v>0</v>
      </c>
      <c r="Y242">
        <v>0.88777391705116904</v>
      </c>
      <c r="Z242">
        <v>3.1009995787544199E-2</v>
      </c>
      <c r="AA242">
        <v>-1.6356168454088799E-2</v>
      </c>
      <c r="AB242">
        <v>2.46157067220488E-2</v>
      </c>
      <c r="AC242">
        <v>-2.6653817675805799E-3</v>
      </c>
      <c r="AD242">
        <v>-0.265586463497965</v>
      </c>
      <c r="AE242">
        <v>0.18600631649133301</v>
      </c>
      <c r="AF242">
        <v>0</v>
      </c>
      <c r="AG242" s="878">
        <v>44043</v>
      </c>
      <c r="AH242" s="873">
        <f t="shared" si="3"/>
        <v>44013</v>
      </c>
    </row>
    <row r="243" spans="1:34">
      <c r="A243">
        <v>2</v>
      </c>
      <c r="B243">
        <v>400</v>
      </c>
      <c r="C243" t="s">
        <v>206</v>
      </c>
      <c r="D243">
        <v>164</v>
      </c>
      <c r="E243">
        <v>260914.8</v>
      </c>
      <c r="F243">
        <v>0</v>
      </c>
      <c r="G243" t="s">
        <v>175</v>
      </c>
      <c r="H243" t="s">
        <v>175</v>
      </c>
      <c r="I243" s="878">
        <v>44055</v>
      </c>
      <c r="J243">
        <v>2</v>
      </c>
      <c r="K243" t="s">
        <v>206</v>
      </c>
      <c r="L243">
        <v>400</v>
      </c>
      <c r="M243">
        <v>0.96682267418804702</v>
      </c>
      <c r="N243" t="s">
        <v>175</v>
      </c>
      <c r="O243">
        <v>3.31773258119532E-2</v>
      </c>
      <c r="P243">
        <v>0</v>
      </c>
      <c r="Q243">
        <v>0.92047069132674098</v>
      </c>
      <c r="R243">
        <v>1.7875809672716701E-2</v>
      </c>
      <c r="S243">
        <v>0</v>
      </c>
      <c r="T243">
        <v>7.1820303073985899E-3</v>
      </c>
      <c r="U243">
        <v>0</v>
      </c>
      <c r="V243">
        <v>2.0565087126764799E-2</v>
      </c>
      <c r="W243">
        <v>7.2905575442548404E-4</v>
      </c>
      <c r="X243">
        <v>0</v>
      </c>
      <c r="Y243" t="s">
        <v>175</v>
      </c>
      <c r="Z243" t="s">
        <v>175</v>
      </c>
      <c r="AA243" t="s">
        <v>175</v>
      </c>
      <c r="AB243" t="s">
        <v>175</v>
      </c>
      <c r="AC243" t="s">
        <v>175</v>
      </c>
      <c r="AD243" t="s">
        <v>175</v>
      </c>
      <c r="AE243" t="s">
        <v>175</v>
      </c>
      <c r="AF243" t="s">
        <v>175</v>
      </c>
      <c r="AG243" s="878">
        <v>44055</v>
      </c>
      <c r="AH243" s="873">
        <f t="shared" si="3"/>
        <v>44044</v>
      </c>
    </row>
    <row r="244" spans="1:34">
      <c r="A244">
        <v>3</v>
      </c>
      <c r="B244">
        <v>400</v>
      </c>
      <c r="C244" t="s">
        <v>206</v>
      </c>
      <c r="D244">
        <v>164</v>
      </c>
      <c r="E244">
        <v>232349.68</v>
      </c>
      <c r="F244">
        <v>0</v>
      </c>
      <c r="G244" t="s">
        <v>175</v>
      </c>
      <c r="H244" t="s">
        <v>175</v>
      </c>
      <c r="I244" s="878">
        <v>44088</v>
      </c>
      <c r="J244">
        <v>3</v>
      </c>
      <c r="K244" t="s">
        <v>206</v>
      </c>
      <c r="L244">
        <v>400</v>
      </c>
      <c r="M244">
        <v>1</v>
      </c>
      <c r="N244" t="s">
        <v>175</v>
      </c>
      <c r="O244">
        <v>0</v>
      </c>
      <c r="P244">
        <v>0</v>
      </c>
      <c r="Q244">
        <v>1.0301957984380301</v>
      </c>
      <c r="R244">
        <v>3.9573930635308598E-2</v>
      </c>
      <c r="S244">
        <v>0</v>
      </c>
      <c r="T244">
        <v>4.6146543291718398E-2</v>
      </c>
      <c r="U244">
        <v>0</v>
      </c>
      <c r="V244">
        <v>-0.11571475224945001</v>
      </c>
      <c r="W244">
        <v>-2.01520115602464E-4</v>
      </c>
      <c r="X244">
        <v>0</v>
      </c>
      <c r="Y244" t="s">
        <v>175</v>
      </c>
      <c r="Z244" t="s">
        <v>175</v>
      </c>
      <c r="AA244" t="s">
        <v>175</v>
      </c>
      <c r="AB244" t="s">
        <v>175</v>
      </c>
      <c r="AC244" t="s">
        <v>175</v>
      </c>
      <c r="AD244" t="s">
        <v>175</v>
      </c>
      <c r="AE244" t="s">
        <v>175</v>
      </c>
      <c r="AF244" t="s">
        <v>175</v>
      </c>
      <c r="AG244" s="878">
        <v>44088</v>
      </c>
      <c r="AH244" s="873">
        <f t="shared" si="3"/>
        <v>44075</v>
      </c>
    </row>
    <row r="245" spans="1:34">
      <c r="A245">
        <v>4</v>
      </c>
      <c r="B245">
        <v>400</v>
      </c>
      <c r="C245" t="s">
        <v>206</v>
      </c>
      <c r="D245">
        <v>164</v>
      </c>
      <c r="E245">
        <v>327826.55</v>
      </c>
      <c r="F245">
        <v>0</v>
      </c>
      <c r="G245" t="s">
        <v>175</v>
      </c>
      <c r="H245" t="s">
        <v>175</v>
      </c>
      <c r="I245" s="878">
        <v>44117</v>
      </c>
      <c r="J245">
        <v>4</v>
      </c>
      <c r="K245" t="s">
        <v>206</v>
      </c>
      <c r="L245">
        <v>400</v>
      </c>
      <c r="M245">
        <v>1</v>
      </c>
      <c r="N245">
        <v>0</v>
      </c>
      <c r="O245">
        <v>0</v>
      </c>
      <c r="P245">
        <v>0</v>
      </c>
      <c r="Q245">
        <v>0.87567072773341903</v>
      </c>
      <c r="R245">
        <v>7.8868299387976404E-2</v>
      </c>
      <c r="S245">
        <v>0</v>
      </c>
      <c r="T245">
        <v>7.1271161949601702E-2</v>
      </c>
      <c r="U245">
        <v>0</v>
      </c>
      <c r="V245">
        <v>-2.6295357849826801E-2</v>
      </c>
      <c r="W245">
        <v>4.85168778829526E-4</v>
      </c>
      <c r="X245">
        <v>0</v>
      </c>
      <c r="Y245" t="s">
        <v>175</v>
      </c>
      <c r="Z245" t="s">
        <v>175</v>
      </c>
      <c r="AA245" t="s">
        <v>175</v>
      </c>
      <c r="AB245" t="s">
        <v>175</v>
      </c>
      <c r="AC245" t="s">
        <v>175</v>
      </c>
      <c r="AD245" t="s">
        <v>175</v>
      </c>
      <c r="AE245" t="s">
        <v>175</v>
      </c>
      <c r="AF245" t="s">
        <v>175</v>
      </c>
      <c r="AG245" s="878">
        <v>44117</v>
      </c>
      <c r="AH245" s="873">
        <f t="shared" si="3"/>
        <v>44105</v>
      </c>
    </row>
    <row r="246" spans="1:34">
      <c r="A246">
        <v>5</v>
      </c>
      <c r="B246">
        <v>400</v>
      </c>
      <c r="C246" t="s">
        <v>206</v>
      </c>
      <c r="D246">
        <v>164</v>
      </c>
      <c r="E246">
        <v>386015.89</v>
      </c>
      <c r="F246">
        <v>0</v>
      </c>
      <c r="G246" t="s">
        <v>175</v>
      </c>
      <c r="H246" t="s">
        <v>175</v>
      </c>
      <c r="I246" s="878">
        <v>44147</v>
      </c>
      <c r="J246">
        <v>5</v>
      </c>
      <c r="K246" t="s">
        <v>206</v>
      </c>
      <c r="L246">
        <v>400</v>
      </c>
      <c r="M246">
        <v>1</v>
      </c>
      <c r="N246">
        <v>0</v>
      </c>
      <c r="O246">
        <v>0</v>
      </c>
      <c r="P246">
        <v>0</v>
      </c>
      <c r="Q246">
        <v>0.90071615852249898</v>
      </c>
      <c r="R246">
        <v>0.12747504863345699</v>
      </c>
      <c r="S246">
        <v>0</v>
      </c>
      <c r="T246">
        <v>0.11462105203341801</v>
      </c>
      <c r="U246">
        <v>0</v>
      </c>
      <c r="V246">
        <v>-0.14402640944086501</v>
      </c>
      <c r="W246">
        <v>1.2141502514919299E-3</v>
      </c>
      <c r="X246">
        <v>0</v>
      </c>
      <c r="Y246" t="s">
        <v>175</v>
      </c>
      <c r="Z246" t="s">
        <v>175</v>
      </c>
      <c r="AA246" t="s">
        <v>175</v>
      </c>
      <c r="AB246" t="s">
        <v>175</v>
      </c>
      <c r="AC246" t="s">
        <v>175</v>
      </c>
      <c r="AD246" t="s">
        <v>175</v>
      </c>
      <c r="AE246" t="s">
        <v>175</v>
      </c>
      <c r="AF246" t="s">
        <v>175</v>
      </c>
      <c r="AG246" s="878">
        <v>44147</v>
      </c>
      <c r="AH246" s="873">
        <f t="shared" si="3"/>
        <v>44136</v>
      </c>
    </row>
    <row r="247" spans="1:34">
      <c r="A247">
        <v>6</v>
      </c>
      <c r="B247">
        <v>400</v>
      </c>
      <c r="C247" t="s">
        <v>206</v>
      </c>
      <c r="D247">
        <v>164</v>
      </c>
      <c r="E247">
        <v>435454.63</v>
      </c>
      <c r="F247">
        <v>0</v>
      </c>
      <c r="G247" t="s">
        <v>175</v>
      </c>
      <c r="H247" t="s">
        <v>175</v>
      </c>
      <c r="I247" s="878">
        <v>44179</v>
      </c>
      <c r="J247">
        <v>6</v>
      </c>
      <c r="K247" t="s">
        <v>206</v>
      </c>
      <c r="L247">
        <v>400</v>
      </c>
      <c r="M247">
        <v>1</v>
      </c>
      <c r="N247">
        <v>0</v>
      </c>
      <c r="O247">
        <v>0</v>
      </c>
      <c r="P247">
        <v>0</v>
      </c>
      <c r="Q247">
        <v>0.94598170365656298</v>
      </c>
      <c r="R247">
        <v>5.6778569582843698E-2</v>
      </c>
      <c r="S247">
        <v>0</v>
      </c>
      <c r="T247">
        <v>5.19750491218453E-2</v>
      </c>
      <c r="U247">
        <v>0</v>
      </c>
      <c r="V247">
        <v>-5.4722333647415099E-2</v>
      </c>
      <c r="W247">
        <v>-1.298871383697E-5</v>
      </c>
      <c r="X247">
        <v>0</v>
      </c>
      <c r="Y247" t="s">
        <v>175</v>
      </c>
      <c r="Z247" t="s">
        <v>175</v>
      </c>
      <c r="AA247" t="s">
        <v>175</v>
      </c>
      <c r="AB247" t="s">
        <v>175</v>
      </c>
      <c r="AC247" t="s">
        <v>175</v>
      </c>
      <c r="AD247" t="s">
        <v>175</v>
      </c>
      <c r="AE247" t="s">
        <v>175</v>
      </c>
      <c r="AF247" t="s">
        <v>175</v>
      </c>
      <c r="AG247" s="878">
        <v>44179</v>
      </c>
      <c r="AH247" s="873">
        <f t="shared" si="3"/>
        <v>44166</v>
      </c>
    </row>
    <row r="248" spans="1:34">
      <c r="A248">
        <v>7</v>
      </c>
      <c r="B248">
        <v>400</v>
      </c>
      <c r="C248" t="s">
        <v>206</v>
      </c>
      <c r="D248">
        <v>164</v>
      </c>
      <c r="E248">
        <v>415411.06</v>
      </c>
      <c r="F248">
        <v>0</v>
      </c>
      <c r="G248" t="s">
        <v>175</v>
      </c>
      <c r="H248" t="s">
        <v>175</v>
      </c>
      <c r="I248" s="878">
        <v>44193</v>
      </c>
      <c r="J248">
        <v>7</v>
      </c>
      <c r="K248" t="s">
        <v>206</v>
      </c>
      <c r="L248">
        <v>400</v>
      </c>
      <c r="M248">
        <v>1</v>
      </c>
      <c r="N248">
        <v>0</v>
      </c>
      <c r="O248">
        <v>0</v>
      </c>
      <c r="P248">
        <v>0</v>
      </c>
      <c r="Q248">
        <v>0.94598170365656298</v>
      </c>
      <c r="R248">
        <v>5.6778569582843698E-2</v>
      </c>
      <c r="S248">
        <v>0</v>
      </c>
      <c r="T248">
        <v>5.19750491218453E-2</v>
      </c>
      <c r="U248">
        <v>0</v>
      </c>
      <c r="V248">
        <v>-5.4722333647415099E-2</v>
      </c>
      <c r="W248">
        <v>-1.298871383697E-5</v>
      </c>
      <c r="X248">
        <v>0</v>
      </c>
      <c r="Y248" t="s">
        <v>175</v>
      </c>
      <c r="Z248" t="s">
        <v>175</v>
      </c>
      <c r="AA248" t="s">
        <v>175</v>
      </c>
      <c r="AB248" t="s">
        <v>175</v>
      </c>
      <c r="AC248" t="s">
        <v>175</v>
      </c>
      <c r="AD248" t="s">
        <v>175</v>
      </c>
      <c r="AE248" t="s">
        <v>175</v>
      </c>
      <c r="AF248" t="s">
        <v>175</v>
      </c>
      <c r="AG248" s="878">
        <v>44193</v>
      </c>
      <c r="AH248" s="873">
        <f t="shared" si="3"/>
        <v>44166</v>
      </c>
    </row>
    <row r="249" spans="1:34">
      <c r="A249">
        <v>8</v>
      </c>
      <c r="B249">
        <v>400</v>
      </c>
      <c r="C249" t="s">
        <v>206</v>
      </c>
      <c r="D249">
        <v>164</v>
      </c>
      <c r="E249">
        <v>0</v>
      </c>
      <c r="F249">
        <v>0</v>
      </c>
      <c r="G249" t="s">
        <v>175</v>
      </c>
      <c r="H249" t="s">
        <v>175</v>
      </c>
      <c r="I249" s="878">
        <v>44208</v>
      </c>
      <c r="J249">
        <v>8</v>
      </c>
      <c r="K249" t="s">
        <v>206</v>
      </c>
      <c r="L249">
        <v>400</v>
      </c>
      <c r="M249">
        <v>1</v>
      </c>
      <c r="N249">
        <v>0</v>
      </c>
      <c r="O249">
        <v>0</v>
      </c>
      <c r="P249">
        <v>0</v>
      </c>
      <c r="Q249">
        <v>0.94598170365656298</v>
      </c>
      <c r="R249">
        <v>5.6778569582843698E-2</v>
      </c>
      <c r="S249">
        <v>0</v>
      </c>
      <c r="T249">
        <v>5.19750491218453E-2</v>
      </c>
      <c r="U249">
        <v>0</v>
      </c>
      <c r="V249">
        <v>-5.4722333647415099E-2</v>
      </c>
      <c r="W249">
        <v>-1.298871383697E-5</v>
      </c>
      <c r="X249">
        <v>0</v>
      </c>
      <c r="Y249" t="s">
        <v>175</v>
      </c>
      <c r="Z249" t="s">
        <v>175</v>
      </c>
      <c r="AA249" t="s">
        <v>175</v>
      </c>
      <c r="AB249" t="s">
        <v>175</v>
      </c>
      <c r="AC249" t="s">
        <v>175</v>
      </c>
      <c r="AD249" t="s">
        <v>175</v>
      </c>
      <c r="AE249" t="s">
        <v>175</v>
      </c>
      <c r="AF249" t="s">
        <v>175</v>
      </c>
      <c r="AG249" s="878">
        <v>44208</v>
      </c>
      <c r="AH249" s="873">
        <f t="shared" si="3"/>
        <v>44197</v>
      </c>
    </row>
    <row r="250" spans="1:34">
      <c r="A250">
        <v>1</v>
      </c>
      <c r="B250">
        <v>401</v>
      </c>
      <c r="C250" t="s">
        <v>207</v>
      </c>
      <c r="D250">
        <v>161</v>
      </c>
      <c r="E250">
        <v>774806.99046985002</v>
      </c>
      <c r="F250">
        <v>0</v>
      </c>
      <c r="G250">
        <v>0</v>
      </c>
      <c r="H250">
        <v>0</v>
      </c>
      <c r="I250" s="878">
        <v>44043</v>
      </c>
      <c r="J250">
        <v>1</v>
      </c>
      <c r="K250" t="s">
        <v>207</v>
      </c>
      <c r="L250">
        <v>401</v>
      </c>
      <c r="M250">
        <v>0.17611290980035901</v>
      </c>
      <c r="N250">
        <v>0.51220161660288099</v>
      </c>
      <c r="O250">
        <v>0</v>
      </c>
      <c r="P250">
        <v>0.31168547359676002</v>
      </c>
      <c r="Q250">
        <v>-4.9447684685025696E-3</v>
      </c>
      <c r="R250">
        <v>0</v>
      </c>
      <c r="S250">
        <v>-4.0110650036578998E-3</v>
      </c>
      <c r="T250">
        <v>1.5139983337622001E-2</v>
      </c>
      <c r="U250">
        <v>2.34080581113567E-3</v>
      </c>
      <c r="V250">
        <v>4.5005221834489302E-2</v>
      </c>
      <c r="W250">
        <v>0.122582732289272</v>
      </c>
      <c r="X250">
        <v>0</v>
      </c>
      <c r="Y250">
        <v>0.81896221986371098</v>
      </c>
      <c r="Z250">
        <v>0</v>
      </c>
      <c r="AA250">
        <v>-2.7577233793146701E-2</v>
      </c>
      <c r="AB250">
        <v>2.1955166593390401E-2</v>
      </c>
      <c r="AC250">
        <v>3.0009877068906898E-2</v>
      </c>
      <c r="AD250">
        <v>-0.57182259927521295</v>
      </c>
      <c r="AE250">
        <v>0.24067418614523201</v>
      </c>
      <c r="AF250">
        <v>0</v>
      </c>
      <c r="AG250" s="878">
        <v>44043</v>
      </c>
      <c r="AH250" s="873">
        <f t="shared" si="3"/>
        <v>44013</v>
      </c>
    </row>
    <row r="251" spans="1:34">
      <c r="A251">
        <v>2</v>
      </c>
      <c r="B251">
        <v>401</v>
      </c>
      <c r="C251" t="s">
        <v>207</v>
      </c>
      <c r="D251">
        <v>161</v>
      </c>
      <c r="E251">
        <v>0</v>
      </c>
      <c r="F251">
        <v>0</v>
      </c>
      <c r="G251" t="s">
        <v>175</v>
      </c>
      <c r="H251" t="s">
        <v>175</v>
      </c>
      <c r="I251" s="878">
        <v>44055</v>
      </c>
      <c r="J251">
        <v>2</v>
      </c>
      <c r="K251" t="s">
        <v>207</v>
      </c>
      <c r="L251">
        <v>401</v>
      </c>
      <c r="M251">
        <v>1</v>
      </c>
      <c r="N251" t="s">
        <v>175</v>
      </c>
      <c r="O251">
        <v>0</v>
      </c>
      <c r="P251">
        <v>0</v>
      </c>
      <c r="Q251">
        <v>1.1052552419252599</v>
      </c>
      <c r="R251">
        <v>0</v>
      </c>
      <c r="S251">
        <v>0</v>
      </c>
      <c r="T251">
        <v>1.95652942978695E-2</v>
      </c>
      <c r="U251">
        <v>2.0653695851076501E-2</v>
      </c>
      <c r="V251">
        <v>-0.33467126579529199</v>
      </c>
      <c r="W251">
        <v>0.18919703372108199</v>
      </c>
      <c r="X251">
        <v>0</v>
      </c>
      <c r="Y251" t="s">
        <v>175</v>
      </c>
      <c r="Z251" t="s">
        <v>175</v>
      </c>
      <c r="AA251" t="s">
        <v>175</v>
      </c>
      <c r="AB251" t="s">
        <v>175</v>
      </c>
      <c r="AC251" t="s">
        <v>175</v>
      </c>
      <c r="AD251" t="s">
        <v>175</v>
      </c>
      <c r="AE251" t="s">
        <v>175</v>
      </c>
      <c r="AF251" t="s">
        <v>175</v>
      </c>
      <c r="AG251" s="878">
        <v>44055</v>
      </c>
      <c r="AH251" s="873">
        <f t="shared" si="3"/>
        <v>44044</v>
      </c>
    </row>
    <row r="252" spans="1:34">
      <c r="A252">
        <v>3</v>
      </c>
      <c r="B252">
        <v>401</v>
      </c>
      <c r="C252" t="s">
        <v>207</v>
      </c>
      <c r="D252">
        <v>161</v>
      </c>
      <c r="E252">
        <v>0</v>
      </c>
      <c r="F252">
        <v>0</v>
      </c>
      <c r="G252" t="s">
        <v>175</v>
      </c>
      <c r="H252" t="s">
        <v>175</v>
      </c>
      <c r="I252" s="878">
        <v>44088</v>
      </c>
      <c r="J252">
        <v>3</v>
      </c>
      <c r="K252" t="s">
        <v>207</v>
      </c>
      <c r="L252">
        <v>401</v>
      </c>
      <c r="M252">
        <v>1</v>
      </c>
      <c r="N252" t="s">
        <v>175</v>
      </c>
      <c r="O252">
        <v>0</v>
      </c>
      <c r="P252">
        <v>0</v>
      </c>
      <c r="Q252">
        <v>1.1501939445442499</v>
      </c>
      <c r="R252">
        <v>0</v>
      </c>
      <c r="S252">
        <v>0</v>
      </c>
      <c r="T252">
        <v>3.28684927046363E-2</v>
      </c>
      <c r="U252">
        <v>3.0324264754660699E-2</v>
      </c>
      <c r="V252">
        <v>-0.14741777672536099</v>
      </c>
      <c r="W252">
        <v>-6.5968925278188706E-2</v>
      </c>
      <c r="X252">
        <v>0</v>
      </c>
      <c r="Y252" t="s">
        <v>175</v>
      </c>
      <c r="Z252" t="s">
        <v>175</v>
      </c>
      <c r="AA252" t="s">
        <v>175</v>
      </c>
      <c r="AB252" t="s">
        <v>175</v>
      </c>
      <c r="AC252" t="s">
        <v>175</v>
      </c>
      <c r="AD252" t="s">
        <v>175</v>
      </c>
      <c r="AE252" t="s">
        <v>175</v>
      </c>
      <c r="AF252" t="s">
        <v>175</v>
      </c>
      <c r="AG252" s="878">
        <v>44088</v>
      </c>
      <c r="AH252" s="873">
        <f t="shared" si="3"/>
        <v>44075</v>
      </c>
    </row>
    <row r="253" spans="1:34">
      <c r="A253">
        <v>4</v>
      </c>
      <c r="B253">
        <v>401</v>
      </c>
      <c r="C253" t="s">
        <v>207</v>
      </c>
      <c r="D253">
        <v>161</v>
      </c>
      <c r="E253">
        <v>0</v>
      </c>
      <c r="F253">
        <v>0</v>
      </c>
      <c r="G253" t="s">
        <v>175</v>
      </c>
      <c r="H253" t="s">
        <v>175</v>
      </c>
      <c r="I253" s="878">
        <v>44117</v>
      </c>
      <c r="J253">
        <v>4</v>
      </c>
      <c r="K253" t="s">
        <v>207</v>
      </c>
      <c r="L253">
        <v>401</v>
      </c>
      <c r="M253">
        <v>1</v>
      </c>
      <c r="N253">
        <v>0</v>
      </c>
      <c r="O253">
        <v>0</v>
      </c>
      <c r="P253">
        <v>0</v>
      </c>
      <c r="Q253">
        <v>1.0282662026624401</v>
      </c>
      <c r="R253">
        <v>0</v>
      </c>
      <c r="S253">
        <v>0</v>
      </c>
      <c r="T253">
        <v>1.8995487430909001E-2</v>
      </c>
      <c r="U253">
        <v>4.3875402469731102E-2</v>
      </c>
      <c r="V253">
        <v>-9.1242057077853295E-2</v>
      </c>
      <c r="W253">
        <v>1.04964514772511E-4</v>
      </c>
      <c r="X253">
        <v>0</v>
      </c>
      <c r="Y253" t="s">
        <v>175</v>
      </c>
      <c r="Z253" t="s">
        <v>175</v>
      </c>
      <c r="AA253" t="s">
        <v>175</v>
      </c>
      <c r="AB253" t="s">
        <v>175</v>
      </c>
      <c r="AC253" t="s">
        <v>175</v>
      </c>
      <c r="AD253" t="s">
        <v>175</v>
      </c>
      <c r="AE253" t="s">
        <v>175</v>
      </c>
      <c r="AF253" t="s">
        <v>175</v>
      </c>
      <c r="AG253" s="878">
        <v>44117</v>
      </c>
      <c r="AH253" s="873">
        <f t="shared" si="3"/>
        <v>44105</v>
      </c>
    </row>
    <row r="254" spans="1:34">
      <c r="A254">
        <v>5</v>
      </c>
      <c r="B254">
        <v>401</v>
      </c>
      <c r="C254" t="s">
        <v>207</v>
      </c>
      <c r="D254">
        <v>161</v>
      </c>
      <c r="E254">
        <v>0</v>
      </c>
      <c r="F254">
        <v>0</v>
      </c>
      <c r="G254" t="s">
        <v>175</v>
      </c>
      <c r="H254" t="s">
        <v>175</v>
      </c>
      <c r="I254" s="878">
        <v>44147</v>
      </c>
      <c r="J254">
        <v>5</v>
      </c>
      <c r="K254" t="s">
        <v>207</v>
      </c>
      <c r="L254">
        <v>401</v>
      </c>
      <c r="M254">
        <v>1</v>
      </c>
      <c r="N254">
        <v>0</v>
      </c>
      <c r="O254">
        <v>0</v>
      </c>
      <c r="P254">
        <v>0</v>
      </c>
      <c r="Q254">
        <v>1.07703909972406</v>
      </c>
      <c r="R254">
        <v>0</v>
      </c>
      <c r="S254">
        <v>0</v>
      </c>
      <c r="T254">
        <v>2.20107994990206E-2</v>
      </c>
      <c r="U254">
        <v>4.6670019689314501E-2</v>
      </c>
      <c r="V254">
        <v>-0.14584568389159899</v>
      </c>
      <c r="W254">
        <v>1.25764979207644E-4</v>
      </c>
      <c r="X254">
        <v>0</v>
      </c>
      <c r="Y254" t="s">
        <v>175</v>
      </c>
      <c r="Z254" t="s">
        <v>175</v>
      </c>
      <c r="AA254" t="s">
        <v>175</v>
      </c>
      <c r="AB254" t="s">
        <v>175</v>
      </c>
      <c r="AC254" t="s">
        <v>175</v>
      </c>
      <c r="AD254" t="s">
        <v>175</v>
      </c>
      <c r="AE254" t="s">
        <v>175</v>
      </c>
      <c r="AF254" t="s">
        <v>175</v>
      </c>
      <c r="AG254" s="878">
        <v>44147</v>
      </c>
      <c r="AH254" s="873">
        <f t="shared" si="3"/>
        <v>44136</v>
      </c>
    </row>
    <row r="255" spans="1:34">
      <c r="A255">
        <v>6</v>
      </c>
      <c r="B255">
        <v>401</v>
      </c>
      <c r="C255" t="s">
        <v>207</v>
      </c>
      <c r="D255">
        <v>161</v>
      </c>
      <c r="E255">
        <v>0</v>
      </c>
      <c r="F255">
        <v>0</v>
      </c>
      <c r="G255" t="s">
        <v>175</v>
      </c>
      <c r="H255" t="s">
        <v>175</v>
      </c>
      <c r="I255" s="878">
        <v>44179</v>
      </c>
      <c r="J255">
        <v>6</v>
      </c>
      <c r="K255" t="s">
        <v>207</v>
      </c>
      <c r="L255">
        <v>401</v>
      </c>
      <c r="M255">
        <v>0.99691743374119002</v>
      </c>
      <c r="N255">
        <v>0</v>
      </c>
      <c r="O255">
        <v>0</v>
      </c>
      <c r="P255">
        <v>3.08256625881069E-3</v>
      </c>
      <c r="Q255">
        <v>1.0370494230123799</v>
      </c>
      <c r="R255">
        <v>0</v>
      </c>
      <c r="S255">
        <v>0</v>
      </c>
      <c r="T255">
        <v>7.1557038520963095E-2</v>
      </c>
      <c r="U255">
        <v>0.15043441395616999</v>
      </c>
      <c r="V255">
        <v>-0.26251832652418999</v>
      </c>
      <c r="W255">
        <v>3.9488477586259202E-4</v>
      </c>
      <c r="X255">
        <v>0</v>
      </c>
      <c r="Y255" t="s">
        <v>175</v>
      </c>
      <c r="Z255" t="s">
        <v>175</v>
      </c>
      <c r="AA255" t="s">
        <v>175</v>
      </c>
      <c r="AB255" t="s">
        <v>175</v>
      </c>
      <c r="AC255" t="s">
        <v>175</v>
      </c>
      <c r="AD255" t="s">
        <v>175</v>
      </c>
      <c r="AE255" t="s">
        <v>175</v>
      </c>
      <c r="AF255" t="s">
        <v>175</v>
      </c>
      <c r="AG255" s="878">
        <v>44179</v>
      </c>
      <c r="AH255" s="873">
        <f t="shared" si="3"/>
        <v>44166</v>
      </c>
    </row>
    <row r="256" spans="1:34">
      <c r="A256">
        <v>7</v>
      </c>
      <c r="B256">
        <v>401</v>
      </c>
      <c r="C256" t="s">
        <v>207</v>
      </c>
      <c r="D256">
        <v>161</v>
      </c>
      <c r="E256">
        <v>0</v>
      </c>
      <c r="F256">
        <v>0</v>
      </c>
      <c r="G256" t="s">
        <v>175</v>
      </c>
      <c r="H256" t="s">
        <v>175</v>
      </c>
      <c r="I256" s="878">
        <v>44193</v>
      </c>
      <c r="J256">
        <v>7</v>
      </c>
      <c r="K256" t="s">
        <v>207</v>
      </c>
      <c r="L256">
        <v>401</v>
      </c>
      <c r="M256">
        <v>1</v>
      </c>
      <c r="N256">
        <v>0</v>
      </c>
      <c r="O256">
        <v>0</v>
      </c>
      <c r="P256">
        <v>0</v>
      </c>
      <c r="Q256">
        <v>0.78455910625380099</v>
      </c>
      <c r="R256">
        <v>0</v>
      </c>
      <c r="S256">
        <v>0</v>
      </c>
      <c r="T256">
        <v>9.7254358565804205E-3</v>
      </c>
      <c r="U256">
        <v>2.0619909664488099E-2</v>
      </c>
      <c r="V256">
        <v>0.185035158650704</v>
      </c>
      <c r="W256">
        <v>6.0389574426303399E-5</v>
      </c>
      <c r="X256">
        <v>0</v>
      </c>
      <c r="Y256" t="s">
        <v>175</v>
      </c>
      <c r="Z256" t="s">
        <v>175</v>
      </c>
      <c r="AA256" t="s">
        <v>175</v>
      </c>
      <c r="AB256" t="s">
        <v>175</v>
      </c>
      <c r="AC256" t="s">
        <v>175</v>
      </c>
      <c r="AD256" t="s">
        <v>175</v>
      </c>
      <c r="AE256" t="s">
        <v>175</v>
      </c>
      <c r="AF256" t="s">
        <v>175</v>
      </c>
      <c r="AG256" s="878">
        <v>44193</v>
      </c>
      <c r="AH256" s="873">
        <f t="shared" si="3"/>
        <v>44166</v>
      </c>
    </row>
    <row r="257" spans="1:34">
      <c r="A257">
        <v>8</v>
      </c>
      <c r="B257">
        <v>401</v>
      </c>
      <c r="C257" t="s">
        <v>207</v>
      </c>
      <c r="D257">
        <v>161</v>
      </c>
      <c r="E257">
        <v>0</v>
      </c>
      <c r="F257">
        <v>0</v>
      </c>
      <c r="G257" t="s">
        <v>175</v>
      </c>
      <c r="H257" t="s">
        <v>175</v>
      </c>
      <c r="I257" s="878">
        <v>44208</v>
      </c>
      <c r="J257">
        <v>8</v>
      </c>
      <c r="K257" t="s">
        <v>207</v>
      </c>
      <c r="L257">
        <v>401</v>
      </c>
      <c r="M257">
        <v>1</v>
      </c>
      <c r="N257">
        <v>0</v>
      </c>
      <c r="O257">
        <v>0</v>
      </c>
      <c r="P257">
        <v>0</v>
      </c>
      <c r="Q257">
        <v>0.78455910625380099</v>
      </c>
      <c r="R257">
        <v>0</v>
      </c>
      <c r="S257">
        <v>0</v>
      </c>
      <c r="T257">
        <v>9.7254358565804205E-3</v>
      </c>
      <c r="U257">
        <v>2.0619909664488099E-2</v>
      </c>
      <c r="V257">
        <v>0.185035158650704</v>
      </c>
      <c r="W257">
        <v>6.0389574426303399E-5</v>
      </c>
      <c r="X257">
        <v>0</v>
      </c>
      <c r="Y257" t="s">
        <v>175</v>
      </c>
      <c r="Z257" t="s">
        <v>175</v>
      </c>
      <c r="AA257" t="s">
        <v>175</v>
      </c>
      <c r="AB257" t="s">
        <v>175</v>
      </c>
      <c r="AC257" t="s">
        <v>175</v>
      </c>
      <c r="AD257" t="s">
        <v>175</v>
      </c>
      <c r="AE257" t="s">
        <v>175</v>
      </c>
      <c r="AF257" t="s">
        <v>175</v>
      </c>
      <c r="AG257" s="878">
        <v>44208</v>
      </c>
      <c r="AH257" s="873">
        <f t="shared" si="3"/>
        <v>44197</v>
      </c>
    </row>
    <row r="258" spans="1:34">
      <c r="A258">
        <v>1</v>
      </c>
      <c r="B258">
        <v>404</v>
      </c>
      <c r="C258" t="s">
        <v>208</v>
      </c>
      <c r="D258">
        <v>151</v>
      </c>
      <c r="E258">
        <v>189316627.87858999</v>
      </c>
      <c r="F258">
        <v>0</v>
      </c>
      <c r="G258">
        <v>42174949</v>
      </c>
      <c r="H258">
        <v>0</v>
      </c>
      <c r="I258" s="878">
        <v>44043</v>
      </c>
      <c r="J258">
        <v>1</v>
      </c>
      <c r="K258" t="s">
        <v>209</v>
      </c>
      <c r="L258">
        <v>404</v>
      </c>
      <c r="M258">
        <v>2.1564987822065999E-2</v>
      </c>
      <c r="N258">
        <v>0.83628755125267695</v>
      </c>
      <c r="O258">
        <v>0.10912656481678799</v>
      </c>
      <c r="P258">
        <v>3.3020896108468901E-2</v>
      </c>
      <c r="Q258">
        <v>3.85497570483809E-2</v>
      </c>
      <c r="R258">
        <v>0</v>
      </c>
      <c r="S258">
        <v>-1.5071908250579599E-6</v>
      </c>
      <c r="T258">
        <v>-1.86047971005813E-2</v>
      </c>
      <c r="U258">
        <v>1.0402862133461999E-3</v>
      </c>
      <c r="V258">
        <v>6.1122224851373501E-4</v>
      </c>
      <c r="W258">
        <v>-2.9973396768437701E-5</v>
      </c>
      <c r="X258">
        <v>0</v>
      </c>
      <c r="Y258">
        <v>1.0407133792091099</v>
      </c>
      <c r="Z258">
        <v>0</v>
      </c>
      <c r="AA258">
        <v>-9.4927553387044207E-3</v>
      </c>
      <c r="AB258">
        <v>0.11407058831540901</v>
      </c>
      <c r="AC258">
        <v>1.9968569757244901E-2</v>
      </c>
      <c r="AD258">
        <v>-0.41680509104886698</v>
      </c>
      <c r="AE258">
        <v>8.7832860358488002E-2</v>
      </c>
      <c r="AF258">
        <v>0</v>
      </c>
      <c r="AG258" s="878">
        <v>44043</v>
      </c>
      <c r="AH258" s="873">
        <f t="shared" si="3"/>
        <v>44013</v>
      </c>
    </row>
    <row r="259" spans="1:34">
      <c r="A259">
        <v>2</v>
      </c>
      <c r="B259">
        <v>404</v>
      </c>
      <c r="C259" t="s">
        <v>208</v>
      </c>
      <c r="D259">
        <v>151</v>
      </c>
      <c r="E259">
        <v>24574456.920000002</v>
      </c>
      <c r="F259">
        <v>0</v>
      </c>
      <c r="G259" t="s">
        <v>175</v>
      </c>
      <c r="H259" t="s">
        <v>175</v>
      </c>
      <c r="I259" s="878">
        <v>44055</v>
      </c>
      <c r="J259">
        <v>2</v>
      </c>
      <c r="K259" t="s">
        <v>209</v>
      </c>
      <c r="L259">
        <v>404</v>
      </c>
      <c r="M259">
        <v>0.47971028030062601</v>
      </c>
      <c r="N259" t="s">
        <v>175</v>
      </c>
      <c r="O259">
        <v>0.308591057</v>
      </c>
      <c r="P259">
        <v>0.21169866300000001</v>
      </c>
      <c r="Q259">
        <v>0.28206045775871003</v>
      </c>
      <c r="R259">
        <v>0</v>
      </c>
      <c r="S259">
        <v>-1.37094673479449E-5</v>
      </c>
      <c r="T259">
        <v>0.12312069859992</v>
      </c>
      <c r="U259">
        <v>2.79229000180863E-2</v>
      </c>
      <c r="V259">
        <v>4.6888122946426303E-2</v>
      </c>
      <c r="W259">
        <v>-2.6818955516843098E-4</v>
      </c>
      <c r="X259">
        <v>0</v>
      </c>
      <c r="Y259" t="s">
        <v>175</v>
      </c>
      <c r="Z259" t="s">
        <v>175</v>
      </c>
      <c r="AA259" t="s">
        <v>175</v>
      </c>
      <c r="AB259" t="s">
        <v>175</v>
      </c>
      <c r="AC259" t="s">
        <v>175</v>
      </c>
      <c r="AD259" t="s">
        <v>175</v>
      </c>
      <c r="AE259" t="s">
        <v>175</v>
      </c>
      <c r="AF259" t="s">
        <v>175</v>
      </c>
      <c r="AG259" s="878">
        <v>44055</v>
      </c>
      <c r="AH259" s="873">
        <f t="shared" ref="AH259:AH322" si="4">DATE(YEAR(I259),MONTH(I259),1)</f>
        <v>44044</v>
      </c>
    </row>
    <row r="260" spans="1:34">
      <c r="A260">
        <v>3</v>
      </c>
      <c r="B260">
        <v>404</v>
      </c>
      <c r="C260" t="s">
        <v>208</v>
      </c>
      <c r="D260">
        <v>151</v>
      </c>
      <c r="E260">
        <v>21278561.719999999</v>
      </c>
      <c r="F260">
        <v>0</v>
      </c>
      <c r="G260" t="s">
        <v>175</v>
      </c>
      <c r="H260" t="s">
        <v>175</v>
      </c>
      <c r="I260" s="878">
        <v>44088</v>
      </c>
      <c r="J260">
        <v>3</v>
      </c>
      <c r="K260" t="s">
        <v>209</v>
      </c>
      <c r="L260">
        <v>404</v>
      </c>
      <c r="M260">
        <v>0.76272644800802702</v>
      </c>
      <c r="N260" t="s">
        <v>175</v>
      </c>
      <c r="O260">
        <v>0.19570793368</v>
      </c>
      <c r="P260">
        <v>4.1565618310000003E-2</v>
      </c>
      <c r="Q260">
        <v>0.36668229957627702</v>
      </c>
      <c r="R260">
        <v>0</v>
      </c>
      <c r="S260">
        <v>-1.14462869587311E-5</v>
      </c>
      <c r="T260">
        <v>0.40382611724350598</v>
      </c>
      <c r="U260">
        <v>3.1954344938461797E-2</v>
      </c>
      <c r="V260">
        <v>-3.9500951060829299E-2</v>
      </c>
      <c r="W260">
        <v>-2.2391640242939E-4</v>
      </c>
      <c r="X260">
        <v>0</v>
      </c>
      <c r="Y260" t="s">
        <v>175</v>
      </c>
      <c r="Z260" t="s">
        <v>175</v>
      </c>
      <c r="AA260" t="s">
        <v>175</v>
      </c>
      <c r="AB260" t="s">
        <v>175</v>
      </c>
      <c r="AC260" t="s">
        <v>175</v>
      </c>
      <c r="AD260" t="s">
        <v>175</v>
      </c>
      <c r="AE260" t="s">
        <v>175</v>
      </c>
      <c r="AF260" t="s">
        <v>175</v>
      </c>
      <c r="AG260" s="878">
        <v>44088</v>
      </c>
      <c r="AH260" s="873">
        <f t="shared" si="4"/>
        <v>44075</v>
      </c>
    </row>
    <row r="261" spans="1:34">
      <c r="A261">
        <v>4</v>
      </c>
      <c r="B261">
        <v>404</v>
      </c>
      <c r="C261" t="s">
        <v>208</v>
      </c>
      <c r="D261">
        <v>151</v>
      </c>
      <c r="E261">
        <v>9293420.7308857292</v>
      </c>
      <c r="F261">
        <v>0</v>
      </c>
      <c r="G261" t="s">
        <v>175</v>
      </c>
      <c r="H261" t="s">
        <v>175</v>
      </c>
      <c r="I261" s="878">
        <v>44117</v>
      </c>
      <c r="J261">
        <v>4</v>
      </c>
      <c r="K261" t="s">
        <v>209</v>
      </c>
      <c r="L261">
        <v>404</v>
      </c>
      <c r="M261">
        <v>0.99943637006651898</v>
      </c>
      <c r="N261">
        <v>0</v>
      </c>
      <c r="O261">
        <v>0</v>
      </c>
      <c r="P261">
        <v>5.6362993348071195E-4</v>
      </c>
      <c r="Q261">
        <v>0.54494828960455099</v>
      </c>
      <c r="R261">
        <v>0</v>
      </c>
      <c r="S261">
        <v>-2.8320912735545002E-5</v>
      </c>
      <c r="T261">
        <v>0.661166098570107</v>
      </c>
      <c r="U261">
        <v>7.2900005876737103E-2</v>
      </c>
      <c r="V261">
        <v>-0.278995679141399</v>
      </c>
      <c r="W261">
        <v>-5.5402393074118503E-4</v>
      </c>
      <c r="X261">
        <v>0</v>
      </c>
      <c r="Y261" t="s">
        <v>175</v>
      </c>
      <c r="Z261" t="s">
        <v>175</v>
      </c>
      <c r="AA261" t="s">
        <v>175</v>
      </c>
      <c r="AB261" t="s">
        <v>175</v>
      </c>
      <c r="AC261" t="s">
        <v>175</v>
      </c>
      <c r="AD261" t="s">
        <v>175</v>
      </c>
      <c r="AE261" t="s">
        <v>175</v>
      </c>
      <c r="AF261" t="s">
        <v>175</v>
      </c>
      <c r="AG261" s="878">
        <v>44117</v>
      </c>
      <c r="AH261" s="873">
        <f t="shared" si="4"/>
        <v>44105</v>
      </c>
    </row>
    <row r="262" spans="1:34">
      <c r="A262">
        <v>5</v>
      </c>
      <c r="B262">
        <v>404</v>
      </c>
      <c r="C262" t="s">
        <v>208</v>
      </c>
      <c r="D262">
        <v>151</v>
      </c>
      <c r="E262">
        <v>9629652.3346781097</v>
      </c>
      <c r="F262">
        <v>0</v>
      </c>
      <c r="G262" t="s">
        <v>175</v>
      </c>
      <c r="H262" t="s">
        <v>175</v>
      </c>
      <c r="I262" s="878">
        <v>44147</v>
      </c>
      <c r="J262">
        <v>5</v>
      </c>
      <c r="K262" t="s">
        <v>209</v>
      </c>
      <c r="L262">
        <v>404</v>
      </c>
      <c r="M262">
        <v>0.90176551137157201</v>
      </c>
      <c r="N262">
        <v>0</v>
      </c>
      <c r="O262">
        <v>9.8234488628428193E-2</v>
      </c>
      <c r="P262">
        <v>0</v>
      </c>
      <c r="Q262">
        <v>0.66112974552283799</v>
      </c>
      <c r="R262">
        <v>0</v>
      </c>
      <c r="S262">
        <v>-9.4376377110542492E-6</v>
      </c>
      <c r="T262">
        <v>0.22439968873493399</v>
      </c>
      <c r="U262">
        <v>2.46673896298861E-2</v>
      </c>
      <c r="V262">
        <v>-8.2372523985032708E-3</v>
      </c>
      <c r="W262">
        <v>-1.8462247987206099E-4</v>
      </c>
      <c r="X262">
        <v>0</v>
      </c>
      <c r="Y262" t="s">
        <v>175</v>
      </c>
      <c r="Z262" t="s">
        <v>175</v>
      </c>
      <c r="AA262" t="s">
        <v>175</v>
      </c>
      <c r="AB262" t="s">
        <v>175</v>
      </c>
      <c r="AC262" t="s">
        <v>175</v>
      </c>
      <c r="AD262" t="s">
        <v>175</v>
      </c>
      <c r="AE262" t="s">
        <v>175</v>
      </c>
      <c r="AF262" t="s">
        <v>175</v>
      </c>
      <c r="AG262" s="878">
        <v>44147</v>
      </c>
      <c r="AH262" s="873">
        <f t="shared" si="4"/>
        <v>44136</v>
      </c>
    </row>
    <row r="263" spans="1:34">
      <c r="A263">
        <v>6</v>
      </c>
      <c r="B263">
        <v>404</v>
      </c>
      <c r="C263" t="s">
        <v>208</v>
      </c>
      <c r="D263">
        <v>151</v>
      </c>
      <c r="E263">
        <v>0</v>
      </c>
      <c r="F263">
        <v>0</v>
      </c>
      <c r="G263" t="s">
        <v>175</v>
      </c>
      <c r="H263" t="s">
        <v>175</v>
      </c>
      <c r="I263" s="878">
        <v>44179</v>
      </c>
      <c r="J263">
        <v>6</v>
      </c>
      <c r="K263" t="s">
        <v>209</v>
      </c>
      <c r="L263">
        <v>404</v>
      </c>
      <c r="M263" t="s">
        <v>175</v>
      </c>
      <c r="N263">
        <v>0</v>
      </c>
      <c r="O263" t="s">
        <v>175</v>
      </c>
      <c r="P263" t="s">
        <v>175</v>
      </c>
      <c r="Q263" t="s">
        <v>175</v>
      </c>
      <c r="R263" t="s">
        <v>175</v>
      </c>
      <c r="S263" t="s">
        <v>175</v>
      </c>
      <c r="T263" t="s">
        <v>175</v>
      </c>
      <c r="U263" t="s">
        <v>175</v>
      </c>
      <c r="V263" t="s">
        <v>175</v>
      </c>
      <c r="W263" t="s">
        <v>175</v>
      </c>
      <c r="X263" t="s">
        <v>175</v>
      </c>
      <c r="Y263" t="s">
        <v>175</v>
      </c>
      <c r="Z263" t="s">
        <v>175</v>
      </c>
      <c r="AA263" t="s">
        <v>175</v>
      </c>
      <c r="AB263" t="s">
        <v>175</v>
      </c>
      <c r="AC263" t="s">
        <v>175</v>
      </c>
      <c r="AD263" t="s">
        <v>175</v>
      </c>
      <c r="AE263" t="s">
        <v>175</v>
      </c>
      <c r="AF263" t="s">
        <v>175</v>
      </c>
      <c r="AG263" s="878">
        <v>44179</v>
      </c>
      <c r="AH263" s="873">
        <f t="shared" si="4"/>
        <v>44166</v>
      </c>
    </row>
    <row r="264" spans="1:34">
      <c r="A264">
        <v>7</v>
      </c>
      <c r="B264">
        <v>404</v>
      </c>
      <c r="C264" t="s">
        <v>208</v>
      </c>
      <c r="D264">
        <v>151</v>
      </c>
      <c r="E264">
        <v>0</v>
      </c>
      <c r="F264">
        <v>0</v>
      </c>
      <c r="G264" t="s">
        <v>175</v>
      </c>
      <c r="H264" t="s">
        <v>175</v>
      </c>
      <c r="I264" s="878">
        <v>44193</v>
      </c>
      <c r="J264">
        <v>7</v>
      </c>
      <c r="K264" t="s">
        <v>209</v>
      </c>
      <c r="L264">
        <v>404</v>
      </c>
      <c r="M264" t="s">
        <v>175</v>
      </c>
      <c r="N264">
        <v>0</v>
      </c>
      <c r="O264" t="s">
        <v>175</v>
      </c>
      <c r="P264" t="s">
        <v>175</v>
      </c>
      <c r="Q264" t="s">
        <v>175</v>
      </c>
      <c r="R264" t="s">
        <v>175</v>
      </c>
      <c r="S264" t="s">
        <v>175</v>
      </c>
      <c r="T264" t="s">
        <v>175</v>
      </c>
      <c r="U264" t="s">
        <v>175</v>
      </c>
      <c r="V264" t="s">
        <v>175</v>
      </c>
      <c r="W264" t="s">
        <v>175</v>
      </c>
      <c r="X264" t="s">
        <v>175</v>
      </c>
      <c r="Y264" t="s">
        <v>175</v>
      </c>
      <c r="Z264" t="s">
        <v>175</v>
      </c>
      <c r="AA264" t="s">
        <v>175</v>
      </c>
      <c r="AB264" t="s">
        <v>175</v>
      </c>
      <c r="AC264" t="s">
        <v>175</v>
      </c>
      <c r="AD264" t="s">
        <v>175</v>
      </c>
      <c r="AE264" t="s">
        <v>175</v>
      </c>
      <c r="AF264" t="s">
        <v>175</v>
      </c>
      <c r="AG264" s="878">
        <v>44193</v>
      </c>
      <c r="AH264" s="873">
        <f t="shared" si="4"/>
        <v>44166</v>
      </c>
    </row>
    <row r="265" spans="1:34">
      <c r="A265">
        <v>8</v>
      </c>
      <c r="B265">
        <v>404</v>
      </c>
      <c r="C265" t="s">
        <v>208</v>
      </c>
      <c r="D265">
        <v>151</v>
      </c>
      <c r="E265">
        <v>0</v>
      </c>
      <c r="F265">
        <v>0</v>
      </c>
      <c r="G265" t="s">
        <v>175</v>
      </c>
      <c r="H265" t="s">
        <v>175</v>
      </c>
      <c r="I265" s="878">
        <v>44208</v>
      </c>
      <c r="J265">
        <v>8</v>
      </c>
      <c r="K265" t="s">
        <v>209</v>
      </c>
      <c r="L265">
        <v>404</v>
      </c>
      <c r="M265" t="s">
        <v>175</v>
      </c>
      <c r="N265">
        <v>0</v>
      </c>
      <c r="O265" t="s">
        <v>175</v>
      </c>
      <c r="P265" t="s">
        <v>175</v>
      </c>
      <c r="Q265" t="s">
        <v>175</v>
      </c>
      <c r="R265" t="s">
        <v>175</v>
      </c>
      <c r="S265" t="s">
        <v>175</v>
      </c>
      <c r="T265" t="s">
        <v>175</v>
      </c>
      <c r="U265" t="s">
        <v>175</v>
      </c>
      <c r="V265" t="s">
        <v>175</v>
      </c>
      <c r="W265" t="s">
        <v>175</v>
      </c>
      <c r="X265" t="s">
        <v>175</v>
      </c>
      <c r="Y265" t="s">
        <v>175</v>
      </c>
      <c r="Z265" t="s">
        <v>175</v>
      </c>
      <c r="AA265" t="s">
        <v>175</v>
      </c>
      <c r="AB265" t="s">
        <v>175</v>
      </c>
      <c r="AC265" t="s">
        <v>175</v>
      </c>
      <c r="AD265" t="s">
        <v>175</v>
      </c>
      <c r="AE265" t="s">
        <v>175</v>
      </c>
      <c r="AF265" t="s">
        <v>175</v>
      </c>
      <c r="AG265" s="878">
        <v>44208</v>
      </c>
      <c r="AH265" s="873">
        <f t="shared" si="4"/>
        <v>44197</v>
      </c>
    </row>
    <row r="266" spans="1:34">
      <c r="A266">
        <v>1</v>
      </c>
      <c r="B266">
        <v>405</v>
      </c>
      <c r="C266" t="s">
        <v>210</v>
      </c>
      <c r="D266">
        <v>117</v>
      </c>
      <c r="E266">
        <v>180415300.36722699</v>
      </c>
      <c r="F266">
        <v>0</v>
      </c>
      <c r="G266">
        <v>26038993</v>
      </c>
      <c r="H266">
        <v>0</v>
      </c>
      <c r="I266" s="878">
        <v>44043</v>
      </c>
      <c r="J266">
        <v>1</v>
      </c>
      <c r="K266" t="s">
        <v>210</v>
      </c>
      <c r="L266">
        <v>405</v>
      </c>
      <c r="M266">
        <v>1.7593731331423501E-3</v>
      </c>
      <c r="N266">
        <v>0.62489536070677798</v>
      </c>
      <c r="O266">
        <v>0.30718328722568999</v>
      </c>
      <c r="P266">
        <v>6.6161978934389201E-2</v>
      </c>
      <c r="Q266">
        <v>1.81584127773699E-2</v>
      </c>
      <c r="R266">
        <v>0</v>
      </c>
      <c r="S266">
        <v>-2.1859651394486702E-6</v>
      </c>
      <c r="T266">
        <v>-2.0229849149955001E-2</v>
      </c>
      <c r="U266">
        <v>1.6432031375141799E-3</v>
      </c>
      <c r="V266">
        <v>2.2144872996842698E-3</v>
      </c>
      <c r="W266">
        <v>-2.469496633155E-5</v>
      </c>
      <c r="X266">
        <v>0</v>
      </c>
      <c r="Y266">
        <v>0.80693517868867903</v>
      </c>
      <c r="Z266">
        <v>0</v>
      </c>
      <c r="AA266">
        <v>-1.23995869277525E-2</v>
      </c>
      <c r="AB266">
        <v>0.26941583214429798</v>
      </c>
      <c r="AC266">
        <v>3.0530245155419002E-2</v>
      </c>
      <c r="AD266">
        <v>-0.623484725358878</v>
      </c>
      <c r="AE266">
        <v>0.153898417005012</v>
      </c>
      <c r="AF266">
        <v>0</v>
      </c>
      <c r="AG266" s="878">
        <v>44043</v>
      </c>
      <c r="AH266" s="873">
        <f t="shared" si="4"/>
        <v>44013</v>
      </c>
    </row>
    <row r="267" spans="1:34">
      <c r="A267">
        <v>2</v>
      </c>
      <c r="B267">
        <v>405</v>
      </c>
      <c r="C267" t="s">
        <v>210</v>
      </c>
      <c r="D267">
        <v>117</v>
      </c>
      <c r="E267">
        <v>31347040.600000001</v>
      </c>
      <c r="F267">
        <v>0</v>
      </c>
      <c r="G267" t="s">
        <v>175</v>
      </c>
      <c r="H267" t="s">
        <v>175</v>
      </c>
      <c r="I267" s="878">
        <v>44055</v>
      </c>
      <c r="J267">
        <v>2</v>
      </c>
      <c r="K267" t="s">
        <v>210</v>
      </c>
      <c r="L267">
        <v>405</v>
      </c>
      <c r="M267">
        <v>0.56012050562025895</v>
      </c>
      <c r="N267" t="s">
        <v>175</v>
      </c>
      <c r="O267">
        <v>0.31172348900000002</v>
      </c>
      <c r="P267">
        <v>0.12815600499999999</v>
      </c>
      <c r="Q267">
        <v>0.19066856919949501</v>
      </c>
      <c r="R267">
        <v>0</v>
      </c>
      <c r="S267">
        <v>-1.48548256771926E-5</v>
      </c>
      <c r="T267">
        <v>0.27946403937420999</v>
      </c>
      <c r="U267">
        <v>3.29511469710565E-2</v>
      </c>
      <c r="V267">
        <v>5.7214461966794798E-2</v>
      </c>
      <c r="W267">
        <v>-1.6285706562092799E-4</v>
      </c>
      <c r="X267">
        <v>0</v>
      </c>
      <c r="Y267" t="s">
        <v>175</v>
      </c>
      <c r="Z267" t="s">
        <v>175</v>
      </c>
      <c r="AA267" t="s">
        <v>175</v>
      </c>
      <c r="AB267" t="s">
        <v>175</v>
      </c>
      <c r="AC267" t="s">
        <v>175</v>
      </c>
      <c r="AD267" t="s">
        <v>175</v>
      </c>
      <c r="AE267" t="s">
        <v>175</v>
      </c>
      <c r="AF267" t="s">
        <v>175</v>
      </c>
      <c r="AG267" s="878">
        <v>44055</v>
      </c>
      <c r="AH267" s="873">
        <f t="shared" si="4"/>
        <v>44044</v>
      </c>
    </row>
    <row r="268" spans="1:34">
      <c r="A268">
        <v>3</v>
      </c>
      <c r="B268">
        <v>405</v>
      </c>
      <c r="C268" t="s">
        <v>210</v>
      </c>
      <c r="D268">
        <v>117</v>
      </c>
      <c r="E268">
        <v>41691288.630000003</v>
      </c>
      <c r="F268">
        <v>0</v>
      </c>
      <c r="G268" t="s">
        <v>175</v>
      </c>
      <c r="H268" t="s">
        <v>175</v>
      </c>
      <c r="I268" s="878">
        <v>44088</v>
      </c>
      <c r="J268">
        <v>3</v>
      </c>
      <c r="K268" t="s">
        <v>210</v>
      </c>
      <c r="L268">
        <v>405</v>
      </c>
      <c r="M268">
        <v>0.78468908177948204</v>
      </c>
      <c r="N268" t="s">
        <v>175</v>
      </c>
      <c r="O268">
        <v>0.21531091822000001</v>
      </c>
      <c r="P268">
        <v>0</v>
      </c>
      <c r="Q268">
        <v>0.23388563757494099</v>
      </c>
      <c r="R268">
        <v>0</v>
      </c>
      <c r="S268">
        <v>-1.45601801758973E-5</v>
      </c>
      <c r="T268">
        <v>0.55332030579214697</v>
      </c>
      <c r="U268">
        <v>4.4268407095277199E-2</v>
      </c>
      <c r="V268">
        <v>-4.6611081707355999E-2</v>
      </c>
      <c r="W268">
        <v>-1.5962679535150699E-4</v>
      </c>
      <c r="X268">
        <v>0</v>
      </c>
      <c r="Y268" t="s">
        <v>175</v>
      </c>
      <c r="Z268" t="s">
        <v>175</v>
      </c>
      <c r="AA268" t="s">
        <v>175</v>
      </c>
      <c r="AB268" t="s">
        <v>175</v>
      </c>
      <c r="AC268" t="s">
        <v>175</v>
      </c>
      <c r="AD268" t="s">
        <v>175</v>
      </c>
      <c r="AE268" t="s">
        <v>175</v>
      </c>
      <c r="AF268" t="s">
        <v>175</v>
      </c>
      <c r="AG268" s="878">
        <v>44088</v>
      </c>
      <c r="AH268" s="873">
        <f t="shared" si="4"/>
        <v>44075</v>
      </c>
    </row>
    <row r="269" spans="1:34">
      <c r="A269">
        <v>4</v>
      </c>
      <c r="B269">
        <v>405</v>
      </c>
      <c r="C269" t="s">
        <v>210</v>
      </c>
      <c r="D269">
        <v>117</v>
      </c>
      <c r="E269">
        <v>11994324.9816541</v>
      </c>
      <c r="F269">
        <v>0</v>
      </c>
      <c r="G269" t="s">
        <v>175</v>
      </c>
      <c r="H269" t="s">
        <v>175</v>
      </c>
      <c r="I269" s="878">
        <v>44117</v>
      </c>
      <c r="J269">
        <v>4</v>
      </c>
      <c r="K269" t="s">
        <v>210</v>
      </c>
      <c r="L269">
        <v>405</v>
      </c>
      <c r="M269">
        <v>1</v>
      </c>
      <c r="N269">
        <v>0</v>
      </c>
      <c r="O269">
        <v>0</v>
      </c>
      <c r="P269">
        <v>0</v>
      </c>
      <c r="Q269">
        <v>0.17150176593510899</v>
      </c>
      <c r="R269">
        <v>0</v>
      </c>
      <c r="S269">
        <v>-3.0329596226808001E-5</v>
      </c>
      <c r="T269">
        <v>0.94650145644041905</v>
      </c>
      <c r="U269">
        <v>8.5025653970739107E-2</v>
      </c>
      <c r="V269">
        <v>-0.20266603601243299</v>
      </c>
      <c r="W269">
        <v>-3.3251073760820498E-4</v>
      </c>
      <c r="X269">
        <v>0</v>
      </c>
      <c r="Y269" t="s">
        <v>175</v>
      </c>
      <c r="Z269" t="s">
        <v>175</v>
      </c>
      <c r="AA269" t="s">
        <v>175</v>
      </c>
      <c r="AB269" t="s">
        <v>175</v>
      </c>
      <c r="AC269" t="s">
        <v>175</v>
      </c>
      <c r="AD269" t="s">
        <v>175</v>
      </c>
      <c r="AE269" t="s">
        <v>175</v>
      </c>
      <c r="AF269" t="s">
        <v>175</v>
      </c>
      <c r="AG269" s="878">
        <v>44117</v>
      </c>
      <c r="AH269" s="873">
        <f t="shared" si="4"/>
        <v>44105</v>
      </c>
    </row>
    <row r="270" spans="1:34">
      <c r="A270">
        <v>5</v>
      </c>
      <c r="B270">
        <v>405</v>
      </c>
      <c r="C270" t="s">
        <v>210</v>
      </c>
      <c r="D270">
        <v>117</v>
      </c>
      <c r="E270">
        <v>39830412.947618201</v>
      </c>
      <c r="F270">
        <v>0</v>
      </c>
      <c r="G270" t="s">
        <v>175</v>
      </c>
      <c r="H270" t="s">
        <v>175</v>
      </c>
      <c r="I270" s="878">
        <v>44147</v>
      </c>
      <c r="J270">
        <v>5</v>
      </c>
      <c r="K270" t="s">
        <v>210</v>
      </c>
      <c r="L270">
        <v>405</v>
      </c>
      <c r="M270">
        <v>1</v>
      </c>
      <c r="N270">
        <v>0</v>
      </c>
      <c r="O270">
        <v>0</v>
      </c>
      <c r="P270">
        <v>0</v>
      </c>
      <c r="Q270">
        <v>0.71741304137063999</v>
      </c>
      <c r="R270">
        <v>0</v>
      </c>
      <c r="S270">
        <v>-8.1853534889116398E-6</v>
      </c>
      <c r="T270">
        <v>0.25993817405243802</v>
      </c>
      <c r="U270">
        <v>2.3300216273794101E-2</v>
      </c>
      <c r="V270">
        <v>-5.53508322941429E-4</v>
      </c>
      <c r="W270">
        <v>-8.9738020441373001E-5</v>
      </c>
      <c r="X270">
        <v>0</v>
      </c>
      <c r="Y270" t="s">
        <v>175</v>
      </c>
      <c r="Z270" t="s">
        <v>175</v>
      </c>
      <c r="AA270" t="s">
        <v>175</v>
      </c>
      <c r="AB270" t="s">
        <v>175</v>
      </c>
      <c r="AC270" t="s">
        <v>175</v>
      </c>
      <c r="AD270" t="s">
        <v>175</v>
      </c>
      <c r="AE270" t="s">
        <v>175</v>
      </c>
      <c r="AF270" t="s">
        <v>175</v>
      </c>
      <c r="AG270" s="878">
        <v>44147</v>
      </c>
      <c r="AH270" s="873">
        <f t="shared" si="4"/>
        <v>44136</v>
      </c>
    </row>
    <row r="271" spans="1:34">
      <c r="A271">
        <v>6</v>
      </c>
      <c r="B271">
        <v>405</v>
      </c>
      <c r="C271" t="s">
        <v>210</v>
      </c>
      <c r="D271">
        <v>117</v>
      </c>
      <c r="E271">
        <v>22284354.046818901</v>
      </c>
      <c r="F271">
        <v>0</v>
      </c>
      <c r="G271" t="s">
        <v>175</v>
      </c>
      <c r="H271" t="s">
        <v>175</v>
      </c>
      <c r="I271" s="878">
        <v>44179</v>
      </c>
      <c r="J271">
        <v>6</v>
      </c>
      <c r="K271" t="s">
        <v>210</v>
      </c>
      <c r="L271">
        <v>405</v>
      </c>
      <c r="M271">
        <v>1</v>
      </c>
      <c r="N271">
        <v>0</v>
      </c>
      <c r="O271">
        <v>0</v>
      </c>
      <c r="P271">
        <v>0</v>
      </c>
      <c r="Q271">
        <v>0.83190126485036497</v>
      </c>
      <c r="R271">
        <v>0</v>
      </c>
      <c r="S271">
        <v>-3.1871702424441599E-6</v>
      </c>
      <c r="T271">
        <v>0.106610406929584</v>
      </c>
      <c r="U271">
        <v>9.4698710409442197E-3</v>
      </c>
      <c r="V271">
        <v>5.2056586071629003E-2</v>
      </c>
      <c r="W271">
        <v>-3.4941722279195E-5</v>
      </c>
      <c r="X271">
        <v>0</v>
      </c>
      <c r="Y271" t="s">
        <v>175</v>
      </c>
      <c r="Z271" t="s">
        <v>175</v>
      </c>
      <c r="AA271" t="s">
        <v>175</v>
      </c>
      <c r="AB271" t="s">
        <v>175</v>
      </c>
      <c r="AC271" t="s">
        <v>175</v>
      </c>
      <c r="AD271" t="s">
        <v>175</v>
      </c>
      <c r="AE271" t="s">
        <v>175</v>
      </c>
      <c r="AF271" t="s">
        <v>175</v>
      </c>
      <c r="AG271" s="878">
        <v>44179</v>
      </c>
      <c r="AH271" s="873">
        <f t="shared" si="4"/>
        <v>44166</v>
      </c>
    </row>
    <row r="272" spans="1:34">
      <c r="A272">
        <v>7</v>
      </c>
      <c r="B272">
        <v>405</v>
      </c>
      <c r="C272" t="s">
        <v>210</v>
      </c>
      <c r="D272">
        <v>117</v>
      </c>
      <c r="E272">
        <v>24382862.260504398</v>
      </c>
      <c r="F272">
        <v>0</v>
      </c>
      <c r="G272" t="s">
        <v>175</v>
      </c>
      <c r="H272" t="s">
        <v>175</v>
      </c>
      <c r="I272" s="878">
        <v>44193</v>
      </c>
      <c r="J272">
        <v>7</v>
      </c>
      <c r="K272" t="s">
        <v>210</v>
      </c>
      <c r="L272">
        <v>405</v>
      </c>
      <c r="M272">
        <v>1</v>
      </c>
      <c r="N272">
        <v>0</v>
      </c>
      <c r="O272">
        <v>0</v>
      </c>
      <c r="P272">
        <v>0</v>
      </c>
      <c r="Q272">
        <v>0.83190126485036497</v>
      </c>
      <c r="R272">
        <v>0</v>
      </c>
      <c r="S272">
        <v>-3.1871702424441599E-6</v>
      </c>
      <c r="T272">
        <v>0.106610406929584</v>
      </c>
      <c r="U272">
        <v>9.4698710409442197E-3</v>
      </c>
      <c r="V272">
        <v>5.2056586071629003E-2</v>
      </c>
      <c r="W272">
        <v>-3.4941722279195E-5</v>
      </c>
      <c r="X272">
        <v>0</v>
      </c>
      <c r="Y272" t="s">
        <v>175</v>
      </c>
      <c r="Z272" t="s">
        <v>175</v>
      </c>
      <c r="AA272" t="s">
        <v>175</v>
      </c>
      <c r="AB272" t="s">
        <v>175</v>
      </c>
      <c r="AC272" t="s">
        <v>175</v>
      </c>
      <c r="AD272" t="s">
        <v>175</v>
      </c>
      <c r="AE272" t="s">
        <v>175</v>
      </c>
      <c r="AF272" t="s">
        <v>175</v>
      </c>
      <c r="AG272" s="878">
        <v>44193</v>
      </c>
      <c r="AH272" s="873">
        <f t="shared" si="4"/>
        <v>44166</v>
      </c>
    </row>
    <row r="273" spans="1:34">
      <c r="A273">
        <v>8</v>
      </c>
      <c r="B273">
        <v>405</v>
      </c>
      <c r="C273" t="s">
        <v>210</v>
      </c>
      <c r="D273">
        <v>117</v>
      </c>
      <c r="E273">
        <v>0</v>
      </c>
      <c r="F273">
        <v>0</v>
      </c>
      <c r="G273" t="s">
        <v>175</v>
      </c>
      <c r="H273" t="s">
        <v>175</v>
      </c>
      <c r="I273" s="878">
        <v>44208</v>
      </c>
      <c r="J273">
        <v>8</v>
      </c>
      <c r="K273" t="s">
        <v>210</v>
      </c>
      <c r="L273">
        <v>405</v>
      </c>
      <c r="M273">
        <v>1</v>
      </c>
      <c r="N273">
        <v>0</v>
      </c>
      <c r="O273">
        <v>0</v>
      </c>
      <c r="P273">
        <v>0</v>
      </c>
      <c r="Q273">
        <v>0.83190126485036497</v>
      </c>
      <c r="R273">
        <v>0</v>
      </c>
      <c r="S273">
        <v>-3.1871702424441599E-6</v>
      </c>
      <c r="T273">
        <v>0.106610406929584</v>
      </c>
      <c r="U273">
        <v>9.4698710409442197E-3</v>
      </c>
      <c r="V273">
        <v>5.2056586071629003E-2</v>
      </c>
      <c r="W273">
        <v>-3.4941722279195E-5</v>
      </c>
      <c r="X273">
        <v>0</v>
      </c>
      <c r="Y273" t="s">
        <v>175</v>
      </c>
      <c r="Z273" t="s">
        <v>175</v>
      </c>
      <c r="AA273" t="s">
        <v>175</v>
      </c>
      <c r="AB273" t="s">
        <v>175</v>
      </c>
      <c r="AC273" t="s">
        <v>175</v>
      </c>
      <c r="AD273" t="s">
        <v>175</v>
      </c>
      <c r="AE273" t="s">
        <v>175</v>
      </c>
      <c r="AF273" t="s">
        <v>175</v>
      </c>
      <c r="AG273" s="878">
        <v>44208</v>
      </c>
      <c r="AH273" s="873">
        <f t="shared" si="4"/>
        <v>44197</v>
      </c>
    </row>
    <row r="274" spans="1:34">
      <c r="A274">
        <v>1</v>
      </c>
      <c r="B274">
        <v>598</v>
      </c>
      <c r="C274" t="s">
        <v>211</v>
      </c>
      <c r="D274">
        <v>246</v>
      </c>
      <c r="E274" s="233">
        <v>0</v>
      </c>
      <c r="F274" s="233">
        <v>2600000</v>
      </c>
      <c r="G274" s="233">
        <v>0</v>
      </c>
      <c r="H274" s="233">
        <v>0</v>
      </c>
      <c r="I274" s="878">
        <v>44043</v>
      </c>
      <c r="J274" t="s">
        <v>175</v>
      </c>
      <c r="K274" t="s">
        <v>175</v>
      </c>
      <c r="L274" t="s">
        <v>175</v>
      </c>
      <c r="M274" t="s">
        <v>175</v>
      </c>
      <c r="N274" t="s">
        <v>175</v>
      </c>
      <c r="O274" t="s">
        <v>175</v>
      </c>
      <c r="P274" t="s">
        <v>175</v>
      </c>
      <c r="Q274" t="s">
        <v>175</v>
      </c>
      <c r="R274" t="s">
        <v>175</v>
      </c>
      <c r="S274" t="s">
        <v>175</v>
      </c>
      <c r="T274" t="s">
        <v>175</v>
      </c>
      <c r="U274" t="s">
        <v>175</v>
      </c>
      <c r="V274" t="s">
        <v>175</v>
      </c>
      <c r="W274" t="s">
        <v>175</v>
      </c>
      <c r="X274" t="s">
        <v>175</v>
      </c>
      <c r="Y274" t="s">
        <v>175</v>
      </c>
      <c r="Z274" t="s">
        <v>175</v>
      </c>
      <c r="AA274" t="s">
        <v>175</v>
      </c>
      <c r="AB274" t="s">
        <v>175</v>
      </c>
      <c r="AC274" t="s">
        <v>175</v>
      </c>
      <c r="AD274" t="s">
        <v>175</v>
      </c>
      <c r="AE274" t="s">
        <v>175</v>
      </c>
      <c r="AF274" t="s">
        <v>175</v>
      </c>
      <c r="AG274" t="s">
        <v>175</v>
      </c>
      <c r="AH274" s="873">
        <f t="shared" si="4"/>
        <v>44013</v>
      </c>
    </row>
    <row r="275" spans="1:34">
      <c r="A275">
        <v>2</v>
      </c>
      <c r="B275">
        <v>598</v>
      </c>
      <c r="C275" t="s">
        <v>211</v>
      </c>
      <c r="D275">
        <v>246</v>
      </c>
      <c r="E275" s="233">
        <v>0</v>
      </c>
      <c r="F275" s="233">
        <v>2400000</v>
      </c>
      <c r="G275" s="233" t="s">
        <v>175</v>
      </c>
      <c r="H275" s="233" t="s">
        <v>175</v>
      </c>
      <c r="I275" s="878">
        <v>44055</v>
      </c>
      <c r="J275" t="s">
        <v>175</v>
      </c>
      <c r="K275" t="s">
        <v>175</v>
      </c>
      <c r="L275" t="s">
        <v>175</v>
      </c>
      <c r="M275" t="s">
        <v>175</v>
      </c>
      <c r="N275" t="s">
        <v>175</v>
      </c>
      <c r="O275" t="s">
        <v>175</v>
      </c>
      <c r="P275" t="s">
        <v>175</v>
      </c>
      <c r="Q275" t="s">
        <v>175</v>
      </c>
      <c r="R275" t="s">
        <v>175</v>
      </c>
      <c r="S275" t="s">
        <v>175</v>
      </c>
      <c r="T275" t="s">
        <v>175</v>
      </c>
      <c r="U275" t="s">
        <v>175</v>
      </c>
      <c r="V275" t="s">
        <v>175</v>
      </c>
      <c r="W275" t="s">
        <v>175</v>
      </c>
      <c r="X275" t="s">
        <v>175</v>
      </c>
      <c r="Y275" t="s">
        <v>175</v>
      </c>
      <c r="Z275" t="s">
        <v>175</v>
      </c>
      <c r="AA275" t="s">
        <v>175</v>
      </c>
      <c r="AB275" t="s">
        <v>175</v>
      </c>
      <c r="AC275" t="s">
        <v>175</v>
      </c>
      <c r="AD275" t="s">
        <v>175</v>
      </c>
      <c r="AE275" t="s">
        <v>175</v>
      </c>
      <c r="AF275" t="s">
        <v>175</v>
      </c>
      <c r="AG275" t="s">
        <v>175</v>
      </c>
      <c r="AH275" s="873">
        <f t="shared" si="4"/>
        <v>44044</v>
      </c>
    </row>
    <row r="276" spans="1:34">
      <c r="A276">
        <v>3</v>
      </c>
      <c r="B276">
        <v>598</v>
      </c>
      <c r="C276" t="s">
        <v>211</v>
      </c>
      <c r="D276">
        <v>246</v>
      </c>
      <c r="E276" s="233">
        <v>0</v>
      </c>
      <c r="F276" s="233">
        <v>2000000</v>
      </c>
      <c r="G276" s="233" t="s">
        <v>175</v>
      </c>
      <c r="H276" s="233" t="s">
        <v>175</v>
      </c>
      <c r="I276" s="878">
        <v>44088</v>
      </c>
      <c r="J276" t="s">
        <v>175</v>
      </c>
      <c r="K276" t="s">
        <v>175</v>
      </c>
      <c r="L276" t="s">
        <v>175</v>
      </c>
      <c r="M276" t="s">
        <v>175</v>
      </c>
      <c r="N276" t="s">
        <v>175</v>
      </c>
      <c r="O276" t="s">
        <v>175</v>
      </c>
      <c r="P276" t="s">
        <v>175</v>
      </c>
      <c r="Q276" t="s">
        <v>175</v>
      </c>
      <c r="R276" t="s">
        <v>175</v>
      </c>
      <c r="S276" t="s">
        <v>175</v>
      </c>
      <c r="T276" t="s">
        <v>175</v>
      </c>
      <c r="U276" t="s">
        <v>175</v>
      </c>
      <c r="V276" t="s">
        <v>175</v>
      </c>
      <c r="W276" t="s">
        <v>175</v>
      </c>
      <c r="X276" t="s">
        <v>175</v>
      </c>
      <c r="Y276" t="s">
        <v>175</v>
      </c>
      <c r="Z276" t="s">
        <v>175</v>
      </c>
      <c r="AA276" t="s">
        <v>175</v>
      </c>
      <c r="AB276" t="s">
        <v>175</v>
      </c>
      <c r="AC276" t="s">
        <v>175</v>
      </c>
      <c r="AD276" t="s">
        <v>175</v>
      </c>
      <c r="AE276" t="s">
        <v>175</v>
      </c>
      <c r="AF276" t="s">
        <v>175</v>
      </c>
      <c r="AG276" t="s">
        <v>175</v>
      </c>
      <c r="AH276" s="873">
        <f t="shared" si="4"/>
        <v>44075</v>
      </c>
    </row>
    <row r="277" spans="1:34">
      <c r="A277">
        <v>4</v>
      </c>
      <c r="B277">
        <v>598</v>
      </c>
      <c r="C277" t="s">
        <v>211</v>
      </c>
      <c r="D277">
        <v>246</v>
      </c>
      <c r="E277" s="233">
        <v>0</v>
      </c>
      <c r="F277" s="233">
        <v>975736</v>
      </c>
      <c r="G277" s="233" t="s">
        <v>175</v>
      </c>
      <c r="H277" s="233" t="s">
        <v>175</v>
      </c>
      <c r="I277" s="878">
        <v>44117</v>
      </c>
      <c r="J277" t="s">
        <v>175</v>
      </c>
      <c r="K277" t="s">
        <v>175</v>
      </c>
      <c r="L277" t="s">
        <v>175</v>
      </c>
      <c r="M277" t="s">
        <v>175</v>
      </c>
      <c r="N277" t="s">
        <v>175</v>
      </c>
      <c r="O277" t="s">
        <v>175</v>
      </c>
      <c r="P277" t="s">
        <v>175</v>
      </c>
      <c r="Q277" t="s">
        <v>175</v>
      </c>
      <c r="R277" t="s">
        <v>175</v>
      </c>
      <c r="S277" t="s">
        <v>175</v>
      </c>
      <c r="T277" t="s">
        <v>175</v>
      </c>
      <c r="U277" t="s">
        <v>175</v>
      </c>
      <c r="V277" t="s">
        <v>175</v>
      </c>
      <c r="W277" t="s">
        <v>175</v>
      </c>
      <c r="X277" t="s">
        <v>175</v>
      </c>
      <c r="Y277" t="s">
        <v>175</v>
      </c>
      <c r="Z277" t="s">
        <v>175</v>
      </c>
      <c r="AA277" t="s">
        <v>175</v>
      </c>
      <c r="AB277" t="s">
        <v>175</v>
      </c>
      <c r="AC277" t="s">
        <v>175</v>
      </c>
      <c r="AD277" t="s">
        <v>175</v>
      </c>
      <c r="AE277" t="s">
        <v>175</v>
      </c>
      <c r="AF277" t="s">
        <v>175</v>
      </c>
      <c r="AG277" t="s">
        <v>175</v>
      </c>
      <c r="AH277" s="873">
        <f t="shared" si="4"/>
        <v>44105</v>
      </c>
    </row>
    <row r="278" spans="1:34">
      <c r="A278">
        <v>5</v>
      </c>
      <c r="B278">
        <v>598</v>
      </c>
      <c r="C278" t="s">
        <v>211</v>
      </c>
      <c r="D278">
        <v>246</v>
      </c>
      <c r="E278" s="233">
        <v>0</v>
      </c>
      <c r="F278" s="233">
        <v>0</v>
      </c>
      <c r="G278" s="233" t="s">
        <v>175</v>
      </c>
      <c r="H278" s="233" t="s">
        <v>175</v>
      </c>
      <c r="I278" s="878">
        <v>44147</v>
      </c>
      <c r="J278" t="s">
        <v>175</v>
      </c>
      <c r="K278" t="s">
        <v>175</v>
      </c>
      <c r="L278" t="s">
        <v>175</v>
      </c>
      <c r="M278" t="s">
        <v>175</v>
      </c>
      <c r="N278" t="s">
        <v>175</v>
      </c>
      <c r="O278" t="s">
        <v>175</v>
      </c>
      <c r="P278" t="s">
        <v>175</v>
      </c>
      <c r="Q278" t="s">
        <v>175</v>
      </c>
      <c r="R278" t="s">
        <v>175</v>
      </c>
      <c r="S278" t="s">
        <v>175</v>
      </c>
      <c r="T278" t="s">
        <v>175</v>
      </c>
      <c r="U278" t="s">
        <v>175</v>
      </c>
      <c r="V278" t="s">
        <v>175</v>
      </c>
      <c r="W278" t="s">
        <v>175</v>
      </c>
      <c r="X278" t="s">
        <v>175</v>
      </c>
      <c r="Y278" t="s">
        <v>175</v>
      </c>
      <c r="Z278" t="s">
        <v>175</v>
      </c>
      <c r="AA278" t="s">
        <v>175</v>
      </c>
      <c r="AB278" t="s">
        <v>175</v>
      </c>
      <c r="AC278" t="s">
        <v>175</v>
      </c>
      <c r="AD278" t="s">
        <v>175</v>
      </c>
      <c r="AE278" t="s">
        <v>175</v>
      </c>
      <c r="AF278" t="s">
        <v>175</v>
      </c>
      <c r="AG278" t="s">
        <v>175</v>
      </c>
      <c r="AH278" s="873">
        <f t="shared" si="4"/>
        <v>44136</v>
      </c>
    </row>
    <row r="279" spans="1:34">
      <c r="A279">
        <v>6</v>
      </c>
      <c r="B279">
        <v>598</v>
      </c>
      <c r="C279" t="s">
        <v>211</v>
      </c>
      <c r="D279">
        <v>246</v>
      </c>
      <c r="E279" s="233">
        <v>0</v>
      </c>
      <c r="F279" s="233">
        <v>0</v>
      </c>
      <c r="G279" s="233" t="s">
        <v>175</v>
      </c>
      <c r="H279" s="233" t="s">
        <v>175</v>
      </c>
      <c r="I279" s="878">
        <v>44179</v>
      </c>
      <c r="J279" t="s">
        <v>175</v>
      </c>
      <c r="K279" t="s">
        <v>175</v>
      </c>
      <c r="L279" t="s">
        <v>175</v>
      </c>
      <c r="M279" t="s">
        <v>175</v>
      </c>
      <c r="N279" t="s">
        <v>175</v>
      </c>
      <c r="O279" t="s">
        <v>175</v>
      </c>
      <c r="P279" t="s">
        <v>175</v>
      </c>
      <c r="Q279" t="s">
        <v>175</v>
      </c>
      <c r="R279" t="s">
        <v>175</v>
      </c>
      <c r="S279" t="s">
        <v>175</v>
      </c>
      <c r="T279" t="s">
        <v>175</v>
      </c>
      <c r="U279" t="s">
        <v>175</v>
      </c>
      <c r="V279" t="s">
        <v>175</v>
      </c>
      <c r="W279" t="s">
        <v>175</v>
      </c>
      <c r="X279" t="s">
        <v>175</v>
      </c>
      <c r="Y279" t="s">
        <v>175</v>
      </c>
      <c r="Z279" t="s">
        <v>175</v>
      </c>
      <c r="AA279" t="s">
        <v>175</v>
      </c>
      <c r="AB279" t="s">
        <v>175</v>
      </c>
      <c r="AC279" t="s">
        <v>175</v>
      </c>
      <c r="AD279" t="s">
        <v>175</v>
      </c>
      <c r="AE279" t="s">
        <v>175</v>
      </c>
      <c r="AF279" t="s">
        <v>175</v>
      </c>
      <c r="AG279" t="s">
        <v>175</v>
      </c>
      <c r="AH279" s="873">
        <f t="shared" si="4"/>
        <v>44166</v>
      </c>
    </row>
    <row r="280" spans="1:34">
      <c r="A280">
        <v>7</v>
      </c>
      <c r="B280">
        <v>598</v>
      </c>
      <c r="C280" t="s">
        <v>211</v>
      </c>
      <c r="D280">
        <v>246</v>
      </c>
      <c r="E280" s="233">
        <v>0</v>
      </c>
      <c r="F280" s="233">
        <v>0</v>
      </c>
      <c r="G280" s="233" t="s">
        <v>175</v>
      </c>
      <c r="H280" s="233" t="s">
        <v>175</v>
      </c>
      <c r="I280" s="878">
        <v>44193</v>
      </c>
      <c r="J280" t="s">
        <v>175</v>
      </c>
      <c r="K280" t="s">
        <v>175</v>
      </c>
      <c r="L280" t="s">
        <v>175</v>
      </c>
      <c r="M280" t="s">
        <v>175</v>
      </c>
      <c r="N280" t="s">
        <v>175</v>
      </c>
      <c r="O280" t="s">
        <v>175</v>
      </c>
      <c r="P280" t="s">
        <v>175</v>
      </c>
      <c r="Q280" t="s">
        <v>175</v>
      </c>
      <c r="R280" t="s">
        <v>175</v>
      </c>
      <c r="S280" t="s">
        <v>175</v>
      </c>
      <c r="T280" t="s">
        <v>175</v>
      </c>
      <c r="U280" t="s">
        <v>175</v>
      </c>
      <c r="V280" t="s">
        <v>175</v>
      </c>
      <c r="W280" t="s">
        <v>175</v>
      </c>
      <c r="X280" t="s">
        <v>175</v>
      </c>
      <c r="Y280" t="s">
        <v>175</v>
      </c>
      <c r="Z280" t="s">
        <v>175</v>
      </c>
      <c r="AA280" t="s">
        <v>175</v>
      </c>
      <c r="AB280" t="s">
        <v>175</v>
      </c>
      <c r="AC280" t="s">
        <v>175</v>
      </c>
      <c r="AD280" t="s">
        <v>175</v>
      </c>
      <c r="AE280" t="s">
        <v>175</v>
      </c>
      <c r="AF280" t="s">
        <v>175</v>
      </c>
      <c r="AG280" t="s">
        <v>175</v>
      </c>
      <c r="AH280" s="873">
        <f t="shared" si="4"/>
        <v>44166</v>
      </c>
    </row>
    <row r="281" spans="1:34">
      <c r="A281">
        <v>8</v>
      </c>
      <c r="B281">
        <v>598</v>
      </c>
      <c r="C281" t="s">
        <v>211</v>
      </c>
      <c r="D281">
        <v>246</v>
      </c>
      <c r="E281" s="233">
        <v>0</v>
      </c>
      <c r="F281" s="233">
        <v>0</v>
      </c>
      <c r="G281" s="233" t="s">
        <v>175</v>
      </c>
      <c r="H281" s="233" t="s">
        <v>175</v>
      </c>
      <c r="I281" s="878">
        <v>44208</v>
      </c>
      <c r="J281" t="s">
        <v>175</v>
      </c>
      <c r="K281" t="s">
        <v>175</v>
      </c>
      <c r="L281" t="s">
        <v>175</v>
      </c>
      <c r="M281" t="s">
        <v>175</v>
      </c>
      <c r="N281" t="s">
        <v>175</v>
      </c>
      <c r="O281" t="s">
        <v>175</v>
      </c>
      <c r="P281" t="s">
        <v>175</v>
      </c>
      <c r="Q281" t="s">
        <v>175</v>
      </c>
      <c r="R281" t="s">
        <v>175</v>
      </c>
      <c r="S281" t="s">
        <v>175</v>
      </c>
      <c r="T281" t="s">
        <v>175</v>
      </c>
      <c r="U281" t="s">
        <v>175</v>
      </c>
      <c r="V281" t="s">
        <v>175</v>
      </c>
      <c r="W281" t="s">
        <v>175</v>
      </c>
      <c r="X281" t="s">
        <v>175</v>
      </c>
      <c r="Y281" t="s">
        <v>175</v>
      </c>
      <c r="Z281" t="s">
        <v>175</v>
      </c>
      <c r="AA281" t="s">
        <v>175</v>
      </c>
      <c r="AB281" t="s">
        <v>175</v>
      </c>
      <c r="AC281" t="s">
        <v>175</v>
      </c>
      <c r="AD281" t="s">
        <v>175</v>
      </c>
      <c r="AE281" t="s">
        <v>175</v>
      </c>
      <c r="AF281" t="s">
        <v>175</v>
      </c>
      <c r="AG281" t="s">
        <v>175</v>
      </c>
      <c r="AH281" s="873">
        <f t="shared" si="4"/>
        <v>44197</v>
      </c>
    </row>
    <row r="282" spans="1:34">
      <c r="A282">
        <v>1</v>
      </c>
      <c r="B282">
        <v>2763</v>
      </c>
      <c r="C282" t="s">
        <v>212</v>
      </c>
      <c r="D282">
        <v>237</v>
      </c>
      <c r="E282" s="233">
        <v>0</v>
      </c>
      <c r="F282" s="233">
        <v>0</v>
      </c>
      <c r="G282" s="233">
        <v>0</v>
      </c>
      <c r="H282" s="233">
        <v>0</v>
      </c>
      <c r="I282" s="878">
        <v>44043</v>
      </c>
      <c r="J282" t="s">
        <v>175</v>
      </c>
      <c r="K282" t="s">
        <v>175</v>
      </c>
      <c r="L282" t="s">
        <v>175</v>
      </c>
      <c r="M282" t="s">
        <v>175</v>
      </c>
      <c r="N282" t="s">
        <v>175</v>
      </c>
      <c r="O282" t="s">
        <v>175</v>
      </c>
      <c r="P282" t="s">
        <v>175</v>
      </c>
      <c r="Q282" t="s">
        <v>175</v>
      </c>
      <c r="R282" t="s">
        <v>175</v>
      </c>
      <c r="S282" t="s">
        <v>175</v>
      </c>
      <c r="T282" t="s">
        <v>175</v>
      </c>
      <c r="U282" t="s">
        <v>175</v>
      </c>
      <c r="V282" t="s">
        <v>175</v>
      </c>
      <c r="W282" t="s">
        <v>175</v>
      </c>
      <c r="X282" t="s">
        <v>175</v>
      </c>
      <c r="Y282" t="s">
        <v>175</v>
      </c>
      <c r="Z282" t="s">
        <v>175</v>
      </c>
      <c r="AA282" t="s">
        <v>175</v>
      </c>
      <c r="AB282" t="s">
        <v>175</v>
      </c>
      <c r="AC282" t="s">
        <v>175</v>
      </c>
      <c r="AD282" t="s">
        <v>175</v>
      </c>
      <c r="AE282" t="s">
        <v>175</v>
      </c>
      <c r="AF282" t="s">
        <v>175</v>
      </c>
      <c r="AG282" t="s">
        <v>175</v>
      </c>
      <c r="AH282" s="873">
        <f t="shared" si="4"/>
        <v>44013</v>
      </c>
    </row>
    <row r="283" spans="1:34">
      <c r="A283">
        <v>2</v>
      </c>
      <c r="B283">
        <v>2763</v>
      </c>
      <c r="C283" t="s">
        <v>212</v>
      </c>
      <c r="D283">
        <v>237</v>
      </c>
      <c r="E283" s="233">
        <v>0</v>
      </c>
      <c r="F283" s="233">
        <v>960532</v>
      </c>
      <c r="G283" s="233" t="s">
        <v>175</v>
      </c>
      <c r="H283" s="233" t="s">
        <v>175</v>
      </c>
      <c r="I283" s="878">
        <v>44055</v>
      </c>
      <c r="J283" t="s">
        <v>175</v>
      </c>
      <c r="K283" t="s">
        <v>175</v>
      </c>
      <c r="L283" t="s">
        <v>175</v>
      </c>
      <c r="M283" t="s">
        <v>175</v>
      </c>
      <c r="N283" t="s">
        <v>175</v>
      </c>
      <c r="O283" t="s">
        <v>175</v>
      </c>
      <c r="P283" t="s">
        <v>175</v>
      </c>
      <c r="Q283" t="s">
        <v>175</v>
      </c>
      <c r="R283" t="s">
        <v>175</v>
      </c>
      <c r="S283" t="s">
        <v>175</v>
      </c>
      <c r="T283" t="s">
        <v>175</v>
      </c>
      <c r="U283" t="s">
        <v>175</v>
      </c>
      <c r="V283" t="s">
        <v>175</v>
      </c>
      <c r="W283" t="s">
        <v>175</v>
      </c>
      <c r="X283" t="s">
        <v>175</v>
      </c>
      <c r="Y283" t="s">
        <v>175</v>
      </c>
      <c r="Z283" t="s">
        <v>175</v>
      </c>
      <c r="AA283" t="s">
        <v>175</v>
      </c>
      <c r="AB283" t="s">
        <v>175</v>
      </c>
      <c r="AC283" t="s">
        <v>175</v>
      </c>
      <c r="AD283" t="s">
        <v>175</v>
      </c>
      <c r="AE283" t="s">
        <v>175</v>
      </c>
      <c r="AF283" t="s">
        <v>175</v>
      </c>
      <c r="AG283" t="s">
        <v>175</v>
      </c>
      <c r="AH283" s="873">
        <f t="shared" si="4"/>
        <v>44044</v>
      </c>
    </row>
    <row r="284" spans="1:34">
      <c r="A284">
        <v>3</v>
      </c>
      <c r="B284">
        <v>2763</v>
      </c>
      <c r="C284" t="s">
        <v>212</v>
      </c>
      <c r="D284">
        <v>237</v>
      </c>
      <c r="E284" s="233">
        <v>0</v>
      </c>
      <c r="F284" s="233">
        <v>960532</v>
      </c>
      <c r="G284" s="233" t="s">
        <v>175</v>
      </c>
      <c r="H284" s="233" t="s">
        <v>175</v>
      </c>
      <c r="I284" s="878">
        <v>44088</v>
      </c>
      <c r="J284" t="s">
        <v>175</v>
      </c>
      <c r="K284" t="s">
        <v>175</v>
      </c>
      <c r="L284" t="s">
        <v>175</v>
      </c>
      <c r="M284" t="s">
        <v>175</v>
      </c>
      <c r="N284" t="s">
        <v>175</v>
      </c>
      <c r="O284" t="s">
        <v>175</v>
      </c>
      <c r="P284" t="s">
        <v>175</v>
      </c>
      <c r="Q284" t="s">
        <v>175</v>
      </c>
      <c r="R284" t="s">
        <v>175</v>
      </c>
      <c r="S284" t="s">
        <v>175</v>
      </c>
      <c r="T284" t="s">
        <v>175</v>
      </c>
      <c r="U284" t="s">
        <v>175</v>
      </c>
      <c r="V284" t="s">
        <v>175</v>
      </c>
      <c r="W284" t="s">
        <v>175</v>
      </c>
      <c r="X284" t="s">
        <v>175</v>
      </c>
      <c r="Y284" t="s">
        <v>175</v>
      </c>
      <c r="Z284" t="s">
        <v>175</v>
      </c>
      <c r="AA284" t="s">
        <v>175</v>
      </c>
      <c r="AB284" t="s">
        <v>175</v>
      </c>
      <c r="AC284" t="s">
        <v>175</v>
      </c>
      <c r="AD284" t="s">
        <v>175</v>
      </c>
      <c r="AE284" t="s">
        <v>175</v>
      </c>
      <c r="AF284" t="s">
        <v>175</v>
      </c>
      <c r="AG284" t="s">
        <v>175</v>
      </c>
      <c r="AH284" s="873">
        <f t="shared" si="4"/>
        <v>44075</v>
      </c>
    </row>
    <row r="285" spans="1:34">
      <c r="A285">
        <v>4</v>
      </c>
      <c r="B285">
        <v>2763</v>
      </c>
      <c r="C285" t="s">
        <v>212</v>
      </c>
      <c r="D285">
        <v>237</v>
      </c>
      <c r="E285" s="233">
        <v>0</v>
      </c>
      <c r="F285" s="233">
        <v>960532</v>
      </c>
      <c r="G285" s="233" t="s">
        <v>175</v>
      </c>
      <c r="H285" s="233" t="s">
        <v>175</v>
      </c>
      <c r="I285" s="878">
        <v>44117</v>
      </c>
      <c r="J285" t="s">
        <v>175</v>
      </c>
      <c r="K285" t="s">
        <v>175</v>
      </c>
      <c r="L285" t="s">
        <v>175</v>
      </c>
      <c r="M285" t="s">
        <v>175</v>
      </c>
      <c r="N285" t="s">
        <v>175</v>
      </c>
      <c r="O285" t="s">
        <v>175</v>
      </c>
      <c r="P285" t="s">
        <v>175</v>
      </c>
      <c r="Q285" t="s">
        <v>175</v>
      </c>
      <c r="R285" t="s">
        <v>175</v>
      </c>
      <c r="S285" t="s">
        <v>175</v>
      </c>
      <c r="T285" t="s">
        <v>175</v>
      </c>
      <c r="U285" t="s">
        <v>175</v>
      </c>
      <c r="V285" t="s">
        <v>175</v>
      </c>
      <c r="W285" t="s">
        <v>175</v>
      </c>
      <c r="X285" t="s">
        <v>175</v>
      </c>
      <c r="Y285" t="s">
        <v>175</v>
      </c>
      <c r="Z285" t="s">
        <v>175</v>
      </c>
      <c r="AA285" t="s">
        <v>175</v>
      </c>
      <c r="AB285" t="s">
        <v>175</v>
      </c>
      <c r="AC285" t="s">
        <v>175</v>
      </c>
      <c r="AD285" t="s">
        <v>175</v>
      </c>
      <c r="AE285" t="s">
        <v>175</v>
      </c>
      <c r="AF285" t="s">
        <v>175</v>
      </c>
      <c r="AG285" t="s">
        <v>175</v>
      </c>
      <c r="AH285" s="873">
        <f t="shared" si="4"/>
        <v>44105</v>
      </c>
    </row>
    <row r="286" spans="1:34">
      <c r="A286">
        <v>5</v>
      </c>
      <c r="B286">
        <v>2763</v>
      </c>
      <c r="C286" t="s">
        <v>212</v>
      </c>
      <c r="D286">
        <v>237</v>
      </c>
      <c r="E286" s="233">
        <v>0</v>
      </c>
      <c r="F286" s="233">
        <v>960532</v>
      </c>
      <c r="G286" s="233" t="s">
        <v>175</v>
      </c>
      <c r="H286" s="233" t="s">
        <v>175</v>
      </c>
      <c r="I286" s="878">
        <v>44147</v>
      </c>
      <c r="J286" t="s">
        <v>175</v>
      </c>
      <c r="K286" t="s">
        <v>175</v>
      </c>
      <c r="L286" t="s">
        <v>175</v>
      </c>
      <c r="M286" t="s">
        <v>175</v>
      </c>
      <c r="N286" t="s">
        <v>175</v>
      </c>
      <c r="O286" t="s">
        <v>175</v>
      </c>
      <c r="P286" t="s">
        <v>175</v>
      </c>
      <c r="Q286" t="s">
        <v>175</v>
      </c>
      <c r="R286" t="s">
        <v>175</v>
      </c>
      <c r="S286" t="s">
        <v>175</v>
      </c>
      <c r="T286" t="s">
        <v>175</v>
      </c>
      <c r="U286" t="s">
        <v>175</v>
      </c>
      <c r="V286" t="s">
        <v>175</v>
      </c>
      <c r="W286" t="s">
        <v>175</v>
      </c>
      <c r="X286" t="s">
        <v>175</v>
      </c>
      <c r="Y286" t="s">
        <v>175</v>
      </c>
      <c r="Z286" t="s">
        <v>175</v>
      </c>
      <c r="AA286" t="s">
        <v>175</v>
      </c>
      <c r="AB286" t="s">
        <v>175</v>
      </c>
      <c r="AC286" t="s">
        <v>175</v>
      </c>
      <c r="AD286" t="s">
        <v>175</v>
      </c>
      <c r="AE286" t="s">
        <v>175</v>
      </c>
      <c r="AF286" t="s">
        <v>175</v>
      </c>
      <c r="AG286" t="s">
        <v>175</v>
      </c>
      <c r="AH286" s="873">
        <f t="shared" si="4"/>
        <v>44136</v>
      </c>
    </row>
    <row r="287" spans="1:34">
      <c r="A287">
        <v>6</v>
      </c>
      <c r="B287">
        <v>2763</v>
      </c>
      <c r="C287" t="s">
        <v>212</v>
      </c>
      <c r="D287">
        <v>237</v>
      </c>
      <c r="E287" s="233">
        <v>0</v>
      </c>
      <c r="F287" s="233">
        <v>960532</v>
      </c>
      <c r="G287" s="233" t="s">
        <v>175</v>
      </c>
      <c r="H287" s="233" t="s">
        <v>175</v>
      </c>
      <c r="I287" s="878">
        <v>44179</v>
      </c>
      <c r="J287" t="s">
        <v>175</v>
      </c>
      <c r="K287" t="s">
        <v>175</v>
      </c>
      <c r="L287" t="s">
        <v>175</v>
      </c>
      <c r="M287" t="s">
        <v>175</v>
      </c>
      <c r="N287" t="s">
        <v>175</v>
      </c>
      <c r="O287" t="s">
        <v>175</v>
      </c>
      <c r="P287" t="s">
        <v>175</v>
      </c>
      <c r="Q287" t="s">
        <v>175</v>
      </c>
      <c r="R287" t="s">
        <v>175</v>
      </c>
      <c r="S287" t="s">
        <v>175</v>
      </c>
      <c r="T287" t="s">
        <v>175</v>
      </c>
      <c r="U287" t="s">
        <v>175</v>
      </c>
      <c r="V287" t="s">
        <v>175</v>
      </c>
      <c r="W287" t="s">
        <v>175</v>
      </c>
      <c r="X287" t="s">
        <v>175</v>
      </c>
      <c r="Y287" t="s">
        <v>175</v>
      </c>
      <c r="Z287" t="s">
        <v>175</v>
      </c>
      <c r="AA287" t="s">
        <v>175</v>
      </c>
      <c r="AB287" t="s">
        <v>175</v>
      </c>
      <c r="AC287" t="s">
        <v>175</v>
      </c>
      <c r="AD287" t="s">
        <v>175</v>
      </c>
      <c r="AE287" t="s">
        <v>175</v>
      </c>
      <c r="AF287" t="s">
        <v>175</v>
      </c>
      <c r="AG287" t="s">
        <v>175</v>
      </c>
      <c r="AH287" s="873">
        <f t="shared" si="4"/>
        <v>44166</v>
      </c>
    </row>
    <row r="288" spans="1:34">
      <c r="A288">
        <v>7</v>
      </c>
      <c r="B288">
        <v>2763</v>
      </c>
      <c r="C288" t="s">
        <v>212</v>
      </c>
      <c r="D288">
        <v>237</v>
      </c>
      <c r="E288" s="233">
        <v>0</v>
      </c>
      <c r="F288" s="233">
        <v>960532</v>
      </c>
      <c r="G288" s="233" t="s">
        <v>175</v>
      </c>
      <c r="H288" s="233" t="s">
        <v>175</v>
      </c>
      <c r="I288" s="878">
        <v>44193</v>
      </c>
      <c r="J288" t="s">
        <v>175</v>
      </c>
      <c r="K288" t="s">
        <v>175</v>
      </c>
      <c r="L288" t="s">
        <v>175</v>
      </c>
      <c r="M288" t="s">
        <v>175</v>
      </c>
      <c r="N288" t="s">
        <v>175</v>
      </c>
      <c r="O288" t="s">
        <v>175</v>
      </c>
      <c r="P288" t="s">
        <v>175</v>
      </c>
      <c r="Q288" t="s">
        <v>175</v>
      </c>
      <c r="R288" t="s">
        <v>175</v>
      </c>
      <c r="S288" t="s">
        <v>175</v>
      </c>
      <c r="T288" t="s">
        <v>175</v>
      </c>
      <c r="U288" t="s">
        <v>175</v>
      </c>
      <c r="V288" t="s">
        <v>175</v>
      </c>
      <c r="W288" t="s">
        <v>175</v>
      </c>
      <c r="X288" t="s">
        <v>175</v>
      </c>
      <c r="Y288" t="s">
        <v>175</v>
      </c>
      <c r="Z288" t="s">
        <v>175</v>
      </c>
      <c r="AA288" t="s">
        <v>175</v>
      </c>
      <c r="AB288" t="s">
        <v>175</v>
      </c>
      <c r="AC288" t="s">
        <v>175</v>
      </c>
      <c r="AD288" t="s">
        <v>175</v>
      </c>
      <c r="AE288" t="s">
        <v>175</v>
      </c>
      <c r="AF288" t="s">
        <v>175</v>
      </c>
      <c r="AG288" t="s">
        <v>175</v>
      </c>
      <c r="AH288" s="873">
        <f t="shared" si="4"/>
        <v>44166</v>
      </c>
    </row>
    <row r="289" spans="1:34">
      <c r="A289">
        <v>8</v>
      </c>
      <c r="B289">
        <v>2763</v>
      </c>
      <c r="C289" t="s">
        <v>212</v>
      </c>
      <c r="D289">
        <v>237</v>
      </c>
      <c r="E289" s="233">
        <v>0</v>
      </c>
      <c r="F289" s="233">
        <v>0</v>
      </c>
      <c r="G289" s="233" t="s">
        <v>175</v>
      </c>
      <c r="H289" s="233" t="s">
        <v>175</v>
      </c>
      <c r="I289" s="878">
        <v>44208</v>
      </c>
      <c r="J289" t="s">
        <v>175</v>
      </c>
      <c r="K289" t="s">
        <v>175</v>
      </c>
      <c r="L289" t="s">
        <v>175</v>
      </c>
      <c r="M289" t="s">
        <v>175</v>
      </c>
      <c r="N289" t="s">
        <v>175</v>
      </c>
      <c r="O289" t="s">
        <v>175</v>
      </c>
      <c r="P289" t="s">
        <v>175</v>
      </c>
      <c r="Q289" t="s">
        <v>175</v>
      </c>
      <c r="R289" t="s">
        <v>175</v>
      </c>
      <c r="S289" t="s">
        <v>175</v>
      </c>
      <c r="T289" t="s">
        <v>175</v>
      </c>
      <c r="U289" t="s">
        <v>175</v>
      </c>
      <c r="V289" t="s">
        <v>175</v>
      </c>
      <c r="W289" t="s">
        <v>175</v>
      </c>
      <c r="X289" t="s">
        <v>175</v>
      </c>
      <c r="Y289" t="s">
        <v>175</v>
      </c>
      <c r="Z289" t="s">
        <v>175</v>
      </c>
      <c r="AA289" t="s">
        <v>175</v>
      </c>
      <c r="AB289" t="s">
        <v>175</v>
      </c>
      <c r="AC289" t="s">
        <v>175</v>
      </c>
      <c r="AD289" t="s">
        <v>175</v>
      </c>
      <c r="AE289" t="s">
        <v>175</v>
      </c>
      <c r="AF289" t="s">
        <v>175</v>
      </c>
      <c r="AG289" t="s">
        <v>175</v>
      </c>
      <c r="AH289" s="873">
        <f t="shared" si="4"/>
        <v>44197</v>
      </c>
    </row>
    <row r="290" spans="1:34">
      <c r="A290">
        <v>1</v>
      </c>
      <c r="B290">
        <v>2866</v>
      </c>
      <c r="C290" t="s">
        <v>213</v>
      </c>
      <c r="D290">
        <v>132</v>
      </c>
      <c r="E290">
        <v>869516080.99666703</v>
      </c>
      <c r="F290">
        <v>0</v>
      </c>
      <c r="G290">
        <v>0</v>
      </c>
      <c r="H290">
        <v>0</v>
      </c>
      <c r="I290" s="878">
        <v>44043</v>
      </c>
      <c r="J290">
        <v>1</v>
      </c>
      <c r="K290" t="s">
        <v>214</v>
      </c>
      <c r="L290">
        <v>2866</v>
      </c>
      <c r="M290">
        <v>0.17248545279991501</v>
      </c>
      <c r="N290">
        <v>0.61188934802360895</v>
      </c>
      <c r="O290">
        <v>0.195383381563145</v>
      </c>
      <c r="P290">
        <v>2.0241817613330298E-2</v>
      </c>
      <c r="Q290">
        <v>-8.2890538748367604E-2</v>
      </c>
      <c r="R290">
        <v>0.25033052644847797</v>
      </c>
      <c r="S290">
        <v>0</v>
      </c>
      <c r="T290">
        <v>6.6185536490714599E-3</v>
      </c>
      <c r="U290">
        <v>3.0841769941798401E-3</v>
      </c>
      <c r="V290">
        <v>-4.64984655398903E-4</v>
      </c>
      <c r="W290">
        <v>-4.1922808880482301E-3</v>
      </c>
      <c r="X290">
        <v>0</v>
      </c>
      <c r="Y290">
        <v>-6.2004947239694103E-2</v>
      </c>
      <c r="Z290">
        <v>0.71628159794670099</v>
      </c>
      <c r="AA290">
        <v>-1.50473223410925E-2</v>
      </c>
      <c r="AB290">
        <v>9.5903208211357296E-2</v>
      </c>
      <c r="AC290">
        <v>1.9931268926604E-2</v>
      </c>
      <c r="AD290">
        <v>-0.23881332299885299</v>
      </c>
      <c r="AE290">
        <v>9.5638865518586497E-2</v>
      </c>
      <c r="AF290">
        <v>0</v>
      </c>
      <c r="AG290" s="878">
        <v>44043</v>
      </c>
      <c r="AH290" s="873">
        <f t="shared" si="4"/>
        <v>44013</v>
      </c>
    </row>
    <row r="291" spans="1:34">
      <c r="A291">
        <v>2</v>
      </c>
      <c r="B291">
        <v>2866</v>
      </c>
      <c r="C291" t="s">
        <v>213</v>
      </c>
      <c r="D291">
        <v>132</v>
      </c>
      <c r="E291">
        <v>0</v>
      </c>
      <c r="F291">
        <v>0</v>
      </c>
      <c r="G291" t="s">
        <v>175</v>
      </c>
      <c r="H291" t="s">
        <v>175</v>
      </c>
      <c r="I291" s="878">
        <v>44055</v>
      </c>
      <c r="J291">
        <v>2</v>
      </c>
      <c r="K291" t="s">
        <v>214</v>
      </c>
      <c r="L291">
        <v>2866</v>
      </c>
      <c r="M291">
        <v>0.32476100534364599</v>
      </c>
      <c r="N291" t="s">
        <v>175</v>
      </c>
      <c r="O291">
        <v>0.225563438522143</v>
      </c>
      <c r="P291">
        <v>0.44967555613421101</v>
      </c>
      <c r="Q291">
        <v>-0.82409829125529899</v>
      </c>
      <c r="R291">
        <v>0.66973304797692801</v>
      </c>
      <c r="S291">
        <v>0</v>
      </c>
      <c r="T291">
        <v>0.373694541390725</v>
      </c>
      <c r="U291">
        <v>4.2061178693749299E-2</v>
      </c>
      <c r="V291">
        <v>6.3408142704318896E-2</v>
      </c>
      <c r="W291">
        <v>-3.7614166775939199E-5</v>
      </c>
      <c r="X291">
        <v>0</v>
      </c>
      <c r="Y291" t="s">
        <v>175</v>
      </c>
      <c r="Z291" t="s">
        <v>175</v>
      </c>
      <c r="AA291" t="s">
        <v>175</v>
      </c>
      <c r="AB291" t="s">
        <v>175</v>
      </c>
      <c r="AC291" t="s">
        <v>175</v>
      </c>
      <c r="AD291" t="s">
        <v>175</v>
      </c>
      <c r="AE291" t="s">
        <v>175</v>
      </c>
      <c r="AF291" t="s">
        <v>175</v>
      </c>
      <c r="AG291" s="878">
        <v>44055</v>
      </c>
      <c r="AH291" s="873">
        <f t="shared" si="4"/>
        <v>44044</v>
      </c>
    </row>
    <row r="292" spans="1:34">
      <c r="A292">
        <v>3</v>
      </c>
      <c r="B292">
        <v>2866</v>
      </c>
      <c r="C292" t="s">
        <v>213</v>
      </c>
      <c r="D292">
        <v>132</v>
      </c>
      <c r="E292">
        <v>0</v>
      </c>
      <c r="F292">
        <v>0</v>
      </c>
      <c r="G292" t="s">
        <v>175</v>
      </c>
      <c r="H292" t="s">
        <v>175</v>
      </c>
      <c r="I292" s="878">
        <v>44088</v>
      </c>
      <c r="J292">
        <v>3</v>
      </c>
      <c r="K292" t="s">
        <v>214</v>
      </c>
      <c r="L292">
        <v>2866</v>
      </c>
      <c r="M292">
        <v>0.39193027282833398</v>
      </c>
      <c r="N292" t="s">
        <v>175</v>
      </c>
      <c r="O292">
        <v>0.20561672134203901</v>
      </c>
      <c r="P292">
        <v>0.40245300582962701</v>
      </c>
      <c r="Q292">
        <v>-0.54378639266178297</v>
      </c>
      <c r="R292">
        <v>0.61553711566260405</v>
      </c>
      <c r="S292">
        <v>-7.6639625488274005E-4</v>
      </c>
      <c r="T292">
        <v>0.30129070702176702</v>
      </c>
      <c r="U292">
        <v>3.3725423130284898E-2</v>
      </c>
      <c r="V292">
        <v>-1.8060485184194602E-2</v>
      </c>
      <c r="W292">
        <v>3.9903011145382902E-3</v>
      </c>
      <c r="X292">
        <v>0</v>
      </c>
      <c r="Y292" t="s">
        <v>175</v>
      </c>
      <c r="Z292" t="s">
        <v>175</v>
      </c>
      <c r="AA292" t="s">
        <v>175</v>
      </c>
      <c r="AB292" t="s">
        <v>175</v>
      </c>
      <c r="AC292" t="s">
        <v>175</v>
      </c>
      <c r="AD292" t="s">
        <v>175</v>
      </c>
      <c r="AE292" t="s">
        <v>175</v>
      </c>
      <c r="AF292" t="s">
        <v>175</v>
      </c>
      <c r="AG292" s="878">
        <v>44088</v>
      </c>
      <c r="AH292" s="873">
        <f t="shared" si="4"/>
        <v>44075</v>
      </c>
    </row>
    <row r="293" spans="1:34">
      <c r="A293">
        <v>4</v>
      </c>
      <c r="B293">
        <v>2866</v>
      </c>
      <c r="C293" t="s">
        <v>213</v>
      </c>
      <c r="D293">
        <v>132</v>
      </c>
      <c r="E293">
        <v>0</v>
      </c>
      <c r="F293">
        <v>0</v>
      </c>
      <c r="G293" t="s">
        <v>175</v>
      </c>
      <c r="H293" t="s">
        <v>175</v>
      </c>
      <c r="I293" s="878">
        <v>44117</v>
      </c>
      <c r="J293">
        <v>4</v>
      </c>
      <c r="K293" t="s">
        <v>214</v>
      </c>
      <c r="L293">
        <v>2866</v>
      </c>
      <c r="M293">
        <v>0.71126904509665501</v>
      </c>
      <c r="N293">
        <v>0</v>
      </c>
      <c r="O293">
        <v>0.21729032647847599</v>
      </c>
      <c r="P293">
        <v>7.1440628424868202E-2</v>
      </c>
      <c r="Q293">
        <v>-0.85553325970916505</v>
      </c>
      <c r="R293">
        <v>1.16641286470727</v>
      </c>
      <c r="S293">
        <v>-7.2467140783295499E-5</v>
      </c>
      <c r="T293">
        <v>0.49190323783874401</v>
      </c>
      <c r="U293">
        <v>5.4595700255416699E-2</v>
      </c>
      <c r="V293">
        <v>-0.14630581747638699</v>
      </c>
      <c r="W293">
        <v>2.6878662156239701E-4</v>
      </c>
      <c r="X293">
        <v>0</v>
      </c>
      <c r="Y293" t="s">
        <v>175</v>
      </c>
      <c r="Z293" t="s">
        <v>175</v>
      </c>
      <c r="AA293" t="s">
        <v>175</v>
      </c>
      <c r="AB293" t="s">
        <v>175</v>
      </c>
      <c r="AC293" t="s">
        <v>175</v>
      </c>
      <c r="AD293" t="s">
        <v>175</v>
      </c>
      <c r="AE293" t="s">
        <v>175</v>
      </c>
      <c r="AF293" t="s">
        <v>175</v>
      </c>
      <c r="AG293" s="878">
        <v>44117</v>
      </c>
      <c r="AH293" s="873">
        <f t="shared" si="4"/>
        <v>44105</v>
      </c>
    </row>
    <row r="294" spans="1:34">
      <c r="A294">
        <v>5</v>
      </c>
      <c r="B294">
        <v>2866</v>
      </c>
      <c r="C294" t="s">
        <v>213</v>
      </c>
      <c r="D294">
        <v>132</v>
      </c>
      <c r="E294">
        <v>0</v>
      </c>
      <c r="F294">
        <v>0</v>
      </c>
      <c r="G294" t="s">
        <v>175</v>
      </c>
      <c r="H294" t="s">
        <v>175</v>
      </c>
      <c r="I294" s="878">
        <v>44147</v>
      </c>
      <c r="J294">
        <v>5</v>
      </c>
      <c r="K294" t="s">
        <v>214</v>
      </c>
      <c r="L294">
        <v>2866</v>
      </c>
      <c r="M294">
        <v>0.793914657390278</v>
      </c>
      <c r="N294">
        <v>0</v>
      </c>
      <c r="O294">
        <v>0.206085342609722</v>
      </c>
      <c r="P294">
        <v>0</v>
      </c>
      <c r="Q294">
        <v>-0.34597638320240698</v>
      </c>
      <c r="R294">
        <v>0.77187822101099102</v>
      </c>
      <c r="S294">
        <v>-2.30436104945357E-4</v>
      </c>
      <c r="T294">
        <v>0.27304538294049502</v>
      </c>
      <c r="U294">
        <v>2.9584885865470301E-2</v>
      </c>
      <c r="V294">
        <v>6.4455968661855198E-2</v>
      </c>
      <c r="W294">
        <v>1.1570182188184799E-3</v>
      </c>
      <c r="X294">
        <v>0</v>
      </c>
      <c r="Y294" t="s">
        <v>175</v>
      </c>
      <c r="Z294" t="s">
        <v>175</v>
      </c>
      <c r="AA294" t="s">
        <v>175</v>
      </c>
      <c r="AB294" t="s">
        <v>175</v>
      </c>
      <c r="AC294" t="s">
        <v>175</v>
      </c>
      <c r="AD294" t="s">
        <v>175</v>
      </c>
      <c r="AE294" t="s">
        <v>175</v>
      </c>
      <c r="AF294" t="s">
        <v>175</v>
      </c>
      <c r="AG294" s="878">
        <v>44147</v>
      </c>
      <c r="AH294" s="873">
        <f t="shared" si="4"/>
        <v>44136</v>
      </c>
    </row>
    <row r="295" spans="1:34">
      <c r="A295">
        <v>6</v>
      </c>
      <c r="B295">
        <v>2866</v>
      </c>
      <c r="C295" t="s">
        <v>213</v>
      </c>
      <c r="D295">
        <v>132</v>
      </c>
      <c r="E295">
        <v>0</v>
      </c>
      <c r="F295">
        <v>0</v>
      </c>
      <c r="G295" t="s">
        <v>175</v>
      </c>
      <c r="H295" t="s">
        <v>175</v>
      </c>
      <c r="I295" s="878">
        <v>44179</v>
      </c>
      <c r="J295">
        <v>6</v>
      </c>
      <c r="K295" t="s">
        <v>214</v>
      </c>
      <c r="L295">
        <v>2866</v>
      </c>
      <c r="M295">
        <v>0.71798853780067895</v>
      </c>
      <c r="N295">
        <v>0</v>
      </c>
      <c r="O295">
        <v>0.28201146219932099</v>
      </c>
      <c r="P295">
        <v>0</v>
      </c>
      <c r="Q295">
        <v>9.0821172721647705E-2</v>
      </c>
      <c r="R295">
        <v>0.38284606705167201</v>
      </c>
      <c r="S295">
        <v>-1.0294047723486E-4</v>
      </c>
      <c r="T295">
        <v>0.121449063208946</v>
      </c>
      <c r="U295">
        <v>1.31593242890801E-2</v>
      </c>
      <c r="V295">
        <v>0.10929766682379199</v>
      </c>
      <c r="W295">
        <v>5.1818418277636499E-4</v>
      </c>
      <c r="X295">
        <v>0</v>
      </c>
      <c r="Y295" t="s">
        <v>175</v>
      </c>
      <c r="Z295" t="s">
        <v>175</v>
      </c>
      <c r="AA295" t="s">
        <v>175</v>
      </c>
      <c r="AB295" t="s">
        <v>175</v>
      </c>
      <c r="AC295" t="s">
        <v>175</v>
      </c>
      <c r="AD295" t="s">
        <v>175</v>
      </c>
      <c r="AE295" t="s">
        <v>175</v>
      </c>
      <c r="AF295" t="s">
        <v>175</v>
      </c>
      <c r="AG295" s="878">
        <v>44179</v>
      </c>
      <c r="AH295" s="873">
        <f t="shared" si="4"/>
        <v>44166</v>
      </c>
    </row>
    <row r="296" spans="1:34">
      <c r="A296">
        <v>7</v>
      </c>
      <c r="B296">
        <v>2866</v>
      </c>
      <c r="C296" t="s">
        <v>213</v>
      </c>
      <c r="D296">
        <v>132</v>
      </c>
      <c r="E296">
        <v>0</v>
      </c>
      <c r="F296">
        <v>0</v>
      </c>
      <c r="G296" t="s">
        <v>175</v>
      </c>
      <c r="H296" t="s">
        <v>175</v>
      </c>
      <c r="I296" s="878">
        <v>44193</v>
      </c>
      <c r="J296">
        <v>7</v>
      </c>
      <c r="K296" t="s">
        <v>214</v>
      </c>
      <c r="L296">
        <v>2866</v>
      </c>
      <c r="M296">
        <v>1</v>
      </c>
      <c r="N296">
        <v>0</v>
      </c>
      <c r="O296">
        <v>0</v>
      </c>
      <c r="P296">
        <v>0</v>
      </c>
      <c r="Q296">
        <v>0.49088704420002499</v>
      </c>
      <c r="R296">
        <v>0.38113640597772003</v>
      </c>
      <c r="S296">
        <v>-2.0376520145289599E-4</v>
      </c>
      <c r="T296">
        <v>0.24794407901302501</v>
      </c>
      <c r="U296">
        <v>2.5526501034634799E-2</v>
      </c>
      <c r="V296">
        <v>-0.14631048950067599</v>
      </c>
      <c r="W296">
        <v>1.0202244767244001E-3</v>
      </c>
      <c r="X296">
        <v>0</v>
      </c>
      <c r="Y296" t="s">
        <v>175</v>
      </c>
      <c r="Z296" t="s">
        <v>175</v>
      </c>
      <c r="AA296" t="s">
        <v>175</v>
      </c>
      <c r="AB296" t="s">
        <v>175</v>
      </c>
      <c r="AC296" t="s">
        <v>175</v>
      </c>
      <c r="AD296" t="s">
        <v>175</v>
      </c>
      <c r="AE296" t="s">
        <v>175</v>
      </c>
      <c r="AF296" t="s">
        <v>175</v>
      </c>
      <c r="AG296" s="878">
        <v>44193</v>
      </c>
      <c r="AH296" s="873">
        <f t="shared" si="4"/>
        <v>44166</v>
      </c>
    </row>
    <row r="297" spans="1:34">
      <c r="A297">
        <v>8</v>
      </c>
      <c r="B297">
        <v>2866</v>
      </c>
      <c r="C297" t="s">
        <v>213</v>
      </c>
      <c r="D297">
        <v>132</v>
      </c>
      <c r="E297">
        <v>0</v>
      </c>
      <c r="F297">
        <v>0</v>
      </c>
      <c r="G297" t="s">
        <v>175</v>
      </c>
      <c r="H297" t="s">
        <v>175</v>
      </c>
      <c r="I297" s="878">
        <v>44208</v>
      </c>
      <c r="J297">
        <v>8</v>
      </c>
      <c r="K297" t="s">
        <v>214</v>
      </c>
      <c r="L297">
        <v>2866</v>
      </c>
      <c r="M297">
        <v>1</v>
      </c>
      <c r="N297">
        <v>0</v>
      </c>
      <c r="O297">
        <v>0</v>
      </c>
      <c r="P297">
        <v>0</v>
      </c>
      <c r="Q297">
        <v>0.49088704420002499</v>
      </c>
      <c r="R297">
        <v>0.38113640597772003</v>
      </c>
      <c r="S297">
        <v>-2.0376520145289599E-4</v>
      </c>
      <c r="T297">
        <v>0.24794407901302501</v>
      </c>
      <c r="U297">
        <v>2.5526501034634799E-2</v>
      </c>
      <c r="V297">
        <v>-0.14631048950067599</v>
      </c>
      <c r="W297">
        <v>1.0202244767244001E-3</v>
      </c>
      <c r="X297">
        <v>0</v>
      </c>
      <c r="Y297" t="s">
        <v>175</v>
      </c>
      <c r="Z297" t="s">
        <v>175</v>
      </c>
      <c r="AA297" t="s">
        <v>175</v>
      </c>
      <c r="AB297" t="s">
        <v>175</v>
      </c>
      <c r="AC297" t="s">
        <v>175</v>
      </c>
      <c r="AD297" t="s">
        <v>175</v>
      </c>
      <c r="AE297" t="s">
        <v>175</v>
      </c>
      <c r="AF297" t="s">
        <v>175</v>
      </c>
      <c r="AG297" s="878">
        <v>44208</v>
      </c>
      <c r="AH297" s="873">
        <f t="shared" si="4"/>
        <v>44197</v>
      </c>
    </row>
    <row r="298" spans="1:34">
      <c r="A298">
        <v>1</v>
      </c>
      <c r="B298">
        <v>2937</v>
      </c>
      <c r="C298" t="s">
        <v>215</v>
      </c>
      <c r="D298">
        <v>135</v>
      </c>
      <c r="E298">
        <v>249063804</v>
      </c>
      <c r="F298">
        <v>0</v>
      </c>
      <c r="G298">
        <v>0</v>
      </c>
      <c r="H298">
        <v>0</v>
      </c>
      <c r="I298" s="878">
        <v>44043</v>
      </c>
      <c r="J298">
        <v>1</v>
      </c>
      <c r="K298" t="s">
        <v>215</v>
      </c>
      <c r="L298">
        <v>2937</v>
      </c>
      <c r="M298">
        <v>0.111038546986861</v>
      </c>
      <c r="N298">
        <v>0.56202995291445101</v>
      </c>
      <c r="O298">
        <v>0.26955530546946399</v>
      </c>
      <c r="P298">
        <v>5.7376194629224497E-2</v>
      </c>
      <c r="Q298">
        <v>8.6045281196241996E-3</v>
      </c>
      <c r="R298">
        <v>8.1733420530101505E-2</v>
      </c>
      <c r="S298">
        <v>-4.32602884331255E-3</v>
      </c>
      <c r="T298">
        <v>-4.0251573479146603E-3</v>
      </c>
      <c r="U298">
        <v>1.0327131436710199E-3</v>
      </c>
      <c r="V298">
        <v>8.7427789062014104E-3</v>
      </c>
      <c r="W298">
        <v>1.92762924784897E-2</v>
      </c>
      <c r="X298">
        <v>0</v>
      </c>
      <c r="Y298">
        <v>2.45879051941822E-3</v>
      </c>
      <c r="Z298">
        <v>0.77866336064963604</v>
      </c>
      <c r="AA298">
        <v>-5.1908306162785599E-3</v>
      </c>
      <c r="AB298">
        <v>4.8389309187355602E-2</v>
      </c>
      <c r="AC298">
        <v>1.6885253044752399E-2</v>
      </c>
      <c r="AD298">
        <v>-0.31041008627133598</v>
      </c>
      <c r="AE298">
        <v>3.12341564009035E-2</v>
      </c>
      <c r="AF298">
        <v>0</v>
      </c>
      <c r="AG298" s="878">
        <v>44043</v>
      </c>
      <c r="AH298" s="873">
        <f t="shared" si="4"/>
        <v>44013</v>
      </c>
    </row>
    <row r="299" spans="1:34">
      <c r="A299">
        <v>2</v>
      </c>
      <c r="B299">
        <v>2937</v>
      </c>
      <c r="C299" t="s">
        <v>215</v>
      </c>
      <c r="D299">
        <v>135</v>
      </c>
      <c r="E299">
        <v>0</v>
      </c>
      <c r="F299">
        <v>0</v>
      </c>
      <c r="G299" t="s">
        <v>175</v>
      </c>
      <c r="H299" t="s">
        <v>175</v>
      </c>
      <c r="I299" s="878">
        <v>44055</v>
      </c>
      <c r="J299">
        <v>2</v>
      </c>
      <c r="K299" t="s">
        <v>215</v>
      </c>
      <c r="L299">
        <v>2937</v>
      </c>
      <c r="M299">
        <v>0</v>
      </c>
      <c r="N299" t="s">
        <v>175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 t="s">
        <v>175</v>
      </c>
      <c r="Z299" t="s">
        <v>175</v>
      </c>
      <c r="AA299" t="s">
        <v>175</v>
      </c>
      <c r="AB299" t="s">
        <v>175</v>
      </c>
      <c r="AC299" t="s">
        <v>175</v>
      </c>
      <c r="AD299" t="s">
        <v>175</v>
      </c>
      <c r="AE299" t="s">
        <v>175</v>
      </c>
      <c r="AF299" t="s">
        <v>175</v>
      </c>
      <c r="AG299" s="878">
        <v>44055</v>
      </c>
      <c r="AH299" s="873">
        <f t="shared" si="4"/>
        <v>44044</v>
      </c>
    </row>
    <row r="300" spans="1:34">
      <c r="A300">
        <v>3</v>
      </c>
      <c r="B300">
        <v>2937</v>
      </c>
      <c r="C300" t="s">
        <v>215</v>
      </c>
      <c r="D300">
        <v>135</v>
      </c>
      <c r="E300">
        <v>0</v>
      </c>
      <c r="F300">
        <v>0</v>
      </c>
      <c r="G300" t="s">
        <v>175</v>
      </c>
      <c r="H300" t="s">
        <v>175</v>
      </c>
      <c r="I300" s="878">
        <v>44088</v>
      </c>
      <c r="J300">
        <v>3</v>
      </c>
      <c r="K300" t="s">
        <v>215</v>
      </c>
      <c r="L300">
        <v>2937</v>
      </c>
      <c r="M300">
        <v>0</v>
      </c>
      <c r="N300" t="s">
        <v>175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 t="s">
        <v>175</v>
      </c>
      <c r="Z300" t="s">
        <v>175</v>
      </c>
      <c r="AA300" t="s">
        <v>175</v>
      </c>
      <c r="AB300" t="s">
        <v>175</v>
      </c>
      <c r="AC300" t="s">
        <v>175</v>
      </c>
      <c r="AD300" t="s">
        <v>175</v>
      </c>
      <c r="AE300" t="s">
        <v>175</v>
      </c>
      <c r="AF300" t="s">
        <v>175</v>
      </c>
      <c r="AG300" s="878">
        <v>44088</v>
      </c>
      <c r="AH300" s="873">
        <f t="shared" si="4"/>
        <v>44075</v>
      </c>
    </row>
    <row r="301" spans="1:34">
      <c r="A301">
        <v>4</v>
      </c>
      <c r="B301">
        <v>2937</v>
      </c>
      <c r="C301" t="s">
        <v>215</v>
      </c>
      <c r="D301">
        <v>135</v>
      </c>
      <c r="E301">
        <v>0</v>
      </c>
      <c r="F301">
        <v>0</v>
      </c>
      <c r="G301" t="s">
        <v>175</v>
      </c>
      <c r="H301" t="s">
        <v>175</v>
      </c>
      <c r="I301" s="878">
        <v>44117</v>
      </c>
      <c r="J301">
        <v>4</v>
      </c>
      <c r="K301" t="s">
        <v>215</v>
      </c>
      <c r="L301">
        <v>2937</v>
      </c>
      <c r="M301" t="s">
        <v>175</v>
      </c>
      <c r="N301" t="s">
        <v>175</v>
      </c>
      <c r="O301" t="s">
        <v>175</v>
      </c>
      <c r="P301" t="s">
        <v>175</v>
      </c>
      <c r="Q301" t="s">
        <v>175</v>
      </c>
      <c r="R301" t="s">
        <v>175</v>
      </c>
      <c r="S301" t="s">
        <v>175</v>
      </c>
      <c r="T301" t="s">
        <v>175</v>
      </c>
      <c r="U301" t="s">
        <v>175</v>
      </c>
      <c r="V301" t="s">
        <v>175</v>
      </c>
      <c r="W301" t="s">
        <v>175</v>
      </c>
      <c r="X301" t="s">
        <v>175</v>
      </c>
      <c r="Y301" t="s">
        <v>175</v>
      </c>
      <c r="Z301" t="s">
        <v>175</v>
      </c>
      <c r="AA301" t="s">
        <v>175</v>
      </c>
      <c r="AB301" t="s">
        <v>175</v>
      </c>
      <c r="AC301" t="s">
        <v>175</v>
      </c>
      <c r="AD301" t="s">
        <v>175</v>
      </c>
      <c r="AE301" t="s">
        <v>175</v>
      </c>
      <c r="AF301" t="s">
        <v>175</v>
      </c>
      <c r="AG301" s="878">
        <v>44117</v>
      </c>
      <c r="AH301" s="873">
        <f t="shared" si="4"/>
        <v>44105</v>
      </c>
    </row>
    <row r="302" spans="1:34">
      <c r="A302">
        <v>5</v>
      </c>
      <c r="B302">
        <v>2937</v>
      </c>
      <c r="C302" t="s">
        <v>215</v>
      </c>
      <c r="D302">
        <v>135</v>
      </c>
      <c r="E302">
        <v>0</v>
      </c>
      <c r="F302">
        <v>0</v>
      </c>
      <c r="G302" t="s">
        <v>175</v>
      </c>
      <c r="H302" t="s">
        <v>175</v>
      </c>
      <c r="I302" s="878">
        <v>44147</v>
      </c>
      <c r="J302">
        <v>5</v>
      </c>
      <c r="K302" t="s">
        <v>215</v>
      </c>
      <c r="L302">
        <v>2937</v>
      </c>
      <c r="M302" t="s">
        <v>175</v>
      </c>
      <c r="N302" t="s">
        <v>175</v>
      </c>
      <c r="O302" t="s">
        <v>175</v>
      </c>
      <c r="P302" t="s">
        <v>175</v>
      </c>
      <c r="Q302" t="s">
        <v>175</v>
      </c>
      <c r="R302" t="s">
        <v>175</v>
      </c>
      <c r="S302" t="s">
        <v>175</v>
      </c>
      <c r="T302" t="s">
        <v>175</v>
      </c>
      <c r="U302" t="s">
        <v>175</v>
      </c>
      <c r="V302" t="s">
        <v>175</v>
      </c>
      <c r="W302" t="s">
        <v>175</v>
      </c>
      <c r="X302" t="s">
        <v>175</v>
      </c>
      <c r="Y302" t="s">
        <v>175</v>
      </c>
      <c r="Z302" t="s">
        <v>175</v>
      </c>
      <c r="AA302" t="s">
        <v>175</v>
      </c>
      <c r="AB302" t="s">
        <v>175</v>
      </c>
      <c r="AC302" t="s">
        <v>175</v>
      </c>
      <c r="AD302" t="s">
        <v>175</v>
      </c>
      <c r="AE302" t="s">
        <v>175</v>
      </c>
      <c r="AF302" t="s">
        <v>175</v>
      </c>
      <c r="AG302" s="878">
        <v>44147</v>
      </c>
      <c r="AH302" s="873">
        <f t="shared" si="4"/>
        <v>44136</v>
      </c>
    </row>
    <row r="303" spans="1:34">
      <c r="A303">
        <v>6</v>
      </c>
      <c r="B303">
        <v>2937</v>
      </c>
      <c r="C303" t="s">
        <v>215</v>
      </c>
      <c r="D303">
        <v>135</v>
      </c>
      <c r="E303">
        <v>0</v>
      </c>
      <c r="F303">
        <v>0</v>
      </c>
      <c r="G303" t="s">
        <v>175</v>
      </c>
      <c r="H303" t="s">
        <v>175</v>
      </c>
      <c r="I303" s="878">
        <v>44179</v>
      </c>
      <c r="J303">
        <v>6</v>
      </c>
      <c r="K303" t="s">
        <v>215</v>
      </c>
      <c r="L303">
        <v>2937</v>
      </c>
      <c r="M303" t="s">
        <v>175</v>
      </c>
      <c r="N303" t="s">
        <v>175</v>
      </c>
      <c r="O303" t="s">
        <v>175</v>
      </c>
      <c r="P303" t="s">
        <v>175</v>
      </c>
      <c r="Q303" t="s">
        <v>175</v>
      </c>
      <c r="R303" t="s">
        <v>175</v>
      </c>
      <c r="S303" t="s">
        <v>175</v>
      </c>
      <c r="T303" t="s">
        <v>175</v>
      </c>
      <c r="U303" t="s">
        <v>175</v>
      </c>
      <c r="V303" t="s">
        <v>175</v>
      </c>
      <c r="W303" t="s">
        <v>175</v>
      </c>
      <c r="X303" t="s">
        <v>175</v>
      </c>
      <c r="Y303" t="s">
        <v>175</v>
      </c>
      <c r="Z303" t="s">
        <v>175</v>
      </c>
      <c r="AA303" t="s">
        <v>175</v>
      </c>
      <c r="AB303" t="s">
        <v>175</v>
      </c>
      <c r="AC303" t="s">
        <v>175</v>
      </c>
      <c r="AD303" t="s">
        <v>175</v>
      </c>
      <c r="AE303" t="s">
        <v>175</v>
      </c>
      <c r="AF303" t="s">
        <v>175</v>
      </c>
      <c r="AG303" s="878">
        <v>44179</v>
      </c>
      <c r="AH303" s="873">
        <f t="shared" si="4"/>
        <v>44166</v>
      </c>
    </row>
    <row r="304" spans="1:34">
      <c r="A304">
        <v>7</v>
      </c>
      <c r="B304">
        <v>2937</v>
      </c>
      <c r="C304" t="s">
        <v>215</v>
      </c>
      <c r="D304">
        <v>135</v>
      </c>
      <c r="E304">
        <v>0</v>
      </c>
      <c r="F304">
        <v>0</v>
      </c>
      <c r="G304" t="s">
        <v>175</v>
      </c>
      <c r="H304" t="s">
        <v>175</v>
      </c>
      <c r="I304" s="878">
        <v>44193</v>
      </c>
      <c r="J304">
        <v>7</v>
      </c>
      <c r="K304" t="s">
        <v>215</v>
      </c>
      <c r="L304">
        <v>2937</v>
      </c>
      <c r="M304" t="s">
        <v>175</v>
      </c>
      <c r="N304" t="s">
        <v>175</v>
      </c>
      <c r="O304" t="s">
        <v>175</v>
      </c>
      <c r="P304" t="s">
        <v>175</v>
      </c>
      <c r="Q304" t="s">
        <v>175</v>
      </c>
      <c r="R304" t="s">
        <v>175</v>
      </c>
      <c r="S304" t="s">
        <v>175</v>
      </c>
      <c r="T304" t="s">
        <v>175</v>
      </c>
      <c r="U304" t="s">
        <v>175</v>
      </c>
      <c r="V304" t="s">
        <v>175</v>
      </c>
      <c r="W304" t="s">
        <v>175</v>
      </c>
      <c r="X304" t="s">
        <v>175</v>
      </c>
      <c r="Y304" t="s">
        <v>175</v>
      </c>
      <c r="Z304" t="s">
        <v>175</v>
      </c>
      <c r="AA304" t="s">
        <v>175</v>
      </c>
      <c r="AB304" t="s">
        <v>175</v>
      </c>
      <c r="AC304" t="s">
        <v>175</v>
      </c>
      <c r="AD304" t="s">
        <v>175</v>
      </c>
      <c r="AE304" t="s">
        <v>175</v>
      </c>
      <c r="AF304" t="s">
        <v>175</v>
      </c>
      <c r="AG304" s="878">
        <v>44193</v>
      </c>
      <c r="AH304" s="873">
        <f t="shared" si="4"/>
        <v>44166</v>
      </c>
    </row>
    <row r="305" spans="1:34">
      <c r="A305">
        <v>8</v>
      </c>
      <c r="B305">
        <v>2937</v>
      </c>
      <c r="C305" t="s">
        <v>215</v>
      </c>
      <c r="D305">
        <v>135</v>
      </c>
      <c r="E305">
        <v>0</v>
      </c>
      <c r="F305">
        <v>0</v>
      </c>
      <c r="G305" t="s">
        <v>175</v>
      </c>
      <c r="H305" t="s">
        <v>175</v>
      </c>
      <c r="I305" s="878">
        <v>44208</v>
      </c>
      <c r="J305">
        <v>8</v>
      </c>
      <c r="K305" t="s">
        <v>215</v>
      </c>
      <c r="L305">
        <v>2937</v>
      </c>
      <c r="M305" t="s">
        <v>175</v>
      </c>
      <c r="N305" t="s">
        <v>175</v>
      </c>
      <c r="O305" t="s">
        <v>175</v>
      </c>
      <c r="P305" t="s">
        <v>175</v>
      </c>
      <c r="Q305" t="s">
        <v>175</v>
      </c>
      <c r="R305" t="s">
        <v>175</v>
      </c>
      <c r="S305" t="s">
        <v>175</v>
      </c>
      <c r="T305" t="s">
        <v>175</v>
      </c>
      <c r="U305" t="s">
        <v>175</v>
      </c>
      <c r="V305" t="s">
        <v>175</v>
      </c>
      <c r="W305" t="s">
        <v>175</v>
      </c>
      <c r="X305" t="s">
        <v>175</v>
      </c>
      <c r="Y305" t="s">
        <v>175</v>
      </c>
      <c r="Z305" t="s">
        <v>175</v>
      </c>
      <c r="AA305" t="s">
        <v>175</v>
      </c>
      <c r="AB305" t="s">
        <v>175</v>
      </c>
      <c r="AC305" t="s">
        <v>175</v>
      </c>
      <c r="AD305" t="s">
        <v>175</v>
      </c>
      <c r="AE305" t="s">
        <v>175</v>
      </c>
      <c r="AF305" t="s">
        <v>175</v>
      </c>
      <c r="AG305" s="878">
        <v>44208</v>
      </c>
      <c r="AH305" s="873">
        <f t="shared" si="4"/>
        <v>44197</v>
      </c>
    </row>
    <row r="306" spans="1:34">
      <c r="A306">
        <v>1</v>
      </c>
      <c r="B306">
        <v>4950</v>
      </c>
      <c r="C306" t="s">
        <v>216</v>
      </c>
      <c r="D306">
        <v>118</v>
      </c>
      <c r="E306">
        <v>1123242088.4452701</v>
      </c>
      <c r="F306">
        <v>0</v>
      </c>
      <c r="G306">
        <v>63147294</v>
      </c>
      <c r="H306">
        <v>0</v>
      </c>
      <c r="I306" s="878">
        <v>44043</v>
      </c>
      <c r="J306">
        <v>1</v>
      </c>
      <c r="K306" t="s">
        <v>216</v>
      </c>
      <c r="L306">
        <v>4950</v>
      </c>
      <c r="M306">
        <v>0</v>
      </c>
      <c r="N306">
        <v>0.79415316789600698</v>
      </c>
      <c r="O306">
        <v>0.16055482465995499</v>
      </c>
      <c r="P306">
        <v>4.52920074440381E-2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0.21318435709005201</v>
      </c>
      <c r="Z306">
        <v>0.56280460692005196</v>
      </c>
      <c r="AA306">
        <v>-2.48352334393988E-2</v>
      </c>
      <c r="AB306">
        <v>0.16546480811577099</v>
      </c>
      <c r="AC306">
        <v>2.18446366908394E-2</v>
      </c>
      <c r="AD306">
        <v>-0.285913845642015</v>
      </c>
      <c r="AE306">
        <v>0.14160383816070701</v>
      </c>
      <c r="AF306">
        <v>0</v>
      </c>
      <c r="AG306" s="878">
        <v>44043</v>
      </c>
      <c r="AH306" s="873">
        <f t="shared" si="4"/>
        <v>44013</v>
      </c>
    </row>
    <row r="307" spans="1:34">
      <c r="A307">
        <v>2</v>
      </c>
      <c r="B307">
        <v>4950</v>
      </c>
      <c r="C307" t="s">
        <v>216</v>
      </c>
      <c r="D307">
        <v>118</v>
      </c>
      <c r="E307">
        <v>50944468.073423997</v>
      </c>
      <c r="F307">
        <v>0</v>
      </c>
      <c r="G307" t="s">
        <v>175</v>
      </c>
      <c r="H307" t="s">
        <v>175</v>
      </c>
      <c r="I307" s="878">
        <v>44055</v>
      </c>
      <c r="J307">
        <v>2</v>
      </c>
      <c r="K307" t="s">
        <v>216</v>
      </c>
      <c r="L307">
        <v>4950</v>
      </c>
      <c r="M307">
        <v>0.231766912313731</v>
      </c>
      <c r="N307" t="s">
        <v>175</v>
      </c>
      <c r="O307">
        <v>0.37233370562071599</v>
      </c>
      <c r="P307">
        <v>0.39589938206555297</v>
      </c>
      <c r="Q307">
        <v>-1.70046465603505</v>
      </c>
      <c r="R307">
        <v>1.1527586449393901</v>
      </c>
      <c r="S307">
        <v>0</v>
      </c>
      <c r="T307">
        <v>0.75272074579514503</v>
      </c>
      <c r="U307">
        <v>2.38125884764901E-2</v>
      </c>
      <c r="V307">
        <v>3.0577589968434501E-3</v>
      </c>
      <c r="W307">
        <v>-1.18169859093492E-4</v>
      </c>
      <c r="X307">
        <v>0</v>
      </c>
      <c r="Y307" t="s">
        <v>175</v>
      </c>
      <c r="Z307" t="s">
        <v>175</v>
      </c>
      <c r="AA307" t="s">
        <v>175</v>
      </c>
      <c r="AB307" t="s">
        <v>175</v>
      </c>
      <c r="AC307" t="s">
        <v>175</v>
      </c>
      <c r="AD307" t="s">
        <v>175</v>
      </c>
      <c r="AE307" t="s">
        <v>175</v>
      </c>
      <c r="AF307" t="s">
        <v>175</v>
      </c>
      <c r="AG307" s="878">
        <v>44055</v>
      </c>
      <c r="AH307" s="873">
        <f t="shared" si="4"/>
        <v>44044</v>
      </c>
    </row>
    <row r="308" spans="1:34">
      <c r="A308">
        <v>3</v>
      </c>
      <c r="B308">
        <v>4950</v>
      </c>
      <c r="C308" t="s">
        <v>216</v>
      </c>
      <c r="D308">
        <v>118</v>
      </c>
      <c r="E308">
        <v>43010188.8903846</v>
      </c>
      <c r="F308">
        <v>0</v>
      </c>
      <c r="G308" t="s">
        <v>175</v>
      </c>
      <c r="H308" t="s">
        <v>175</v>
      </c>
      <c r="I308" s="878">
        <v>44088</v>
      </c>
      <c r="J308">
        <v>3</v>
      </c>
      <c r="K308" t="s">
        <v>216</v>
      </c>
      <c r="L308">
        <v>4950</v>
      </c>
      <c r="M308">
        <v>0.77513262240940295</v>
      </c>
      <c r="N308" t="s">
        <v>175</v>
      </c>
      <c r="O308">
        <v>1.4484140524206801E-2</v>
      </c>
      <c r="P308">
        <v>0.210383237066391</v>
      </c>
      <c r="Q308">
        <v>-1.0485369528647399</v>
      </c>
      <c r="R308">
        <v>0.93593750514182095</v>
      </c>
      <c r="S308">
        <v>0</v>
      </c>
      <c r="T308">
        <v>0.87268778765911303</v>
      </c>
      <c r="U308">
        <v>9.8624976280111104E-2</v>
      </c>
      <c r="V308">
        <v>-8.3580562046544404E-2</v>
      </c>
      <c r="W308">
        <v>-1.31760362165402E-7</v>
      </c>
      <c r="X308">
        <v>0</v>
      </c>
      <c r="Y308" t="s">
        <v>175</v>
      </c>
      <c r="Z308" t="s">
        <v>175</v>
      </c>
      <c r="AA308" t="s">
        <v>175</v>
      </c>
      <c r="AB308" t="s">
        <v>175</v>
      </c>
      <c r="AC308" t="s">
        <v>175</v>
      </c>
      <c r="AD308" t="s">
        <v>175</v>
      </c>
      <c r="AE308" t="s">
        <v>175</v>
      </c>
      <c r="AF308" t="s">
        <v>175</v>
      </c>
      <c r="AG308" s="878">
        <v>44088</v>
      </c>
      <c r="AH308" s="873">
        <f t="shared" si="4"/>
        <v>44075</v>
      </c>
    </row>
    <row r="309" spans="1:34">
      <c r="A309">
        <v>4</v>
      </c>
      <c r="B309">
        <v>4950</v>
      </c>
      <c r="C309" t="s">
        <v>216</v>
      </c>
      <c r="D309">
        <v>118</v>
      </c>
      <c r="E309">
        <v>33549237.7405954</v>
      </c>
      <c r="F309">
        <v>0</v>
      </c>
      <c r="G309" t="s">
        <v>175</v>
      </c>
      <c r="H309" t="s">
        <v>175</v>
      </c>
      <c r="I309" s="878">
        <v>44117</v>
      </c>
      <c r="J309">
        <v>4</v>
      </c>
      <c r="K309" t="s">
        <v>216</v>
      </c>
      <c r="L309">
        <v>4950</v>
      </c>
      <c r="M309">
        <v>0.55700019030192005</v>
      </c>
      <c r="N309">
        <v>0</v>
      </c>
      <c r="O309">
        <v>0.442999809698081</v>
      </c>
      <c r="P309">
        <v>0</v>
      </c>
      <c r="Q309">
        <v>-2.0228939682444</v>
      </c>
      <c r="R309">
        <v>1.4949627859102901</v>
      </c>
      <c r="S309">
        <v>0</v>
      </c>
      <c r="T309">
        <v>0.97280511313058504</v>
      </c>
      <c r="U309">
        <v>7.4739994092232906E-2</v>
      </c>
      <c r="V309">
        <v>3.7386164074196801E-2</v>
      </c>
      <c r="W309">
        <v>1.01339017812545E-7</v>
      </c>
      <c r="X309">
        <v>0</v>
      </c>
      <c r="Y309" t="s">
        <v>175</v>
      </c>
      <c r="Z309" t="s">
        <v>175</v>
      </c>
      <c r="AA309" t="s">
        <v>175</v>
      </c>
      <c r="AB309" t="s">
        <v>175</v>
      </c>
      <c r="AC309" t="s">
        <v>175</v>
      </c>
      <c r="AD309" t="s">
        <v>175</v>
      </c>
      <c r="AE309" t="s">
        <v>175</v>
      </c>
      <c r="AF309" t="s">
        <v>175</v>
      </c>
      <c r="AG309" s="878">
        <v>44117</v>
      </c>
      <c r="AH309" s="873">
        <f t="shared" si="4"/>
        <v>44105</v>
      </c>
    </row>
    <row r="310" spans="1:34">
      <c r="A310">
        <v>5</v>
      </c>
      <c r="B310">
        <v>4950</v>
      </c>
      <c r="C310" t="s">
        <v>216</v>
      </c>
      <c r="D310">
        <v>118</v>
      </c>
      <c r="E310">
        <v>23442287.1680362</v>
      </c>
      <c r="F310">
        <v>0</v>
      </c>
      <c r="G310" t="s">
        <v>175</v>
      </c>
      <c r="H310" t="s">
        <v>175</v>
      </c>
      <c r="I310" s="878">
        <v>44147</v>
      </c>
      <c r="J310">
        <v>5</v>
      </c>
      <c r="K310" t="s">
        <v>216</v>
      </c>
      <c r="L310">
        <v>4950</v>
      </c>
      <c r="M310">
        <v>0.48249026042193999</v>
      </c>
      <c r="N310">
        <v>0</v>
      </c>
      <c r="O310">
        <v>0.51750973957806001</v>
      </c>
      <c r="P310">
        <v>0</v>
      </c>
      <c r="Q310">
        <v>-0.41843154585350001</v>
      </c>
      <c r="R310">
        <v>0.54925553120300696</v>
      </c>
      <c r="S310">
        <v>0</v>
      </c>
      <c r="T310">
        <v>0.37854959593499699</v>
      </c>
      <c r="U310">
        <v>2.9090159217281499E-2</v>
      </c>
      <c r="V310">
        <v>-5.5973479511327702E-2</v>
      </c>
      <c r="W310">
        <v>-5.6851814750160203E-10</v>
      </c>
      <c r="X310">
        <v>0</v>
      </c>
      <c r="Y310" t="s">
        <v>175</v>
      </c>
      <c r="Z310" t="s">
        <v>175</v>
      </c>
      <c r="AA310" t="s">
        <v>175</v>
      </c>
      <c r="AB310" t="s">
        <v>175</v>
      </c>
      <c r="AC310" t="s">
        <v>175</v>
      </c>
      <c r="AD310" t="s">
        <v>175</v>
      </c>
      <c r="AE310" t="s">
        <v>175</v>
      </c>
      <c r="AF310" t="s">
        <v>175</v>
      </c>
      <c r="AG310" s="878">
        <v>44147</v>
      </c>
      <c r="AH310" s="873">
        <f t="shared" si="4"/>
        <v>44136</v>
      </c>
    </row>
    <row r="311" spans="1:34">
      <c r="A311">
        <v>6</v>
      </c>
      <c r="B311">
        <v>4950</v>
      </c>
      <c r="C311" t="s">
        <v>216</v>
      </c>
      <c r="D311">
        <v>118</v>
      </c>
      <c r="E311">
        <v>30314878.8247259</v>
      </c>
      <c r="F311">
        <v>0</v>
      </c>
      <c r="G311" t="s">
        <v>175</v>
      </c>
      <c r="H311" t="s">
        <v>175</v>
      </c>
      <c r="I311" s="878">
        <v>44179</v>
      </c>
      <c r="J311">
        <v>6</v>
      </c>
      <c r="K311" t="s">
        <v>216</v>
      </c>
      <c r="L311">
        <v>4950</v>
      </c>
      <c r="M311">
        <v>0.44472385804592202</v>
      </c>
      <c r="N311">
        <v>0</v>
      </c>
      <c r="O311">
        <v>0.55527614195407804</v>
      </c>
      <c r="P311">
        <v>0</v>
      </c>
      <c r="Q311">
        <v>9.8837730508782203E-3</v>
      </c>
      <c r="R311">
        <v>0.20731750928563</v>
      </c>
      <c r="S311">
        <v>0</v>
      </c>
      <c r="T311">
        <v>0.223045621684204</v>
      </c>
      <c r="U311">
        <v>1.6913481631460999E-2</v>
      </c>
      <c r="V311">
        <v>-1.24365273157144E-2</v>
      </c>
      <c r="W311">
        <v>-2.9053668994376201E-10</v>
      </c>
      <c r="X311">
        <v>0</v>
      </c>
      <c r="Y311" t="s">
        <v>175</v>
      </c>
      <c r="Z311" t="s">
        <v>175</v>
      </c>
      <c r="AA311" t="s">
        <v>175</v>
      </c>
      <c r="AB311" t="s">
        <v>175</v>
      </c>
      <c r="AC311" t="s">
        <v>175</v>
      </c>
      <c r="AD311" t="s">
        <v>175</v>
      </c>
      <c r="AE311" t="s">
        <v>175</v>
      </c>
      <c r="AF311" t="s">
        <v>175</v>
      </c>
      <c r="AG311" s="878">
        <v>44179</v>
      </c>
      <c r="AH311" s="873">
        <f t="shared" si="4"/>
        <v>44166</v>
      </c>
    </row>
    <row r="312" spans="1:34">
      <c r="A312">
        <v>7</v>
      </c>
      <c r="B312">
        <v>4950</v>
      </c>
      <c r="C312" t="s">
        <v>216</v>
      </c>
      <c r="D312">
        <v>118</v>
      </c>
      <c r="E312">
        <v>36524153.538503297</v>
      </c>
      <c r="F312">
        <v>0</v>
      </c>
      <c r="G312" t="s">
        <v>175</v>
      </c>
      <c r="H312" t="s">
        <v>175</v>
      </c>
      <c r="I312" s="878">
        <v>44193</v>
      </c>
      <c r="J312">
        <v>7</v>
      </c>
      <c r="K312" t="s">
        <v>216</v>
      </c>
      <c r="L312">
        <v>4950</v>
      </c>
      <c r="M312">
        <v>0.31700335554328402</v>
      </c>
      <c r="N312">
        <v>0</v>
      </c>
      <c r="O312">
        <v>0.68299664445671604</v>
      </c>
      <c r="P312">
        <v>0</v>
      </c>
      <c r="Q312">
        <v>-0.161845676556295</v>
      </c>
      <c r="R312">
        <v>0.26719197633644298</v>
      </c>
      <c r="S312">
        <v>0</v>
      </c>
      <c r="T312">
        <v>0.234104442431086</v>
      </c>
      <c r="U312">
        <v>1.7717054598715899E-2</v>
      </c>
      <c r="V312">
        <v>-4.0164440962835703E-2</v>
      </c>
      <c r="W312">
        <v>-3.0383058682460998E-10</v>
      </c>
      <c r="X312">
        <v>0</v>
      </c>
      <c r="Y312" t="s">
        <v>175</v>
      </c>
      <c r="Z312" t="s">
        <v>175</v>
      </c>
      <c r="AA312" t="s">
        <v>175</v>
      </c>
      <c r="AB312" t="s">
        <v>175</v>
      </c>
      <c r="AC312" t="s">
        <v>175</v>
      </c>
      <c r="AD312" t="s">
        <v>175</v>
      </c>
      <c r="AE312" t="s">
        <v>175</v>
      </c>
      <c r="AF312" t="s">
        <v>175</v>
      </c>
      <c r="AG312" s="878">
        <v>44193</v>
      </c>
      <c r="AH312" s="873">
        <f t="shared" si="4"/>
        <v>44166</v>
      </c>
    </row>
    <row r="313" spans="1:34">
      <c r="A313">
        <v>8</v>
      </c>
      <c r="B313">
        <v>4950</v>
      </c>
      <c r="C313" t="s">
        <v>216</v>
      </c>
      <c r="D313">
        <v>118</v>
      </c>
      <c r="E313">
        <v>0</v>
      </c>
      <c r="F313">
        <v>0</v>
      </c>
      <c r="G313" t="s">
        <v>175</v>
      </c>
      <c r="H313" t="s">
        <v>175</v>
      </c>
      <c r="I313" s="878">
        <v>44208</v>
      </c>
      <c r="J313">
        <v>8</v>
      </c>
      <c r="K313" t="s">
        <v>216</v>
      </c>
      <c r="L313">
        <v>4950</v>
      </c>
      <c r="M313">
        <v>0.31700335554328402</v>
      </c>
      <c r="N313">
        <v>0</v>
      </c>
      <c r="O313">
        <v>0.68299664445671604</v>
      </c>
      <c r="P313">
        <v>0</v>
      </c>
      <c r="Q313">
        <v>-0.161845676556295</v>
      </c>
      <c r="R313">
        <v>0.26719197633644298</v>
      </c>
      <c r="S313">
        <v>0</v>
      </c>
      <c r="T313">
        <v>0.234104442431086</v>
      </c>
      <c r="U313">
        <v>1.7717054598715899E-2</v>
      </c>
      <c r="V313">
        <v>-4.0164440962835703E-2</v>
      </c>
      <c r="W313">
        <v>-3.0383058682460998E-10</v>
      </c>
      <c r="X313">
        <v>0</v>
      </c>
      <c r="Y313" t="s">
        <v>175</v>
      </c>
      <c r="Z313" t="s">
        <v>175</v>
      </c>
      <c r="AA313" t="s">
        <v>175</v>
      </c>
      <c r="AB313" t="s">
        <v>175</v>
      </c>
      <c r="AC313" t="s">
        <v>175</v>
      </c>
      <c r="AD313" t="s">
        <v>175</v>
      </c>
      <c r="AE313" t="s">
        <v>175</v>
      </c>
      <c r="AF313" t="s">
        <v>175</v>
      </c>
      <c r="AG313" s="878">
        <v>44208</v>
      </c>
      <c r="AH313" s="873">
        <f t="shared" si="4"/>
        <v>44197</v>
      </c>
    </row>
    <row r="314" spans="1:34">
      <c r="A314">
        <v>1</v>
      </c>
      <c r="B314">
        <v>5160</v>
      </c>
      <c r="C314" t="s">
        <v>217</v>
      </c>
      <c r="D314">
        <v>109</v>
      </c>
      <c r="E314">
        <v>197285878.536484</v>
      </c>
      <c r="F314">
        <v>0</v>
      </c>
      <c r="G314">
        <v>0</v>
      </c>
      <c r="H314">
        <v>0</v>
      </c>
      <c r="I314" s="878">
        <v>44043</v>
      </c>
      <c r="J314">
        <v>1</v>
      </c>
      <c r="K314" t="s">
        <v>218</v>
      </c>
      <c r="L314">
        <v>5160</v>
      </c>
      <c r="M314">
        <v>6.1457963843862998E-2</v>
      </c>
      <c r="N314">
        <v>0.586942418327148</v>
      </c>
      <c r="O314">
        <v>0.30883028309972299</v>
      </c>
      <c r="P314">
        <v>4.2769334729266403E-2</v>
      </c>
      <c r="Q314">
        <v>4.3017387675978798E-2</v>
      </c>
      <c r="R314">
        <v>0</v>
      </c>
      <c r="S314">
        <v>-4.5054317956955197E-3</v>
      </c>
      <c r="T314">
        <v>-8.0523971699586906E-3</v>
      </c>
      <c r="U314">
        <v>1.51009166094422E-3</v>
      </c>
      <c r="V314">
        <v>1.9625949047761999E-3</v>
      </c>
      <c r="W314">
        <v>2.7525718567817999E-2</v>
      </c>
      <c r="X314">
        <v>0</v>
      </c>
      <c r="Y314">
        <v>1.01216601599324</v>
      </c>
      <c r="Z314">
        <v>0</v>
      </c>
      <c r="AA314">
        <v>-1.58838385354606E-2</v>
      </c>
      <c r="AB314">
        <v>7.2662893190041197E-2</v>
      </c>
      <c r="AC314">
        <v>2.1062608184759399E-2</v>
      </c>
      <c r="AD314">
        <v>-0.47938056333064</v>
      </c>
      <c r="AE314">
        <v>-2.3684697174794898E-2</v>
      </c>
      <c r="AF314">
        <v>0</v>
      </c>
      <c r="AG314" s="878">
        <v>44043</v>
      </c>
      <c r="AH314" s="873">
        <f t="shared" si="4"/>
        <v>44013</v>
      </c>
    </row>
    <row r="315" spans="1:34">
      <c r="A315">
        <v>2</v>
      </c>
      <c r="B315">
        <v>5160</v>
      </c>
      <c r="C315" t="s">
        <v>217</v>
      </c>
      <c r="D315">
        <v>109</v>
      </c>
      <c r="E315">
        <v>32551032.379999999</v>
      </c>
      <c r="F315">
        <v>0</v>
      </c>
      <c r="G315" t="s">
        <v>175</v>
      </c>
      <c r="H315" t="s">
        <v>175</v>
      </c>
      <c r="I315" s="878">
        <v>44055</v>
      </c>
      <c r="J315">
        <v>2</v>
      </c>
      <c r="K315" t="s">
        <v>218</v>
      </c>
      <c r="L315">
        <v>5160</v>
      </c>
      <c r="M315">
        <v>0.44102704764811201</v>
      </c>
      <c r="N315" t="s">
        <v>175</v>
      </c>
      <c r="O315">
        <v>5.9299137452033801E-2</v>
      </c>
      <c r="P315">
        <v>0.49967381489985502</v>
      </c>
      <c r="Q315">
        <v>0.318521338059023</v>
      </c>
      <c r="R315">
        <v>0</v>
      </c>
      <c r="S315">
        <v>-2.5111559300771899E-2</v>
      </c>
      <c r="T315">
        <v>-6.8057087833621993E-2</v>
      </c>
      <c r="U315">
        <v>8.1566826167534193E-3</v>
      </c>
      <c r="V315">
        <v>3.5271727682020602E-2</v>
      </c>
      <c r="W315">
        <v>0.172245946424709</v>
      </c>
      <c r="X315">
        <v>0</v>
      </c>
      <c r="Y315" t="s">
        <v>175</v>
      </c>
      <c r="Z315" t="s">
        <v>175</v>
      </c>
      <c r="AA315" t="s">
        <v>175</v>
      </c>
      <c r="AB315" t="s">
        <v>175</v>
      </c>
      <c r="AC315" t="s">
        <v>175</v>
      </c>
      <c r="AD315" t="s">
        <v>175</v>
      </c>
      <c r="AE315" t="s">
        <v>175</v>
      </c>
      <c r="AF315" t="s">
        <v>175</v>
      </c>
      <c r="AG315" s="878">
        <v>44055</v>
      </c>
      <c r="AH315" s="873">
        <f t="shared" si="4"/>
        <v>44044</v>
      </c>
    </row>
    <row r="316" spans="1:34">
      <c r="A316">
        <v>3</v>
      </c>
      <c r="B316">
        <v>5160</v>
      </c>
      <c r="C316" t="s">
        <v>217</v>
      </c>
      <c r="D316">
        <v>109</v>
      </c>
      <c r="E316">
        <v>49121818.920000002</v>
      </c>
      <c r="F316">
        <v>0</v>
      </c>
      <c r="G316" t="s">
        <v>175</v>
      </c>
      <c r="H316" t="s">
        <v>175</v>
      </c>
      <c r="I316" s="878">
        <v>44088</v>
      </c>
      <c r="J316">
        <v>3</v>
      </c>
      <c r="K316" t="s">
        <v>218</v>
      </c>
      <c r="L316">
        <v>5160</v>
      </c>
      <c r="M316">
        <v>0.65288242640094496</v>
      </c>
      <c r="N316" t="s">
        <v>175</v>
      </c>
      <c r="O316">
        <v>8.51452336705599E-2</v>
      </c>
      <c r="P316">
        <v>0.261972339928496</v>
      </c>
      <c r="Q316">
        <v>0.36479758317426902</v>
      </c>
      <c r="R316">
        <v>0</v>
      </c>
      <c r="S316">
        <v>-2.0845396515090101E-2</v>
      </c>
      <c r="T316">
        <v>0.181937864373238</v>
      </c>
      <c r="U316">
        <v>1.8563656885716599E-2</v>
      </c>
      <c r="V316">
        <v>-2.6412688254258101E-2</v>
      </c>
      <c r="W316">
        <v>0.13484140673706899</v>
      </c>
      <c r="X316">
        <v>0</v>
      </c>
      <c r="Y316" t="s">
        <v>175</v>
      </c>
      <c r="Z316" t="s">
        <v>175</v>
      </c>
      <c r="AA316" t="s">
        <v>175</v>
      </c>
      <c r="AB316" t="s">
        <v>175</v>
      </c>
      <c r="AC316" t="s">
        <v>175</v>
      </c>
      <c r="AD316" t="s">
        <v>175</v>
      </c>
      <c r="AE316" t="s">
        <v>175</v>
      </c>
      <c r="AF316" t="s">
        <v>175</v>
      </c>
      <c r="AG316" s="878">
        <v>44088</v>
      </c>
      <c r="AH316" s="873">
        <f t="shared" si="4"/>
        <v>44075</v>
      </c>
    </row>
    <row r="317" spans="1:34">
      <c r="A317">
        <v>4</v>
      </c>
      <c r="B317">
        <v>5160</v>
      </c>
      <c r="C317" t="s">
        <v>217</v>
      </c>
      <c r="D317">
        <v>109</v>
      </c>
      <c r="E317">
        <v>49899569.810000002</v>
      </c>
      <c r="F317">
        <v>0</v>
      </c>
      <c r="G317" t="s">
        <v>175</v>
      </c>
      <c r="H317" t="s">
        <v>175</v>
      </c>
      <c r="I317" s="878">
        <v>44117</v>
      </c>
      <c r="J317">
        <v>4</v>
      </c>
      <c r="K317" t="s">
        <v>218</v>
      </c>
      <c r="L317">
        <v>5160</v>
      </c>
      <c r="M317">
        <v>0.65562092983706899</v>
      </c>
      <c r="N317">
        <v>0</v>
      </c>
      <c r="O317">
        <v>0.29560724899741803</v>
      </c>
      <c r="P317">
        <v>4.8771821165513103E-2</v>
      </c>
      <c r="Q317">
        <v>0.47313353981787798</v>
      </c>
      <c r="R317">
        <v>0</v>
      </c>
      <c r="S317">
        <v>-1.2262799827736599E-2</v>
      </c>
      <c r="T317">
        <v>5.2304721589813002E-2</v>
      </c>
      <c r="U317">
        <v>1.40421621577931E-2</v>
      </c>
      <c r="V317">
        <v>1.1306472488902101E-2</v>
      </c>
      <c r="W317">
        <v>0.11709683361042</v>
      </c>
      <c r="X317">
        <v>0</v>
      </c>
      <c r="Y317" t="s">
        <v>175</v>
      </c>
      <c r="Z317" t="s">
        <v>175</v>
      </c>
      <c r="AA317" t="s">
        <v>175</v>
      </c>
      <c r="AB317" t="s">
        <v>175</v>
      </c>
      <c r="AC317" t="s">
        <v>175</v>
      </c>
      <c r="AD317" t="s">
        <v>175</v>
      </c>
      <c r="AE317" t="s">
        <v>175</v>
      </c>
      <c r="AF317" t="s">
        <v>175</v>
      </c>
      <c r="AG317" s="878">
        <v>44117</v>
      </c>
      <c r="AH317" s="873">
        <f t="shared" si="4"/>
        <v>44105</v>
      </c>
    </row>
    <row r="318" spans="1:34">
      <c r="A318">
        <v>5</v>
      </c>
      <c r="B318">
        <v>5160</v>
      </c>
      <c r="C318" t="s">
        <v>217</v>
      </c>
      <c r="D318">
        <v>109</v>
      </c>
      <c r="E318">
        <v>4459160.6357284002</v>
      </c>
      <c r="F318">
        <v>0</v>
      </c>
      <c r="G318" t="s">
        <v>175</v>
      </c>
      <c r="H318" t="s">
        <v>175</v>
      </c>
      <c r="I318" s="878">
        <v>44147</v>
      </c>
      <c r="J318">
        <v>5</v>
      </c>
      <c r="K318" t="s">
        <v>218</v>
      </c>
      <c r="L318">
        <v>5160</v>
      </c>
      <c r="M318">
        <v>0.91021166952659405</v>
      </c>
      <c r="N318">
        <v>0</v>
      </c>
      <c r="O318">
        <v>7.5775113736840205E-2</v>
      </c>
      <c r="P318">
        <v>1.40132167365655E-2</v>
      </c>
      <c r="Q318">
        <v>0.30459056083513603</v>
      </c>
      <c r="R318">
        <v>0</v>
      </c>
      <c r="S318">
        <v>0</v>
      </c>
      <c r="T318">
        <v>0.49781448455976302</v>
      </c>
      <c r="U318">
        <v>5.8597297682082602E-3</v>
      </c>
      <c r="V318">
        <v>0.101946894363486</v>
      </c>
      <c r="W318">
        <v>0</v>
      </c>
      <c r="X318">
        <v>0</v>
      </c>
      <c r="Y318" t="s">
        <v>175</v>
      </c>
      <c r="Z318" t="s">
        <v>175</v>
      </c>
      <c r="AA318" t="s">
        <v>175</v>
      </c>
      <c r="AB318" t="s">
        <v>175</v>
      </c>
      <c r="AC318" t="s">
        <v>175</v>
      </c>
      <c r="AD318" t="s">
        <v>175</v>
      </c>
      <c r="AE318" t="s">
        <v>175</v>
      </c>
      <c r="AF318" t="s">
        <v>175</v>
      </c>
      <c r="AG318" s="878">
        <v>44147</v>
      </c>
      <c r="AH318" s="873">
        <f t="shared" si="4"/>
        <v>44136</v>
      </c>
    </row>
    <row r="319" spans="1:34">
      <c r="A319">
        <v>6</v>
      </c>
      <c r="B319">
        <v>5160</v>
      </c>
      <c r="C319" t="s">
        <v>217</v>
      </c>
      <c r="D319">
        <v>109</v>
      </c>
      <c r="E319">
        <v>15616769.74622</v>
      </c>
      <c r="F319">
        <v>0</v>
      </c>
      <c r="G319" t="s">
        <v>175</v>
      </c>
      <c r="H319" t="s">
        <v>175</v>
      </c>
      <c r="I319" s="878">
        <v>44179</v>
      </c>
      <c r="J319">
        <v>6</v>
      </c>
      <c r="K319" t="s">
        <v>218</v>
      </c>
      <c r="L319">
        <v>5160</v>
      </c>
      <c r="M319">
        <v>0.642435407194482</v>
      </c>
      <c r="N319">
        <v>0</v>
      </c>
      <c r="O319">
        <v>0.19783458675306301</v>
      </c>
      <c r="P319">
        <v>0.15973000605245499</v>
      </c>
      <c r="Q319">
        <v>0.19901665844965799</v>
      </c>
      <c r="R319">
        <v>0</v>
      </c>
      <c r="S319">
        <v>-4.1743368740496598E-2</v>
      </c>
      <c r="T319">
        <v>0.56818432455550005</v>
      </c>
      <c r="U319">
        <v>0.126769102069058</v>
      </c>
      <c r="V319">
        <v>-0.20979130913923699</v>
      </c>
      <c r="W319">
        <v>0</v>
      </c>
      <c r="X319">
        <v>0</v>
      </c>
      <c r="Y319" t="s">
        <v>175</v>
      </c>
      <c r="Z319" t="s">
        <v>175</v>
      </c>
      <c r="AA319" t="s">
        <v>175</v>
      </c>
      <c r="AB319" t="s">
        <v>175</v>
      </c>
      <c r="AC319" t="s">
        <v>175</v>
      </c>
      <c r="AD319" t="s">
        <v>175</v>
      </c>
      <c r="AE319" t="s">
        <v>175</v>
      </c>
      <c r="AF319" t="s">
        <v>175</v>
      </c>
      <c r="AG319" s="878">
        <v>44179</v>
      </c>
      <c r="AH319" s="873">
        <f t="shared" si="4"/>
        <v>44166</v>
      </c>
    </row>
    <row r="320" spans="1:34">
      <c r="A320">
        <v>7</v>
      </c>
      <c r="B320">
        <v>5160</v>
      </c>
      <c r="C320" t="s">
        <v>217</v>
      </c>
      <c r="D320">
        <v>109</v>
      </c>
      <c r="E320">
        <v>0</v>
      </c>
      <c r="F320">
        <v>0</v>
      </c>
      <c r="G320" t="s">
        <v>175</v>
      </c>
      <c r="H320" t="s">
        <v>175</v>
      </c>
      <c r="I320" s="878">
        <v>44193</v>
      </c>
      <c r="J320">
        <v>7</v>
      </c>
      <c r="K320" t="s">
        <v>218</v>
      </c>
      <c r="L320">
        <v>5160</v>
      </c>
      <c r="M320">
        <v>0.96725533522742002</v>
      </c>
      <c r="N320">
        <v>0</v>
      </c>
      <c r="O320">
        <v>2.8588095206874001E-2</v>
      </c>
      <c r="P320">
        <v>4.1565695657058603E-3</v>
      </c>
      <c r="Q320">
        <v>0.82442456691515298</v>
      </c>
      <c r="R320">
        <v>0</v>
      </c>
      <c r="S320">
        <v>2.0673092891995901E-2</v>
      </c>
      <c r="T320">
        <v>6.3257266455596706E-2</v>
      </c>
      <c r="U320">
        <v>1.0611953437426901E-2</v>
      </c>
      <c r="V320">
        <v>4.8288455527247399E-2</v>
      </c>
      <c r="W320">
        <v>0</v>
      </c>
      <c r="X320">
        <v>0</v>
      </c>
      <c r="Y320" t="s">
        <v>175</v>
      </c>
      <c r="Z320" t="s">
        <v>175</v>
      </c>
      <c r="AA320" t="s">
        <v>175</v>
      </c>
      <c r="AB320" t="s">
        <v>175</v>
      </c>
      <c r="AC320" t="s">
        <v>175</v>
      </c>
      <c r="AD320" t="s">
        <v>175</v>
      </c>
      <c r="AE320" t="s">
        <v>175</v>
      </c>
      <c r="AF320" t="s">
        <v>175</v>
      </c>
      <c r="AG320" s="878">
        <v>44193</v>
      </c>
      <c r="AH320" s="873">
        <f t="shared" si="4"/>
        <v>44166</v>
      </c>
    </row>
    <row r="321" spans="1:34">
      <c r="A321">
        <v>8</v>
      </c>
      <c r="B321">
        <v>5160</v>
      </c>
      <c r="C321" t="s">
        <v>217</v>
      </c>
      <c r="D321">
        <v>109</v>
      </c>
      <c r="E321">
        <v>18807760.9715674</v>
      </c>
      <c r="F321">
        <v>0</v>
      </c>
      <c r="G321" t="s">
        <v>175</v>
      </c>
      <c r="H321" t="s">
        <v>175</v>
      </c>
      <c r="I321" s="878">
        <v>44208</v>
      </c>
      <c r="J321">
        <v>8</v>
      </c>
      <c r="K321" t="s">
        <v>218</v>
      </c>
      <c r="L321">
        <v>5160</v>
      </c>
      <c r="M321">
        <v>0.96725533522742002</v>
      </c>
      <c r="N321">
        <v>0</v>
      </c>
      <c r="O321">
        <v>2.8588095206874001E-2</v>
      </c>
      <c r="P321">
        <v>4.1565695657058603E-3</v>
      </c>
      <c r="Q321">
        <v>0.82442456691515298</v>
      </c>
      <c r="R321">
        <v>0</v>
      </c>
      <c r="S321">
        <v>2.0673092891995901E-2</v>
      </c>
      <c r="T321">
        <v>6.3257266455596706E-2</v>
      </c>
      <c r="U321">
        <v>1.0611953437426901E-2</v>
      </c>
      <c r="V321">
        <v>4.8288455527247399E-2</v>
      </c>
      <c r="W321">
        <v>0</v>
      </c>
      <c r="X321">
        <v>0</v>
      </c>
      <c r="Y321" t="s">
        <v>175</v>
      </c>
      <c r="Z321" t="s">
        <v>175</v>
      </c>
      <c r="AA321" t="s">
        <v>175</v>
      </c>
      <c r="AB321" t="s">
        <v>175</v>
      </c>
      <c r="AC321" t="s">
        <v>175</v>
      </c>
      <c r="AD321" t="s">
        <v>175</v>
      </c>
      <c r="AE321" t="s">
        <v>175</v>
      </c>
      <c r="AF321" t="s">
        <v>175</v>
      </c>
      <c r="AG321" s="878">
        <v>44208</v>
      </c>
      <c r="AH321" s="873">
        <f t="shared" si="4"/>
        <v>44197</v>
      </c>
    </row>
    <row r="322" spans="1:34">
      <c r="A322">
        <v>1</v>
      </c>
      <c r="B322">
        <v>5274</v>
      </c>
      <c r="C322" t="s">
        <v>219</v>
      </c>
      <c r="D322">
        <v>252</v>
      </c>
      <c r="E322" s="233">
        <v>0</v>
      </c>
      <c r="F322" s="233">
        <v>1693330</v>
      </c>
      <c r="G322" s="233">
        <f>F322</f>
        <v>1693330</v>
      </c>
      <c r="H322" s="233">
        <v>0</v>
      </c>
      <c r="I322" s="878">
        <v>44043</v>
      </c>
      <c r="J322" t="s">
        <v>175</v>
      </c>
      <c r="K322" t="s">
        <v>175</v>
      </c>
      <c r="L322" t="s">
        <v>175</v>
      </c>
      <c r="M322" t="s">
        <v>175</v>
      </c>
      <c r="N322" t="s">
        <v>175</v>
      </c>
      <c r="O322" t="s">
        <v>175</v>
      </c>
      <c r="P322" t="s">
        <v>175</v>
      </c>
      <c r="Q322" t="s">
        <v>175</v>
      </c>
      <c r="R322" t="s">
        <v>175</v>
      </c>
      <c r="S322" t="s">
        <v>175</v>
      </c>
      <c r="T322" t="s">
        <v>175</v>
      </c>
      <c r="U322" t="s">
        <v>175</v>
      </c>
      <c r="V322" t="s">
        <v>175</v>
      </c>
      <c r="W322" t="s">
        <v>175</v>
      </c>
      <c r="X322" t="s">
        <v>175</v>
      </c>
      <c r="Y322" t="s">
        <v>175</v>
      </c>
      <c r="Z322" t="s">
        <v>175</v>
      </c>
      <c r="AA322" t="s">
        <v>175</v>
      </c>
      <c r="AB322" t="s">
        <v>175</v>
      </c>
      <c r="AC322" t="s">
        <v>175</v>
      </c>
      <c r="AD322" t="s">
        <v>175</v>
      </c>
      <c r="AE322" t="s">
        <v>175</v>
      </c>
      <c r="AF322" t="s">
        <v>175</v>
      </c>
      <c r="AG322" t="s">
        <v>175</v>
      </c>
      <c r="AH322" s="873">
        <f t="shared" si="4"/>
        <v>44013</v>
      </c>
    </row>
    <row r="323" spans="1:34">
      <c r="A323">
        <v>2</v>
      </c>
      <c r="B323">
        <v>5274</v>
      </c>
      <c r="C323" t="s">
        <v>219</v>
      </c>
      <c r="D323">
        <v>252</v>
      </c>
      <c r="E323" s="233">
        <v>0</v>
      </c>
      <c r="F323" s="233">
        <v>679199</v>
      </c>
      <c r="G323" s="233">
        <f>F323</f>
        <v>679199</v>
      </c>
      <c r="H323" s="233" t="s">
        <v>175</v>
      </c>
      <c r="I323" s="878">
        <v>44055</v>
      </c>
      <c r="J323" t="s">
        <v>175</v>
      </c>
      <c r="K323" t="s">
        <v>175</v>
      </c>
      <c r="L323" t="s">
        <v>175</v>
      </c>
      <c r="M323" t="s">
        <v>175</v>
      </c>
      <c r="N323" t="s">
        <v>175</v>
      </c>
      <c r="O323" t="s">
        <v>175</v>
      </c>
      <c r="P323" t="s">
        <v>175</v>
      </c>
      <c r="Q323" t="s">
        <v>175</v>
      </c>
      <c r="R323" t="s">
        <v>175</v>
      </c>
      <c r="S323" t="s">
        <v>175</v>
      </c>
      <c r="T323" t="s">
        <v>175</v>
      </c>
      <c r="U323" t="s">
        <v>175</v>
      </c>
      <c r="V323" t="s">
        <v>175</v>
      </c>
      <c r="W323" t="s">
        <v>175</v>
      </c>
      <c r="X323" t="s">
        <v>175</v>
      </c>
      <c r="Y323" t="s">
        <v>175</v>
      </c>
      <c r="Z323" t="s">
        <v>175</v>
      </c>
      <c r="AA323" t="s">
        <v>175</v>
      </c>
      <c r="AB323" t="s">
        <v>175</v>
      </c>
      <c r="AC323" t="s">
        <v>175</v>
      </c>
      <c r="AD323" t="s">
        <v>175</v>
      </c>
      <c r="AE323" t="s">
        <v>175</v>
      </c>
      <c r="AF323" t="s">
        <v>175</v>
      </c>
      <c r="AG323" t="s">
        <v>175</v>
      </c>
      <c r="AH323" s="873">
        <f t="shared" ref="AH323:AH386" si="5">DATE(YEAR(I323),MONTH(I323),1)</f>
        <v>44044</v>
      </c>
    </row>
    <row r="324" spans="1:34">
      <c r="A324">
        <v>3</v>
      </c>
      <c r="B324">
        <v>5274</v>
      </c>
      <c r="C324" t="s">
        <v>219</v>
      </c>
      <c r="D324">
        <v>252</v>
      </c>
      <c r="E324" s="233">
        <v>0</v>
      </c>
      <c r="F324" s="233">
        <v>0</v>
      </c>
      <c r="G324" s="233" t="s">
        <v>175</v>
      </c>
      <c r="H324" s="233" t="s">
        <v>175</v>
      </c>
      <c r="I324" s="878">
        <v>44088</v>
      </c>
      <c r="J324" t="s">
        <v>175</v>
      </c>
      <c r="K324" t="s">
        <v>175</v>
      </c>
      <c r="L324" t="s">
        <v>175</v>
      </c>
      <c r="M324" t="s">
        <v>175</v>
      </c>
      <c r="N324" t="s">
        <v>175</v>
      </c>
      <c r="O324" t="s">
        <v>175</v>
      </c>
      <c r="P324" t="s">
        <v>175</v>
      </c>
      <c r="Q324" t="s">
        <v>175</v>
      </c>
      <c r="R324" t="s">
        <v>175</v>
      </c>
      <c r="S324" t="s">
        <v>175</v>
      </c>
      <c r="T324" t="s">
        <v>175</v>
      </c>
      <c r="U324" t="s">
        <v>175</v>
      </c>
      <c r="V324" t="s">
        <v>175</v>
      </c>
      <c r="W324" t="s">
        <v>175</v>
      </c>
      <c r="X324" t="s">
        <v>175</v>
      </c>
      <c r="Y324" t="s">
        <v>175</v>
      </c>
      <c r="Z324" t="s">
        <v>175</v>
      </c>
      <c r="AA324" t="s">
        <v>175</v>
      </c>
      <c r="AB324" t="s">
        <v>175</v>
      </c>
      <c r="AC324" t="s">
        <v>175</v>
      </c>
      <c r="AD324" t="s">
        <v>175</v>
      </c>
      <c r="AE324" t="s">
        <v>175</v>
      </c>
      <c r="AF324" t="s">
        <v>175</v>
      </c>
      <c r="AG324" t="s">
        <v>175</v>
      </c>
      <c r="AH324" s="873">
        <f t="shared" si="5"/>
        <v>44075</v>
      </c>
    </row>
    <row r="325" spans="1:34">
      <c r="A325">
        <v>4</v>
      </c>
      <c r="B325">
        <v>5274</v>
      </c>
      <c r="C325" t="s">
        <v>219</v>
      </c>
      <c r="D325">
        <v>252</v>
      </c>
      <c r="E325" s="233">
        <v>0</v>
      </c>
      <c r="F325" s="233">
        <v>0</v>
      </c>
      <c r="G325" s="233" t="s">
        <v>175</v>
      </c>
      <c r="H325" s="233" t="s">
        <v>175</v>
      </c>
      <c r="I325" s="878">
        <v>44117</v>
      </c>
      <c r="J325" t="s">
        <v>175</v>
      </c>
      <c r="K325" t="s">
        <v>175</v>
      </c>
      <c r="L325" t="s">
        <v>175</v>
      </c>
      <c r="M325" t="s">
        <v>175</v>
      </c>
      <c r="N325" t="s">
        <v>175</v>
      </c>
      <c r="O325" t="s">
        <v>175</v>
      </c>
      <c r="P325" t="s">
        <v>175</v>
      </c>
      <c r="Q325" t="s">
        <v>175</v>
      </c>
      <c r="R325" t="s">
        <v>175</v>
      </c>
      <c r="S325" t="s">
        <v>175</v>
      </c>
      <c r="T325" t="s">
        <v>175</v>
      </c>
      <c r="U325" t="s">
        <v>175</v>
      </c>
      <c r="V325" t="s">
        <v>175</v>
      </c>
      <c r="W325" t="s">
        <v>175</v>
      </c>
      <c r="X325" t="s">
        <v>175</v>
      </c>
      <c r="Y325" t="s">
        <v>175</v>
      </c>
      <c r="Z325" t="s">
        <v>175</v>
      </c>
      <c r="AA325" t="s">
        <v>175</v>
      </c>
      <c r="AB325" t="s">
        <v>175</v>
      </c>
      <c r="AC325" t="s">
        <v>175</v>
      </c>
      <c r="AD325" t="s">
        <v>175</v>
      </c>
      <c r="AE325" t="s">
        <v>175</v>
      </c>
      <c r="AF325" t="s">
        <v>175</v>
      </c>
      <c r="AG325" t="s">
        <v>175</v>
      </c>
      <c r="AH325" s="873">
        <f t="shared" si="5"/>
        <v>44105</v>
      </c>
    </row>
    <row r="326" spans="1:34">
      <c r="A326">
        <v>5</v>
      </c>
      <c r="B326">
        <v>5274</v>
      </c>
      <c r="C326" t="s">
        <v>219</v>
      </c>
      <c r="D326">
        <v>252</v>
      </c>
      <c r="E326" s="233">
        <v>0</v>
      </c>
      <c r="F326" s="233">
        <v>0</v>
      </c>
      <c r="G326" s="233" t="s">
        <v>175</v>
      </c>
      <c r="H326" s="233" t="s">
        <v>175</v>
      </c>
      <c r="I326" s="878">
        <v>44147</v>
      </c>
      <c r="J326" t="s">
        <v>175</v>
      </c>
      <c r="K326" t="s">
        <v>175</v>
      </c>
      <c r="L326" t="s">
        <v>175</v>
      </c>
      <c r="M326" t="s">
        <v>175</v>
      </c>
      <c r="N326" t="s">
        <v>175</v>
      </c>
      <c r="O326" t="s">
        <v>175</v>
      </c>
      <c r="P326" t="s">
        <v>175</v>
      </c>
      <c r="Q326" t="s">
        <v>175</v>
      </c>
      <c r="R326" t="s">
        <v>175</v>
      </c>
      <c r="S326" t="s">
        <v>175</v>
      </c>
      <c r="T326" t="s">
        <v>175</v>
      </c>
      <c r="U326" t="s">
        <v>175</v>
      </c>
      <c r="V326" t="s">
        <v>175</v>
      </c>
      <c r="W326" t="s">
        <v>175</v>
      </c>
      <c r="X326" t="s">
        <v>175</v>
      </c>
      <c r="Y326" t="s">
        <v>175</v>
      </c>
      <c r="Z326" t="s">
        <v>175</v>
      </c>
      <c r="AA326" t="s">
        <v>175</v>
      </c>
      <c r="AB326" t="s">
        <v>175</v>
      </c>
      <c r="AC326" t="s">
        <v>175</v>
      </c>
      <c r="AD326" t="s">
        <v>175</v>
      </c>
      <c r="AE326" t="s">
        <v>175</v>
      </c>
      <c r="AF326" t="s">
        <v>175</v>
      </c>
      <c r="AG326" t="s">
        <v>175</v>
      </c>
      <c r="AH326" s="873">
        <f t="shared" si="5"/>
        <v>44136</v>
      </c>
    </row>
    <row r="327" spans="1:34">
      <c r="A327">
        <v>6</v>
      </c>
      <c r="B327">
        <v>5274</v>
      </c>
      <c r="C327" t="s">
        <v>219</v>
      </c>
      <c r="D327">
        <v>252</v>
      </c>
      <c r="E327" s="233">
        <v>0</v>
      </c>
      <c r="F327" s="233">
        <v>0</v>
      </c>
      <c r="G327" s="233" t="s">
        <v>175</v>
      </c>
      <c r="H327" s="233" t="s">
        <v>175</v>
      </c>
      <c r="I327" s="878">
        <v>44179</v>
      </c>
      <c r="J327" t="s">
        <v>175</v>
      </c>
      <c r="K327" t="s">
        <v>175</v>
      </c>
      <c r="L327" t="s">
        <v>175</v>
      </c>
      <c r="M327" t="s">
        <v>175</v>
      </c>
      <c r="N327" t="s">
        <v>175</v>
      </c>
      <c r="O327" t="s">
        <v>175</v>
      </c>
      <c r="P327" t="s">
        <v>175</v>
      </c>
      <c r="Q327" t="s">
        <v>175</v>
      </c>
      <c r="R327" t="s">
        <v>175</v>
      </c>
      <c r="S327" t="s">
        <v>175</v>
      </c>
      <c r="T327" t="s">
        <v>175</v>
      </c>
      <c r="U327" t="s">
        <v>175</v>
      </c>
      <c r="V327" t="s">
        <v>175</v>
      </c>
      <c r="W327" t="s">
        <v>175</v>
      </c>
      <c r="X327" t="s">
        <v>175</v>
      </c>
      <c r="Y327" t="s">
        <v>175</v>
      </c>
      <c r="Z327" t="s">
        <v>175</v>
      </c>
      <c r="AA327" t="s">
        <v>175</v>
      </c>
      <c r="AB327" t="s">
        <v>175</v>
      </c>
      <c r="AC327" t="s">
        <v>175</v>
      </c>
      <c r="AD327" t="s">
        <v>175</v>
      </c>
      <c r="AE327" t="s">
        <v>175</v>
      </c>
      <c r="AF327" t="s">
        <v>175</v>
      </c>
      <c r="AG327" t="s">
        <v>175</v>
      </c>
      <c r="AH327" s="873">
        <f t="shared" si="5"/>
        <v>44166</v>
      </c>
    </row>
    <row r="328" spans="1:34">
      <c r="A328">
        <v>7</v>
      </c>
      <c r="B328">
        <v>5274</v>
      </c>
      <c r="C328" t="s">
        <v>219</v>
      </c>
      <c r="D328">
        <v>252</v>
      </c>
      <c r="E328" s="233">
        <v>0</v>
      </c>
      <c r="F328" s="233">
        <v>0</v>
      </c>
      <c r="G328" s="233" t="s">
        <v>175</v>
      </c>
      <c r="H328" s="233" t="s">
        <v>175</v>
      </c>
      <c r="I328" s="878">
        <v>44193</v>
      </c>
      <c r="J328" t="s">
        <v>175</v>
      </c>
      <c r="K328" t="s">
        <v>175</v>
      </c>
      <c r="L328" t="s">
        <v>175</v>
      </c>
      <c r="M328" t="s">
        <v>175</v>
      </c>
      <c r="N328" t="s">
        <v>175</v>
      </c>
      <c r="O328" t="s">
        <v>175</v>
      </c>
      <c r="P328" t="s">
        <v>175</v>
      </c>
      <c r="Q328" t="s">
        <v>175</v>
      </c>
      <c r="R328" t="s">
        <v>175</v>
      </c>
      <c r="S328" t="s">
        <v>175</v>
      </c>
      <c r="T328" t="s">
        <v>175</v>
      </c>
      <c r="U328" t="s">
        <v>175</v>
      </c>
      <c r="V328" t="s">
        <v>175</v>
      </c>
      <c r="W328" t="s">
        <v>175</v>
      </c>
      <c r="X328" t="s">
        <v>175</v>
      </c>
      <c r="Y328" t="s">
        <v>175</v>
      </c>
      <c r="Z328" t="s">
        <v>175</v>
      </c>
      <c r="AA328" t="s">
        <v>175</v>
      </c>
      <c r="AB328" t="s">
        <v>175</v>
      </c>
      <c r="AC328" t="s">
        <v>175</v>
      </c>
      <c r="AD328" t="s">
        <v>175</v>
      </c>
      <c r="AE328" t="s">
        <v>175</v>
      </c>
      <c r="AF328" t="s">
        <v>175</v>
      </c>
      <c r="AG328" t="s">
        <v>175</v>
      </c>
      <c r="AH328" s="873">
        <f t="shared" si="5"/>
        <v>44166</v>
      </c>
    </row>
    <row r="329" spans="1:34">
      <c r="A329">
        <v>8</v>
      </c>
      <c r="B329">
        <v>5274</v>
      </c>
      <c r="C329" t="s">
        <v>219</v>
      </c>
      <c r="D329">
        <v>252</v>
      </c>
      <c r="E329" s="233">
        <v>0</v>
      </c>
      <c r="F329" s="233">
        <v>0</v>
      </c>
      <c r="G329" s="233" t="s">
        <v>175</v>
      </c>
      <c r="H329" s="233" t="s">
        <v>175</v>
      </c>
      <c r="I329" s="878">
        <v>44208</v>
      </c>
      <c r="J329" t="s">
        <v>175</v>
      </c>
      <c r="K329" t="s">
        <v>175</v>
      </c>
      <c r="L329" t="s">
        <v>175</v>
      </c>
      <c r="M329" t="s">
        <v>175</v>
      </c>
      <c r="N329" t="s">
        <v>175</v>
      </c>
      <c r="O329" t="s">
        <v>175</v>
      </c>
      <c r="P329" t="s">
        <v>175</v>
      </c>
      <c r="Q329" t="s">
        <v>175</v>
      </c>
      <c r="R329" t="s">
        <v>175</v>
      </c>
      <c r="S329" t="s">
        <v>175</v>
      </c>
      <c r="T329" t="s">
        <v>175</v>
      </c>
      <c r="U329" t="s">
        <v>175</v>
      </c>
      <c r="V329" t="s">
        <v>175</v>
      </c>
      <c r="W329" t="s">
        <v>175</v>
      </c>
      <c r="X329" t="s">
        <v>175</v>
      </c>
      <c r="Y329" t="s">
        <v>175</v>
      </c>
      <c r="Z329" t="s">
        <v>175</v>
      </c>
      <c r="AA329" t="s">
        <v>175</v>
      </c>
      <c r="AB329" t="s">
        <v>175</v>
      </c>
      <c r="AC329" t="s">
        <v>175</v>
      </c>
      <c r="AD329" t="s">
        <v>175</v>
      </c>
      <c r="AE329" t="s">
        <v>175</v>
      </c>
      <c r="AF329" t="s">
        <v>175</v>
      </c>
      <c r="AG329" t="s">
        <v>175</v>
      </c>
      <c r="AH329" s="873">
        <f t="shared" si="5"/>
        <v>44197</v>
      </c>
    </row>
    <row r="330" spans="1:34">
      <c r="A330">
        <v>1</v>
      </c>
      <c r="B330">
        <v>5279</v>
      </c>
      <c r="C330" t="s">
        <v>220</v>
      </c>
      <c r="D330">
        <v>255</v>
      </c>
      <c r="E330" s="233">
        <v>0</v>
      </c>
      <c r="F330" s="233">
        <v>789234.83</v>
      </c>
      <c r="G330" s="233">
        <f>F330</f>
        <v>789234.83</v>
      </c>
      <c r="H330" s="233">
        <v>0</v>
      </c>
      <c r="I330" s="878">
        <v>44043</v>
      </c>
      <c r="J330" t="s">
        <v>175</v>
      </c>
      <c r="K330" t="s">
        <v>175</v>
      </c>
      <c r="L330" t="s">
        <v>175</v>
      </c>
      <c r="M330" t="s">
        <v>175</v>
      </c>
      <c r="N330" t="s">
        <v>175</v>
      </c>
      <c r="O330" t="s">
        <v>175</v>
      </c>
      <c r="P330" t="s">
        <v>175</v>
      </c>
      <c r="Q330" t="s">
        <v>175</v>
      </c>
      <c r="R330" t="s">
        <v>175</v>
      </c>
      <c r="S330" t="s">
        <v>175</v>
      </c>
      <c r="T330" t="s">
        <v>175</v>
      </c>
      <c r="U330" t="s">
        <v>175</v>
      </c>
      <c r="V330" t="s">
        <v>175</v>
      </c>
      <c r="W330" t="s">
        <v>175</v>
      </c>
      <c r="X330" t="s">
        <v>175</v>
      </c>
      <c r="Y330" t="s">
        <v>175</v>
      </c>
      <c r="Z330" t="s">
        <v>175</v>
      </c>
      <c r="AA330" t="s">
        <v>175</v>
      </c>
      <c r="AB330" t="s">
        <v>175</v>
      </c>
      <c r="AC330" t="s">
        <v>175</v>
      </c>
      <c r="AD330" t="s">
        <v>175</v>
      </c>
      <c r="AE330" t="s">
        <v>175</v>
      </c>
      <c r="AF330" t="s">
        <v>175</v>
      </c>
      <c r="AG330" t="s">
        <v>175</v>
      </c>
      <c r="AH330" s="873">
        <f t="shared" si="5"/>
        <v>44013</v>
      </c>
    </row>
    <row r="331" spans="1:34">
      <c r="A331">
        <v>2</v>
      </c>
      <c r="B331">
        <v>5279</v>
      </c>
      <c r="C331" t="s">
        <v>220</v>
      </c>
      <c r="D331">
        <v>255</v>
      </c>
      <c r="E331" s="233">
        <v>0</v>
      </c>
      <c r="F331" s="233">
        <v>540510.48</v>
      </c>
      <c r="G331" s="233">
        <f t="shared" ref="G331:G333" si="6">F331</f>
        <v>540510.48</v>
      </c>
      <c r="H331" s="233" t="s">
        <v>175</v>
      </c>
      <c r="I331" s="878">
        <v>44055</v>
      </c>
      <c r="J331" t="s">
        <v>175</v>
      </c>
      <c r="K331" t="s">
        <v>175</v>
      </c>
      <c r="L331" t="s">
        <v>175</v>
      </c>
      <c r="M331" t="s">
        <v>175</v>
      </c>
      <c r="N331" t="s">
        <v>175</v>
      </c>
      <c r="O331" t="s">
        <v>175</v>
      </c>
      <c r="P331" t="s">
        <v>175</v>
      </c>
      <c r="Q331" t="s">
        <v>175</v>
      </c>
      <c r="R331" t="s">
        <v>175</v>
      </c>
      <c r="S331" t="s">
        <v>175</v>
      </c>
      <c r="T331" t="s">
        <v>175</v>
      </c>
      <c r="U331" t="s">
        <v>175</v>
      </c>
      <c r="V331" t="s">
        <v>175</v>
      </c>
      <c r="W331" t="s">
        <v>175</v>
      </c>
      <c r="X331" t="s">
        <v>175</v>
      </c>
      <c r="Y331" t="s">
        <v>175</v>
      </c>
      <c r="Z331" t="s">
        <v>175</v>
      </c>
      <c r="AA331" t="s">
        <v>175</v>
      </c>
      <c r="AB331" t="s">
        <v>175</v>
      </c>
      <c r="AC331" t="s">
        <v>175</v>
      </c>
      <c r="AD331" t="s">
        <v>175</v>
      </c>
      <c r="AE331" t="s">
        <v>175</v>
      </c>
      <c r="AF331" t="s">
        <v>175</v>
      </c>
      <c r="AG331" t="s">
        <v>175</v>
      </c>
      <c r="AH331" s="873">
        <f t="shared" si="5"/>
        <v>44044</v>
      </c>
    </row>
    <row r="332" spans="1:34">
      <c r="A332">
        <v>3</v>
      </c>
      <c r="B332">
        <v>5279</v>
      </c>
      <c r="C332" t="s">
        <v>220</v>
      </c>
      <c r="D332">
        <v>255</v>
      </c>
      <c r="E332" s="233">
        <v>0</v>
      </c>
      <c r="F332" s="233">
        <v>540510.48</v>
      </c>
      <c r="G332" s="233">
        <f t="shared" si="6"/>
        <v>540510.48</v>
      </c>
      <c r="H332" s="233" t="s">
        <v>175</v>
      </c>
      <c r="I332" s="878">
        <v>44088</v>
      </c>
      <c r="J332" t="s">
        <v>175</v>
      </c>
      <c r="K332" t="s">
        <v>175</v>
      </c>
      <c r="L332" t="s">
        <v>175</v>
      </c>
      <c r="M332" t="s">
        <v>175</v>
      </c>
      <c r="N332" t="s">
        <v>175</v>
      </c>
      <c r="O332" t="s">
        <v>175</v>
      </c>
      <c r="P332" t="s">
        <v>175</v>
      </c>
      <c r="Q332" t="s">
        <v>175</v>
      </c>
      <c r="R332" t="s">
        <v>175</v>
      </c>
      <c r="S332" t="s">
        <v>175</v>
      </c>
      <c r="T332" t="s">
        <v>175</v>
      </c>
      <c r="U332" t="s">
        <v>175</v>
      </c>
      <c r="V332" t="s">
        <v>175</v>
      </c>
      <c r="W332" t="s">
        <v>175</v>
      </c>
      <c r="X332" t="s">
        <v>175</v>
      </c>
      <c r="Y332" t="s">
        <v>175</v>
      </c>
      <c r="Z332" t="s">
        <v>175</v>
      </c>
      <c r="AA332" t="s">
        <v>175</v>
      </c>
      <c r="AB332" t="s">
        <v>175</v>
      </c>
      <c r="AC332" t="s">
        <v>175</v>
      </c>
      <c r="AD332" t="s">
        <v>175</v>
      </c>
      <c r="AE332" t="s">
        <v>175</v>
      </c>
      <c r="AF332" t="s">
        <v>175</v>
      </c>
      <c r="AG332" t="s">
        <v>175</v>
      </c>
      <c r="AH332" s="873">
        <f t="shared" si="5"/>
        <v>44075</v>
      </c>
    </row>
    <row r="333" spans="1:34">
      <c r="A333">
        <v>4</v>
      </c>
      <c r="B333">
        <v>5279</v>
      </c>
      <c r="C333" t="s">
        <v>220</v>
      </c>
      <c r="D333">
        <v>255</v>
      </c>
      <c r="E333" s="233">
        <v>0</v>
      </c>
      <c r="F333" s="233">
        <v>540510.48</v>
      </c>
      <c r="G333" s="233">
        <f t="shared" si="6"/>
        <v>540510.48</v>
      </c>
      <c r="H333" s="233" t="s">
        <v>175</v>
      </c>
      <c r="I333" s="878">
        <v>44117</v>
      </c>
      <c r="J333" t="s">
        <v>175</v>
      </c>
      <c r="K333" t="s">
        <v>175</v>
      </c>
      <c r="L333" t="s">
        <v>175</v>
      </c>
      <c r="M333" t="s">
        <v>175</v>
      </c>
      <c r="N333" t="s">
        <v>175</v>
      </c>
      <c r="O333" t="s">
        <v>175</v>
      </c>
      <c r="P333" t="s">
        <v>175</v>
      </c>
      <c r="Q333" t="s">
        <v>175</v>
      </c>
      <c r="R333" t="s">
        <v>175</v>
      </c>
      <c r="S333" t="s">
        <v>175</v>
      </c>
      <c r="T333" t="s">
        <v>175</v>
      </c>
      <c r="U333" t="s">
        <v>175</v>
      </c>
      <c r="V333" t="s">
        <v>175</v>
      </c>
      <c r="W333" t="s">
        <v>175</v>
      </c>
      <c r="X333" t="s">
        <v>175</v>
      </c>
      <c r="Y333" t="s">
        <v>175</v>
      </c>
      <c r="Z333" t="s">
        <v>175</v>
      </c>
      <c r="AA333" t="s">
        <v>175</v>
      </c>
      <c r="AB333" t="s">
        <v>175</v>
      </c>
      <c r="AC333" t="s">
        <v>175</v>
      </c>
      <c r="AD333" t="s">
        <v>175</v>
      </c>
      <c r="AE333" t="s">
        <v>175</v>
      </c>
      <c r="AF333" t="s">
        <v>175</v>
      </c>
      <c r="AG333" t="s">
        <v>175</v>
      </c>
      <c r="AH333" s="873">
        <f t="shared" si="5"/>
        <v>44105</v>
      </c>
    </row>
    <row r="334" spans="1:34">
      <c r="A334">
        <v>5</v>
      </c>
      <c r="B334">
        <v>5279</v>
      </c>
      <c r="C334" t="s">
        <v>220</v>
      </c>
      <c r="D334">
        <v>255</v>
      </c>
      <c r="E334" s="233">
        <v>0</v>
      </c>
      <c r="F334" s="233">
        <v>0</v>
      </c>
      <c r="G334" s="233" t="s">
        <v>175</v>
      </c>
      <c r="H334" s="233" t="s">
        <v>175</v>
      </c>
      <c r="I334" s="878">
        <v>44147</v>
      </c>
      <c r="J334" t="s">
        <v>175</v>
      </c>
      <c r="K334" t="s">
        <v>175</v>
      </c>
      <c r="L334" t="s">
        <v>175</v>
      </c>
      <c r="M334" t="s">
        <v>175</v>
      </c>
      <c r="N334" t="s">
        <v>175</v>
      </c>
      <c r="O334" t="s">
        <v>175</v>
      </c>
      <c r="P334" t="s">
        <v>175</v>
      </c>
      <c r="Q334" t="s">
        <v>175</v>
      </c>
      <c r="R334" t="s">
        <v>175</v>
      </c>
      <c r="S334" t="s">
        <v>175</v>
      </c>
      <c r="T334" t="s">
        <v>175</v>
      </c>
      <c r="U334" t="s">
        <v>175</v>
      </c>
      <c r="V334" t="s">
        <v>175</v>
      </c>
      <c r="W334" t="s">
        <v>175</v>
      </c>
      <c r="X334" t="s">
        <v>175</v>
      </c>
      <c r="Y334" t="s">
        <v>175</v>
      </c>
      <c r="Z334" t="s">
        <v>175</v>
      </c>
      <c r="AA334" t="s">
        <v>175</v>
      </c>
      <c r="AB334" t="s">
        <v>175</v>
      </c>
      <c r="AC334" t="s">
        <v>175</v>
      </c>
      <c r="AD334" t="s">
        <v>175</v>
      </c>
      <c r="AE334" t="s">
        <v>175</v>
      </c>
      <c r="AF334" t="s">
        <v>175</v>
      </c>
      <c r="AG334" t="s">
        <v>175</v>
      </c>
      <c r="AH334" s="873">
        <f t="shared" si="5"/>
        <v>44136</v>
      </c>
    </row>
    <row r="335" spans="1:34">
      <c r="A335">
        <v>6</v>
      </c>
      <c r="B335">
        <v>5279</v>
      </c>
      <c r="C335" t="s">
        <v>220</v>
      </c>
      <c r="D335">
        <v>255</v>
      </c>
      <c r="E335" s="233">
        <v>0</v>
      </c>
      <c r="F335" s="233">
        <v>0</v>
      </c>
      <c r="G335" s="233" t="s">
        <v>175</v>
      </c>
      <c r="H335" s="233" t="s">
        <v>175</v>
      </c>
      <c r="I335" s="878">
        <v>44179</v>
      </c>
      <c r="J335" t="s">
        <v>175</v>
      </c>
      <c r="K335" t="s">
        <v>175</v>
      </c>
      <c r="L335" t="s">
        <v>175</v>
      </c>
      <c r="M335" t="s">
        <v>175</v>
      </c>
      <c r="N335" t="s">
        <v>175</v>
      </c>
      <c r="O335" t="s">
        <v>175</v>
      </c>
      <c r="P335" t="s">
        <v>175</v>
      </c>
      <c r="Q335" t="s">
        <v>175</v>
      </c>
      <c r="R335" t="s">
        <v>175</v>
      </c>
      <c r="S335" t="s">
        <v>175</v>
      </c>
      <c r="T335" t="s">
        <v>175</v>
      </c>
      <c r="U335" t="s">
        <v>175</v>
      </c>
      <c r="V335" t="s">
        <v>175</v>
      </c>
      <c r="W335" t="s">
        <v>175</v>
      </c>
      <c r="X335" t="s">
        <v>175</v>
      </c>
      <c r="Y335" t="s">
        <v>175</v>
      </c>
      <c r="Z335" t="s">
        <v>175</v>
      </c>
      <c r="AA335" t="s">
        <v>175</v>
      </c>
      <c r="AB335" t="s">
        <v>175</v>
      </c>
      <c r="AC335" t="s">
        <v>175</v>
      </c>
      <c r="AD335" t="s">
        <v>175</v>
      </c>
      <c r="AE335" t="s">
        <v>175</v>
      </c>
      <c r="AF335" t="s">
        <v>175</v>
      </c>
      <c r="AG335" t="s">
        <v>175</v>
      </c>
      <c r="AH335" s="873">
        <f t="shared" si="5"/>
        <v>44166</v>
      </c>
    </row>
    <row r="336" spans="1:34">
      <c r="A336">
        <v>7</v>
      </c>
      <c r="B336">
        <v>5279</v>
      </c>
      <c r="C336" t="s">
        <v>220</v>
      </c>
      <c r="D336">
        <v>255</v>
      </c>
      <c r="E336" s="233">
        <v>0</v>
      </c>
      <c r="F336" s="233">
        <v>0</v>
      </c>
      <c r="G336" s="233" t="s">
        <v>175</v>
      </c>
      <c r="H336" s="233" t="s">
        <v>175</v>
      </c>
      <c r="I336" s="878">
        <v>44193</v>
      </c>
      <c r="J336" t="s">
        <v>175</v>
      </c>
      <c r="K336" t="s">
        <v>175</v>
      </c>
      <c r="L336" t="s">
        <v>175</v>
      </c>
      <c r="M336" t="s">
        <v>175</v>
      </c>
      <c r="N336" t="s">
        <v>175</v>
      </c>
      <c r="O336" t="s">
        <v>175</v>
      </c>
      <c r="P336" t="s">
        <v>175</v>
      </c>
      <c r="Q336" t="s">
        <v>175</v>
      </c>
      <c r="R336" t="s">
        <v>175</v>
      </c>
      <c r="S336" t="s">
        <v>175</v>
      </c>
      <c r="T336" t="s">
        <v>175</v>
      </c>
      <c r="U336" t="s">
        <v>175</v>
      </c>
      <c r="V336" t="s">
        <v>175</v>
      </c>
      <c r="W336" t="s">
        <v>175</v>
      </c>
      <c r="X336" t="s">
        <v>175</v>
      </c>
      <c r="Y336" t="s">
        <v>175</v>
      </c>
      <c r="Z336" t="s">
        <v>175</v>
      </c>
      <c r="AA336" t="s">
        <v>175</v>
      </c>
      <c r="AB336" t="s">
        <v>175</v>
      </c>
      <c r="AC336" t="s">
        <v>175</v>
      </c>
      <c r="AD336" t="s">
        <v>175</v>
      </c>
      <c r="AE336" t="s">
        <v>175</v>
      </c>
      <c r="AF336" t="s">
        <v>175</v>
      </c>
      <c r="AG336" t="s">
        <v>175</v>
      </c>
      <c r="AH336" s="873">
        <f t="shared" si="5"/>
        <v>44166</v>
      </c>
    </row>
    <row r="337" spans="1:34">
      <c r="A337">
        <v>8</v>
      </c>
      <c r="B337">
        <v>5279</v>
      </c>
      <c r="C337" t="s">
        <v>220</v>
      </c>
      <c r="D337">
        <v>255</v>
      </c>
      <c r="E337" s="233">
        <v>0</v>
      </c>
      <c r="F337" s="233">
        <v>0</v>
      </c>
      <c r="G337" s="233" t="s">
        <v>175</v>
      </c>
      <c r="H337" s="233" t="s">
        <v>175</v>
      </c>
      <c r="I337" s="878">
        <v>44208</v>
      </c>
      <c r="J337" t="s">
        <v>175</v>
      </c>
      <c r="K337" t="s">
        <v>175</v>
      </c>
      <c r="L337" t="s">
        <v>175</v>
      </c>
      <c r="M337" t="s">
        <v>175</v>
      </c>
      <c r="N337" t="s">
        <v>175</v>
      </c>
      <c r="O337" t="s">
        <v>175</v>
      </c>
      <c r="P337" t="s">
        <v>175</v>
      </c>
      <c r="Q337" t="s">
        <v>175</v>
      </c>
      <c r="R337" t="s">
        <v>175</v>
      </c>
      <c r="S337" t="s">
        <v>175</v>
      </c>
      <c r="T337" t="s">
        <v>175</v>
      </c>
      <c r="U337" t="s">
        <v>175</v>
      </c>
      <c r="V337" t="s">
        <v>175</v>
      </c>
      <c r="W337" t="s">
        <v>175</v>
      </c>
      <c r="X337" t="s">
        <v>175</v>
      </c>
      <c r="Y337" t="s">
        <v>175</v>
      </c>
      <c r="Z337" t="s">
        <v>175</v>
      </c>
      <c r="AA337" t="s">
        <v>175</v>
      </c>
      <c r="AB337" t="s">
        <v>175</v>
      </c>
      <c r="AC337" t="s">
        <v>175</v>
      </c>
      <c r="AD337" t="s">
        <v>175</v>
      </c>
      <c r="AE337" t="s">
        <v>175</v>
      </c>
      <c r="AF337" t="s">
        <v>175</v>
      </c>
      <c r="AG337" t="s">
        <v>175</v>
      </c>
      <c r="AH337" s="873">
        <f t="shared" si="5"/>
        <v>44197</v>
      </c>
    </row>
    <row r="338" spans="1:34">
      <c r="A338">
        <v>1</v>
      </c>
      <c r="B338">
        <v>5351</v>
      </c>
      <c r="C338" t="s">
        <v>221</v>
      </c>
      <c r="D338">
        <v>219</v>
      </c>
      <c r="E338" s="233">
        <v>0</v>
      </c>
      <c r="F338" s="233">
        <v>154083</v>
      </c>
      <c r="G338" s="233">
        <v>0</v>
      </c>
      <c r="H338" s="233">
        <v>0</v>
      </c>
      <c r="I338" s="878">
        <v>44043</v>
      </c>
      <c r="J338" t="s">
        <v>175</v>
      </c>
      <c r="K338" t="s">
        <v>175</v>
      </c>
      <c r="L338" t="s">
        <v>175</v>
      </c>
      <c r="M338" t="s">
        <v>175</v>
      </c>
      <c r="N338" t="s">
        <v>175</v>
      </c>
      <c r="O338" t="s">
        <v>175</v>
      </c>
      <c r="P338" t="s">
        <v>175</v>
      </c>
      <c r="Q338" t="s">
        <v>175</v>
      </c>
      <c r="R338" t="s">
        <v>175</v>
      </c>
      <c r="S338" t="s">
        <v>175</v>
      </c>
      <c r="T338" t="s">
        <v>175</v>
      </c>
      <c r="U338" t="s">
        <v>175</v>
      </c>
      <c r="V338" t="s">
        <v>175</v>
      </c>
      <c r="W338" t="s">
        <v>175</v>
      </c>
      <c r="X338" t="s">
        <v>175</v>
      </c>
      <c r="Y338" t="s">
        <v>175</v>
      </c>
      <c r="Z338" t="s">
        <v>175</v>
      </c>
      <c r="AA338" t="s">
        <v>175</v>
      </c>
      <c r="AB338" t="s">
        <v>175</v>
      </c>
      <c r="AC338" t="s">
        <v>175</v>
      </c>
      <c r="AD338" t="s">
        <v>175</v>
      </c>
      <c r="AE338" t="s">
        <v>175</v>
      </c>
      <c r="AF338" t="s">
        <v>175</v>
      </c>
      <c r="AG338" t="s">
        <v>175</v>
      </c>
      <c r="AH338" s="873">
        <f t="shared" si="5"/>
        <v>44013</v>
      </c>
    </row>
    <row r="339" spans="1:34">
      <c r="A339">
        <v>2</v>
      </c>
      <c r="B339">
        <v>5351</v>
      </c>
      <c r="C339" t="s">
        <v>221</v>
      </c>
      <c r="D339">
        <v>219</v>
      </c>
      <c r="E339" s="233">
        <v>0</v>
      </c>
      <c r="F339" s="233">
        <v>154078</v>
      </c>
      <c r="G339" s="233" t="s">
        <v>175</v>
      </c>
      <c r="H339" s="233" t="s">
        <v>175</v>
      </c>
      <c r="I339" s="878">
        <v>44055</v>
      </c>
      <c r="J339" t="s">
        <v>175</v>
      </c>
      <c r="K339" t="s">
        <v>175</v>
      </c>
      <c r="L339" t="s">
        <v>175</v>
      </c>
      <c r="M339" t="s">
        <v>175</v>
      </c>
      <c r="N339" t="s">
        <v>175</v>
      </c>
      <c r="O339" t="s">
        <v>175</v>
      </c>
      <c r="P339" t="s">
        <v>175</v>
      </c>
      <c r="Q339" t="s">
        <v>175</v>
      </c>
      <c r="R339" t="s">
        <v>175</v>
      </c>
      <c r="S339" t="s">
        <v>175</v>
      </c>
      <c r="T339" t="s">
        <v>175</v>
      </c>
      <c r="U339" t="s">
        <v>175</v>
      </c>
      <c r="V339" t="s">
        <v>175</v>
      </c>
      <c r="W339" t="s">
        <v>175</v>
      </c>
      <c r="X339" t="s">
        <v>175</v>
      </c>
      <c r="Y339" t="s">
        <v>175</v>
      </c>
      <c r="Z339" t="s">
        <v>175</v>
      </c>
      <c r="AA339" t="s">
        <v>175</v>
      </c>
      <c r="AB339" t="s">
        <v>175</v>
      </c>
      <c r="AC339" t="s">
        <v>175</v>
      </c>
      <c r="AD339" t="s">
        <v>175</v>
      </c>
      <c r="AE339" t="s">
        <v>175</v>
      </c>
      <c r="AF339" t="s">
        <v>175</v>
      </c>
      <c r="AG339" t="s">
        <v>175</v>
      </c>
      <c r="AH339" s="873">
        <f t="shared" si="5"/>
        <v>44044</v>
      </c>
    </row>
    <row r="340" spans="1:34">
      <c r="A340">
        <v>3</v>
      </c>
      <c r="B340">
        <v>5351</v>
      </c>
      <c r="C340" t="s">
        <v>221</v>
      </c>
      <c r="D340">
        <v>219</v>
      </c>
      <c r="E340" s="233">
        <v>0</v>
      </c>
      <c r="F340" s="233">
        <v>154078</v>
      </c>
      <c r="G340" s="233" t="s">
        <v>175</v>
      </c>
      <c r="H340" s="233" t="s">
        <v>175</v>
      </c>
      <c r="I340" s="878">
        <v>44088</v>
      </c>
      <c r="J340" t="s">
        <v>175</v>
      </c>
      <c r="K340" t="s">
        <v>175</v>
      </c>
      <c r="L340" t="s">
        <v>175</v>
      </c>
      <c r="M340" t="s">
        <v>175</v>
      </c>
      <c r="N340" t="s">
        <v>175</v>
      </c>
      <c r="O340" t="s">
        <v>175</v>
      </c>
      <c r="P340" t="s">
        <v>175</v>
      </c>
      <c r="Q340" t="s">
        <v>175</v>
      </c>
      <c r="R340" t="s">
        <v>175</v>
      </c>
      <c r="S340" t="s">
        <v>175</v>
      </c>
      <c r="T340" t="s">
        <v>175</v>
      </c>
      <c r="U340" t="s">
        <v>175</v>
      </c>
      <c r="V340" t="s">
        <v>175</v>
      </c>
      <c r="W340" t="s">
        <v>175</v>
      </c>
      <c r="X340" t="s">
        <v>175</v>
      </c>
      <c r="Y340" t="s">
        <v>175</v>
      </c>
      <c r="Z340" t="s">
        <v>175</v>
      </c>
      <c r="AA340" t="s">
        <v>175</v>
      </c>
      <c r="AB340" t="s">
        <v>175</v>
      </c>
      <c r="AC340" t="s">
        <v>175</v>
      </c>
      <c r="AD340" t="s">
        <v>175</v>
      </c>
      <c r="AE340" t="s">
        <v>175</v>
      </c>
      <c r="AF340" t="s">
        <v>175</v>
      </c>
      <c r="AG340" t="s">
        <v>175</v>
      </c>
      <c r="AH340" s="873">
        <f t="shared" si="5"/>
        <v>44075</v>
      </c>
    </row>
    <row r="341" spans="1:34">
      <c r="A341">
        <v>4</v>
      </c>
      <c r="B341">
        <v>5351</v>
      </c>
      <c r="C341" t="s">
        <v>221</v>
      </c>
      <c r="D341">
        <v>219</v>
      </c>
      <c r="E341" s="233">
        <v>0</v>
      </c>
      <c r="F341" s="233">
        <v>154078</v>
      </c>
      <c r="G341" s="233" t="s">
        <v>175</v>
      </c>
      <c r="H341" s="233" t="s">
        <v>175</v>
      </c>
      <c r="I341" s="878">
        <v>44117</v>
      </c>
      <c r="J341" t="s">
        <v>175</v>
      </c>
      <c r="K341" t="s">
        <v>175</v>
      </c>
      <c r="L341" t="s">
        <v>175</v>
      </c>
      <c r="M341" t="s">
        <v>175</v>
      </c>
      <c r="N341" t="s">
        <v>175</v>
      </c>
      <c r="O341" t="s">
        <v>175</v>
      </c>
      <c r="P341" t="s">
        <v>175</v>
      </c>
      <c r="Q341" t="s">
        <v>175</v>
      </c>
      <c r="R341" t="s">
        <v>175</v>
      </c>
      <c r="S341" t="s">
        <v>175</v>
      </c>
      <c r="T341" t="s">
        <v>175</v>
      </c>
      <c r="U341" t="s">
        <v>175</v>
      </c>
      <c r="V341" t="s">
        <v>175</v>
      </c>
      <c r="W341" t="s">
        <v>175</v>
      </c>
      <c r="X341" t="s">
        <v>175</v>
      </c>
      <c r="Y341" t="s">
        <v>175</v>
      </c>
      <c r="Z341" t="s">
        <v>175</v>
      </c>
      <c r="AA341" t="s">
        <v>175</v>
      </c>
      <c r="AB341" t="s">
        <v>175</v>
      </c>
      <c r="AC341" t="s">
        <v>175</v>
      </c>
      <c r="AD341" t="s">
        <v>175</v>
      </c>
      <c r="AE341" t="s">
        <v>175</v>
      </c>
      <c r="AF341" t="s">
        <v>175</v>
      </c>
      <c r="AG341" t="s">
        <v>175</v>
      </c>
      <c r="AH341" s="873">
        <f t="shared" si="5"/>
        <v>44105</v>
      </c>
    </row>
    <row r="342" spans="1:34">
      <c r="A342">
        <v>5</v>
      </c>
      <c r="B342">
        <v>5351</v>
      </c>
      <c r="C342" t="s">
        <v>221</v>
      </c>
      <c r="D342">
        <v>219</v>
      </c>
      <c r="E342" s="233">
        <v>0</v>
      </c>
      <c r="F342" s="233">
        <v>154078</v>
      </c>
      <c r="G342" s="233">
        <v>-779989.54048464168</v>
      </c>
      <c r="H342" s="233" t="s">
        <v>175</v>
      </c>
      <c r="I342" s="878">
        <v>44147</v>
      </c>
      <c r="J342" t="s">
        <v>175</v>
      </c>
      <c r="K342" t="s">
        <v>175</v>
      </c>
      <c r="L342" t="s">
        <v>175</v>
      </c>
      <c r="M342" t="s">
        <v>175</v>
      </c>
      <c r="N342" t="s">
        <v>175</v>
      </c>
      <c r="O342" t="s">
        <v>175</v>
      </c>
      <c r="P342" t="s">
        <v>175</v>
      </c>
      <c r="Q342" t="s">
        <v>175</v>
      </c>
      <c r="R342" t="s">
        <v>175</v>
      </c>
      <c r="S342" t="s">
        <v>175</v>
      </c>
      <c r="T342" t="s">
        <v>175</v>
      </c>
      <c r="U342" t="s">
        <v>175</v>
      </c>
      <c r="V342" t="s">
        <v>175</v>
      </c>
      <c r="W342" t="s">
        <v>175</v>
      </c>
      <c r="X342" t="s">
        <v>175</v>
      </c>
      <c r="Y342" t="s">
        <v>175</v>
      </c>
      <c r="Z342" t="s">
        <v>175</v>
      </c>
      <c r="AA342" t="s">
        <v>175</v>
      </c>
      <c r="AB342" t="s">
        <v>175</v>
      </c>
      <c r="AC342" t="s">
        <v>175</v>
      </c>
      <c r="AD342" t="s">
        <v>175</v>
      </c>
      <c r="AE342" t="s">
        <v>175</v>
      </c>
      <c r="AF342" t="s">
        <v>175</v>
      </c>
      <c r="AG342" t="s">
        <v>175</v>
      </c>
      <c r="AH342" s="873">
        <f t="shared" si="5"/>
        <v>44136</v>
      </c>
    </row>
    <row r="343" spans="1:34">
      <c r="A343">
        <v>6</v>
      </c>
      <c r="B343">
        <v>5351</v>
      </c>
      <c r="C343" t="s">
        <v>221</v>
      </c>
      <c r="D343">
        <v>219</v>
      </c>
      <c r="E343" s="233">
        <v>0</v>
      </c>
      <c r="F343" s="233">
        <v>154078</v>
      </c>
      <c r="G343" s="233" t="s">
        <v>175</v>
      </c>
      <c r="H343" s="233" t="s">
        <v>175</v>
      </c>
      <c r="I343" s="878">
        <v>44179</v>
      </c>
      <c r="J343" t="s">
        <v>175</v>
      </c>
      <c r="K343" t="s">
        <v>175</v>
      </c>
      <c r="L343" t="s">
        <v>175</v>
      </c>
      <c r="M343" t="s">
        <v>175</v>
      </c>
      <c r="N343" t="s">
        <v>175</v>
      </c>
      <c r="O343" t="s">
        <v>175</v>
      </c>
      <c r="P343" t="s">
        <v>175</v>
      </c>
      <c r="Q343" t="s">
        <v>175</v>
      </c>
      <c r="R343" t="s">
        <v>175</v>
      </c>
      <c r="S343" t="s">
        <v>175</v>
      </c>
      <c r="T343" t="s">
        <v>175</v>
      </c>
      <c r="U343" t="s">
        <v>175</v>
      </c>
      <c r="V343" t="s">
        <v>175</v>
      </c>
      <c r="W343" t="s">
        <v>175</v>
      </c>
      <c r="X343" t="s">
        <v>175</v>
      </c>
      <c r="Y343" t="s">
        <v>175</v>
      </c>
      <c r="Z343" t="s">
        <v>175</v>
      </c>
      <c r="AA343" t="s">
        <v>175</v>
      </c>
      <c r="AB343" t="s">
        <v>175</v>
      </c>
      <c r="AC343" t="s">
        <v>175</v>
      </c>
      <c r="AD343" t="s">
        <v>175</v>
      </c>
      <c r="AE343" t="s">
        <v>175</v>
      </c>
      <c r="AF343" t="s">
        <v>175</v>
      </c>
      <c r="AG343" t="s">
        <v>175</v>
      </c>
      <c r="AH343" s="873">
        <f t="shared" si="5"/>
        <v>44166</v>
      </c>
    </row>
    <row r="344" spans="1:34">
      <c r="A344">
        <v>7</v>
      </c>
      <c r="B344">
        <v>5351</v>
      </c>
      <c r="C344" t="s">
        <v>221</v>
      </c>
      <c r="D344">
        <v>219</v>
      </c>
      <c r="E344" s="233">
        <v>0</v>
      </c>
      <c r="F344" s="233">
        <v>154078</v>
      </c>
      <c r="G344" s="233" t="s">
        <v>175</v>
      </c>
      <c r="H344" s="233" t="s">
        <v>175</v>
      </c>
      <c r="I344" s="878">
        <v>44193</v>
      </c>
      <c r="J344" t="s">
        <v>175</v>
      </c>
      <c r="K344" t="s">
        <v>175</v>
      </c>
      <c r="L344" t="s">
        <v>175</v>
      </c>
      <c r="M344" t="s">
        <v>175</v>
      </c>
      <c r="N344" t="s">
        <v>175</v>
      </c>
      <c r="O344" t="s">
        <v>175</v>
      </c>
      <c r="P344" t="s">
        <v>175</v>
      </c>
      <c r="Q344" t="s">
        <v>175</v>
      </c>
      <c r="R344" t="s">
        <v>175</v>
      </c>
      <c r="S344" t="s">
        <v>175</v>
      </c>
      <c r="T344" t="s">
        <v>175</v>
      </c>
      <c r="U344" t="s">
        <v>175</v>
      </c>
      <c r="V344" t="s">
        <v>175</v>
      </c>
      <c r="W344" t="s">
        <v>175</v>
      </c>
      <c r="X344" t="s">
        <v>175</v>
      </c>
      <c r="Y344" t="s">
        <v>175</v>
      </c>
      <c r="Z344" t="s">
        <v>175</v>
      </c>
      <c r="AA344" t="s">
        <v>175</v>
      </c>
      <c r="AB344" t="s">
        <v>175</v>
      </c>
      <c r="AC344" t="s">
        <v>175</v>
      </c>
      <c r="AD344" t="s">
        <v>175</v>
      </c>
      <c r="AE344" t="s">
        <v>175</v>
      </c>
      <c r="AF344" t="s">
        <v>175</v>
      </c>
      <c r="AG344" t="s">
        <v>175</v>
      </c>
      <c r="AH344" s="873">
        <f t="shared" si="5"/>
        <v>44166</v>
      </c>
    </row>
    <row r="345" spans="1:34">
      <c r="A345">
        <v>8</v>
      </c>
      <c r="B345">
        <v>5351</v>
      </c>
      <c r="C345" t="s">
        <v>221</v>
      </c>
      <c r="D345">
        <v>219</v>
      </c>
      <c r="E345" s="233">
        <v>0</v>
      </c>
      <c r="F345" s="233">
        <v>0</v>
      </c>
      <c r="G345" s="233" t="s">
        <v>175</v>
      </c>
      <c r="H345" s="233" t="s">
        <v>175</v>
      </c>
      <c r="I345" s="878">
        <v>44208</v>
      </c>
      <c r="J345" t="s">
        <v>175</v>
      </c>
      <c r="K345" t="s">
        <v>175</v>
      </c>
      <c r="L345" t="s">
        <v>175</v>
      </c>
      <c r="M345" t="s">
        <v>175</v>
      </c>
      <c r="N345" t="s">
        <v>175</v>
      </c>
      <c r="O345" t="s">
        <v>175</v>
      </c>
      <c r="P345" t="s">
        <v>175</v>
      </c>
      <c r="Q345" t="s">
        <v>175</v>
      </c>
      <c r="R345" t="s">
        <v>175</v>
      </c>
      <c r="S345" t="s">
        <v>175</v>
      </c>
      <c r="T345" t="s">
        <v>175</v>
      </c>
      <c r="U345" t="s">
        <v>175</v>
      </c>
      <c r="V345" t="s">
        <v>175</v>
      </c>
      <c r="W345" t="s">
        <v>175</v>
      </c>
      <c r="X345" t="s">
        <v>175</v>
      </c>
      <c r="Y345" t="s">
        <v>175</v>
      </c>
      <c r="Z345" t="s">
        <v>175</v>
      </c>
      <c r="AA345" t="s">
        <v>175</v>
      </c>
      <c r="AB345" t="s">
        <v>175</v>
      </c>
      <c r="AC345" t="s">
        <v>175</v>
      </c>
      <c r="AD345" t="s">
        <v>175</v>
      </c>
      <c r="AE345" t="s">
        <v>175</v>
      </c>
      <c r="AF345" t="s">
        <v>175</v>
      </c>
      <c r="AG345" t="s">
        <v>175</v>
      </c>
      <c r="AH345" s="873">
        <f t="shared" si="5"/>
        <v>44197</v>
      </c>
    </row>
    <row r="346" spans="1:34">
      <c r="A346">
        <v>1</v>
      </c>
      <c r="B346">
        <v>5353</v>
      </c>
      <c r="C346" t="s">
        <v>222</v>
      </c>
      <c r="D346">
        <v>222</v>
      </c>
      <c r="E346" s="233">
        <v>0</v>
      </c>
      <c r="F346" s="233">
        <v>1004281.36</v>
      </c>
      <c r="H346" s="233">
        <v>0</v>
      </c>
      <c r="I346" s="878">
        <v>44043</v>
      </c>
      <c r="J346" t="s">
        <v>175</v>
      </c>
      <c r="K346" t="s">
        <v>175</v>
      </c>
      <c r="L346" t="s">
        <v>175</v>
      </c>
      <c r="M346" t="s">
        <v>175</v>
      </c>
      <c r="N346" t="s">
        <v>175</v>
      </c>
      <c r="O346" t="s">
        <v>175</v>
      </c>
      <c r="P346" t="s">
        <v>175</v>
      </c>
      <c r="Q346" t="s">
        <v>175</v>
      </c>
      <c r="R346" t="s">
        <v>175</v>
      </c>
      <c r="S346" t="s">
        <v>175</v>
      </c>
      <c r="T346" t="s">
        <v>175</v>
      </c>
      <c r="U346" t="s">
        <v>175</v>
      </c>
      <c r="V346" t="s">
        <v>175</v>
      </c>
      <c r="W346" t="s">
        <v>175</v>
      </c>
      <c r="X346" t="s">
        <v>175</v>
      </c>
      <c r="Y346" t="s">
        <v>175</v>
      </c>
      <c r="Z346" t="s">
        <v>175</v>
      </c>
      <c r="AA346" t="s">
        <v>175</v>
      </c>
      <c r="AB346" t="s">
        <v>175</v>
      </c>
      <c r="AC346" t="s">
        <v>175</v>
      </c>
      <c r="AD346" t="s">
        <v>175</v>
      </c>
      <c r="AE346" t="s">
        <v>175</v>
      </c>
      <c r="AF346" t="s">
        <v>175</v>
      </c>
      <c r="AG346" t="s">
        <v>175</v>
      </c>
      <c r="AH346" s="873">
        <f t="shared" si="5"/>
        <v>44013</v>
      </c>
    </row>
    <row r="347" spans="1:34">
      <c r="A347">
        <v>2</v>
      </c>
      <c r="B347">
        <v>5353</v>
      </c>
      <c r="C347" t="s">
        <v>222</v>
      </c>
      <c r="D347">
        <v>222</v>
      </c>
      <c r="E347" s="233">
        <v>0</v>
      </c>
      <c r="F347" s="233">
        <v>1004281.36</v>
      </c>
      <c r="G347" s="233" t="s">
        <v>175</v>
      </c>
      <c r="H347" s="233" t="s">
        <v>175</v>
      </c>
      <c r="I347" s="878">
        <v>44055</v>
      </c>
      <c r="J347" t="s">
        <v>175</v>
      </c>
      <c r="K347" t="s">
        <v>175</v>
      </c>
      <c r="L347" t="s">
        <v>175</v>
      </c>
      <c r="M347" t="s">
        <v>175</v>
      </c>
      <c r="N347" t="s">
        <v>175</v>
      </c>
      <c r="O347" t="s">
        <v>175</v>
      </c>
      <c r="P347" t="s">
        <v>175</v>
      </c>
      <c r="Q347" t="s">
        <v>175</v>
      </c>
      <c r="R347" t="s">
        <v>175</v>
      </c>
      <c r="S347" t="s">
        <v>175</v>
      </c>
      <c r="T347" t="s">
        <v>175</v>
      </c>
      <c r="U347" t="s">
        <v>175</v>
      </c>
      <c r="V347" t="s">
        <v>175</v>
      </c>
      <c r="W347" t="s">
        <v>175</v>
      </c>
      <c r="X347" t="s">
        <v>175</v>
      </c>
      <c r="Y347" t="s">
        <v>175</v>
      </c>
      <c r="Z347" t="s">
        <v>175</v>
      </c>
      <c r="AA347" t="s">
        <v>175</v>
      </c>
      <c r="AB347" t="s">
        <v>175</v>
      </c>
      <c r="AC347" t="s">
        <v>175</v>
      </c>
      <c r="AD347" t="s">
        <v>175</v>
      </c>
      <c r="AE347" t="s">
        <v>175</v>
      </c>
      <c r="AF347" t="s">
        <v>175</v>
      </c>
      <c r="AG347" t="s">
        <v>175</v>
      </c>
      <c r="AH347" s="873">
        <f t="shared" si="5"/>
        <v>44044</v>
      </c>
    </row>
    <row r="348" spans="1:34">
      <c r="A348">
        <v>3</v>
      </c>
      <c r="B348">
        <v>5353</v>
      </c>
      <c r="C348" t="s">
        <v>222</v>
      </c>
      <c r="D348">
        <v>222</v>
      </c>
      <c r="E348" s="233">
        <v>0</v>
      </c>
      <c r="F348" s="233">
        <v>1004281.36</v>
      </c>
      <c r="G348" s="995">
        <v>-3012884.08</v>
      </c>
      <c r="H348" s="233" t="s">
        <v>175</v>
      </c>
      <c r="I348" s="878">
        <v>44088</v>
      </c>
      <c r="J348" t="s">
        <v>175</v>
      </c>
      <c r="K348" t="s">
        <v>175</v>
      </c>
      <c r="L348" t="s">
        <v>175</v>
      </c>
      <c r="M348" t="s">
        <v>175</v>
      </c>
      <c r="N348" t="s">
        <v>175</v>
      </c>
      <c r="O348" t="s">
        <v>175</v>
      </c>
      <c r="P348" t="s">
        <v>175</v>
      </c>
      <c r="Q348" t="s">
        <v>175</v>
      </c>
      <c r="R348" t="s">
        <v>175</v>
      </c>
      <c r="S348" t="s">
        <v>175</v>
      </c>
      <c r="T348" t="s">
        <v>175</v>
      </c>
      <c r="U348" t="s">
        <v>175</v>
      </c>
      <c r="V348" t="s">
        <v>175</v>
      </c>
      <c r="W348" t="s">
        <v>175</v>
      </c>
      <c r="X348" t="s">
        <v>175</v>
      </c>
      <c r="Y348" t="s">
        <v>175</v>
      </c>
      <c r="Z348" t="s">
        <v>175</v>
      </c>
      <c r="AA348" t="s">
        <v>175</v>
      </c>
      <c r="AB348" t="s">
        <v>175</v>
      </c>
      <c r="AC348" t="s">
        <v>175</v>
      </c>
      <c r="AD348" t="s">
        <v>175</v>
      </c>
      <c r="AE348" t="s">
        <v>175</v>
      </c>
      <c r="AF348" t="s">
        <v>175</v>
      </c>
      <c r="AG348" t="s">
        <v>175</v>
      </c>
      <c r="AH348" s="873">
        <f t="shared" si="5"/>
        <v>44075</v>
      </c>
    </row>
    <row r="349" spans="1:34">
      <c r="A349">
        <v>4</v>
      </c>
      <c r="B349">
        <v>5353</v>
      </c>
      <c r="C349" t="s">
        <v>222</v>
      </c>
      <c r="D349">
        <v>222</v>
      </c>
      <c r="E349" s="233">
        <v>0</v>
      </c>
      <c r="F349" s="233">
        <v>0</v>
      </c>
      <c r="G349" s="233" t="s">
        <v>175</v>
      </c>
      <c r="H349" s="233" t="s">
        <v>175</v>
      </c>
      <c r="I349" s="878">
        <v>44117</v>
      </c>
      <c r="J349" t="s">
        <v>175</v>
      </c>
      <c r="K349" t="s">
        <v>175</v>
      </c>
      <c r="L349" t="s">
        <v>175</v>
      </c>
      <c r="M349" t="s">
        <v>175</v>
      </c>
      <c r="N349" t="s">
        <v>175</v>
      </c>
      <c r="O349" t="s">
        <v>175</v>
      </c>
      <c r="P349" t="s">
        <v>175</v>
      </c>
      <c r="Q349" t="s">
        <v>175</v>
      </c>
      <c r="R349" t="s">
        <v>175</v>
      </c>
      <c r="S349" t="s">
        <v>175</v>
      </c>
      <c r="T349" t="s">
        <v>175</v>
      </c>
      <c r="U349" t="s">
        <v>175</v>
      </c>
      <c r="V349" t="s">
        <v>175</v>
      </c>
      <c r="W349" t="s">
        <v>175</v>
      </c>
      <c r="X349" t="s">
        <v>175</v>
      </c>
      <c r="Y349" t="s">
        <v>175</v>
      </c>
      <c r="Z349" t="s">
        <v>175</v>
      </c>
      <c r="AA349" t="s">
        <v>175</v>
      </c>
      <c r="AB349" t="s">
        <v>175</v>
      </c>
      <c r="AC349" t="s">
        <v>175</v>
      </c>
      <c r="AD349" t="s">
        <v>175</v>
      </c>
      <c r="AE349" t="s">
        <v>175</v>
      </c>
      <c r="AF349" t="s">
        <v>175</v>
      </c>
      <c r="AG349" t="s">
        <v>175</v>
      </c>
      <c r="AH349" s="873">
        <f t="shared" si="5"/>
        <v>44105</v>
      </c>
    </row>
    <row r="350" spans="1:34">
      <c r="A350">
        <v>5</v>
      </c>
      <c r="B350">
        <v>5353</v>
      </c>
      <c r="C350" t="s">
        <v>222</v>
      </c>
      <c r="D350">
        <v>222</v>
      </c>
      <c r="E350" s="233">
        <v>0</v>
      </c>
      <c r="F350" s="233">
        <v>0</v>
      </c>
      <c r="G350" s="233" t="s">
        <v>175</v>
      </c>
      <c r="H350" s="233" t="s">
        <v>175</v>
      </c>
      <c r="I350" s="878">
        <v>44147</v>
      </c>
      <c r="J350" t="s">
        <v>175</v>
      </c>
      <c r="K350" t="s">
        <v>175</v>
      </c>
      <c r="L350" t="s">
        <v>175</v>
      </c>
      <c r="M350" t="s">
        <v>175</v>
      </c>
      <c r="N350" t="s">
        <v>175</v>
      </c>
      <c r="O350" t="s">
        <v>175</v>
      </c>
      <c r="P350" t="s">
        <v>175</v>
      </c>
      <c r="Q350" t="s">
        <v>175</v>
      </c>
      <c r="R350" t="s">
        <v>175</v>
      </c>
      <c r="S350" t="s">
        <v>175</v>
      </c>
      <c r="T350" t="s">
        <v>175</v>
      </c>
      <c r="U350" t="s">
        <v>175</v>
      </c>
      <c r="V350" t="s">
        <v>175</v>
      </c>
      <c r="W350" t="s">
        <v>175</v>
      </c>
      <c r="X350" t="s">
        <v>175</v>
      </c>
      <c r="Y350" t="s">
        <v>175</v>
      </c>
      <c r="Z350" t="s">
        <v>175</v>
      </c>
      <c r="AA350" t="s">
        <v>175</v>
      </c>
      <c r="AB350" t="s">
        <v>175</v>
      </c>
      <c r="AC350" t="s">
        <v>175</v>
      </c>
      <c r="AD350" t="s">
        <v>175</v>
      </c>
      <c r="AE350" t="s">
        <v>175</v>
      </c>
      <c r="AF350" t="s">
        <v>175</v>
      </c>
      <c r="AG350" t="s">
        <v>175</v>
      </c>
      <c r="AH350" s="873">
        <f t="shared" si="5"/>
        <v>44136</v>
      </c>
    </row>
    <row r="351" spans="1:34">
      <c r="A351">
        <v>6</v>
      </c>
      <c r="B351">
        <v>5353</v>
      </c>
      <c r="C351" t="s">
        <v>222</v>
      </c>
      <c r="D351">
        <v>222</v>
      </c>
      <c r="E351" s="233">
        <v>0</v>
      </c>
      <c r="F351" s="233">
        <v>0</v>
      </c>
      <c r="G351" s="233" t="s">
        <v>175</v>
      </c>
      <c r="H351" s="233" t="s">
        <v>175</v>
      </c>
      <c r="I351" s="878">
        <v>44179</v>
      </c>
      <c r="J351" t="s">
        <v>175</v>
      </c>
      <c r="K351" t="s">
        <v>175</v>
      </c>
      <c r="L351" t="s">
        <v>175</v>
      </c>
      <c r="M351" t="s">
        <v>175</v>
      </c>
      <c r="N351" t="s">
        <v>175</v>
      </c>
      <c r="O351" t="s">
        <v>175</v>
      </c>
      <c r="P351" t="s">
        <v>175</v>
      </c>
      <c r="Q351" t="s">
        <v>175</v>
      </c>
      <c r="R351" t="s">
        <v>175</v>
      </c>
      <c r="S351" t="s">
        <v>175</v>
      </c>
      <c r="T351" t="s">
        <v>175</v>
      </c>
      <c r="U351" t="s">
        <v>175</v>
      </c>
      <c r="V351" t="s">
        <v>175</v>
      </c>
      <c r="W351" t="s">
        <v>175</v>
      </c>
      <c r="X351" t="s">
        <v>175</v>
      </c>
      <c r="Y351" t="s">
        <v>175</v>
      </c>
      <c r="Z351" t="s">
        <v>175</v>
      </c>
      <c r="AA351" t="s">
        <v>175</v>
      </c>
      <c r="AB351" t="s">
        <v>175</v>
      </c>
      <c r="AC351" t="s">
        <v>175</v>
      </c>
      <c r="AD351" t="s">
        <v>175</v>
      </c>
      <c r="AE351" t="s">
        <v>175</v>
      </c>
      <c r="AF351" t="s">
        <v>175</v>
      </c>
      <c r="AG351" t="s">
        <v>175</v>
      </c>
      <c r="AH351" s="873">
        <f t="shared" si="5"/>
        <v>44166</v>
      </c>
    </row>
    <row r="352" spans="1:34">
      <c r="A352">
        <v>7</v>
      </c>
      <c r="B352">
        <v>5353</v>
      </c>
      <c r="C352" t="s">
        <v>222</v>
      </c>
      <c r="D352">
        <v>222</v>
      </c>
      <c r="E352" s="233">
        <v>0</v>
      </c>
      <c r="F352" s="233">
        <v>0</v>
      </c>
      <c r="G352" s="233" t="s">
        <v>175</v>
      </c>
      <c r="H352" s="233" t="s">
        <v>175</v>
      </c>
      <c r="I352" s="878">
        <v>44193</v>
      </c>
      <c r="J352" t="s">
        <v>175</v>
      </c>
      <c r="K352" t="s">
        <v>175</v>
      </c>
      <c r="L352" t="s">
        <v>175</v>
      </c>
      <c r="M352" t="s">
        <v>175</v>
      </c>
      <c r="N352" t="s">
        <v>175</v>
      </c>
      <c r="O352" t="s">
        <v>175</v>
      </c>
      <c r="P352" t="s">
        <v>175</v>
      </c>
      <c r="Q352" t="s">
        <v>175</v>
      </c>
      <c r="R352" t="s">
        <v>175</v>
      </c>
      <c r="S352" t="s">
        <v>175</v>
      </c>
      <c r="T352" t="s">
        <v>175</v>
      </c>
      <c r="U352" t="s">
        <v>175</v>
      </c>
      <c r="V352" t="s">
        <v>175</v>
      </c>
      <c r="W352" t="s">
        <v>175</v>
      </c>
      <c r="X352" t="s">
        <v>175</v>
      </c>
      <c r="Y352" t="s">
        <v>175</v>
      </c>
      <c r="Z352" t="s">
        <v>175</v>
      </c>
      <c r="AA352" t="s">
        <v>175</v>
      </c>
      <c r="AB352" t="s">
        <v>175</v>
      </c>
      <c r="AC352" t="s">
        <v>175</v>
      </c>
      <c r="AD352" t="s">
        <v>175</v>
      </c>
      <c r="AE352" t="s">
        <v>175</v>
      </c>
      <c r="AF352" t="s">
        <v>175</v>
      </c>
      <c r="AG352" t="s">
        <v>175</v>
      </c>
      <c r="AH352" s="873">
        <f t="shared" si="5"/>
        <v>44166</v>
      </c>
    </row>
    <row r="353" spans="1:34">
      <c r="A353">
        <v>8</v>
      </c>
      <c r="B353">
        <v>5353</v>
      </c>
      <c r="C353" t="s">
        <v>222</v>
      </c>
      <c r="D353">
        <v>222</v>
      </c>
      <c r="E353" s="233">
        <v>0</v>
      </c>
      <c r="F353" s="233">
        <v>0</v>
      </c>
      <c r="G353" s="233" t="s">
        <v>175</v>
      </c>
      <c r="H353" s="233" t="s">
        <v>175</v>
      </c>
      <c r="I353" s="878">
        <v>44208</v>
      </c>
      <c r="J353" t="s">
        <v>175</v>
      </c>
      <c r="K353" t="s">
        <v>175</v>
      </c>
      <c r="L353" t="s">
        <v>175</v>
      </c>
      <c r="M353" t="s">
        <v>175</v>
      </c>
      <c r="N353" t="s">
        <v>175</v>
      </c>
      <c r="O353" t="s">
        <v>175</v>
      </c>
      <c r="P353" t="s">
        <v>175</v>
      </c>
      <c r="Q353" t="s">
        <v>175</v>
      </c>
      <c r="R353" t="s">
        <v>175</v>
      </c>
      <c r="S353" t="s">
        <v>175</v>
      </c>
      <c r="T353" t="s">
        <v>175</v>
      </c>
      <c r="U353" t="s">
        <v>175</v>
      </c>
      <c r="V353" t="s">
        <v>175</v>
      </c>
      <c r="W353" t="s">
        <v>175</v>
      </c>
      <c r="X353" t="s">
        <v>175</v>
      </c>
      <c r="Y353" t="s">
        <v>175</v>
      </c>
      <c r="Z353" t="s">
        <v>175</v>
      </c>
      <c r="AA353" t="s">
        <v>175</v>
      </c>
      <c r="AB353" t="s">
        <v>175</v>
      </c>
      <c r="AC353" t="s">
        <v>175</v>
      </c>
      <c r="AD353" t="s">
        <v>175</v>
      </c>
      <c r="AE353" t="s">
        <v>175</v>
      </c>
      <c r="AF353" t="s">
        <v>175</v>
      </c>
      <c r="AG353" t="s">
        <v>175</v>
      </c>
      <c r="AH353" s="873">
        <f t="shared" si="5"/>
        <v>44197</v>
      </c>
    </row>
    <row r="354" spans="1:34">
      <c r="A354">
        <v>1</v>
      </c>
      <c r="B354">
        <v>5356</v>
      </c>
      <c r="C354" t="s">
        <v>223</v>
      </c>
      <c r="D354">
        <v>215</v>
      </c>
      <c r="E354" s="233">
        <v>0</v>
      </c>
      <c r="F354" s="233">
        <v>1000000</v>
      </c>
      <c r="H354" s="233">
        <v>0</v>
      </c>
      <c r="I354" s="878">
        <v>44043</v>
      </c>
      <c r="J354" t="s">
        <v>175</v>
      </c>
      <c r="K354" t="s">
        <v>175</v>
      </c>
      <c r="L354" t="s">
        <v>175</v>
      </c>
      <c r="M354" t="s">
        <v>175</v>
      </c>
      <c r="N354" t="s">
        <v>175</v>
      </c>
      <c r="O354" t="s">
        <v>175</v>
      </c>
      <c r="P354" t="s">
        <v>175</v>
      </c>
      <c r="Q354" t="s">
        <v>175</v>
      </c>
      <c r="R354" t="s">
        <v>175</v>
      </c>
      <c r="S354" t="s">
        <v>175</v>
      </c>
      <c r="T354" t="s">
        <v>175</v>
      </c>
      <c r="U354" t="s">
        <v>175</v>
      </c>
      <c r="V354" t="s">
        <v>175</v>
      </c>
      <c r="W354" t="s">
        <v>175</v>
      </c>
      <c r="X354" t="s">
        <v>175</v>
      </c>
      <c r="Y354" t="s">
        <v>175</v>
      </c>
      <c r="Z354" t="s">
        <v>175</v>
      </c>
      <c r="AA354" t="s">
        <v>175</v>
      </c>
      <c r="AB354" t="s">
        <v>175</v>
      </c>
      <c r="AC354" t="s">
        <v>175</v>
      </c>
      <c r="AD354" t="s">
        <v>175</v>
      </c>
      <c r="AE354" t="s">
        <v>175</v>
      </c>
      <c r="AF354" t="s">
        <v>175</v>
      </c>
      <c r="AG354" t="s">
        <v>175</v>
      </c>
      <c r="AH354" s="873">
        <f t="shared" si="5"/>
        <v>44013</v>
      </c>
    </row>
    <row r="355" spans="1:34">
      <c r="A355">
        <v>2</v>
      </c>
      <c r="B355">
        <v>5356</v>
      </c>
      <c r="C355" t="s">
        <v>223</v>
      </c>
      <c r="D355">
        <v>215</v>
      </c>
      <c r="E355" s="233">
        <v>0</v>
      </c>
      <c r="F355" s="233">
        <v>1000000</v>
      </c>
      <c r="G355" s="233" t="s">
        <v>175</v>
      </c>
      <c r="H355" s="233" t="s">
        <v>175</v>
      </c>
      <c r="I355" s="878">
        <v>44055</v>
      </c>
      <c r="J355" t="s">
        <v>175</v>
      </c>
      <c r="K355" t="s">
        <v>175</v>
      </c>
      <c r="L355" t="s">
        <v>175</v>
      </c>
      <c r="M355" t="s">
        <v>175</v>
      </c>
      <c r="N355" t="s">
        <v>175</v>
      </c>
      <c r="O355" t="s">
        <v>175</v>
      </c>
      <c r="P355" t="s">
        <v>175</v>
      </c>
      <c r="Q355" t="s">
        <v>175</v>
      </c>
      <c r="R355" t="s">
        <v>175</v>
      </c>
      <c r="S355" t="s">
        <v>175</v>
      </c>
      <c r="T355" t="s">
        <v>175</v>
      </c>
      <c r="U355" t="s">
        <v>175</v>
      </c>
      <c r="V355" t="s">
        <v>175</v>
      </c>
      <c r="W355" t="s">
        <v>175</v>
      </c>
      <c r="X355" t="s">
        <v>175</v>
      </c>
      <c r="Y355" t="s">
        <v>175</v>
      </c>
      <c r="Z355" t="s">
        <v>175</v>
      </c>
      <c r="AA355" t="s">
        <v>175</v>
      </c>
      <c r="AB355" t="s">
        <v>175</v>
      </c>
      <c r="AC355" t="s">
        <v>175</v>
      </c>
      <c r="AD355" t="s">
        <v>175</v>
      </c>
      <c r="AE355" t="s">
        <v>175</v>
      </c>
      <c r="AF355" t="s">
        <v>175</v>
      </c>
      <c r="AG355" t="s">
        <v>175</v>
      </c>
      <c r="AH355" s="873">
        <f t="shared" si="5"/>
        <v>44044</v>
      </c>
    </row>
    <row r="356" spans="1:34">
      <c r="A356">
        <v>3</v>
      </c>
      <c r="B356">
        <v>5356</v>
      </c>
      <c r="C356" t="s">
        <v>223</v>
      </c>
      <c r="D356">
        <v>215</v>
      </c>
      <c r="E356" s="233">
        <v>0</v>
      </c>
      <c r="F356" s="233">
        <v>1793801</v>
      </c>
      <c r="G356" s="233">
        <v>-3793801</v>
      </c>
      <c r="H356" s="233" t="s">
        <v>175</v>
      </c>
      <c r="I356" s="878">
        <v>44088</v>
      </c>
      <c r="J356" t="s">
        <v>175</v>
      </c>
      <c r="K356" t="s">
        <v>175</v>
      </c>
      <c r="L356" t="s">
        <v>175</v>
      </c>
      <c r="M356" t="s">
        <v>175</v>
      </c>
      <c r="N356" t="s">
        <v>175</v>
      </c>
      <c r="O356" t="s">
        <v>175</v>
      </c>
      <c r="P356" t="s">
        <v>175</v>
      </c>
      <c r="Q356" t="s">
        <v>175</v>
      </c>
      <c r="R356" t="s">
        <v>175</v>
      </c>
      <c r="S356" t="s">
        <v>175</v>
      </c>
      <c r="T356" t="s">
        <v>175</v>
      </c>
      <c r="U356" t="s">
        <v>175</v>
      </c>
      <c r="V356" t="s">
        <v>175</v>
      </c>
      <c r="W356" t="s">
        <v>175</v>
      </c>
      <c r="X356" t="s">
        <v>175</v>
      </c>
      <c r="Y356" t="s">
        <v>175</v>
      </c>
      <c r="Z356" t="s">
        <v>175</v>
      </c>
      <c r="AA356" t="s">
        <v>175</v>
      </c>
      <c r="AB356" t="s">
        <v>175</v>
      </c>
      <c r="AC356" t="s">
        <v>175</v>
      </c>
      <c r="AD356" t="s">
        <v>175</v>
      </c>
      <c r="AE356" t="s">
        <v>175</v>
      </c>
      <c r="AF356" t="s">
        <v>175</v>
      </c>
      <c r="AG356" t="s">
        <v>175</v>
      </c>
      <c r="AH356" s="873">
        <f t="shared" si="5"/>
        <v>44075</v>
      </c>
    </row>
    <row r="357" spans="1:34">
      <c r="A357">
        <v>4</v>
      </c>
      <c r="B357">
        <v>5356</v>
      </c>
      <c r="C357" t="s">
        <v>223</v>
      </c>
      <c r="D357">
        <v>215</v>
      </c>
      <c r="E357" s="233">
        <v>0</v>
      </c>
      <c r="F357" s="233">
        <v>250000</v>
      </c>
      <c r="G357" s="233" t="s">
        <v>175</v>
      </c>
      <c r="H357" s="233" t="s">
        <v>175</v>
      </c>
      <c r="I357" s="878">
        <v>44117</v>
      </c>
      <c r="J357" t="s">
        <v>175</v>
      </c>
      <c r="K357" t="s">
        <v>175</v>
      </c>
      <c r="L357" t="s">
        <v>175</v>
      </c>
      <c r="M357" t="s">
        <v>175</v>
      </c>
      <c r="N357" t="s">
        <v>175</v>
      </c>
      <c r="O357" t="s">
        <v>175</v>
      </c>
      <c r="P357" t="s">
        <v>175</v>
      </c>
      <c r="Q357" t="s">
        <v>175</v>
      </c>
      <c r="R357" t="s">
        <v>175</v>
      </c>
      <c r="S357" t="s">
        <v>175</v>
      </c>
      <c r="T357" t="s">
        <v>175</v>
      </c>
      <c r="U357" t="s">
        <v>175</v>
      </c>
      <c r="V357" t="s">
        <v>175</v>
      </c>
      <c r="W357" t="s">
        <v>175</v>
      </c>
      <c r="X357" t="s">
        <v>175</v>
      </c>
      <c r="Y357" t="s">
        <v>175</v>
      </c>
      <c r="Z357" t="s">
        <v>175</v>
      </c>
      <c r="AA357" t="s">
        <v>175</v>
      </c>
      <c r="AB357" t="s">
        <v>175</v>
      </c>
      <c r="AC357" t="s">
        <v>175</v>
      </c>
      <c r="AD357" t="s">
        <v>175</v>
      </c>
      <c r="AE357" t="s">
        <v>175</v>
      </c>
      <c r="AF357" t="s">
        <v>175</v>
      </c>
      <c r="AG357" t="s">
        <v>175</v>
      </c>
      <c r="AH357" s="873">
        <f t="shared" si="5"/>
        <v>44105</v>
      </c>
    </row>
    <row r="358" spans="1:34">
      <c r="A358">
        <v>5</v>
      </c>
      <c r="B358">
        <v>5356</v>
      </c>
      <c r="C358" t="s">
        <v>223</v>
      </c>
      <c r="D358">
        <v>215</v>
      </c>
      <c r="E358" s="233">
        <v>0</v>
      </c>
      <c r="F358" s="233">
        <v>250000</v>
      </c>
      <c r="G358" s="233" t="s">
        <v>175</v>
      </c>
      <c r="H358" s="233" t="s">
        <v>175</v>
      </c>
      <c r="I358" s="878">
        <v>44147</v>
      </c>
      <c r="J358" t="s">
        <v>175</v>
      </c>
      <c r="K358" t="s">
        <v>175</v>
      </c>
      <c r="L358" t="s">
        <v>175</v>
      </c>
      <c r="M358" t="s">
        <v>175</v>
      </c>
      <c r="N358" t="s">
        <v>175</v>
      </c>
      <c r="O358" t="s">
        <v>175</v>
      </c>
      <c r="P358" t="s">
        <v>175</v>
      </c>
      <c r="Q358" t="s">
        <v>175</v>
      </c>
      <c r="R358" t="s">
        <v>175</v>
      </c>
      <c r="S358" t="s">
        <v>175</v>
      </c>
      <c r="T358" t="s">
        <v>175</v>
      </c>
      <c r="U358" t="s">
        <v>175</v>
      </c>
      <c r="V358" t="s">
        <v>175</v>
      </c>
      <c r="W358" t="s">
        <v>175</v>
      </c>
      <c r="X358" t="s">
        <v>175</v>
      </c>
      <c r="Y358" t="s">
        <v>175</v>
      </c>
      <c r="Z358" t="s">
        <v>175</v>
      </c>
      <c r="AA358" t="s">
        <v>175</v>
      </c>
      <c r="AB358" t="s">
        <v>175</v>
      </c>
      <c r="AC358" t="s">
        <v>175</v>
      </c>
      <c r="AD358" t="s">
        <v>175</v>
      </c>
      <c r="AE358" t="s">
        <v>175</v>
      </c>
      <c r="AF358" t="s">
        <v>175</v>
      </c>
      <c r="AG358" t="s">
        <v>175</v>
      </c>
      <c r="AH358" s="873">
        <f t="shared" si="5"/>
        <v>44136</v>
      </c>
    </row>
    <row r="359" spans="1:34">
      <c r="A359">
        <v>6</v>
      </c>
      <c r="B359">
        <v>5356</v>
      </c>
      <c r="C359" t="s">
        <v>223</v>
      </c>
      <c r="D359">
        <v>215</v>
      </c>
      <c r="E359" s="233">
        <v>0</v>
      </c>
      <c r="F359" s="233">
        <v>250000</v>
      </c>
      <c r="G359" s="233" t="s">
        <v>175</v>
      </c>
      <c r="H359" s="233" t="s">
        <v>175</v>
      </c>
      <c r="I359" s="878">
        <v>44179</v>
      </c>
      <c r="J359" t="s">
        <v>175</v>
      </c>
      <c r="K359" t="s">
        <v>175</v>
      </c>
      <c r="L359" t="s">
        <v>175</v>
      </c>
      <c r="M359" t="s">
        <v>175</v>
      </c>
      <c r="N359" t="s">
        <v>175</v>
      </c>
      <c r="O359" t="s">
        <v>175</v>
      </c>
      <c r="P359" t="s">
        <v>175</v>
      </c>
      <c r="Q359" t="s">
        <v>175</v>
      </c>
      <c r="R359" t="s">
        <v>175</v>
      </c>
      <c r="S359" t="s">
        <v>175</v>
      </c>
      <c r="T359" t="s">
        <v>175</v>
      </c>
      <c r="U359" t="s">
        <v>175</v>
      </c>
      <c r="V359" t="s">
        <v>175</v>
      </c>
      <c r="W359" t="s">
        <v>175</v>
      </c>
      <c r="X359" t="s">
        <v>175</v>
      </c>
      <c r="Y359" t="s">
        <v>175</v>
      </c>
      <c r="Z359" t="s">
        <v>175</v>
      </c>
      <c r="AA359" t="s">
        <v>175</v>
      </c>
      <c r="AB359" t="s">
        <v>175</v>
      </c>
      <c r="AC359" t="s">
        <v>175</v>
      </c>
      <c r="AD359" t="s">
        <v>175</v>
      </c>
      <c r="AE359" t="s">
        <v>175</v>
      </c>
      <c r="AF359" t="s">
        <v>175</v>
      </c>
      <c r="AG359" t="s">
        <v>175</v>
      </c>
      <c r="AH359" s="873">
        <f t="shared" si="5"/>
        <v>44166</v>
      </c>
    </row>
    <row r="360" spans="1:34">
      <c r="A360">
        <v>7</v>
      </c>
      <c r="B360">
        <v>5356</v>
      </c>
      <c r="C360" t="s">
        <v>223</v>
      </c>
      <c r="D360">
        <v>215</v>
      </c>
      <c r="E360" s="233">
        <v>0</v>
      </c>
      <c r="F360" s="233">
        <v>250000</v>
      </c>
      <c r="G360" s="233" t="s">
        <v>175</v>
      </c>
      <c r="H360" s="233" t="s">
        <v>175</v>
      </c>
      <c r="I360" s="878">
        <v>44193</v>
      </c>
      <c r="J360" t="s">
        <v>175</v>
      </c>
      <c r="K360" t="s">
        <v>175</v>
      </c>
      <c r="L360" t="s">
        <v>175</v>
      </c>
      <c r="M360" t="s">
        <v>175</v>
      </c>
      <c r="N360" t="s">
        <v>175</v>
      </c>
      <c r="O360" t="s">
        <v>175</v>
      </c>
      <c r="P360" t="s">
        <v>175</v>
      </c>
      <c r="Q360" t="s">
        <v>175</v>
      </c>
      <c r="R360" t="s">
        <v>175</v>
      </c>
      <c r="S360" t="s">
        <v>175</v>
      </c>
      <c r="T360" t="s">
        <v>175</v>
      </c>
      <c r="U360" t="s">
        <v>175</v>
      </c>
      <c r="V360" t="s">
        <v>175</v>
      </c>
      <c r="W360" t="s">
        <v>175</v>
      </c>
      <c r="X360" t="s">
        <v>175</v>
      </c>
      <c r="Y360" t="s">
        <v>175</v>
      </c>
      <c r="Z360" t="s">
        <v>175</v>
      </c>
      <c r="AA360" t="s">
        <v>175</v>
      </c>
      <c r="AB360" t="s">
        <v>175</v>
      </c>
      <c r="AC360" t="s">
        <v>175</v>
      </c>
      <c r="AD360" t="s">
        <v>175</v>
      </c>
      <c r="AE360" t="s">
        <v>175</v>
      </c>
      <c r="AF360" t="s">
        <v>175</v>
      </c>
      <c r="AG360" t="s">
        <v>175</v>
      </c>
      <c r="AH360" s="873">
        <f t="shared" si="5"/>
        <v>44166</v>
      </c>
    </row>
    <row r="361" spans="1:34">
      <c r="A361">
        <v>8</v>
      </c>
      <c r="B361">
        <v>5356</v>
      </c>
      <c r="C361" t="s">
        <v>223</v>
      </c>
      <c r="D361">
        <v>215</v>
      </c>
      <c r="E361" s="233">
        <v>0</v>
      </c>
      <c r="F361" s="233">
        <v>0</v>
      </c>
      <c r="G361" s="233" t="s">
        <v>175</v>
      </c>
      <c r="H361" s="233" t="s">
        <v>175</v>
      </c>
      <c r="I361" s="878">
        <v>44208</v>
      </c>
      <c r="J361" t="s">
        <v>175</v>
      </c>
      <c r="K361" t="s">
        <v>175</v>
      </c>
      <c r="L361" t="s">
        <v>175</v>
      </c>
      <c r="M361" t="s">
        <v>175</v>
      </c>
      <c r="N361" t="s">
        <v>175</v>
      </c>
      <c r="O361" t="s">
        <v>175</v>
      </c>
      <c r="P361" t="s">
        <v>175</v>
      </c>
      <c r="Q361" t="s">
        <v>175</v>
      </c>
      <c r="R361" t="s">
        <v>175</v>
      </c>
      <c r="S361" t="s">
        <v>175</v>
      </c>
      <c r="T361" t="s">
        <v>175</v>
      </c>
      <c r="U361" t="s">
        <v>175</v>
      </c>
      <c r="V361" t="s">
        <v>175</v>
      </c>
      <c r="W361" t="s">
        <v>175</v>
      </c>
      <c r="X361" t="s">
        <v>175</v>
      </c>
      <c r="Y361" t="s">
        <v>175</v>
      </c>
      <c r="Z361" t="s">
        <v>175</v>
      </c>
      <c r="AA361" t="s">
        <v>175</v>
      </c>
      <c r="AB361" t="s">
        <v>175</v>
      </c>
      <c r="AC361" t="s">
        <v>175</v>
      </c>
      <c r="AD361" t="s">
        <v>175</v>
      </c>
      <c r="AE361" t="s">
        <v>175</v>
      </c>
      <c r="AF361" t="s">
        <v>175</v>
      </c>
      <c r="AG361" t="s">
        <v>175</v>
      </c>
      <c r="AH361" s="873">
        <f t="shared" si="5"/>
        <v>44197</v>
      </c>
    </row>
    <row r="362" spans="1:34">
      <c r="A362">
        <v>1</v>
      </c>
      <c r="B362">
        <v>5366</v>
      </c>
      <c r="C362" t="s">
        <v>224</v>
      </c>
      <c r="D362">
        <v>202</v>
      </c>
      <c r="E362" s="233">
        <v>0</v>
      </c>
      <c r="F362" s="233">
        <v>479664.66</v>
      </c>
      <c r="H362" s="233"/>
      <c r="I362" s="878">
        <v>44043</v>
      </c>
      <c r="J362" t="s">
        <v>175</v>
      </c>
      <c r="K362" t="s">
        <v>175</v>
      </c>
      <c r="L362" t="s">
        <v>175</v>
      </c>
      <c r="M362" t="s">
        <v>175</v>
      </c>
      <c r="N362" t="s">
        <v>175</v>
      </c>
      <c r="O362" t="s">
        <v>175</v>
      </c>
      <c r="P362" t="s">
        <v>175</v>
      </c>
      <c r="Q362" t="s">
        <v>175</v>
      </c>
      <c r="R362" t="s">
        <v>175</v>
      </c>
      <c r="S362" t="s">
        <v>175</v>
      </c>
      <c r="T362" t="s">
        <v>175</v>
      </c>
      <c r="U362" t="s">
        <v>175</v>
      </c>
      <c r="V362" t="s">
        <v>175</v>
      </c>
      <c r="W362" t="s">
        <v>175</v>
      </c>
      <c r="X362" t="s">
        <v>175</v>
      </c>
      <c r="Y362" t="s">
        <v>175</v>
      </c>
      <c r="Z362" t="s">
        <v>175</v>
      </c>
      <c r="AA362" t="s">
        <v>175</v>
      </c>
      <c r="AB362" t="s">
        <v>175</v>
      </c>
      <c r="AC362" t="s">
        <v>175</v>
      </c>
      <c r="AD362" t="s">
        <v>175</v>
      </c>
      <c r="AE362" t="s">
        <v>175</v>
      </c>
      <c r="AF362" t="s">
        <v>175</v>
      </c>
      <c r="AG362" t="s">
        <v>175</v>
      </c>
      <c r="AH362" s="873">
        <f t="shared" si="5"/>
        <v>44013</v>
      </c>
    </row>
    <row r="363" spans="1:34">
      <c r="A363">
        <v>2</v>
      </c>
      <c r="B363">
        <v>5366</v>
      </c>
      <c r="C363" t="s">
        <v>224</v>
      </c>
      <c r="D363">
        <v>202</v>
      </c>
      <c r="E363" s="233">
        <v>0</v>
      </c>
      <c r="F363" s="233">
        <v>479664.66</v>
      </c>
      <c r="G363" s="234"/>
      <c r="H363" s="233" t="s">
        <v>175</v>
      </c>
      <c r="I363" s="878">
        <v>44055</v>
      </c>
      <c r="J363" t="s">
        <v>175</v>
      </c>
      <c r="K363" t="s">
        <v>175</v>
      </c>
      <c r="L363" t="s">
        <v>175</v>
      </c>
      <c r="M363" t="s">
        <v>175</v>
      </c>
      <c r="N363" t="s">
        <v>175</v>
      </c>
      <c r="O363" t="s">
        <v>175</v>
      </c>
      <c r="P363" t="s">
        <v>175</v>
      </c>
      <c r="Q363" t="s">
        <v>175</v>
      </c>
      <c r="R363" t="s">
        <v>175</v>
      </c>
      <c r="S363" t="s">
        <v>175</v>
      </c>
      <c r="T363" t="s">
        <v>175</v>
      </c>
      <c r="U363" t="s">
        <v>175</v>
      </c>
      <c r="V363" t="s">
        <v>175</v>
      </c>
      <c r="W363" t="s">
        <v>175</v>
      </c>
      <c r="X363" t="s">
        <v>175</v>
      </c>
      <c r="Y363" t="s">
        <v>175</v>
      </c>
      <c r="Z363" t="s">
        <v>175</v>
      </c>
      <c r="AA363" t="s">
        <v>175</v>
      </c>
      <c r="AB363" t="s">
        <v>175</v>
      </c>
      <c r="AC363" t="s">
        <v>175</v>
      </c>
      <c r="AD363" t="s">
        <v>175</v>
      </c>
      <c r="AE363" t="s">
        <v>175</v>
      </c>
      <c r="AF363" t="s">
        <v>175</v>
      </c>
      <c r="AG363" t="s">
        <v>175</v>
      </c>
      <c r="AH363" s="873">
        <f t="shared" si="5"/>
        <v>44044</v>
      </c>
    </row>
    <row r="364" spans="1:34">
      <c r="A364">
        <v>3</v>
      </c>
      <c r="B364">
        <v>5366</v>
      </c>
      <c r="C364" t="s">
        <v>224</v>
      </c>
      <c r="D364">
        <v>202</v>
      </c>
      <c r="E364" s="233">
        <v>0</v>
      </c>
      <c r="F364" s="233">
        <v>479664.66</v>
      </c>
      <c r="G364" s="233">
        <v>-1438993.98</v>
      </c>
      <c r="H364" s="233" t="s">
        <v>175</v>
      </c>
      <c r="I364" s="878">
        <v>44088</v>
      </c>
      <c r="J364" t="s">
        <v>175</v>
      </c>
      <c r="K364" t="s">
        <v>175</v>
      </c>
      <c r="L364" t="s">
        <v>175</v>
      </c>
      <c r="M364" t="s">
        <v>175</v>
      </c>
      <c r="N364" t="s">
        <v>175</v>
      </c>
      <c r="O364" t="s">
        <v>175</v>
      </c>
      <c r="P364" t="s">
        <v>175</v>
      </c>
      <c r="Q364" t="s">
        <v>175</v>
      </c>
      <c r="R364" t="s">
        <v>175</v>
      </c>
      <c r="S364" t="s">
        <v>175</v>
      </c>
      <c r="T364" t="s">
        <v>175</v>
      </c>
      <c r="U364" t="s">
        <v>175</v>
      </c>
      <c r="V364" t="s">
        <v>175</v>
      </c>
      <c r="W364" t="s">
        <v>175</v>
      </c>
      <c r="X364" t="s">
        <v>175</v>
      </c>
      <c r="Y364" t="s">
        <v>175</v>
      </c>
      <c r="Z364" t="s">
        <v>175</v>
      </c>
      <c r="AA364" t="s">
        <v>175</v>
      </c>
      <c r="AB364" t="s">
        <v>175</v>
      </c>
      <c r="AC364" t="s">
        <v>175</v>
      </c>
      <c r="AD364" t="s">
        <v>175</v>
      </c>
      <c r="AE364" t="s">
        <v>175</v>
      </c>
      <c r="AF364" t="s">
        <v>175</v>
      </c>
      <c r="AG364" t="s">
        <v>175</v>
      </c>
      <c r="AH364" s="873">
        <f t="shared" si="5"/>
        <v>44075</v>
      </c>
    </row>
    <row r="365" spans="1:34">
      <c r="A365">
        <v>4</v>
      </c>
      <c r="B365">
        <v>5366</v>
      </c>
      <c r="C365" t="s">
        <v>224</v>
      </c>
      <c r="D365">
        <v>202</v>
      </c>
      <c r="E365" s="233">
        <v>0</v>
      </c>
      <c r="F365" s="233">
        <v>0</v>
      </c>
      <c r="G365" s="233" t="s">
        <v>175</v>
      </c>
      <c r="H365" s="233" t="s">
        <v>175</v>
      </c>
      <c r="I365" s="878">
        <v>44117</v>
      </c>
      <c r="J365" t="s">
        <v>175</v>
      </c>
      <c r="K365" t="s">
        <v>175</v>
      </c>
      <c r="L365" t="s">
        <v>175</v>
      </c>
      <c r="M365" t="s">
        <v>175</v>
      </c>
      <c r="N365" t="s">
        <v>175</v>
      </c>
      <c r="O365" t="s">
        <v>175</v>
      </c>
      <c r="P365" t="s">
        <v>175</v>
      </c>
      <c r="Q365" t="s">
        <v>175</v>
      </c>
      <c r="R365" t="s">
        <v>175</v>
      </c>
      <c r="S365" t="s">
        <v>175</v>
      </c>
      <c r="T365" t="s">
        <v>175</v>
      </c>
      <c r="U365" t="s">
        <v>175</v>
      </c>
      <c r="V365" t="s">
        <v>175</v>
      </c>
      <c r="W365" t="s">
        <v>175</v>
      </c>
      <c r="X365" t="s">
        <v>175</v>
      </c>
      <c r="Y365" t="s">
        <v>175</v>
      </c>
      <c r="Z365" t="s">
        <v>175</v>
      </c>
      <c r="AA365" t="s">
        <v>175</v>
      </c>
      <c r="AB365" t="s">
        <v>175</v>
      </c>
      <c r="AC365" t="s">
        <v>175</v>
      </c>
      <c r="AD365" t="s">
        <v>175</v>
      </c>
      <c r="AE365" t="s">
        <v>175</v>
      </c>
      <c r="AF365" t="s">
        <v>175</v>
      </c>
      <c r="AG365" t="s">
        <v>175</v>
      </c>
      <c r="AH365" s="873">
        <f t="shared" si="5"/>
        <v>44105</v>
      </c>
    </row>
    <row r="366" spans="1:34">
      <c r="A366">
        <v>5</v>
      </c>
      <c r="B366">
        <v>5366</v>
      </c>
      <c r="C366" t="s">
        <v>224</v>
      </c>
      <c r="D366">
        <v>202</v>
      </c>
      <c r="E366" s="233">
        <v>0</v>
      </c>
      <c r="F366" s="233">
        <v>0</v>
      </c>
      <c r="G366" s="233" t="s">
        <v>175</v>
      </c>
      <c r="H366" s="233" t="s">
        <v>175</v>
      </c>
      <c r="I366" s="878">
        <v>44147</v>
      </c>
      <c r="J366" t="s">
        <v>175</v>
      </c>
      <c r="K366" t="s">
        <v>175</v>
      </c>
      <c r="L366" t="s">
        <v>175</v>
      </c>
      <c r="M366" t="s">
        <v>175</v>
      </c>
      <c r="N366" t="s">
        <v>175</v>
      </c>
      <c r="O366" t="s">
        <v>175</v>
      </c>
      <c r="P366" t="s">
        <v>175</v>
      </c>
      <c r="Q366" t="s">
        <v>175</v>
      </c>
      <c r="R366" t="s">
        <v>175</v>
      </c>
      <c r="S366" t="s">
        <v>175</v>
      </c>
      <c r="T366" t="s">
        <v>175</v>
      </c>
      <c r="U366" t="s">
        <v>175</v>
      </c>
      <c r="V366" t="s">
        <v>175</v>
      </c>
      <c r="W366" t="s">
        <v>175</v>
      </c>
      <c r="X366" t="s">
        <v>175</v>
      </c>
      <c r="Y366" t="s">
        <v>175</v>
      </c>
      <c r="Z366" t="s">
        <v>175</v>
      </c>
      <c r="AA366" t="s">
        <v>175</v>
      </c>
      <c r="AB366" t="s">
        <v>175</v>
      </c>
      <c r="AC366" t="s">
        <v>175</v>
      </c>
      <c r="AD366" t="s">
        <v>175</v>
      </c>
      <c r="AE366" t="s">
        <v>175</v>
      </c>
      <c r="AF366" t="s">
        <v>175</v>
      </c>
      <c r="AG366" t="s">
        <v>175</v>
      </c>
      <c r="AH366" s="873">
        <f t="shared" si="5"/>
        <v>44136</v>
      </c>
    </row>
    <row r="367" spans="1:34">
      <c r="A367">
        <v>6</v>
      </c>
      <c r="B367">
        <v>5366</v>
      </c>
      <c r="C367" t="s">
        <v>224</v>
      </c>
      <c r="D367">
        <v>202</v>
      </c>
      <c r="E367" s="233">
        <v>0</v>
      </c>
      <c r="F367" s="233">
        <v>0</v>
      </c>
      <c r="G367" s="233" t="s">
        <v>175</v>
      </c>
      <c r="H367" s="233" t="s">
        <v>175</v>
      </c>
      <c r="I367" s="878">
        <v>44179</v>
      </c>
      <c r="J367" t="s">
        <v>175</v>
      </c>
      <c r="K367" t="s">
        <v>175</v>
      </c>
      <c r="L367" t="s">
        <v>175</v>
      </c>
      <c r="M367" t="s">
        <v>175</v>
      </c>
      <c r="N367" t="s">
        <v>175</v>
      </c>
      <c r="O367" t="s">
        <v>175</v>
      </c>
      <c r="P367" t="s">
        <v>175</v>
      </c>
      <c r="Q367" t="s">
        <v>175</v>
      </c>
      <c r="R367" t="s">
        <v>175</v>
      </c>
      <c r="S367" t="s">
        <v>175</v>
      </c>
      <c r="T367" t="s">
        <v>175</v>
      </c>
      <c r="U367" t="s">
        <v>175</v>
      </c>
      <c r="V367" t="s">
        <v>175</v>
      </c>
      <c r="W367" t="s">
        <v>175</v>
      </c>
      <c r="X367" t="s">
        <v>175</v>
      </c>
      <c r="Y367" t="s">
        <v>175</v>
      </c>
      <c r="Z367" t="s">
        <v>175</v>
      </c>
      <c r="AA367" t="s">
        <v>175</v>
      </c>
      <c r="AB367" t="s">
        <v>175</v>
      </c>
      <c r="AC367" t="s">
        <v>175</v>
      </c>
      <c r="AD367" t="s">
        <v>175</v>
      </c>
      <c r="AE367" t="s">
        <v>175</v>
      </c>
      <c r="AF367" t="s">
        <v>175</v>
      </c>
      <c r="AG367" t="s">
        <v>175</v>
      </c>
      <c r="AH367" s="873">
        <f t="shared" si="5"/>
        <v>44166</v>
      </c>
    </row>
    <row r="368" spans="1:34">
      <c r="A368">
        <v>7</v>
      </c>
      <c r="B368">
        <v>5366</v>
      </c>
      <c r="C368" t="s">
        <v>224</v>
      </c>
      <c r="D368">
        <v>202</v>
      </c>
      <c r="E368" s="233">
        <v>0</v>
      </c>
      <c r="F368" s="233">
        <v>0</v>
      </c>
      <c r="G368" s="233" t="s">
        <v>175</v>
      </c>
      <c r="H368" s="233" t="s">
        <v>175</v>
      </c>
      <c r="I368" s="878">
        <v>44193</v>
      </c>
      <c r="J368" t="s">
        <v>175</v>
      </c>
      <c r="K368" t="s">
        <v>175</v>
      </c>
      <c r="L368" t="s">
        <v>175</v>
      </c>
      <c r="M368" t="s">
        <v>175</v>
      </c>
      <c r="N368" t="s">
        <v>175</v>
      </c>
      <c r="O368" t="s">
        <v>175</v>
      </c>
      <c r="P368" t="s">
        <v>175</v>
      </c>
      <c r="Q368" t="s">
        <v>175</v>
      </c>
      <c r="R368" t="s">
        <v>175</v>
      </c>
      <c r="S368" t="s">
        <v>175</v>
      </c>
      <c r="T368" t="s">
        <v>175</v>
      </c>
      <c r="U368" t="s">
        <v>175</v>
      </c>
      <c r="V368" t="s">
        <v>175</v>
      </c>
      <c r="W368" t="s">
        <v>175</v>
      </c>
      <c r="X368" t="s">
        <v>175</v>
      </c>
      <c r="Y368" t="s">
        <v>175</v>
      </c>
      <c r="Z368" t="s">
        <v>175</v>
      </c>
      <c r="AA368" t="s">
        <v>175</v>
      </c>
      <c r="AB368" t="s">
        <v>175</v>
      </c>
      <c r="AC368" t="s">
        <v>175</v>
      </c>
      <c r="AD368" t="s">
        <v>175</v>
      </c>
      <c r="AE368" t="s">
        <v>175</v>
      </c>
      <c r="AF368" t="s">
        <v>175</v>
      </c>
      <c r="AG368" t="s">
        <v>175</v>
      </c>
      <c r="AH368" s="873">
        <f t="shared" si="5"/>
        <v>44166</v>
      </c>
    </row>
    <row r="369" spans="1:34">
      <c r="A369">
        <v>8</v>
      </c>
      <c r="B369">
        <v>5366</v>
      </c>
      <c r="C369" t="s">
        <v>224</v>
      </c>
      <c r="D369">
        <v>202</v>
      </c>
      <c r="E369" s="233">
        <v>0</v>
      </c>
      <c r="F369" s="233">
        <v>0</v>
      </c>
      <c r="G369" s="233" t="s">
        <v>175</v>
      </c>
      <c r="H369" s="233" t="s">
        <v>175</v>
      </c>
      <c r="I369" s="878">
        <v>44208</v>
      </c>
      <c r="J369" t="s">
        <v>175</v>
      </c>
      <c r="K369" t="s">
        <v>175</v>
      </c>
      <c r="L369" t="s">
        <v>175</v>
      </c>
      <c r="M369" t="s">
        <v>175</v>
      </c>
      <c r="N369" t="s">
        <v>175</v>
      </c>
      <c r="O369" t="s">
        <v>175</v>
      </c>
      <c r="P369" t="s">
        <v>175</v>
      </c>
      <c r="Q369" t="s">
        <v>175</v>
      </c>
      <c r="R369" t="s">
        <v>175</v>
      </c>
      <c r="S369" t="s">
        <v>175</v>
      </c>
      <c r="T369" t="s">
        <v>175</v>
      </c>
      <c r="U369" t="s">
        <v>175</v>
      </c>
      <c r="V369" t="s">
        <v>175</v>
      </c>
      <c r="W369" t="s">
        <v>175</v>
      </c>
      <c r="X369" t="s">
        <v>175</v>
      </c>
      <c r="Y369" t="s">
        <v>175</v>
      </c>
      <c r="Z369" t="s">
        <v>175</v>
      </c>
      <c r="AA369" t="s">
        <v>175</v>
      </c>
      <c r="AB369" t="s">
        <v>175</v>
      </c>
      <c r="AC369" t="s">
        <v>175</v>
      </c>
      <c r="AD369" t="s">
        <v>175</v>
      </c>
      <c r="AE369" t="s">
        <v>175</v>
      </c>
      <c r="AF369" t="s">
        <v>175</v>
      </c>
      <c r="AG369" t="s">
        <v>175</v>
      </c>
      <c r="AH369" s="873">
        <f t="shared" si="5"/>
        <v>44197</v>
      </c>
    </row>
    <row r="370" spans="1:34">
      <c r="A370">
        <v>1</v>
      </c>
      <c r="B370">
        <v>5370</v>
      </c>
      <c r="C370" t="s">
        <v>225</v>
      </c>
      <c r="D370">
        <v>230</v>
      </c>
      <c r="E370" s="233">
        <v>0</v>
      </c>
      <c r="F370" s="233">
        <v>3496444.9</v>
      </c>
      <c r="H370" s="233">
        <v>0</v>
      </c>
      <c r="I370" s="878">
        <v>44043</v>
      </c>
      <c r="J370" t="s">
        <v>175</v>
      </c>
      <c r="K370" t="s">
        <v>175</v>
      </c>
      <c r="L370" t="s">
        <v>175</v>
      </c>
      <c r="M370" t="s">
        <v>175</v>
      </c>
      <c r="N370" t="s">
        <v>175</v>
      </c>
      <c r="O370" t="s">
        <v>175</v>
      </c>
      <c r="P370" t="s">
        <v>175</v>
      </c>
      <c r="Q370" t="s">
        <v>175</v>
      </c>
      <c r="R370" t="s">
        <v>175</v>
      </c>
      <c r="S370" t="s">
        <v>175</v>
      </c>
      <c r="T370" t="s">
        <v>175</v>
      </c>
      <c r="U370" t="s">
        <v>175</v>
      </c>
      <c r="V370" t="s">
        <v>175</v>
      </c>
      <c r="W370" t="s">
        <v>175</v>
      </c>
      <c r="X370" t="s">
        <v>175</v>
      </c>
      <c r="Y370" t="s">
        <v>175</v>
      </c>
      <c r="Z370" t="s">
        <v>175</v>
      </c>
      <c r="AA370" t="s">
        <v>175</v>
      </c>
      <c r="AB370" t="s">
        <v>175</v>
      </c>
      <c r="AC370" t="s">
        <v>175</v>
      </c>
      <c r="AD370" t="s">
        <v>175</v>
      </c>
      <c r="AE370" t="s">
        <v>175</v>
      </c>
      <c r="AF370" t="s">
        <v>175</v>
      </c>
      <c r="AG370" t="s">
        <v>175</v>
      </c>
      <c r="AH370" s="873">
        <f t="shared" si="5"/>
        <v>44013</v>
      </c>
    </row>
    <row r="371" spans="1:34">
      <c r="A371">
        <v>2</v>
      </c>
      <c r="B371">
        <v>5370</v>
      </c>
      <c r="C371" t="s">
        <v>225</v>
      </c>
      <c r="D371">
        <v>230</v>
      </c>
      <c r="E371" s="233">
        <v>0</v>
      </c>
      <c r="F371" s="233">
        <v>3496444.85</v>
      </c>
      <c r="G371" s="233" t="s">
        <v>175</v>
      </c>
      <c r="H371" s="233" t="s">
        <v>175</v>
      </c>
      <c r="I371" s="878">
        <v>44055</v>
      </c>
      <c r="J371" t="s">
        <v>175</v>
      </c>
      <c r="K371" t="s">
        <v>175</v>
      </c>
      <c r="L371" t="s">
        <v>175</v>
      </c>
      <c r="M371" t="s">
        <v>175</v>
      </c>
      <c r="N371" t="s">
        <v>175</v>
      </c>
      <c r="O371" t="s">
        <v>175</v>
      </c>
      <c r="P371" t="s">
        <v>175</v>
      </c>
      <c r="Q371" t="s">
        <v>175</v>
      </c>
      <c r="R371" t="s">
        <v>175</v>
      </c>
      <c r="S371" t="s">
        <v>175</v>
      </c>
      <c r="T371" t="s">
        <v>175</v>
      </c>
      <c r="U371" t="s">
        <v>175</v>
      </c>
      <c r="V371" t="s">
        <v>175</v>
      </c>
      <c r="W371" t="s">
        <v>175</v>
      </c>
      <c r="X371" t="s">
        <v>175</v>
      </c>
      <c r="Y371" t="s">
        <v>175</v>
      </c>
      <c r="Z371" t="s">
        <v>175</v>
      </c>
      <c r="AA371" t="s">
        <v>175</v>
      </c>
      <c r="AB371" t="s">
        <v>175</v>
      </c>
      <c r="AC371" t="s">
        <v>175</v>
      </c>
      <c r="AD371" t="s">
        <v>175</v>
      </c>
      <c r="AE371" t="s">
        <v>175</v>
      </c>
      <c r="AF371" t="s">
        <v>175</v>
      </c>
      <c r="AG371" t="s">
        <v>175</v>
      </c>
      <c r="AH371" s="873">
        <f t="shared" si="5"/>
        <v>44044</v>
      </c>
    </row>
    <row r="372" spans="1:34">
      <c r="A372">
        <v>3</v>
      </c>
      <c r="B372">
        <v>5370</v>
      </c>
      <c r="C372" t="s">
        <v>225</v>
      </c>
      <c r="D372">
        <v>230</v>
      </c>
      <c r="E372" s="233">
        <v>0</v>
      </c>
      <c r="F372" s="233">
        <v>3496444.85</v>
      </c>
      <c r="G372" s="233">
        <v>-10489334.6</v>
      </c>
      <c r="H372" s="233" t="s">
        <v>175</v>
      </c>
      <c r="I372" s="878">
        <v>44088</v>
      </c>
      <c r="J372" t="s">
        <v>175</v>
      </c>
      <c r="K372" t="s">
        <v>175</v>
      </c>
      <c r="L372" t="s">
        <v>175</v>
      </c>
      <c r="M372" t="s">
        <v>175</v>
      </c>
      <c r="N372" t="s">
        <v>175</v>
      </c>
      <c r="O372" t="s">
        <v>175</v>
      </c>
      <c r="P372" t="s">
        <v>175</v>
      </c>
      <c r="Q372" t="s">
        <v>175</v>
      </c>
      <c r="R372" t="s">
        <v>175</v>
      </c>
      <c r="S372" t="s">
        <v>175</v>
      </c>
      <c r="T372" t="s">
        <v>175</v>
      </c>
      <c r="U372" t="s">
        <v>175</v>
      </c>
      <c r="V372" t="s">
        <v>175</v>
      </c>
      <c r="W372" t="s">
        <v>175</v>
      </c>
      <c r="X372" t="s">
        <v>175</v>
      </c>
      <c r="Y372" t="s">
        <v>175</v>
      </c>
      <c r="Z372" t="s">
        <v>175</v>
      </c>
      <c r="AA372" t="s">
        <v>175</v>
      </c>
      <c r="AB372" t="s">
        <v>175</v>
      </c>
      <c r="AC372" t="s">
        <v>175</v>
      </c>
      <c r="AD372" t="s">
        <v>175</v>
      </c>
      <c r="AE372" t="s">
        <v>175</v>
      </c>
      <c r="AF372" t="s">
        <v>175</v>
      </c>
      <c r="AG372" t="s">
        <v>175</v>
      </c>
      <c r="AH372" s="873">
        <f t="shared" si="5"/>
        <v>44075</v>
      </c>
    </row>
    <row r="373" spans="1:34">
      <c r="A373">
        <v>4</v>
      </c>
      <c r="B373">
        <v>5370</v>
      </c>
      <c r="C373" t="s">
        <v>225</v>
      </c>
      <c r="D373">
        <v>230</v>
      </c>
      <c r="E373" s="233">
        <v>0</v>
      </c>
      <c r="F373" s="233">
        <v>3496444.85</v>
      </c>
      <c r="G373" s="233" t="s">
        <v>175</v>
      </c>
      <c r="H373" s="233" t="s">
        <v>175</v>
      </c>
      <c r="I373" s="878">
        <v>44117</v>
      </c>
      <c r="J373" t="s">
        <v>175</v>
      </c>
      <c r="K373" t="s">
        <v>175</v>
      </c>
      <c r="L373" t="s">
        <v>175</v>
      </c>
      <c r="M373" t="s">
        <v>175</v>
      </c>
      <c r="N373" t="s">
        <v>175</v>
      </c>
      <c r="O373" t="s">
        <v>175</v>
      </c>
      <c r="P373" t="s">
        <v>175</v>
      </c>
      <c r="Q373" t="s">
        <v>175</v>
      </c>
      <c r="R373" t="s">
        <v>175</v>
      </c>
      <c r="S373" t="s">
        <v>175</v>
      </c>
      <c r="T373" t="s">
        <v>175</v>
      </c>
      <c r="U373" t="s">
        <v>175</v>
      </c>
      <c r="V373" t="s">
        <v>175</v>
      </c>
      <c r="W373" t="s">
        <v>175</v>
      </c>
      <c r="X373" t="s">
        <v>175</v>
      </c>
      <c r="Y373" t="s">
        <v>175</v>
      </c>
      <c r="Z373" t="s">
        <v>175</v>
      </c>
      <c r="AA373" t="s">
        <v>175</v>
      </c>
      <c r="AB373" t="s">
        <v>175</v>
      </c>
      <c r="AC373" t="s">
        <v>175</v>
      </c>
      <c r="AD373" t="s">
        <v>175</v>
      </c>
      <c r="AE373" t="s">
        <v>175</v>
      </c>
      <c r="AF373" t="s">
        <v>175</v>
      </c>
      <c r="AG373" t="s">
        <v>175</v>
      </c>
      <c r="AH373" s="873">
        <f t="shared" si="5"/>
        <v>44105</v>
      </c>
    </row>
    <row r="374" spans="1:34">
      <c r="A374">
        <v>5</v>
      </c>
      <c r="B374">
        <v>5370</v>
      </c>
      <c r="C374" t="s">
        <v>225</v>
      </c>
      <c r="D374">
        <v>230</v>
      </c>
      <c r="E374" s="233">
        <v>0</v>
      </c>
      <c r="F374" s="233">
        <v>3496444.85</v>
      </c>
      <c r="G374" s="233" t="s">
        <v>175</v>
      </c>
      <c r="H374" s="233" t="s">
        <v>175</v>
      </c>
      <c r="I374" s="878">
        <v>44147</v>
      </c>
      <c r="J374" t="s">
        <v>175</v>
      </c>
      <c r="K374" t="s">
        <v>175</v>
      </c>
      <c r="L374" t="s">
        <v>175</v>
      </c>
      <c r="M374" t="s">
        <v>175</v>
      </c>
      <c r="N374" t="s">
        <v>175</v>
      </c>
      <c r="O374" t="s">
        <v>175</v>
      </c>
      <c r="P374" t="s">
        <v>175</v>
      </c>
      <c r="Q374" t="s">
        <v>175</v>
      </c>
      <c r="R374" t="s">
        <v>175</v>
      </c>
      <c r="S374" t="s">
        <v>175</v>
      </c>
      <c r="T374" t="s">
        <v>175</v>
      </c>
      <c r="U374" t="s">
        <v>175</v>
      </c>
      <c r="V374" t="s">
        <v>175</v>
      </c>
      <c r="W374" t="s">
        <v>175</v>
      </c>
      <c r="X374" t="s">
        <v>175</v>
      </c>
      <c r="Y374" t="s">
        <v>175</v>
      </c>
      <c r="Z374" t="s">
        <v>175</v>
      </c>
      <c r="AA374" t="s">
        <v>175</v>
      </c>
      <c r="AB374" t="s">
        <v>175</v>
      </c>
      <c r="AC374" t="s">
        <v>175</v>
      </c>
      <c r="AD374" t="s">
        <v>175</v>
      </c>
      <c r="AE374" t="s">
        <v>175</v>
      </c>
      <c r="AF374" t="s">
        <v>175</v>
      </c>
      <c r="AG374" t="s">
        <v>175</v>
      </c>
      <c r="AH374" s="873">
        <f t="shared" si="5"/>
        <v>44136</v>
      </c>
    </row>
    <row r="375" spans="1:34">
      <c r="A375">
        <v>6</v>
      </c>
      <c r="B375">
        <v>5370</v>
      </c>
      <c r="C375" t="s">
        <v>225</v>
      </c>
      <c r="D375">
        <v>230</v>
      </c>
      <c r="E375" s="233">
        <v>0</v>
      </c>
      <c r="F375" s="233">
        <v>3496444.85</v>
      </c>
      <c r="G375" s="233" t="s">
        <v>175</v>
      </c>
      <c r="H375" s="233" t="s">
        <v>175</v>
      </c>
      <c r="I375" s="878">
        <v>44179</v>
      </c>
      <c r="J375" t="s">
        <v>175</v>
      </c>
      <c r="K375" t="s">
        <v>175</v>
      </c>
      <c r="L375" t="s">
        <v>175</v>
      </c>
      <c r="M375" t="s">
        <v>175</v>
      </c>
      <c r="N375" t="s">
        <v>175</v>
      </c>
      <c r="O375" t="s">
        <v>175</v>
      </c>
      <c r="P375" t="s">
        <v>175</v>
      </c>
      <c r="Q375" t="s">
        <v>175</v>
      </c>
      <c r="R375" t="s">
        <v>175</v>
      </c>
      <c r="S375" t="s">
        <v>175</v>
      </c>
      <c r="T375" t="s">
        <v>175</v>
      </c>
      <c r="U375" t="s">
        <v>175</v>
      </c>
      <c r="V375" t="s">
        <v>175</v>
      </c>
      <c r="W375" t="s">
        <v>175</v>
      </c>
      <c r="X375" t="s">
        <v>175</v>
      </c>
      <c r="Y375" t="s">
        <v>175</v>
      </c>
      <c r="Z375" t="s">
        <v>175</v>
      </c>
      <c r="AA375" t="s">
        <v>175</v>
      </c>
      <c r="AB375" t="s">
        <v>175</v>
      </c>
      <c r="AC375" t="s">
        <v>175</v>
      </c>
      <c r="AD375" t="s">
        <v>175</v>
      </c>
      <c r="AE375" t="s">
        <v>175</v>
      </c>
      <c r="AF375" t="s">
        <v>175</v>
      </c>
      <c r="AG375" t="s">
        <v>175</v>
      </c>
      <c r="AH375" s="873">
        <f t="shared" si="5"/>
        <v>44166</v>
      </c>
    </row>
    <row r="376" spans="1:34">
      <c r="A376">
        <v>7</v>
      </c>
      <c r="B376">
        <v>5370</v>
      </c>
      <c r="C376" t="s">
        <v>225</v>
      </c>
      <c r="D376">
        <v>230</v>
      </c>
      <c r="E376" s="233">
        <v>0</v>
      </c>
      <c r="F376" s="233">
        <v>3496444.85</v>
      </c>
      <c r="G376" s="233" t="s">
        <v>175</v>
      </c>
      <c r="H376" s="233" t="s">
        <v>175</v>
      </c>
      <c r="I376" s="878">
        <v>44193</v>
      </c>
      <c r="J376" t="s">
        <v>175</v>
      </c>
      <c r="K376" t="s">
        <v>175</v>
      </c>
      <c r="L376" t="s">
        <v>175</v>
      </c>
      <c r="M376" t="s">
        <v>175</v>
      </c>
      <c r="N376" t="s">
        <v>175</v>
      </c>
      <c r="O376" t="s">
        <v>175</v>
      </c>
      <c r="P376" t="s">
        <v>175</v>
      </c>
      <c r="Q376" t="s">
        <v>175</v>
      </c>
      <c r="R376" t="s">
        <v>175</v>
      </c>
      <c r="S376" t="s">
        <v>175</v>
      </c>
      <c r="T376" t="s">
        <v>175</v>
      </c>
      <c r="U376" t="s">
        <v>175</v>
      </c>
      <c r="V376" t="s">
        <v>175</v>
      </c>
      <c r="W376" t="s">
        <v>175</v>
      </c>
      <c r="X376" t="s">
        <v>175</v>
      </c>
      <c r="Y376" t="s">
        <v>175</v>
      </c>
      <c r="Z376" t="s">
        <v>175</v>
      </c>
      <c r="AA376" t="s">
        <v>175</v>
      </c>
      <c r="AB376" t="s">
        <v>175</v>
      </c>
      <c r="AC376" t="s">
        <v>175</v>
      </c>
      <c r="AD376" t="s">
        <v>175</v>
      </c>
      <c r="AE376" t="s">
        <v>175</v>
      </c>
      <c r="AF376" t="s">
        <v>175</v>
      </c>
      <c r="AG376" t="s">
        <v>175</v>
      </c>
      <c r="AH376" s="873">
        <f t="shared" si="5"/>
        <v>44166</v>
      </c>
    </row>
    <row r="377" spans="1:34">
      <c r="A377">
        <v>8</v>
      </c>
      <c r="B377">
        <v>5370</v>
      </c>
      <c r="C377" t="s">
        <v>225</v>
      </c>
      <c r="D377">
        <v>230</v>
      </c>
      <c r="E377" s="233">
        <v>0</v>
      </c>
      <c r="F377" s="233">
        <v>0</v>
      </c>
      <c r="G377" s="233" t="s">
        <v>175</v>
      </c>
      <c r="H377" s="233" t="s">
        <v>175</v>
      </c>
      <c r="I377" s="878">
        <v>44208</v>
      </c>
      <c r="J377" t="s">
        <v>175</v>
      </c>
      <c r="K377" t="s">
        <v>175</v>
      </c>
      <c r="L377" t="s">
        <v>175</v>
      </c>
      <c r="M377" t="s">
        <v>175</v>
      </c>
      <c r="N377" t="s">
        <v>175</v>
      </c>
      <c r="O377" t="s">
        <v>175</v>
      </c>
      <c r="P377" t="s">
        <v>175</v>
      </c>
      <c r="Q377" t="s">
        <v>175</v>
      </c>
      <c r="R377" t="s">
        <v>175</v>
      </c>
      <c r="S377" t="s">
        <v>175</v>
      </c>
      <c r="T377" t="s">
        <v>175</v>
      </c>
      <c r="U377" t="s">
        <v>175</v>
      </c>
      <c r="V377" t="s">
        <v>175</v>
      </c>
      <c r="W377" t="s">
        <v>175</v>
      </c>
      <c r="X377" t="s">
        <v>175</v>
      </c>
      <c r="Y377" t="s">
        <v>175</v>
      </c>
      <c r="Z377" t="s">
        <v>175</v>
      </c>
      <c r="AA377" t="s">
        <v>175</v>
      </c>
      <c r="AB377" t="s">
        <v>175</v>
      </c>
      <c r="AC377" t="s">
        <v>175</v>
      </c>
      <c r="AD377" t="s">
        <v>175</v>
      </c>
      <c r="AE377" t="s">
        <v>175</v>
      </c>
      <c r="AF377" t="s">
        <v>175</v>
      </c>
      <c r="AG377" t="s">
        <v>175</v>
      </c>
      <c r="AH377" s="873">
        <f t="shared" si="5"/>
        <v>44197</v>
      </c>
    </row>
    <row r="378" spans="1:34">
      <c r="A378">
        <v>1</v>
      </c>
      <c r="B378">
        <v>5697</v>
      </c>
      <c r="C378" t="s">
        <v>226</v>
      </c>
      <c r="D378">
        <v>111</v>
      </c>
      <c r="E378">
        <v>583210780.62852705</v>
      </c>
      <c r="F378">
        <v>0</v>
      </c>
      <c r="G378">
        <v>0</v>
      </c>
      <c r="H378">
        <v>0</v>
      </c>
      <c r="I378" s="878">
        <v>44043</v>
      </c>
      <c r="J378">
        <v>1</v>
      </c>
      <c r="K378" t="s">
        <v>227</v>
      </c>
      <c r="L378">
        <v>5697</v>
      </c>
      <c r="M378">
        <v>7.6817682546415994E-2</v>
      </c>
      <c r="N378">
        <v>0.76099553702730405</v>
      </c>
      <c r="O378">
        <v>0.12294244216895001</v>
      </c>
      <c r="P378">
        <v>3.9244338257329599E-2</v>
      </c>
      <c r="Q378">
        <v>2.2429461717999599E-2</v>
      </c>
      <c r="R378">
        <v>5.03089714272974E-2</v>
      </c>
      <c r="S378">
        <v>-3.1254829006306102E-3</v>
      </c>
      <c r="T378">
        <v>-7.8185296022746497E-3</v>
      </c>
      <c r="U378">
        <v>8.7024097206380097E-4</v>
      </c>
      <c r="V378">
        <v>-1.76405318680855E-3</v>
      </c>
      <c r="W378">
        <v>1.5917074118769001E-2</v>
      </c>
      <c r="X378">
        <v>0</v>
      </c>
      <c r="Y378">
        <v>0.43639809370585197</v>
      </c>
      <c r="Z378">
        <v>0.22838390758403901</v>
      </c>
      <c r="AA378">
        <v>-1.0576914364737001E-2</v>
      </c>
      <c r="AB378">
        <v>4.93273865558672E-2</v>
      </c>
      <c r="AC378">
        <v>1.2523264881453101E-2</v>
      </c>
      <c r="AD378">
        <v>-0.20453180698640799</v>
      </c>
      <c r="AE378">
        <v>0.24947160565123899</v>
      </c>
      <c r="AF378">
        <v>0</v>
      </c>
      <c r="AG378" s="878">
        <v>44043</v>
      </c>
      <c r="AH378" s="873">
        <f t="shared" si="5"/>
        <v>44013</v>
      </c>
    </row>
    <row r="379" spans="1:34">
      <c r="A379">
        <v>2</v>
      </c>
      <c r="B379">
        <v>5697</v>
      </c>
      <c r="C379" t="s">
        <v>226</v>
      </c>
      <c r="D379">
        <v>111</v>
      </c>
      <c r="E379">
        <v>0</v>
      </c>
      <c r="F379">
        <v>0</v>
      </c>
      <c r="G379" t="s">
        <v>175</v>
      </c>
      <c r="H379" t="s">
        <v>175</v>
      </c>
      <c r="I379" s="878">
        <v>44055</v>
      </c>
      <c r="J379">
        <v>2</v>
      </c>
      <c r="K379" t="s">
        <v>227</v>
      </c>
      <c r="L379">
        <v>5697</v>
      </c>
      <c r="M379">
        <v>0</v>
      </c>
      <c r="N379" t="s">
        <v>175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 t="s">
        <v>175</v>
      </c>
      <c r="Z379" t="s">
        <v>175</v>
      </c>
      <c r="AA379" t="s">
        <v>175</v>
      </c>
      <c r="AB379" t="s">
        <v>175</v>
      </c>
      <c r="AC379" t="s">
        <v>175</v>
      </c>
      <c r="AD379" t="s">
        <v>175</v>
      </c>
      <c r="AE379" t="s">
        <v>175</v>
      </c>
      <c r="AF379" t="s">
        <v>175</v>
      </c>
      <c r="AG379" s="878">
        <v>44055</v>
      </c>
      <c r="AH379" s="873">
        <f t="shared" si="5"/>
        <v>44044</v>
      </c>
    </row>
    <row r="380" spans="1:34">
      <c r="A380">
        <v>3</v>
      </c>
      <c r="B380">
        <v>5697</v>
      </c>
      <c r="C380" t="s">
        <v>226</v>
      </c>
      <c r="D380">
        <v>111</v>
      </c>
      <c r="E380">
        <v>0</v>
      </c>
      <c r="F380">
        <v>0</v>
      </c>
      <c r="G380" t="s">
        <v>175</v>
      </c>
      <c r="H380" t="s">
        <v>175</v>
      </c>
      <c r="I380" s="878">
        <v>44088</v>
      </c>
      <c r="J380">
        <v>3</v>
      </c>
      <c r="K380" t="s">
        <v>227</v>
      </c>
      <c r="L380">
        <v>5697</v>
      </c>
      <c r="M380">
        <v>0</v>
      </c>
      <c r="N380" t="s">
        <v>175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 t="s">
        <v>175</v>
      </c>
      <c r="Z380" t="s">
        <v>175</v>
      </c>
      <c r="AA380" t="s">
        <v>175</v>
      </c>
      <c r="AB380" t="s">
        <v>175</v>
      </c>
      <c r="AC380" t="s">
        <v>175</v>
      </c>
      <c r="AD380" t="s">
        <v>175</v>
      </c>
      <c r="AE380" t="s">
        <v>175</v>
      </c>
      <c r="AF380" t="s">
        <v>175</v>
      </c>
      <c r="AG380" s="878">
        <v>44088</v>
      </c>
      <c r="AH380" s="873">
        <f t="shared" si="5"/>
        <v>44075</v>
      </c>
    </row>
    <row r="381" spans="1:34">
      <c r="A381">
        <v>4</v>
      </c>
      <c r="B381">
        <v>5697</v>
      </c>
      <c r="C381" t="s">
        <v>226</v>
      </c>
      <c r="D381">
        <v>111</v>
      </c>
      <c r="E381">
        <v>0</v>
      </c>
      <c r="F381">
        <v>0</v>
      </c>
      <c r="G381" t="s">
        <v>175</v>
      </c>
      <c r="H381" t="s">
        <v>175</v>
      </c>
      <c r="I381" s="878">
        <v>44117</v>
      </c>
      <c r="J381">
        <v>4</v>
      </c>
      <c r="K381" t="s">
        <v>227</v>
      </c>
      <c r="L381">
        <v>5697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 t="s">
        <v>175</v>
      </c>
      <c r="Z381" t="s">
        <v>175</v>
      </c>
      <c r="AA381" t="s">
        <v>175</v>
      </c>
      <c r="AB381" t="s">
        <v>175</v>
      </c>
      <c r="AC381" t="s">
        <v>175</v>
      </c>
      <c r="AD381" t="s">
        <v>175</v>
      </c>
      <c r="AE381" t="s">
        <v>175</v>
      </c>
      <c r="AF381" t="s">
        <v>175</v>
      </c>
      <c r="AG381" s="878">
        <v>44117</v>
      </c>
      <c r="AH381" s="873">
        <f t="shared" si="5"/>
        <v>44105</v>
      </c>
    </row>
    <row r="382" spans="1:34">
      <c r="A382">
        <v>5</v>
      </c>
      <c r="B382">
        <v>5697</v>
      </c>
      <c r="C382" t="s">
        <v>226</v>
      </c>
      <c r="D382">
        <v>111</v>
      </c>
      <c r="E382">
        <v>0</v>
      </c>
      <c r="F382">
        <v>0</v>
      </c>
      <c r="G382" t="s">
        <v>175</v>
      </c>
      <c r="H382" t="s">
        <v>175</v>
      </c>
      <c r="I382" s="878">
        <v>44147</v>
      </c>
      <c r="J382">
        <v>5</v>
      </c>
      <c r="K382" t="s">
        <v>227</v>
      </c>
      <c r="L382">
        <v>5697</v>
      </c>
      <c r="M382" t="s">
        <v>175</v>
      </c>
      <c r="N382" t="s">
        <v>175</v>
      </c>
      <c r="O382" t="s">
        <v>175</v>
      </c>
      <c r="P382" t="s">
        <v>175</v>
      </c>
      <c r="Q382" t="s">
        <v>175</v>
      </c>
      <c r="R382" t="s">
        <v>175</v>
      </c>
      <c r="S382" t="s">
        <v>175</v>
      </c>
      <c r="T382" t="s">
        <v>175</v>
      </c>
      <c r="U382" t="s">
        <v>175</v>
      </c>
      <c r="V382" t="s">
        <v>175</v>
      </c>
      <c r="W382" t="s">
        <v>175</v>
      </c>
      <c r="X382" t="s">
        <v>175</v>
      </c>
      <c r="Y382" t="s">
        <v>175</v>
      </c>
      <c r="Z382" t="s">
        <v>175</v>
      </c>
      <c r="AA382" t="s">
        <v>175</v>
      </c>
      <c r="AB382" t="s">
        <v>175</v>
      </c>
      <c r="AC382" t="s">
        <v>175</v>
      </c>
      <c r="AD382" t="s">
        <v>175</v>
      </c>
      <c r="AE382" t="s">
        <v>175</v>
      </c>
      <c r="AF382" t="s">
        <v>175</v>
      </c>
      <c r="AG382" s="878">
        <v>44147</v>
      </c>
      <c r="AH382" s="873">
        <f t="shared" si="5"/>
        <v>44136</v>
      </c>
    </row>
    <row r="383" spans="1:34">
      <c r="A383">
        <v>6</v>
      </c>
      <c r="B383">
        <v>5697</v>
      </c>
      <c r="C383" t="s">
        <v>226</v>
      </c>
      <c r="D383">
        <v>111</v>
      </c>
      <c r="E383">
        <v>0</v>
      </c>
      <c r="F383">
        <v>0</v>
      </c>
      <c r="G383" t="s">
        <v>175</v>
      </c>
      <c r="H383" t="s">
        <v>175</v>
      </c>
      <c r="I383" s="878">
        <v>44179</v>
      </c>
      <c r="J383">
        <v>6</v>
      </c>
      <c r="K383" t="s">
        <v>227</v>
      </c>
      <c r="L383">
        <v>5697</v>
      </c>
      <c r="M383" t="s">
        <v>175</v>
      </c>
      <c r="N383" t="s">
        <v>175</v>
      </c>
      <c r="O383" t="s">
        <v>175</v>
      </c>
      <c r="P383" t="s">
        <v>175</v>
      </c>
      <c r="Q383" t="s">
        <v>175</v>
      </c>
      <c r="R383" t="s">
        <v>175</v>
      </c>
      <c r="S383" t="s">
        <v>175</v>
      </c>
      <c r="T383" t="s">
        <v>175</v>
      </c>
      <c r="U383" t="s">
        <v>175</v>
      </c>
      <c r="V383" t="s">
        <v>175</v>
      </c>
      <c r="W383" t="s">
        <v>175</v>
      </c>
      <c r="X383" t="s">
        <v>175</v>
      </c>
      <c r="Y383" t="s">
        <v>175</v>
      </c>
      <c r="Z383" t="s">
        <v>175</v>
      </c>
      <c r="AA383" t="s">
        <v>175</v>
      </c>
      <c r="AB383" t="s">
        <v>175</v>
      </c>
      <c r="AC383" t="s">
        <v>175</v>
      </c>
      <c r="AD383" t="s">
        <v>175</v>
      </c>
      <c r="AE383" t="s">
        <v>175</v>
      </c>
      <c r="AF383" t="s">
        <v>175</v>
      </c>
      <c r="AG383" s="878">
        <v>44179</v>
      </c>
      <c r="AH383" s="873">
        <f t="shared" si="5"/>
        <v>44166</v>
      </c>
    </row>
    <row r="384" spans="1:34">
      <c r="A384">
        <v>7</v>
      </c>
      <c r="B384">
        <v>5697</v>
      </c>
      <c r="C384" t="s">
        <v>226</v>
      </c>
      <c r="D384">
        <v>111</v>
      </c>
      <c r="E384">
        <v>0</v>
      </c>
      <c r="F384">
        <v>0</v>
      </c>
      <c r="G384" t="s">
        <v>175</v>
      </c>
      <c r="H384" t="s">
        <v>175</v>
      </c>
      <c r="I384" s="878">
        <v>44193</v>
      </c>
      <c r="J384">
        <v>7</v>
      </c>
      <c r="K384" t="s">
        <v>227</v>
      </c>
      <c r="L384">
        <v>5697</v>
      </c>
      <c r="M384" t="s">
        <v>175</v>
      </c>
      <c r="N384" t="s">
        <v>175</v>
      </c>
      <c r="O384" t="s">
        <v>175</v>
      </c>
      <c r="P384" t="s">
        <v>175</v>
      </c>
      <c r="Q384" t="s">
        <v>175</v>
      </c>
      <c r="R384" t="s">
        <v>175</v>
      </c>
      <c r="S384" t="s">
        <v>175</v>
      </c>
      <c r="T384" t="s">
        <v>175</v>
      </c>
      <c r="U384" t="s">
        <v>175</v>
      </c>
      <c r="V384" t="s">
        <v>175</v>
      </c>
      <c r="W384" t="s">
        <v>175</v>
      </c>
      <c r="X384" t="s">
        <v>175</v>
      </c>
      <c r="Y384" t="s">
        <v>175</v>
      </c>
      <c r="Z384" t="s">
        <v>175</v>
      </c>
      <c r="AA384" t="s">
        <v>175</v>
      </c>
      <c r="AB384" t="s">
        <v>175</v>
      </c>
      <c r="AC384" t="s">
        <v>175</v>
      </c>
      <c r="AD384" t="s">
        <v>175</v>
      </c>
      <c r="AE384" t="s">
        <v>175</v>
      </c>
      <c r="AF384" t="s">
        <v>175</v>
      </c>
      <c r="AG384" s="878">
        <v>44193</v>
      </c>
      <c r="AH384" s="873">
        <f t="shared" si="5"/>
        <v>44166</v>
      </c>
    </row>
    <row r="385" spans="1:34">
      <c r="A385">
        <v>8</v>
      </c>
      <c r="B385">
        <v>5697</v>
      </c>
      <c r="C385" t="s">
        <v>226</v>
      </c>
      <c r="D385">
        <v>111</v>
      </c>
      <c r="E385">
        <v>0</v>
      </c>
      <c r="F385">
        <v>0</v>
      </c>
      <c r="G385" t="s">
        <v>175</v>
      </c>
      <c r="H385" t="s">
        <v>175</v>
      </c>
      <c r="I385" s="878">
        <v>44208</v>
      </c>
      <c r="J385">
        <v>8</v>
      </c>
      <c r="K385" t="s">
        <v>227</v>
      </c>
      <c r="L385">
        <v>5697</v>
      </c>
      <c r="M385" t="s">
        <v>175</v>
      </c>
      <c r="N385" t="s">
        <v>175</v>
      </c>
      <c r="O385" t="s">
        <v>175</v>
      </c>
      <c r="P385" t="s">
        <v>175</v>
      </c>
      <c r="Q385" t="s">
        <v>175</v>
      </c>
      <c r="R385" t="s">
        <v>175</v>
      </c>
      <c r="S385" t="s">
        <v>175</v>
      </c>
      <c r="T385" t="s">
        <v>175</v>
      </c>
      <c r="U385" t="s">
        <v>175</v>
      </c>
      <c r="V385" t="s">
        <v>175</v>
      </c>
      <c r="W385" t="s">
        <v>175</v>
      </c>
      <c r="X385" t="s">
        <v>175</v>
      </c>
      <c r="Y385" t="s">
        <v>175</v>
      </c>
      <c r="Z385" t="s">
        <v>175</v>
      </c>
      <c r="AA385" t="s">
        <v>175</v>
      </c>
      <c r="AB385" t="s">
        <v>175</v>
      </c>
      <c r="AC385" t="s">
        <v>175</v>
      </c>
      <c r="AD385" t="s">
        <v>175</v>
      </c>
      <c r="AE385" t="s">
        <v>175</v>
      </c>
      <c r="AF385" t="s">
        <v>175</v>
      </c>
      <c r="AG385" s="878">
        <v>44208</v>
      </c>
      <c r="AH385" s="873">
        <f t="shared" si="5"/>
        <v>44197</v>
      </c>
    </row>
    <row r="386" spans="1:34">
      <c r="A386">
        <v>1</v>
      </c>
      <c r="B386">
        <v>5707</v>
      </c>
      <c r="C386" t="s">
        <v>228</v>
      </c>
      <c r="D386">
        <v>110</v>
      </c>
      <c r="E386">
        <v>87226584.159999996</v>
      </c>
      <c r="F386">
        <v>0</v>
      </c>
      <c r="G386">
        <v>0</v>
      </c>
      <c r="H386">
        <v>0</v>
      </c>
      <c r="I386" s="878">
        <v>44043</v>
      </c>
      <c r="J386">
        <v>1</v>
      </c>
      <c r="K386" t="s">
        <v>228</v>
      </c>
      <c r="L386">
        <v>5707</v>
      </c>
      <c r="M386">
        <v>0.21284204874586601</v>
      </c>
      <c r="N386">
        <v>0.467436541254166</v>
      </c>
      <c r="O386">
        <v>0.262809515158059</v>
      </c>
      <c r="P386">
        <v>5.6911894841909103E-2</v>
      </c>
      <c r="Q386">
        <v>0.16347392079612799</v>
      </c>
      <c r="R386">
        <v>0</v>
      </c>
      <c r="S386">
        <v>-1.3818484186616299E-2</v>
      </c>
      <c r="T386">
        <v>-1.1633125188020199E-2</v>
      </c>
      <c r="U386">
        <v>4.0424844036050104E-3</v>
      </c>
      <c r="V386">
        <v>1.4388613924435301E-2</v>
      </c>
      <c r="W386">
        <v>5.6388638996333798E-2</v>
      </c>
      <c r="X386">
        <v>0</v>
      </c>
      <c r="Y386">
        <v>2.2128776195483799</v>
      </c>
      <c r="Z386">
        <v>0</v>
      </c>
      <c r="AA386">
        <v>-8.2492235094698399E-2</v>
      </c>
      <c r="AB386">
        <v>0.296805131687297</v>
      </c>
      <c r="AC386">
        <v>3.9374156097937901E-2</v>
      </c>
      <c r="AD386">
        <v>-1.7243504241693901</v>
      </c>
      <c r="AE386">
        <v>-0.274777706815369</v>
      </c>
      <c r="AF386">
        <v>0</v>
      </c>
      <c r="AG386" s="878">
        <v>44043</v>
      </c>
      <c r="AH386" s="873">
        <f t="shared" si="5"/>
        <v>44013</v>
      </c>
    </row>
    <row r="387" spans="1:34">
      <c r="A387">
        <v>2</v>
      </c>
      <c r="B387">
        <v>5707</v>
      </c>
      <c r="C387" t="s">
        <v>228</v>
      </c>
      <c r="D387">
        <v>110</v>
      </c>
      <c r="E387">
        <v>34572160.210000001</v>
      </c>
      <c r="F387">
        <v>0</v>
      </c>
      <c r="G387" t="s">
        <v>175</v>
      </c>
      <c r="H387" t="s">
        <v>175</v>
      </c>
      <c r="I387" s="878">
        <v>44055</v>
      </c>
      <c r="J387">
        <v>2</v>
      </c>
      <c r="K387" t="s">
        <v>228</v>
      </c>
      <c r="L387">
        <v>5707</v>
      </c>
      <c r="M387">
        <v>0.40883116615468401</v>
      </c>
      <c r="N387" t="s">
        <v>175</v>
      </c>
      <c r="O387">
        <v>4.0643381646642898E-2</v>
      </c>
      <c r="P387">
        <v>0.55052545219867299</v>
      </c>
      <c r="Q387">
        <v>0.31931099366480598</v>
      </c>
      <c r="R387">
        <v>0</v>
      </c>
      <c r="S387">
        <v>-4.0237311490107001E-2</v>
      </c>
      <c r="T387">
        <v>-5.5462305749524002E-2</v>
      </c>
      <c r="U387">
        <v>1.1958589970037301E-2</v>
      </c>
      <c r="V387">
        <v>8.9728951817635502E-3</v>
      </c>
      <c r="W387">
        <v>0.16428830457770699</v>
      </c>
      <c r="X387">
        <v>0</v>
      </c>
      <c r="Y387" t="s">
        <v>175</v>
      </c>
      <c r="Z387" t="s">
        <v>175</v>
      </c>
      <c r="AA387" t="s">
        <v>175</v>
      </c>
      <c r="AB387" t="s">
        <v>175</v>
      </c>
      <c r="AC387" t="s">
        <v>175</v>
      </c>
      <c r="AD387" t="s">
        <v>175</v>
      </c>
      <c r="AE387" t="s">
        <v>175</v>
      </c>
      <c r="AF387" t="s">
        <v>175</v>
      </c>
      <c r="AG387" s="878">
        <v>44055</v>
      </c>
      <c r="AH387" s="873">
        <f t="shared" ref="AH387:AH450" si="7">DATE(YEAR(I387),MONTH(I387),1)</f>
        <v>44044</v>
      </c>
    </row>
    <row r="388" spans="1:34">
      <c r="A388">
        <v>3</v>
      </c>
      <c r="B388">
        <v>5707</v>
      </c>
      <c r="C388" t="s">
        <v>228</v>
      </c>
      <c r="D388">
        <v>110</v>
      </c>
      <c r="E388">
        <v>36967933.700000003</v>
      </c>
      <c r="F388">
        <v>0</v>
      </c>
      <c r="G388" t="s">
        <v>175</v>
      </c>
      <c r="H388" t="s">
        <v>175</v>
      </c>
      <c r="I388" s="878">
        <v>44088</v>
      </c>
      <c r="J388">
        <v>3</v>
      </c>
      <c r="K388" t="s">
        <v>228</v>
      </c>
      <c r="L388">
        <v>5707</v>
      </c>
      <c r="M388">
        <v>0.65536292543449504</v>
      </c>
      <c r="N388" t="s">
        <v>175</v>
      </c>
      <c r="O388">
        <v>4.8811169009674603E-2</v>
      </c>
      <c r="P388">
        <v>0.29582590555582999</v>
      </c>
      <c r="Q388">
        <v>0.56053794500689003</v>
      </c>
      <c r="R388">
        <v>0</v>
      </c>
      <c r="S388">
        <v>-3.3185618103482098E-2</v>
      </c>
      <c r="T388">
        <v>4.54852165509287E-2</v>
      </c>
      <c r="U388">
        <v>2.6081734989603901E-2</v>
      </c>
      <c r="V388">
        <v>-7.9396898497047799E-2</v>
      </c>
      <c r="W388">
        <v>0.13584054548760299</v>
      </c>
      <c r="X388">
        <v>0</v>
      </c>
      <c r="Y388" t="s">
        <v>175</v>
      </c>
      <c r="Z388" t="s">
        <v>175</v>
      </c>
      <c r="AA388" t="s">
        <v>175</v>
      </c>
      <c r="AB388" t="s">
        <v>175</v>
      </c>
      <c r="AC388" t="s">
        <v>175</v>
      </c>
      <c r="AD388" t="s">
        <v>175</v>
      </c>
      <c r="AE388" t="s">
        <v>175</v>
      </c>
      <c r="AF388" t="s">
        <v>175</v>
      </c>
      <c r="AG388" s="878">
        <v>44088</v>
      </c>
      <c r="AH388" s="873">
        <f t="shared" si="7"/>
        <v>44075</v>
      </c>
    </row>
    <row r="389" spans="1:34">
      <c r="A389">
        <v>4</v>
      </c>
      <c r="B389">
        <v>5707</v>
      </c>
      <c r="C389" t="s">
        <v>228</v>
      </c>
      <c r="D389">
        <v>110</v>
      </c>
      <c r="E389">
        <v>18758768.452395</v>
      </c>
      <c r="F389">
        <v>0</v>
      </c>
      <c r="G389" t="s">
        <v>175</v>
      </c>
      <c r="H389" t="s">
        <v>175</v>
      </c>
      <c r="I389" s="878">
        <v>44117</v>
      </c>
      <c r="J389">
        <v>4</v>
      </c>
      <c r="K389" t="s">
        <v>228</v>
      </c>
      <c r="L389">
        <v>5707</v>
      </c>
      <c r="M389">
        <v>0.514732735494011</v>
      </c>
      <c r="N389">
        <v>0</v>
      </c>
      <c r="O389">
        <v>0.43681843523948299</v>
      </c>
      <c r="P389">
        <v>4.8448829266505802E-2</v>
      </c>
      <c r="Q389">
        <v>0.120879814991826</v>
      </c>
      <c r="R389">
        <v>0</v>
      </c>
      <c r="S389">
        <v>-6.5481538573134504E-2</v>
      </c>
      <c r="T389">
        <v>0.16819491311526799</v>
      </c>
      <c r="U389">
        <v>6.7042897469073104E-2</v>
      </c>
      <c r="V389">
        <v>-4.4028006534434602E-2</v>
      </c>
      <c r="W389">
        <v>0.26812465502541299</v>
      </c>
      <c r="X389">
        <v>0</v>
      </c>
      <c r="Y389" t="s">
        <v>175</v>
      </c>
      <c r="Z389" t="s">
        <v>175</v>
      </c>
      <c r="AA389" t="s">
        <v>175</v>
      </c>
      <c r="AB389" t="s">
        <v>175</v>
      </c>
      <c r="AC389" t="s">
        <v>175</v>
      </c>
      <c r="AD389" t="s">
        <v>175</v>
      </c>
      <c r="AE389" t="s">
        <v>175</v>
      </c>
      <c r="AF389" t="s">
        <v>175</v>
      </c>
      <c r="AG389" s="878">
        <v>44117</v>
      </c>
      <c r="AH389" s="873">
        <f t="shared" si="7"/>
        <v>44105</v>
      </c>
    </row>
    <row r="390" spans="1:34">
      <c r="A390">
        <v>5</v>
      </c>
      <c r="B390">
        <v>5707</v>
      </c>
      <c r="C390" t="s">
        <v>228</v>
      </c>
      <c r="D390">
        <v>110</v>
      </c>
      <c r="E390">
        <v>50778659.477604903</v>
      </c>
      <c r="F390">
        <v>0</v>
      </c>
      <c r="G390" t="s">
        <v>175</v>
      </c>
      <c r="H390" t="s">
        <v>175</v>
      </c>
      <c r="I390" s="878">
        <v>44147</v>
      </c>
      <c r="J390">
        <v>5</v>
      </c>
      <c r="K390" t="s">
        <v>228</v>
      </c>
      <c r="L390">
        <v>5707</v>
      </c>
      <c r="M390">
        <v>0.74874196430653905</v>
      </c>
      <c r="N390">
        <v>0</v>
      </c>
      <c r="O390">
        <v>0.21808040302033399</v>
      </c>
      <c r="P390">
        <v>3.3177632673126997E-2</v>
      </c>
      <c r="Q390">
        <v>0.29656649197706703</v>
      </c>
      <c r="R390">
        <v>0</v>
      </c>
      <c r="S390">
        <v>-1.2150497366228899E-2</v>
      </c>
      <c r="T390">
        <v>0.40254659165081302</v>
      </c>
      <c r="U390">
        <v>1.7540768729366999E-2</v>
      </c>
      <c r="V390">
        <v>-2.6367827573370101E-2</v>
      </c>
      <c r="W390">
        <v>7.0606436888890706E-2</v>
      </c>
      <c r="X390">
        <v>0</v>
      </c>
      <c r="Y390" t="s">
        <v>175</v>
      </c>
      <c r="Z390" t="s">
        <v>175</v>
      </c>
      <c r="AA390" t="s">
        <v>175</v>
      </c>
      <c r="AB390" t="s">
        <v>175</v>
      </c>
      <c r="AC390" t="s">
        <v>175</v>
      </c>
      <c r="AD390" t="s">
        <v>175</v>
      </c>
      <c r="AE390" t="s">
        <v>175</v>
      </c>
      <c r="AF390" t="s">
        <v>175</v>
      </c>
      <c r="AG390" s="878">
        <v>44147</v>
      </c>
      <c r="AH390" s="873">
        <f t="shared" si="7"/>
        <v>44136</v>
      </c>
    </row>
    <row r="391" spans="1:34">
      <c r="A391">
        <v>6</v>
      </c>
      <c r="B391">
        <v>5707</v>
      </c>
      <c r="C391" t="s">
        <v>228</v>
      </c>
      <c r="D391">
        <v>110</v>
      </c>
      <c r="E391">
        <v>0</v>
      </c>
      <c r="F391">
        <v>0</v>
      </c>
      <c r="G391" t="s">
        <v>175</v>
      </c>
      <c r="H391" t="s">
        <v>175</v>
      </c>
      <c r="I391" s="878">
        <v>44179</v>
      </c>
      <c r="J391">
        <v>6</v>
      </c>
      <c r="K391" t="s">
        <v>228</v>
      </c>
      <c r="L391">
        <v>5707</v>
      </c>
      <c r="M391">
        <v>0.81312703933441899</v>
      </c>
      <c r="N391">
        <v>0</v>
      </c>
      <c r="O391">
        <v>0.17780382648698501</v>
      </c>
      <c r="P391">
        <v>9.06913417859527E-3</v>
      </c>
      <c r="Q391">
        <v>0.42349441885822597</v>
      </c>
      <c r="R391">
        <v>0</v>
      </c>
      <c r="S391">
        <v>0</v>
      </c>
      <c r="T391">
        <v>0.33402101691701602</v>
      </c>
      <c r="U391">
        <v>2.7389710220999602E-2</v>
      </c>
      <c r="V391">
        <v>-3.0766807798555E-2</v>
      </c>
      <c r="W391">
        <v>5.8988701136733497E-2</v>
      </c>
      <c r="X391">
        <v>0</v>
      </c>
      <c r="Y391" t="s">
        <v>175</v>
      </c>
      <c r="Z391" t="s">
        <v>175</v>
      </c>
      <c r="AA391" t="s">
        <v>175</v>
      </c>
      <c r="AB391" t="s">
        <v>175</v>
      </c>
      <c r="AC391" t="s">
        <v>175</v>
      </c>
      <c r="AD391" t="s">
        <v>175</v>
      </c>
      <c r="AE391" t="s">
        <v>175</v>
      </c>
      <c r="AF391" t="s">
        <v>175</v>
      </c>
      <c r="AG391" s="878">
        <v>44179</v>
      </c>
      <c r="AH391" s="873">
        <f t="shared" si="7"/>
        <v>44166</v>
      </c>
    </row>
    <row r="392" spans="1:34">
      <c r="A392">
        <v>7</v>
      </c>
      <c r="B392">
        <v>5707</v>
      </c>
      <c r="C392" t="s">
        <v>228</v>
      </c>
      <c r="D392">
        <v>110</v>
      </c>
      <c r="E392">
        <v>0</v>
      </c>
      <c r="F392">
        <v>0</v>
      </c>
      <c r="G392" t="s">
        <v>175</v>
      </c>
      <c r="H392" t="s">
        <v>175</v>
      </c>
      <c r="I392" s="878">
        <v>44193</v>
      </c>
      <c r="J392">
        <v>7</v>
      </c>
      <c r="K392" t="s">
        <v>228</v>
      </c>
      <c r="L392">
        <v>5707</v>
      </c>
      <c r="M392">
        <v>0.98966598683249096</v>
      </c>
      <c r="N392">
        <v>0</v>
      </c>
      <c r="O392">
        <v>0</v>
      </c>
      <c r="P392">
        <v>1.03340131675091E-2</v>
      </c>
      <c r="Q392">
        <v>0.78918129329358699</v>
      </c>
      <c r="R392">
        <v>0</v>
      </c>
      <c r="S392">
        <v>1.4365792613172499E-2</v>
      </c>
      <c r="T392">
        <v>0.177030495047756</v>
      </c>
      <c r="U392">
        <v>1.4368935122179601E-2</v>
      </c>
      <c r="V392">
        <v>-5.3598236169931004E-3</v>
      </c>
      <c r="W392">
        <v>7.9294372788807802E-5</v>
      </c>
      <c r="X392">
        <v>0</v>
      </c>
      <c r="Y392" t="s">
        <v>175</v>
      </c>
      <c r="Z392" t="s">
        <v>175</v>
      </c>
      <c r="AA392" t="s">
        <v>175</v>
      </c>
      <c r="AB392" t="s">
        <v>175</v>
      </c>
      <c r="AC392" t="s">
        <v>175</v>
      </c>
      <c r="AD392" t="s">
        <v>175</v>
      </c>
      <c r="AE392" t="s">
        <v>175</v>
      </c>
      <c r="AF392" t="s">
        <v>175</v>
      </c>
      <c r="AG392" s="878">
        <v>44193</v>
      </c>
      <c r="AH392" s="873">
        <f t="shared" si="7"/>
        <v>44166</v>
      </c>
    </row>
    <row r="393" spans="1:34">
      <c r="A393">
        <v>8</v>
      </c>
      <c r="B393">
        <v>5707</v>
      </c>
      <c r="C393" t="s">
        <v>228</v>
      </c>
      <c r="D393">
        <v>110</v>
      </c>
      <c r="E393">
        <v>0</v>
      </c>
      <c r="F393">
        <v>0</v>
      </c>
      <c r="G393" t="s">
        <v>175</v>
      </c>
      <c r="H393" t="s">
        <v>175</v>
      </c>
      <c r="I393" s="878">
        <v>44208</v>
      </c>
      <c r="J393">
        <v>8</v>
      </c>
      <c r="K393" t="s">
        <v>228</v>
      </c>
      <c r="L393">
        <v>5707</v>
      </c>
      <c r="M393">
        <v>0.98966598683249096</v>
      </c>
      <c r="N393">
        <v>0</v>
      </c>
      <c r="O393">
        <v>0</v>
      </c>
      <c r="P393">
        <v>1.03340131675091E-2</v>
      </c>
      <c r="Q393">
        <v>0.78918129329358699</v>
      </c>
      <c r="R393">
        <v>0</v>
      </c>
      <c r="S393">
        <v>1.4365792613172499E-2</v>
      </c>
      <c r="T393">
        <v>0.177030495047756</v>
      </c>
      <c r="U393">
        <v>1.4368935122179601E-2</v>
      </c>
      <c r="V393">
        <v>-5.3598236169931004E-3</v>
      </c>
      <c r="W393">
        <v>7.9294372788807802E-5</v>
      </c>
      <c r="X393">
        <v>0</v>
      </c>
      <c r="Y393" t="s">
        <v>175</v>
      </c>
      <c r="Z393" t="s">
        <v>175</v>
      </c>
      <c r="AA393" t="s">
        <v>175</v>
      </c>
      <c r="AB393" t="s">
        <v>175</v>
      </c>
      <c r="AC393" t="s">
        <v>175</v>
      </c>
      <c r="AD393" t="s">
        <v>175</v>
      </c>
      <c r="AE393" t="s">
        <v>175</v>
      </c>
      <c r="AF393" t="s">
        <v>175</v>
      </c>
      <c r="AG393" s="878">
        <v>44208</v>
      </c>
      <c r="AH393" s="873">
        <f t="shared" si="7"/>
        <v>44197</v>
      </c>
    </row>
    <row r="394" spans="1:34">
      <c r="A394">
        <v>1</v>
      </c>
      <c r="B394">
        <v>6072</v>
      </c>
      <c r="C394" t="s">
        <v>229</v>
      </c>
      <c r="D394">
        <v>112</v>
      </c>
      <c r="E394">
        <v>317361736.85442603</v>
      </c>
      <c r="F394">
        <v>0</v>
      </c>
      <c r="G394">
        <v>0</v>
      </c>
      <c r="H394">
        <v>0</v>
      </c>
      <c r="I394" s="878">
        <v>44043</v>
      </c>
      <c r="J394">
        <v>1</v>
      </c>
      <c r="K394" t="s">
        <v>229</v>
      </c>
      <c r="L394">
        <v>6072</v>
      </c>
      <c r="M394">
        <v>0.190812884234941</v>
      </c>
      <c r="N394">
        <v>0.56856212552169605</v>
      </c>
      <c r="O394">
        <v>0.194648490285975</v>
      </c>
      <c r="P394">
        <v>4.5976499957388402E-2</v>
      </c>
      <c r="Q394">
        <v>0.16954539648963099</v>
      </c>
      <c r="R394">
        <v>0</v>
      </c>
      <c r="S394">
        <v>-5.1037475372750704E-3</v>
      </c>
      <c r="T394">
        <v>-6.6803656620679202E-3</v>
      </c>
      <c r="U394">
        <v>1.5817724648191499E-3</v>
      </c>
      <c r="V394">
        <v>-2.5464949784593099E-3</v>
      </c>
      <c r="W394">
        <v>3.4016323458293501E-2</v>
      </c>
      <c r="X394">
        <v>0</v>
      </c>
      <c r="Y394">
        <v>1.0256543380979599</v>
      </c>
      <c r="Z394">
        <v>0</v>
      </c>
      <c r="AA394">
        <v>-1.0960075561610501E-2</v>
      </c>
      <c r="AB394">
        <v>8.1411484579095902E-2</v>
      </c>
      <c r="AC394">
        <v>2.3218075082896399E-2</v>
      </c>
      <c r="AD394">
        <v>-0.52431650072100799</v>
      </c>
      <c r="AE394">
        <v>-2.64451959556373E-2</v>
      </c>
      <c r="AF394">
        <v>0</v>
      </c>
      <c r="AG394" s="878">
        <v>44043</v>
      </c>
      <c r="AH394" s="873">
        <f t="shared" si="7"/>
        <v>44013</v>
      </c>
    </row>
    <row r="395" spans="1:34">
      <c r="A395">
        <v>2</v>
      </c>
      <c r="B395">
        <v>6072</v>
      </c>
      <c r="C395" t="s">
        <v>229</v>
      </c>
      <c r="D395">
        <v>112</v>
      </c>
      <c r="E395">
        <v>66101585.004667699</v>
      </c>
      <c r="F395">
        <v>0</v>
      </c>
      <c r="G395" t="s">
        <v>175</v>
      </c>
      <c r="H395" t="s">
        <v>175</v>
      </c>
      <c r="I395" s="878">
        <v>44055</v>
      </c>
      <c r="J395">
        <v>2</v>
      </c>
      <c r="K395" t="s">
        <v>229</v>
      </c>
      <c r="L395">
        <v>6072</v>
      </c>
      <c r="M395">
        <v>0.76157296141006903</v>
      </c>
      <c r="N395" t="s">
        <v>175</v>
      </c>
      <c r="O395">
        <v>2.4588018899940001E-2</v>
      </c>
      <c r="P395">
        <v>0.213839019689991</v>
      </c>
      <c r="Q395">
        <v>0.26201570945189601</v>
      </c>
      <c r="R395">
        <v>0</v>
      </c>
      <c r="S395">
        <v>-3.2357974436318201E-2</v>
      </c>
      <c r="T395">
        <v>0.34531754867042402</v>
      </c>
      <c r="U395">
        <v>2.3119336121533898E-2</v>
      </c>
      <c r="V395">
        <v>-5.1842138578087102E-2</v>
      </c>
      <c r="W395">
        <v>0.215320480180621</v>
      </c>
      <c r="X395">
        <v>0</v>
      </c>
      <c r="Y395" t="s">
        <v>175</v>
      </c>
      <c r="Z395" t="s">
        <v>175</v>
      </c>
      <c r="AA395" t="s">
        <v>175</v>
      </c>
      <c r="AB395" t="s">
        <v>175</v>
      </c>
      <c r="AC395" t="s">
        <v>175</v>
      </c>
      <c r="AD395" t="s">
        <v>175</v>
      </c>
      <c r="AE395" t="s">
        <v>175</v>
      </c>
      <c r="AF395" t="s">
        <v>175</v>
      </c>
      <c r="AG395" s="878">
        <v>44055</v>
      </c>
      <c r="AH395" s="873">
        <f t="shared" si="7"/>
        <v>44044</v>
      </c>
    </row>
    <row r="396" spans="1:34">
      <c r="A396">
        <v>3</v>
      </c>
      <c r="B396">
        <v>6072</v>
      </c>
      <c r="C396" t="s">
        <v>229</v>
      </c>
      <c r="D396">
        <v>112</v>
      </c>
      <c r="E396">
        <v>63035170.921968102</v>
      </c>
      <c r="F396">
        <v>0</v>
      </c>
      <c r="G396" t="s">
        <v>175</v>
      </c>
      <c r="H396" t="s">
        <v>175</v>
      </c>
      <c r="I396" s="878">
        <v>44088</v>
      </c>
      <c r="J396">
        <v>3</v>
      </c>
      <c r="K396" t="s">
        <v>229</v>
      </c>
      <c r="L396">
        <v>6072</v>
      </c>
      <c r="M396">
        <v>0.89186478482607701</v>
      </c>
      <c r="N396" t="s">
        <v>175</v>
      </c>
      <c r="O396">
        <v>0</v>
      </c>
      <c r="P396">
        <v>0.10813521517392299</v>
      </c>
      <c r="Q396">
        <v>0.47416007670204402</v>
      </c>
      <c r="R396">
        <v>0</v>
      </c>
      <c r="S396">
        <v>-2.2721995692418302E-2</v>
      </c>
      <c r="T396">
        <v>0.25435844362458698</v>
      </c>
      <c r="U396">
        <v>3.2346750375053503E-2</v>
      </c>
      <c r="V396">
        <v>7.2168677082592905E-4</v>
      </c>
      <c r="W396">
        <v>0.152999823045985</v>
      </c>
      <c r="X396">
        <v>0</v>
      </c>
      <c r="Y396" t="s">
        <v>175</v>
      </c>
      <c r="Z396" t="s">
        <v>175</v>
      </c>
      <c r="AA396" t="s">
        <v>175</v>
      </c>
      <c r="AB396" t="s">
        <v>175</v>
      </c>
      <c r="AC396" t="s">
        <v>175</v>
      </c>
      <c r="AD396" t="s">
        <v>175</v>
      </c>
      <c r="AE396" t="s">
        <v>175</v>
      </c>
      <c r="AF396" t="s">
        <v>175</v>
      </c>
      <c r="AG396" s="878">
        <v>44088</v>
      </c>
      <c r="AH396" s="873">
        <f t="shared" si="7"/>
        <v>44075</v>
      </c>
    </row>
    <row r="397" spans="1:34">
      <c r="A397">
        <v>4</v>
      </c>
      <c r="B397">
        <v>6072</v>
      </c>
      <c r="C397" t="s">
        <v>229</v>
      </c>
      <c r="D397">
        <v>112</v>
      </c>
      <c r="E397">
        <v>51595135.063423701</v>
      </c>
      <c r="F397">
        <v>0</v>
      </c>
      <c r="G397" t="s">
        <v>175</v>
      </c>
      <c r="H397" t="s">
        <v>175</v>
      </c>
      <c r="I397" s="878">
        <v>44117</v>
      </c>
      <c r="J397">
        <v>4</v>
      </c>
      <c r="K397" t="s">
        <v>229</v>
      </c>
      <c r="L397">
        <v>6072</v>
      </c>
      <c r="M397">
        <v>0.86477019426320201</v>
      </c>
      <c r="N397">
        <v>0</v>
      </c>
      <c r="O397">
        <v>0.13522980573679799</v>
      </c>
      <c r="P397">
        <v>0</v>
      </c>
      <c r="Q397">
        <v>-0.25530312545594602</v>
      </c>
      <c r="R397">
        <v>0</v>
      </c>
      <c r="S397">
        <v>-2.85239384127789E-2</v>
      </c>
      <c r="T397">
        <v>0.33517779001949499</v>
      </c>
      <c r="U397">
        <v>3.0247446053699001E-2</v>
      </c>
      <c r="V397">
        <v>0.202031374732841</v>
      </c>
      <c r="W397">
        <v>0.58114064732589199</v>
      </c>
      <c r="X397">
        <v>0</v>
      </c>
      <c r="Y397" t="s">
        <v>175</v>
      </c>
      <c r="Z397" t="s">
        <v>175</v>
      </c>
      <c r="AA397" t="s">
        <v>175</v>
      </c>
      <c r="AB397" t="s">
        <v>175</v>
      </c>
      <c r="AC397" t="s">
        <v>175</v>
      </c>
      <c r="AD397" t="s">
        <v>175</v>
      </c>
      <c r="AE397" t="s">
        <v>175</v>
      </c>
      <c r="AF397" t="s">
        <v>175</v>
      </c>
      <c r="AG397" s="878">
        <v>44117</v>
      </c>
      <c r="AH397" s="873">
        <f t="shared" si="7"/>
        <v>44105</v>
      </c>
    </row>
    <row r="398" spans="1:34">
      <c r="A398">
        <v>5</v>
      </c>
      <c r="B398">
        <v>6072</v>
      </c>
      <c r="C398" t="s">
        <v>229</v>
      </c>
      <c r="D398">
        <v>112</v>
      </c>
      <c r="E398">
        <v>32263674.1555149</v>
      </c>
      <c r="F398">
        <v>0</v>
      </c>
      <c r="G398" t="s">
        <v>175</v>
      </c>
      <c r="H398" t="s">
        <v>175</v>
      </c>
      <c r="I398" s="878">
        <v>44147</v>
      </c>
      <c r="J398">
        <v>5</v>
      </c>
      <c r="K398" t="s">
        <v>229</v>
      </c>
      <c r="L398">
        <v>6072</v>
      </c>
      <c r="M398">
        <v>0.98816404130907498</v>
      </c>
      <c r="N398">
        <v>0</v>
      </c>
      <c r="O398">
        <v>1.18359586909244E-2</v>
      </c>
      <c r="P398">
        <v>0</v>
      </c>
      <c r="Q398">
        <v>0.66453171643550801</v>
      </c>
      <c r="R398">
        <v>0</v>
      </c>
      <c r="S398">
        <v>-1.0178046527506601E-2</v>
      </c>
      <c r="T398">
        <v>0.152450338731696</v>
      </c>
      <c r="U398">
        <v>1.2188934969814699E-2</v>
      </c>
      <c r="V398">
        <v>0.100859806706226</v>
      </c>
      <c r="W398">
        <v>6.8311290993337007E-2</v>
      </c>
      <c r="X398">
        <v>0</v>
      </c>
      <c r="Y398" t="s">
        <v>175</v>
      </c>
      <c r="Z398" t="s">
        <v>175</v>
      </c>
      <c r="AA398" t="s">
        <v>175</v>
      </c>
      <c r="AB398" t="s">
        <v>175</v>
      </c>
      <c r="AC398" t="s">
        <v>175</v>
      </c>
      <c r="AD398" t="s">
        <v>175</v>
      </c>
      <c r="AE398" t="s">
        <v>175</v>
      </c>
      <c r="AF398" t="s">
        <v>175</v>
      </c>
      <c r="AG398" s="878">
        <v>44147</v>
      </c>
      <c r="AH398" s="873">
        <f t="shared" si="7"/>
        <v>44136</v>
      </c>
    </row>
    <row r="399" spans="1:34">
      <c r="A399">
        <v>6</v>
      </c>
      <c r="B399">
        <v>6072</v>
      </c>
      <c r="C399" t="s">
        <v>229</v>
      </c>
      <c r="D399">
        <v>112</v>
      </c>
      <c r="E399">
        <v>0</v>
      </c>
      <c r="F399">
        <v>0</v>
      </c>
      <c r="G399" t="s">
        <v>175</v>
      </c>
      <c r="H399" t="s">
        <v>175</v>
      </c>
      <c r="I399" s="878">
        <v>44179</v>
      </c>
      <c r="J399">
        <v>6</v>
      </c>
      <c r="K399" t="s">
        <v>229</v>
      </c>
      <c r="L399">
        <v>6072</v>
      </c>
      <c r="M399" t="s">
        <v>175</v>
      </c>
      <c r="N399">
        <v>0</v>
      </c>
      <c r="O399" t="s">
        <v>175</v>
      </c>
      <c r="P399" t="s">
        <v>175</v>
      </c>
      <c r="Q399" t="s">
        <v>175</v>
      </c>
      <c r="R399" t="s">
        <v>175</v>
      </c>
      <c r="S399" t="s">
        <v>175</v>
      </c>
      <c r="T399" t="s">
        <v>175</v>
      </c>
      <c r="U399" t="s">
        <v>175</v>
      </c>
      <c r="V399" t="s">
        <v>175</v>
      </c>
      <c r="W399" t="s">
        <v>175</v>
      </c>
      <c r="X399" t="s">
        <v>175</v>
      </c>
      <c r="Y399" t="s">
        <v>175</v>
      </c>
      <c r="Z399" t="s">
        <v>175</v>
      </c>
      <c r="AA399" t="s">
        <v>175</v>
      </c>
      <c r="AB399" t="s">
        <v>175</v>
      </c>
      <c r="AC399" t="s">
        <v>175</v>
      </c>
      <c r="AD399" t="s">
        <v>175</v>
      </c>
      <c r="AE399" t="s">
        <v>175</v>
      </c>
      <c r="AF399" t="s">
        <v>175</v>
      </c>
      <c r="AG399" s="878">
        <v>44179</v>
      </c>
      <c r="AH399" s="873">
        <f t="shared" si="7"/>
        <v>44166</v>
      </c>
    </row>
    <row r="400" spans="1:34">
      <c r="A400">
        <v>7</v>
      </c>
      <c r="B400">
        <v>6072</v>
      </c>
      <c r="C400" t="s">
        <v>229</v>
      </c>
      <c r="D400">
        <v>112</v>
      </c>
      <c r="E400">
        <v>0</v>
      </c>
      <c r="F400">
        <v>0</v>
      </c>
      <c r="G400" t="s">
        <v>175</v>
      </c>
      <c r="H400" t="s">
        <v>175</v>
      </c>
      <c r="I400" s="878">
        <v>44193</v>
      </c>
      <c r="J400">
        <v>7</v>
      </c>
      <c r="K400" t="s">
        <v>229</v>
      </c>
      <c r="L400">
        <v>6072</v>
      </c>
      <c r="M400" t="s">
        <v>175</v>
      </c>
      <c r="N400">
        <v>0</v>
      </c>
      <c r="O400" t="s">
        <v>175</v>
      </c>
      <c r="P400" t="s">
        <v>175</v>
      </c>
      <c r="Q400" t="s">
        <v>175</v>
      </c>
      <c r="R400" t="s">
        <v>175</v>
      </c>
      <c r="S400" t="s">
        <v>175</v>
      </c>
      <c r="T400" t="s">
        <v>175</v>
      </c>
      <c r="U400" t="s">
        <v>175</v>
      </c>
      <c r="V400" t="s">
        <v>175</v>
      </c>
      <c r="W400" t="s">
        <v>175</v>
      </c>
      <c r="X400" t="s">
        <v>175</v>
      </c>
      <c r="Y400" t="s">
        <v>175</v>
      </c>
      <c r="Z400" t="s">
        <v>175</v>
      </c>
      <c r="AA400" t="s">
        <v>175</v>
      </c>
      <c r="AB400" t="s">
        <v>175</v>
      </c>
      <c r="AC400" t="s">
        <v>175</v>
      </c>
      <c r="AD400" t="s">
        <v>175</v>
      </c>
      <c r="AE400" t="s">
        <v>175</v>
      </c>
      <c r="AF400" t="s">
        <v>175</v>
      </c>
      <c r="AG400" s="878">
        <v>44193</v>
      </c>
      <c r="AH400" s="873">
        <f t="shared" si="7"/>
        <v>44166</v>
      </c>
    </row>
    <row r="401" spans="1:34">
      <c r="A401">
        <v>8</v>
      </c>
      <c r="B401">
        <v>6072</v>
      </c>
      <c r="C401" t="s">
        <v>229</v>
      </c>
      <c r="D401">
        <v>112</v>
      </c>
      <c r="E401">
        <v>0</v>
      </c>
      <c r="F401">
        <v>0</v>
      </c>
      <c r="G401" t="s">
        <v>175</v>
      </c>
      <c r="H401" t="s">
        <v>175</v>
      </c>
      <c r="I401" s="878">
        <v>44208</v>
      </c>
      <c r="J401">
        <v>8</v>
      </c>
      <c r="K401" t="s">
        <v>229</v>
      </c>
      <c r="L401">
        <v>6072</v>
      </c>
      <c r="M401" t="s">
        <v>175</v>
      </c>
      <c r="N401">
        <v>0</v>
      </c>
      <c r="O401" t="s">
        <v>175</v>
      </c>
      <c r="P401" t="s">
        <v>175</v>
      </c>
      <c r="Q401" t="s">
        <v>175</v>
      </c>
      <c r="R401" t="s">
        <v>175</v>
      </c>
      <c r="S401" t="s">
        <v>175</v>
      </c>
      <c r="T401" t="s">
        <v>175</v>
      </c>
      <c r="U401" t="s">
        <v>175</v>
      </c>
      <c r="V401" t="s">
        <v>175</v>
      </c>
      <c r="W401" t="s">
        <v>175</v>
      </c>
      <c r="X401" t="s">
        <v>175</v>
      </c>
      <c r="Y401" t="s">
        <v>175</v>
      </c>
      <c r="Z401" t="s">
        <v>175</v>
      </c>
      <c r="AA401" t="s">
        <v>175</v>
      </c>
      <c r="AB401" t="s">
        <v>175</v>
      </c>
      <c r="AC401" t="s">
        <v>175</v>
      </c>
      <c r="AD401" t="s">
        <v>175</v>
      </c>
      <c r="AE401" t="s">
        <v>175</v>
      </c>
      <c r="AF401" t="s">
        <v>175</v>
      </c>
      <c r="AG401" s="878">
        <v>44208</v>
      </c>
      <c r="AH401" s="873">
        <f t="shared" si="7"/>
        <v>44197</v>
      </c>
    </row>
    <row r="402" spans="1:34">
      <c r="A402">
        <v>1</v>
      </c>
      <c r="B402">
        <v>6585</v>
      </c>
      <c r="C402" t="s">
        <v>230</v>
      </c>
      <c r="D402">
        <v>150</v>
      </c>
      <c r="E402">
        <v>48230122.270889699</v>
      </c>
      <c r="F402">
        <v>0</v>
      </c>
      <c r="G402">
        <v>1085060</v>
      </c>
      <c r="H402">
        <v>0</v>
      </c>
      <c r="I402" s="878">
        <v>44043</v>
      </c>
      <c r="J402">
        <v>1</v>
      </c>
      <c r="K402" t="s">
        <v>230</v>
      </c>
      <c r="L402">
        <v>6585</v>
      </c>
      <c r="M402">
        <v>0</v>
      </c>
      <c r="N402">
        <v>0.73536759726207002</v>
      </c>
      <c r="O402">
        <v>0.183476164112677</v>
      </c>
      <c r="P402">
        <v>8.1156238625252605E-2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0.86807662511919403</v>
      </c>
      <c r="Z402">
        <v>0</v>
      </c>
      <c r="AA402">
        <v>-1.99345358197506E-2</v>
      </c>
      <c r="AB402">
        <v>6.8787101997508607E-2</v>
      </c>
      <c r="AC402">
        <v>2.3976661794572501E-2</v>
      </c>
      <c r="AD402">
        <v>-0.32845456623611802</v>
      </c>
      <c r="AE402">
        <v>0.122916310406663</v>
      </c>
      <c r="AF402">
        <v>0</v>
      </c>
      <c r="AG402" s="878">
        <v>44043</v>
      </c>
      <c r="AH402" s="873">
        <f t="shared" si="7"/>
        <v>44013</v>
      </c>
    </row>
    <row r="403" spans="1:34">
      <c r="A403">
        <v>2</v>
      </c>
      <c r="B403">
        <v>6585</v>
      </c>
      <c r="C403" t="s">
        <v>230</v>
      </c>
      <c r="D403">
        <v>150</v>
      </c>
      <c r="E403">
        <v>633577.72911032999</v>
      </c>
      <c r="F403">
        <v>0</v>
      </c>
      <c r="G403" t="s">
        <v>175</v>
      </c>
      <c r="H403" t="s">
        <v>175</v>
      </c>
      <c r="I403" s="878">
        <v>44055</v>
      </c>
      <c r="J403">
        <v>2</v>
      </c>
      <c r="K403" t="s">
        <v>230</v>
      </c>
      <c r="L403">
        <v>6585</v>
      </c>
      <c r="M403">
        <v>0.76843777545717895</v>
      </c>
      <c r="N403" t="s">
        <v>175</v>
      </c>
      <c r="O403">
        <v>0.124908237482673</v>
      </c>
      <c r="P403">
        <v>0.106653987060148</v>
      </c>
      <c r="Q403">
        <v>0.51331772228369299</v>
      </c>
      <c r="R403">
        <v>0</v>
      </c>
      <c r="S403">
        <v>1.26278209723019E-9</v>
      </c>
      <c r="T403">
        <v>0.106742465856745</v>
      </c>
      <c r="U403">
        <v>5.41954673359763E-2</v>
      </c>
      <c r="V403">
        <v>9.4245137293794995E-2</v>
      </c>
      <c r="W403">
        <v>-6.3018575812673596E-5</v>
      </c>
      <c r="X403">
        <v>0</v>
      </c>
      <c r="Y403" t="s">
        <v>175</v>
      </c>
      <c r="Z403" t="s">
        <v>175</v>
      </c>
      <c r="AA403" t="s">
        <v>175</v>
      </c>
      <c r="AB403" t="s">
        <v>175</v>
      </c>
      <c r="AC403" t="s">
        <v>175</v>
      </c>
      <c r="AD403" t="s">
        <v>175</v>
      </c>
      <c r="AE403" t="s">
        <v>175</v>
      </c>
      <c r="AF403" t="s">
        <v>175</v>
      </c>
      <c r="AG403" s="878">
        <v>44055</v>
      </c>
      <c r="AH403" s="873">
        <f t="shared" si="7"/>
        <v>44044</v>
      </c>
    </row>
    <row r="404" spans="1:34">
      <c r="A404">
        <v>3</v>
      </c>
      <c r="B404">
        <v>6585</v>
      </c>
      <c r="C404" t="s">
        <v>230</v>
      </c>
      <c r="D404">
        <v>150</v>
      </c>
      <c r="E404">
        <v>0</v>
      </c>
      <c r="F404">
        <v>0</v>
      </c>
      <c r="G404" t="s">
        <v>175</v>
      </c>
      <c r="H404" t="s">
        <v>175</v>
      </c>
      <c r="I404" s="878">
        <v>44088</v>
      </c>
      <c r="J404">
        <v>3</v>
      </c>
      <c r="K404" t="s">
        <v>230</v>
      </c>
      <c r="L404">
        <v>6585</v>
      </c>
      <c r="M404">
        <v>0</v>
      </c>
      <c r="N404" t="s">
        <v>175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 t="s">
        <v>175</v>
      </c>
      <c r="Z404" t="s">
        <v>175</v>
      </c>
      <c r="AA404" t="s">
        <v>175</v>
      </c>
      <c r="AB404" t="s">
        <v>175</v>
      </c>
      <c r="AC404" t="s">
        <v>175</v>
      </c>
      <c r="AD404" t="s">
        <v>175</v>
      </c>
      <c r="AE404" t="s">
        <v>175</v>
      </c>
      <c r="AF404" t="s">
        <v>175</v>
      </c>
      <c r="AG404" s="878">
        <v>44088</v>
      </c>
      <c r="AH404" s="873">
        <f t="shared" si="7"/>
        <v>44075</v>
      </c>
    </row>
    <row r="405" spans="1:34">
      <c r="A405">
        <v>4</v>
      </c>
      <c r="B405">
        <v>6585</v>
      </c>
      <c r="C405" t="s">
        <v>230</v>
      </c>
      <c r="D405">
        <v>150</v>
      </c>
      <c r="E405">
        <v>0</v>
      </c>
      <c r="F405">
        <v>0</v>
      </c>
      <c r="G405" t="s">
        <v>175</v>
      </c>
      <c r="H405" t="s">
        <v>175</v>
      </c>
      <c r="I405" s="878">
        <v>44117</v>
      </c>
      <c r="J405">
        <v>4</v>
      </c>
      <c r="K405" t="s">
        <v>230</v>
      </c>
      <c r="L405">
        <v>6585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 t="s">
        <v>175</v>
      </c>
      <c r="Z405" t="s">
        <v>175</v>
      </c>
      <c r="AA405" t="s">
        <v>175</v>
      </c>
      <c r="AB405" t="s">
        <v>175</v>
      </c>
      <c r="AC405" t="s">
        <v>175</v>
      </c>
      <c r="AD405" t="s">
        <v>175</v>
      </c>
      <c r="AE405" t="s">
        <v>175</v>
      </c>
      <c r="AF405" t="s">
        <v>175</v>
      </c>
      <c r="AG405" s="878">
        <v>44117</v>
      </c>
      <c r="AH405" s="873">
        <f t="shared" si="7"/>
        <v>44105</v>
      </c>
    </row>
    <row r="406" spans="1:34">
      <c r="A406">
        <v>5</v>
      </c>
      <c r="B406">
        <v>6585</v>
      </c>
      <c r="C406" t="s">
        <v>230</v>
      </c>
      <c r="D406">
        <v>150</v>
      </c>
      <c r="E406">
        <v>0</v>
      </c>
      <c r="F406">
        <v>0</v>
      </c>
      <c r="G406" t="s">
        <v>175</v>
      </c>
      <c r="H406" t="s">
        <v>175</v>
      </c>
      <c r="I406" s="878">
        <v>44147</v>
      </c>
      <c r="J406">
        <v>5</v>
      </c>
      <c r="K406" t="s">
        <v>230</v>
      </c>
      <c r="L406">
        <v>6585</v>
      </c>
      <c r="M406" t="s">
        <v>175</v>
      </c>
      <c r="N406" t="s">
        <v>175</v>
      </c>
      <c r="O406" t="s">
        <v>175</v>
      </c>
      <c r="P406" t="s">
        <v>175</v>
      </c>
      <c r="Q406" t="s">
        <v>175</v>
      </c>
      <c r="R406" t="s">
        <v>175</v>
      </c>
      <c r="S406" t="s">
        <v>175</v>
      </c>
      <c r="T406" t="s">
        <v>175</v>
      </c>
      <c r="U406" t="s">
        <v>175</v>
      </c>
      <c r="V406" t="s">
        <v>175</v>
      </c>
      <c r="W406" t="s">
        <v>175</v>
      </c>
      <c r="X406" t="s">
        <v>175</v>
      </c>
      <c r="Y406" t="s">
        <v>175</v>
      </c>
      <c r="Z406" t="s">
        <v>175</v>
      </c>
      <c r="AA406" t="s">
        <v>175</v>
      </c>
      <c r="AB406" t="s">
        <v>175</v>
      </c>
      <c r="AC406" t="s">
        <v>175</v>
      </c>
      <c r="AD406" t="s">
        <v>175</v>
      </c>
      <c r="AE406" t="s">
        <v>175</v>
      </c>
      <c r="AF406" t="s">
        <v>175</v>
      </c>
      <c r="AG406" s="878">
        <v>44147</v>
      </c>
      <c r="AH406" s="873">
        <f t="shared" si="7"/>
        <v>44136</v>
      </c>
    </row>
    <row r="407" spans="1:34">
      <c r="A407">
        <v>6</v>
      </c>
      <c r="B407">
        <v>6585</v>
      </c>
      <c r="C407" t="s">
        <v>230</v>
      </c>
      <c r="D407">
        <v>150</v>
      </c>
      <c r="E407">
        <v>0</v>
      </c>
      <c r="F407">
        <v>0</v>
      </c>
      <c r="G407" t="s">
        <v>175</v>
      </c>
      <c r="H407" t="s">
        <v>175</v>
      </c>
      <c r="I407" s="878">
        <v>44179</v>
      </c>
      <c r="J407">
        <v>6</v>
      </c>
      <c r="K407" t="s">
        <v>230</v>
      </c>
      <c r="L407">
        <v>6585</v>
      </c>
      <c r="M407" t="s">
        <v>175</v>
      </c>
      <c r="N407" t="s">
        <v>175</v>
      </c>
      <c r="O407" t="s">
        <v>175</v>
      </c>
      <c r="P407" t="s">
        <v>175</v>
      </c>
      <c r="Q407" t="s">
        <v>175</v>
      </c>
      <c r="R407" t="s">
        <v>175</v>
      </c>
      <c r="S407" t="s">
        <v>175</v>
      </c>
      <c r="T407" t="s">
        <v>175</v>
      </c>
      <c r="U407" t="s">
        <v>175</v>
      </c>
      <c r="V407" t="s">
        <v>175</v>
      </c>
      <c r="W407" t="s">
        <v>175</v>
      </c>
      <c r="X407" t="s">
        <v>175</v>
      </c>
      <c r="Y407" t="s">
        <v>175</v>
      </c>
      <c r="Z407" t="s">
        <v>175</v>
      </c>
      <c r="AA407" t="s">
        <v>175</v>
      </c>
      <c r="AB407" t="s">
        <v>175</v>
      </c>
      <c r="AC407" t="s">
        <v>175</v>
      </c>
      <c r="AD407" t="s">
        <v>175</v>
      </c>
      <c r="AE407" t="s">
        <v>175</v>
      </c>
      <c r="AF407" t="s">
        <v>175</v>
      </c>
      <c r="AG407" s="878">
        <v>44179</v>
      </c>
      <c r="AH407" s="873">
        <f t="shared" si="7"/>
        <v>44166</v>
      </c>
    </row>
    <row r="408" spans="1:34">
      <c r="A408">
        <v>7</v>
      </c>
      <c r="B408">
        <v>6585</v>
      </c>
      <c r="C408" t="s">
        <v>230</v>
      </c>
      <c r="D408">
        <v>150</v>
      </c>
      <c r="E408">
        <v>0</v>
      </c>
      <c r="F408">
        <v>0</v>
      </c>
      <c r="G408" t="s">
        <v>175</v>
      </c>
      <c r="H408" t="s">
        <v>175</v>
      </c>
      <c r="I408" s="878">
        <v>44193</v>
      </c>
      <c r="J408">
        <v>7</v>
      </c>
      <c r="K408" t="s">
        <v>230</v>
      </c>
      <c r="L408">
        <v>6585</v>
      </c>
      <c r="M408" t="s">
        <v>175</v>
      </c>
      <c r="N408" t="s">
        <v>175</v>
      </c>
      <c r="O408" t="s">
        <v>175</v>
      </c>
      <c r="P408" t="s">
        <v>175</v>
      </c>
      <c r="Q408" t="s">
        <v>175</v>
      </c>
      <c r="R408" t="s">
        <v>175</v>
      </c>
      <c r="S408" t="s">
        <v>175</v>
      </c>
      <c r="T408" t="s">
        <v>175</v>
      </c>
      <c r="U408" t="s">
        <v>175</v>
      </c>
      <c r="V408" t="s">
        <v>175</v>
      </c>
      <c r="W408" t="s">
        <v>175</v>
      </c>
      <c r="X408" t="s">
        <v>175</v>
      </c>
      <c r="Y408" t="s">
        <v>175</v>
      </c>
      <c r="Z408" t="s">
        <v>175</v>
      </c>
      <c r="AA408" t="s">
        <v>175</v>
      </c>
      <c r="AB408" t="s">
        <v>175</v>
      </c>
      <c r="AC408" t="s">
        <v>175</v>
      </c>
      <c r="AD408" t="s">
        <v>175</v>
      </c>
      <c r="AE408" t="s">
        <v>175</v>
      </c>
      <c r="AF408" t="s">
        <v>175</v>
      </c>
      <c r="AG408" s="878">
        <v>44193</v>
      </c>
      <c r="AH408" s="873">
        <f t="shared" si="7"/>
        <v>44166</v>
      </c>
    </row>
    <row r="409" spans="1:34">
      <c r="A409">
        <v>8</v>
      </c>
      <c r="B409">
        <v>6585</v>
      </c>
      <c r="C409" t="s">
        <v>230</v>
      </c>
      <c r="D409">
        <v>150</v>
      </c>
      <c r="E409">
        <v>0</v>
      </c>
      <c r="F409">
        <v>0</v>
      </c>
      <c r="G409" t="s">
        <v>175</v>
      </c>
      <c r="H409" t="s">
        <v>175</v>
      </c>
      <c r="I409" s="878">
        <v>44208</v>
      </c>
      <c r="J409">
        <v>8</v>
      </c>
      <c r="K409" t="s">
        <v>230</v>
      </c>
      <c r="L409">
        <v>6585</v>
      </c>
      <c r="M409" t="s">
        <v>175</v>
      </c>
      <c r="N409" t="s">
        <v>175</v>
      </c>
      <c r="O409" t="s">
        <v>175</v>
      </c>
      <c r="P409" t="s">
        <v>175</v>
      </c>
      <c r="Q409" t="s">
        <v>175</v>
      </c>
      <c r="R409" t="s">
        <v>175</v>
      </c>
      <c r="S409" t="s">
        <v>175</v>
      </c>
      <c r="T409" t="s">
        <v>175</v>
      </c>
      <c r="U409" t="s">
        <v>175</v>
      </c>
      <c r="V409" t="s">
        <v>175</v>
      </c>
      <c r="W409" t="s">
        <v>175</v>
      </c>
      <c r="X409" t="s">
        <v>175</v>
      </c>
      <c r="Y409" t="s">
        <v>175</v>
      </c>
      <c r="Z409" t="s">
        <v>175</v>
      </c>
      <c r="AA409" t="s">
        <v>175</v>
      </c>
      <c r="AB409" t="s">
        <v>175</v>
      </c>
      <c r="AC409" t="s">
        <v>175</v>
      </c>
      <c r="AD409" t="s">
        <v>175</v>
      </c>
      <c r="AE409" t="s">
        <v>175</v>
      </c>
      <c r="AF409" t="s">
        <v>175</v>
      </c>
      <c r="AG409" s="878">
        <v>44208</v>
      </c>
      <c r="AH409" s="873">
        <f t="shared" si="7"/>
        <v>44197</v>
      </c>
    </row>
    <row r="410" spans="1:34">
      <c r="A410">
        <v>1</v>
      </c>
      <c r="B410">
        <v>6587</v>
      </c>
      <c r="C410" t="s">
        <v>231</v>
      </c>
      <c r="D410">
        <v>155</v>
      </c>
      <c r="E410">
        <v>44143609</v>
      </c>
      <c r="F410">
        <v>0</v>
      </c>
      <c r="G410">
        <v>2851060</v>
      </c>
      <c r="H410">
        <v>0</v>
      </c>
      <c r="I410" s="878">
        <v>44043</v>
      </c>
      <c r="J410">
        <v>1</v>
      </c>
      <c r="K410" t="s">
        <v>231</v>
      </c>
      <c r="L410">
        <v>6587</v>
      </c>
      <c r="M410">
        <v>0</v>
      </c>
      <c r="N410">
        <v>0.86682005154020003</v>
      </c>
      <c r="O410">
        <v>0.104920202411923</v>
      </c>
      <c r="P410">
        <v>2.8259746047876701E-2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1.0291114983784699</v>
      </c>
      <c r="Z410">
        <v>0</v>
      </c>
      <c r="AA410">
        <v>-1.52382174347426E-2</v>
      </c>
      <c r="AB410">
        <v>9.1662001833361997E-2</v>
      </c>
      <c r="AC410">
        <v>0</v>
      </c>
      <c r="AD410">
        <v>-0.31157057770178498</v>
      </c>
      <c r="AE410">
        <v>7.2855346464891002E-2</v>
      </c>
      <c r="AF410">
        <v>0</v>
      </c>
      <c r="AG410" s="878">
        <v>44043</v>
      </c>
      <c r="AH410" s="873">
        <f t="shared" si="7"/>
        <v>44013</v>
      </c>
    </row>
    <row r="411" spans="1:34">
      <c r="A411">
        <v>2</v>
      </c>
      <c r="B411">
        <v>6587</v>
      </c>
      <c r="C411" t="s">
        <v>231</v>
      </c>
      <c r="D411">
        <v>155</v>
      </c>
      <c r="E411">
        <v>0</v>
      </c>
      <c r="F411">
        <v>0</v>
      </c>
      <c r="G411" t="s">
        <v>175</v>
      </c>
      <c r="H411" t="s">
        <v>175</v>
      </c>
      <c r="I411" s="878">
        <v>44055</v>
      </c>
      <c r="J411">
        <v>2</v>
      </c>
      <c r="K411" t="s">
        <v>231</v>
      </c>
      <c r="L411">
        <v>6587</v>
      </c>
      <c r="M411">
        <v>0</v>
      </c>
      <c r="N411" t="s">
        <v>175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 t="s">
        <v>175</v>
      </c>
      <c r="Z411" t="s">
        <v>175</v>
      </c>
      <c r="AA411" t="s">
        <v>175</v>
      </c>
      <c r="AB411" t="s">
        <v>175</v>
      </c>
      <c r="AC411" t="s">
        <v>175</v>
      </c>
      <c r="AD411" t="s">
        <v>175</v>
      </c>
      <c r="AE411" t="s">
        <v>175</v>
      </c>
      <c r="AF411" t="s">
        <v>175</v>
      </c>
      <c r="AG411" s="878">
        <v>44055</v>
      </c>
      <c r="AH411" s="873">
        <f t="shared" si="7"/>
        <v>44044</v>
      </c>
    </row>
    <row r="412" spans="1:34">
      <c r="A412">
        <v>3</v>
      </c>
      <c r="B412">
        <v>6587</v>
      </c>
      <c r="C412" t="s">
        <v>231</v>
      </c>
      <c r="D412">
        <v>155</v>
      </c>
      <c r="E412">
        <v>0</v>
      </c>
      <c r="F412">
        <v>0</v>
      </c>
      <c r="G412" t="s">
        <v>175</v>
      </c>
      <c r="H412" t="s">
        <v>175</v>
      </c>
      <c r="I412" s="878">
        <v>44088</v>
      </c>
      <c r="J412">
        <v>3</v>
      </c>
      <c r="K412" t="s">
        <v>231</v>
      </c>
      <c r="L412">
        <v>6587</v>
      </c>
      <c r="M412">
        <v>0</v>
      </c>
      <c r="N412" t="s">
        <v>175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 t="s">
        <v>175</v>
      </c>
      <c r="Z412" t="s">
        <v>175</v>
      </c>
      <c r="AA412" t="s">
        <v>175</v>
      </c>
      <c r="AB412" t="s">
        <v>175</v>
      </c>
      <c r="AC412" t="s">
        <v>175</v>
      </c>
      <c r="AD412" t="s">
        <v>175</v>
      </c>
      <c r="AE412" t="s">
        <v>175</v>
      </c>
      <c r="AF412" t="s">
        <v>175</v>
      </c>
      <c r="AG412" s="878">
        <v>44088</v>
      </c>
      <c r="AH412" s="873">
        <f t="shared" si="7"/>
        <v>44075</v>
      </c>
    </row>
    <row r="413" spans="1:34">
      <c r="A413">
        <v>4</v>
      </c>
      <c r="B413">
        <v>6587</v>
      </c>
      <c r="C413" t="s">
        <v>231</v>
      </c>
      <c r="D413">
        <v>155</v>
      </c>
      <c r="E413">
        <v>0</v>
      </c>
      <c r="F413">
        <v>0</v>
      </c>
      <c r="G413" t="s">
        <v>175</v>
      </c>
      <c r="H413" t="s">
        <v>175</v>
      </c>
      <c r="I413" s="878">
        <v>44117</v>
      </c>
      <c r="J413">
        <v>4</v>
      </c>
      <c r="K413" t="s">
        <v>231</v>
      </c>
      <c r="L413">
        <v>6587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 t="s">
        <v>175</v>
      </c>
      <c r="Z413" t="s">
        <v>175</v>
      </c>
      <c r="AA413" t="s">
        <v>175</v>
      </c>
      <c r="AB413" t="s">
        <v>175</v>
      </c>
      <c r="AC413" t="s">
        <v>175</v>
      </c>
      <c r="AD413" t="s">
        <v>175</v>
      </c>
      <c r="AE413" t="s">
        <v>175</v>
      </c>
      <c r="AF413" t="s">
        <v>175</v>
      </c>
      <c r="AG413" s="878">
        <v>44117</v>
      </c>
      <c r="AH413" s="873">
        <f t="shared" si="7"/>
        <v>44105</v>
      </c>
    </row>
    <row r="414" spans="1:34">
      <c r="A414">
        <v>5</v>
      </c>
      <c r="B414">
        <v>6587</v>
      </c>
      <c r="C414" t="s">
        <v>231</v>
      </c>
      <c r="D414">
        <v>155</v>
      </c>
      <c r="E414">
        <v>0</v>
      </c>
      <c r="F414">
        <v>0</v>
      </c>
      <c r="G414" t="s">
        <v>175</v>
      </c>
      <c r="H414" t="s">
        <v>175</v>
      </c>
      <c r="I414" s="878">
        <v>44147</v>
      </c>
      <c r="J414">
        <v>5</v>
      </c>
      <c r="K414" t="s">
        <v>231</v>
      </c>
      <c r="L414">
        <v>6587</v>
      </c>
      <c r="M414" t="s">
        <v>175</v>
      </c>
      <c r="N414" t="s">
        <v>175</v>
      </c>
      <c r="O414" t="s">
        <v>175</v>
      </c>
      <c r="P414" t="s">
        <v>175</v>
      </c>
      <c r="Q414" t="s">
        <v>175</v>
      </c>
      <c r="R414" t="s">
        <v>175</v>
      </c>
      <c r="S414" t="s">
        <v>175</v>
      </c>
      <c r="T414" t="s">
        <v>175</v>
      </c>
      <c r="U414" t="s">
        <v>175</v>
      </c>
      <c r="V414" t="s">
        <v>175</v>
      </c>
      <c r="W414" t="s">
        <v>175</v>
      </c>
      <c r="X414" t="s">
        <v>175</v>
      </c>
      <c r="Y414" t="s">
        <v>175</v>
      </c>
      <c r="Z414" t="s">
        <v>175</v>
      </c>
      <c r="AA414" t="s">
        <v>175</v>
      </c>
      <c r="AB414" t="s">
        <v>175</v>
      </c>
      <c r="AC414" t="s">
        <v>175</v>
      </c>
      <c r="AD414" t="s">
        <v>175</v>
      </c>
      <c r="AE414" t="s">
        <v>175</v>
      </c>
      <c r="AF414" t="s">
        <v>175</v>
      </c>
      <c r="AG414" s="878">
        <v>44147</v>
      </c>
      <c r="AH414" s="873">
        <f t="shared" si="7"/>
        <v>44136</v>
      </c>
    </row>
    <row r="415" spans="1:34">
      <c r="A415">
        <v>6</v>
      </c>
      <c r="B415">
        <v>6587</v>
      </c>
      <c r="C415" t="s">
        <v>231</v>
      </c>
      <c r="D415">
        <v>155</v>
      </c>
      <c r="E415">
        <v>0</v>
      </c>
      <c r="F415">
        <v>0</v>
      </c>
      <c r="G415" t="s">
        <v>175</v>
      </c>
      <c r="H415" t="s">
        <v>175</v>
      </c>
      <c r="I415" s="878">
        <v>44179</v>
      </c>
      <c r="J415">
        <v>6</v>
      </c>
      <c r="K415" t="s">
        <v>231</v>
      </c>
      <c r="L415">
        <v>6587</v>
      </c>
      <c r="M415" t="s">
        <v>175</v>
      </c>
      <c r="N415" t="s">
        <v>175</v>
      </c>
      <c r="O415" t="s">
        <v>175</v>
      </c>
      <c r="P415" t="s">
        <v>175</v>
      </c>
      <c r="Q415" t="s">
        <v>175</v>
      </c>
      <c r="R415" t="s">
        <v>175</v>
      </c>
      <c r="S415" t="s">
        <v>175</v>
      </c>
      <c r="T415" t="s">
        <v>175</v>
      </c>
      <c r="U415" t="s">
        <v>175</v>
      </c>
      <c r="V415" t="s">
        <v>175</v>
      </c>
      <c r="W415" t="s">
        <v>175</v>
      </c>
      <c r="X415" t="s">
        <v>175</v>
      </c>
      <c r="Y415" t="s">
        <v>175</v>
      </c>
      <c r="Z415" t="s">
        <v>175</v>
      </c>
      <c r="AA415" t="s">
        <v>175</v>
      </c>
      <c r="AB415" t="s">
        <v>175</v>
      </c>
      <c r="AC415" t="s">
        <v>175</v>
      </c>
      <c r="AD415" t="s">
        <v>175</v>
      </c>
      <c r="AE415" t="s">
        <v>175</v>
      </c>
      <c r="AF415" t="s">
        <v>175</v>
      </c>
      <c r="AG415" s="878">
        <v>44179</v>
      </c>
      <c r="AH415" s="873">
        <f t="shared" si="7"/>
        <v>44166</v>
      </c>
    </row>
    <row r="416" spans="1:34">
      <c r="A416">
        <v>7</v>
      </c>
      <c r="B416">
        <v>6587</v>
      </c>
      <c r="C416" t="s">
        <v>231</v>
      </c>
      <c r="D416">
        <v>155</v>
      </c>
      <c r="E416">
        <v>0</v>
      </c>
      <c r="F416">
        <v>0</v>
      </c>
      <c r="G416" t="s">
        <v>175</v>
      </c>
      <c r="H416" t="s">
        <v>175</v>
      </c>
      <c r="I416" s="878">
        <v>44193</v>
      </c>
      <c r="J416">
        <v>7</v>
      </c>
      <c r="K416" t="s">
        <v>231</v>
      </c>
      <c r="L416">
        <v>6587</v>
      </c>
      <c r="M416" t="s">
        <v>175</v>
      </c>
      <c r="N416" t="s">
        <v>175</v>
      </c>
      <c r="O416" t="s">
        <v>175</v>
      </c>
      <c r="P416" t="s">
        <v>175</v>
      </c>
      <c r="Q416" t="s">
        <v>175</v>
      </c>
      <c r="R416" t="s">
        <v>175</v>
      </c>
      <c r="S416" t="s">
        <v>175</v>
      </c>
      <c r="T416" t="s">
        <v>175</v>
      </c>
      <c r="U416" t="s">
        <v>175</v>
      </c>
      <c r="V416" t="s">
        <v>175</v>
      </c>
      <c r="W416" t="s">
        <v>175</v>
      </c>
      <c r="X416" t="s">
        <v>175</v>
      </c>
      <c r="Y416" t="s">
        <v>175</v>
      </c>
      <c r="Z416" t="s">
        <v>175</v>
      </c>
      <c r="AA416" t="s">
        <v>175</v>
      </c>
      <c r="AB416" t="s">
        <v>175</v>
      </c>
      <c r="AC416" t="s">
        <v>175</v>
      </c>
      <c r="AD416" t="s">
        <v>175</v>
      </c>
      <c r="AE416" t="s">
        <v>175</v>
      </c>
      <c r="AF416" t="s">
        <v>175</v>
      </c>
      <c r="AG416" s="878">
        <v>44193</v>
      </c>
      <c r="AH416" s="873">
        <f t="shared" si="7"/>
        <v>44166</v>
      </c>
    </row>
    <row r="417" spans="1:34">
      <c r="A417">
        <v>8</v>
      </c>
      <c r="B417">
        <v>6587</v>
      </c>
      <c r="C417" t="s">
        <v>231</v>
      </c>
      <c r="D417">
        <v>155</v>
      </c>
      <c r="E417">
        <v>0</v>
      </c>
      <c r="F417">
        <v>0</v>
      </c>
      <c r="G417" t="s">
        <v>175</v>
      </c>
      <c r="H417" t="s">
        <v>175</v>
      </c>
      <c r="I417" s="878">
        <v>44208</v>
      </c>
      <c r="J417">
        <v>8</v>
      </c>
      <c r="K417" t="s">
        <v>231</v>
      </c>
      <c r="L417">
        <v>6587</v>
      </c>
      <c r="M417" t="s">
        <v>175</v>
      </c>
      <c r="N417" t="s">
        <v>175</v>
      </c>
      <c r="O417" t="s">
        <v>175</v>
      </c>
      <c r="P417" t="s">
        <v>175</v>
      </c>
      <c r="Q417" t="s">
        <v>175</v>
      </c>
      <c r="R417" t="s">
        <v>175</v>
      </c>
      <c r="S417" t="s">
        <v>175</v>
      </c>
      <c r="T417" t="s">
        <v>175</v>
      </c>
      <c r="U417" t="s">
        <v>175</v>
      </c>
      <c r="V417" t="s">
        <v>175</v>
      </c>
      <c r="W417" t="s">
        <v>175</v>
      </c>
      <c r="X417" t="s">
        <v>175</v>
      </c>
      <c r="Y417" t="s">
        <v>175</v>
      </c>
      <c r="Z417" t="s">
        <v>175</v>
      </c>
      <c r="AA417" t="s">
        <v>175</v>
      </c>
      <c r="AB417" t="s">
        <v>175</v>
      </c>
      <c r="AC417" t="s">
        <v>175</v>
      </c>
      <c r="AD417" t="s">
        <v>175</v>
      </c>
      <c r="AE417" t="s">
        <v>175</v>
      </c>
      <c r="AF417" t="s">
        <v>175</v>
      </c>
      <c r="AG417" s="878">
        <v>44208</v>
      </c>
      <c r="AH417" s="873">
        <f t="shared" si="7"/>
        <v>44197</v>
      </c>
    </row>
    <row r="418" spans="1:34">
      <c r="A418">
        <v>1</v>
      </c>
      <c r="B418">
        <v>6600</v>
      </c>
      <c r="C418" t="s">
        <v>232</v>
      </c>
      <c r="D418">
        <v>153</v>
      </c>
      <c r="E418">
        <v>61996242.733957499</v>
      </c>
      <c r="F418">
        <v>0</v>
      </c>
      <c r="G418">
        <v>0</v>
      </c>
      <c r="H418">
        <v>0</v>
      </c>
      <c r="I418" s="878">
        <v>44043</v>
      </c>
      <c r="J418">
        <v>1</v>
      </c>
      <c r="K418" t="s">
        <v>232</v>
      </c>
      <c r="L418">
        <v>6600</v>
      </c>
      <c r="M418">
        <v>2.8083238431493698E-2</v>
      </c>
      <c r="N418">
        <v>0.85694344313708504</v>
      </c>
      <c r="O418">
        <v>6.8021681355467795E-2</v>
      </c>
      <c r="P418">
        <v>4.6951637075953602E-2</v>
      </c>
      <c r="Q418">
        <v>7.5438813693698301E-2</v>
      </c>
      <c r="R418">
        <v>0</v>
      </c>
      <c r="S418">
        <v>-8.0522649522284002E-3</v>
      </c>
      <c r="T418">
        <v>-6.2579087983815604E-2</v>
      </c>
      <c r="U418">
        <v>0</v>
      </c>
      <c r="V418">
        <v>8.1339652359184705E-3</v>
      </c>
      <c r="W418">
        <v>1.51418124379209E-2</v>
      </c>
      <c r="X418">
        <v>0</v>
      </c>
      <c r="Y418">
        <v>1.49096068848332</v>
      </c>
      <c r="Z418">
        <v>0</v>
      </c>
      <c r="AA418">
        <v>-2.68221715812011E-2</v>
      </c>
      <c r="AB418">
        <v>0.21844792366073601</v>
      </c>
      <c r="AC418">
        <v>0</v>
      </c>
      <c r="AD418">
        <v>-0.87958122984978304</v>
      </c>
      <c r="AE418">
        <v>5.39382324240174E-2</v>
      </c>
      <c r="AF418">
        <v>0</v>
      </c>
      <c r="AG418" s="878">
        <v>44043</v>
      </c>
      <c r="AH418" s="873">
        <f t="shared" si="7"/>
        <v>44013</v>
      </c>
    </row>
    <row r="419" spans="1:34">
      <c r="A419">
        <v>2</v>
      </c>
      <c r="B419">
        <v>6600</v>
      </c>
      <c r="C419" t="s">
        <v>232</v>
      </c>
      <c r="D419">
        <v>153</v>
      </c>
      <c r="E419">
        <v>11637221.380000001</v>
      </c>
      <c r="F419">
        <v>0</v>
      </c>
      <c r="G419" t="s">
        <v>175</v>
      </c>
      <c r="H419" t="s">
        <v>175</v>
      </c>
      <c r="I419" s="878">
        <v>44055</v>
      </c>
      <c r="J419">
        <v>2</v>
      </c>
      <c r="K419" t="s">
        <v>232</v>
      </c>
      <c r="L419">
        <v>6600</v>
      </c>
      <c r="M419">
        <v>0.79651487938021703</v>
      </c>
      <c r="N419" t="s">
        <v>175</v>
      </c>
      <c r="O419">
        <v>0.20348512061978299</v>
      </c>
      <c r="P419">
        <v>0</v>
      </c>
      <c r="Q419">
        <v>0.39012355915708302</v>
      </c>
      <c r="R419">
        <v>0</v>
      </c>
      <c r="S419">
        <v>-4.3005873611958699E-2</v>
      </c>
      <c r="T419">
        <v>0.197948795834751</v>
      </c>
      <c r="U419">
        <v>0</v>
      </c>
      <c r="V419">
        <v>0.17055370797841199</v>
      </c>
      <c r="W419">
        <v>8.0894690021930102E-2</v>
      </c>
      <c r="X419">
        <v>0</v>
      </c>
      <c r="Y419" t="s">
        <v>175</v>
      </c>
      <c r="Z419" t="s">
        <v>175</v>
      </c>
      <c r="AA419" t="s">
        <v>175</v>
      </c>
      <c r="AB419" t="s">
        <v>175</v>
      </c>
      <c r="AC419" t="s">
        <v>175</v>
      </c>
      <c r="AD419" t="s">
        <v>175</v>
      </c>
      <c r="AE419" t="s">
        <v>175</v>
      </c>
      <c r="AF419" t="s">
        <v>175</v>
      </c>
      <c r="AG419" s="878">
        <v>44055</v>
      </c>
      <c r="AH419" s="873">
        <f t="shared" si="7"/>
        <v>44044</v>
      </c>
    </row>
    <row r="420" spans="1:34">
      <c r="A420">
        <v>3</v>
      </c>
      <c r="B420">
        <v>6600</v>
      </c>
      <c r="C420" t="s">
        <v>232</v>
      </c>
      <c r="D420">
        <v>153</v>
      </c>
      <c r="E420">
        <v>8347681.4105861103</v>
      </c>
      <c r="F420">
        <v>0</v>
      </c>
      <c r="G420" t="s">
        <v>175</v>
      </c>
      <c r="H420" t="s">
        <v>175</v>
      </c>
      <c r="I420" s="878">
        <v>44088</v>
      </c>
      <c r="J420">
        <v>3</v>
      </c>
      <c r="K420" t="s">
        <v>232</v>
      </c>
      <c r="L420">
        <v>6600</v>
      </c>
      <c r="M420">
        <v>0.93567372357471101</v>
      </c>
      <c r="N420" t="s">
        <v>175</v>
      </c>
      <c r="O420">
        <v>6.4326276425288501E-2</v>
      </c>
      <c r="P420">
        <v>0</v>
      </c>
      <c r="Q420">
        <v>0.27662723610633499</v>
      </c>
      <c r="R420">
        <v>0</v>
      </c>
      <c r="S420">
        <v>2.97747325701435E-2</v>
      </c>
      <c r="T420">
        <v>0.53665236861673404</v>
      </c>
      <c r="U420">
        <v>0</v>
      </c>
      <c r="V420">
        <v>3.6429722467305997E-2</v>
      </c>
      <c r="W420">
        <v>5.6189663814192298E-2</v>
      </c>
      <c r="X420">
        <v>0</v>
      </c>
      <c r="Y420" t="s">
        <v>175</v>
      </c>
      <c r="Z420" t="s">
        <v>175</v>
      </c>
      <c r="AA420" t="s">
        <v>175</v>
      </c>
      <c r="AB420" t="s">
        <v>175</v>
      </c>
      <c r="AC420" t="s">
        <v>175</v>
      </c>
      <c r="AD420" t="s">
        <v>175</v>
      </c>
      <c r="AE420" t="s">
        <v>175</v>
      </c>
      <c r="AF420" t="s">
        <v>175</v>
      </c>
      <c r="AG420" s="878">
        <v>44088</v>
      </c>
      <c r="AH420" s="873">
        <f t="shared" si="7"/>
        <v>44075</v>
      </c>
    </row>
    <row r="421" spans="1:34">
      <c r="A421">
        <v>4</v>
      </c>
      <c r="B421">
        <v>6600</v>
      </c>
      <c r="C421" t="s">
        <v>232</v>
      </c>
      <c r="D421">
        <v>153</v>
      </c>
      <c r="E421">
        <v>5010647.6404968901</v>
      </c>
      <c r="F421">
        <v>0</v>
      </c>
      <c r="G421" t="s">
        <v>175</v>
      </c>
      <c r="H421" t="s">
        <v>175</v>
      </c>
      <c r="I421" s="878">
        <v>44117</v>
      </c>
      <c r="J421">
        <v>4</v>
      </c>
      <c r="K421" t="s">
        <v>232</v>
      </c>
      <c r="L421">
        <v>6600</v>
      </c>
      <c r="M421">
        <v>0</v>
      </c>
      <c r="N421">
        <v>0</v>
      </c>
      <c r="O421">
        <v>0.79784097171767498</v>
      </c>
      <c r="P421">
        <v>0.20215902828232499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 t="s">
        <v>175</v>
      </c>
      <c r="Z421" t="s">
        <v>175</v>
      </c>
      <c r="AA421" t="s">
        <v>175</v>
      </c>
      <c r="AB421" t="s">
        <v>175</v>
      </c>
      <c r="AC421" t="s">
        <v>175</v>
      </c>
      <c r="AD421" t="s">
        <v>175</v>
      </c>
      <c r="AE421" t="s">
        <v>175</v>
      </c>
      <c r="AF421" t="s">
        <v>175</v>
      </c>
      <c r="AG421" s="878">
        <v>44117</v>
      </c>
      <c r="AH421" s="873">
        <f t="shared" si="7"/>
        <v>44105</v>
      </c>
    </row>
    <row r="422" spans="1:34">
      <c r="A422">
        <v>5</v>
      </c>
      <c r="B422">
        <v>6600</v>
      </c>
      <c r="C422" t="s">
        <v>232</v>
      </c>
      <c r="D422">
        <v>153</v>
      </c>
      <c r="E422">
        <v>0</v>
      </c>
      <c r="F422">
        <v>0</v>
      </c>
      <c r="G422" t="s">
        <v>175</v>
      </c>
      <c r="H422" t="s">
        <v>175</v>
      </c>
      <c r="I422" s="878">
        <v>44147</v>
      </c>
      <c r="J422">
        <v>5</v>
      </c>
      <c r="K422" t="s">
        <v>232</v>
      </c>
      <c r="L422">
        <v>6600</v>
      </c>
      <c r="M422" t="s">
        <v>175</v>
      </c>
      <c r="N422" t="s">
        <v>175</v>
      </c>
      <c r="O422" t="s">
        <v>175</v>
      </c>
      <c r="P422" t="s">
        <v>175</v>
      </c>
      <c r="Q422" t="s">
        <v>175</v>
      </c>
      <c r="R422" t="s">
        <v>175</v>
      </c>
      <c r="S422" t="s">
        <v>175</v>
      </c>
      <c r="T422" t="s">
        <v>175</v>
      </c>
      <c r="U422" t="s">
        <v>175</v>
      </c>
      <c r="V422" t="s">
        <v>175</v>
      </c>
      <c r="W422" t="s">
        <v>175</v>
      </c>
      <c r="X422" t="s">
        <v>175</v>
      </c>
      <c r="Y422" t="s">
        <v>175</v>
      </c>
      <c r="Z422" t="s">
        <v>175</v>
      </c>
      <c r="AA422" t="s">
        <v>175</v>
      </c>
      <c r="AB422" t="s">
        <v>175</v>
      </c>
      <c r="AC422" t="s">
        <v>175</v>
      </c>
      <c r="AD422" t="s">
        <v>175</v>
      </c>
      <c r="AE422" t="s">
        <v>175</v>
      </c>
      <c r="AF422" t="s">
        <v>175</v>
      </c>
      <c r="AG422" s="878">
        <v>44147</v>
      </c>
      <c r="AH422" s="873">
        <f t="shared" si="7"/>
        <v>44136</v>
      </c>
    </row>
    <row r="423" spans="1:34">
      <c r="A423">
        <v>6</v>
      </c>
      <c r="B423">
        <v>6600</v>
      </c>
      <c r="C423" t="s">
        <v>232</v>
      </c>
      <c r="D423">
        <v>153</v>
      </c>
      <c r="E423">
        <v>0</v>
      </c>
      <c r="F423">
        <v>0</v>
      </c>
      <c r="G423" t="s">
        <v>175</v>
      </c>
      <c r="H423" t="s">
        <v>175</v>
      </c>
      <c r="I423" s="878">
        <v>44179</v>
      </c>
      <c r="J423">
        <v>6</v>
      </c>
      <c r="K423" t="s">
        <v>232</v>
      </c>
      <c r="L423">
        <v>6600</v>
      </c>
      <c r="M423" t="s">
        <v>175</v>
      </c>
      <c r="N423" t="s">
        <v>175</v>
      </c>
      <c r="O423" t="s">
        <v>175</v>
      </c>
      <c r="P423" t="s">
        <v>175</v>
      </c>
      <c r="Q423" t="s">
        <v>175</v>
      </c>
      <c r="R423" t="s">
        <v>175</v>
      </c>
      <c r="S423" t="s">
        <v>175</v>
      </c>
      <c r="T423" t="s">
        <v>175</v>
      </c>
      <c r="U423" t="s">
        <v>175</v>
      </c>
      <c r="V423" t="s">
        <v>175</v>
      </c>
      <c r="W423" t="s">
        <v>175</v>
      </c>
      <c r="X423" t="s">
        <v>175</v>
      </c>
      <c r="Y423" t="s">
        <v>175</v>
      </c>
      <c r="Z423" t="s">
        <v>175</v>
      </c>
      <c r="AA423" t="s">
        <v>175</v>
      </c>
      <c r="AB423" t="s">
        <v>175</v>
      </c>
      <c r="AC423" t="s">
        <v>175</v>
      </c>
      <c r="AD423" t="s">
        <v>175</v>
      </c>
      <c r="AE423" t="s">
        <v>175</v>
      </c>
      <c r="AF423" t="s">
        <v>175</v>
      </c>
      <c r="AG423" s="878">
        <v>44179</v>
      </c>
      <c r="AH423" s="873">
        <f t="shared" si="7"/>
        <v>44166</v>
      </c>
    </row>
    <row r="424" spans="1:34">
      <c r="A424">
        <v>7</v>
      </c>
      <c r="B424">
        <v>6600</v>
      </c>
      <c r="C424" t="s">
        <v>232</v>
      </c>
      <c r="D424">
        <v>153</v>
      </c>
      <c r="E424">
        <v>0</v>
      </c>
      <c r="F424">
        <v>0</v>
      </c>
      <c r="G424" t="s">
        <v>175</v>
      </c>
      <c r="H424" t="s">
        <v>175</v>
      </c>
      <c r="I424" s="878">
        <v>44193</v>
      </c>
      <c r="J424">
        <v>7</v>
      </c>
      <c r="K424" t="s">
        <v>232</v>
      </c>
      <c r="L424">
        <v>6600</v>
      </c>
      <c r="M424" t="s">
        <v>175</v>
      </c>
      <c r="N424" t="s">
        <v>175</v>
      </c>
      <c r="O424" t="s">
        <v>175</v>
      </c>
      <c r="P424" t="s">
        <v>175</v>
      </c>
      <c r="Q424" t="s">
        <v>175</v>
      </c>
      <c r="R424" t="s">
        <v>175</v>
      </c>
      <c r="S424" t="s">
        <v>175</v>
      </c>
      <c r="T424" t="s">
        <v>175</v>
      </c>
      <c r="U424" t="s">
        <v>175</v>
      </c>
      <c r="V424" t="s">
        <v>175</v>
      </c>
      <c r="W424" t="s">
        <v>175</v>
      </c>
      <c r="X424" t="s">
        <v>175</v>
      </c>
      <c r="Y424" t="s">
        <v>175</v>
      </c>
      <c r="Z424" t="s">
        <v>175</v>
      </c>
      <c r="AA424" t="s">
        <v>175</v>
      </c>
      <c r="AB424" t="s">
        <v>175</v>
      </c>
      <c r="AC424" t="s">
        <v>175</v>
      </c>
      <c r="AD424" t="s">
        <v>175</v>
      </c>
      <c r="AE424" t="s">
        <v>175</v>
      </c>
      <c r="AF424" t="s">
        <v>175</v>
      </c>
      <c r="AG424" s="878">
        <v>44193</v>
      </c>
      <c r="AH424" s="873">
        <f t="shared" si="7"/>
        <v>44166</v>
      </c>
    </row>
    <row r="425" spans="1:34">
      <c r="A425">
        <v>8</v>
      </c>
      <c r="B425">
        <v>6600</v>
      </c>
      <c r="C425" t="s">
        <v>232</v>
      </c>
      <c r="D425">
        <v>153</v>
      </c>
      <c r="E425">
        <v>0</v>
      </c>
      <c r="F425">
        <v>0</v>
      </c>
      <c r="G425" t="s">
        <v>175</v>
      </c>
      <c r="H425" t="s">
        <v>175</v>
      </c>
      <c r="I425" s="878">
        <v>44208</v>
      </c>
      <c r="J425">
        <v>8</v>
      </c>
      <c r="K425" t="s">
        <v>232</v>
      </c>
      <c r="L425">
        <v>6600</v>
      </c>
      <c r="M425" t="s">
        <v>175</v>
      </c>
      <c r="N425" t="s">
        <v>175</v>
      </c>
      <c r="O425" t="s">
        <v>175</v>
      </c>
      <c r="P425" t="s">
        <v>175</v>
      </c>
      <c r="Q425" t="s">
        <v>175</v>
      </c>
      <c r="R425" t="s">
        <v>175</v>
      </c>
      <c r="S425" t="s">
        <v>175</v>
      </c>
      <c r="T425" t="s">
        <v>175</v>
      </c>
      <c r="U425" t="s">
        <v>175</v>
      </c>
      <c r="V425" t="s">
        <v>175</v>
      </c>
      <c r="W425" t="s">
        <v>175</v>
      </c>
      <c r="X425" t="s">
        <v>175</v>
      </c>
      <c r="Y425" t="s">
        <v>175</v>
      </c>
      <c r="Z425" t="s">
        <v>175</v>
      </c>
      <c r="AA425" t="s">
        <v>175</v>
      </c>
      <c r="AB425" t="s">
        <v>175</v>
      </c>
      <c r="AC425" t="s">
        <v>175</v>
      </c>
      <c r="AD425" t="s">
        <v>175</v>
      </c>
      <c r="AE425" t="s">
        <v>175</v>
      </c>
      <c r="AF425" t="s">
        <v>175</v>
      </c>
      <c r="AG425" s="878">
        <v>44208</v>
      </c>
      <c r="AH425" s="873">
        <f t="shared" si="7"/>
        <v>44197</v>
      </c>
    </row>
    <row r="426" spans="1:34">
      <c r="A426">
        <v>1</v>
      </c>
      <c r="B426">
        <v>6603</v>
      </c>
      <c r="C426" t="s">
        <v>233</v>
      </c>
      <c r="D426">
        <v>256</v>
      </c>
      <c r="E426" s="233">
        <v>0</v>
      </c>
      <c r="F426" s="233">
        <v>200000</v>
      </c>
      <c r="G426" s="233">
        <f>F426*25%</f>
        <v>50000</v>
      </c>
      <c r="H426" s="233">
        <v>0</v>
      </c>
      <c r="I426" s="878">
        <v>44043</v>
      </c>
      <c r="J426" t="s">
        <v>175</v>
      </c>
      <c r="K426" t="s">
        <v>175</v>
      </c>
      <c r="L426" t="s">
        <v>175</v>
      </c>
      <c r="M426" t="s">
        <v>175</v>
      </c>
      <c r="N426" t="s">
        <v>175</v>
      </c>
      <c r="O426" t="s">
        <v>175</v>
      </c>
      <c r="P426" t="s">
        <v>175</v>
      </c>
      <c r="Q426" t="s">
        <v>175</v>
      </c>
      <c r="R426" t="s">
        <v>175</v>
      </c>
      <c r="S426" t="s">
        <v>175</v>
      </c>
      <c r="T426" t="s">
        <v>175</v>
      </c>
      <c r="U426" t="s">
        <v>175</v>
      </c>
      <c r="V426" t="s">
        <v>175</v>
      </c>
      <c r="W426" t="s">
        <v>175</v>
      </c>
      <c r="X426" t="s">
        <v>175</v>
      </c>
      <c r="Y426" t="s">
        <v>175</v>
      </c>
      <c r="Z426" t="s">
        <v>175</v>
      </c>
      <c r="AA426" t="s">
        <v>175</v>
      </c>
      <c r="AB426" t="s">
        <v>175</v>
      </c>
      <c r="AC426" t="s">
        <v>175</v>
      </c>
      <c r="AD426" t="s">
        <v>175</v>
      </c>
      <c r="AE426" t="s">
        <v>175</v>
      </c>
      <c r="AF426" t="s">
        <v>175</v>
      </c>
      <c r="AG426" t="s">
        <v>175</v>
      </c>
      <c r="AH426" s="873">
        <f t="shared" si="7"/>
        <v>44013</v>
      </c>
    </row>
    <row r="427" spans="1:34">
      <c r="A427">
        <v>2</v>
      </c>
      <c r="B427">
        <v>6603</v>
      </c>
      <c r="C427" t="s">
        <v>233</v>
      </c>
      <c r="D427">
        <v>256</v>
      </c>
      <c r="E427" s="233">
        <v>0</v>
      </c>
      <c r="F427" s="233">
        <v>201000</v>
      </c>
      <c r="G427" s="233">
        <f t="shared" ref="G427:G428" si="8">F427*25%</f>
        <v>50250</v>
      </c>
      <c r="H427" s="233" t="s">
        <v>175</v>
      </c>
      <c r="I427" s="878">
        <v>44055</v>
      </c>
      <c r="J427" t="s">
        <v>175</v>
      </c>
      <c r="K427" t="s">
        <v>175</v>
      </c>
      <c r="L427" t="s">
        <v>175</v>
      </c>
      <c r="M427" t="s">
        <v>175</v>
      </c>
      <c r="N427" t="s">
        <v>175</v>
      </c>
      <c r="O427" t="s">
        <v>175</v>
      </c>
      <c r="P427" t="s">
        <v>175</v>
      </c>
      <c r="Q427" t="s">
        <v>175</v>
      </c>
      <c r="R427" t="s">
        <v>175</v>
      </c>
      <c r="S427" t="s">
        <v>175</v>
      </c>
      <c r="T427" t="s">
        <v>175</v>
      </c>
      <c r="U427" t="s">
        <v>175</v>
      </c>
      <c r="V427" t="s">
        <v>175</v>
      </c>
      <c r="W427" t="s">
        <v>175</v>
      </c>
      <c r="X427" t="s">
        <v>175</v>
      </c>
      <c r="Y427" t="s">
        <v>175</v>
      </c>
      <c r="Z427" t="s">
        <v>175</v>
      </c>
      <c r="AA427" t="s">
        <v>175</v>
      </c>
      <c r="AB427" t="s">
        <v>175</v>
      </c>
      <c r="AC427" t="s">
        <v>175</v>
      </c>
      <c r="AD427" t="s">
        <v>175</v>
      </c>
      <c r="AE427" t="s">
        <v>175</v>
      </c>
      <c r="AF427" t="s">
        <v>175</v>
      </c>
      <c r="AG427" t="s">
        <v>175</v>
      </c>
      <c r="AH427" s="873">
        <f t="shared" si="7"/>
        <v>44044</v>
      </c>
    </row>
    <row r="428" spans="1:34">
      <c r="A428">
        <v>3</v>
      </c>
      <c r="B428">
        <v>6603</v>
      </c>
      <c r="C428" t="s">
        <v>233</v>
      </c>
      <c r="D428">
        <v>256</v>
      </c>
      <c r="E428" s="233">
        <v>0</v>
      </c>
      <c r="F428" s="233">
        <v>201000</v>
      </c>
      <c r="G428" s="233">
        <f t="shared" si="8"/>
        <v>50250</v>
      </c>
      <c r="H428" s="233" t="s">
        <v>175</v>
      </c>
      <c r="I428" s="878">
        <v>44088</v>
      </c>
      <c r="J428" t="s">
        <v>175</v>
      </c>
      <c r="K428" t="s">
        <v>175</v>
      </c>
      <c r="L428" t="s">
        <v>175</v>
      </c>
      <c r="M428" t="s">
        <v>175</v>
      </c>
      <c r="N428" t="s">
        <v>175</v>
      </c>
      <c r="O428" t="s">
        <v>175</v>
      </c>
      <c r="P428" t="s">
        <v>175</v>
      </c>
      <c r="Q428" t="s">
        <v>175</v>
      </c>
      <c r="R428" t="s">
        <v>175</v>
      </c>
      <c r="S428" t="s">
        <v>175</v>
      </c>
      <c r="T428" t="s">
        <v>175</v>
      </c>
      <c r="U428" t="s">
        <v>175</v>
      </c>
      <c r="V428" t="s">
        <v>175</v>
      </c>
      <c r="W428" t="s">
        <v>175</v>
      </c>
      <c r="X428" t="s">
        <v>175</v>
      </c>
      <c r="Y428" t="s">
        <v>175</v>
      </c>
      <c r="Z428" t="s">
        <v>175</v>
      </c>
      <c r="AA428" t="s">
        <v>175</v>
      </c>
      <c r="AB428" t="s">
        <v>175</v>
      </c>
      <c r="AC428" t="s">
        <v>175</v>
      </c>
      <c r="AD428" t="s">
        <v>175</v>
      </c>
      <c r="AE428" t="s">
        <v>175</v>
      </c>
      <c r="AF428" t="s">
        <v>175</v>
      </c>
      <c r="AG428" t="s">
        <v>175</v>
      </c>
      <c r="AH428" s="873">
        <f t="shared" si="7"/>
        <v>44075</v>
      </c>
    </row>
    <row r="429" spans="1:34">
      <c r="A429">
        <v>4</v>
      </c>
      <c r="B429">
        <v>6603</v>
      </c>
      <c r="C429" t="s">
        <v>233</v>
      </c>
      <c r="D429">
        <v>256</v>
      </c>
      <c r="E429" s="233">
        <v>0</v>
      </c>
      <c r="F429" s="233">
        <v>0</v>
      </c>
      <c r="G429" s="233" t="s">
        <v>175</v>
      </c>
      <c r="H429" s="233" t="s">
        <v>175</v>
      </c>
      <c r="I429" s="878">
        <v>44117</v>
      </c>
      <c r="J429" t="s">
        <v>175</v>
      </c>
      <c r="K429" t="s">
        <v>175</v>
      </c>
      <c r="L429" t="s">
        <v>175</v>
      </c>
      <c r="M429" t="s">
        <v>175</v>
      </c>
      <c r="N429" t="s">
        <v>175</v>
      </c>
      <c r="O429" t="s">
        <v>175</v>
      </c>
      <c r="P429" t="s">
        <v>175</v>
      </c>
      <c r="Q429" t="s">
        <v>175</v>
      </c>
      <c r="R429" t="s">
        <v>175</v>
      </c>
      <c r="S429" t="s">
        <v>175</v>
      </c>
      <c r="T429" t="s">
        <v>175</v>
      </c>
      <c r="U429" t="s">
        <v>175</v>
      </c>
      <c r="V429" t="s">
        <v>175</v>
      </c>
      <c r="W429" t="s">
        <v>175</v>
      </c>
      <c r="X429" t="s">
        <v>175</v>
      </c>
      <c r="Y429" t="s">
        <v>175</v>
      </c>
      <c r="Z429" t="s">
        <v>175</v>
      </c>
      <c r="AA429" t="s">
        <v>175</v>
      </c>
      <c r="AB429" t="s">
        <v>175</v>
      </c>
      <c r="AC429" t="s">
        <v>175</v>
      </c>
      <c r="AD429" t="s">
        <v>175</v>
      </c>
      <c r="AE429" t="s">
        <v>175</v>
      </c>
      <c r="AF429" t="s">
        <v>175</v>
      </c>
      <c r="AG429" t="s">
        <v>175</v>
      </c>
      <c r="AH429" s="873">
        <f t="shared" si="7"/>
        <v>44105</v>
      </c>
    </row>
    <row r="430" spans="1:34">
      <c r="A430">
        <v>5</v>
      </c>
      <c r="B430">
        <v>6603</v>
      </c>
      <c r="C430" t="s">
        <v>233</v>
      </c>
      <c r="D430">
        <v>256</v>
      </c>
      <c r="E430" s="233">
        <v>0</v>
      </c>
      <c r="F430" s="233">
        <v>0</v>
      </c>
      <c r="G430" s="233" t="s">
        <v>175</v>
      </c>
      <c r="H430" s="233" t="s">
        <v>175</v>
      </c>
      <c r="I430" s="878">
        <v>44147</v>
      </c>
      <c r="J430" t="s">
        <v>175</v>
      </c>
      <c r="K430" t="s">
        <v>175</v>
      </c>
      <c r="L430" t="s">
        <v>175</v>
      </c>
      <c r="M430" t="s">
        <v>175</v>
      </c>
      <c r="N430" t="s">
        <v>175</v>
      </c>
      <c r="O430" t="s">
        <v>175</v>
      </c>
      <c r="P430" t="s">
        <v>175</v>
      </c>
      <c r="Q430" t="s">
        <v>175</v>
      </c>
      <c r="R430" t="s">
        <v>175</v>
      </c>
      <c r="S430" t="s">
        <v>175</v>
      </c>
      <c r="T430" t="s">
        <v>175</v>
      </c>
      <c r="U430" t="s">
        <v>175</v>
      </c>
      <c r="V430" t="s">
        <v>175</v>
      </c>
      <c r="W430" t="s">
        <v>175</v>
      </c>
      <c r="X430" t="s">
        <v>175</v>
      </c>
      <c r="Y430" t="s">
        <v>175</v>
      </c>
      <c r="Z430" t="s">
        <v>175</v>
      </c>
      <c r="AA430" t="s">
        <v>175</v>
      </c>
      <c r="AB430" t="s">
        <v>175</v>
      </c>
      <c r="AC430" t="s">
        <v>175</v>
      </c>
      <c r="AD430" t="s">
        <v>175</v>
      </c>
      <c r="AE430" t="s">
        <v>175</v>
      </c>
      <c r="AF430" t="s">
        <v>175</v>
      </c>
      <c r="AG430" t="s">
        <v>175</v>
      </c>
      <c r="AH430" s="873">
        <f t="shared" si="7"/>
        <v>44136</v>
      </c>
    </row>
    <row r="431" spans="1:34">
      <c r="A431">
        <v>6</v>
      </c>
      <c r="B431">
        <v>6603</v>
      </c>
      <c r="C431" t="s">
        <v>233</v>
      </c>
      <c r="D431">
        <v>256</v>
      </c>
      <c r="E431" s="233">
        <v>0</v>
      </c>
      <c r="F431" s="233">
        <v>0</v>
      </c>
      <c r="G431" s="233" t="s">
        <v>175</v>
      </c>
      <c r="H431" s="233" t="s">
        <v>175</v>
      </c>
      <c r="I431" s="878">
        <v>44179</v>
      </c>
      <c r="J431" t="s">
        <v>175</v>
      </c>
      <c r="K431" t="s">
        <v>175</v>
      </c>
      <c r="L431" t="s">
        <v>175</v>
      </c>
      <c r="M431" t="s">
        <v>175</v>
      </c>
      <c r="N431" t="s">
        <v>175</v>
      </c>
      <c r="O431" t="s">
        <v>175</v>
      </c>
      <c r="P431" t="s">
        <v>175</v>
      </c>
      <c r="Q431" t="s">
        <v>175</v>
      </c>
      <c r="R431" t="s">
        <v>175</v>
      </c>
      <c r="S431" t="s">
        <v>175</v>
      </c>
      <c r="T431" t="s">
        <v>175</v>
      </c>
      <c r="U431" t="s">
        <v>175</v>
      </c>
      <c r="V431" t="s">
        <v>175</v>
      </c>
      <c r="W431" t="s">
        <v>175</v>
      </c>
      <c r="X431" t="s">
        <v>175</v>
      </c>
      <c r="Y431" t="s">
        <v>175</v>
      </c>
      <c r="Z431" t="s">
        <v>175</v>
      </c>
      <c r="AA431" t="s">
        <v>175</v>
      </c>
      <c r="AB431" t="s">
        <v>175</v>
      </c>
      <c r="AC431" t="s">
        <v>175</v>
      </c>
      <c r="AD431" t="s">
        <v>175</v>
      </c>
      <c r="AE431" t="s">
        <v>175</v>
      </c>
      <c r="AF431" t="s">
        <v>175</v>
      </c>
      <c r="AG431" t="s">
        <v>175</v>
      </c>
      <c r="AH431" s="873">
        <f t="shared" si="7"/>
        <v>44166</v>
      </c>
    </row>
    <row r="432" spans="1:34">
      <c r="A432">
        <v>7</v>
      </c>
      <c r="B432">
        <v>6603</v>
      </c>
      <c r="C432" t="s">
        <v>233</v>
      </c>
      <c r="D432">
        <v>256</v>
      </c>
      <c r="E432" s="233">
        <v>0</v>
      </c>
      <c r="F432" s="233">
        <v>0</v>
      </c>
      <c r="G432" s="233" t="s">
        <v>175</v>
      </c>
      <c r="H432" s="233" t="s">
        <v>175</v>
      </c>
      <c r="I432" s="878">
        <v>44193</v>
      </c>
      <c r="J432" t="s">
        <v>175</v>
      </c>
      <c r="K432" t="s">
        <v>175</v>
      </c>
      <c r="L432" t="s">
        <v>175</v>
      </c>
      <c r="M432" t="s">
        <v>175</v>
      </c>
      <c r="N432" t="s">
        <v>175</v>
      </c>
      <c r="O432" t="s">
        <v>175</v>
      </c>
      <c r="P432" t="s">
        <v>175</v>
      </c>
      <c r="Q432" t="s">
        <v>175</v>
      </c>
      <c r="R432" t="s">
        <v>175</v>
      </c>
      <c r="S432" t="s">
        <v>175</v>
      </c>
      <c r="T432" t="s">
        <v>175</v>
      </c>
      <c r="U432" t="s">
        <v>175</v>
      </c>
      <c r="V432" t="s">
        <v>175</v>
      </c>
      <c r="W432" t="s">
        <v>175</v>
      </c>
      <c r="X432" t="s">
        <v>175</v>
      </c>
      <c r="Y432" t="s">
        <v>175</v>
      </c>
      <c r="Z432" t="s">
        <v>175</v>
      </c>
      <c r="AA432" t="s">
        <v>175</v>
      </c>
      <c r="AB432" t="s">
        <v>175</v>
      </c>
      <c r="AC432" t="s">
        <v>175</v>
      </c>
      <c r="AD432" t="s">
        <v>175</v>
      </c>
      <c r="AE432" t="s">
        <v>175</v>
      </c>
      <c r="AF432" t="s">
        <v>175</v>
      </c>
      <c r="AG432" t="s">
        <v>175</v>
      </c>
      <c r="AH432" s="873">
        <f t="shared" si="7"/>
        <v>44166</v>
      </c>
    </row>
    <row r="433" spans="1:34">
      <c r="A433">
        <v>8</v>
      </c>
      <c r="B433">
        <v>6603</v>
      </c>
      <c r="C433" t="s">
        <v>233</v>
      </c>
      <c r="D433">
        <v>256</v>
      </c>
      <c r="E433" s="233">
        <v>0</v>
      </c>
      <c r="F433" s="233">
        <v>0</v>
      </c>
      <c r="G433" s="233" t="s">
        <v>175</v>
      </c>
      <c r="H433" s="233" t="s">
        <v>175</v>
      </c>
      <c r="I433" s="878">
        <v>44208</v>
      </c>
      <c r="J433" t="s">
        <v>175</v>
      </c>
      <c r="K433" t="s">
        <v>175</v>
      </c>
      <c r="L433" t="s">
        <v>175</v>
      </c>
      <c r="M433" t="s">
        <v>175</v>
      </c>
      <c r="N433" t="s">
        <v>175</v>
      </c>
      <c r="O433" t="s">
        <v>175</v>
      </c>
      <c r="P433" t="s">
        <v>175</v>
      </c>
      <c r="Q433" t="s">
        <v>175</v>
      </c>
      <c r="R433" t="s">
        <v>175</v>
      </c>
      <c r="S433" t="s">
        <v>175</v>
      </c>
      <c r="T433" t="s">
        <v>175</v>
      </c>
      <c r="U433" t="s">
        <v>175</v>
      </c>
      <c r="V433" t="s">
        <v>175</v>
      </c>
      <c r="W433" t="s">
        <v>175</v>
      </c>
      <c r="X433" t="s">
        <v>175</v>
      </c>
      <c r="Y433" t="s">
        <v>175</v>
      </c>
      <c r="Z433" t="s">
        <v>175</v>
      </c>
      <c r="AA433" t="s">
        <v>175</v>
      </c>
      <c r="AB433" t="s">
        <v>175</v>
      </c>
      <c r="AC433" t="s">
        <v>175</v>
      </c>
      <c r="AD433" t="s">
        <v>175</v>
      </c>
      <c r="AE433" t="s">
        <v>175</v>
      </c>
      <c r="AF433" t="s">
        <v>175</v>
      </c>
      <c r="AG433" t="s">
        <v>175</v>
      </c>
      <c r="AH433" s="873">
        <f t="shared" si="7"/>
        <v>44197</v>
      </c>
    </row>
    <row r="434" spans="1:34">
      <c r="A434">
        <v>1</v>
      </c>
      <c r="B434">
        <v>6611</v>
      </c>
      <c r="C434" t="s">
        <v>234</v>
      </c>
      <c r="D434">
        <v>140</v>
      </c>
      <c r="E434">
        <v>5795394.9002025696</v>
      </c>
      <c r="F434">
        <v>0</v>
      </c>
      <c r="G434">
        <v>0</v>
      </c>
      <c r="H434">
        <v>0</v>
      </c>
      <c r="I434" s="878">
        <v>44043</v>
      </c>
      <c r="J434">
        <v>1</v>
      </c>
      <c r="K434" t="s">
        <v>234</v>
      </c>
      <c r="L434">
        <v>6611</v>
      </c>
      <c r="M434">
        <v>0</v>
      </c>
      <c r="N434">
        <v>0.51637190588951898</v>
      </c>
      <c r="O434">
        <v>0.37734264574186499</v>
      </c>
      <c r="P434">
        <v>0.106285448368616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1.34076941326784</v>
      </c>
      <c r="Z434">
        <v>0</v>
      </c>
      <c r="AA434">
        <v>-9.5642662759810506E-3</v>
      </c>
      <c r="AB434">
        <v>0.17456405429156199</v>
      </c>
      <c r="AC434">
        <v>0</v>
      </c>
      <c r="AD434">
        <v>-0.54971197042821796</v>
      </c>
      <c r="AE434">
        <v>-0.43968532496567803</v>
      </c>
      <c r="AF434">
        <v>0</v>
      </c>
      <c r="AG434" s="878">
        <v>44043</v>
      </c>
      <c r="AH434" s="873">
        <f t="shared" si="7"/>
        <v>44013</v>
      </c>
    </row>
    <row r="435" spans="1:34">
      <c r="A435">
        <v>2</v>
      </c>
      <c r="B435">
        <v>6611</v>
      </c>
      <c r="C435" t="s">
        <v>234</v>
      </c>
      <c r="D435">
        <v>140</v>
      </c>
      <c r="E435">
        <v>1404349.69</v>
      </c>
      <c r="F435">
        <v>0</v>
      </c>
      <c r="G435" t="s">
        <v>175</v>
      </c>
      <c r="H435" t="s">
        <v>175</v>
      </c>
      <c r="I435" s="878">
        <v>44055</v>
      </c>
      <c r="J435">
        <v>2</v>
      </c>
      <c r="K435" t="s">
        <v>234</v>
      </c>
      <c r="L435">
        <v>6611</v>
      </c>
      <c r="M435">
        <v>0.79652071135525704</v>
      </c>
      <c r="N435" t="s">
        <v>175</v>
      </c>
      <c r="O435">
        <v>0.19242175368553199</v>
      </c>
      <c r="P435">
        <v>1.10575349592107E-2</v>
      </c>
      <c r="Q435">
        <v>0.40138593022780999</v>
      </c>
      <c r="R435">
        <v>0</v>
      </c>
      <c r="S435">
        <v>-1.36115555004023E-5</v>
      </c>
      <c r="T435">
        <v>0.23786443428071</v>
      </c>
      <c r="U435">
        <v>0</v>
      </c>
      <c r="V435">
        <v>0.161330356838608</v>
      </c>
      <c r="W435">
        <v>-4.0463984363709E-3</v>
      </c>
      <c r="X435">
        <v>0</v>
      </c>
      <c r="Y435" t="s">
        <v>175</v>
      </c>
      <c r="Z435" t="s">
        <v>175</v>
      </c>
      <c r="AA435" t="s">
        <v>175</v>
      </c>
      <c r="AB435" t="s">
        <v>175</v>
      </c>
      <c r="AC435" t="s">
        <v>175</v>
      </c>
      <c r="AD435" t="s">
        <v>175</v>
      </c>
      <c r="AE435" t="s">
        <v>175</v>
      </c>
      <c r="AF435" t="s">
        <v>175</v>
      </c>
      <c r="AG435" s="878">
        <v>44055</v>
      </c>
      <c r="AH435" s="873">
        <f t="shared" si="7"/>
        <v>44044</v>
      </c>
    </row>
    <row r="436" spans="1:34">
      <c r="A436">
        <v>3</v>
      </c>
      <c r="B436">
        <v>6611</v>
      </c>
      <c r="C436" t="s">
        <v>234</v>
      </c>
      <c r="D436">
        <v>140</v>
      </c>
      <c r="E436">
        <v>1708224.98</v>
      </c>
      <c r="F436">
        <v>0</v>
      </c>
      <c r="G436" t="s">
        <v>175</v>
      </c>
      <c r="H436" t="s">
        <v>175</v>
      </c>
      <c r="I436" s="878">
        <v>44088</v>
      </c>
      <c r="J436">
        <v>3</v>
      </c>
      <c r="K436" t="s">
        <v>234</v>
      </c>
      <c r="L436">
        <v>6611</v>
      </c>
      <c r="M436">
        <v>0.95173580799780599</v>
      </c>
      <c r="N436" t="s">
        <v>175</v>
      </c>
      <c r="O436">
        <v>4.8264192002193597E-2</v>
      </c>
      <c r="P436">
        <v>0</v>
      </c>
      <c r="Q436">
        <v>0.36808771585220901</v>
      </c>
      <c r="R436">
        <v>0</v>
      </c>
      <c r="S436">
        <v>-8.0898476286219801E-6</v>
      </c>
      <c r="T436">
        <v>0.56425357775049101</v>
      </c>
      <c r="U436">
        <v>0</v>
      </c>
      <c r="V436">
        <v>2.1807527529740401E-2</v>
      </c>
      <c r="W436">
        <v>-2.4049232870058802E-3</v>
      </c>
      <c r="X436">
        <v>0</v>
      </c>
      <c r="Y436" t="s">
        <v>175</v>
      </c>
      <c r="Z436" t="s">
        <v>175</v>
      </c>
      <c r="AA436" t="s">
        <v>175</v>
      </c>
      <c r="AB436" t="s">
        <v>175</v>
      </c>
      <c r="AC436" t="s">
        <v>175</v>
      </c>
      <c r="AD436" t="s">
        <v>175</v>
      </c>
      <c r="AE436" t="s">
        <v>175</v>
      </c>
      <c r="AF436" t="s">
        <v>175</v>
      </c>
      <c r="AG436" s="878">
        <v>44088</v>
      </c>
      <c r="AH436" s="873">
        <f t="shared" si="7"/>
        <v>44075</v>
      </c>
    </row>
    <row r="437" spans="1:34">
      <c r="A437">
        <v>4</v>
      </c>
      <c r="B437">
        <v>6611</v>
      </c>
      <c r="C437" t="s">
        <v>234</v>
      </c>
      <c r="D437">
        <v>140</v>
      </c>
      <c r="E437">
        <v>1278821.2479417899</v>
      </c>
      <c r="F437">
        <v>0</v>
      </c>
      <c r="G437" t="s">
        <v>175</v>
      </c>
      <c r="H437" t="s">
        <v>175</v>
      </c>
      <c r="I437" s="878">
        <v>44117</v>
      </c>
      <c r="J437">
        <v>4</v>
      </c>
      <c r="K437" t="s">
        <v>234</v>
      </c>
      <c r="L437">
        <v>6611</v>
      </c>
      <c r="M437">
        <v>0.53826191617212304</v>
      </c>
      <c r="N437">
        <v>0</v>
      </c>
      <c r="O437">
        <v>0.387205692547058</v>
      </c>
      <c r="P437">
        <v>7.4532391280818899E-2</v>
      </c>
      <c r="Q437">
        <v>3.3672948108804501E-2</v>
      </c>
      <c r="R437">
        <v>0</v>
      </c>
      <c r="S437">
        <v>-1.16775439740442E-5</v>
      </c>
      <c r="T437">
        <v>0.52955010404193403</v>
      </c>
      <c r="U437">
        <v>0</v>
      </c>
      <c r="V437">
        <v>-2.14779965817819E-2</v>
      </c>
      <c r="W437">
        <v>-3.4714618528597801E-3</v>
      </c>
      <c r="X437">
        <v>0</v>
      </c>
      <c r="Y437" t="s">
        <v>175</v>
      </c>
      <c r="Z437" t="s">
        <v>175</v>
      </c>
      <c r="AA437" t="s">
        <v>175</v>
      </c>
      <c r="AB437" t="s">
        <v>175</v>
      </c>
      <c r="AC437" t="s">
        <v>175</v>
      </c>
      <c r="AD437" t="s">
        <v>175</v>
      </c>
      <c r="AE437" t="s">
        <v>175</v>
      </c>
      <c r="AF437" t="s">
        <v>175</v>
      </c>
      <c r="AG437" s="878">
        <v>44117</v>
      </c>
      <c r="AH437" s="873">
        <f t="shared" si="7"/>
        <v>44105</v>
      </c>
    </row>
    <row r="438" spans="1:34">
      <c r="A438">
        <v>5</v>
      </c>
      <c r="B438">
        <v>6611</v>
      </c>
      <c r="C438" t="s">
        <v>234</v>
      </c>
      <c r="D438">
        <v>140</v>
      </c>
      <c r="E438">
        <v>1636287.67150382</v>
      </c>
      <c r="F438">
        <v>0</v>
      </c>
      <c r="G438" t="s">
        <v>175</v>
      </c>
      <c r="H438" t="s">
        <v>175</v>
      </c>
      <c r="I438" s="878">
        <v>44147</v>
      </c>
      <c r="J438">
        <v>5</v>
      </c>
      <c r="K438" t="s">
        <v>234</v>
      </c>
      <c r="L438">
        <v>6611</v>
      </c>
      <c r="M438">
        <v>0.89864503313395505</v>
      </c>
      <c r="N438">
        <v>0</v>
      </c>
      <c r="O438">
        <v>0.101198747238578</v>
      </c>
      <c r="P438">
        <v>1.562196274666E-4</v>
      </c>
      <c r="Q438">
        <v>0.63712727051446805</v>
      </c>
      <c r="R438">
        <v>0</v>
      </c>
      <c r="S438">
        <v>-5.5147704412856999E-6</v>
      </c>
      <c r="T438">
        <v>0.258354230751354</v>
      </c>
      <c r="U438">
        <v>0</v>
      </c>
      <c r="V438">
        <v>4.8084594514704098E-3</v>
      </c>
      <c r="W438">
        <v>-1.6394128128959099E-3</v>
      </c>
      <c r="X438">
        <v>0</v>
      </c>
      <c r="Y438" t="s">
        <v>175</v>
      </c>
      <c r="Z438" t="s">
        <v>175</v>
      </c>
      <c r="AA438" t="s">
        <v>175</v>
      </c>
      <c r="AB438" t="s">
        <v>175</v>
      </c>
      <c r="AC438" t="s">
        <v>175</v>
      </c>
      <c r="AD438" t="s">
        <v>175</v>
      </c>
      <c r="AE438" t="s">
        <v>175</v>
      </c>
      <c r="AF438" t="s">
        <v>175</v>
      </c>
      <c r="AG438" s="878">
        <v>44147</v>
      </c>
      <c r="AH438" s="873">
        <f t="shared" si="7"/>
        <v>44136</v>
      </c>
    </row>
    <row r="439" spans="1:34">
      <c r="A439">
        <v>6</v>
      </c>
      <c r="B439">
        <v>6611</v>
      </c>
      <c r="C439" t="s">
        <v>234</v>
      </c>
      <c r="D439">
        <v>140</v>
      </c>
      <c r="E439">
        <v>1334692.8068423099</v>
      </c>
      <c r="F439">
        <v>0</v>
      </c>
      <c r="G439" t="s">
        <v>175</v>
      </c>
      <c r="H439" t="s">
        <v>175</v>
      </c>
      <c r="I439" s="878">
        <v>44179</v>
      </c>
      <c r="J439">
        <v>6</v>
      </c>
      <c r="K439" t="s">
        <v>234</v>
      </c>
      <c r="L439">
        <v>6611</v>
      </c>
      <c r="M439">
        <v>0.84598616221234402</v>
      </c>
      <c r="N439">
        <v>0</v>
      </c>
      <c r="O439">
        <v>0.15401383778765601</v>
      </c>
      <c r="P439">
        <v>0</v>
      </c>
      <c r="Q439">
        <v>0.67793798429541297</v>
      </c>
      <c r="R439">
        <v>0</v>
      </c>
      <c r="S439">
        <v>-2.18685949940197E-6</v>
      </c>
      <c r="T439">
        <v>0.107976063287321</v>
      </c>
      <c r="U439">
        <v>0</v>
      </c>
      <c r="V439">
        <v>6.0724403886206903E-2</v>
      </c>
      <c r="W439">
        <v>-6.5010239709752495E-4</v>
      </c>
      <c r="X439">
        <v>0</v>
      </c>
      <c r="Y439" t="s">
        <v>175</v>
      </c>
      <c r="Z439" t="s">
        <v>175</v>
      </c>
      <c r="AA439" t="s">
        <v>175</v>
      </c>
      <c r="AB439" t="s">
        <v>175</v>
      </c>
      <c r="AC439" t="s">
        <v>175</v>
      </c>
      <c r="AD439" t="s">
        <v>175</v>
      </c>
      <c r="AE439" t="s">
        <v>175</v>
      </c>
      <c r="AF439" t="s">
        <v>175</v>
      </c>
      <c r="AG439" s="878">
        <v>44179</v>
      </c>
      <c r="AH439" s="873">
        <f t="shared" si="7"/>
        <v>44166</v>
      </c>
    </row>
    <row r="440" spans="1:34">
      <c r="A440">
        <v>7</v>
      </c>
      <c r="B440">
        <v>6611</v>
      </c>
      <c r="C440" t="s">
        <v>234</v>
      </c>
      <c r="D440">
        <v>140</v>
      </c>
      <c r="E440">
        <v>0</v>
      </c>
      <c r="F440">
        <v>0</v>
      </c>
      <c r="G440" t="s">
        <v>175</v>
      </c>
      <c r="H440" t="s">
        <v>175</v>
      </c>
      <c r="I440" s="878">
        <v>44193</v>
      </c>
      <c r="J440">
        <v>7</v>
      </c>
      <c r="K440" t="s">
        <v>234</v>
      </c>
      <c r="L440">
        <v>6611</v>
      </c>
      <c r="M440" t="s">
        <v>175</v>
      </c>
      <c r="N440">
        <v>0</v>
      </c>
      <c r="O440" t="s">
        <v>175</v>
      </c>
      <c r="P440" t="s">
        <v>175</v>
      </c>
      <c r="Q440" t="s">
        <v>175</v>
      </c>
      <c r="R440" t="s">
        <v>175</v>
      </c>
      <c r="S440" t="s">
        <v>175</v>
      </c>
      <c r="T440" t="s">
        <v>175</v>
      </c>
      <c r="U440" t="s">
        <v>175</v>
      </c>
      <c r="V440" t="s">
        <v>175</v>
      </c>
      <c r="W440" t="s">
        <v>175</v>
      </c>
      <c r="X440" t="s">
        <v>175</v>
      </c>
      <c r="Y440" t="s">
        <v>175</v>
      </c>
      <c r="Z440" t="s">
        <v>175</v>
      </c>
      <c r="AA440" t="s">
        <v>175</v>
      </c>
      <c r="AB440" t="s">
        <v>175</v>
      </c>
      <c r="AC440" t="s">
        <v>175</v>
      </c>
      <c r="AD440" t="s">
        <v>175</v>
      </c>
      <c r="AE440" t="s">
        <v>175</v>
      </c>
      <c r="AF440" t="s">
        <v>175</v>
      </c>
      <c r="AG440" s="878">
        <v>44193</v>
      </c>
      <c r="AH440" s="873">
        <f t="shared" si="7"/>
        <v>44166</v>
      </c>
    </row>
    <row r="441" spans="1:34">
      <c r="A441">
        <v>8</v>
      </c>
      <c r="B441">
        <v>6611</v>
      </c>
      <c r="C441" t="s">
        <v>234</v>
      </c>
      <c r="D441">
        <v>140</v>
      </c>
      <c r="E441">
        <v>0</v>
      </c>
      <c r="F441">
        <v>0</v>
      </c>
      <c r="G441" t="s">
        <v>175</v>
      </c>
      <c r="H441" t="s">
        <v>175</v>
      </c>
      <c r="I441" s="878">
        <v>44208</v>
      </c>
      <c r="J441">
        <v>8</v>
      </c>
      <c r="K441" t="s">
        <v>234</v>
      </c>
      <c r="L441">
        <v>6611</v>
      </c>
      <c r="M441" t="s">
        <v>175</v>
      </c>
      <c r="N441">
        <v>0</v>
      </c>
      <c r="O441" t="s">
        <v>175</v>
      </c>
      <c r="P441" t="s">
        <v>175</v>
      </c>
      <c r="Q441" t="s">
        <v>175</v>
      </c>
      <c r="R441" t="s">
        <v>175</v>
      </c>
      <c r="S441" t="s">
        <v>175</v>
      </c>
      <c r="T441" t="s">
        <v>175</v>
      </c>
      <c r="U441" t="s">
        <v>175</v>
      </c>
      <c r="V441" t="s">
        <v>175</v>
      </c>
      <c r="W441" t="s">
        <v>175</v>
      </c>
      <c r="X441" t="s">
        <v>175</v>
      </c>
      <c r="Y441" t="s">
        <v>175</v>
      </c>
      <c r="Z441" t="s">
        <v>175</v>
      </c>
      <c r="AA441" t="s">
        <v>175</v>
      </c>
      <c r="AB441" t="s">
        <v>175</v>
      </c>
      <c r="AC441" t="s">
        <v>175</v>
      </c>
      <c r="AD441" t="s">
        <v>175</v>
      </c>
      <c r="AE441" t="s">
        <v>175</v>
      </c>
      <c r="AF441" t="s">
        <v>175</v>
      </c>
      <c r="AG441" s="878">
        <v>44208</v>
      </c>
      <c r="AH441" s="873">
        <f t="shared" si="7"/>
        <v>44197</v>
      </c>
    </row>
    <row r="442" spans="1:34">
      <c r="A442">
        <v>1</v>
      </c>
      <c r="B442">
        <v>6612</v>
      </c>
      <c r="C442" t="s">
        <v>235</v>
      </c>
      <c r="D442">
        <v>152</v>
      </c>
      <c r="E442">
        <v>6628467.2313446105</v>
      </c>
      <c r="F442">
        <v>0</v>
      </c>
      <c r="G442">
        <v>109747</v>
      </c>
      <c r="H442">
        <v>0</v>
      </c>
      <c r="I442" s="878">
        <v>44043</v>
      </c>
      <c r="J442">
        <v>1</v>
      </c>
      <c r="K442" t="s">
        <v>235</v>
      </c>
      <c r="L442">
        <v>6612</v>
      </c>
      <c r="M442">
        <v>0.139590867369285</v>
      </c>
      <c r="N442">
        <v>0.769177516367057</v>
      </c>
      <c r="O442">
        <v>0</v>
      </c>
      <c r="P442">
        <v>9.1231616263658402E-2</v>
      </c>
      <c r="Q442">
        <v>0.13769064962256899</v>
      </c>
      <c r="R442">
        <v>0</v>
      </c>
      <c r="S442">
        <v>-4.4050893233528602E-3</v>
      </c>
      <c r="T442">
        <v>0</v>
      </c>
      <c r="U442">
        <v>0</v>
      </c>
      <c r="V442">
        <v>0</v>
      </c>
      <c r="W442">
        <v>6.3053070700687898E-3</v>
      </c>
      <c r="X442">
        <v>0</v>
      </c>
      <c r="Y442">
        <v>0.63186203366056604</v>
      </c>
      <c r="Z442">
        <v>0</v>
      </c>
      <c r="AA442">
        <v>-3.0057145389974099E-2</v>
      </c>
      <c r="AB442">
        <v>0</v>
      </c>
      <c r="AC442">
        <v>0</v>
      </c>
      <c r="AD442">
        <v>0</v>
      </c>
      <c r="AE442">
        <v>0.167372628096465</v>
      </c>
      <c r="AF442">
        <v>0</v>
      </c>
      <c r="AG442" s="878">
        <v>44043</v>
      </c>
      <c r="AH442" s="873">
        <f t="shared" si="7"/>
        <v>44013</v>
      </c>
    </row>
    <row r="443" spans="1:34">
      <c r="A443">
        <v>2</v>
      </c>
      <c r="B443">
        <v>6612</v>
      </c>
      <c r="C443" t="s">
        <v>235</v>
      </c>
      <c r="D443">
        <v>152</v>
      </c>
      <c r="E443">
        <v>225184.204217133</v>
      </c>
      <c r="F443">
        <v>0</v>
      </c>
      <c r="G443" t="s">
        <v>175</v>
      </c>
      <c r="H443" t="s">
        <v>175</v>
      </c>
      <c r="I443" s="878">
        <v>44055</v>
      </c>
      <c r="J443">
        <v>2</v>
      </c>
      <c r="K443" t="s">
        <v>235</v>
      </c>
      <c r="L443">
        <v>6612</v>
      </c>
      <c r="M443">
        <v>0.74277918137250298</v>
      </c>
      <c r="N443" t="s">
        <v>175</v>
      </c>
      <c r="O443">
        <v>0.25722081862749702</v>
      </c>
      <c r="P443">
        <v>0</v>
      </c>
      <c r="Q443">
        <v>0.74304732321074696</v>
      </c>
      <c r="R443">
        <v>0</v>
      </c>
      <c r="S443">
        <v>-1.3929353081625799E-9</v>
      </c>
      <c r="T443">
        <v>0</v>
      </c>
      <c r="U443">
        <v>0</v>
      </c>
      <c r="V443">
        <v>0</v>
      </c>
      <c r="W443">
        <v>-2.6814044530935102E-4</v>
      </c>
      <c r="X443">
        <v>0</v>
      </c>
      <c r="Y443" t="s">
        <v>175</v>
      </c>
      <c r="Z443" t="s">
        <v>175</v>
      </c>
      <c r="AA443" t="s">
        <v>175</v>
      </c>
      <c r="AB443" t="s">
        <v>175</v>
      </c>
      <c r="AC443" t="s">
        <v>175</v>
      </c>
      <c r="AD443" t="s">
        <v>175</v>
      </c>
      <c r="AE443" t="s">
        <v>175</v>
      </c>
      <c r="AF443" t="s">
        <v>175</v>
      </c>
      <c r="AG443" s="878">
        <v>44055</v>
      </c>
      <c r="AH443" s="873">
        <f t="shared" si="7"/>
        <v>44044</v>
      </c>
    </row>
    <row r="444" spans="1:34">
      <c r="A444">
        <v>3</v>
      </c>
      <c r="B444">
        <v>6612</v>
      </c>
      <c r="C444" t="s">
        <v>235</v>
      </c>
      <c r="D444">
        <v>152</v>
      </c>
      <c r="E444">
        <v>0</v>
      </c>
      <c r="F444">
        <v>0</v>
      </c>
      <c r="G444" t="s">
        <v>175</v>
      </c>
      <c r="H444" t="s">
        <v>175</v>
      </c>
      <c r="I444" s="878">
        <v>44088</v>
      </c>
      <c r="J444">
        <v>3</v>
      </c>
      <c r="K444" t="s">
        <v>235</v>
      </c>
      <c r="L444">
        <v>6612</v>
      </c>
      <c r="M444">
        <v>0</v>
      </c>
      <c r="N444" t="s">
        <v>175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 t="s">
        <v>175</v>
      </c>
      <c r="Z444" t="s">
        <v>175</v>
      </c>
      <c r="AA444" t="s">
        <v>175</v>
      </c>
      <c r="AB444" t="s">
        <v>175</v>
      </c>
      <c r="AC444" t="s">
        <v>175</v>
      </c>
      <c r="AD444" t="s">
        <v>175</v>
      </c>
      <c r="AE444" t="s">
        <v>175</v>
      </c>
      <c r="AF444" t="s">
        <v>175</v>
      </c>
      <c r="AG444" s="878">
        <v>44088</v>
      </c>
      <c r="AH444" s="873">
        <f t="shared" si="7"/>
        <v>44075</v>
      </c>
    </row>
    <row r="445" spans="1:34">
      <c r="A445">
        <v>4</v>
      </c>
      <c r="B445">
        <v>6612</v>
      </c>
      <c r="C445" t="s">
        <v>235</v>
      </c>
      <c r="D445">
        <v>152</v>
      </c>
      <c r="E445">
        <v>0</v>
      </c>
      <c r="F445">
        <v>0</v>
      </c>
      <c r="G445" t="s">
        <v>175</v>
      </c>
      <c r="H445" t="s">
        <v>175</v>
      </c>
      <c r="I445" s="878">
        <v>44117</v>
      </c>
      <c r="J445">
        <v>4</v>
      </c>
      <c r="K445" t="s">
        <v>235</v>
      </c>
      <c r="L445">
        <v>6612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 t="s">
        <v>175</v>
      </c>
      <c r="Z445" t="s">
        <v>175</v>
      </c>
      <c r="AA445" t="s">
        <v>175</v>
      </c>
      <c r="AB445" t="s">
        <v>175</v>
      </c>
      <c r="AC445" t="s">
        <v>175</v>
      </c>
      <c r="AD445" t="s">
        <v>175</v>
      </c>
      <c r="AE445" t="s">
        <v>175</v>
      </c>
      <c r="AF445" t="s">
        <v>175</v>
      </c>
      <c r="AG445" s="878">
        <v>44117</v>
      </c>
      <c r="AH445" s="873">
        <f t="shared" si="7"/>
        <v>44105</v>
      </c>
    </row>
    <row r="446" spans="1:34">
      <c r="A446">
        <v>5</v>
      </c>
      <c r="B446">
        <v>6612</v>
      </c>
      <c r="C446" t="s">
        <v>235</v>
      </c>
      <c r="D446">
        <v>152</v>
      </c>
      <c r="E446">
        <v>0</v>
      </c>
      <c r="F446">
        <v>0</v>
      </c>
      <c r="G446" t="s">
        <v>175</v>
      </c>
      <c r="H446" t="s">
        <v>175</v>
      </c>
      <c r="I446" s="878">
        <v>44147</v>
      </c>
      <c r="J446">
        <v>5</v>
      </c>
      <c r="K446" t="s">
        <v>235</v>
      </c>
      <c r="L446">
        <v>6612</v>
      </c>
      <c r="M446" t="s">
        <v>175</v>
      </c>
      <c r="N446" t="s">
        <v>175</v>
      </c>
      <c r="O446" t="s">
        <v>175</v>
      </c>
      <c r="P446" t="s">
        <v>175</v>
      </c>
      <c r="Q446" t="s">
        <v>175</v>
      </c>
      <c r="R446" t="s">
        <v>175</v>
      </c>
      <c r="S446" t="s">
        <v>175</v>
      </c>
      <c r="T446" t="s">
        <v>175</v>
      </c>
      <c r="U446" t="s">
        <v>175</v>
      </c>
      <c r="V446" t="s">
        <v>175</v>
      </c>
      <c r="W446" t="s">
        <v>175</v>
      </c>
      <c r="X446" t="s">
        <v>175</v>
      </c>
      <c r="Y446" t="s">
        <v>175</v>
      </c>
      <c r="Z446" t="s">
        <v>175</v>
      </c>
      <c r="AA446" t="s">
        <v>175</v>
      </c>
      <c r="AB446" t="s">
        <v>175</v>
      </c>
      <c r="AC446" t="s">
        <v>175</v>
      </c>
      <c r="AD446" t="s">
        <v>175</v>
      </c>
      <c r="AE446" t="s">
        <v>175</v>
      </c>
      <c r="AF446" t="s">
        <v>175</v>
      </c>
      <c r="AG446" s="878">
        <v>44147</v>
      </c>
      <c r="AH446" s="873">
        <f t="shared" si="7"/>
        <v>44136</v>
      </c>
    </row>
    <row r="447" spans="1:34">
      <c r="A447">
        <v>6</v>
      </c>
      <c r="B447">
        <v>6612</v>
      </c>
      <c r="C447" t="s">
        <v>235</v>
      </c>
      <c r="D447">
        <v>152</v>
      </c>
      <c r="E447">
        <v>0</v>
      </c>
      <c r="F447">
        <v>0</v>
      </c>
      <c r="G447" t="s">
        <v>175</v>
      </c>
      <c r="H447" t="s">
        <v>175</v>
      </c>
      <c r="I447" s="878">
        <v>44179</v>
      </c>
      <c r="J447">
        <v>6</v>
      </c>
      <c r="K447" t="s">
        <v>235</v>
      </c>
      <c r="L447">
        <v>6612</v>
      </c>
      <c r="M447" t="s">
        <v>175</v>
      </c>
      <c r="N447" t="s">
        <v>175</v>
      </c>
      <c r="O447" t="s">
        <v>175</v>
      </c>
      <c r="P447" t="s">
        <v>175</v>
      </c>
      <c r="Q447" t="s">
        <v>175</v>
      </c>
      <c r="R447" t="s">
        <v>175</v>
      </c>
      <c r="S447" t="s">
        <v>175</v>
      </c>
      <c r="T447" t="s">
        <v>175</v>
      </c>
      <c r="U447" t="s">
        <v>175</v>
      </c>
      <c r="V447" t="s">
        <v>175</v>
      </c>
      <c r="W447" t="s">
        <v>175</v>
      </c>
      <c r="X447" t="s">
        <v>175</v>
      </c>
      <c r="Y447" t="s">
        <v>175</v>
      </c>
      <c r="Z447" t="s">
        <v>175</v>
      </c>
      <c r="AA447" t="s">
        <v>175</v>
      </c>
      <c r="AB447" t="s">
        <v>175</v>
      </c>
      <c r="AC447" t="s">
        <v>175</v>
      </c>
      <c r="AD447" t="s">
        <v>175</v>
      </c>
      <c r="AE447" t="s">
        <v>175</v>
      </c>
      <c r="AF447" t="s">
        <v>175</v>
      </c>
      <c r="AG447" s="878">
        <v>44179</v>
      </c>
      <c r="AH447" s="873">
        <f t="shared" si="7"/>
        <v>44166</v>
      </c>
    </row>
    <row r="448" spans="1:34">
      <c r="A448">
        <v>7</v>
      </c>
      <c r="B448">
        <v>6612</v>
      </c>
      <c r="C448" t="s">
        <v>235</v>
      </c>
      <c r="D448">
        <v>152</v>
      </c>
      <c r="E448">
        <v>0</v>
      </c>
      <c r="F448">
        <v>0</v>
      </c>
      <c r="G448" t="s">
        <v>175</v>
      </c>
      <c r="H448" t="s">
        <v>175</v>
      </c>
      <c r="I448" s="878">
        <v>44193</v>
      </c>
      <c r="J448">
        <v>7</v>
      </c>
      <c r="K448" t="s">
        <v>235</v>
      </c>
      <c r="L448">
        <v>6612</v>
      </c>
      <c r="M448" t="s">
        <v>175</v>
      </c>
      <c r="N448" t="s">
        <v>175</v>
      </c>
      <c r="O448" t="s">
        <v>175</v>
      </c>
      <c r="P448" t="s">
        <v>175</v>
      </c>
      <c r="Q448" t="s">
        <v>175</v>
      </c>
      <c r="R448" t="s">
        <v>175</v>
      </c>
      <c r="S448" t="s">
        <v>175</v>
      </c>
      <c r="T448" t="s">
        <v>175</v>
      </c>
      <c r="U448" t="s">
        <v>175</v>
      </c>
      <c r="V448" t="s">
        <v>175</v>
      </c>
      <c r="W448" t="s">
        <v>175</v>
      </c>
      <c r="X448" t="s">
        <v>175</v>
      </c>
      <c r="Y448" t="s">
        <v>175</v>
      </c>
      <c r="Z448" t="s">
        <v>175</v>
      </c>
      <c r="AA448" t="s">
        <v>175</v>
      </c>
      <c r="AB448" t="s">
        <v>175</v>
      </c>
      <c r="AC448" t="s">
        <v>175</v>
      </c>
      <c r="AD448" t="s">
        <v>175</v>
      </c>
      <c r="AE448" t="s">
        <v>175</v>
      </c>
      <c r="AF448" t="s">
        <v>175</v>
      </c>
      <c r="AG448" s="878">
        <v>44193</v>
      </c>
      <c r="AH448" s="873">
        <f t="shared" si="7"/>
        <v>44166</v>
      </c>
    </row>
    <row r="449" spans="1:34">
      <c r="A449">
        <v>8</v>
      </c>
      <c r="B449">
        <v>6612</v>
      </c>
      <c r="C449" t="s">
        <v>235</v>
      </c>
      <c r="D449">
        <v>152</v>
      </c>
      <c r="E449">
        <v>0</v>
      </c>
      <c r="F449">
        <v>0</v>
      </c>
      <c r="G449" t="s">
        <v>175</v>
      </c>
      <c r="H449" t="s">
        <v>175</v>
      </c>
      <c r="I449" s="878">
        <v>44208</v>
      </c>
      <c r="J449">
        <v>8</v>
      </c>
      <c r="K449" t="s">
        <v>235</v>
      </c>
      <c r="L449">
        <v>6612</v>
      </c>
      <c r="M449" t="s">
        <v>175</v>
      </c>
      <c r="N449" t="s">
        <v>175</v>
      </c>
      <c r="O449" t="s">
        <v>175</v>
      </c>
      <c r="P449" t="s">
        <v>175</v>
      </c>
      <c r="Q449" t="s">
        <v>175</v>
      </c>
      <c r="R449" t="s">
        <v>175</v>
      </c>
      <c r="S449" t="s">
        <v>175</v>
      </c>
      <c r="T449" t="s">
        <v>175</v>
      </c>
      <c r="U449" t="s">
        <v>175</v>
      </c>
      <c r="V449" t="s">
        <v>175</v>
      </c>
      <c r="W449" t="s">
        <v>175</v>
      </c>
      <c r="X449" t="s">
        <v>175</v>
      </c>
      <c r="Y449" t="s">
        <v>175</v>
      </c>
      <c r="Z449" t="s">
        <v>175</v>
      </c>
      <c r="AA449" t="s">
        <v>175</v>
      </c>
      <c r="AB449" t="s">
        <v>175</v>
      </c>
      <c r="AC449" t="s">
        <v>175</v>
      </c>
      <c r="AD449" t="s">
        <v>175</v>
      </c>
      <c r="AE449" t="s">
        <v>175</v>
      </c>
      <c r="AF449" t="s">
        <v>175</v>
      </c>
      <c r="AG449" s="878">
        <v>44208</v>
      </c>
      <c r="AH449" s="873">
        <f t="shared" si="7"/>
        <v>44197</v>
      </c>
    </row>
    <row r="450" spans="1:34">
      <c r="A450">
        <v>1</v>
      </c>
      <c r="B450">
        <v>7019</v>
      </c>
      <c r="C450" t="s">
        <v>236</v>
      </c>
      <c r="D450">
        <v>102</v>
      </c>
      <c r="E450">
        <v>315489948</v>
      </c>
      <c r="F450">
        <v>0</v>
      </c>
      <c r="G450">
        <v>0</v>
      </c>
      <c r="H450">
        <v>0</v>
      </c>
      <c r="I450" s="878">
        <v>44043</v>
      </c>
      <c r="J450">
        <v>1</v>
      </c>
      <c r="K450" t="s">
        <v>237</v>
      </c>
      <c r="L450">
        <v>7019</v>
      </c>
      <c r="M450">
        <v>6.1175350627657298E-2</v>
      </c>
      <c r="N450">
        <v>0.938824649372342</v>
      </c>
      <c r="O450">
        <v>0</v>
      </c>
      <c r="P450">
        <v>0</v>
      </c>
      <c r="Q450">
        <v>7.6843584591247099E-2</v>
      </c>
      <c r="R450">
        <v>0</v>
      </c>
      <c r="S450">
        <v>-2.0656833809080699E-3</v>
      </c>
      <c r="T450">
        <v>-1.1436867305693399E-3</v>
      </c>
      <c r="U450">
        <v>0</v>
      </c>
      <c r="V450">
        <v>-1.8903746142455501E-2</v>
      </c>
      <c r="W450">
        <v>6.4448822903431799E-3</v>
      </c>
      <c r="X450">
        <v>0</v>
      </c>
      <c r="Y450">
        <v>0.97072744968968905</v>
      </c>
      <c r="Z450">
        <v>0</v>
      </c>
      <c r="AA450">
        <v>-1.22673312522419E-2</v>
      </c>
      <c r="AB450">
        <v>7.5286697230057903E-2</v>
      </c>
      <c r="AC450">
        <v>0</v>
      </c>
      <c r="AD450">
        <v>-0.16881934827737299</v>
      </c>
      <c r="AE450">
        <v>7.3897181982210694E-2</v>
      </c>
      <c r="AF450">
        <v>0</v>
      </c>
      <c r="AG450" s="878">
        <v>44043</v>
      </c>
      <c r="AH450" s="873">
        <f t="shared" si="7"/>
        <v>44013</v>
      </c>
    </row>
    <row r="451" spans="1:34">
      <c r="A451">
        <v>2</v>
      </c>
      <c r="B451">
        <v>7019</v>
      </c>
      <c r="C451" t="s">
        <v>236</v>
      </c>
      <c r="D451">
        <v>102</v>
      </c>
      <c r="E451">
        <v>0</v>
      </c>
      <c r="F451">
        <v>0</v>
      </c>
      <c r="G451" t="s">
        <v>175</v>
      </c>
      <c r="H451" t="s">
        <v>175</v>
      </c>
      <c r="I451" s="878">
        <v>44055</v>
      </c>
      <c r="J451">
        <v>2</v>
      </c>
      <c r="K451" t="s">
        <v>237</v>
      </c>
      <c r="L451">
        <v>7019</v>
      </c>
      <c r="M451">
        <v>0</v>
      </c>
      <c r="N451" t="s">
        <v>175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 t="s">
        <v>175</v>
      </c>
      <c r="Z451" t="s">
        <v>175</v>
      </c>
      <c r="AA451" t="s">
        <v>175</v>
      </c>
      <c r="AB451" t="s">
        <v>175</v>
      </c>
      <c r="AC451" t="s">
        <v>175</v>
      </c>
      <c r="AD451" t="s">
        <v>175</v>
      </c>
      <c r="AE451" t="s">
        <v>175</v>
      </c>
      <c r="AF451" t="s">
        <v>175</v>
      </c>
      <c r="AG451" s="878">
        <v>44055</v>
      </c>
      <c r="AH451" s="873">
        <f t="shared" ref="AH451:AH457" si="9">DATE(YEAR(I451),MONTH(I451),1)</f>
        <v>44044</v>
      </c>
    </row>
    <row r="452" spans="1:34">
      <c r="A452">
        <v>3</v>
      </c>
      <c r="B452">
        <v>7019</v>
      </c>
      <c r="C452" t="s">
        <v>236</v>
      </c>
      <c r="D452">
        <v>102</v>
      </c>
      <c r="E452">
        <v>0</v>
      </c>
      <c r="F452">
        <v>0</v>
      </c>
      <c r="G452" t="s">
        <v>175</v>
      </c>
      <c r="H452" t="s">
        <v>175</v>
      </c>
      <c r="I452" s="878">
        <v>44088</v>
      </c>
      <c r="J452">
        <v>3</v>
      </c>
      <c r="K452" t="s">
        <v>237</v>
      </c>
      <c r="L452">
        <v>7019</v>
      </c>
      <c r="M452">
        <v>0</v>
      </c>
      <c r="N452" t="s">
        <v>175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 t="s">
        <v>175</v>
      </c>
      <c r="Z452" t="s">
        <v>175</v>
      </c>
      <c r="AA452" t="s">
        <v>175</v>
      </c>
      <c r="AB452" t="s">
        <v>175</v>
      </c>
      <c r="AC452" t="s">
        <v>175</v>
      </c>
      <c r="AD452" t="s">
        <v>175</v>
      </c>
      <c r="AE452" t="s">
        <v>175</v>
      </c>
      <c r="AF452" t="s">
        <v>175</v>
      </c>
      <c r="AG452" s="878">
        <v>44088</v>
      </c>
      <c r="AH452" s="873">
        <f t="shared" si="9"/>
        <v>44075</v>
      </c>
    </row>
    <row r="453" spans="1:34">
      <c r="A453">
        <v>4</v>
      </c>
      <c r="B453">
        <v>7019</v>
      </c>
      <c r="C453" t="s">
        <v>236</v>
      </c>
      <c r="D453">
        <v>102</v>
      </c>
      <c r="E453">
        <v>0</v>
      </c>
      <c r="F453">
        <v>0</v>
      </c>
      <c r="G453" t="s">
        <v>175</v>
      </c>
      <c r="H453" t="s">
        <v>175</v>
      </c>
      <c r="I453" s="878">
        <v>44117</v>
      </c>
      <c r="J453">
        <v>4</v>
      </c>
      <c r="K453" t="s">
        <v>237</v>
      </c>
      <c r="L453">
        <v>7019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 t="s">
        <v>175</v>
      </c>
      <c r="Z453" t="s">
        <v>175</v>
      </c>
      <c r="AA453" t="s">
        <v>175</v>
      </c>
      <c r="AB453" t="s">
        <v>175</v>
      </c>
      <c r="AC453" t="s">
        <v>175</v>
      </c>
      <c r="AD453" t="s">
        <v>175</v>
      </c>
      <c r="AE453" t="s">
        <v>175</v>
      </c>
      <c r="AF453" t="s">
        <v>175</v>
      </c>
      <c r="AG453" s="878">
        <v>44117</v>
      </c>
      <c r="AH453" s="873">
        <f t="shared" si="9"/>
        <v>44105</v>
      </c>
    </row>
    <row r="454" spans="1:34">
      <c r="A454">
        <v>5</v>
      </c>
      <c r="B454">
        <v>7019</v>
      </c>
      <c r="C454" t="s">
        <v>236</v>
      </c>
      <c r="D454">
        <v>102</v>
      </c>
      <c r="E454">
        <v>0</v>
      </c>
      <c r="F454">
        <v>0</v>
      </c>
      <c r="G454" t="s">
        <v>175</v>
      </c>
      <c r="H454" t="s">
        <v>175</v>
      </c>
      <c r="I454" s="878">
        <v>44147</v>
      </c>
      <c r="J454">
        <v>5</v>
      </c>
      <c r="K454" t="s">
        <v>237</v>
      </c>
      <c r="L454">
        <v>7019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 t="s">
        <v>175</v>
      </c>
      <c r="Z454" t="s">
        <v>175</v>
      </c>
      <c r="AA454" t="s">
        <v>175</v>
      </c>
      <c r="AB454" t="s">
        <v>175</v>
      </c>
      <c r="AC454" t="s">
        <v>175</v>
      </c>
      <c r="AD454" t="s">
        <v>175</v>
      </c>
      <c r="AE454" t="s">
        <v>175</v>
      </c>
      <c r="AF454" t="s">
        <v>175</v>
      </c>
      <c r="AG454" s="878">
        <v>44147</v>
      </c>
      <c r="AH454" s="873">
        <f t="shared" si="9"/>
        <v>44136</v>
      </c>
    </row>
    <row r="455" spans="1:34">
      <c r="A455">
        <v>6</v>
      </c>
      <c r="B455">
        <v>7019</v>
      </c>
      <c r="C455" t="s">
        <v>236</v>
      </c>
      <c r="D455">
        <v>102</v>
      </c>
      <c r="E455">
        <v>0</v>
      </c>
      <c r="F455">
        <v>0</v>
      </c>
      <c r="G455" t="s">
        <v>175</v>
      </c>
      <c r="H455" t="s">
        <v>175</v>
      </c>
      <c r="I455" s="878">
        <v>44179</v>
      </c>
      <c r="J455">
        <v>6</v>
      </c>
      <c r="K455" t="s">
        <v>237</v>
      </c>
      <c r="L455">
        <v>7019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 t="s">
        <v>175</v>
      </c>
      <c r="Z455" t="s">
        <v>175</v>
      </c>
      <c r="AA455" t="s">
        <v>175</v>
      </c>
      <c r="AB455" t="s">
        <v>175</v>
      </c>
      <c r="AC455" t="s">
        <v>175</v>
      </c>
      <c r="AD455" t="s">
        <v>175</v>
      </c>
      <c r="AE455" t="s">
        <v>175</v>
      </c>
      <c r="AF455" t="s">
        <v>175</v>
      </c>
      <c r="AG455" s="878">
        <v>44179</v>
      </c>
      <c r="AH455" s="873">
        <f t="shared" si="9"/>
        <v>44166</v>
      </c>
    </row>
    <row r="456" spans="1:34">
      <c r="A456">
        <v>7</v>
      </c>
      <c r="B456">
        <v>7019</v>
      </c>
      <c r="C456" t="s">
        <v>236</v>
      </c>
      <c r="D456">
        <v>102</v>
      </c>
      <c r="E456">
        <v>0</v>
      </c>
      <c r="F456">
        <v>0</v>
      </c>
      <c r="G456" t="s">
        <v>175</v>
      </c>
      <c r="H456" t="s">
        <v>175</v>
      </c>
      <c r="I456" s="878">
        <v>44193</v>
      </c>
      <c r="J456">
        <v>7</v>
      </c>
      <c r="K456" t="s">
        <v>237</v>
      </c>
      <c r="L456">
        <v>7019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 t="s">
        <v>175</v>
      </c>
      <c r="Z456" t="s">
        <v>175</v>
      </c>
      <c r="AA456" t="s">
        <v>175</v>
      </c>
      <c r="AB456" t="s">
        <v>175</v>
      </c>
      <c r="AC456" t="s">
        <v>175</v>
      </c>
      <c r="AD456" t="s">
        <v>175</v>
      </c>
      <c r="AE456" t="s">
        <v>175</v>
      </c>
      <c r="AF456" t="s">
        <v>175</v>
      </c>
      <c r="AG456" s="878">
        <v>44193</v>
      </c>
      <c r="AH456" s="873">
        <f t="shared" si="9"/>
        <v>44166</v>
      </c>
    </row>
    <row r="457" spans="1:34">
      <c r="A457">
        <v>8</v>
      </c>
      <c r="B457">
        <v>7019</v>
      </c>
      <c r="C457" t="s">
        <v>236</v>
      </c>
      <c r="D457">
        <v>102</v>
      </c>
      <c r="E457">
        <v>0</v>
      </c>
      <c r="F457">
        <v>0</v>
      </c>
      <c r="G457" t="s">
        <v>175</v>
      </c>
      <c r="H457" t="s">
        <v>175</v>
      </c>
      <c r="I457" s="878">
        <v>44208</v>
      </c>
      <c r="J457">
        <v>8</v>
      </c>
      <c r="K457" t="s">
        <v>237</v>
      </c>
      <c r="L457">
        <v>7019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 t="s">
        <v>175</v>
      </c>
      <c r="Z457" t="s">
        <v>175</v>
      </c>
      <c r="AA457" t="s">
        <v>175</v>
      </c>
      <c r="AB457" t="s">
        <v>175</v>
      </c>
      <c r="AC457" t="s">
        <v>175</v>
      </c>
      <c r="AD457" t="s">
        <v>175</v>
      </c>
      <c r="AE457" t="s">
        <v>175</v>
      </c>
      <c r="AF457" t="s">
        <v>175</v>
      </c>
      <c r="AG457" s="878">
        <v>44208</v>
      </c>
      <c r="AH457" s="873">
        <f t="shared" si="9"/>
        <v>44197</v>
      </c>
    </row>
    <row r="458" spans="1:34">
      <c r="A458">
        <v>1</v>
      </c>
      <c r="B458">
        <v>7371</v>
      </c>
      <c r="C458" t="s">
        <v>238</v>
      </c>
      <c r="D458">
        <v>240</v>
      </c>
      <c r="E458" s="233">
        <v>0</v>
      </c>
      <c r="F458" s="233">
        <v>2357142.8571428601</v>
      </c>
      <c r="G458" s="233">
        <v>0</v>
      </c>
      <c r="H458" s="233">
        <v>0</v>
      </c>
      <c r="I458" s="878">
        <v>44043</v>
      </c>
      <c r="J458" t="s">
        <v>175</v>
      </c>
      <c r="K458" t="s">
        <v>175</v>
      </c>
      <c r="L458" t="s">
        <v>175</v>
      </c>
      <c r="M458" t="s">
        <v>175</v>
      </c>
      <c r="N458" t="s">
        <v>175</v>
      </c>
      <c r="O458" t="s">
        <v>175</v>
      </c>
      <c r="P458" t="s">
        <v>175</v>
      </c>
      <c r="Q458" t="s">
        <v>175</v>
      </c>
      <c r="R458" t="s">
        <v>175</v>
      </c>
      <c r="S458" t="s">
        <v>175</v>
      </c>
      <c r="T458" t="s">
        <v>175</v>
      </c>
      <c r="U458" t="s">
        <v>175</v>
      </c>
      <c r="V458" t="s">
        <v>175</v>
      </c>
      <c r="W458" t="s">
        <v>175</v>
      </c>
      <c r="X458" t="s">
        <v>175</v>
      </c>
      <c r="Y458" t="s">
        <v>175</v>
      </c>
      <c r="Z458" t="s">
        <v>175</v>
      </c>
      <c r="AA458" t="s">
        <v>175</v>
      </c>
      <c r="AB458" t="s">
        <v>175</v>
      </c>
      <c r="AC458" t="s">
        <v>175</v>
      </c>
      <c r="AD458" t="s">
        <v>175</v>
      </c>
      <c r="AE458" t="s">
        <v>175</v>
      </c>
      <c r="AF458" t="s">
        <v>175</v>
      </c>
      <c r="AG458" t="s">
        <v>175</v>
      </c>
    </row>
    <row r="459" spans="1:34">
      <c r="A459">
        <v>2</v>
      </c>
      <c r="B459">
        <v>7371</v>
      </c>
      <c r="C459" t="s">
        <v>238</v>
      </c>
      <c r="D459">
        <v>240</v>
      </c>
      <c r="E459" s="233">
        <v>0</v>
      </c>
      <c r="F459" s="233">
        <v>2357142.8571428601</v>
      </c>
      <c r="G459" s="233" t="s">
        <v>175</v>
      </c>
      <c r="H459" s="233" t="s">
        <v>175</v>
      </c>
      <c r="I459" s="878">
        <v>44055</v>
      </c>
      <c r="J459" t="s">
        <v>175</v>
      </c>
      <c r="K459" t="s">
        <v>175</v>
      </c>
      <c r="L459" t="s">
        <v>175</v>
      </c>
      <c r="M459" t="s">
        <v>175</v>
      </c>
      <c r="N459" t="s">
        <v>175</v>
      </c>
      <c r="O459" t="s">
        <v>175</v>
      </c>
      <c r="P459" t="s">
        <v>175</v>
      </c>
      <c r="Q459" t="s">
        <v>175</v>
      </c>
      <c r="R459" t="s">
        <v>175</v>
      </c>
      <c r="S459" t="s">
        <v>175</v>
      </c>
      <c r="T459" t="s">
        <v>175</v>
      </c>
      <c r="U459" t="s">
        <v>175</v>
      </c>
      <c r="V459" t="s">
        <v>175</v>
      </c>
      <c r="W459" t="s">
        <v>175</v>
      </c>
      <c r="X459" t="s">
        <v>175</v>
      </c>
      <c r="Y459" t="s">
        <v>175</v>
      </c>
      <c r="Z459" t="s">
        <v>175</v>
      </c>
      <c r="AA459" t="s">
        <v>175</v>
      </c>
      <c r="AB459" t="s">
        <v>175</v>
      </c>
      <c r="AC459" t="s">
        <v>175</v>
      </c>
      <c r="AD459" t="s">
        <v>175</v>
      </c>
      <c r="AE459" t="s">
        <v>175</v>
      </c>
      <c r="AF459" t="s">
        <v>175</v>
      </c>
      <c r="AG459" t="s">
        <v>175</v>
      </c>
    </row>
    <row r="460" spans="1:34">
      <c r="A460">
        <v>3</v>
      </c>
      <c r="B460">
        <v>7371</v>
      </c>
      <c r="C460" t="s">
        <v>238</v>
      </c>
      <c r="D460">
        <v>240</v>
      </c>
      <c r="E460" s="233">
        <v>0</v>
      </c>
      <c r="F460" s="233">
        <v>2357142.8571428601</v>
      </c>
      <c r="G460" s="233" t="s">
        <v>175</v>
      </c>
      <c r="H460" s="233" t="s">
        <v>175</v>
      </c>
      <c r="I460" s="878">
        <v>44088</v>
      </c>
      <c r="J460" t="s">
        <v>175</v>
      </c>
      <c r="K460" t="s">
        <v>175</v>
      </c>
      <c r="L460" t="s">
        <v>175</v>
      </c>
      <c r="M460" t="s">
        <v>175</v>
      </c>
      <c r="N460" t="s">
        <v>175</v>
      </c>
      <c r="O460" t="s">
        <v>175</v>
      </c>
      <c r="P460" t="s">
        <v>175</v>
      </c>
      <c r="Q460" t="s">
        <v>175</v>
      </c>
      <c r="R460" t="s">
        <v>175</v>
      </c>
      <c r="S460" t="s">
        <v>175</v>
      </c>
      <c r="T460" t="s">
        <v>175</v>
      </c>
      <c r="U460" t="s">
        <v>175</v>
      </c>
      <c r="V460" t="s">
        <v>175</v>
      </c>
      <c r="W460" t="s">
        <v>175</v>
      </c>
      <c r="X460" t="s">
        <v>175</v>
      </c>
      <c r="Y460" t="s">
        <v>175</v>
      </c>
      <c r="Z460" t="s">
        <v>175</v>
      </c>
      <c r="AA460" t="s">
        <v>175</v>
      </c>
      <c r="AB460" t="s">
        <v>175</v>
      </c>
      <c r="AC460" t="s">
        <v>175</v>
      </c>
      <c r="AD460" t="s">
        <v>175</v>
      </c>
      <c r="AE460" t="s">
        <v>175</v>
      </c>
      <c r="AF460" t="s">
        <v>175</v>
      </c>
      <c r="AG460" t="s">
        <v>175</v>
      </c>
    </row>
    <row r="461" spans="1:34">
      <c r="A461">
        <v>4</v>
      </c>
      <c r="B461">
        <v>7371</v>
      </c>
      <c r="C461" t="s">
        <v>238</v>
      </c>
      <c r="D461">
        <v>240</v>
      </c>
      <c r="E461" s="233">
        <v>0</v>
      </c>
      <c r="F461" s="233">
        <v>2357142.8571428601</v>
      </c>
      <c r="G461" s="233" t="s">
        <v>175</v>
      </c>
      <c r="H461" s="233" t="s">
        <v>175</v>
      </c>
      <c r="I461" s="878">
        <v>44117</v>
      </c>
      <c r="J461" t="s">
        <v>175</v>
      </c>
      <c r="K461" t="s">
        <v>175</v>
      </c>
      <c r="L461" t="s">
        <v>175</v>
      </c>
      <c r="M461" t="s">
        <v>175</v>
      </c>
      <c r="N461" t="s">
        <v>175</v>
      </c>
      <c r="O461" t="s">
        <v>175</v>
      </c>
      <c r="P461" t="s">
        <v>175</v>
      </c>
      <c r="Q461" t="s">
        <v>175</v>
      </c>
      <c r="R461" t="s">
        <v>175</v>
      </c>
      <c r="S461" t="s">
        <v>175</v>
      </c>
      <c r="T461" t="s">
        <v>175</v>
      </c>
      <c r="U461" t="s">
        <v>175</v>
      </c>
      <c r="V461" t="s">
        <v>175</v>
      </c>
      <c r="W461" t="s">
        <v>175</v>
      </c>
      <c r="X461" t="s">
        <v>175</v>
      </c>
      <c r="Y461" t="s">
        <v>175</v>
      </c>
      <c r="Z461" t="s">
        <v>175</v>
      </c>
      <c r="AA461" t="s">
        <v>175</v>
      </c>
      <c r="AB461" t="s">
        <v>175</v>
      </c>
      <c r="AC461" t="s">
        <v>175</v>
      </c>
      <c r="AD461" t="s">
        <v>175</v>
      </c>
      <c r="AE461" t="s">
        <v>175</v>
      </c>
      <c r="AF461" t="s">
        <v>175</v>
      </c>
      <c r="AG461" t="s">
        <v>175</v>
      </c>
    </row>
    <row r="462" spans="1:34">
      <c r="A462">
        <v>5</v>
      </c>
      <c r="B462">
        <v>7371</v>
      </c>
      <c r="C462" t="s">
        <v>238</v>
      </c>
      <c r="D462">
        <v>240</v>
      </c>
      <c r="E462" s="233">
        <v>0</v>
      </c>
      <c r="F462" s="233">
        <v>2357142.8571428601</v>
      </c>
      <c r="G462" s="233" t="s">
        <v>175</v>
      </c>
      <c r="H462" s="233" t="s">
        <v>175</v>
      </c>
      <c r="I462" s="878">
        <v>44147</v>
      </c>
      <c r="J462" t="s">
        <v>175</v>
      </c>
      <c r="K462" t="s">
        <v>175</v>
      </c>
      <c r="L462" t="s">
        <v>175</v>
      </c>
      <c r="M462" t="s">
        <v>175</v>
      </c>
      <c r="N462" t="s">
        <v>175</v>
      </c>
      <c r="O462" t="s">
        <v>175</v>
      </c>
      <c r="P462" t="s">
        <v>175</v>
      </c>
      <c r="Q462" t="s">
        <v>175</v>
      </c>
      <c r="R462" t="s">
        <v>175</v>
      </c>
      <c r="S462" t="s">
        <v>175</v>
      </c>
      <c r="T462" t="s">
        <v>175</v>
      </c>
      <c r="U462" t="s">
        <v>175</v>
      </c>
      <c r="V462" t="s">
        <v>175</v>
      </c>
      <c r="W462" t="s">
        <v>175</v>
      </c>
      <c r="X462" t="s">
        <v>175</v>
      </c>
      <c r="Y462" t="s">
        <v>175</v>
      </c>
      <c r="Z462" t="s">
        <v>175</v>
      </c>
      <c r="AA462" t="s">
        <v>175</v>
      </c>
      <c r="AB462" t="s">
        <v>175</v>
      </c>
      <c r="AC462" t="s">
        <v>175</v>
      </c>
      <c r="AD462" t="s">
        <v>175</v>
      </c>
      <c r="AE462" t="s">
        <v>175</v>
      </c>
      <c r="AF462" t="s">
        <v>175</v>
      </c>
      <c r="AG462" t="s">
        <v>175</v>
      </c>
    </row>
    <row r="463" spans="1:34">
      <c r="A463">
        <v>6</v>
      </c>
      <c r="B463">
        <v>7371</v>
      </c>
      <c r="C463" t="s">
        <v>238</v>
      </c>
      <c r="D463">
        <v>240</v>
      </c>
      <c r="E463" s="233">
        <v>0</v>
      </c>
      <c r="F463" s="233">
        <v>2357142.8571428601</v>
      </c>
      <c r="G463" s="233" t="s">
        <v>175</v>
      </c>
      <c r="H463" s="233" t="s">
        <v>175</v>
      </c>
      <c r="I463" s="878">
        <v>44179</v>
      </c>
      <c r="J463" t="s">
        <v>175</v>
      </c>
      <c r="K463" t="s">
        <v>175</v>
      </c>
      <c r="L463" t="s">
        <v>175</v>
      </c>
      <c r="M463" t="s">
        <v>175</v>
      </c>
      <c r="N463" t="s">
        <v>175</v>
      </c>
      <c r="O463" t="s">
        <v>175</v>
      </c>
      <c r="P463" t="s">
        <v>175</v>
      </c>
      <c r="Q463" t="s">
        <v>175</v>
      </c>
      <c r="R463" t="s">
        <v>175</v>
      </c>
      <c r="S463" t="s">
        <v>175</v>
      </c>
      <c r="T463" t="s">
        <v>175</v>
      </c>
      <c r="U463" t="s">
        <v>175</v>
      </c>
      <c r="V463" t="s">
        <v>175</v>
      </c>
      <c r="W463" t="s">
        <v>175</v>
      </c>
      <c r="X463" t="s">
        <v>175</v>
      </c>
      <c r="Y463" t="s">
        <v>175</v>
      </c>
      <c r="Z463" t="s">
        <v>175</v>
      </c>
      <c r="AA463" t="s">
        <v>175</v>
      </c>
      <c r="AB463" t="s">
        <v>175</v>
      </c>
      <c r="AC463" t="s">
        <v>175</v>
      </c>
      <c r="AD463" t="s">
        <v>175</v>
      </c>
      <c r="AE463" t="s">
        <v>175</v>
      </c>
      <c r="AF463" t="s">
        <v>175</v>
      </c>
      <c r="AG463" t="s">
        <v>175</v>
      </c>
    </row>
    <row r="464" spans="1:34">
      <c r="A464">
        <v>7</v>
      </c>
      <c r="B464">
        <v>7371</v>
      </c>
      <c r="C464" t="s">
        <v>238</v>
      </c>
      <c r="D464">
        <v>240</v>
      </c>
      <c r="E464" s="233">
        <v>0</v>
      </c>
      <c r="F464" s="233">
        <v>2357142.8571428601</v>
      </c>
      <c r="G464" s="233" t="s">
        <v>175</v>
      </c>
      <c r="H464" s="233" t="s">
        <v>175</v>
      </c>
      <c r="I464" s="878">
        <v>44193</v>
      </c>
      <c r="J464" t="s">
        <v>175</v>
      </c>
      <c r="K464" t="s">
        <v>175</v>
      </c>
      <c r="L464" t="s">
        <v>175</v>
      </c>
      <c r="M464" t="s">
        <v>175</v>
      </c>
      <c r="N464" t="s">
        <v>175</v>
      </c>
      <c r="O464" t="s">
        <v>175</v>
      </c>
      <c r="P464" t="s">
        <v>175</v>
      </c>
      <c r="Q464" t="s">
        <v>175</v>
      </c>
      <c r="R464" t="s">
        <v>175</v>
      </c>
      <c r="S464" t="s">
        <v>175</v>
      </c>
      <c r="T464" t="s">
        <v>175</v>
      </c>
      <c r="U464" t="s">
        <v>175</v>
      </c>
      <c r="V464" t="s">
        <v>175</v>
      </c>
      <c r="W464" t="s">
        <v>175</v>
      </c>
      <c r="X464" t="s">
        <v>175</v>
      </c>
      <c r="Y464" t="s">
        <v>175</v>
      </c>
      <c r="Z464" t="s">
        <v>175</v>
      </c>
      <c r="AA464" t="s">
        <v>175</v>
      </c>
      <c r="AB464" t="s">
        <v>175</v>
      </c>
      <c r="AC464" t="s">
        <v>175</v>
      </c>
      <c r="AD464" t="s">
        <v>175</v>
      </c>
      <c r="AE464" t="s">
        <v>175</v>
      </c>
      <c r="AF464" t="s">
        <v>175</v>
      </c>
      <c r="AG464" t="s">
        <v>175</v>
      </c>
    </row>
    <row r="465" spans="1:33">
      <c r="A465">
        <v>8</v>
      </c>
      <c r="B465">
        <v>7371</v>
      </c>
      <c r="C465" t="s">
        <v>238</v>
      </c>
      <c r="D465">
        <v>240</v>
      </c>
      <c r="E465" s="233">
        <v>0</v>
      </c>
      <c r="F465" s="233">
        <v>0</v>
      </c>
      <c r="G465" s="233" t="s">
        <v>175</v>
      </c>
      <c r="H465" s="233" t="s">
        <v>175</v>
      </c>
      <c r="I465" s="878">
        <v>44208</v>
      </c>
      <c r="J465" t="s">
        <v>175</v>
      </c>
      <c r="K465" t="s">
        <v>175</v>
      </c>
      <c r="L465" t="s">
        <v>175</v>
      </c>
      <c r="M465" t="s">
        <v>175</v>
      </c>
      <c r="N465" t="s">
        <v>175</v>
      </c>
      <c r="O465" t="s">
        <v>175</v>
      </c>
      <c r="P465" t="s">
        <v>175</v>
      </c>
      <c r="Q465" t="s">
        <v>175</v>
      </c>
      <c r="R465" t="s">
        <v>175</v>
      </c>
      <c r="S465" t="s">
        <v>175</v>
      </c>
      <c r="T465" t="s">
        <v>175</v>
      </c>
      <c r="U465" t="s">
        <v>175</v>
      </c>
      <c r="V465" t="s">
        <v>175</v>
      </c>
      <c r="W465" t="s">
        <v>175</v>
      </c>
      <c r="X465" t="s">
        <v>175</v>
      </c>
      <c r="Y465" t="s">
        <v>175</v>
      </c>
      <c r="Z465" t="s">
        <v>175</v>
      </c>
      <c r="AA465" t="s">
        <v>175</v>
      </c>
      <c r="AB465" t="s">
        <v>175</v>
      </c>
      <c r="AC465" t="s">
        <v>175</v>
      </c>
      <c r="AD465" t="s">
        <v>175</v>
      </c>
      <c r="AE465" t="s">
        <v>175</v>
      </c>
      <c r="AF465" t="s">
        <v>175</v>
      </c>
      <c r="AG465" t="s">
        <v>175</v>
      </c>
    </row>
    <row r="466" spans="1:33">
      <c r="A466">
        <v>1</v>
      </c>
      <c r="B466">
        <v>1000040</v>
      </c>
      <c r="C466" t="s">
        <v>239</v>
      </c>
      <c r="D466">
        <v>165</v>
      </c>
      <c r="E466">
        <v>97396427.996694505</v>
      </c>
      <c r="F466">
        <v>0</v>
      </c>
      <c r="G466">
        <v>0</v>
      </c>
      <c r="H466">
        <v>0</v>
      </c>
      <c r="I466" s="878">
        <v>44043</v>
      </c>
      <c r="J466">
        <v>1</v>
      </c>
      <c r="K466" t="s">
        <v>162</v>
      </c>
      <c r="L466">
        <v>1000040</v>
      </c>
      <c r="M466">
        <v>0.11040074720757299</v>
      </c>
      <c r="N466">
        <v>0.770537344132458</v>
      </c>
      <c r="O466">
        <v>8.1614413573386696E-2</v>
      </c>
      <c r="P466">
        <v>3.7447495086582197E-2</v>
      </c>
      <c r="Q466">
        <v>9.6506500755319996E-2</v>
      </c>
      <c r="R466">
        <v>0</v>
      </c>
      <c r="S466">
        <v>-3.6597671820187798E-3</v>
      </c>
      <c r="T466">
        <v>-1.0644741090961301E-3</v>
      </c>
      <c r="U466">
        <v>1.11447219928279E-3</v>
      </c>
      <c r="V466">
        <v>2.80894149348327E-3</v>
      </c>
      <c r="W466">
        <v>1.4695074050602301E-2</v>
      </c>
      <c r="X466">
        <v>0</v>
      </c>
      <c r="Y466">
        <v>0.81262247750501804</v>
      </c>
      <c r="Z466">
        <v>0</v>
      </c>
      <c r="AA466">
        <v>-1.5784685345165299E-2</v>
      </c>
      <c r="AB466">
        <v>0.11241535620476099</v>
      </c>
      <c r="AC466">
        <v>1.54347873407088E-2</v>
      </c>
      <c r="AD466">
        <v>-0.30284395249566798</v>
      </c>
      <c r="AE466">
        <v>0.148693360922803</v>
      </c>
      <c r="AF466">
        <v>0</v>
      </c>
      <c r="AG466" s="878">
        <v>44043</v>
      </c>
    </row>
    <row r="467" spans="1:33">
      <c r="A467">
        <v>2</v>
      </c>
      <c r="B467">
        <v>1000040</v>
      </c>
      <c r="C467" t="s">
        <v>239</v>
      </c>
      <c r="D467">
        <v>165</v>
      </c>
      <c r="E467">
        <v>0</v>
      </c>
      <c r="F467">
        <v>0</v>
      </c>
      <c r="G467" t="s">
        <v>175</v>
      </c>
      <c r="H467" t="s">
        <v>175</v>
      </c>
      <c r="I467" s="878">
        <v>44055</v>
      </c>
      <c r="J467">
        <v>2</v>
      </c>
      <c r="K467" t="s">
        <v>162</v>
      </c>
      <c r="L467">
        <v>1000040</v>
      </c>
      <c r="M467">
        <v>0</v>
      </c>
      <c r="N467" t="s">
        <v>175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 t="s">
        <v>175</v>
      </c>
      <c r="Z467" t="s">
        <v>175</v>
      </c>
      <c r="AA467" t="s">
        <v>175</v>
      </c>
      <c r="AB467" t="s">
        <v>175</v>
      </c>
      <c r="AC467" t="s">
        <v>175</v>
      </c>
      <c r="AD467" t="s">
        <v>175</v>
      </c>
      <c r="AE467" t="s">
        <v>175</v>
      </c>
      <c r="AF467" t="s">
        <v>175</v>
      </c>
      <c r="AG467" s="878">
        <v>44055</v>
      </c>
    </row>
    <row r="468" spans="1:33">
      <c r="A468">
        <v>3</v>
      </c>
      <c r="B468">
        <v>1000040</v>
      </c>
      <c r="C468" t="s">
        <v>239</v>
      </c>
      <c r="D468">
        <v>165</v>
      </c>
      <c r="E468">
        <v>0</v>
      </c>
      <c r="F468">
        <v>0</v>
      </c>
      <c r="G468" t="s">
        <v>175</v>
      </c>
      <c r="H468" t="s">
        <v>175</v>
      </c>
      <c r="I468" s="878">
        <v>44088</v>
      </c>
      <c r="J468">
        <v>3</v>
      </c>
      <c r="K468" t="s">
        <v>162</v>
      </c>
      <c r="L468">
        <v>1000040</v>
      </c>
      <c r="M468">
        <v>0</v>
      </c>
      <c r="N468" t="s">
        <v>175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 t="s">
        <v>175</v>
      </c>
      <c r="Z468" t="s">
        <v>175</v>
      </c>
      <c r="AA468" t="s">
        <v>175</v>
      </c>
      <c r="AB468" t="s">
        <v>175</v>
      </c>
      <c r="AC468" t="s">
        <v>175</v>
      </c>
      <c r="AD468" t="s">
        <v>175</v>
      </c>
      <c r="AE468" t="s">
        <v>175</v>
      </c>
      <c r="AF468" t="s">
        <v>175</v>
      </c>
      <c r="AG468" s="878">
        <v>44088</v>
      </c>
    </row>
    <row r="469" spans="1:33">
      <c r="A469">
        <v>4</v>
      </c>
      <c r="B469">
        <v>1000040</v>
      </c>
      <c r="C469" t="s">
        <v>239</v>
      </c>
      <c r="D469">
        <v>165</v>
      </c>
      <c r="E469">
        <v>0</v>
      </c>
      <c r="F469">
        <v>0</v>
      </c>
      <c r="G469" t="s">
        <v>175</v>
      </c>
      <c r="H469" t="s">
        <v>175</v>
      </c>
      <c r="I469" s="878">
        <v>44117</v>
      </c>
      <c r="J469">
        <v>4</v>
      </c>
      <c r="K469" t="s">
        <v>162</v>
      </c>
      <c r="L469">
        <v>1000040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 t="s">
        <v>175</v>
      </c>
      <c r="Z469" t="s">
        <v>175</v>
      </c>
      <c r="AA469" t="s">
        <v>175</v>
      </c>
      <c r="AB469" t="s">
        <v>175</v>
      </c>
      <c r="AC469" t="s">
        <v>175</v>
      </c>
      <c r="AD469" t="s">
        <v>175</v>
      </c>
      <c r="AE469" t="s">
        <v>175</v>
      </c>
      <c r="AF469" t="s">
        <v>175</v>
      </c>
      <c r="AG469" s="878">
        <v>44117</v>
      </c>
    </row>
    <row r="470" spans="1:33">
      <c r="A470">
        <v>5</v>
      </c>
      <c r="B470">
        <v>1000040</v>
      </c>
      <c r="C470" t="s">
        <v>239</v>
      </c>
      <c r="D470">
        <v>165</v>
      </c>
      <c r="E470">
        <v>0</v>
      </c>
      <c r="F470">
        <v>0</v>
      </c>
      <c r="G470" t="s">
        <v>175</v>
      </c>
      <c r="H470" t="s">
        <v>175</v>
      </c>
      <c r="I470" s="878">
        <v>44147</v>
      </c>
      <c r="J470">
        <v>5</v>
      </c>
      <c r="K470" t="s">
        <v>162</v>
      </c>
      <c r="L470">
        <v>1000040</v>
      </c>
      <c r="M470" t="s">
        <v>175</v>
      </c>
      <c r="N470" t="s">
        <v>175</v>
      </c>
      <c r="O470" t="s">
        <v>175</v>
      </c>
      <c r="P470" t="s">
        <v>175</v>
      </c>
      <c r="Q470" t="s">
        <v>175</v>
      </c>
      <c r="R470" t="s">
        <v>175</v>
      </c>
      <c r="S470" t="s">
        <v>175</v>
      </c>
      <c r="T470" t="s">
        <v>175</v>
      </c>
      <c r="U470" t="s">
        <v>175</v>
      </c>
      <c r="V470" t="s">
        <v>175</v>
      </c>
      <c r="W470" t="s">
        <v>175</v>
      </c>
      <c r="X470" t="s">
        <v>175</v>
      </c>
      <c r="Y470" t="s">
        <v>175</v>
      </c>
      <c r="Z470" t="s">
        <v>175</v>
      </c>
      <c r="AA470" t="s">
        <v>175</v>
      </c>
      <c r="AB470" t="s">
        <v>175</v>
      </c>
      <c r="AC470" t="s">
        <v>175</v>
      </c>
      <c r="AD470" t="s">
        <v>175</v>
      </c>
      <c r="AE470" t="s">
        <v>175</v>
      </c>
      <c r="AF470" t="s">
        <v>175</v>
      </c>
      <c r="AG470" s="878">
        <v>44147</v>
      </c>
    </row>
    <row r="471" spans="1:33">
      <c r="A471">
        <v>6</v>
      </c>
      <c r="B471">
        <v>1000040</v>
      </c>
      <c r="C471" t="s">
        <v>239</v>
      </c>
      <c r="D471">
        <v>165</v>
      </c>
      <c r="E471">
        <v>0</v>
      </c>
      <c r="F471">
        <v>0</v>
      </c>
      <c r="G471" t="s">
        <v>175</v>
      </c>
      <c r="H471" t="s">
        <v>175</v>
      </c>
      <c r="I471" s="878">
        <v>44179</v>
      </c>
      <c r="J471">
        <v>6</v>
      </c>
      <c r="K471" t="s">
        <v>162</v>
      </c>
      <c r="L471">
        <v>1000040</v>
      </c>
      <c r="M471" t="s">
        <v>175</v>
      </c>
      <c r="N471" t="s">
        <v>175</v>
      </c>
      <c r="O471" t="s">
        <v>175</v>
      </c>
      <c r="P471" t="s">
        <v>175</v>
      </c>
      <c r="Q471" t="s">
        <v>175</v>
      </c>
      <c r="R471" t="s">
        <v>175</v>
      </c>
      <c r="S471" t="s">
        <v>175</v>
      </c>
      <c r="T471" t="s">
        <v>175</v>
      </c>
      <c r="U471" t="s">
        <v>175</v>
      </c>
      <c r="V471" t="s">
        <v>175</v>
      </c>
      <c r="W471" t="s">
        <v>175</v>
      </c>
      <c r="X471" t="s">
        <v>175</v>
      </c>
      <c r="Y471" t="s">
        <v>175</v>
      </c>
      <c r="Z471" t="s">
        <v>175</v>
      </c>
      <c r="AA471" t="s">
        <v>175</v>
      </c>
      <c r="AB471" t="s">
        <v>175</v>
      </c>
      <c r="AC471" t="s">
        <v>175</v>
      </c>
      <c r="AD471" t="s">
        <v>175</v>
      </c>
      <c r="AE471" t="s">
        <v>175</v>
      </c>
      <c r="AF471" t="s">
        <v>175</v>
      </c>
      <c r="AG471" s="878">
        <v>44179</v>
      </c>
    </row>
    <row r="472" spans="1:33">
      <c r="A472">
        <v>7</v>
      </c>
      <c r="B472">
        <v>1000040</v>
      </c>
      <c r="C472" t="s">
        <v>239</v>
      </c>
      <c r="D472">
        <v>165</v>
      </c>
      <c r="E472">
        <v>0</v>
      </c>
      <c r="F472">
        <v>0</v>
      </c>
      <c r="G472" t="s">
        <v>175</v>
      </c>
      <c r="H472" t="s">
        <v>175</v>
      </c>
      <c r="I472" s="878">
        <v>44193</v>
      </c>
      <c r="J472">
        <v>7</v>
      </c>
      <c r="K472" t="s">
        <v>162</v>
      </c>
      <c r="L472">
        <v>1000040</v>
      </c>
      <c r="M472" t="s">
        <v>175</v>
      </c>
      <c r="N472" t="s">
        <v>175</v>
      </c>
      <c r="O472" t="s">
        <v>175</v>
      </c>
      <c r="P472" t="s">
        <v>175</v>
      </c>
      <c r="Q472" t="s">
        <v>175</v>
      </c>
      <c r="R472" t="s">
        <v>175</v>
      </c>
      <c r="S472" t="s">
        <v>175</v>
      </c>
      <c r="T472" t="s">
        <v>175</v>
      </c>
      <c r="U472" t="s">
        <v>175</v>
      </c>
      <c r="V472" t="s">
        <v>175</v>
      </c>
      <c r="W472" t="s">
        <v>175</v>
      </c>
      <c r="X472" t="s">
        <v>175</v>
      </c>
      <c r="Y472" t="s">
        <v>175</v>
      </c>
      <c r="Z472" t="s">
        <v>175</v>
      </c>
      <c r="AA472" t="s">
        <v>175</v>
      </c>
      <c r="AB472" t="s">
        <v>175</v>
      </c>
      <c r="AC472" t="s">
        <v>175</v>
      </c>
      <c r="AD472" t="s">
        <v>175</v>
      </c>
      <c r="AE472" t="s">
        <v>175</v>
      </c>
      <c r="AF472" t="s">
        <v>175</v>
      </c>
      <c r="AG472" s="878">
        <v>44193</v>
      </c>
    </row>
    <row r="473" spans="1:33">
      <c r="A473">
        <v>8</v>
      </c>
      <c r="B473">
        <v>1000040</v>
      </c>
      <c r="C473" t="s">
        <v>239</v>
      </c>
      <c r="D473">
        <v>165</v>
      </c>
      <c r="E473">
        <v>0</v>
      </c>
      <c r="F473">
        <v>0</v>
      </c>
      <c r="G473" t="s">
        <v>175</v>
      </c>
      <c r="H473" t="s">
        <v>175</v>
      </c>
      <c r="I473" s="878">
        <v>44208</v>
      </c>
      <c r="J473">
        <v>8</v>
      </c>
      <c r="K473" t="s">
        <v>162</v>
      </c>
      <c r="L473">
        <v>1000040</v>
      </c>
      <c r="M473" t="s">
        <v>175</v>
      </c>
      <c r="N473" t="s">
        <v>175</v>
      </c>
      <c r="O473" t="s">
        <v>175</v>
      </c>
      <c r="P473" t="s">
        <v>175</v>
      </c>
      <c r="Q473" t="s">
        <v>175</v>
      </c>
      <c r="R473" t="s">
        <v>175</v>
      </c>
      <c r="S473" t="s">
        <v>175</v>
      </c>
      <c r="T473" t="s">
        <v>175</v>
      </c>
      <c r="U473" t="s">
        <v>175</v>
      </c>
      <c r="V473" t="s">
        <v>175</v>
      </c>
      <c r="W473" t="s">
        <v>175</v>
      </c>
      <c r="X473" t="s">
        <v>175</v>
      </c>
      <c r="Y473" t="s">
        <v>175</v>
      </c>
      <c r="Z473" t="s">
        <v>175</v>
      </c>
      <c r="AA473" t="s">
        <v>175</v>
      </c>
      <c r="AB473" t="s">
        <v>175</v>
      </c>
      <c r="AC473" t="s">
        <v>175</v>
      </c>
      <c r="AD473" t="s">
        <v>175</v>
      </c>
      <c r="AE473" t="s">
        <v>175</v>
      </c>
      <c r="AF473" t="s">
        <v>175</v>
      </c>
      <c r="AG473" s="878">
        <v>44208</v>
      </c>
    </row>
    <row r="474" spans="1:33">
      <c r="A474">
        <v>1</v>
      </c>
      <c r="B474">
        <v>1000041</v>
      </c>
      <c r="C474" t="s">
        <v>240</v>
      </c>
      <c r="D474">
        <v>166</v>
      </c>
      <c r="E474">
        <v>35249144.286588296</v>
      </c>
      <c r="F474">
        <v>0</v>
      </c>
      <c r="G474">
        <v>0</v>
      </c>
      <c r="H474">
        <v>0</v>
      </c>
      <c r="I474" s="878">
        <v>44043</v>
      </c>
      <c r="J474">
        <v>1</v>
      </c>
      <c r="K474" t="s">
        <v>241</v>
      </c>
      <c r="L474">
        <v>1000041</v>
      </c>
      <c r="M474">
        <v>0.101899395330646</v>
      </c>
      <c r="N474">
        <v>0.82492664823351802</v>
      </c>
      <c r="O474">
        <v>1.7355063471914799E-2</v>
      </c>
      <c r="P474">
        <v>5.5818892963921597E-2</v>
      </c>
      <c r="Q474">
        <v>-2.2662159106409002E-3</v>
      </c>
      <c r="R474">
        <v>9.3922152861703495E-2</v>
      </c>
      <c r="S474">
        <v>0</v>
      </c>
      <c r="T474">
        <v>-2.30222883320575E-4</v>
      </c>
      <c r="U474">
        <v>1.05180391688056E-3</v>
      </c>
      <c r="V474">
        <v>9.6076112930103506E-3</v>
      </c>
      <c r="W474">
        <v>-1.8573394698685901E-4</v>
      </c>
      <c r="X474">
        <v>0</v>
      </c>
      <c r="Y474">
        <v>-6.9809447106852204E-2</v>
      </c>
      <c r="Z474">
        <v>0.94643762471911297</v>
      </c>
      <c r="AA474">
        <v>-6.4497023381543403E-3</v>
      </c>
      <c r="AB474">
        <v>0.22784198505762099</v>
      </c>
      <c r="AC474">
        <v>2.02979884172407E-2</v>
      </c>
      <c r="AD474">
        <v>-0.34477089908986602</v>
      </c>
      <c r="AE474">
        <v>5.13790985744145E-2</v>
      </c>
      <c r="AF474">
        <v>0</v>
      </c>
      <c r="AG474" s="878">
        <v>44043</v>
      </c>
    </row>
    <row r="475" spans="1:33">
      <c r="A475">
        <v>2</v>
      </c>
      <c r="B475">
        <v>1000041</v>
      </c>
      <c r="C475" t="s">
        <v>240</v>
      </c>
      <c r="D475">
        <v>166</v>
      </c>
      <c r="E475">
        <v>13702748.626934299</v>
      </c>
      <c r="F475">
        <v>0</v>
      </c>
      <c r="G475" t="s">
        <v>175</v>
      </c>
      <c r="H475" t="s">
        <v>175</v>
      </c>
      <c r="I475" s="878">
        <v>44055</v>
      </c>
      <c r="J475">
        <v>2</v>
      </c>
      <c r="K475" t="s">
        <v>241</v>
      </c>
      <c r="L475">
        <v>1000041</v>
      </c>
      <c r="M475">
        <v>0.79217426289116599</v>
      </c>
      <c r="N475" t="s">
        <v>175</v>
      </c>
      <c r="O475">
        <v>4.1202431499999997E-2</v>
      </c>
      <c r="P475">
        <v>0.16662330559999999</v>
      </c>
      <c r="Q475">
        <v>-0.27539679331063899</v>
      </c>
      <c r="R475">
        <v>0.63084551931717303</v>
      </c>
      <c r="S475">
        <v>0</v>
      </c>
      <c r="T475">
        <v>0.41325545000791097</v>
      </c>
      <c r="U475">
        <v>2.4156878147156401E-2</v>
      </c>
      <c r="V475">
        <v>-2.72035657289887E-3</v>
      </c>
      <c r="W475">
        <v>2.0335653024619901E-3</v>
      </c>
      <c r="X475">
        <v>0</v>
      </c>
      <c r="Y475" t="s">
        <v>175</v>
      </c>
      <c r="Z475" t="s">
        <v>175</v>
      </c>
      <c r="AA475" t="s">
        <v>175</v>
      </c>
      <c r="AB475" t="s">
        <v>175</v>
      </c>
      <c r="AC475" t="s">
        <v>175</v>
      </c>
      <c r="AD475" t="s">
        <v>175</v>
      </c>
      <c r="AE475" t="s">
        <v>175</v>
      </c>
      <c r="AF475" t="s">
        <v>175</v>
      </c>
      <c r="AG475" s="878">
        <v>44055</v>
      </c>
    </row>
    <row r="476" spans="1:33">
      <c r="A476">
        <v>3</v>
      </c>
      <c r="B476">
        <v>1000041</v>
      </c>
      <c r="C476" t="s">
        <v>240</v>
      </c>
      <c r="D476">
        <v>166</v>
      </c>
      <c r="E476">
        <v>10644802.156550201</v>
      </c>
      <c r="F476">
        <v>0</v>
      </c>
      <c r="G476" t="s">
        <v>175</v>
      </c>
      <c r="H476" t="s">
        <v>175</v>
      </c>
      <c r="I476" s="878">
        <v>44088</v>
      </c>
      <c r="J476">
        <v>3</v>
      </c>
      <c r="K476" t="s">
        <v>241</v>
      </c>
      <c r="L476">
        <v>1000041</v>
      </c>
      <c r="M476">
        <v>0.81493726663561294</v>
      </c>
      <c r="N476" t="s">
        <v>175</v>
      </c>
      <c r="O476">
        <v>0.18506273340000001</v>
      </c>
      <c r="P476">
        <v>0</v>
      </c>
      <c r="Q476">
        <v>-0.25062098195854698</v>
      </c>
      <c r="R476">
        <v>0.76044757396019003</v>
      </c>
      <c r="S476">
        <v>0</v>
      </c>
      <c r="T476">
        <v>0.32965947325517703</v>
      </c>
      <c r="U476">
        <v>3.58970551800777E-2</v>
      </c>
      <c r="V476">
        <v>-6.01815174282413E-2</v>
      </c>
      <c r="W476">
        <v>-2.6433637304320602E-4</v>
      </c>
      <c r="X476">
        <v>0</v>
      </c>
      <c r="Y476" t="s">
        <v>175</v>
      </c>
      <c r="Z476" t="s">
        <v>175</v>
      </c>
      <c r="AA476" t="s">
        <v>175</v>
      </c>
      <c r="AB476" t="s">
        <v>175</v>
      </c>
      <c r="AC476" t="s">
        <v>175</v>
      </c>
      <c r="AD476" t="s">
        <v>175</v>
      </c>
      <c r="AE476" t="s">
        <v>175</v>
      </c>
      <c r="AF476" t="s">
        <v>175</v>
      </c>
      <c r="AG476" s="878">
        <v>44088</v>
      </c>
    </row>
    <row r="477" spans="1:33">
      <c r="A477">
        <v>4</v>
      </c>
      <c r="B477">
        <v>1000041</v>
      </c>
      <c r="C477" t="s">
        <v>240</v>
      </c>
      <c r="D477">
        <v>166</v>
      </c>
      <c r="E477">
        <v>1649890.9299272201</v>
      </c>
      <c r="F477">
        <v>0</v>
      </c>
      <c r="G477" t="s">
        <v>175</v>
      </c>
      <c r="H477" t="s">
        <v>175</v>
      </c>
      <c r="I477" s="878">
        <v>44117</v>
      </c>
      <c r="J477">
        <v>4</v>
      </c>
      <c r="K477" t="s">
        <v>241</v>
      </c>
      <c r="L477">
        <v>1000041</v>
      </c>
      <c r="M477">
        <v>1</v>
      </c>
      <c r="N477">
        <v>0</v>
      </c>
      <c r="O477">
        <v>0</v>
      </c>
      <c r="P477">
        <v>0</v>
      </c>
      <c r="Q477">
        <v>-0.45029353756413099</v>
      </c>
      <c r="R477">
        <v>0.93136450231998003</v>
      </c>
      <c r="S477">
        <v>-2.3008365499042701E-5</v>
      </c>
      <c r="T477">
        <v>0.51857948491682304</v>
      </c>
      <c r="U477">
        <v>3.97213663859338E-2</v>
      </c>
      <c r="V477">
        <v>-3.9659559373287502E-2</v>
      </c>
      <c r="W477">
        <v>3.1075168018006798E-4</v>
      </c>
      <c r="X477">
        <v>0</v>
      </c>
      <c r="Y477" t="s">
        <v>175</v>
      </c>
      <c r="Z477" t="s">
        <v>175</v>
      </c>
      <c r="AA477" t="s">
        <v>175</v>
      </c>
      <c r="AB477" t="s">
        <v>175</v>
      </c>
      <c r="AC477" t="s">
        <v>175</v>
      </c>
      <c r="AD477" t="s">
        <v>175</v>
      </c>
      <c r="AE477" t="s">
        <v>175</v>
      </c>
      <c r="AF477" t="s">
        <v>175</v>
      </c>
      <c r="AG477" s="878">
        <v>44117</v>
      </c>
    </row>
    <row r="478" spans="1:33">
      <c r="A478">
        <v>5</v>
      </c>
      <c r="B478">
        <v>1000041</v>
      </c>
      <c r="C478" t="s">
        <v>240</v>
      </c>
      <c r="D478">
        <v>166</v>
      </c>
      <c r="E478">
        <v>0</v>
      </c>
      <c r="F478">
        <v>0</v>
      </c>
      <c r="G478" t="s">
        <v>175</v>
      </c>
      <c r="H478" t="s">
        <v>175</v>
      </c>
      <c r="I478" s="878">
        <v>44147</v>
      </c>
      <c r="J478">
        <v>5</v>
      </c>
      <c r="K478" t="s">
        <v>241</v>
      </c>
      <c r="L478">
        <v>1000041</v>
      </c>
      <c r="M478" t="s">
        <v>175</v>
      </c>
      <c r="N478" t="s">
        <v>175</v>
      </c>
      <c r="O478" t="s">
        <v>175</v>
      </c>
      <c r="P478" t="s">
        <v>175</v>
      </c>
      <c r="Q478" t="s">
        <v>175</v>
      </c>
      <c r="R478" t="s">
        <v>175</v>
      </c>
      <c r="S478" t="s">
        <v>175</v>
      </c>
      <c r="T478" t="s">
        <v>175</v>
      </c>
      <c r="U478" t="s">
        <v>175</v>
      </c>
      <c r="V478" t="s">
        <v>175</v>
      </c>
      <c r="W478" t="s">
        <v>175</v>
      </c>
      <c r="X478" t="s">
        <v>175</v>
      </c>
      <c r="Y478" t="s">
        <v>175</v>
      </c>
      <c r="Z478" t="s">
        <v>175</v>
      </c>
      <c r="AA478" t="s">
        <v>175</v>
      </c>
      <c r="AB478" t="s">
        <v>175</v>
      </c>
      <c r="AC478" t="s">
        <v>175</v>
      </c>
      <c r="AD478" t="s">
        <v>175</v>
      </c>
      <c r="AE478" t="s">
        <v>175</v>
      </c>
      <c r="AF478" t="s">
        <v>175</v>
      </c>
      <c r="AG478" s="878">
        <v>44147</v>
      </c>
    </row>
    <row r="479" spans="1:33">
      <c r="A479">
        <v>6</v>
      </c>
      <c r="B479">
        <v>1000041</v>
      </c>
      <c r="C479" t="s">
        <v>240</v>
      </c>
      <c r="D479">
        <v>166</v>
      </c>
      <c r="E479">
        <v>0</v>
      </c>
      <c r="F479">
        <v>0</v>
      </c>
      <c r="G479" t="s">
        <v>175</v>
      </c>
      <c r="H479" t="s">
        <v>175</v>
      </c>
      <c r="I479" s="878">
        <v>44179</v>
      </c>
      <c r="J479">
        <v>6</v>
      </c>
      <c r="K479" t="s">
        <v>241</v>
      </c>
      <c r="L479">
        <v>1000041</v>
      </c>
      <c r="M479" t="s">
        <v>175</v>
      </c>
      <c r="N479" t="s">
        <v>175</v>
      </c>
      <c r="O479" t="s">
        <v>175</v>
      </c>
      <c r="P479" t="s">
        <v>175</v>
      </c>
      <c r="Q479" t="s">
        <v>175</v>
      </c>
      <c r="R479" t="s">
        <v>175</v>
      </c>
      <c r="S479" t="s">
        <v>175</v>
      </c>
      <c r="T479" t="s">
        <v>175</v>
      </c>
      <c r="U479" t="s">
        <v>175</v>
      </c>
      <c r="V479" t="s">
        <v>175</v>
      </c>
      <c r="W479" t="s">
        <v>175</v>
      </c>
      <c r="X479" t="s">
        <v>175</v>
      </c>
      <c r="Y479" t="s">
        <v>175</v>
      </c>
      <c r="Z479" t="s">
        <v>175</v>
      </c>
      <c r="AA479" t="s">
        <v>175</v>
      </c>
      <c r="AB479" t="s">
        <v>175</v>
      </c>
      <c r="AC479" t="s">
        <v>175</v>
      </c>
      <c r="AD479" t="s">
        <v>175</v>
      </c>
      <c r="AE479" t="s">
        <v>175</v>
      </c>
      <c r="AF479" t="s">
        <v>175</v>
      </c>
      <c r="AG479" s="878">
        <v>44179</v>
      </c>
    </row>
    <row r="480" spans="1:33">
      <c r="A480">
        <v>7</v>
      </c>
      <c r="B480">
        <v>1000041</v>
      </c>
      <c r="C480" t="s">
        <v>240</v>
      </c>
      <c r="D480">
        <v>166</v>
      </c>
      <c r="E480">
        <v>0</v>
      </c>
      <c r="F480">
        <v>0</v>
      </c>
      <c r="G480" t="s">
        <v>175</v>
      </c>
      <c r="H480" t="s">
        <v>175</v>
      </c>
      <c r="I480" s="878">
        <v>44193</v>
      </c>
      <c r="J480">
        <v>7</v>
      </c>
      <c r="K480" t="s">
        <v>241</v>
      </c>
      <c r="L480">
        <v>1000041</v>
      </c>
      <c r="M480" t="s">
        <v>175</v>
      </c>
      <c r="N480" t="s">
        <v>175</v>
      </c>
      <c r="O480" t="s">
        <v>175</v>
      </c>
      <c r="P480" t="s">
        <v>175</v>
      </c>
      <c r="Q480" t="s">
        <v>175</v>
      </c>
      <c r="R480" t="s">
        <v>175</v>
      </c>
      <c r="S480" t="s">
        <v>175</v>
      </c>
      <c r="T480" t="s">
        <v>175</v>
      </c>
      <c r="U480" t="s">
        <v>175</v>
      </c>
      <c r="V480" t="s">
        <v>175</v>
      </c>
      <c r="W480" t="s">
        <v>175</v>
      </c>
      <c r="X480" t="s">
        <v>175</v>
      </c>
      <c r="Y480" t="s">
        <v>175</v>
      </c>
      <c r="Z480" t="s">
        <v>175</v>
      </c>
      <c r="AA480" t="s">
        <v>175</v>
      </c>
      <c r="AB480" t="s">
        <v>175</v>
      </c>
      <c r="AC480" t="s">
        <v>175</v>
      </c>
      <c r="AD480" t="s">
        <v>175</v>
      </c>
      <c r="AE480" t="s">
        <v>175</v>
      </c>
      <c r="AF480" t="s">
        <v>175</v>
      </c>
      <c r="AG480" s="878">
        <v>44193</v>
      </c>
    </row>
    <row r="481" spans="1:33">
      <c r="A481">
        <v>8</v>
      </c>
      <c r="B481">
        <v>1000041</v>
      </c>
      <c r="C481" t="s">
        <v>240</v>
      </c>
      <c r="D481">
        <v>166</v>
      </c>
      <c r="E481">
        <v>0</v>
      </c>
      <c r="F481">
        <v>0</v>
      </c>
      <c r="G481" t="s">
        <v>175</v>
      </c>
      <c r="H481" t="s">
        <v>175</v>
      </c>
      <c r="I481" s="878">
        <v>44208</v>
      </c>
      <c r="J481">
        <v>8</v>
      </c>
      <c r="K481" t="s">
        <v>241</v>
      </c>
      <c r="L481">
        <v>1000041</v>
      </c>
      <c r="M481" t="s">
        <v>175</v>
      </c>
      <c r="N481" t="s">
        <v>175</v>
      </c>
      <c r="O481" t="s">
        <v>175</v>
      </c>
      <c r="P481" t="s">
        <v>175</v>
      </c>
      <c r="Q481" t="s">
        <v>175</v>
      </c>
      <c r="R481" t="s">
        <v>175</v>
      </c>
      <c r="S481" t="s">
        <v>175</v>
      </c>
      <c r="T481" t="s">
        <v>175</v>
      </c>
      <c r="U481" t="s">
        <v>175</v>
      </c>
      <c r="V481" t="s">
        <v>175</v>
      </c>
      <c r="W481" t="s">
        <v>175</v>
      </c>
      <c r="X481" t="s">
        <v>175</v>
      </c>
      <c r="Y481" t="s">
        <v>175</v>
      </c>
      <c r="Z481" t="s">
        <v>175</v>
      </c>
      <c r="AA481" t="s">
        <v>175</v>
      </c>
      <c r="AB481" t="s">
        <v>175</v>
      </c>
      <c r="AC481" t="s">
        <v>175</v>
      </c>
      <c r="AD481" t="s">
        <v>175</v>
      </c>
      <c r="AE481" t="s">
        <v>175</v>
      </c>
      <c r="AF481" t="s">
        <v>175</v>
      </c>
      <c r="AG481" s="878">
        <v>44208</v>
      </c>
    </row>
    <row r="482" spans="1:33">
      <c r="A482">
        <v>1</v>
      </c>
      <c r="B482">
        <v>1000042</v>
      </c>
      <c r="C482" t="s">
        <v>242</v>
      </c>
      <c r="D482">
        <v>167</v>
      </c>
      <c r="E482">
        <v>81524285.711015806</v>
      </c>
      <c r="F482">
        <v>0</v>
      </c>
      <c r="G482">
        <v>15083437</v>
      </c>
      <c r="H482">
        <v>0</v>
      </c>
      <c r="I482" s="878">
        <v>44043</v>
      </c>
      <c r="J482">
        <v>1</v>
      </c>
      <c r="K482" t="s">
        <v>243</v>
      </c>
      <c r="L482">
        <v>1000042</v>
      </c>
      <c r="M482">
        <v>0.109326278965189</v>
      </c>
      <c r="N482">
        <v>0.73293327047415602</v>
      </c>
      <c r="O482">
        <v>0.10198958965157701</v>
      </c>
      <c r="P482">
        <v>5.5750860909077597E-2</v>
      </c>
      <c r="Q482">
        <v>-2.3662702376428899E-2</v>
      </c>
      <c r="R482">
        <v>0.113205075220026</v>
      </c>
      <c r="S482">
        <v>-2.8225366220622499E-3</v>
      </c>
      <c r="T482">
        <v>9.0481631442365304E-4</v>
      </c>
      <c r="U482">
        <v>1.8250390045902599E-3</v>
      </c>
      <c r="V482">
        <v>1.38445626496378E-2</v>
      </c>
      <c r="W482">
        <v>6.03202477500271E-3</v>
      </c>
      <c r="X482">
        <v>0</v>
      </c>
      <c r="Y482">
        <v>-0.27071127389704103</v>
      </c>
      <c r="Z482">
        <v>1.12568204246788</v>
      </c>
      <c r="AA482">
        <v>-2.2276505552554601E-2</v>
      </c>
      <c r="AB482">
        <v>0.15448751308115699</v>
      </c>
      <c r="AC482">
        <v>3.1089157763061499E-2</v>
      </c>
      <c r="AD482">
        <v>-0.41760950737318903</v>
      </c>
      <c r="AE482">
        <v>0.13227184398484701</v>
      </c>
      <c r="AF482">
        <v>0</v>
      </c>
      <c r="AG482" s="878">
        <v>44043</v>
      </c>
    </row>
    <row r="483" spans="1:33">
      <c r="A483">
        <v>2</v>
      </c>
      <c r="B483">
        <v>1000042</v>
      </c>
      <c r="C483" t="s">
        <v>242</v>
      </c>
      <c r="D483">
        <v>167</v>
      </c>
      <c r="E483">
        <v>47462583.271848202</v>
      </c>
      <c r="F483">
        <v>0</v>
      </c>
      <c r="G483" t="s">
        <v>175</v>
      </c>
      <c r="H483" t="s">
        <v>175</v>
      </c>
      <c r="I483" s="878">
        <v>44055</v>
      </c>
      <c r="J483">
        <v>2</v>
      </c>
      <c r="K483" t="s">
        <v>243</v>
      </c>
      <c r="L483">
        <v>1000042</v>
      </c>
      <c r="M483">
        <v>7.8970773247570195E-2</v>
      </c>
      <c r="N483" t="s">
        <v>175</v>
      </c>
      <c r="O483">
        <v>0.60732641490454198</v>
      </c>
      <c r="P483">
        <v>0.31370281184788801</v>
      </c>
      <c r="Q483">
        <v>-3.0598382974385099</v>
      </c>
      <c r="R483">
        <v>1.89990368382317</v>
      </c>
      <c r="S483">
        <v>0</v>
      </c>
      <c r="T483">
        <v>1.2606343625404199</v>
      </c>
      <c r="U483">
        <v>0.113617666353135</v>
      </c>
      <c r="V483">
        <v>-0.13479842191440899</v>
      </c>
      <c r="W483">
        <v>-5.4822011623560901E-4</v>
      </c>
      <c r="X483">
        <v>0</v>
      </c>
      <c r="Y483" t="s">
        <v>175</v>
      </c>
      <c r="Z483" t="s">
        <v>175</v>
      </c>
      <c r="AA483" t="s">
        <v>175</v>
      </c>
      <c r="AB483" t="s">
        <v>175</v>
      </c>
      <c r="AC483" t="s">
        <v>175</v>
      </c>
      <c r="AD483" t="s">
        <v>175</v>
      </c>
      <c r="AE483" t="s">
        <v>175</v>
      </c>
      <c r="AF483" t="s">
        <v>175</v>
      </c>
      <c r="AG483" s="878">
        <v>44055</v>
      </c>
    </row>
    <row r="484" spans="1:33">
      <c r="A484">
        <v>3</v>
      </c>
      <c r="B484">
        <v>1000042</v>
      </c>
      <c r="C484" t="s">
        <v>242</v>
      </c>
      <c r="D484">
        <v>167</v>
      </c>
      <c r="E484">
        <v>43654504.444983803</v>
      </c>
      <c r="F484">
        <v>0</v>
      </c>
      <c r="G484" t="s">
        <v>175</v>
      </c>
      <c r="H484" t="s">
        <v>175</v>
      </c>
      <c r="I484" s="878">
        <v>44088</v>
      </c>
      <c r="J484">
        <v>3</v>
      </c>
      <c r="K484" t="s">
        <v>243</v>
      </c>
      <c r="L484">
        <v>1000042</v>
      </c>
      <c r="M484">
        <v>0.407898640665673</v>
      </c>
      <c r="N484" t="s">
        <v>175</v>
      </c>
      <c r="O484">
        <v>0.138378433611895</v>
      </c>
      <c r="P484">
        <v>0.453722925722432</v>
      </c>
      <c r="Q484">
        <v>-0.81300673887619701</v>
      </c>
      <c r="R484">
        <v>0.88337991549564499</v>
      </c>
      <c r="S484">
        <v>1.7125763745277201E-11</v>
      </c>
      <c r="T484">
        <v>0.33866078943365602</v>
      </c>
      <c r="U484">
        <v>5.7547005145652801E-2</v>
      </c>
      <c r="V484">
        <v>-5.8546661866844998E-2</v>
      </c>
      <c r="W484">
        <v>-1.35668683365871E-4</v>
      </c>
      <c r="X484">
        <v>0</v>
      </c>
      <c r="Y484" t="s">
        <v>175</v>
      </c>
      <c r="Z484" t="s">
        <v>175</v>
      </c>
      <c r="AA484" t="s">
        <v>175</v>
      </c>
      <c r="AB484" t="s">
        <v>175</v>
      </c>
      <c r="AC484" t="s">
        <v>175</v>
      </c>
      <c r="AD484" t="s">
        <v>175</v>
      </c>
      <c r="AE484" t="s">
        <v>175</v>
      </c>
      <c r="AF484" t="s">
        <v>175</v>
      </c>
      <c r="AG484" s="878">
        <v>44088</v>
      </c>
    </row>
    <row r="485" spans="1:33">
      <c r="A485">
        <v>4</v>
      </c>
      <c r="B485">
        <v>1000042</v>
      </c>
      <c r="C485" t="s">
        <v>242</v>
      </c>
      <c r="D485">
        <v>167</v>
      </c>
      <c r="E485">
        <v>38005938.800682202</v>
      </c>
      <c r="F485">
        <v>0</v>
      </c>
      <c r="G485" t="s">
        <v>175</v>
      </c>
      <c r="H485" t="s">
        <v>175</v>
      </c>
      <c r="I485" s="878">
        <v>44117</v>
      </c>
      <c r="J485">
        <v>4</v>
      </c>
      <c r="K485" t="s">
        <v>243</v>
      </c>
      <c r="L485">
        <v>1000042</v>
      </c>
      <c r="M485">
        <v>0.59470870278780597</v>
      </c>
      <c r="N485">
        <v>0</v>
      </c>
      <c r="O485">
        <v>0.188177234361801</v>
      </c>
      <c r="P485">
        <v>0.217114062850393</v>
      </c>
      <c r="Q485">
        <v>-0.92525341179968001</v>
      </c>
      <c r="R485">
        <v>1.0842173647483999</v>
      </c>
      <c r="S485">
        <v>2.8731704981253801E-5</v>
      </c>
      <c r="T485">
        <v>0.45483429119586999</v>
      </c>
      <c r="U485">
        <v>5.6979835104035099E-2</v>
      </c>
      <c r="V485">
        <v>-7.5717090498745504E-2</v>
      </c>
      <c r="W485">
        <v>-3.8101766705688801E-4</v>
      </c>
      <c r="X485">
        <v>0</v>
      </c>
      <c r="Y485" t="s">
        <v>175</v>
      </c>
      <c r="Z485" t="s">
        <v>175</v>
      </c>
      <c r="AA485" t="s">
        <v>175</v>
      </c>
      <c r="AB485" t="s">
        <v>175</v>
      </c>
      <c r="AC485" t="s">
        <v>175</v>
      </c>
      <c r="AD485" t="s">
        <v>175</v>
      </c>
      <c r="AE485" t="s">
        <v>175</v>
      </c>
      <c r="AF485" t="s">
        <v>175</v>
      </c>
      <c r="AG485" s="878">
        <v>44117</v>
      </c>
    </row>
    <row r="486" spans="1:33">
      <c r="A486">
        <v>5</v>
      </c>
      <c r="B486">
        <v>1000042</v>
      </c>
      <c r="C486" t="s">
        <v>242</v>
      </c>
      <c r="D486">
        <v>167</v>
      </c>
      <c r="E486">
        <v>15686848.771469999</v>
      </c>
      <c r="F486">
        <v>0</v>
      </c>
      <c r="G486" t="s">
        <v>175</v>
      </c>
      <c r="H486" t="s">
        <v>175</v>
      </c>
      <c r="I486" s="878">
        <v>44147</v>
      </c>
      <c r="J486">
        <v>5</v>
      </c>
      <c r="K486" t="s">
        <v>243</v>
      </c>
      <c r="L486">
        <v>1000042</v>
      </c>
      <c r="M486">
        <v>0.92670959736231895</v>
      </c>
      <c r="N486">
        <v>0</v>
      </c>
      <c r="O486">
        <v>0</v>
      </c>
      <c r="P486">
        <v>7.3290402637681704E-2</v>
      </c>
      <c r="Q486">
        <v>0.103660812835406</v>
      </c>
      <c r="R486">
        <v>0.54938476125132396</v>
      </c>
      <c r="S486">
        <v>-2.5531557595426801E-5</v>
      </c>
      <c r="T486">
        <v>0.182023558764109</v>
      </c>
      <c r="U486">
        <v>2.2232140457099401E-2</v>
      </c>
      <c r="V486">
        <v>6.9534375248792094E-2</v>
      </c>
      <c r="W486">
        <v>-1.00519636816303E-4</v>
      </c>
      <c r="X486">
        <v>0</v>
      </c>
      <c r="Y486" t="s">
        <v>175</v>
      </c>
      <c r="Z486" t="s">
        <v>175</v>
      </c>
      <c r="AA486" t="s">
        <v>175</v>
      </c>
      <c r="AB486" t="s">
        <v>175</v>
      </c>
      <c r="AC486" t="s">
        <v>175</v>
      </c>
      <c r="AD486" t="s">
        <v>175</v>
      </c>
      <c r="AE486" t="s">
        <v>175</v>
      </c>
      <c r="AF486" t="s">
        <v>175</v>
      </c>
      <c r="AG486" s="878">
        <v>44147</v>
      </c>
    </row>
    <row r="487" spans="1:33">
      <c r="A487">
        <v>6</v>
      </c>
      <c r="B487">
        <v>1000042</v>
      </c>
      <c r="C487" t="s">
        <v>242</v>
      </c>
      <c r="D487">
        <v>167</v>
      </c>
      <c r="E487">
        <v>0</v>
      </c>
      <c r="F487">
        <v>0</v>
      </c>
      <c r="G487" t="s">
        <v>175</v>
      </c>
      <c r="H487" t="s">
        <v>175</v>
      </c>
      <c r="I487" s="878">
        <v>44179</v>
      </c>
      <c r="J487">
        <v>6</v>
      </c>
      <c r="K487" t="s">
        <v>243</v>
      </c>
      <c r="L487">
        <v>1000042</v>
      </c>
      <c r="M487" t="s">
        <v>175</v>
      </c>
      <c r="N487">
        <v>0</v>
      </c>
      <c r="O487" t="s">
        <v>175</v>
      </c>
      <c r="P487" t="s">
        <v>175</v>
      </c>
      <c r="Q487" t="s">
        <v>175</v>
      </c>
      <c r="R487" t="s">
        <v>175</v>
      </c>
      <c r="S487" t="s">
        <v>175</v>
      </c>
      <c r="T487" t="s">
        <v>175</v>
      </c>
      <c r="U487" t="s">
        <v>175</v>
      </c>
      <c r="V487" t="s">
        <v>175</v>
      </c>
      <c r="W487" t="s">
        <v>175</v>
      </c>
      <c r="X487" t="s">
        <v>175</v>
      </c>
      <c r="Y487" t="s">
        <v>175</v>
      </c>
      <c r="Z487" t="s">
        <v>175</v>
      </c>
      <c r="AA487" t="s">
        <v>175</v>
      </c>
      <c r="AB487" t="s">
        <v>175</v>
      </c>
      <c r="AC487" t="s">
        <v>175</v>
      </c>
      <c r="AD487" t="s">
        <v>175</v>
      </c>
      <c r="AE487" t="s">
        <v>175</v>
      </c>
      <c r="AF487" t="s">
        <v>175</v>
      </c>
      <c r="AG487" s="878">
        <v>44179</v>
      </c>
    </row>
    <row r="488" spans="1:33">
      <c r="A488">
        <v>7</v>
      </c>
      <c r="B488">
        <v>1000042</v>
      </c>
      <c r="C488" t="s">
        <v>242</v>
      </c>
      <c r="D488">
        <v>167</v>
      </c>
      <c r="E488">
        <v>0</v>
      </c>
      <c r="F488">
        <v>0</v>
      </c>
      <c r="G488" t="s">
        <v>175</v>
      </c>
      <c r="H488" t="s">
        <v>175</v>
      </c>
      <c r="I488" s="878">
        <v>44193</v>
      </c>
      <c r="J488">
        <v>7</v>
      </c>
      <c r="K488" t="s">
        <v>243</v>
      </c>
      <c r="L488">
        <v>1000042</v>
      </c>
      <c r="M488" t="s">
        <v>175</v>
      </c>
      <c r="N488">
        <v>0</v>
      </c>
      <c r="O488" t="s">
        <v>175</v>
      </c>
      <c r="P488" t="s">
        <v>175</v>
      </c>
      <c r="Q488" t="s">
        <v>175</v>
      </c>
      <c r="R488" t="s">
        <v>175</v>
      </c>
      <c r="S488" t="s">
        <v>175</v>
      </c>
      <c r="T488" t="s">
        <v>175</v>
      </c>
      <c r="U488" t="s">
        <v>175</v>
      </c>
      <c r="V488" t="s">
        <v>175</v>
      </c>
      <c r="W488" t="s">
        <v>175</v>
      </c>
      <c r="X488" t="s">
        <v>175</v>
      </c>
      <c r="Y488" t="s">
        <v>175</v>
      </c>
      <c r="Z488" t="s">
        <v>175</v>
      </c>
      <c r="AA488" t="s">
        <v>175</v>
      </c>
      <c r="AB488" t="s">
        <v>175</v>
      </c>
      <c r="AC488" t="s">
        <v>175</v>
      </c>
      <c r="AD488" t="s">
        <v>175</v>
      </c>
      <c r="AE488" t="s">
        <v>175</v>
      </c>
      <c r="AF488" t="s">
        <v>175</v>
      </c>
      <c r="AG488" s="878">
        <v>44193</v>
      </c>
    </row>
    <row r="489" spans="1:33">
      <c r="A489">
        <v>8</v>
      </c>
      <c r="B489">
        <v>1000042</v>
      </c>
      <c r="C489" t="s">
        <v>242</v>
      </c>
      <c r="D489">
        <v>167</v>
      </c>
      <c r="E489">
        <v>0</v>
      </c>
      <c r="F489">
        <v>0</v>
      </c>
      <c r="G489" t="s">
        <v>175</v>
      </c>
      <c r="H489" t="s">
        <v>175</v>
      </c>
      <c r="I489" s="878">
        <v>44208</v>
      </c>
      <c r="J489">
        <v>8</v>
      </c>
      <c r="K489" t="s">
        <v>243</v>
      </c>
      <c r="L489">
        <v>1000042</v>
      </c>
      <c r="M489" t="s">
        <v>175</v>
      </c>
      <c r="N489">
        <v>0</v>
      </c>
      <c r="O489" t="s">
        <v>175</v>
      </c>
      <c r="P489" t="s">
        <v>175</v>
      </c>
      <c r="Q489" t="s">
        <v>175</v>
      </c>
      <c r="R489" t="s">
        <v>175</v>
      </c>
      <c r="S489" t="s">
        <v>175</v>
      </c>
      <c r="T489" t="s">
        <v>175</v>
      </c>
      <c r="U489" t="s">
        <v>175</v>
      </c>
      <c r="V489" t="s">
        <v>175</v>
      </c>
      <c r="W489" t="s">
        <v>175</v>
      </c>
      <c r="X489" t="s">
        <v>175</v>
      </c>
      <c r="Y489" t="s">
        <v>175</v>
      </c>
      <c r="Z489" t="s">
        <v>175</v>
      </c>
      <c r="AA489" t="s">
        <v>175</v>
      </c>
      <c r="AB489" t="s">
        <v>175</v>
      </c>
      <c r="AC489" t="s">
        <v>175</v>
      </c>
      <c r="AD489" t="s">
        <v>175</v>
      </c>
      <c r="AE489" t="s">
        <v>175</v>
      </c>
      <c r="AF489" t="s">
        <v>175</v>
      </c>
      <c r="AG489" s="878">
        <v>44208</v>
      </c>
    </row>
    <row r="490" spans="1:33">
      <c r="A490" t="s">
        <v>175</v>
      </c>
      <c r="B490" t="s">
        <v>175</v>
      </c>
      <c r="C490" t="e">
        <v>#N/A</v>
      </c>
      <c r="D490" t="e">
        <v>#N/A</v>
      </c>
      <c r="E490" t="s">
        <v>175</v>
      </c>
      <c r="F490" t="s">
        <v>175</v>
      </c>
      <c r="G490" t="s">
        <v>175</v>
      </c>
      <c r="H490" t="s">
        <v>175</v>
      </c>
      <c r="I490" t="s">
        <v>175</v>
      </c>
      <c r="J490">
        <v>1</v>
      </c>
      <c r="K490" t="s">
        <v>244</v>
      </c>
      <c r="L490">
        <v>83</v>
      </c>
      <c r="M490">
        <v>0.192354085172981</v>
      </c>
      <c r="N490">
        <v>0.67066344809699496</v>
      </c>
      <c r="O490">
        <v>0</v>
      </c>
      <c r="P490">
        <v>0.13698246673002301</v>
      </c>
      <c r="Q490">
        <v>0.190963145053827</v>
      </c>
      <c r="R490">
        <v>0</v>
      </c>
      <c r="S490">
        <v>-3.9356578169999204E-3</v>
      </c>
      <c r="T490">
        <v>1.15656158360868E-3</v>
      </c>
      <c r="U490">
        <v>1.5282505898426501E-3</v>
      </c>
      <c r="V490">
        <v>-2.4565615350068799E-2</v>
      </c>
      <c r="W490">
        <v>2.7207401112771801E-2</v>
      </c>
      <c r="X490">
        <v>0</v>
      </c>
      <c r="Y490">
        <v>0.84276788744882503</v>
      </c>
      <c r="Z490">
        <v>0</v>
      </c>
      <c r="AA490">
        <v>-1.8414614647071802E-2</v>
      </c>
      <c r="AB490">
        <v>1.9905009198080099E-2</v>
      </c>
      <c r="AC490">
        <v>2.0521655079857499E-2</v>
      </c>
      <c r="AD490">
        <v>-0.32381914544937201</v>
      </c>
      <c r="AE490">
        <v>0.129702656466677</v>
      </c>
      <c r="AF490">
        <v>0</v>
      </c>
      <c r="AG490" s="878">
        <v>44043</v>
      </c>
    </row>
    <row r="491" spans="1:33">
      <c r="A491" t="s">
        <v>175</v>
      </c>
      <c r="B491" t="s">
        <v>175</v>
      </c>
      <c r="C491" t="e">
        <v>#N/A</v>
      </c>
      <c r="D491" t="e">
        <v>#N/A</v>
      </c>
      <c r="E491" t="s">
        <v>175</v>
      </c>
      <c r="F491" t="s">
        <v>175</v>
      </c>
      <c r="G491" t="s">
        <v>175</v>
      </c>
      <c r="H491" t="s">
        <v>175</v>
      </c>
      <c r="I491" t="s">
        <v>175</v>
      </c>
      <c r="J491">
        <v>2</v>
      </c>
      <c r="K491" t="s">
        <v>244</v>
      </c>
      <c r="L491">
        <v>83</v>
      </c>
      <c r="M491">
        <v>0.485003664106544</v>
      </c>
      <c r="N491" t="s">
        <v>175</v>
      </c>
      <c r="O491">
        <v>0.51499633589345595</v>
      </c>
      <c r="P491">
        <v>0</v>
      </c>
      <c r="Q491">
        <v>-0.47096272951292301</v>
      </c>
      <c r="R491">
        <v>0</v>
      </c>
      <c r="S491">
        <v>-5.0461679651956103E-2</v>
      </c>
      <c r="T491">
        <v>1.7440299581078601E-2</v>
      </c>
      <c r="U491">
        <v>2.4596200085186801E-2</v>
      </c>
      <c r="V491">
        <v>0.532992626503907</v>
      </c>
      <c r="W491">
        <v>0.43139894710125098</v>
      </c>
      <c r="X491">
        <v>0</v>
      </c>
      <c r="Y491" t="s">
        <v>175</v>
      </c>
      <c r="Z491" t="s">
        <v>175</v>
      </c>
      <c r="AA491" t="s">
        <v>175</v>
      </c>
      <c r="AB491" t="s">
        <v>175</v>
      </c>
      <c r="AC491" t="s">
        <v>175</v>
      </c>
      <c r="AD491" t="s">
        <v>175</v>
      </c>
      <c r="AE491" t="s">
        <v>175</v>
      </c>
      <c r="AF491" t="s">
        <v>175</v>
      </c>
      <c r="AG491" s="878">
        <v>44055</v>
      </c>
    </row>
    <row r="492" spans="1:33">
      <c r="A492" t="s">
        <v>175</v>
      </c>
      <c r="B492" t="s">
        <v>175</v>
      </c>
      <c r="C492" t="e">
        <v>#N/A</v>
      </c>
      <c r="D492" t="e">
        <v>#N/A</v>
      </c>
      <c r="E492" t="s">
        <v>175</v>
      </c>
      <c r="F492" t="s">
        <v>175</v>
      </c>
      <c r="G492" t="s">
        <v>175</v>
      </c>
      <c r="H492" t="s">
        <v>175</v>
      </c>
      <c r="I492" t="s">
        <v>175</v>
      </c>
      <c r="J492">
        <v>3</v>
      </c>
      <c r="K492" t="s">
        <v>244</v>
      </c>
      <c r="L492">
        <v>83</v>
      </c>
      <c r="M492">
        <v>0</v>
      </c>
      <c r="N492" t="s">
        <v>175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 t="s">
        <v>175</v>
      </c>
      <c r="Z492" t="s">
        <v>175</v>
      </c>
      <c r="AA492" t="s">
        <v>175</v>
      </c>
      <c r="AB492" t="s">
        <v>175</v>
      </c>
      <c r="AC492" t="s">
        <v>175</v>
      </c>
      <c r="AD492" t="s">
        <v>175</v>
      </c>
      <c r="AE492" t="s">
        <v>175</v>
      </c>
      <c r="AF492" t="s">
        <v>175</v>
      </c>
      <c r="AG492" s="878">
        <v>44088</v>
      </c>
    </row>
    <row r="493" spans="1:33">
      <c r="A493" t="s">
        <v>175</v>
      </c>
      <c r="B493" t="s">
        <v>175</v>
      </c>
      <c r="C493" t="e">
        <v>#N/A</v>
      </c>
      <c r="D493" t="e">
        <v>#N/A</v>
      </c>
      <c r="E493" t="s">
        <v>175</v>
      </c>
      <c r="F493" t="s">
        <v>175</v>
      </c>
      <c r="G493" t="s">
        <v>175</v>
      </c>
      <c r="H493" t="s">
        <v>175</v>
      </c>
      <c r="I493" t="s">
        <v>175</v>
      </c>
      <c r="J493">
        <v>4</v>
      </c>
      <c r="K493" t="s">
        <v>244</v>
      </c>
      <c r="L493">
        <v>83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 t="s">
        <v>175</v>
      </c>
      <c r="Z493" t="s">
        <v>175</v>
      </c>
      <c r="AA493" t="s">
        <v>175</v>
      </c>
      <c r="AB493" t="s">
        <v>175</v>
      </c>
      <c r="AC493" t="s">
        <v>175</v>
      </c>
      <c r="AD493" t="s">
        <v>175</v>
      </c>
      <c r="AE493" t="s">
        <v>175</v>
      </c>
      <c r="AF493" t="s">
        <v>175</v>
      </c>
      <c r="AG493" s="878">
        <v>44117</v>
      </c>
    </row>
    <row r="494" spans="1:33">
      <c r="A494" t="s">
        <v>175</v>
      </c>
      <c r="B494" t="s">
        <v>175</v>
      </c>
      <c r="C494" t="e">
        <v>#N/A</v>
      </c>
      <c r="D494" t="e">
        <v>#N/A</v>
      </c>
      <c r="E494" t="s">
        <v>175</v>
      </c>
      <c r="F494" t="s">
        <v>175</v>
      </c>
      <c r="G494" t="s">
        <v>175</v>
      </c>
      <c r="H494" t="s">
        <v>175</v>
      </c>
      <c r="I494" t="s">
        <v>175</v>
      </c>
      <c r="J494">
        <v>5</v>
      </c>
      <c r="K494" t="s">
        <v>244</v>
      </c>
      <c r="L494">
        <v>83</v>
      </c>
      <c r="M494" t="s">
        <v>175</v>
      </c>
      <c r="N494" t="s">
        <v>175</v>
      </c>
      <c r="O494" t="s">
        <v>175</v>
      </c>
      <c r="P494" t="s">
        <v>175</v>
      </c>
      <c r="Q494" t="s">
        <v>175</v>
      </c>
      <c r="R494" t="s">
        <v>175</v>
      </c>
      <c r="S494" t="s">
        <v>175</v>
      </c>
      <c r="T494" t="s">
        <v>175</v>
      </c>
      <c r="U494" t="s">
        <v>175</v>
      </c>
      <c r="V494" t="s">
        <v>175</v>
      </c>
      <c r="W494" t="s">
        <v>175</v>
      </c>
      <c r="X494" t="s">
        <v>175</v>
      </c>
      <c r="Y494" t="s">
        <v>175</v>
      </c>
      <c r="Z494" t="s">
        <v>175</v>
      </c>
      <c r="AA494" t="s">
        <v>175</v>
      </c>
      <c r="AB494" t="s">
        <v>175</v>
      </c>
      <c r="AC494" t="s">
        <v>175</v>
      </c>
      <c r="AD494" t="s">
        <v>175</v>
      </c>
      <c r="AE494" t="s">
        <v>175</v>
      </c>
      <c r="AF494" t="s">
        <v>175</v>
      </c>
      <c r="AG494" s="878">
        <v>44147</v>
      </c>
    </row>
    <row r="495" spans="1:33">
      <c r="A495" t="s">
        <v>175</v>
      </c>
      <c r="B495" t="s">
        <v>175</v>
      </c>
      <c r="C495" t="e">
        <v>#N/A</v>
      </c>
      <c r="D495" t="e">
        <v>#N/A</v>
      </c>
      <c r="E495" t="s">
        <v>175</v>
      </c>
      <c r="F495" t="s">
        <v>175</v>
      </c>
      <c r="G495" t="s">
        <v>175</v>
      </c>
      <c r="H495" t="s">
        <v>175</v>
      </c>
      <c r="I495" t="s">
        <v>175</v>
      </c>
      <c r="J495">
        <v>6</v>
      </c>
      <c r="K495" t="s">
        <v>244</v>
      </c>
      <c r="L495">
        <v>83</v>
      </c>
      <c r="M495" t="s">
        <v>175</v>
      </c>
      <c r="N495" t="s">
        <v>175</v>
      </c>
      <c r="O495" t="s">
        <v>175</v>
      </c>
      <c r="P495" t="s">
        <v>175</v>
      </c>
      <c r="Q495" t="s">
        <v>175</v>
      </c>
      <c r="R495" t="s">
        <v>175</v>
      </c>
      <c r="S495" t="s">
        <v>175</v>
      </c>
      <c r="T495" t="s">
        <v>175</v>
      </c>
      <c r="U495" t="s">
        <v>175</v>
      </c>
      <c r="V495" t="s">
        <v>175</v>
      </c>
      <c r="W495" t="s">
        <v>175</v>
      </c>
      <c r="X495" t="s">
        <v>175</v>
      </c>
      <c r="Y495" t="s">
        <v>175</v>
      </c>
      <c r="Z495" t="s">
        <v>175</v>
      </c>
      <c r="AA495" t="s">
        <v>175</v>
      </c>
      <c r="AB495" t="s">
        <v>175</v>
      </c>
      <c r="AC495" t="s">
        <v>175</v>
      </c>
      <c r="AD495" t="s">
        <v>175</v>
      </c>
      <c r="AE495" t="s">
        <v>175</v>
      </c>
      <c r="AF495" t="s">
        <v>175</v>
      </c>
      <c r="AG495" s="878">
        <v>44179</v>
      </c>
    </row>
    <row r="496" spans="1:33">
      <c r="A496" t="s">
        <v>175</v>
      </c>
      <c r="B496" t="s">
        <v>175</v>
      </c>
      <c r="C496" t="e">
        <v>#N/A</v>
      </c>
      <c r="D496" t="e">
        <v>#N/A</v>
      </c>
      <c r="E496" t="s">
        <v>175</v>
      </c>
      <c r="F496" t="s">
        <v>175</v>
      </c>
      <c r="G496" t="s">
        <v>175</v>
      </c>
      <c r="H496" t="s">
        <v>175</v>
      </c>
      <c r="I496" t="s">
        <v>175</v>
      </c>
      <c r="J496">
        <v>7</v>
      </c>
      <c r="K496" t="s">
        <v>244</v>
      </c>
      <c r="L496">
        <v>83</v>
      </c>
      <c r="M496" t="s">
        <v>175</v>
      </c>
      <c r="N496" t="s">
        <v>175</v>
      </c>
      <c r="O496" t="s">
        <v>175</v>
      </c>
      <c r="P496" t="s">
        <v>175</v>
      </c>
      <c r="Q496" t="s">
        <v>175</v>
      </c>
      <c r="R496" t="s">
        <v>175</v>
      </c>
      <c r="S496" t="s">
        <v>175</v>
      </c>
      <c r="T496" t="s">
        <v>175</v>
      </c>
      <c r="U496" t="s">
        <v>175</v>
      </c>
      <c r="V496" t="s">
        <v>175</v>
      </c>
      <c r="W496" t="s">
        <v>175</v>
      </c>
      <c r="X496" t="s">
        <v>175</v>
      </c>
      <c r="Y496" t="s">
        <v>175</v>
      </c>
      <c r="Z496" t="s">
        <v>175</v>
      </c>
      <c r="AA496" t="s">
        <v>175</v>
      </c>
      <c r="AB496" t="s">
        <v>175</v>
      </c>
      <c r="AC496" t="s">
        <v>175</v>
      </c>
      <c r="AD496" t="s">
        <v>175</v>
      </c>
      <c r="AE496" t="s">
        <v>175</v>
      </c>
      <c r="AF496" t="s">
        <v>175</v>
      </c>
      <c r="AG496" s="878">
        <v>44193</v>
      </c>
    </row>
    <row r="497" spans="1:33">
      <c r="A497" t="s">
        <v>175</v>
      </c>
      <c r="B497" t="s">
        <v>175</v>
      </c>
      <c r="C497" t="e">
        <v>#N/A</v>
      </c>
      <c r="D497" t="e">
        <v>#N/A</v>
      </c>
      <c r="E497" t="s">
        <v>175</v>
      </c>
      <c r="F497" t="s">
        <v>175</v>
      </c>
      <c r="G497" t="s">
        <v>175</v>
      </c>
      <c r="H497" t="s">
        <v>175</v>
      </c>
      <c r="I497" t="s">
        <v>175</v>
      </c>
      <c r="J497">
        <v>8</v>
      </c>
      <c r="K497" t="s">
        <v>244</v>
      </c>
      <c r="L497">
        <v>83</v>
      </c>
      <c r="M497" t="s">
        <v>175</v>
      </c>
      <c r="N497" t="s">
        <v>175</v>
      </c>
      <c r="O497" t="s">
        <v>175</v>
      </c>
      <c r="P497" t="s">
        <v>175</v>
      </c>
      <c r="Q497" t="s">
        <v>175</v>
      </c>
      <c r="R497" t="s">
        <v>175</v>
      </c>
      <c r="S497" t="s">
        <v>175</v>
      </c>
      <c r="T497" t="s">
        <v>175</v>
      </c>
      <c r="U497" t="s">
        <v>175</v>
      </c>
      <c r="V497" t="s">
        <v>175</v>
      </c>
      <c r="W497" t="s">
        <v>175</v>
      </c>
      <c r="X497" t="s">
        <v>175</v>
      </c>
      <c r="Y497" t="s">
        <v>175</v>
      </c>
      <c r="Z497" t="s">
        <v>175</v>
      </c>
      <c r="AA497" t="s">
        <v>175</v>
      </c>
      <c r="AB497" t="s">
        <v>175</v>
      </c>
      <c r="AC497" t="s">
        <v>175</v>
      </c>
      <c r="AD497" t="s">
        <v>175</v>
      </c>
      <c r="AE497" t="s">
        <v>175</v>
      </c>
      <c r="AF497" t="s">
        <v>175</v>
      </c>
      <c r="AG497" s="878">
        <v>44208</v>
      </c>
    </row>
  </sheetData>
  <autoFilter ref="A1:AH497" xr:uid="{844F8760-4D77-4DBF-A815-C43DDCED0DD9}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Planilha3">
    <tabColor theme="0" tint="-0.499984740745262"/>
  </sheetPr>
  <dimension ref="A1:AJ151"/>
  <sheetViews>
    <sheetView topLeftCell="B1" zoomScale="70" zoomScaleNormal="70" workbookViewId="0">
      <selection activeCell="AB1" sqref="AB1:AE1048576"/>
    </sheetView>
  </sheetViews>
  <sheetFormatPr defaultRowHeight="15.75"/>
  <cols>
    <col min="1" max="1" width="18.5703125" bestFit="1" customWidth="1"/>
    <col min="2" max="2" width="81.140625" bestFit="1" customWidth="1"/>
    <col min="3" max="3" width="20.5703125" bestFit="1" customWidth="1"/>
    <col min="4" max="4" width="55.85546875" bestFit="1" customWidth="1"/>
    <col min="5" max="5" width="42.140625" bestFit="1" customWidth="1"/>
    <col min="6" max="6" width="8.85546875" bestFit="1" customWidth="1"/>
    <col min="7" max="7" width="32.42578125" bestFit="1" customWidth="1"/>
    <col min="8" max="8" width="12.5703125" bestFit="1" customWidth="1"/>
    <col min="9" max="9" width="11.28515625" customWidth="1"/>
    <col min="10" max="10" width="17" bestFit="1" customWidth="1"/>
    <col min="11" max="11" width="10.7109375" bestFit="1" customWidth="1"/>
    <col min="12" max="13" width="9.28515625" bestFit="1" customWidth="1"/>
    <col min="15" max="15" width="16.5703125" bestFit="1" customWidth="1"/>
    <col min="16" max="16" width="84.28515625" bestFit="1" customWidth="1"/>
    <col min="17" max="17" width="18.42578125" bestFit="1" customWidth="1"/>
    <col min="18" max="18" width="48.85546875" bestFit="1" customWidth="1"/>
    <col min="19" max="19" width="17.28515625" bestFit="1" customWidth="1"/>
    <col min="20" max="20" width="8.140625" bestFit="1" customWidth="1"/>
    <col min="21" max="21" width="31.85546875" bestFit="1" customWidth="1"/>
    <col min="22" max="22" width="12.85546875" bestFit="1" customWidth="1"/>
    <col min="23" max="23" width="22.140625" customWidth="1"/>
    <col min="24" max="24" width="18.42578125" bestFit="1" customWidth="1"/>
    <col min="25" max="25" width="48.85546875" bestFit="1" customWidth="1"/>
    <col min="26" max="26" width="17.28515625" bestFit="1" customWidth="1"/>
    <col min="28" max="28" width="18.42578125" bestFit="1" customWidth="1"/>
    <col min="29" max="29" width="48.85546875" bestFit="1" customWidth="1"/>
    <col min="30" max="30" width="17.28515625" bestFit="1" customWidth="1"/>
    <col min="31" max="31" width="31.85546875" bestFit="1" customWidth="1"/>
  </cols>
  <sheetData>
    <row r="1" spans="1:36">
      <c r="A1" t="s">
        <v>245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36</v>
      </c>
      <c r="J1" s="741" t="s">
        <v>245</v>
      </c>
      <c r="K1" s="741" t="s">
        <v>251</v>
      </c>
      <c r="L1" s="741" t="s">
        <v>250</v>
      </c>
      <c r="M1" s="741" t="s">
        <v>250</v>
      </c>
      <c r="O1" t="s">
        <v>245</v>
      </c>
      <c r="P1" t="s">
        <v>246</v>
      </c>
      <c r="Q1" t="s">
        <v>247</v>
      </c>
      <c r="R1" t="s">
        <v>248</v>
      </c>
      <c r="S1" t="s">
        <v>249</v>
      </c>
      <c r="T1" t="s">
        <v>250</v>
      </c>
      <c r="U1" t="s">
        <v>251</v>
      </c>
      <c r="V1" t="s">
        <v>36</v>
      </c>
      <c r="X1" t="s">
        <v>247</v>
      </c>
      <c r="Y1" t="s">
        <v>248</v>
      </c>
      <c r="Z1" t="s">
        <v>249</v>
      </c>
      <c r="AB1" t="s">
        <v>247</v>
      </c>
      <c r="AC1" t="s">
        <v>248</v>
      </c>
      <c r="AD1" t="s">
        <v>249</v>
      </c>
      <c r="AE1" t="s">
        <v>251</v>
      </c>
      <c r="AH1" t="s">
        <v>247</v>
      </c>
      <c r="AI1" t="s">
        <v>252</v>
      </c>
      <c r="AJ1" t="s">
        <v>253</v>
      </c>
    </row>
    <row r="2" spans="1:36">
      <c r="A2" t="s">
        <v>2292</v>
      </c>
      <c r="B2" t="s">
        <v>2293</v>
      </c>
      <c r="C2" t="s">
        <v>2294</v>
      </c>
      <c r="D2" t="s">
        <v>2295</v>
      </c>
      <c r="E2" t="s">
        <v>259</v>
      </c>
      <c r="F2">
        <v>202104</v>
      </c>
      <c r="G2" t="s">
        <v>254</v>
      </c>
      <c r="H2">
        <v>0</v>
      </c>
      <c r="J2" s="742">
        <f>CAPA!K12</f>
        <v>5382</v>
      </c>
      <c r="K2" s="742" t="s">
        <v>255</v>
      </c>
      <c r="L2" s="742" t="str">
        <f>"&gt;="&amp;K6</f>
        <v>&gt;=202107</v>
      </c>
      <c r="M2" s="742" t="str">
        <f>"&lt;="&amp;K7</f>
        <v>&lt;=202206</v>
      </c>
      <c r="O2" t="s">
        <v>2292</v>
      </c>
      <c r="P2" t="s">
        <v>2293</v>
      </c>
      <c r="Q2" t="s">
        <v>2294</v>
      </c>
      <c r="R2" t="s">
        <v>2295</v>
      </c>
      <c r="S2" t="s">
        <v>259</v>
      </c>
      <c r="T2">
        <v>202107</v>
      </c>
      <c r="U2" t="s">
        <v>256</v>
      </c>
      <c r="V2">
        <v>5037.37</v>
      </c>
      <c r="X2" t="s">
        <v>2294</v>
      </c>
      <c r="Y2" t="s">
        <v>2295</v>
      </c>
      <c r="Z2" t="s">
        <v>259</v>
      </c>
      <c r="AB2" t="s">
        <v>2294</v>
      </c>
      <c r="AC2" t="s">
        <v>2295</v>
      </c>
      <c r="AD2" t="s">
        <v>259</v>
      </c>
      <c r="AE2" t="s">
        <v>256</v>
      </c>
      <c r="AH2" t="s">
        <v>2294</v>
      </c>
      <c r="AI2">
        <f>_xlfn.MAXIFS(F:F,C:C,AH2)</f>
        <v>202206</v>
      </c>
      <c r="AJ2">
        <f>IFERROR(ROUND((DATE(ROUND($K$7/100,0),$K$7-ROUND($K$7/100,0)*100,1)-DATE(ROUND(AI2/100,0),AI2-ROUND(AI2/100,0)*100,1))/30,0),"Nada")</f>
        <v>0</v>
      </c>
    </row>
    <row r="3" spans="1:36">
      <c r="A3" t="s">
        <v>2292</v>
      </c>
      <c r="B3" t="s">
        <v>2293</v>
      </c>
      <c r="C3" t="s">
        <v>2294</v>
      </c>
      <c r="D3" t="s">
        <v>2295</v>
      </c>
      <c r="E3" t="s">
        <v>259</v>
      </c>
      <c r="F3">
        <v>202105</v>
      </c>
      <c r="G3" t="s">
        <v>254</v>
      </c>
      <c r="H3">
        <v>0</v>
      </c>
      <c r="J3" s="742">
        <f>J2</f>
        <v>5382</v>
      </c>
      <c r="K3" s="742" t="s">
        <v>257</v>
      </c>
      <c r="L3" s="742" t="str">
        <f>L2</f>
        <v>&gt;=202107</v>
      </c>
      <c r="M3" s="742" t="str">
        <f>M2</f>
        <v>&lt;=202206</v>
      </c>
      <c r="O3" t="s">
        <v>2292</v>
      </c>
      <c r="P3" t="s">
        <v>2293</v>
      </c>
      <c r="Q3" t="s">
        <v>2294</v>
      </c>
      <c r="R3" t="s">
        <v>2295</v>
      </c>
      <c r="S3" t="s">
        <v>259</v>
      </c>
      <c r="T3">
        <v>202107</v>
      </c>
      <c r="U3" t="s">
        <v>258</v>
      </c>
      <c r="V3">
        <v>5086.1099999999997</v>
      </c>
      <c r="AB3" t="s">
        <v>2294</v>
      </c>
      <c r="AC3" t="s">
        <v>2295</v>
      </c>
      <c r="AD3" t="s">
        <v>259</v>
      </c>
      <c r="AE3" t="s">
        <v>258</v>
      </c>
      <c r="AI3">
        <f t="shared" ref="AI3:AI8" si="0">_xlfn.MAXIFS(F:F,C:C,AH3)</f>
        <v>0</v>
      </c>
      <c r="AJ3" t="str">
        <f>IFERROR(ROUND((DATE(ROUND($K$7/100,0),$K$7-ROUND($K$7/100,0)*100,1)-DATE(ROUND(AI3/100,0),AI3-ROUND(AI3/100,0)*100,1))/30,0),"Nada")</f>
        <v>Nada</v>
      </c>
    </row>
    <row r="4" spans="1:36">
      <c r="A4" t="s">
        <v>2292</v>
      </c>
      <c r="B4" t="s">
        <v>2293</v>
      </c>
      <c r="C4" t="s">
        <v>2294</v>
      </c>
      <c r="D4" t="s">
        <v>2295</v>
      </c>
      <c r="E4" t="s">
        <v>259</v>
      </c>
      <c r="F4">
        <v>202106</v>
      </c>
      <c r="G4" t="s">
        <v>254</v>
      </c>
      <c r="H4">
        <v>0</v>
      </c>
      <c r="J4" s="744">
        <f>J3</f>
        <v>5382</v>
      </c>
      <c r="K4" s="742" t="s">
        <v>260</v>
      </c>
      <c r="L4" s="743" t="str">
        <f>L2</f>
        <v>&gt;=202107</v>
      </c>
      <c r="M4" s="743" t="str">
        <f>M2</f>
        <v>&lt;=202206</v>
      </c>
      <c r="O4" t="s">
        <v>2292</v>
      </c>
      <c r="P4" t="s">
        <v>2293</v>
      </c>
      <c r="Q4" t="s">
        <v>2294</v>
      </c>
      <c r="R4" t="s">
        <v>2295</v>
      </c>
      <c r="S4" t="s">
        <v>259</v>
      </c>
      <c r="T4">
        <v>202108</v>
      </c>
      <c r="U4" t="s">
        <v>256</v>
      </c>
      <c r="V4">
        <v>5068.57</v>
      </c>
      <c r="AB4" t="s">
        <v>2294</v>
      </c>
      <c r="AC4" t="s">
        <v>2295</v>
      </c>
      <c r="AD4" t="s">
        <v>259</v>
      </c>
      <c r="AE4" t="s">
        <v>264</v>
      </c>
      <c r="AI4">
        <f t="shared" si="0"/>
        <v>0</v>
      </c>
      <c r="AJ4" t="str">
        <f t="shared" ref="AJ4:AJ8" si="1">IFERROR(ROUND((DATE(ROUND($K$7/100,0),$K$7-ROUND($K$7/100,0)*100,1)-DATE(ROUND(AI4/100,0),AI4-ROUND(AI4/100,0)*100,1))/30,0),"Nada")</f>
        <v>Nada</v>
      </c>
    </row>
    <row r="5" spans="1:36">
      <c r="A5" t="s">
        <v>2292</v>
      </c>
      <c r="B5" t="s">
        <v>2293</v>
      </c>
      <c r="C5" t="s">
        <v>2294</v>
      </c>
      <c r="D5" t="s">
        <v>2295</v>
      </c>
      <c r="E5" t="s">
        <v>259</v>
      </c>
      <c r="F5">
        <v>202107</v>
      </c>
      <c r="G5" t="s">
        <v>254</v>
      </c>
      <c r="H5">
        <v>0</v>
      </c>
      <c r="J5" s="744">
        <f>J4</f>
        <v>5382</v>
      </c>
      <c r="K5" s="977" t="s">
        <v>261</v>
      </c>
      <c r="L5" s="743" t="str">
        <f>L3</f>
        <v>&gt;=202107</v>
      </c>
      <c r="M5" s="743" t="str">
        <f>M3</f>
        <v>&lt;=202206</v>
      </c>
      <c r="O5" t="s">
        <v>2292</v>
      </c>
      <c r="P5" t="s">
        <v>2293</v>
      </c>
      <c r="Q5" t="s">
        <v>2294</v>
      </c>
      <c r="R5" t="s">
        <v>2295</v>
      </c>
      <c r="S5" t="s">
        <v>259</v>
      </c>
      <c r="T5">
        <v>202108</v>
      </c>
      <c r="U5" t="s">
        <v>258</v>
      </c>
      <c r="V5">
        <v>5027.87</v>
      </c>
      <c r="AB5" t="s">
        <v>2294</v>
      </c>
      <c r="AC5" t="s">
        <v>2295</v>
      </c>
      <c r="AD5" t="s">
        <v>259</v>
      </c>
      <c r="AE5" t="s">
        <v>265</v>
      </c>
      <c r="AI5">
        <f t="shared" si="0"/>
        <v>0</v>
      </c>
      <c r="AJ5" t="str">
        <f t="shared" si="1"/>
        <v>Nada</v>
      </c>
    </row>
    <row r="6" spans="1:36">
      <c r="A6" t="s">
        <v>2292</v>
      </c>
      <c r="B6" t="s">
        <v>2293</v>
      </c>
      <c r="C6" t="s">
        <v>2294</v>
      </c>
      <c r="D6" t="s">
        <v>2295</v>
      </c>
      <c r="E6" t="s">
        <v>259</v>
      </c>
      <c r="F6">
        <v>202108</v>
      </c>
      <c r="G6" t="s">
        <v>254</v>
      </c>
      <c r="H6">
        <v>0</v>
      </c>
      <c r="J6" t="s">
        <v>262</v>
      </c>
      <c r="K6">
        <f>(YEAR(SAS_RA0_DataInicio)*100+MONTH(SAS_RA0_DataInicio))</f>
        <v>202107</v>
      </c>
      <c r="O6" t="s">
        <v>2292</v>
      </c>
      <c r="P6" t="s">
        <v>2293</v>
      </c>
      <c r="Q6" t="s">
        <v>2294</v>
      </c>
      <c r="R6" t="s">
        <v>2295</v>
      </c>
      <c r="S6" t="s">
        <v>259</v>
      </c>
      <c r="T6">
        <v>202109</v>
      </c>
      <c r="U6" t="s">
        <v>256</v>
      </c>
      <c r="V6">
        <v>5012.03</v>
      </c>
      <c r="AB6" t="s">
        <v>2294</v>
      </c>
      <c r="AC6" t="s">
        <v>2295</v>
      </c>
      <c r="AD6" t="s">
        <v>259</v>
      </c>
      <c r="AE6" t="s">
        <v>266</v>
      </c>
      <c r="AI6">
        <f t="shared" si="0"/>
        <v>0</v>
      </c>
      <c r="AJ6" t="str">
        <f t="shared" si="1"/>
        <v>Nada</v>
      </c>
    </row>
    <row r="7" spans="1:36">
      <c r="A7" t="s">
        <v>2292</v>
      </c>
      <c r="B7" t="s">
        <v>2293</v>
      </c>
      <c r="C7" t="s">
        <v>2294</v>
      </c>
      <c r="D7" t="s">
        <v>2295</v>
      </c>
      <c r="E7" t="s">
        <v>259</v>
      </c>
      <c r="F7">
        <v>202109</v>
      </c>
      <c r="G7" t="s">
        <v>254</v>
      </c>
      <c r="H7">
        <v>0</v>
      </c>
      <c r="J7" t="s">
        <v>263</v>
      </c>
      <c r="K7">
        <f>YEAR(SAS_RA0_DataFim)*100+MONTH(SAS_RA0_DataFim)</f>
        <v>202206</v>
      </c>
      <c r="O7" t="s">
        <v>2292</v>
      </c>
      <c r="P7" t="s">
        <v>2293</v>
      </c>
      <c r="Q7" t="s">
        <v>2294</v>
      </c>
      <c r="R7" t="s">
        <v>2295</v>
      </c>
      <c r="S7" t="s">
        <v>259</v>
      </c>
      <c r="T7">
        <v>202109</v>
      </c>
      <c r="U7" t="s">
        <v>258</v>
      </c>
      <c r="V7">
        <v>5231.91</v>
      </c>
      <c r="AI7">
        <f t="shared" si="0"/>
        <v>0</v>
      </c>
      <c r="AJ7" t="str">
        <f t="shared" si="1"/>
        <v>Nada</v>
      </c>
    </row>
    <row r="8" spans="1:36">
      <c r="A8" t="s">
        <v>2292</v>
      </c>
      <c r="B8" t="s">
        <v>2293</v>
      </c>
      <c r="C8" t="s">
        <v>2294</v>
      </c>
      <c r="D8" t="s">
        <v>2295</v>
      </c>
      <c r="E8" t="s">
        <v>259</v>
      </c>
      <c r="F8">
        <v>202110</v>
      </c>
      <c r="G8" t="s">
        <v>254</v>
      </c>
      <c r="H8">
        <v>0</v>
      </c>
      <c r="J8" t="s">
        <v>252</v>
      </c>
      <c r="K8" s="657">
        <f>MAX(AI:AI)</f>
        <v>202206</v>
      </c>
      <c r="O8" t="s">
        <v>2292</v>
      </c>
      <c r="P8" t="s">
        <v>2293</v>
      </c>
      <c r="Q8" t="s">
        <v>2294</v>
      </c>
      <c r="R8" t="s">
        <v>2295</v>
      </c>
      <c r="S8" t="s">
        <v>259</v>
      </c>
      <c r="T8">
        <v>202110</v>
      </c>
      <c r="U8" t="s">
        <v>256</v>
      </c>
      <c r="V8">
        <v>5033.45</v>
      </c>
      <c r="AI8">
        <f t="shared" si="0"/>
        <v>0</v>
      </c>
      <c r="AJ8" t="str">
        <f t="shared" si="1"/>
        <v>Nada</v>
      </c>
    </row>
    <row r="9" spans="1:36">
      <c r="A9" t="s">
        <v>2292</v>
      </c>
      <c r="B9" t="s">
        <v>2293</v>
      </c>
      <c r="C9" t="s">
        <v>2294</v>
      </c>
      <c r="D9" t="s">
        <v>2295</v>
      </c>
      <c r="E9" t="s">
        <v>259</v>
      </c>
      <c r="F9">
        <v>202111</v>
      </c>
      <c r="G9" t="s">
        <v>254</v>
      </c>
      <c r="H9">
        <v>0</v>
      </c>
      <c r="J9" t="s">
        <v>253</v>
      </c>
      <c r="K9" s="657">
        <f>MAX(AJ:AJ)</f>
        <v>0</v>
      </c>
      <c r="O9" t="s">
        <v>2292</v>
      </c>
      <c r="P9" t="s">
        <v>2293</v>
      </c>
      <c r="Q9" t="s">
        <v>2294</v>
      </c>
      <c r="R9" t="s">
        <v>2295</v>
      </c>
      <c r="S9" t="s">
        <v>259</v>
      </c>
      <c r="T9">
        <v>202110</v>
      </c>
      <c r="U9" t="s">
        <v>258</v>
      </c>
      <c r="V9">
        <v>5006.6000000000004</v>
      </c>
    </row>
    <row r="10" spans="1:36">
      <c r="A10" t="s">
        <v>2292</v>
      </c>
      <c r="B10" t="s">
        <v>2293</v>
      </c>
      <c r="C10" t="s">
        <v>2294</v>
      </c>
      <c r="D10" t="s">
        <v>2295</v>
      </c>
      <c r="E10" t="s">
        <v>259</v>
      </c>
      <c r="F10">
        <v>202112</v>
      </c>
      <c r="G10" t="s">
        <v>254</v>
      </c>
      <c r="H10">
        <v>0</v>
      </c>
      <c r="O10" t="s">
        <v>2292</v>
      </c>
      <c r="P10" t="s">
        <v>2293</v>
      </c>
      <c r="Q10" t="s">
        <v>2294</v>
      </c>
      <c r="R10" t="s">
        <v>2295</v>
      </c>
      <c r="S10" t="s">
        <v>259</v>
      </c>
      <c r="T10">
        <v>202111</v>
      </c>
      <c r="U10" t="s">
        <v>256</v>
      </c>
      <c r="V10">
        <v>5000.04</v>
      </c>
    </row>
    <row r="11" spans="1:36">
      <c r="A11" t="s">
        <v>2292</v>
      </c>
      <c r="B11" t="s">
        <v>2293</v>
      </c>
      <c r="C11" t="s">
        <v>2294</v>
      </c>
      <c r="D11" t="s">
        <v>2295</v>
      </c>
      <c r="E11" t="s">
        <v>259</v>
      </c>
      <c r="F11">
        <v>202201</v>
      </c>
      <c r="G11" t="s">
        <v>254</v>
      </c>
      <c r="H11">
        <v>0</v>
      </c>
      <c r="J11" s="807">
        <f>VALUE(A2)</f>
        <v>5382</v>
      </c>
      <c r="O11" t="s">
        <v>2292</v>
      </c>
      <c r="P11" t="s">
        <v>2293</v>
      </c>
      <c r="Q11" t="s">
        <v>2294</v>
      </c>
      <c r="R11" t="s">
        <v>2295</v>
      </c>
      <c r="S11" t="s">
        <v>259</v>
      </c>
      <c r="T11">
        <v>202111</v>
      </c>
      <c r="U11" t="s">
        <v>258</v>
      </c>
      <c r="V11">
        <v>5002.42</v>
      </c>
    </row>
    <row r="12" spans="1:36">
      <c r="A12" t="s">
        <v>2292</v>
      </c>
      <c r="B12" t="s">
        <v>2293</v>
      </c>
      <c r="C12" t="s">
        <v>2294</v>
      </c>
      <c r="D12" t="s">
        <v>2295</v>
      </c>
      <c r="E12" t="s">
        <v>259</v>
      </c>
      <c r="F12">
        <v>202202</v>
      </c>
      <c r="G12" t="s">
        <v>254</v>
      </c>
      <c r="H12">
        <v>0</v>
      </c>
      <c r="K12" s="8"/>
      <c r="O12" t="s">
        <v>2292</v>
      </c>
      <c r="P12" t="s">
        <v>2293</v>
      </c>
      <c r="Q12" t="s">
        <v>2294</v>
      </c>
      <c r="R12" t="s">
        <v>2295</v>
      </c>
      <c r="S12" t="s">
        <v>259</v>
      </c>
      <c r="T12">
        <v>202112</v>
      </c>
      <c r="U12" t="s">
        <v>256</v>
      </c>
      <c r="V12">
        <v>5007.3500000000004</v>
      </c>
    </row>
    <row r="13" spans="1:36">
      <c r="A13" t="s">
        <v>2292</v>
      </c>
      <c r="B13" t="s">
        <v>2293</v>
      </c>
      <c r="C13" t="s">
        <v>2294</v>
      </c>
      <c r="D13" t="s">
        <v>2295</v>
      </c>
      <c r="E13" t="s">
        <v>259</v>
      </c>
      <c r="F13">
        <v>202203</v>
      </c>
      <c r="G13" t="s">
        <v>254</v>
      </c>
      <c r="H13">
        <v>0</v>
      </c>
      <c r="O13" t="s">
        <v>2292</v>
      </c>
      <c r="P13" t="s">
        <v>2293</v>
      </c>
      <c r="Q13" t="s">
        <v>2294</v>
      </c>
      <c r="R13" t="s">
        <v>2295</v>
      </c>
      <c r="S13" t="s">
        <v>259</v>
      </c>
      <c r="T13">
        <v>202112</v>
      </c>
      <c r="U13" t="s">
        <v>258</v>
      </c>
      <c r="V13">
        <v>5237.4399999999996</v>
      </c>
    </row>
    <row r="14" spans="1:36">
      <c r="A14" t="s">
        <v>2292</v>
      </c>
      <c r="B14" t="s">
        <v>2293</v>
      </c>
      <c r="C14" t="s">
        <v>2294</v>
      </c>
      <c r="D14" t="s">
        <v>2295</v>
      </c>
      <c r="E14" t="s">
        <v>259</v>
      </c>
      <c r="F14">
        <v>202204</v>
      </c>
      <c r="G14" t="s">
        <v>254</v>
      </c>
      <c r="H14">
        <v>0</v>
      </c>
      <c r="O14" t="s">
        <v>2292</v>
      </c>
      <c r="P14" t="s">
        <v>2293</v>
      </c>
      <c r="Q14" t="s">
        <v>2294</v>
      </c>
      <c r="R14" t="s">
        <v>2295</v>
      </c>
      <c r="S14" t="s">
        <v>259</v>
      </c>
      <c r="T14">
        <v>202201</v>
      </c>
      <c r="U14" t="s">
        <v>256</v>
      </c>
      <c r="V14">
        <v>5053.95</v>
      </c>
    </row>
    <row r="15" spans="1:36">
      <c r="A15" t="s">
        <v>2292</v>
      </c>
      <c r="B15" t="s">
        <v>2293</v>
      </c>
      <c r="C15" t="s">
        <v>2294</v>
      </c>
      <c r="D15" t="s">
        <v>2295</v>
      </c>
      <c r="E15" t="s">
        <v>259</v>
      </c>
      <c r="F15">
        <v>202205</v>
      </c>
      <c r="G15" t="s">
        <v>254</v>
      </c>
      <c r="H15">
        <v>0</v>
      </c>
      <c r="O15" t="s">
        <v>2292</v>
      </c>
      <c r="P15" t="s">
        <v>2293</v>
      </c>
      <c r="Q15" t="s">
        <v>2294</v>
      </c>
      <c r="R15" t="s">
        <v>2295</v>
      </c>
      <c r="S15" t="s">
        <v>259</v>
      </c>
      <c r="T15">
        <v>202201</v>
      </c>
      <c r="U15" t="s">
        <v>258</v>
      </c>
      <c r="V15">
        <v>5233.21</v>
      </c>
    </row>
    <row r="16" spans="1:36">
      <c r="A16" t="s">
        <v>2292</v>
      </c>
      <c r="B16" t="s">
        <v>2293</v>
      </c>
      <c r="C16" t="s">
        <v>2294</v>
      </c>
      <c r="D16" t="s">
        <v>2295</v>
      </c>
      <c r="E16" t="s">
        <v>259</v>
      </c>
      <c r="F16">
        <v>202206</v>
      </c>
      <c r="G16" t="s">
        <v>254</v>
      </c>
      <c r="H16">
        <v>0</v>
      </c>
      <c r="O16" t="s">
        <v>2292</v>
      </c>
      <c r="P16" t="s">
        <v>2293</v>
      </c>
      <c r="Q16" t="s">
        <v>2294</v>
      </c>
      <c r="R16" t="s">
        <v>2295</v>
      </c>
      <c r="S16" t="s">
        <v>259</v>
      </c>
      <c r="T16">
        <v>202202</v>
      </c>
      <c r="U16" t="s">
        <v>256</v>
      </c>
      <c r="V16">
        <v>5023.4799999999996</v>
      </c>
    </row>
    <row r="17" spans="1:22">
      <c r="A17" t="s">
        <v>2292</v>
      </c>
      <c r="B17" t="s">
        <v>2293</v>
      </c>
      <c r="C17" t="s">
        <v>2294</v>
      </c>
      <c r="D17" t="s">
        <v>2295</v>
      </c>
      <c r="E17" t="s">
        <v>259</v>
      </c>
      <c r="F17">
        <v>202104</v>
      </c>
      <c r="G17" t="s">
        <v>267</v>
      </c>
      <c r="H17">
        <v>12656.41</v>
      </c>
      <c r="O17" t="s">
        <v>2292</v>
      </c>
      <c r="P17" t="s">
        <v>2293</v>
      </c>
      <c r="Q17" t="s">
        <v>2294</v>
      </c>
      <c r="R17" t="s">
        <v>2295</v>
      </c>
      <c r="S17" t="s">
        <v>259</v>
      </c>
      <c r="T17">
        <v>202202</v>
      </c>
      <c r="U17" t="s">
        <v>258</v>
      </c>
      <c r="V17">
        <v>5010.34</v>
      </c>
    </row>
    <row r="18" spans="1:22">
      <c r="A18" t="s">
        <v>2292</v>
      </c>
      <c r="B18" t="s">
        <v>2293</v>
      </c>
      <c r="C18" t="s">
        <v>2294</v>
      </c>
      <c r="D18" t="s">
        <v>2295</v>
      </c>
      <c r="E18" t="s">
        <v>259</v>
      </c>
      <c r="F18">
        <v>202105</v>
      </c>
      <c r="G18" t="s">
        <v>267</v>
      </c>
      <c r="H18">
        <v>16852.21</v>
      </c>
      <c r="O18" t="s">
        <v>2292</v>
      </c>
      <c r="P18" t="s">
        <v>2293</v>
      </c>
      <c r="Q18" t="s">
        <v>2294</v>
      </c>
      <c r="R18" t="s">
        <v>2295</v>
      </c>
      <c r="S18" t="s">
        <v>259</v>
      </c>
      <c r="T18">
        <v>202203</v>
      </c>
      <c r="U18" t="s">
        <v>256</v>
      </c>
      <c r="V18">
        <v>5187.1899999999996</v>
      </c>
    </row>
    <row r="19" spans="1:22">
      <c r="A19" t="s">
        <v>2292</v>
      </c>
      <c r="B19" t="s">
        <v>2293</v>
      </c>
      <c r="C19" t="s">
        <v>2294</v>
      </c>
      <c r="D19" t="s">
        <v>2295</v>
      </c>
      <c r="E19" t="s">
        <v>259</v>
      </c>
      <c r="F19">
        <v>202106</v>
      </c>
      <c r="G19" t="s">
        <v>267</v>
      </c>
      <c r="H19">
        <v>10926.55</v>
      </c>
      <c r="O19" t="s">
        <v>2292</v>
      </c>
      <c r="P19" t="s">
        <v>2293</v>
      </c>
      <c r="Q19" t="s">
        <v>2294</v>
      </c>
      <c r="R19" t="s">
        <v>2295</v>
      </c>
      <c r="S19" t="s">
        <v>259</v>
      </c>
      <c r="T19">
        <v>202203</v>
      </c>
      <c r="U19" t="s">
        <v>258</v>
      </c>
      <c r="V19">
        <v>5000</v>
      </c>
    </row>
    <row r="20" spans="1:22">
      <c r="A20" t="s">
        <v>2292</v>
      </c>
      <c r="B20" t="s">
        <v>2293</v>
      </c>
      <c r="C20" t="s">
        <v>2294</v>
      </c>
      <c r="D20" t="s">
        <v>2295</v>
      </c>
      <c r="E20" t="s">
        <v>259</v>
      </c>
      <c r="F20">
        <v>202107</v>
      </c>
      <c r="G20" t="s">
        <v>267</v>
      </c>
      <c r="H20">
        <v>11928.2</v>
      </c>
      <c r="O20" t="s">
        <v>2292</v>
      </c>
      <c r="P20" t="s">
        <v>2293</v>
      </c>
      <c r="Q20" t="s">
        <v>2294</v>
      </c>
      <c r="R20" t="s">
        <v>2295</v>
      </c>
      <c r="S20" t="s">
        <v>259</v>
      </c>
      <c r="T20">
        <v>202204</v>
      </c>
      <c r="U20" t="s">
        <v>256</v>
      </c>
      <c r="V20">
        <v>5201.2</v>
      </c>
    </row>
    <row r="21" spans="1:22">
      <c r="A21" t="s">
        <v>2292</v>
      </c>
      <c r="B21" t="s">
        <v>2293</v>
      </c>
      <c r="C21" t="s">
        <v>2294</v>
      </c>
      <c r="D21" t="s">
        <v>2295</v>
      </c>
      <c r="E21" t="s">
        <v>259</v>
      </c>
      <c r="F21">
        <v>202108</v>
      </c>
      <c r="G21" t="s">
        <v>267</v>
      </c>
      <c r="H21">
        <v>7627.94</v>
      </c>
      <c r="O21" t="s">
        <v>2292</v>
      </c>
      <c r="P21" t="s">
        <v>2293</v>
      </c>
      <c r="Q21" t="s">
        <v>2294</v>
      </c>
      <c r="R21" t="s">
        <v>2295</v>
      </c>
      <c r="S21" t="s">
        <v>259</v>
      </c>
      <c r="T21">
        <v>202204</v>
      </c>
      <c r="U21" t="s">
        <v>258</v>
      </c>
      <c r="V21">
        <v>5121.1499999999996</v>
      </c>
    </row>
    <row r="22" spans="1:22">
      <c r="A22" t="s">
        <v>2292</v>
      </c>
      <c r="B22" t="s">
        <v>2293</v>
      </c>
      <c r="C22" t="s">
        <v>2294</v>
      </c>
      <c r="D22" t="s">
        <v>2295</v>
      </c>
      <c r="E22" t="s">
        <v>259</v>
      </c>
      <c r="F22">
        <v>202109</v>
      </c>
      <c r="G22" t="s">
        <v>267</v>
      </c>
      <c r="H22">
        <v>13874.88</v>
      </c>
      <c r="O22" t="s">
        <v>2292</v>
      </c>
      <c r="P22" t="s">
        <v>2293</v>
      </c>
      <c r="Q22" t="s">
        <v>2294</v>
      </c>
      <c r="R22" t="s">
        <v>2295</v>
      </c>
      <c r="S22" t="s">
        <v>259</v>
      </c>
      <c r="T22">
        <v>202205</v>
      </c>
      <c r="U22" t="s">
        <v>256</v>
      </c>
      <c r="V22">
        <v>5146.38</v>
      </c>
    </row>
    <row r="23" spans="1:22">
      <c r="A23" t="s">
        <v>2292</v>
      </c>
      <c r="B23" t="s">
        <v>2293</v>
      </c>
      <c r="C23" t="s">
        <v>2294</v>
      </c>
      <c r="D23" t="s">
        <v>2295</v>
      </c>
      <c r="E23" t="s">
        <v>259</v>
      </c>
      <c r="F23">
        <v>202110</v>
      </c>
      <c r="G23" t="s">
        <v>267</v>
      </c>
      <c r="H23">
        <v>14736.57</v>
      </c>
      <c r="O23" t="s">
        <v>2292</v>
      </c>
      <c r="P23" t="s">
        <v>2293</v>
      </c>
      <c r="Q23" t="s">
        <v>2294</v>
      </c>
      <c r="R23" t="s">
        <v>2295</v>
      </c>
      <c r="S23" t="s">
        <v>259</v>
      </c>
      <c r="T23">
        <v>202205</v>
      </c>
      <c r="U23" t="s">
        <v>258</v>
      </c>
      <c r="V23">
        <v>5069.74</v>
      </c>
    </row>
    <row r="24" spans="1:22">
      <c r="A24" t="s">
        <v>2292</v>
      </c>
      <c r="B24" t="s">
        <v>2293</v>
      </c>
      <c r="C24" t="s">
        <v>2294</v>
      </c>
      <c r="D24" t="s">
        <v>2295</v>
      </c>
      <c r="E24" t="s">
        <v>259</v>
      </c>
      <c r="F24">
        <v>202111</v>
      </c>
      <c r="G24" t="s">
        <v>267</v>
      </c>
      <c r="H24">
        <v>14818.48</v>
      </c>
      <c r="O24" t="s">
        <v>2292</v>
      </c>
      <c r="P24" t="s">
        <v>2293</v>
      </c>
      <c r="Q24" t="s">
        <v>2294</v>
      </c>
      <c r="R24" t="s">
        <v>2295</v>
      </c>
      <c r="S24" t="s">
        <v>259</v>
      </c>
      <c r="T24">
        <v>202206</v>
      </c>
      <c r="U24" t="s">
        <v>256</v>
      </c>
      <c r="V24">
        <v>5080.24</v>
      </c>
    </row>
    <row r="25" spans="1:22">
      <c r="A25" t="s">
        <v>2292</v>
      </c>
      <c r="B25" t="s">
        <v>2293</v>
      </c>
      <c r="C25" t="s">
        <v>2294</v>
      </c>
      <c r="D25" t="s">
        <v>2295</v>
      </c>
      <c r="E25" t="s">
        <v>259</v>
      </c>
      <c r="F25">
        <v>202112</v>
      </c>
      <c r="G25" t="s">
        <v>267</v>
      </c>
      <c r="H25">
        <v>14864.95</v>
      </c>
      <c r="O25" t="s">
        <v>2292</v>
      </c>
      <c r="P25" t="s">
        <v>2293</v>
      </c>
      <c r="Q25" t="s">
        <v>2294</v>
      </c>
      <c r="R25" t="s">
        <v>2295</v>
      </c>
      <c r="S25" t="s">
        <v>259</v>
      </c>
      <c r="T25">
        <v>202206</v>
      </c>
      <c r="U25" t="s">
        <v>258</v>
      </c>
      <c r="V25">
        <v>5000</v>
      </c>
    </row>
    <row r="26" spans="1:22">
      <c r="A26" t="s">
        <v>2292</v>
      </c>
      <c r="B26" t="s">
        <v>2293</v>
      </c>
      <c r="C26" t="s">
        <v>2294</v>
      </c>
      <c r="D26" t="s">
        <v>2295</v>
      </c>
      <c r="E26" t="s">
        <v>259</v>
      </c>
      <c r="F26">
        <v>202201</v>
      </c>
      <c r="G26" t="s">
        <v>267</v>
      </c>
      <c r="H26">
        <v>14637.61</v>
      </c>
      <c r="O26" t="s">
        <v>2292</v>
      </c>
      <c r="P26" t="s">
        <v>2293</v>
      </c>
      <c r="Q26" t="s">
        <v>2294</v>
      </c>
      <c r="R26" t="s">
        <v>2295</v>
      </c>
      <c r="S26" t="s">
        <v>259</v>
      </c>
      <c r="T26">
        <v>202107</v>
      </c>
      <c r="U26" t="s">
        <v>268</v>
      </c>
      <c r="V26">
        <v>0</v>
      </c>
    </row>
    <row r="27" spans="1:22">
      <c r="A27" t="s">
        <v>2292</v>
      </c>
      <c r="B27" t="s">
        <v>2293</v>
      </c>
      <c r="C27" t="s">
        <v>2294</v>
      </c>
      <c r="D27" t="s">
        <v>2295</v>
      </c>
      <c r="E27" t="s">
        <v>259</v>
      </c>
      <c r="F27">
        <v>202202</v>
      </c>
      <c r="G27" t="s">
        <v>267</v>
      </c>
      <c r="H27">
        <v>16423.16</v>
      </c>
      <c r="O27" t="s">
        <v>2292</v>
      </c>
      <c r="P27" t="s">
        <v>2293</v>
      </c>
      <c r="Q27" t="s">
        <v>2294</v>
      </c>
      <c r="R27" t="s">
        <v>2295</v>
      </c>
      <c r="S27" t="s">
        <v>259</v>
      </c>
      <c r="T27">
        <v>202107</v>
      </c>
      <c r="U27" t="s">
        <v>269</v>
      </c>
      <c r="V27">
        <v>1593483</v>
      </c>
    </row>
    <row r="28" spans="1:22">
      <c r="A28" t="s">
        <v>2292</v>
      </c>
      <c r="B28" t="s">
        <v>2293</v>
      </c>
      <c r="C28" t="s">
        <v>2294</v>
      </c>
      <c r="D28" t="s">
        <v>2295</v>
      </c>
      <c r="E28" t="s">
        <v>259</v>
      </c>
      <c r="F28">
        <v>202203</v>
      </c>
      <c r="G28" t="s">
        <v>267</v>
      </c>
      <c r="H28">
        <v>21485.11</v>
      </c>
      <c r="O28" t="s">
        <v>2292</v>
      </c>
      <c r="P28" t="s">
        <v>2293</v>
      </c>
      <c r="Q28" t="s">
        <v>2294</v>
      </c>
      <c r="R28" t="s">
        <v>2295</v>
      </c>
      <c r="S28" t="s">
        <v>259</v>
      </c>
      <c r="T28">
        <v>202107</v>
      </c>
      <c r="U28" t="s">
        <v>264</v>
      </c>
      <c r="V28">
        <v>0</v>
      </c>
    </row>
    <row r="29" spans="1:22">
      <c r="A29" t="s">
        <v>2292</v>
      </c>
      <c r="B29" t="s">
        <v>2293</v>
      </c>
      <c r="C29" t="s">
        <v>2294</v>
      </c>
      <c r="D29" t="s">
        <v>2295</v>
      </c>
      <c r="E29" t="s">
        <v>259</v>
      </c>
      <c r="F29">
        <v>202204</v>
      </c>
      <c r="G29" t="s">
        <v>267</v>
      </c>
      <c r="H29">
        <v>24232.34</v>
      </c>
      <c r="O29" t="s">
        <v>2292</v>
      </c>
      <c r="P29" t="s">
        <v>2293</v>
      </c>
      <c r="Q29" t="s">
        <v>2294</v>
      </c>
      <c r="R29" t="s">
        <v>2295</v>
      </c>
      <c r="S29" t="s">
        <v>259</v>
      </c>
      <c r="T29">
        <v>202107</v>
      </c>
      <c r="U29" t="s">
        <v>265</v>
      </c>
      <c r="V29">
        <v>1619698</v>
      </c>
    </row>
    <row r="30" spans="1:22">
      <c r="A30" t="s">
        <v>2292</v>
      </c>
      <c r="B30" t="s">
        <v>2293</v>
      </c>
      <c r="C30" t="s">
        <v>2294</v>
      </c>
      <c r="D30" t="s">
        <v>2295</v>
      </c>
      <c r="E30" t="s">
        <v>259</v>
      </c>
      <c r="F30">
        <v>202205</v>
      </c>
      <c r="G30" t="s">
        <v>267</v>
      </c>
      <c r="H30">
        <v>18102.25</v>
      </c>
      <c r="O30" t="s">
        <v>2292</v>
      </c>
      <c r="P30" t="s">
        <v>2293</v>
      </c>
      <c r="Q30" t="s">
        <v>2294</v>
      </c>
      <c r="R30" t="s">
        <v>2295</v>
      </c>
      <c r="S30" t="s">
        <v>259</v>
      </c>
      <c r="T30">
        <v>202107</v>
      </c>
      <c r="U30" t="s">
        <v>266</v>
      </c>
      <c r="V30">
        <v>26215</v>
      </c>
    </row>
    <row r="31" spans="1:22">
      <c r="A31" t="s">
        <v>2292</v>
      </c>
      <c r="B31" t="s">
        <v>2293</v>
      </c>
      <c r="C31" t="s">
        <v>2294</v>
      </c>
      <c r="D31" t="s">
        <v>2295</v>
      </c>
      <c r="E31" t="s">
        <v>259</v>
      </c>
      <c r="F31">
        <v>202206</v>
      </c>
      <c r="G31" t="s">
        <v>267</v>
      </c>
      <c r="H31">
        <v>17440.98</v>
      </c>
      <c r="O31" t="s">
        <v>2292</v>
      </c>
      <c r="P31" t="s">
        <v>2293</v>
      </c>
      <c r="Q31" t="s">
        <v>2294</v>
      </c>
      <c r="R31" t="s">
        <v>2295</v>
      </c>
      <c r="S31" t="s">
        <v>259</v>
      </c>
      <c r="T31">
        <v>202108</v>
      </c>
      <c r="U31" t="s">
        <v>268</v>
      </c>
      <c r="V31">
        <v>0</v>
      </c>
    </row>
    <row r="32" spans="1:22">
      <c r="A32" t="s">
        <v>2292</v>
      </c>
      <c r="B32" t="s">
        <v>2293</v>
      </c>
      <c r="C32" t="s">
        <v>2294</v>
      </c>
      <c r="D32" t="s">
        <v>2295</v>
      </c>
      <c r="E32" t="s">
        <v>259</v>
      </c>
      <c r="F32">
        <v>202104</v>
      </c>
      <c r="G32" t="s">
        <v>270</v>
      </c>
      <c r="H32">
        <v>0</v>
      </c>
      <c r="O32" t="s">
        <v>2292</v>
      </c>
      <c r="P32" t="s">
        <v>2293</v>
      </c>
      <c r="Q32" t="s">
        <v>2294</v>
      </c>
      <c r="R32" t="s">
        <v>2295</v>
      </c>
      <c r="S32" t="s">
        <v>259</v>
      </c>
      <c r="T32">
        <v>202108</v>
      </c>
      <c r="U32" t="s">
        <v>269</v>
      </c>
      <c r="V32">
        <v>1667435</v>
      </c>
    </row>
    <row r="33" spans="1:22">
      <c r="A33" t="s">
        <v>2292</v>
      </c>
      <c r="B33" t="s">
        <v>2293</v>
      </c>
      <c r="C33" t="s">
        <v>2294</v>
      </c>
      <c r="D33" t="s">
        <v>2295</v>
      </c>
      <c r="E33" t="s">
        <v>259</v>
      </c>
      <c r="F33">
        <v>202105</v>
      </c>
      <c r="G33" t="s">
        <v>270</v>
      </c>
      <c r="H33">
        <v>0</v>
      </c>
      <c r="O33" t="s">
        <v>2292</v>
      </c>
      <c r="P33" t="s">
        <v>2293</v>
      </c>
      <c r="Q33" t="s">
        <v>2294</v>
      </c>
      <c r="R33" t="s">
        <v>2295</v>
      </c>
      <c r="S33" t="s">
        <v>259</v>
      </c>
      <c r="T33">
        <v>202108</v>
      </c>
      <c r="U33" t="s">
        <v>264</v>
      </c>
      <c r="V33">
        <v>0</v>
      </c>
    </row>
    <row r="34" spans="1:22">
      <c r="A34" t="s">
        <v>2292</v>
      </c>
      <c r="B34" t="s">
        <v>2293</v>
      </c>
      <c r="C34" t="s">
        <v>2294</v>
      </c>
      <c r="D34" t="s">
        <v>2295</v>
      </c>
      <c r="E34" t="s">
        <v>259</v>
      </c>
      <c r="F34">
        <v>202106</v>
      </c>
      <c r="G34" t="s">
        <v>270</v>
      </c>
      <c r="H34">
        <v>0</v>
      </c>
      <c r="O34" t="s">
        <v>2292</v>
      </c>
      <c r="P34" t="s">
        <v>2293</v>
      </c>
      <c r="Q34" t="s">
        <v>2294</v>
      </c>
      <c r="R34" t="s">
        <v>2295</v>
      </c>
      <c r="S34" t="s">
        <v>259</v>
      </c>
      <c r="T34">
        <v>202108</v>
      </c>
      <c r="U34" t="s">
        <v>265</v>
      </c>
      <c r="V34">
        <v>1694718</v>
      </c>
    </row>
    <row r="35" spans="1:22">
      <c r="A35" t="s">
        <v>2292</v>
      </c>
      <c r="B35" t="s">
        <v>2293</v>
      </c>
      <c r="C35" t="s">
        <v>2294</v>
      </c>
      <c r="D35" t="s">
        <v>2295</v>
      </c>
      <c r="E35" t="s">
        <v>259</v>
      </c>
      <c r="F35">
        <v>202107</v>
      </c>
      <c r="G35" t="s">
        <v>270</v>
      </c>
      <c r="H35">
        <v>0</v>
      </c>
      <c r="O35" t="s">
        <v>2292</v>
      </c>
      <c r="P35" t="s">
        <v>2293</v>
      </c>
      <c r="Q35" t="s">
        <v>2294</v>
      </c>
      <c r="R35" t="s">
        <v>2295</v>
      </c>
      <c r="S35" t="s">
        <v>259</v>
      </c>
      <c r="T35">
        <v>202108</v>
      </c>
      <c r="U35" t="s">
        <v>266</v>
      </c>
      <c r="V35">
        <v>27283</v>
      </c>
    </row>
    <row r="36" spans="1:22">
      <c r="A36" t="s">
        <v>2292</v>
      </c>
      <c r="B36" t="s">
        <v>2293</v>
      </c>
      <c r="C36" t="s">
        <v>2294</v>
      </c>
      <c r="D36" t="s">
        <v>2295</v>
      </c>
      <c r="E36" t="s">
        <v>259</v>
      </c>
      <c r="F36">
        <v>202108</v>
      </c>
      <c r="G36" t="s">
        <v>270</v>
      </c>
      <c r="H36">
        <v>0</v>
      </c>
      <c r="O36" t="s">
        <v>2292</v>
      </c>
      <c r="P36" t="s">
        <v>2293</v>
      </c>
      <c r="Q36" t="s">
        <v>2294</v>
      </c>
      <c r="R36" t="s">
        <v>2295</v>
      </c>
      <c r="S36" t="s">
        <v>259</v>
      </c>
      <c r="T36">
        <v>202109</v>
      </c>
      <c r="U36" t="s">
        <v>268</v>
      </c>
      <c r="V36">
        <v>0</v>
      </c>
    </row>
    <row r="37" spans="1:22">
      <c r="A37" t="s">
        <v>2292</v>
      </c>
      <c r="B37" t="s">
        <v>2293</v>
      </c>
      <c r="C37" t="s">
        <v>2294</v>
      </c>
      <c r="D37" t="s">
        <v>2295</v>
      </c>
      <c r="E37" t="s">
        <v>259</v>
      </c>
      <c r="F37">
        <v>202109</v>
      </c>
      <c r="G37" t="s">
        <v>270</v>
      </c>
      <c r="H37">
        <v>0</v>
      </c>
      <c r="O37" t="s">
        <v>2292</v>
      </c>
      <c r="P37" t="s">
        <v>2293</v>
      </c>
      <c r="Q37" t="s">
        <v>2294</v>
      </c>
      <c r="R37" t="s">
        <v>2295</v>
      </c>
      <c r="S37" t="s">
        <v>259</v>
      </c>
      <c r="T37">
        <v>202109</v>
      </c>
      <c r="U37" t="s">
        <v>269</v>
      </c>
      <c r="V37">
        <v>1668274</v>
      </c>
    </row>
    <row r="38" spans="1:22">
      <c r="A38" t="s">
        <v>2292</v>
      </c>
      <c r="B38" t="s">
        <v>2293</v>
      </c>
      <c r="C38" t="s">
        <v>2294</v>
      </c>
      <c r="D38" t="s">
        <v>2295</v>
      </c>
      <c r="E38" t="s">
        <v>259</v>
      </c>
      <c r="F38">
        <v>202110</v>
      </c>
      <c r="G38" t="s">
        <v>270</v>
      </c>
      <c r="H38">
        <v>0</v>
      </c>
      <c r="O38" t="s">
        <v>2292</v>
      </c>
      <c r="P38" t="s">
        <v>2293</v>
      </c>
      <c r="Q38" t="s">
        <v>2294</v>
      </c>
      <c r="R38" t="s">
        <v>2295</v>
      </c>
      <c r="S38" t="s">
        <v>259</v>
      </c>
      <c r="T38">
        <v>202109</v>
      </c>
      <c r="U38" t="s">
        <v>264</v>
      </c>
      <c r="V38">
        <v>0</v>
      </c>
    </row>
    <row r="39" spans="1:22">
      <c r="A39" t="s">
        <v>2292</v>
      </c>
      <c r="B39" t="s">
        <v>2293</v>
      </c>
      <c r="C39" t="s">
        <v>2294</v>
      </c>
      <c r="D39" t="s">
        <v>2295</v>
      </c>
      <c r="E39" t="s">
        <v>259</v>
      </c>
      <c r="F39">
        <v>202111</v>
      </c>
      <c r="G39" t="s">
        <v>270</v>
      </c>
      <c r="H39">
        <v>0</v>
      </c>
      <c r="O39" t="s">
        <v>2292</v>
      </c>
      <c r="P39" t="s">
        <v>2293</v>
      </c>
      <c r="Q39" t="s">
        <v>2294</v>
      </c>
      <c r="R39" t="s">
        <v>2295</v>
      </c>
      <c r="S39" t="s">
        <v>259</v>
      </c>
      <c r="T39">
        <v>202109</v>
      </c>
      <c r="U39" t="s">
        <v>265</v>
      </c>
      <c r="V39">
        <v>1695551</v>
      </c>
    </row>
    <row r="40" spans="1:22">
      <c r="A40" t="s">
        <v>2292</v>
      </c>
      <c r="B40" t="s">
        <v>2293</v>
      </c>
      <c r="C40" t="s">
        <v>2294</v>
      </c>
      <c r="D40" t="s">
        <v>2295</v>
      </c>
      <c r="E40" t="s">
        <v>259</v>
      </c>
      <c r="F40">
        <v>202112</v>
      </c>
      <c r="G40" t="s">
        <v>270</v>
      </c>
      <c r="H40">
        <v>0</v>
      </c>
      <c r="O40" t="s">
        <v>2292</v>
      </c>
      <c r="P40" t="s">
        <v>2293</v>
      </c>
      <c r="Q40" t="s">
        <v>2294</v>
      </c>
      <c r="R40" t="s">
        <v>2295</v>
      </c>
      <c r="S40" t="s">
        <v>259</v>
      </c>
      <c r="T40">
        <v>202109</v>
      </c>
      <c r="U40" t="s">
        <v>266</v>
      </c>
      <c r="V40">
        <v>27277</v>
      </c>
    </row>
    <row r="41" spans="1:22">
      <c r="A41" t="s">
        <v>2292</v>
      </c>
      <c r="B41" t="s">
        <v>2293</v>
      </c>
      <c r="C41" t="s">
        <v>2294</v>
      </c>
      <c r="D41" t="s">
        <v>2295</v>
      </c>
      <c r="E41" t="s">
        <v>259</v>
      </c>
      <c r="F41">
        <v>202201</v>
      </c>
      <c r="G41" t="s">
        <v>270</v>
      </c>
      <c r="H41">
        <v>0</v>
      </c>
      <c r="O41" t="s">
        <v>2292</v>
      </c>
      <c r="P41" t="s">
        <v>2293</v>
      </c>
      <c r="Q41" t="s">
        <v>2294</v>
      </c>
      <c r="R41" t="s">
        <v>2295</v>
      </c>
      <c r="S41" t="s">
        <v>259</v>
      </c>
      <c r="T41">
        <v>202110</v>
      </c>
      <c r="U41" t="s">
        <v>268</v>
      </c>
      <c r="V41">
        <v>0</v>
      </c>
    </row>
    <row r="42" spans="1:22">
      <c r="A42" t="s">
        <v>2292</v>
      </c>
      <c r="B42" t="s">
        <v>2293</v>
      </c>
      <c r="C42" t="s">
        <v>2294</v>
      </c>
      <c r="D42" t="s">
        <v>2295</v>
      </c>
      <c r="E42" t="s">
        <v>259</v>
      </c>
      <c r="F42">
        <v>202202</v>
      </c>
      <c r="G42" t="s">
        <v>270</v>
      </c>
      <c r="H42">
        <v>0</v>
      </c>
      <c r="O42" t="s">
        <v>2292</v>
      </c>
      <c r="P42" t="s">
        <v>2293</v>
      </c>
      <c r="Q42" t="s">
        <v>2294</v>
      </c>
      <c r="R42" t="s">
        <v>2295</v>
      </c>
      <c r="S42" t="s">
        <v>259</v>
      </c>
      <c r="T42">
        <v>202110</v>
      </c>
      <c r="U42" t="s">
        <v>269</v>
      </c>
      <c r="V42">
        <v>1659719</v>
      </c>
    </row>
    <row r="43" spans="1:22">
      <c r="A43" t="s">
        <v>2292</v>
      </c>
      <c r="B43" t="s">
        <v>2293</v>
      </c>
      <c r="C43" t="s">
        <v>2294</v>
      </c>
      <c r="D43" t="s">
        <v>2295</v>
      </c>
      <c r="E43" t="s">
        <v>259</v>
      </c>
      <c r="F43">
        <v>202203</v>
      </c>
      <c r="G43" t="s">
        <v>270</v>
      </c>
      <c r="H43">
        <v>0</v>
      </c>
      <c r="O43" t="s">
        <v>2292</v>
      </c>
      <c r="P43" t="s">
        <v>2293</v>
      </c>
      <c r="Q43" t="s">
        <v>2294</v>
      </c>
      <c r="R43" t="s">
        <v>2295</v>
      </c>
      <c r="S43" t="s">
        <v>259</v>
      </c>
      <c r="T43">
        <v>202110</v>
      </c>
      <c r="U43" t="s">
        <v>264</v>
      </c>
      <c r="V43">
        <v>0</v>
      </c>
    </row>
    <row r="44" spans="1:22">
      <c r="A44" t="s">
        <v>2292</v>
      </c>
      <c r="B44" t="s">
        <v>2293</v>
      </c>
      <c r="C44" t="s">
        <v>2294</v>
      </c>
      <c r="D44" t="s">
        <v>2295</v>
      </c>
      <c r="E44" t="s">
        <v>259</v>
      </c>
      <c r="F44">
        <v>202204</v>
      </c>
      <c r="G44" t="s">
        <v>270</v>
      </c>
      <c r="H44">
        <v>0</v>
      </c>
      <c r="O44" t="s">
        <v>2292</v>
      </c>
      <c r="P44" t="s">
        <v>2293</v>
      </c>
      <c r="Q44" t="s">
        <v>2294</v>
      </c>
      <c r="R44" t="s">
        <v>2295</v>
      </c>
      <c r="S44" t="s">
        <v>259</v>
      </c>
      <c r="T44">
        <v>202110</v>
      </c>
      <c r="U44" t="s">
        <v>265</v>
      </c>
      <c r="V44">
        <v>1688763</v>
      </c>
    </row>
    <row r="45" spans="1:22">
      <c r="A45" t="s">
        <v>2292</v>
      </c>
      <c r="B45" t="s">
        <v>2293</v>
      </c>
      <c r="C45" t="s">
        <v>2294</v>
      </c>
      <c r="D45" t="s">
        <v>2295</v>
      </c>
      <c r="E45" t="s">
        <v>259</v>
      </c>
      <c r="F45">
        <v>202205</v>
      </c>
      <c r="G45" t="s">
        <v>270</v>
      </c>
      <c r="H45">
        <v>0</v>
      </c>
      <c r="O45" t="s">
        <v>2292</v>
      </c>
      <c r="P45" t="s">
        <v>2293</v>
      </c>
      <c r="Q45" t="s">
        <v>2294</v>
      </c>
      <c r="R45" t="s">
        <v>2295</v>
      </c>
      <c r="S45" t="s">
        <v>259</v>
      </c>
      <c r="T45">
        <v>202110</v>
      </c>
      <c r="U45" t="s">
        <v>266</v>
      </c>
      <c r="V45">
        <v>29044</v>
      </c>
    </row>
    <row r="46" spans="1:22">
      <c r="A46" t="s">
        <v>2292</v>
      </c>
      <c r="B46" t="s">
        <v>2293</v>
      </c>
      <c r="C46" t="s">
        <v>2294</v>
      </c>
      <c r="D46" t="s">
        <v>2295</v>
      </c>
      <c r="E46" t="s">
        <v>259</v>
      </c>
      <c r="F46">
        <v>202206</v>
      </c>
      <c r="G46" t="s">
        <v>270</v>
      </c>
      <c r="H46">
        <v>0</v>
      </c>
      <c r="O46" t="s">
        <v>2292</v>
      </c>
      <c r="P46" t="s">
        <v>2293</v>
      </c>
      <c r="Q46" t="s">
        <v>2294</v>
      </c>
      <c r="R46" t="s">
        <v>2295</v>
      </c>
      <c r="S46" t="s">
        <v>259</v>
      </c>
      <c r="T46">
        <v>202111</v>
      </c>
      <c r="U46" t="s">
        <v>268</v>
      </c>
      <c r="V46">
        <v>0</v>
      </c>
    </row>
    <row r="47" spans="1:22">
      <c r="A47" t="s">
        <v>2292</v>
      </c>
      <c r="B47" t="s">
        <v>2293</v>
      </c>
      <c r="C47" t="s">
        <v>2294</v>
      </c>
      <c r="D47" t="s">
        <v>2295</v>
      </c>
      <c r="E47" t="s">
        <v>259</v>
      </c>
      <c r="F47">
        <v>202104</v>
      </c>
      <c r="G47" t="s">
        <v>256</v>
      </c>
      <c r="H47">
        <v>5000</v>
      </c>
      <c r="O47" t="s">
        <v>2292</v>
      </c>
      <c r="P47" t="s">
        <v>2293</v>
      </c>
      <c r="Q47" t="s">
        <v>2294</v>
      </c>
      <c r="R47" t="s">
        <v>2295</v>
      </c>
      <c r="S47" t="s">
        <v>259</v>
      </c>
      <c r="T47">
        <v>202111</v>
      </c>
      <c r="U47" t="s">
        <v>269</v>
      </c>
      <c r="V47">
        <v>1614341</v>
      </c>
    </row>
    <row r="48" spans="1:22">
      <c r="A48" t="s">
        <v>2292</v>
      </c>
      <c r="B48" t="s">
        <v>2293</v>
      </c>
      <c r="C48" t="s">
        <v>2294</v>
      </c>
      <c r="D48" t="s">
        <v>2295</v>
      </c>
      <c r="E48" t="s">
        <v>259</v>
      </c>
      <c r="F48">
        <v>202104</v>
      </c>
      <c r="G48" t="s">
        <v>258</v>
      </c>
      <c r="H48">
        <v>5020.5600000000004</v>
      </c>
      <c r="O48" t="s">
        <v>2292</v>
      </c>
      <c r="P48" t="s">
        <v>2293</v>
      </c>
      <c r="Q48" t="s">
        <v>2294</v>
      </c>
      <c r="R48" t="s">
        <v>2295</v>
      </c>
      <c r="S48" t="s">
        <v>259</v>
      </c>
      <c r="T48">
        <v>202111</v>
      </c>
      <c r="U48" t="s">
        <v>264</v>
      </c>
      <c r="V48">
        <v>0</v>
      </c>
    </row>
    <row r="49" spans="1:22">
      <c r="A49" t="s">
        <v>2292</v>
      </c>
      <c r="B49" t="s">
        <v>2293</v>
      </c>
      <c r="C49" t="s">
        <v>2294</v>
      </c>
      <c r="D49" t="s">
        <v>2295</v>
      </c>
      <c r="E49" t="s">
        <v>259</v>
      </c>
      <c r="F49">
        <v>202105</v>
      </c>
      <c r="G49" t="s">
        <v>256</v>
      </c>
      <c r="H49">
        <v>5018</v>
      </c>
      <c r="O49" t="s">
        <v>2292</v>
      </c>
      <c r="P49" t="s">
        <v>2293</v>
      </c>
      <c r="Q49" t="s">
        <v>2294</v>
      </c>
      <c r="R49" t="s">
        <v>2295</v>
      </c>
      <c r="S49" t="s">
        <v>259</v>
      </c>
      <c r="T49">
        <v>202111</v>
      </c>
      <c r="U49" t="s">
        <v>265</v>
      </c>
      <c r="V49">
        <v>1644338</v>
      </c>
    </row>
    <row r="50" spans="1:22">
      <c r="A50" t="s">
        <v>2292</v>
      </c>
      <c r="B50" t="s">
        <v>2293</v>
      </c>
      <c r="C50" t="s">
        <v>2294</v>
      </c>
      <c r="D50" t="s">
        <v>2295</v>
      </c>
      <c r="E50" t="s">
        <v>259</v>
      </c>
      <c r="F50">
        <v>202105</v>
      </c>
      <c r="G50" t="s">
        <v>258</v>
      </c>
      <c r="H50">
        <v>5046.08</v>
      </c>
      <c r="O50" t="s">
        <v>2292</v>
      </c>
      <c r="P50" t="s">
        <v>2293</v>
      </c>
      <c r="Q50" t="s">
        <v>2294</v>
      </c>
      <c r="R50" t="s">
        <v>2295</v>
      </c>
      <c r="S50" t="s">
        <v>259</v>
      </c>
      <c r="T50">
        <v>202111</v>
      </c>
      <c r="U50" t="s">
        <v>266</v>
      </c>
      <c r="V50">
        <v>29997</v>
      </c>
    </row>
    <row r="51" spans="1:22">
      <c r="A51" t="s">
        <v>2292</v>
      </c>
      <c r="B51" t="s">
        <v>2293</v>
      </c>
      <c r="C51" t="s">
        <v>2294</v>
      </c>
      <c r="D51" t="s">
        <v>2295</v>
      </c>
      <c r="E51" t="s">
        <v>259</v>
      </c>
      <c r="F51">
        <v>202106</v>
      </c>
      <c r="G51" t="s">
        <v>256</v>
      </c>
      <c r="H51">
        <v>5005.3900000000003</v>
      </c>
      <c r="O51" t="s">
        <v>2292</v>
      </c>
      <c r="P51" t="s">
        <v>2293</v>
      </c>
      <c r="Q51" t="s">
        <v>2294</v>
      </c>
      <c r="R51" t="s">
        <v>2295</v>
      </c>
      <c r="S51" t="s">
        <v>259</v>
      </c>
      <c r="T51">
        <v>202112</v>
      </c>
      <c r="U51" t="s">
        <v>268</v>
      </c>
      <c r="V51">
        <v>0</v>
      </c>
    </row>
    <row r="52" spans="1:22">
      <c r="A52" t="s">
        <v>2292</v>
      </c>
      <c r="B52" t="s">
        <v>2293</v>
      </c>
      <c r="C52" t="s">
        <v>2294</v>
      </c>
      <c r="D52" t="s">
        <v>2295</v>
      </c>
      <c r="E52" t="s">
        <v>259</v>
      </c>
      <c r="F52">
        <v>202106</v>
      </c>
      <c r="G52" t="s">
        <v>258</v>
      </c>
      <c r="H52">
        <v>5023.87</v>
      </c>
      <c r="O52" t="s">
        <v>2292</v>
      </c>
      <c r="P52" t="s">
        <v>2293</v>
      </c>
      <c r="Q52" t="s">
        <v>2294</v>
      </c>
      <c r="R52" t="s">
        <v>2295</v>
      </c>
      <c r="S52" t="s">
        <v>259</v>
      </c>
      <c r="T52">
        <v>202112</v>
      </c>
      <c r="U52" t="s">
        <v>269</v>
      </c>
      <c r="V52">
        <v>1671804</v>
      </c>
    </row>
    <row r="53" spans="1:22">
      <c r="A53" t="s">
        <v>2292</v>
      </c>
      <c r="B53" t="s">
        <v>2293</v>
      </c>
      <c r="C53" t="s">
        <v>2294</v>
      </c>
      <c r="D53" t="s">
        <v>2295</v>
      </c>
      <c r="E53" t="s">
        <v>259</v>
      </c>
      <c r="F53">
        <v>202107</v>
      </c>
      <c r="G53" t="s">
        <v>256</v>
      </c>
      <c r="H53">
        <v>5037.37</v>
      </c>
      <c r="O53" t="s">
        <v>2292</v>
      </c>
      <c r="P53" t="s">
        <v>2293</v>
      </c>
      <c r="Q53" t="s">
        <v>2294</v>
      </c>
      <c r="R53" t="s">
        <v>2295</v>
      </c>
      <c r="S53" t="s">
        <v>259</v>
      </c>
      <c r="T53">
        <v>202112</v>
      </c>
      <c r="U53" t="s">
        <v>264</v>
      </c>
      <c r="V53">
        <v>0</v>
      </c>
    </row>
    <row r="54" spans="1:22">
      <c r="A54" t="s">
        <v>2292</v>
      </c>
      <c r="B54" t="s">
        <v>2293</v>
      </c>
      <c r="C54" t="s">
        <v>2294</v>
      </c>
      <c r="D54" t="s">
        <v>2295</v>
      </c>
      <c r="E54" t="s">
        <v>259</v>
      </c>
      <c r="F54">
        <v>202107</v>
      </c>
      <c r="G54" t="s">
        <v>258</v>
      </c>
      <c r="H54">
        <v>5086.1099999999997</v>
      </c>
      <c r="O54" t="s">
        <v>2292</v>
      </c>
      <c r="P54" t="s">
        <v>2293</v>
      </c>
      <c r="Q54" t="s">
        <v>2294</v>
      </c>
      <c r="R54" t="s">
        <v>2295</v>
      </c>
      <c r="S54" t="s">
        <v>259</v>
      </c>
      <c r="T54">
        <v>202112</v>
      </c>
      <c r="U54" t="s">
        <v>265</v>
      </c>
      <c r="V54">
        <v>1698245</v>
      </c>
    </row>
    <row r="55" spans="1:22">
      <c r="A55" t="s">
        <v>2292</v>
      </c>
      <c r="B55" t="s">
        <v>2293</v>
      </c>
      <c r="C55" t="s">
        <v>2294</v>
      </c>
      <c r="D55" t="s">
        <v>2295</v>
      </c>
      <c r="E55" t="s">
        <v>259</v>
      </c>
      <c r="F55">
        <v>202108</v>
      </c>
      <c r="G55" t="s">
        <v>256</v>
      </c>
      <c r="H55">
        <v>5068.57</v>
      </c>
      <c r="O55" t="s">
        <v>2292</v>
      </c>
      <c r="P55" t="s">
        <v>2293</v>
      </c>
      <c r="Q55" t="s">
        <v>2294</v>
      </c>
      <c r="R55" t="s">
        <v>2295</v>
      </c>
      <c r="S55" t="s">
        <v>259</v>
      </c>
      <c r="T55">
        <v>202112</v>
      </c>
      <c r="U55" t="s">
        <v>266</v>
      </c>
      <c r="V55">
        <v>26441</v>
      </c>
    </row>
    <row r="56" spans="1:22">
      <c r="A56" t="s">
        <v>2292</v>
      </c>
      <c r="B56" t="s">
        <v>2293</v>
      </c>
      <c r="C56" t="s">
        <v>2294</v>
      </c>
      <c r="D56" t="s">
        <v>2295</v>
      </c>
      <c r="E56" t="s">
        <v>259</v>
      </c>
      <c r="F56">
        <v>202108</v>
      </c>
      <c r="G56" t="s">
        <v>258</v>
      </c>
      <c r="H56">
        <v>5027.87</v>
      </c>
      <c r="O56" t="s">
        <v>2292</v>
      </c>
      <c r="P56" t="s">
        <v>2293</v>
      </c>
      <c r="Q56" t="s">
        <v>2294</v>
      </c>
      <c r="R56" t="s">
        <v>2295</v>
      </c>
      <c r="S56" t="s">
        <v>259</v>
      </c>
      <c r="T56">
        <v>202201</v>
      </c>
      <c r="U56" t="s">
        <v>268</v>
      </c>
      <c r="V56">
        <v>0</v>
      </c>
    </row>
    <row r="57" spans="1:22">
      <c r="A57" t="s">
        <v>2292</v>
      </c>
      <c r="B57" t="s">
        <v>2293</v>
      </c>
      <c r="C57" t="s">
        <v>2294</v>
      </c>
      <c r="D57" t="s">
        <v>2295</v>
      </c>
      <c r="E57" t="s">
        <v>259</v>
      </c>
      <c r="F57">
        <v>202109</v>
      </c>
      <c r="G57" t="s">
        <v>256</v>
      </c>
      <c r="H57">
        <v>5012.03</v>
      </c>
      <c r="O57" t="s">
        <v>2292</v>
      </c>
      <c r="P57" t="s">
        <v>2293</v>
      </c>
      <c r="Q57" t="s">
        <v>2294</v>
      </c>
      <c r="R57" t="s">
        <v>2295</v>
      </c>
      <c r="S57" t="s">
        <v>259</v>
      </c>
      <c r="T57">
        <v>202201</v>
      </c>
      <c r="U57" t="s">
        <v>269</v>
      </c>
      <c r="V57">
        <v>1761122</v>
      </c>
    </row>
    <row r="58" spans="1:22">
      <c r="A58" t="s">
        <v>2292</v>
      </c>
      <c r="B58" t="s">
        <v>2293</v>
      </c>
      <c r="C58" t="s">
        <v>2294</v>
      </c>
      <c r="D58" t="s">
        <v>2295</v>
      </c>
      <c r="E58" t="s">
        <v>259</v>
      </c>
      <c r="F58">
        <v>202109</v>
      </c>
      <c r="G58" t="s">
        <v>258</v>
      </c>
      <c r="H58">
        <v>5231.91</v>
      </c>
      <c r="O58" t="s">
        <v>2292</v>
      </c>
      <c r="P58" t="s">
        <v>2293</v>
      </c>
      <c r="Q58" t="s">
        <v>2294</v>
      </c>
      <c r="R58" t="s">
        <v>2295</v>
      </c>
      <c r="S58" t="s">
        <v>259</v>
      </c>
      <c r="T58">
        <v>202201</v>
      </c>
      <c r="U58" t="s">
        <v>264</v>
      </c>
      <c r="V58">
        <v>0</v>
      </c>
    </row>
    <row r="59" spans="1:22">
      <c r="A59" t="s">
        <v>2292</v>
      </c>
      <c r="B59" t="s">
        <v>2293</v>
      </c>
      <c r="C59" t="s">
        <v>2294</v>
      </c>
      <c r="D59" t="s">
        <v>2295</v>
      </c>
      <c r="E59" t="s">
        <v>259</v>
      </c>
      <c r="F59">
        <v>202110</v>
      </c>
      <c r="G59" t="s">
        <v>256</v>
      </c>
      <c r="H59">
        <v>5033.45</v>
      </c>
      <c r="O59" t="s">
        <v>2292</v>
      </c>
      <c r="P59" t="s">
        <v>2293</v>
      </c>
      <c r="Q59" t="s">
        <v>2294</v>
      </c>
      <c r="R59" t="s">
        <v>2295</v>
      </c>
      <c r="S59" t="s">
        <v>259</v>
      </c>
      <c r="T59">
        <v>202201</v>
      </c>
      <c r="U59" t="s">
        <v>265</v>
      </c>
      <c r="V59">
        <v>1784011</v>
      </c>
    </row>
    <row r="60" spans="1:22">
      <c r="A60" t="s">
        <v>2292</v>
      </c>
      <c r="B60" t="s">
        <v>2293</v>
      </c>
      <c r="C60" t="s">
        <v>2294</v>
      </c>
      <c r="D60" t="s">
        <v>2295</v>
      </c>
      <c r="E60" t="s">
        <v>259</v>
      </c>
      <c r="F60">
        <v>202110</v>
      </c>
      <c r="G60" t="s">
        <v>258</v>
      </c>
      <c r="H60">
        <v>5006.6000000000004</v>
      </c>
      <c r="O60" t="s">
        <v>2292</v>
      </c>
      <c r="P60" t="s">
        <v>2293</v>
      </c>
      <c r="Q60" t="s">
        <v>2294</v>
      </c>
      <c r="R60" t="s">
        <v>2295</v>
      </c>
      <c r="S60" t="s">
        <v>259</v>
      </c>
      <c r="T60">
        <v>202201</v>
      </c>
      <c r="U60" t="s">
        <v>266</v>
      </c>
      <c r="V60">
        <v>22889</v>
      </c>
    </row>
    <row r="61" spans="1:22">
      <c r="A61" t="s">
        <v>2292</v>
      </c>
      <c r="B61" t="s">
        <v>2293</v>
      </c>
      <c r="C61" t="s">
        <v>2294</v>
      </c>
      <c r="D61" t="s">
        <v>2295</v>
      </c>
      <c r="E61" t="s">
        <v>259</v>
      </c>
      <c r="F61">
        <v>202111</v>
      </c>
      <c r="G61" t="s">
        <v>256</v>
      </c>
      <c r="H61">
        <v>5000.04</v>
      </c>
      <c r="O61" t="s">
        <v>2292</v>
      </c>
      <c r="P61" t="s">
        <v>2293</v>
      </c>
      <c r="Q61" t="s">
        <v>2294</v>
      </c>
      <c r="R61" t="s">
        <v>2295</v>
      </c>
      <c r="S61" t="s">
        <v>259</v>
      </c>
      <c r="T61">
        <v>202202</v>
      </c>
      <c r="U61" t="s">
        <v>268</v>
      </c>
      <c r="V61">
        <v>0</v>
      </c>
    </row>
    <row r="62" spans="1:22">
      <c r="A62" t="s">
        <v>2292</v>
      </c>
      <c r="B62" t="s">
        <v>2293</v>
      </c>
      <c r="C62" t="s">
        <v>2294</v>
      </c>
      <c r="D62" t="s">
        <v>2295</v>
      </c>
      <c r="E62" t="s">
        <v>259</v>
      </c>
      <c r="F62">
        <v>202111</v>
      </c>
      <c r="G62" t="s">
        <v>258</v>
      </c>
      <c r="H62">
        <v>5002.42</v>
      </c>
      <c r="O62" t="s">
        <v>2292</v>
      </c>
      <c r="P62" t="s">
        <v>2293</v>
      </c>
      <c r="Q62" t="s">
        <v>2294</v>
      </c>
      <c r="R62" t="s">
        <v>2295</v>
      </c>
      <c r="S62" t="s">
        <v>259</v>
      </c>
      <c r="T62">
        <v>202202</v>
      </c>
      <c r="U62" t="s">
        <v>269</v>
      </c>
      <c r="V62">
        <v>1709714</v>
      </c>
    </row>
    <row r="63" spans="1:22">
      <c r="A63" t="s">
        <v>2292</v>
      </c>
      <c r="B63" t="s">
        <v>2293</v>
      </c>
      <c r="C63" t="s">
        <v>2294</v>
      </c>
      <c r="D63" t="s">
        <v>2295</v>
      </c>
      <c r="E63" t="s">
        <v>259</v>
      </c>
      <c r="F63">
        <v>202112</v>
      </c>
      <c r="G63" t="s">
        <v>256</v>
      </c>
      <c r="H63">
        <v>5007.3500000000004</v>
      </c>
      <c r="O63" t="s">
        <v>2292</v>
      </c>
      <c r="P63" t="s">
        <v>2293</v>
      </c>
      <c r="Q63" t="s">
        <v>2294</v>
      </c>
      <c r="R63" t="s">
        <v>2295</v>
      </c>
      <c r="S63" t="s">
        <v>259</v>
      </c>
      <c r="T63">
        <v>202202</v>
      </c>
      <c r="U63" t="s">
        <v>264</v>
      </c>
      <c r="V63">
        <v>0</v>
      </c>
    </row>
    <row r="64" spans="1:22">
      <c r="A64" t="s">
        <v>2292</v>
      </c>
      <c r="B64" t="s">
        <v>2293</v>
      </c>
      <c r="C64" t="s">
        <v>2294</v>
      </c>
      <c r="D64" t="s">
        <v>2295</v>
      </c>
      <c r="E64" t="s">
        <v>259</v>
      </c>
      <c r="F64">
        <v>202112</v>
      </c>
      <c r="G64" t="s">
        <v>258</v>
      </c>
      <c r="H64">
        <v>5237.4399999999996</v>
      </c>
      <c r="O64" t="s">
        <v>2292</v>
      </c>
      <c r="P64" t="s">
        <v>2293</v>
      </c>
      <c r="Q64" t="s">
        <v>2294</v>
      </c>
      <c r="R64" t="s">
        <v>2295</v>
      </c>
      <c r="S64" t="s">
        <v>259</v>
      </c>
      <c r="T64">
        <v>202202</v>
      </c>
      <c r="U64" t="s">
        <v>265</v>
      </c>
      <c r="V64">
        <v>1730212</v>
      </c>
    </row>
    <row r="65" spans="1:22">
      <c r="A65" t="s">
        <v>2292</v>
      </c>
      <c r="B65" t="s">
        <v>2293</v>
      </c>
      <c r="C65" t="s">
        <v>2294</v>
      </c>
      <c r="D65" t="s">
        <v>2295</v>
      </c>
      <c r="E65" t="s">
        <v>259</v>
      </c>
      <c r="F65">
        <v>202201</v>
      </c>
      <c r="G65" t="s">
        <v>256</v>
      </c>
      <c r="H65">
        <v>5053.95</v>
      </c>
      <c r="O65" t="s">
        <v>2292</v>
      </c>
      <c r="P65" t="s">
        <v>2293</v>
      </c>
      <c r="Q65" t="s">
        <v>2294</v>
      </c>
      <c r="R65" t="s">
        <v>2295</v>
      </c>
      <c r="S65" t="s">
        <v>259</v>
      </c>
      <c r="T65">
        <v>202202</v>
      </c>
      <c r="U65" t="s">
        <v>266</v>
      </c>
      <c r="V65">
        <v>22498</v>
      </c>
    </row>
    <row r="66" spans="1:22">
      <c r="A66" t="s">
        <v>2292</v>
      </c>
      <c r="B66" t="s">
        <v>2293</v>
      </c>
      <c r="C66" t="s">
        <v>2294</v>
      </c>
      <c r="D66" t="s">
        <v>2295</v>
      </c>
      <c r="E66" t="s">
        <v>259</v>
      </c>
      <c r="F66">
        <v>202201</v>
      </c>
      <c r="G66" t="s">
        <v>258</v>
      </c>
      <c r="H66">
        <v>5233.21</v>
      </c>
      <c r="O66" t="s">
        <v>2292</v>
      </c>
      <c r="P66" t="s">
        <v>2293</v>
      </c>
      <c r="Q66" t="s">
        <v>2294</v>
      </c>
      <c r="R66" t="s">
        <v>2295</v>
      </c>
      <c r="S66" t="s">
        <v>259</v>
      </c>
      <c r="T66">
        <v>202203</v>
      </c>
      <c r="U66" t="s">
        <v>268</v>
      </c>
      <c r="V66">
        <v>0</v>
      </c>
    </row>
    <row r="67" spans="1:22">
      <c r="A67" t="s">
        <v>2292</v>
      </c>
      <c r="B67" t="s">
        <v>2293</v>
      </c>
      <c r="C67" t="s">
        <v>2294</v>
      </c>
      <c r="D67" t="s">
        <v>2295</v>
      </c>
      <c r="E67" t="s">
        <v>259</v>
      </c>
      <c r="F67">
        <v>202202</v>
      </c>
      <c r="G67" t="s">
        <v>256</v>
      </c>
      <c r="H67">
        <v>5023.4799999999996</v>
      </c>
      <c r="O67" t="s">
        <v>2292</v>
      </c>
      <c r="P67" t="s">
        <v>2293</v>
      </c>
      <c r="Q67" t="s">
        <v>2294</v>
      </c>
      <c r="R67" t="s">
        <v>2295</v>
      </c>
      <c r="S67" t="s">
        <v>259</v>
      </c>
      <c r="T67">
        <v>202203</v>
      </c>
      <c r="U67" t="s">
        <v>269</v>
      </c>
      <c r="V67">
        <v>1621928</v>
      </c>
    </row>
    <row r="68" spans="1:22">
      <c r="A68" t="s">
        <v>2292</v>
      </c>
      <c r="B68" t="s">
        <v>2293</v>
      </c>
      <c r="C68" t="s">
        <v>2294</v>
      </c>
      <c r="D68" t="s">
        <v>2295</v>
      </c>
      <c r="E68" t="s">
        <v>259</v>
      </c>
      <c r="F68">
        <v>202202</v>
      </c>
      <c r="G68" t="s">
        <v>258</v>
      </c>
      <c r="H68">
        <v>5010.34</v>
      </c>
      <c r="O68" t="s">
        <v>2292</v>
      </c>
      <c r="P68" t="s">
        <v>2293</v>
      </c>
      <c r="Q68" t="s">
        <v>2294</v>
      </c>
      <c r="R68" t="s">
        <v>2295</v>
      </c>
      <c r="S68" t="s">
        <v>259</v>
      </c>
      <c r="T68">
        <v>202203</v>
      </c>
      <c r="U68" t="s">
        <v>264</v>
      </c>
      <c r="V68">
        <v>0</v>
      </c>
    </row>
    <row r="69" spans="1:22">
      <c r="A69" t="s">
        <v>2292</v>
      </c>
      <c r="B69" t="s">
        <v>2293</v>
      </c>
      <c r="C69" t="s">
        <v>2294</v>
      </c>
      <c r="D69" t="s">
        <v>2295</v>
      </c>
      <c r="E69" t="s">
        <v>259</v>
      </c>
      <c r="F69">
        <v>202203</v>
      </c>
      <c r="G69" t="s">
        <v>256</v>
      </c>
      <c r="H69">
        <v>5187.1899999999996</v>
      </c>
      <c r="O69" t="s">
        <v>2292</v>
      </c>
      <c r="P69" t="s">
        <v>2293</v>
      </c>
      <c r="Q69" t="s">
        <v>2294</v>
      </c>
      <c r="R69" t="s">
        <v>2295</v>
      </c>
      <c r="S69" t="s">
        <v>259</v>
      </c>
      <c r="T69">
        <v>202203</v>
      </c>
      <c r="U69" t="s">
        <v>265</v>
      </c>
      <c r="V69">
        <v>1644082</v>
      </c>
    </row>
    <row r="70" spans="1:22">
      <c r="A70" t="s">
        <v>2292</v>
      </c>
      <c r="B70" t="s">
        <v>2293</v>
      </c>
      <c r="C70" t="s">
        <v>2294</v>
      </c>
      <c r="D70" t="s">
        <v>2295</v>
      </c>
      <c r="E70" t="s">
        <v>259</v>
      </c>
      <c r="F70">
        <v>202203</v>
      </c>
      <c r="G70" t="s">
        <v>258</v>
      </c>
      <c r="H70">
        <v>5000</v>
      </c>
      <c r="O70" t="s">
        <v>2292</v>
      </c>
      <c r="P70" t="s">
        <v>2293</v>
      </c>
      <c r="Q70" t="s">
        <v>2294</v>
      </c>
      <c r="R70" t="s">
        <v>2295</v>
      </c>
      <c r="S70" t="s">
        <v>259</v>
      </c>
      <c r="T70">
        <v>202203</v>
      </c>
      <c r="U70" t="s">
        <v>266</v>
      </c>
      <c r="V70">
        <v>20154</v>
      </c>
    </row>
    <row r="71" spans="1:22">
      <c r="A71" t="s">
        <v>2292</v>
      </c>
      <c r="B71" t="s">
        <v>2293</v>
      </c>
      <c r="C71" t="s">
        <v>2294</v>
      </c>
      <c r="D71" t="s">
        <v>2295</v>
      </c>
      <c r="E71" t="s">
        <v>259</v>
      </c>
      <c r="F71">
        <v>202204</v>
      </c>
      <c r="G71" t="s">
        <v>256</v>
      </c>
      <c r="H71">
        <v>5201.2</v>
      </c>
      <c r="O71" t="s">
        <v>2292</v>
      </c>
      <c r="P71" t="s">
        <v>2293</v>
      </c>
      <c r="Q71" t="s">
        <v>2294</v>
      </c>
      <c r="R71" t="s">
        <v>2295</v>
      </c>
      <c r="S71" t="s">
        <v>259</v>
      </c>
      <c r="T71">
        <v>202204</v>
      </c>
      <c r="U71" t="s">
        <v>268</v>
      </c>
      <c r="V71">
        <v>0</v>
      </c>
    </row>
    <row r="72" spans="1:22">
      <c r="A72" t="s">
        <v>2292</v>
      </c>
      <c r="B72" t="s">
        <v>2293</v>
      </c>
      <c r="C72" t="s">
        <v>2294</v>
      </c>
      <c r="D72" t="s">
        <v>2295</v>
      </c>
      <c r="E72" t="s">
        <v>259</v>
      </c>
      <c r="F72">
        <v>202204</v>
      </c>
      <c r="G72" t="s">
        <v>258</v>
      </c>
      <c r="H72">
        <v>5121.1499999999996</v>
      </c>
      <c r="O72" t="s">
        <v>2292</v>
      </c>
      <c r="P72" t="s">
        <v>2293</v>
      </c>
      <c r="Q72" t="s">
        <v>2294</v>
      </c>
      <c r="R72" t="s">
        <v>2295</v>
      </c>
      <c r="S72" t="s">
        <v>259</v>
      </c>
      <c r="T72">
        <v>202204</v>
      </c>
      <c r="U72" t="s">
        <v>269</v>
      </c>
      <c r="V72">
        <v>1880585</v>
      </c>
    </row>
    <row r="73" spans="1:22">
      <c r="A73" t="s">
        <v>2292</v>
      </c>
      <c r="B73" t="s">
        <v>2293</v>
      </c>
      <c r="C73" t="s">
        <v>2294</v>
      </c>
      <c r="D73" t="s">
        <v>2295</v>
      </c>
      <c r="E73" t="s">
        <v>259</v>
      </c>
      <c r="F73">
        <v>202205</v>
      </c>
      <c r="G73" t="s">
        <v>256</v>
      </c>
      <c r="H73">
        <v>5146.38</v>
      </c>
      <c r="O73" t="s">
        <v>2292</v>
      </c>
      <c r="P73" t="s">
        <v>2293</v>
      </c>
      <c r="Q73" t="s">
        <v>2294</v>
      </c>
      <c r="R73" t="s">
        <v>2295</v>
      </c>
      <c r="S73" t="s">
        <v>259</v>
      </c>
      <c r="T73">
        <v>202204</v>
      </c>
      <c r="U73" t="s">
        <v>264</v>
      </c>
      <c r="V73">
        <v>0</v>
      </c>
    </row>
    <row r="74" spans="1:22">
      <c r="A74" t="s">
        <v>2292</v>
      </c>
      <c r="B74" t="s">
        <v>2293</v>
      </c>
      <c r="C74" t="s">
        <v>2294</v>
      </c>
      <c r="D74" t="s">
        <v>2295</v>
      </c>
      <c r="E74" t="s">
        <v>259</v>
      </c>
      <c r="F74">
        <v>202205</v>
      </c>
      <c r="G74" t="s">
        <v>258</v>
      </c>
      <c r="H74">
        <v>5069.74</v>
      </c>
      <c r="O74" t="s">
        <v>2292</v>
      </c>
      <c r="P74" t="s">
        <v>2293</v>
      </c>
      <c r="Q74" t="s">
        <v>2294</v>
      </c>
      <c r="R74" t="s">
        <v>2295</v>
      </c>
      <c r="S74" t="s">
        <v>259</v>
      </c>
      <c r="T74">
        <v>202204</v>
      </c>
      <c r="U74" t="s">
        <v>265</v>
      </c>
      <c r="V74">
        <v>1901901</v>
      </c>
    </row>
    <row r="75" spans="1:22">
      <c r="A75" t="s">
        <v>2292</v>
      </c>
      <c r="B75" t="s">
        <v>2293</v>
      </c>
      <c r="C75" t="s">
        <v>2294</v>
      </c>
      <c r="D75" t="s">
        <v>2295</v>
      </c>
      <c r="E75" t="s">
        <v>259</v>
      </c>
      <c r="F75">
        <v>202206</v>
      </c>
      <c r="G75" t="s">
        <v>256</v>
      </c>
      <c r="H75">
        <v>5080.24</v>
      </c>
      <c r="O75" t="s">
        <v>2292</v>
      </c>
      <c r="P75" t="s">
        <v>2293</v>
      </c>
      <c r="Q75" t="s">
        <v>2294</v>
      </c>
      <c r="R75" t="s">
        <v>2295</v>
      </c>
      <c r="S75" t="s">
        <v>259</v>
      </c>
      <c r="T75">
        <v>202204</v>
      </c>
      <c r="U75" t="s">
        <v>266</v>
      </c>
      <c r="V75">
        <v>21316</v>
      </c>
    </row>
    <row r="76" spans="1:22">
      <c r="A76" t="s">
        <v>2292</v>
      </c>
      <c r="B76" t="s">
        <v>2293</v>
      </c>
      <c r="C76" t="s">
        <v>2294</v>
      </c>
      <c r="D76" t="s">
        <v>2295</v>
      </c>
      <c r="E76" t="s">
        <v>259</v>
      </c>
      <c r="F76">
        <v>202206</v>
      </c>
      <c r="G76" t="s">
        <v>258</v>
      </c>
      <c r="H76">
        <v>5000</v>
      </c>
      <c r="O76" t="s">
        <v>2292</v>
      </c>
      <c r="P76" t="s">
        <v>2293</v>
      </c>
      <c r="Q76" t="s">
        <v>2294</v>
      </c>
      <c r="R76" t="s">
        <v>2295</v>
      </c>
      <c r="S76" t="s">
        <v>259</v>
      </c>
      <c r="T76">
        <v>202205</v>
      </c>
      <c r="U76" t="s">
        <v>268</v>
      </c>
      <c r="V76">
        <v>0</v>
      </c>
    </row>
    <row r="77" spans="1:22">
      <c r="A77" t="s">
        <v>2292</v>
      </c>
      <c r="B77" t="s">
        <v>2293</v>
      </c>
      <c r="C77" t="s">
        <v>2294</v>
      </c>
      <c r="D77" t="s">
        <v>2295</v>
      </c>
      <c r="E77" t="s">
        <v>259</v>
      </c>
      <c r="F77">
        <v>202104</v>
      </c>
      <c r="G77" t="s">
        <v>268</v>
      </c>
      <c r="H77">
        <v>0</v>
      </c>
      <c r="O77" t="s">
        <v>2292</v>
      </c>
      <c r="P77" t="s">
        <v>2293</v>
      </c>
      <c r="Q77" t="s">
        <v>2294</v>
      </c>
      <c r="R77" t="s">
        <v>2295</v>
      </c>
      <c r="S77" t="s">
        <v>259</v>
      </c>
      <c r="T77">
        <v>202205</v>
      </c>
      <c r="U77" t="s">
        <v>269</v>
      </c>
      <c r="V77">
        <v>1713971</v>
      </c>
    </row>
    <row r="78" spans="1:22">
      <c r="A78" t="s">
        <v>2292</v>
      </c>
      <c r="B78" t="s">
        <v>2293</v>
      </c>
      <c r="C78" t="s">
        <v>2294</v>
      </c>
      <c r="D78" t="s">
        <v>2295</v>
      </c>
      <c r="E78" t="s">
        <v>259</v>
      </c>
      <c r="F78">
        <v>202104</v>
      </c>
      <c r="G78" t="s">
        <v>269</v>
      </c>
      <c r="H78">
        <v>1744868</v>
      </c>
      <c r="O78" t="s">
        <v>2292</v>
      </c>
      <c r="P78" t="s">
        <v>2293</v>
      </c>
      <c r="Q78" t="s">
        <v>2294</v>
      </c>
      <c r="R78" t="s">
        <v>2295</v>
      </c>
      <c r="S78" t="s">
        <v>259</v>
      </c>
      <c r="T78">
        <v>202205</v>
      </c>
      <c r="U78" t="s">
        <v>264</v>
      </c>
      <c r="V78">
        <v>0</v>
      </c>
    </row>
    <row r="79" spans="1:22">
      <c r="A79" t="s">
        <v>2292</v>
      </c>
      <c r="B79" t="s">
        <v>2293</v>
      </c>
      <c r="C79" t="s">
        <v>2294</v>
      </c>
      <c r="D79" t="s">
        <v>2295</v>
      </c>
      <c r="E79" t="s">
        <v>259</v>
      </c>
      <c r="F79">
        <v>202104</v>
      </c>
      <c r="G79" t="s">
        <v>264</v>
      </c>
      <c r="H79">
        <v>0</v>
      </c>
      <c r="O79" t="s">
        <v>2292</v>
      </c>
      <c r="P79" t="s">
        <v>2293</v>
      </c>
      <c r="Q79" t="s">
        <v>2294</v>
      </c>
      <c r="R79" t="s">
        <v>2295</v>
      </c>
      <c r="S79" t="s">
        <v>259</v>
      </c>
      <c r="T79">
        <v>202205</v>
      </c>
      <c r="U79" t="s">
        <v>265</v>
      </c>
      <c r="V79">
        <v>1738151</v>
      </c>
    </row>
    <row r="80" spans="1:22">
      <c r="A80" t="s">
        <v>2292</v>
      </c>
      <c r="B80" t="s">
        <v>2293</v>
      </c>
      <c r="C80" t="s">
        <v>2294</v>
      </c>
      <c r="D80" t="s">
        <v>2295</v>
      </c>
      <c r="E80" t="s">
        <v>259</v>
      </c>
      <c r="F80">
        <v>202104</v>
      </c>
      <c r="G80" t="s">
        <v>265</v>
      </c>
      <c r="H80">
        <v>1768140</v>
      </c>
      <c r="O80" t="s">
        <v>2292</v>
      </c>
      <c r="P80" t="s">
        <v>2293</v>
      </c>
      <c r="Q80" t="s">
        <v>2294</v>
      </c>
      <c r="R80" t="s">
        <v>2295</v>
      </c>
      <c r="S80" t="s">
        <v>259</v>
      </c>
      <c r="T80">
        <v>202205</v>
      </c>
      <c r="U80" t="s">
        <v>266</v>
      </c>
      <c r="V80">
        <v>24180</v>
      </c>
    </row>
    <row r="81" spans="1:22">
      <c r="A81" t="s">
        <v>2292</v>
      </c>
      <c r="B81" t="s">
        <v>2293</v>
      </c>
      <c r="C81" t="s">
        <v>2294</v>
      </c>
      <c r="D81" t="s">
        <v>2295</v>
      </c>
      <c r="E81" t="s">
        <v>259</v>
      </c>
      <c r="F81">
        <v>202104</v>
      </c>
      <c r="G81" t="s">
        <v>266</v>
      </c>
      <c r="H81">
        <v>23272</v>
      </c>
      <c r="O81" t="s">
        <v>2292</v>
      </c>
      <c r="P81" t="s">
        <v>2293</v>
      </c>
      <c r="Q81" t="s">
        <v>2294</v>
      </c>
      <c r="R81" t="s">
        <v>2295</v>
      </c>
      <c r="S81" t="s">
        <v>259</v>
      </c>
      <c r="T81">
        <v>202206</v>
      </c>
      <c r="U81" t="s">
        <v>268</v>
      </c>
      <c r="V81">
        <v>0</v>
      </c>
    </row>
    <row r="82" spans="1:22">
      <c r="A82" t="s">
        <v>2292</v>
      </c>
      <c r="B82" t="s">
        <v>2293</v>
      </c>
      <c r="C82" t="s">
        <v>2294</v>
      </c>
      <c r="D82" t="s">
        <v>2295</v>
      </c>
      <c r="E82" t="s">
        <v>259</v>
      </c>
      <c r="F82">
        <v>202105</v>
      </c>
      <c r="G82" t="s">
        <v>268</v>
      </c>
      <c r="H82">
        <v>0</v>
      </c>
      <c r="O82" t="s">
        <v>2292</v>
      </c>
      <c r="P82" t="s">
        <v>2293</v>
      </c>
      <c r="Q82" t="s">
        <v>2294</v>
      </c>
      <c r="R82" t="s">
        <v>2295</v>
      </c>
      <c r="S82" t="s">
        <v>259</v>
      </c>
      <c r="T82">
        <v>202206</v>
      </c>
      <c r="U82" t="s">
        <v>269</v>
      </c>
      <c r="V82">
        <v>1738109</v>
      </c>
    </row>
    <row r="83" spans="1:22">
      <c r="A83" t="s">
        <v>2292</v>
      </c>
      <c r="B83" t="s">
        <v>2293</v>
      </c>
      <c r="C83" t="s">
        <v>2294</v>
      </c>
      <c r="D83" t="s">
        <v>2295</v>
      </c>
      <c r="E83" t="s">
        <v>259</v>
      </c>
      <c r="F83">
        <v>202105</v>
      </c>
      <c r="G83" t="s">
        <v>269</v>
      </c>
      <c r="H83">
        <v>1652247</v>
      </c>
      <c r="O83" t="s">
        <v>2292</v>
      </c>
      <c r="P83" t="s">
        <v>2293</v>
      </c>
      <c r="Q83" t="s">
        <v>2294</v>
      </c>
      <c r="R83" t="s">
        <v>2295</v>
      </c>
      <c r="S83" t="s">
        <v>259</v>
      </c>
      <c r="T83">
        <v>202206</v>
      </c>
      <c r="U83" t="s">
        <v>264</v>
      </c>
      <c r="V83">
        <v>0</v>
      </c>
    </row>
    <row r="84" spans="1:22">
      <c r="A84" t="s">
        <v>2292</v>
      </c>
      <c r="B84" t="s">
        <v>2293</v>
      </c>
      <c r="C84" t="s">
        <v>2294</v>
      </c>
      <c r="D84" t="s">
        <v>2295</v>
      </c>
      <c r="E84" t="s">
        <v>259</v>
      </c>
      <c r="F84">
        <v>202105</v>
      </c>
      <c r="G84" t="s">
        <v>264</v>
      </c>
      <c r="H84">
        <v>0</v>
      </c>
      <c r="O84" t="s">
        <v>2292</v>
      </c>
      <c r="P84" t="s">
        <v>2293</v>
      </c>
      <c r="Q84" t="s">
        <v>2294</v>
      </c>
      <c r="R84" t="s">
        <v>2295</v>
      </c>
      <c r="S84" t="s">
        <v>259</v>
      </c>
      <c r="T84">
        <v>202206</v>
      </c>
      <c r="U84" t="s">
        <v>265</v>
      </c>
      <c r="V84">
        <v>1762273</v>
      </c>
    </row>
    <row r="85" spans="1:22">
      <c r="A85" t="s">
        <v>2292</v>
      </c>
      <c r="B85" t="s">
        <v>2293</v>
      </c>
      <c r="C85" t="s">
        <v>2294</v>
      </c>
      <c r="D85" t="s">
        <v>2295</v>
      </c>
      <c r="E85" t="s">
        <v>259</v>
      </c>
      <c r="F85">
        <v>202105</v>
      </c>
      <c r="G85" t="s">
        <v>265</v>
      </c>
      <c r="H85">
        <v>1678417</v>
      </c>
      <c r="O85" t="s">
        <v>2292</v>
      </c>
      <c r="P85" t="s">
        <v>2293</v>
      </c>
      <c r="Q85" t="s">
        <v>2294</v>
      </c>
      <c r="R85" t="s">
        <v>2295</v>
      </c>
      <c r="S85" t="s">
        <v>259</v>
      </c>
      <c r="T85">
        <v>202206</v>
      </c>
      <c r="U85" t="s">
        <v>266</v>
      </c>
      <c r="V85">
        <v>24164</v>
      </c>
    </row>
    <row r="86" spans="1:22">
      <c r="A86" t="s">
        <v>2292</v>
      </c>
      <c r="B86" t="s">
        <v>2293</v>
      </c>
      <c r="C86" t="s">
        <v>2294</v>
      </c>
      <c r="D86" t="s">
        <v>2295</v>
      </c>
      <c r="E86" t="s">
        <v>259</v>
      </c>
      <c r="F86">
        <v>202105</v>
      </c>
      <c r="G86" t="s">
        <v>266</v>
      </c>
      <c r="H86">
        <v>26170</v>
      </c>
    </row>
    <row r="87" spans="1:22">
      <c r="A87" t="s">
        <v>2292</v>
      </c>
      <c r="B87" t="s">
        <v>2293</v>
      </c>
      <c r="C87" t="s">
        <v>2294</v>
      </c>
      <c r="D87" t="s">
        <v>2295</v>
      </c>
      <c r="E87" t="s">
        <v>259</v>
      </c>
      <c r="F87">
        <v>202106</v>
      </c>
      <c r="G87" t="s">
        <v>268</v>
      </c>
      <c r="H87">
        <v>0</v>
      </c>
    </row>
    <row r="88" spans="1:22">
      <c r="A88" t="s">
        <v>2292</v>
      </c>
      <c r="B88" t="s">
        <v>2293</v>
      </c>
      <c r="C88" t="s">
        <v>2294</v>
      </c>
      <c r="D88" t="s">
        <v>2295</v>
      </c>
      <c r="E88" t="s">
        <v>259</v>
      </c>
      <c r="F88">
        <v>202106</v>
      </c>
      <c r="G88" t="s">
        <v>269</v>
      </c>
      <c r="H88">
        <v>1641590</v>
      </c>
    </row>
    <row r="89" spans="1:22">
      <c r="A89" t="s">
        <v>2292</v>
      </c>
      <c r="B89" t="s">
        <v>2293</v>
      </c>
      <c r="C89" t="s">
        <v>2294</v>
      </c>
      <c r="D89" t="s">
        <v>2295</v>
      </c>
      <c r="E89" t="s">
        <v>259</v>
      </c>
      <c r="F89">
        <v>202106</v>
      </c>
      <c r="G89" t="s">
        <v>264</v>
      </c>
      <c r="H89">
        <v>0</v>
      </c>
    </row>
    <row r="90" spans="1:22">
      <c r="A90" t="s">
        <v>2292</v>
      </c>
      <c r="B90" t="s">
        <v>2293</v>
      </c>
      <c r="C90" t="s">
        <v>2294</v>
      </c>
      <c r="D90" t="s">
        <v>2295</v>
      </c>
      <c r="E90" t="s">
        <v>259</v>
      </c>
      <c r="F90">
        <v>202106</v>
      </c>
      <c r="G90" t="s">
        <v>265</v>
      </c>
      <c r="H90">
        <v>1667087</v>
      </c>
    </row>
    <row r="91" spans="1:22">
      <c r="A91" t="s">
        <v>2292</v>
      </c>
      <c r="B91" t="s">
        <v>2293</v>
      </c>
      <c r="C91" t="s">
        <v>2294</v>
      </c>
      <c r="D91" t="s">
        <v>2295</v>
      </c>
      <c r="E91" t="s">
        <v>259</v>
      </c>
      <c r="F91">
        <v>202106</v>
      </c>
      <c r="G91" t="s">
        <v>266</v>
      </c>
      <c r="H91">
        <v>26170</v>
      </c>
    </row>
    <row r="92" spans="1:22">
      <c r="A92" t="s">
        <v>2292</v>
      </c>
      <c r="B92" t="s">
        <v>2293</v>
      </c>
      <c r="C92" t="s">
        <v>2294</v>
      </c>
      <c r="D92" t="s">
        <v>2295</v>
      </c>
      <c r="E92" t="s">
        <v>259</v>
      </c>
      <c r="F92">
        <v>202107</v>
      </c>
      <c r="G92" t="s">
        <v>268</v>
      </c>
      <c r="H92">
        <v>0</v>
      </c>
    </row>
    <row r="93" spans="1:22">
      <c r="A93" t="s">
        <v>2292</v>
      </c>
      <c r="B93" t="s">
        <v>2293</v>
      </c>
      <c r="C93" t="s">
        <v>2294</v>
      </c>
      <c r="D93" t="s">
        <v>2295</v>
      </c>
      <c r="E93" t="s">
        <v>259</v>
      </c>
      <c r="F93">
        <v>202107</v>
      </c>
      <c r="G93" t="s">
        <v>269</v>
      </c>
      <c r="H93">
        <v>1593483</v>
      </c>
    </row>
    <row r="94" spans="1:22">
      <c r="A94" t="s">
        <v>2292</v>
      </c>
      <c r="B94" t="s">
        <v>2293</v>
      </c>
      <c r="C94" t="s">
        <v>2294</v>
      </c>
      <c r="D94" t="s">
        <v>2295</v>
      </c>
      <c r="E94" t="s">
        <v>259</v>
      </c>
      <c r="F94">
        <v>202107</v>
      </c>
      <c r="G94" t="s">
        <v>264</v>
      </c>
      <c r="H94">
        <v>0</v>
      </c>
    </row>
    <row r="95" spans="1:22">
      <c r="A95" t="s">
        <v>2292</v>
      </c>
      <c r="B95" t="s">
        <v>2293</v>
      </c>
      <c r="C95" t="s">
        <v>2294</v>
      </c>
      <c r="D95" t="s">
        <v>2295</v>
      </c>
      <c r="E95" t="s">
        <v>259</v>
      </c>
      <c r="F95">
        <v>202107</v>
      </c>
      <c r="G95" t="s">
        <v>265</v>
      </c>
      <c r="H95">
        <v>1619698</v>
      </c>
    </row>
    <row r="96" spans="1:22">
      <c r="A96" t="s">
        <v>2292</v>
      </c>
      <c r="B96" t="s">
        <v>2293</v>
      </c>
      <c r="C96" t="s">
        <v>2294</v>
      </c>
      <c r="D96" t="s">
        <v>2295</v>
      </c>
      <c r="E96" t="s">
        <v>259</v>
      </c>
      <c r="F96">
        <v>202107</v>
      </c>
      <c r="G96" t="s">
        <v>266</v>
      </c>
      <c r="H96">
        <v>26215</v>
      </c>
    </row>
    <row r="97" spans="1:8">
      <c r="A97" t="s">
        <v>2292</v>
      </c>
      <c r="B97" t="s">
        <v>2293</v>
      </c>
      <c r="C97" t="s">
        <v>2294</v>
      </c>
      <c r="D97" t="s">
        <v>2295</v>
      </c>
      <c r="E97" t="s">
        <v>259</v>
      </c>
      <c r="F97">
        <v>202108</v>
      </c>
      <c r="G97" t="s">
        <v>268</v>
      </c>
      <c r="H97">
        <v>0</v>
      </c>
    </row>
    <row r="98" spans="1:8">
      <c r="A98" t="s">
        <v>2292</v>
      </c>
      <c r="B98" t="s">
        <v>2293</v>
      </c>
      <c r="C98" t="s">
        <v>2294</v>
      </c>
      <c r="D98" t="s">
        <v>2295</v>
      </c>
      <c r="E98" t="s">
        <v>259</v>
      </c>
      <c r="F98">
        <v>202108</v>
      </c>
      <c r="G98" t="s">
        <v>269</v>
      </c>
      <c r="H98">
        <v>1667435</v>
      </c>
    </row>
    <row r="99" spans="1:8">
      <c r="A99" t="s">
        <v>2292</v>
      </c>
      <c r="B99" t="s">
        <v>2293</v>
      </c>
      <c r="C99" t="s">
        <v>2294</v>
      </c>
      <c r="D99" t="s">
        <v>2295</v>
      </c>
      <c r="E99" t="s">
        <v>259</v>
      </c>
      <c r="F99">
        <v>202108</v>
      </c>
      <c r="G99" t="s">
        <v>264</v>
      </c>
      <c r="H99">
        <v>0</v>
      </c>
    </row>
    <row r="100" spans="1:8">
      <c r="A100" t="s">
        <v>2292</v>
      </c>
      <c r="B100" t="s">
        <v>2293</v>
      </c>
      <c r="C100" t="s">
        <v>2294</v>
      </c>
      <c r="D100" t="s">
        <v>2295</v>
      </c>
      <c r="E100" t="s">
        <v>259</v>
      </c>
      <c r="F100">
        <v>202108</v>
      </c>
      <c r="G100" t="s">
        <v>265</v>
      </c>
      <c r="H100">
        <v>1694718</v>
      </c>
    </row>
    <row r="101" spans="1:8">
      <c r="A101" t="s">
        <v>2292</v>
      </c>
      <c r="B101" t="s">
        <v>2293</v>
      </c>
      <c r="C101" t="s">
        <v>2294</v>
      </c>
      <c r="D101" t="s">
        <v>2295</v>
      </c>
      <c r="E101" t="s">
        <v>259</v>
      </c>
      <c r="F101">
        <v>202108</v>
      </c>
      <c r="G101" t="s">
        <v>266</v>
      </c>
      <c r="H101">
        <v>27283</v>
      </c>
    </row>
    <row r="102" spans="1:8">
      <c r="A102" t="s">
        <v>2292</v>
      </c>
      <c r="B102" t="s">
        <v>2293</v>
      </c>
      <c r="C102" t="s">
        <v>2294</v>
      </c>
      <c r="D102" t="s">
        <v>2295</v>
      </c>
      <c r="E102" t="s">
        <v>259</v>
      </c>
      <c r="F102">
        <v>202109</v>
      </c>
      <c r="G102" t="s">
        <v>268</v>
      </c>
      <c r="H102">
        <v>0</v>
      </c>
    </row>
    <row r="103" spans="1:8">
      <c r="A103" t="s">
        <v>2292</v>
      </c>
      <c r="B103" t="s">
        <v>2293</v>
      </c>
      <c r="C103" t="s">
        <v>2294</v>
      </c>
      <c r="D103" t="s">
        <v>2295</v>
      </c>
      <c r="E103" t="s">
        <v>259</v>
      </c>
      <c r="F103">
        <v>202109</v>
      </c>
      <c r="G103" t="s">
        <v>269</v>
      </c>
      <c r="H103">
        <v>1668274</v>
      </c>
    </row>
    <row r="104" spans="1:8">
      <c r="A104" t="s">
        <v>2292</v>
      </c>
      <c r="B104" t="s">
        <v>2293</v>
      </c>
      <c r="C104" t="s">
        <v>2294</v>
      </c>
      <c r="D104" t="s">
        <v>2295</v>
      </c>
      <c r="E104" t="s">
        <v>259</v>
      </c>
      <c r="F104">
        <v>202109</v>
      </c>
      <c r="G104" t="s">
        <v>264</v>
      </c>
      <c r="H104">
        <v>0</v>
      </c>
    </row>
    <row r="105" spans="1:8">
      <c r="A105" t="s">
        <v>2292</v>
      </c>
      <c r="B105" t="s">
        <v>2293</v>
      </c>
      <c r="C105" t="s">
        <v>2294</v>
      </c>
      <c r="D105" t="s">
        <v>2295</v>
      </c>
      <c r="E105" t="s">
        <v>259</v>
      </c>
      <c r="F105">
        <v>202109</v>
      </c>
      <c r="G105" t="s">
        <v>265</v>
      </c>
      <c r="H105">
        <v>1695551</v>
      </c>
    </row>
    <row r="106" spans="1:8">
      <c r="A106" t="s">
        <v>2292</v>
      </c>
      <c r="B106" t="s">
        <v>2293</v>
      </c>
      <c r="C106" t="s">
        <v>2294</v>
      </c>
      <c r="D106" t="s">
        <v>2295</v>
      </c>
      <c r="E106" t="s">
        <v>259</v>
      </c>
      <c r="F106">
        <v>202109</v>
      </c>
      <c r="G106" t="s">
        <v>266</v>
      </c>
      <c r="H106">
        <v>27277</v>
      </c>
    </row>
    <row r="107" spans="1:8">
      <c r="A107" t="s">
        <v>2292</v>
      </c>
      <c r="B107" t="s">
        <v>2293</v>
      </c>
      <c r="C107" t="s">
        <v>2294</v>
      </c>
      <c r="D107" t="s">
        <v>2295</v>
      </c>
      <c r="E107" t="s">
        <v>259</v>
      </c>
      <c r="F107">
        <v>202110</v>
      </c>
      <c r="G107" t="s">
        <v>268</v>
      </c>
      <c r="H107">
        <v>0</v>
      </c>
    </row>
    <row r="108" spans="1:8">
      <c r="A108" t="s">
        <v>2292</v>
      </c>
      <c r="B108" t="s">
        <v>2293</v>
      </c>
      <c r="C108" t="s">
        <v>2294</v>
      </c>
      <c r="D108" t="s">
        <v>2295</v>
      </c>
      <c r="E108" t="s">
        <v>259</v>
      </c>
      <c r="F108">
        <v>202110</v>
      </c>
      <c r="G108" t="s">
        <v>269</v>
      </c>
      <c r="H108">
        <v>1659719</v>
      </c>
    </row>
    <row r="109" spans="1:8">
      <c r="A109" t="s">
        <v>2292</v>
      </c>
      <c r="B109" t="s">
        <v>2293</v>
      </c>
      <c r="C109" t="s">
        <v>2294</v>
      </c>
      <c r="D109" t="s">
        <v>2295</v>
      </c>
      <c r="E109" t="s">
        <v>259</v>
      </c>
      <c r="F109">
        <v>202110</v>
      </c>
      <c r="G109" t="s">
        <v>264</v>
      </c>
      <c r="H109">
        <v>0</v>
      </c>
    </row>
    <row r="110" spans="1:8">
      <c r="A110" t="s">
        <v>2292</v>
      </c>
      <c r="B110" t="s">
        <v>2293</v>
      </c>
      <c r="C110" t="s">
        <v>2294</v>
      </c>
      <c r="D110" t="s">
        <v>2295</v>
      </c>
      <c r="E110" t="s">
        <v>259</v>
      </c>
      <c r="F110">
        <v>202110</v>
      </c>
      <c r="G110" t="s">
        <v>265</v>
      </c>
      <c r="H110">
        <v>1688763</v>
      </c>
    </row>
    <row r="111" spans="1:8">
      <c r="A111" t="s">
        <v>2292</v>
      </c>
      <c r="B111" t="s">
        <v>2293</v>
      </c>
      <c r="C111" t="s">
        <v>2294</v>
      </c>
      <c r="D111" t="s">
        <v>2295</v>
      </c>
      <c r="E111" t="s">
        <v>259</v>
      </c>
      <c r="F111">
        <v>202110</v>
      </c>
      <c r="G111" t="s">
        <v>266</v>
      </c>
      <c r="H111">
        <v>29044</v>
      </c>
    </row>
    <row r="112" spans="1:8">
      <c r="A112" t="s">
        <v>2292</v>
      </c>
      <c r="B112" t="s">
        <v>2293</v>
      </c>
      <c r="C112" t="s">
        <v>2294</v>
      </c>
      <c r="D112" t="s">
        <v>2295</v>
      </c>
      <c r="E112" t="s">
        <v>259</v>
      </c>
      <c r="F112">
        <v>202111</v>
      </c>
      <c r="G112" t="s">
        <v>268</v>
      </c>
      <c r="H112">
        <v>0</v>
      </c>
    </row>
    <row r="113" spans="1:8">
      <c r="A113" t="s">
        <v>2292</v>
      </c>
      <c r="B113" t="s">
        <v>2293</v>
      </c>
      <c r="C113" t="s">
        <v>2294</v>
      </c>
      <c r="D113" t="s">
        <v>2295</v>
      </c>
      <c r="E113" t="s">
        <v>259</v>
      </c>
      <c r="F113">
        <v>202111</v>
      </c>
      <c r="G113" t="s">
        <v>269</v>
      </c>
      <c r="H113">
        <v>1614341</v>
      </c>
    </row>
    <row r="114" spans="1:8">
      <c r="A114" t="s">
        <v>2292</v>
      </c>
      <c r="B114" t="s">
        <v>2293</v>
      </c>
      <c r="C114" t="s">
        <v>2294</v>
      </c>
      <c r="D114" t="s">
        <v>2295</v>
      </c>
      <c r="E114" t="s">
        <v>259</v>
      </c>
      <c r="F114">
        <v>202111</v>
      </c>
      <c r="G114" t="s">
        <v>264</v>
      </c>
      <c r="H114">
        <v>0</v>
      </c>
    </row>
    <row r="115" spans="1:8">
      <c r="A115" t="s">
        <v>2292</v>
      </c>
      <c r="B115" t="s">
        <v>2293</v>
      </c>
      <c r="C115" t="s">
        <v>2294</v>
      </c>
      <c r="D115" t="s">
        <v>2295</v>
      </c>
      <c r="E115" t="s">
        <v>259</v>
      </c>
      <c r="F115">
        <v>202111</v>
      </c>
      <c r="G115" t="s">
        <v>265</v>
      </c>
      <c r="H115">
        <v>1644338</v>
      </c>
    </row>
    <row r="116" spans="1:8">
      <c r="A116" t="s">
        <v>2292</v>
      </c>
      <c r="B116" t="s">
        <v>2293</v>
      </c>
      <c r="C116" t="s">
        <v>2294</v>
      </c>
      <c r="D116" t="s">
        <v>2295</v>
      </c>
      <c r="E116" t="s">
        <v>259</v>
      </c>
      <c r="F116">
        <v>202111</v>
      </c>
      <c r="G116" t="s">
        <v>266</v>
      </c>
      <c r="H116">
        <v>29997</v>
      </c>
    </row>
    <row r="117" spans="1:8">
      <c r="A117" t="s">
        <v>2292</v>
      </c>
      <c r="B117" t="s">
        <v>2293</v>
      </c>
      <c r="C117" t="s">
        <v>2294</v>
      </c>
      <c r="D117" t="s">
        <v>2295</v>
      </c>
      <c r="E117" t="s">
        <v>259</v>
      </c>
      <c r="F117">
        <v>202112</v>
      </c>
      <c r="G117" t="s">
        <v>268</v>
      </c>
      <c r="H117">
        <v>0</v>
      </c>
    </row>
    <row r="118" spans="1:8">
      <c r="A118" t="s">
        <v>2292</v>
      </c>
      <c r="B118" t="s">
        <v>2293</v>
      </c>
      <c r="C118" t="s">
        <v>2294</v>
      </c>
      <c r="D118" t="s">
        <v>2295</v>
      </c>
      <c r="E118" t="s">
        <v>259</v>
      </c>
      <c r="F118">
        <v>202112</v>
      </c>
      <c r="G118" t="s">
        <v>269</v>
      </c>
      <c r="H118">
        <v>1671804</v>
      </c>
    </row>
    <row r="119" spans="1:8">
      <c r="A119" t="s">
        <v>2292</v>
      </c>
      <c r="B119" t="s">
        <v>2293</v>
      </c>
      <c r="C119" t="s">
        <v>2294</v>
      </c>
      <c r="D119" t="s">
        <v>2295</v>
      </c>
      <c r="E119" t="s">
        <v>259</v>
      </c>
      <c r="F119">
        <v>202112</v>
      </c>
      <c r="G119" t="s">
        <v>264</v>
      </c>
      <c r="H119">
        <v>0</v>
      </c>
    </row>
    <row r="120" spans="1:8">
      <c r="A120" t="s">
        <v>2292</v>
      </c>
      <c r="B120" t="s">
        <v>2293</v>
      </c>
      <c r="C120" t="s">
        <v>2294</v>
      </c>
      <c r="D120" t="s">
        <v>2295</v>
      </c>
      <c r="E120" t="s">
        <v>259</v>
      </c>
      <c r="F120">
        <v>202112</v>
      </c>
      <c r="G120" t="s">
        <v>265</v>
      </c>
      <c r="H120">
        <v>1698245</v>
      </c>
    </row>
    <row r="121" spans="1:8">
      <c r="A121" t="s">
        <v>2292</v>
      </c>
      <c r="B121" t="s">
        <v>2293</v>
      </c>
      <c r="C121" t="s">
        <v>2294</v>
      </c>
      <c r="D121" t="s">
        <v>2295</v>
      </c>
      <c r="E121" t="s">
        <v>259</v>
      </c>
      <c r="F121">
        <v>202112</v>
      </c>
      <c r="G121" t="s">
        <v>266</v>
      </c>
      <c r="H121">
        <v>26441</v>
      </c>
    </row>
    <row r="122" spans="1:8">
      <c r="A122" t="s">
        <v>2292</v>
      </c>
      <c r="B122" t="s">
        <v>2293</v>
      </c>
      <c r="C122" t="s">
        <v>2294</v>
      </c>
      <c r="D122" t="s">
        <v>2295</v>
      </c>
      <c r="E122" t="s">
        <v>259</v>
      </c>
      <c r="F122">
        <v>202201</v>
      </c>
      <c r="G122" t="s">
        <v>268</v>
      </c>
      <c r="H122">
        <v>0</v>
      </c>
    </row>
    <row r="123" spans="1:8">
      <c r="A123" t="s">
        <v>2292</v>
      </c>
      <c r="B123" t="s">
        <v>2293</v>
      </c>
      <c r="C123" t="s">
        <v>2294</v>
      </c>
      <c r="D123" t="s">
        <v>2295</v>
      </c>
      <c r="E123" t="s">
        <v>259</v>
      </c>
      <c r="F123">
        <v>202201</v>
      </c>
      <c r="G123" t="s">
        <v>269</v>
      </c>
      <c r="H123">
        <v>1761122</v>
      </c>
    </row>
    <row r="124" spans="1:8">
      <c r="A124" t="s">
        <v>2292</v>
      </c>
      <c r="B124" t="s">
        <v>2293</v>
      </c>
      <c r="C124" t="s">
        <v>2294</v>
      </c>
      <c r="D124" t="s">
        <v>2295</v>
      </c>
      <c r="E124" t="s">
        <v>259</v>
      </c>
      <c r="F124">
        <v>202201</v>
      </c>
      <c r="G124" t="s">
        <v>264</v>
      </c>
      <c r="H124">
        <v>0</v>
      </c>
    </row>
    <row r="125" spans="1:8">
      <c r="A125" t="s">
        <v>2292</v>
      </c>
      <c r="B125" t="s">
        <v>2293</v>
      </c>
      <c r="C125" t="s">
        <v>2294</v>
      </c>
      <c r="D125" t="s">
        <v>2295</v>
      </c>
      <c r="E125" t="s">
        <v>259</v>
      </c>
      <c r="F125">
        <v>202201</v>
      </c>
      <c r="G125" t="s">
        <v>265</v>
      </c>
      <c r="H125">
        <v>1784011</v>
      </c>
    </row>
    <row r="126" spans="1:8">
      <c r="A126" t="s">
        <v>2292</v>
      </c>
      <c r="B126" t="s">
        <v>2293</v>
      </c>
      <c r="C126" t="s">
        <v>2294</v>
      </c>
      <c r="D126" t="s">
        <v>2295</v>
      </c>
      <c r="E126" t="s">
        <v>259</v>
      </c>
      <c r="F126">
        <v>202201</v>
      </c>
      <c r="G126" t="s">
        <v>266</v>
      </c>
      <c r="H126">
        <v>22889</v>
      </c>
    </row>
    <row r="127" spans="1:8">
      <c r="A127" t="s">
        <v>2292</v>
      </c>
      <c r="B127" t="s">
        <v>2293</v>
      </c>
      <c r="C127" t="s">
        <v>2294</v>
      </c>
      <c r="D127" t="s">
        <v>2295</v>
      </c>
      <c r="E127" t="s">
        <v>259</v>
      </c>
      <c r="F127">
        <v>202202</v>
      </c>
      <c r="G127" t="s">
        <v>268</v>
      </c>
      <c r="H127">
        <v>0</v>
      </c>
    </row>
    <row r="128" spans="1:8">
      <c r="A128" t="s">
        <v>2292</v>
      </c>
      <c r="B128" t="s">
        <v>2293</v>
      </c>
      <c r="C128" t="s">
        <v>2294</v>
      </c>
      <c r="D128" t="s">
        <v>2295</v>
      </c>
      <c r="E128" t="s">
        <v>259</v>
      </c>
      <c r="F128">
        <v>202202</v>
      </c>
      <c r="G128" t="s">
        <v>269</v>
      </c>
      <c r="H128">
        <v>1709714</v>
      </c>
    </row>
    <row r="129" spans="1:8">
      <c r="A129" t="s">
        <v>2292</v>
      </c>
      <c r="B129" t="s">
        <v>2293</v>
      </c>
      <c r="C129" t="s">
        <v>2294</v>
      </c>
      <c r="D129" t="s">
        <v>2295</v>
      </c>
      <c r="E129" t="s">
        <v>259</v>
      </c>
      <c r="F129">
        <v>202202</v>
      </c>
      <c r="G129" t="s">
        <v>264</v>
      </c>
      <c r="H129">
        <v>0</v>
      </c>
    </row>
    <row r="130" spans="1:8">
      <c r="A130" t="s">
        <v>2292</v>
      </c>
      <c r="B130" t="s">
        <v>2293</v>
      </c>
      <c r="C130" t="s">
        <v>2294</v>
      </c>
      <c r="D130" t="s">
        <v>2295</v>
      </c>
      <c r="E130" t="s">
        <v>259</v>
      </c>
      <c r="F130">
        <v>202202</v>
      </c>
      <c r="G130" t="s">
        <v>265</v>
      </c>
      <c r="H130">
        <v>1730212</v>
      </c>
    </row>
    <row r="131" spans="1:8">
      <c r="A131" t="s">
        <v>2292</v>
      </c>
      <c r="B131" t="s">
        <v>2293</v>
      </c>
      <c r="C131" t="s">
        <v>2294</v>
      </c>
      <c r="D131" t="s">
        <v>2295</v>
      </c>
      <c r="E131" t="s">
        <v>259</v>
      </c>
      <c r="F131">
        <v>202202</v>
      </c>
      <c r="G131" t="s">
        <v>266</v>
      </c>
      <c r="H131">
        <v>22498</v>
      </c>
    </row>
    <row r="132" spans="1:8">
      <c r="A132" t="s">
        <v>2292</v>
      </c>
      <c r="B132" t="s">
        <v>2293</v>
      </c>
      <c r="C132" t="s">
        <v>2294</v>
      </c>
      <c r="D132" t="s">
        <v>2295</v>
      </c>
      <c r="E132" t="s">
        <v>259</v>
      </c>
      <c r="F132">
        <v>202203</v>
      </c>
      <c r="G132" t="s">
        <v>268</v>
      </c>
      <c r="H132">
        <v>0</v>
      </c>
    </row>
    <row r="133" spans="1:8">
      <c r="A133" t="s">
        <v>2292</v>
      </c>
      <c r="B133" t="s">
        <v>2293</v>
      </c>
      <c r="C133" t="s">
        <v>2294</v>
      </c>
      <c r="D133" t="s">
        <v>2295</v>
      </c>
      <c r="E133" t="s">
        <v>259</v>
      </c>
      <c r="F133">
        <v>202203</v>
      </c>
      <c r="G133" t="s">
        <v>269</v>
      </c>
      <c r="H133">
        <v>1621928</v>
      </c>
    </row>
    <row r="134" spans="1:8">
      <c r="A134" t="s">
        <v>2292</v>
      </c>
      <c r="B134" t="s">
        <v>2293</v>
      </c>
      <c r="C134" t="s">
        <v>2294</v>
      </c>
      <c r="D134" t="s">
        <v>2295</v>
      </c>
      <c r="E134" t="s">
        <v>259</v>
      </c>
      <c r="F134">
        <v>202203</v>
      </c>
      <c r="G134" t="s">
        <v>264</v>
      </c>
      <c r="H134">
        <v>0</v>
      </c>
    </row>
    <row r="135" spans="1:8">
      <c r="A135" t="s">
        <v>2292</v>
      </c>
      <c r="B135" t="s">
        <v>2293</v>
      </c>
      <c r="C135" t="s">
        <v>2294</v>
      </c>
      <c r="D135" t="s">
        <v>2295</v>
      </c>
      <c r="E135" t="s">
        <v>259</v>
      </c>
      <c r="F135">
        <v>202203</v>
      </c>
      <c r="G135" t="s">
        <v>265</v>
      </c>
      <c r="H135">
        <v>1644082</v>
      </c>
    </row>
    <row r="136" spans="1:8">
      <c r="A136" t="s">
        <v>2292</v>
      </c>
      <c r="B136" t="s">
        <v>2293</v>
      </c>
      <c r="C136" t="s">
        <v>2294</v>
      </c>
      <c r="D136" t="s">
        <v>2295</v>
      </c>
      <c r="E136" t="s">
        <v>259</v>
      </c>
      <c r="F136">
        <v>202203</v>
      </c>
      <c r="G136" t="s">
        <v>266</v>
      </c>
      <c r="H136">
        <v>20154</v>
      </c>
    </row>
    <row r="137" spans="1:8">
      <c r="A137" t="s">
        <v>2292</v>
      </c>
      <c r="B137" t="s">
        <v>2293</v>
      </c>
      <c r="C137" t="s">
        <v>2294</v>
      </c>
      <c r="D137" t="s">
        <v>2295</v>
      </c>
      <c r="E137" t="s">
        <v>259</v>
      </c>
      <c r="F137">
        <v>202204</v>
      </c>
      <c r="G137" t="s">
        <v>268</v>
      </c>
      <c r="H137">
        <v>0</v>
      </c>
    </row>
    <row r="138" spans="1:8">
      <c r="A138" t="s">
        <v>2292</v>
      </c>
      <c r="B138" t="s">
        <v>2293</v>
      </c>
      <c r="C138" t="s">
        <v>2294</v>
      </c>
      <c r="D138" t="s">
        <v>2295</v>
      </c>
      <c r="E138" t="s">
        <v>259</v>
      </c>
      <c r="F138">
        <v>202204</v>
      </c>
      <c r="G138" t="s">
        <v>269</v>
      </c>
      <c r="H138">
        <v>1880585</v>
      </c>
    </row>
    <row r="139" spans="1:8">
      <c r="A139" t="s">
        <v>2292</v>
      </c>
      <c r="B139" t="s">
        <v>2293</v>
      </c>
      <c r="C139" t="s">
        <v>2294</v>
      </c>
      <c r="D139" t="s">
        <v>2295</v>
      </c>
      <c r="E139" t="s">
        <v>259</v>
      </c>
      <c r="F139">
        <v>202204</v>
      </c>
      <c r="G139" t="s">
        <v>264</v>
      </c>
      <c r="H139">
        <v>0</v>
      </c>
    </row>
    <row r="140" spans="1:8">
      <c r="A140" t="s">
        <v>2292</v>
      </c>
      <c r="B140" t="s">
        <v>2293</v>
      </c>
      <c r="C140" t="s">
        <v>2294</v>
      </c>
      <c r="D140" t="s">
        <v>2295</v>
      </c>
      <c r="E140" t="s">
        <v>259</v>
      </c>
      <c r="F140">
        <v>202204</v>
      </c>
      <c r="G140" t="s">
        <v>265</v>
      </c>
      <c r="H140">
        <v>1901901</v>
      </c>
    </row>
    <row r="141" spans="1:8">
      <c r="A141" t="s">
        <v>2292</v>
      </c>
      <c r="B141" t="s">
        <v>2293</v>
      </c>
      <c r="C141" t="s">
        <v>2294</v>
      </c>
      <c r="D141" t="s">
        <v>2295</v>
      </c>
      <c r="E141" t="s">
        <v>259</v>
      </c>
      <c r="F141">
        <v>202204</v>
      </c>
      <c r="G141" t="s">
        <v>266</v>
      </c>
      <c r="H141">
        <v>21316</v>
      </c>
    </row>
    <row r="142" spans="1:8">
      <c r="A142" t="s">
        <v>2292</v>
      </c>
      <c r="B142" t="s">
        <v>2293</v>
      </c>
      <c r="C142" t="s">
        <v>2294</v>
      </c>
      <c r="D142" t="s">
        <v>2295</v>
      </c>
      <c r="E142" t="s">
        <v>259</v>
      </c>
      <c r="F142">
        <v>202205</v>
      </c>
      <c r="G142" t="s">
        <v>268</v>
      </c>
      <c r="H142">
        <v>0</v>
      </c>
    </row>
    <row r="143" spans="1:8">
      <c r="A143" t="s">
        <v>2292</v>
      </c>
      <c r="B143" t="s">
        <v>2293</v>
      </c>
      <c r="C143" t="s">
        <v>2294</v>
      </c>
      <c r="D143" t="s">
        <v>2295</v>
      </c>
      <c r="E143" t="s">
        <v>259</v>
      </c>
      <c r="F143">
        <v>202205</v>
      </c>
      <c r="G143" t="s">
        <v>269</v>
      </c>
      <c r="H143">
        <v>1713971</v>
      </c>
    </row>
    <row r="144" spans="1:8">
      <c r="A144" t="s">
        <v>2292</v>
      </c>
      <c r="B144" t="s">
        <v>2293</v>
      </c>
      <c r="C144" t="s">
        <v>2294</v>
      </c>
      <c r="D144" t="s">
        <v>2295</v>
      </c>
      <c r="E144" t="s">
        <v>259</v>
      </c>
      <c r="F144">
        <v>202205</v>
      </c>
      <c r="G144" t="s">
        <v>264</v>
      </c>
      <c r="H144">
        <v>0</v>
      </c>
    </row>
    <row r="145" spans="1:8">
      <c r="A145" t="s">
        <v>2292</v>
      </c>
      <c r="B145" t="s">
        <v>2293</v>
      </c>
      <c r="C145" t="s">
        <v>2294</v>
      </c>
      <c r="D145" t="s">
        <v>2295</v>
      </c>
      <c r="E145" t="s">
        <v>259</v>
      </c>
      <c r="F145">
        <v>202205</v>
      </c>
      <c r="G145" t="s">
        <v>265</v>
      </c>
      <c r="H145">
        <v>1738151</v>
      </c>
    </row>
    <row r="146" spans="1:8">
      <c r="A146" t="s">
        <v>2292</v>
      </c>
      <c r="B146" t="s">
        <v>2293</v>
      </c>
      <c r="C146" t="s">
        <v>2294</v>
      </c>
      <c r="D146" t="s">
        <v>2295</v>
      </c>
      <c r="E146" t="s">
        <v>259</v>
      </c>
      <c r="F146">
        <v>202205</v>
      </c>
      <c r="G146" t="s">
        <v>266</v>
      </c>
      <c r="H146">
        <v>24180</v>
      </c>
    </row>
    <row r="147" spans="1:8">
      <c r="A147" t="s">
        <v>2292</v>
      </c>
      <c r="B147" t="s">
        <v>2293</v>
      </c>
      <c r="C147" t="s">
        <v>2294</v>
      </c>
      <c r="D147" t="s">
        <v>2295</v>
      </c>
      <c r="E147" t="s">
        <v>259</v>
      </c>
      <c r="F147">
        <v>202206</v>
      </c>
      <c r="G147" t="s">
        <v>268</v>
      </c>
      <c r="H147">
        <v>0</v>
      </c>
    </row>
    <row r="148" spans="1:8">
      <c r="A148" t="s">
        <v>2292</v>
      </c>
      <c r="B148" t="s">
        <v>2293</v>
      </c>
      <c r="C148" t="s">
        <v>2294</v>
      </c>
      <c r="D148" t="s">
        <v>2295</v>
      </c>
      <c r="E148" t="s">
        <v>259</v>
      </c>
      <c r="F148">
        <v>202206</v>
      </c>
      <c r="G148" t="s">
        <v>269</v>
      </c>
      <c r="H148">
        <v>1738109</v>
      </c>
    </row>
    <row r="149" spans="1:8">
      <c r="A149" t="s">
        <v>2292</v>
      </c>
      <c r="B149" t="s">
        <v>2293</v>
      </c>
      <c r="C149" t="s">
        <v>2294</v>
      </c>
      <c r="D149" t="s">
        <v>2295</v>
      </c>
      <c r="E149" t="s">
        <v>259</v>
      </c>
      <c r="F149">
        <v>202206</v>
      </c>
      <c r="G149" t="s">
        <v>264</v>
      </c>
      <c r="H149">
        <v>0</v>
      </c>
    </row>
    <row r="150" spans="1:8">
      <c r="A150" t="s">
        <v>2292</v>
      </c>
      <c r="B150" t="s">
        <v>2293</v>
      </c>
      <c r="C150" t="s">
        <v>2294</v>
      </c>
      <c r="D150" t="s">
        <v>2295</v>
      </c>
      <c r="E150" t="s">
        <v>259</v>
      </c>
      <c r="F150">
        <v>202206</v>
      </c>
      <c r="G150" t="s">
        <v>265</v>
      </c>
      <c r="H150">
        <v>1762273</v>
      </c>
    </row>
    <row r="151" spans="1:8">
      <c r="A151" t="s">
        <v>2292</v>
      </c>
      <c r="B151" t="s">
        <v>2293</v>
      </c>
      <c r="C151" t="s">
        <v>2294</v>
      </c>
      <c r="D151" t="s">
        <v>2295</v>
      </c>
      <c r="E151" t="s">
        <v>259</v>
      </c>
      <c r="F151">
        <v>202206</v>
      </c>
      <c r="G151" t="s">
        <v>266</v>
      </c>
      <c r="H151">
        <v>24164</v>
      </c>
    </row>
  </sheetData>
  <pageMargins left="0.511811024" right="0.511811024" top="0.78740157499999996" bottom="0.78740157499999996" header="0.31496062000000002" footer="0.31496062000000002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AX236"/>
  <sheetViews>
    <sheetView zoomScale="115" zoomScaleNormal="115" workbookViewId="0">
      <pane xSplit="1" topLeftCell="B1" activePane="topRight" state="frozen"/>
      <selection activeCell="A7" sqref="A7"/>
      <selection pane="topRight" activeCell="G64" sqref="G64"/>
    </sheetView>
  </sheetViews>
  <sheetFormatPr defaultRowHeight="15.75"/>
  <cols>
    <col min="1" max="1" width="16.28515625" customWidth="1"/>
    <col min="2" max="2" width="62.7109375" customWidth="1"/>
    <col min="3" max="3" width="21" customWidth="1"/>
    <col min="4" max="5" width="27.140625" customWidth="1"/>
    <col min="6" max="6" width="21.7109375" customWidth="1"/>
    <col min="7" max="7" width="9.140625" customWidth="1"/>
    <col min="8" max="8" width="12.5703125" customWidth="1"/>
    <col min="9" max="9" width="23.28515625" customWidth="1"/>
    <col min="10" max="10" width="14" customWidth="1"/>
    <col min="11" max="11" width="16" customWidth="1"/>
    <col min="12" max="12" width="15" customWidth="1"/>
    <col min="13" max="13" width="28.140625" customWidth="1"/>
    <col min="14" max="14" width="18.5703125" customWidth="1"/>
    <col min="15" max="15" width="29.7109375" customWidth="1"/>
    <col min="16" max="16" width="14" customWidth="1"/>
    <col min="17" max="17" width="16.28515625" customWidth="1"/>
    <col min="18" max="18" width="20.28515625" customWidth="1"/>
    <col min="19" max="19" width="14.42578125" customWidth="1"/>
    <col min="20" max="20" width="13" customWidth="1"/>
    <col min="21" max="21" width="23.85546875" customWidth="1"/>
    <col min="22" max="22" width="9.140625" customWidth="1"/>
    <col min="23" max="23" width="11.5703125" customWidth="1"/>
    <col min="24" max="24" width="23.140625" customWidth="1"/>
    <col min="25" max="25" width="12.140625" customWidth="1"/>
    <col min="26" max="26" width="14.5703125" customWidth="1"/>
    <col min="27" max="27" width="14.7109375" customWidth="1"/>
    <col min="28" max="28" width="14.28515625" customWidth="1"/>
    <col min="29" max="29" width="14" customWidth="1"/>
    <col min="30" max="30" width="15.140625" bestFit="1" customWidth="1"/>
    <col min="31" max="31" width="11.140625" customWidth="1"/>
    <col min="32" max="32" width="15.85546875" customWidth="1"/>
    <col min="33" max="33" width="10.140625" customWidth="1"/>
    <col min="34" max="34" width="18.7109375" customWidth="1"/>
    <col min="35" max="35" width="12.28515625" customWidth="1"/>
    <col min="36" max="36" width="10.140625" customWidth="1"/>
    <col min="37" max="37" width="17.85546875" bestFit="1" customWidth="1"/>
    <col min="38" max="39" width="10.140625" bestFit="1" customWidth="1"/>
    <col min="40" max="40" width="12.85546875" bestFit="1" customWidth="1"/>
    <col min="41" max="41" width="14" bestFit="1" customWidth="1"/>
    <col min="42" max="42" width="22.42578125" customWidth="1"/>
    <col min="43" max="43" width="10.140625" bestFit="1" customWidth="1"/>
    <col min="44" max="44" width="14.28515625" customWidth="1"/>
    <col min="45" max="45" width="13.42578125" style="233" bestFit="1" customWidth="1"/>
    <col min="46" max="46" width="14.5703125" bestFit="1" customWidth="1"/>
    <col min="49" max="49" width="18.7109375" bestFit="1" customWidth="1"/>
    <col min="50" max="50" width="14" style="233" bestFit="1" customWidth="1"/>
  </cols>
  <sheetData>
    <row r="1" spans="1:50">
      <c r="A1" s="9" t="s">
        <v>271</v>
      </c>
    </row>
    <row r="2" spans="1:50">
      <c r="A2" s="63" t="s">
        <v>272</v>
      </c>
      <c r="AI2" t="s">
        <v>273</v>
      </c>
    </row>
    <row r="3" spans="1:50">
      <c r="A3" s="63" t="s">
        <v>274</v>
      </c>
      <c r="AI3" t="s">
        <v>275</v>
      </c>
    </row>
    <row r="4" spans="1:50">
      <c r="A4" s="63" t="s">
        <v>276</v>
      </c>
    </row>
    <row r="7" spans="1:50">
      <c r="A7" s="652" t="s">
        <v>277</v>
      </c>
      <c r="M7" t="s">
        <v>278</v>
      </c>
    </row>
    <row r="8" spans="1:50">
      <c r="A8">
        <v>1</v>
      </c>
      <c r="B8">
        <f>A8+1</f>
        <v>2</v>
      </c>
      <c r="C8">
        <f t="shared" ref="C8:AE8" si="0">B8+1</f>
        <v>3</v>
      </c>
      <c r="D8">
        <f t="shared" si="0"/>
        <v>4</v>
      </c>
      <c r="E8">
        <f t="shared" si="0"/>
        <v>5</v>
      </c>
      <c r="F8">
        <f t="shared" si="0"/>
        <v>6</v>
      </c>
      <c r="G8">
        <f t="shared" si="0"/>
        <v>7</v>
      </c>
      <c r="H8">
        <f t="shared" si="0"/>
        <v>8</v>
      </c>
      <c r="I8">
        <f t="shared" si="0"/>
        <v>9</v>
      </c>
      <c r="J8">
        <f>I8+1</f>
        <v>10</v>
      </c>
      <c r="K8">
        <f>J8+1</f>
        <v>11</v>
      </c>
      <c r="L8">
        <f t="shared" si="0"/>
        <v>12</v>
      </c>
      <c r="M8">
        <f t="shared" si="0"/>
        <v>13</v>
      </c>
      <c r="N8">
        <f t="shared" si="0"/>
        <v>14</v>
      </c>
      <c r="O8">
        <f>N8+1</f>
        <v>15</v>
      </c>
      <c r="P8">
        <f>O8+1</f>
        <v>16</v>
      </c>
      <c r="Q8">
        <f t="shared" si="0"/>
        <v>17</v>
      </c>
      <c r="R8">
        <f t="shared" si="0"/>
        <v>18</v>
      </c>
      <c r="S8">
        <f t="shared" si="0"/>
        <v>19</v>
      </c>
      <c r="T8">
        <f t="shared" si="0"/>
        <v>20</v>
      </c>
      <c r="U8">
        <f t="shared" si="0"/>
        <v>21</v>
      </c>
      <c r="V8">
        <f t="shared" si="0"/>
        <v>22</v>
      </c>
      <c r="W8">
        <f t="shared" si="0"/>
        <v>23</v>
      </c>
      <c r="X8">
        <f t="shared" si="0"/>
        <v>24</v>
      </c>
      <c r="Y8">
        <f t="shared" si="0"/>
        <v>25</v>
      </c>
      <c r="Z8">
        <f t="shared" si="0"/>
        <v>26</v>
      </c>
      <c r="AA8">
        <f t="shared" si="0"/>
        <v>27</v>
      </c>
      <c r="AB8">
        <f t="shared" si="0"/>
        <v>28</v>
      </c>
      <c r="AC8">
        <f t="shared" si="0"/>
        <v>29</v>
      </c>
      <c r="AD8">
        <f t="shared" si="0"/>
        <v>30</v>
      </c>
      <c r="AE8">
        <f t="shared" si="0"/>
        <v>31</v>
      </c>
      <c r="AF8">
        <f t="shared" ref="AF8" si="1">AE8+1</f>
        <v>32</v>
      </c>
      <c r="AG8">
        <f t="shared" ref="AG8" si="2">AF8+1</f>
        <v>33</v>
      </c>
      <c r="AH8">
        <f t="shared" ref="AH8" si="3">AG8+1</f>
        <v>34</v>
      </c>
      <c r="AI8">
        <f t="shared" ref="AI8" si="4">AH8+1</f>
        <v>35</v>
      </c>
      <c r="AJ8">
        <f t="shared" ref="AJ8" si="5">AI8+1</f>
        <v>36</v>
      </c>
      <c r="AK8">
        <f t="shared" ref="AK8" si="6">AJ8+1</f>
        <v>37</v>
      </c>
      <c r="AL8">
        <f t="shared" ref="AL8" si="7">AK8+1</f>
        <v>38</v>
      </c>
      <c r="AM8">
        <f t="shared" ref="AM8:AN8" si="8">AL8+1</f>
        <v>39</v>
      </c>
      <c r="AN8">
        <f t="shared" si="8"/>
        <v>40</v>
      </c>
    </row>
    <row r="9" spans="1:50" ht="45">
      <c r="A9" s="1591" t="s">
        <v>279</v>
      </c>
      <c r="B9" s="1591" t="s">
        <v>280</v>
      </c>
      <c r="C9" s="1591" t="s">
        <v>281</v>
      </c>
      <c r="D9" s="1591" t="s">
        <v>282</v>
      </c>
      <c r="E9" s="1591" t="s">
        <v>283</v>
      </c>
      <c r="F9" s="1591" t="s">
        <v>284</v>
      </c>
      <c r="G9" s="1591" t="s">
        <v>285</v>
      </c>
      <c r="H9" s="1591" t="s">
        <v>286</v>
      </c>
      <c r="I9" s="1591" t="s">
        <v>287</v>
      </c>
      <c r="J9" s="1591" t="s">
        <v>288</v>
      </c>
      <c r="K9" s="1591" t="s">
        <v>289</v>
      </c>
      <c r="L9" s="1591" t="s">
        <v>290</v>
      </c>
      <c r="M9" s="1591" t="s">
        <v>291</v>
      </c>
      <c r="N9" s="1591" t="s">
        <v>292</v>
      </c>
      <c r="O9" s="1591" t="s">
        <v>293</v>
      </c>
      <c r="P9" s="1591" t="s">
        <v>294</v>
      </c>
      <c r="Q9" s="1591" t="s">
        <v>295</v>
      </c>
      <c r="R9" s="1591" t="s">
        <v>296</v>
      </c>
      <c r="S9" s="1591" t="s">
        <v>297</v>
      </c>
      <c r="T9" s="1591" t="s">
        <v>298</v>
      </c>
      <c r="U9" s="1592" t="s">
        <v>299</v>
      </c>
      <c r="V9" s="1591" t="s">
        <v>300</v>
      </c>
      <c r="W9" s="1591" t="s">
        <v>301</v>
      </c>
      <c r="X9" s="1592" t="s">
        <v>302</v>
      </c>
      <c r="Y9" s="1592" t="s">
        <v>303</v>
      </c>
      <c r="Z9" s="1592" t="s">
        <v>304</v>
      </c>
      <c r="AA9" s="1592" t="s">
        <v>305</v>
      </c>
      <c r="AB9" s="1592" t="s">
        <v>306</v>
      </c>
      <c r="AC9" s="1592" t="s">
        <v>307</v>
      </c>
      <c r="AD9" s="1592" t="s">
        <v>308</v>
      </c>
      <c r="AE9" s="1592" t="s">
        <v>309</v>
      </c>
      <c r="AF9" s="1592" t="s">
        <v>310</v>
      </c>
      <c r="AG9" s="1592" t="s">
        <v>311</v>
      </c>
      <c r="AH9" s="1592" t="s">
        <v>312</v>
      </c>
      <c r="AI9" s="1592" t="s">
        <v>313</v>
      </c>
      <c r="AJ9" s="1592" t="s">
        <v>314</v>
      </c>
      <c r="AK9" s="1592" t="s">
        <v>315</v>
      </c>
      <c r="AL9" s="1592" t="s">
        <v>316</v>
      </c>
      <c r="AM9" s="1592" t="s">
        <v>317</v>
      </c>
      <c r="AN9" s="1592" t="s">
        <v>318</v>
      </c>
      <c r="AR9" s="800" t="s">
        <v>279</v>
      </c>
      <c r="AS9" s="801" t="s">
        <v>319</v>
      </c>
    </row>
    <row r="10" spans="1:50" s="9" customFormat="1" ht="31.5" hidden="1">
      <c r="A10" s="626" t="s">
        <v>320</v>
      </c>
      <c r="B10" s="626" t="s">
        <v>321</v>
      </c>
      <c r="C10" s="626">
        <v>5381</v>
      </c>
      <c r="D10" s="626" t="s">
        <v>322</v>
      </c>
      <c r="E10" s="626" t="s">
        <v>323</v>
      </c>
      <c r="F10" s="626" t="s">
        <v>324</v>
      </c>
      <c r="G10" s="626" t="s">
        <v>325</v>
      </c>
      <c r="H10" s="626">
        <v>3.7699999999999997E-2</v>
      </c>
      <c r="I10" s="626" t="s">
        <v>326</v>
      </c>
      <c r="J10" s="626">
        <v>104</v>
      </c>
      <c r="K10" s="626" t="s">
        <v>201</v>
      </c>
      <c r="L10" s="626">
        <v>145</v>
      </c>
      <c r="M10" s="803">
        <v>0</v>
      </c>
      <c r="N10" s="1540"/>
      <c r="O10" s="1540" t="s">
        <v>327</v>
      </c>
      <c r="P10" s="1537">
        <v>0.18360000000000001</v>
      </c>
      <c r="Q10" s="1540">
        <v>16758759.762993418</v>
      </c>
      <c r="R10" s="1548">
        <v>44531</v>
      </c>
      <c r="S10" s="1540" t="s">
        <v>328</v>
      </c>
      <c r="T10" s="626" t="s">
        <v>329</v>
      </c>
      <c r="U10" s="729" t="s">
        <v>330</v>
      </c>
      <c r="V10" s="626">
        <v>2024</v>
      </c>
      <c r="W10" s="1535">
        <v>2974</v>
      </c>
      <c r="X10" s="1536" t="s">
        <v>331</v>
      </c>
      <c r="Y10" s="1537">
        <v>1.15E-2</v>
      </c>
      <c r="Z10" s="1538">
        <v>0</v>
      </c>
      <c r="AA10" s="1538" t="s">
        <v>332</v>
      </c>
      <c r="AB10" s="490">
        <v>39.72</v>
      </c>
      <c r="AC10" s="490">
        <v>539.16</v>
      </c>
      <c r="AD10" s="490">
        <v>3502812.67</v>
      </c>
      <c r="AE10" s="1539">
        <v>42300</v>
      </c>
      <c r="AF10" s="1539">
        <v>42300</v>
      </c>
      <c r="AG10" s="1540">
        <v>0</v>
      </c>
      <c r="AH10" s="626"/>
      <c r="AI10" s="729">
        <v>41472</v>
      </c>
      <c r="AJ10" s="729">
        <v>42613</v>
      </c>
      <c r="AK10" s="729" t="s">
        <v>333</v>
      </c>
      <c r="AL10" s="729"/>
      <c r="AM10" s="729"/>
      <c r="AN10" s="849"/>
      <c r="AO10" s="234"/>
      <c r="AP10" s="17"/>
      <c r="AR10" s="806" t="s">
        <v>334</v>
      </c>
      <c r="AS10" s="234"/>
      <c r="AT10" s="234"/>
      <c r="AX10" s="234"/>
    </row>
    <row r="11" spans="1:50" s="9" customFormat="1" ht="31.5" hidden="1">
      <c r="A11" s="626" t="s">
        <v>224</v>
      </c>
      <c r="B11" s="626" t="s">
        <v>335</v>
      </c>
      <c r="C11" s="626">
        <v>5366</v>
      </c>
      <c r="D11" s="626" t="s">
        <v>336</v>
      </c>
      <c r="E11" s="626" t="s">
        <v>323</v>
      </c>
      <c r="F11" s="626" t="s">
        <v>337</v>
      </c>
      <c r="G11" s="626" t="s">
        <v>325</v>
      </c>
      <c r="H11" s="626">
        <v>9.9699999999999997E-2</v>
      </c>
      <c r="I11" s="626" t="s">
        <v>201</v>
      </c>
      <c r="J11" s="626">
        <v>145</v>
      </c>
      <c r="K11" s="626"/>
      <c r="L11" s="626"/>
      <c r="M11" s="803">
        <v>0</v>
      </c>
      <c r="N11" s="1540"/>
      <c r="O11" s="1540" t="str">
        <f>O10</f>
        <v>ReH 2.995/2021</v>
      </c>
      <c r="P11" s="1549">
        <v>8.7599999999999997E-2</v>
      </c>
      <c r="Q11" s="1540">
        <v>12051594.579145933</v>
      </c>
      <c r="R11" s="1548">
        <v>44531</v>
      </c>
      <c r="S11" s="1540" t="str">
        <f>S10</f>
        <v>Desp. 521/2022</v>
      </c>
      <c r="T11" s="626" t="s">
        <v>338</v>
      </c>
      <c r="U11" s="729" t="s">
        <v>339</v>
      </c>
      <c r="V11" s="626">
        <v>2024</v>
      </c>
      <c r="W11" s="1535">
        <v>2944</v>
      </c>
      <c r="X11" s="1536" t="s">
        <v>340</v>
      </c>
      <c r="Y11" s="626"/>
      <c r="AA11" s="1538" t="s">
        <v>201</v>
      </c>
      <c r="AB11" s="1540">
        <v>39.799999999999997</v>
      </c>
      <c r="AC11" s="1541">
        <v>133.91999999999999</v>
      </c>
      <c r="AD11" s="1541">
        <v>2423958.41</v>
      </c>
      <c r="AE11" s="729">
        <v>43678</v>
      </c>
      <c r="AF11" s="729">
        <v>43678</v>
      </c>
      <c r="AG11" s="1540">
        <v>0</v>
      </c>
      <c r="AH11" s="626"/>
      <c r="AI11" s="729">
        <v>41472</v>
      </c>
      <c r="AJ11" s="729">
        <v>42613</v>
      </c>
      <c r="AK11" s="729" t="s">
        <v>333</v>
      </c>
      <c r="AL11" s="729"/>
      <c r="AM11" s="729"/>
      <c r="AN11" s="849"/>
      <c r="AO11" s="234"/>
      <c r="AP11" s="17"/>
      <c r="AR11" s="806" t="s">
        <v>320</v>
      </c>
      <c r="AS11" s="234"/>
      <c r="AT11" s="234"/>
      <c r="AX11" s="234"/>
    </row>
    <row r="12" spans="1:50" s="9" customFormat="1" ht="31.5" hidden="1">
      <c r="A12" s="626" t="s">
        <v>341</v>
      </c>
      <c r="B12" s="626" t="s">
        <v>342</v>
      </c>
      <c r="C12" s="626">
        <v>5386</v>
      </c>
      <c r="D12" s="626" t="s">
        <v>343</v>
      </c>
      <c r="E12" s="626" t="s">
        <v>323</v>
      </c>
      <c r="F12" s="626" t="s">
        <v>344</v>
      </c>
      <c r="G12" s="626" t="s">
        <v>325</v>
      </c>
      <c r="H12" s="626">
        <v>3.7699999999999997E-2</v>
      </c>
      <c r="I12" s="626" t="s">
        <v>215</v>
      </c>
      <c r="J12" s="626">
        <v>135</v>
      </c>
      <c r="K12" s="626"/>
      <c r="L12" s="626"/>
      <c r="M12" s="803">
        <v>0</v>
      </c>
      <c r="N12" s="1540"/>
      <c r="O12" s="1540" t="str">
        <f t="shared" ref="O12:O61" si="9">O11</f>
        <v>ReH 2.995/2021</v>
      </c>
      <c r="P12" s="1549">
        <v>0.1298</v>
      </c>
      <c r="Q12" s="1540">
        <v>17888427.870995689</v>
      </c>
      <c r="R12" s="1548">
        <v>44531</v>
      </c>
      <c r="S12" s="1540" t="str">
        <f t="shared" ref="S12:S61" si="10">S11</f>
        <v>Desp. 521/2022</v>
      </c>
      <c r="T12" s="626" t="s">
        <v>345</v>
      </c>
      <c r="U12" s="729" t="s">
        <v>339</v>
      </c>
      <c r="V12" s="626">
        <v>2024</v>
      </c>
      <c r="W12" s="1535">
        <v>2977</v>
      </c>
      <c r="X12" s="1536" t="s">
        <v>331</v>
      </c>
      <c r="Y12" s="1537">
        <v>1.15E-2</v>
      </c>
      <c r="Z12" s="1538">
        <v>-0.02</v>
      </c>
      <c r="AA12" s="1538" t="s">
        <v>346</v>
      </c>
      <c r="AB12" s="1540">
        <v>45.63</v>
      </c>
      <c r="AC12" s="1541">
        <v>532.64</v>
      </c>
      <c r="AD12" s="1541">
        <v>5694629.8099999996</v>
      </c>
      <c r="AE12" s="729">
        <v>43739</v>
      </c>
      <c r="AF12" s="729">
        <v>43739</v>
      </c>
      <c r="AG12" s="1540">
        <v>0</v>
      </c>
      <c r="AH12" s="626"/>
      <c r="AI12" s="729">
        <v>41472</v>
      </c>
      <c r="AJ12" s="729">
        <v>42673</v>
      </c>
      <c r="AK12" s="729" t="s">
        <v>333</v>
      </c>
      <c r="AL12" s="729"/>
      <c r="AM12" s="729"/>
      <c r="AN12" s="849"/>
      <c r="AO12" s="234"/>
      <c r="AP12" s="17"/>
      <c r="AR12" s="806" t="s">
        <v>224</v>
      </c>
      <c r="AS12" s="234"/>
      <c r="AT12" s="234"/>
      <c r="AX12" s="234"/>
    </row>
    <row r="13" spans="1:50" s="9" customFormat="1" ht="31.5" hidden="1">
      <c r="A13" s="626" t="s">
        <v>347</v>
      </c>
      <c r="B13" s="626" t="s">
        <v>348</v>
      </c>
      <c r="C13" s="626">
        <v>5378</v>
      </c>
      <c r="D13" s="626" t="s">
        <v>349</v>
      </c>
      <c r="E13" s="626" t="s">
        <v>323</v>
      </c>
      <c r="F13" s="626" t="s">
        <v>350</v>
      </c>
      <c r="G13" s="626" t="s">
        <v>325</v>
      </c>
      <c r="H13" s="626">
        <v>9.9699999999999997E-2</v>
      </c>
      <c r="I13" s="626" t="s">
        <v>241</v>
      </c>
      <c r="J13" s="626">
        <v>166</v>
      </c>
      <c r="K13" s="626" t="s">
        <v>201</v>
      </c>
      <c r="L13" s="626">
        <v>145</v>
      </c>
      <c r="M13" s="803">
        <v>0</v>
      </c>
      <c r="N13" s="1540"/>
      <c r="O13" s="1540" t="str">
        <f t="shared" si="9"/>
        <v>ReH 2.995/2021</v>
      </c>
      <c r="P13" s="1549">
        <v>0.1832</v>
      </c>
      <c r="Q13" s="1540">
        <v>51573900.56414932</v>
      </c>
      <c r="R13" s="1548">
        <v>44531</v>
      </c>
      <c r="S13" s="1540" t="str">
        <f t="shared" si="10"/>
        <v>Desp. 521/2022</v>
      </c>
      <c r="T13" s="626" t="s">
        <v>351</v>
      </c>
      <c r="U13" s="729" t="s">
        <v>339</v>
      </c>
      <c r="V13" s="626">
        <v>2024</v>
      </c>
      <c r="W13" s="1535">
        <v>2863</v>
      </c>
      <c r="X13" s="1536" t="s">
        <v>352</v>
      </c>
      <c r="Y13" s="626"/>
      <c r="AA13" s="1538" t="s">
        <v>353</v>
      </c>
      <c r="AB13" s="1540">
        <v>60.67</v>
      </c>
      <c r="AC13" s="1541">
        <v>128.56</v>
      </c>
      <c r="AD13" s="1541">
        <v>16751978.699999999</v>
      </c>
      <c r="AE13" s="729">
        <v>44256</v>
      </c>
      <c r="AF13" s="729">
        <v>44277</v>
      </c>
      <c r="AG13" s="1540">
        <v>0</v>
      </c>
      <c r="AH13" s="626"/>
      <c r="AI13" s="729">
        <v>41472</v>
      </c>
      <c r="AJ13" s="729">
        <v>42410</v>
      </c>
      <c r="AK13" s="729" t="s">
        <v>333</v>
      </c>
      <c r="AL13" s="729"/>
      <c r="AM13" s="729"/>
      <c r="AN13" s="849"/>
      <c r="AO13" s="234"/>
      <c r="AP13" s="17"/>
      <c r="AR13" s="806" t="s">
        <v>223</v>
      </c>
      <c r="AS13" s="234"/>
      <c r="AT13" s="234"/>
      <c r="AX13" s="234"/>
    </row>
    <row r="14" spans="1:50" s="9" customFormat="1" ht="31.5">
      <c r="A14" s="626" t="s">
        <v>354</v>
      </c>
      <c r="B14" s="626" t="s">
        <v>355</v>
      </c>
      <c r="C14" s="626">
        <v>5382</v>
      </c>
      <c r="D14" s="626" t="s">
        <v>356</v>
      </c>
      <c r="E14" s="626" t="s">
        <v>323</v>
      </c>
      <c r="F14" s="626" t="s">
        <v>357</v>
      </c>
      <c r="G14" s="626" t="s">
        <v>325</v>
      </c>
      <c r="H14" s="626">
        <v>3.7699999999999997E-2</v>
      </c>
      <c r="I14" s="626" t="s">
        <v>358</v>
      </c>
      <c r="J14" s="626">
        <v>148</v>
      </c>
      <c r="K14" s="626"/>
      <c r="L14" s="626"/>
      <c r="M14" s="803">
        <v>0</v>
      </c>
      <c r="N14" s="1540"/>
      <c r="O14" s="1540" t="str">
        <f t="shared" si="9"/>
        <v>ReH 2.995/2021</v>
      </c>
      <c r="P14" s="1549">
        <v>8.9499999999999996E-2</v>
      </c>
      <c r="Q14" s="1550">
        <v>8419443.0538159572</v>
      </c>
      <c r="R14" s="1548">
        <v>44531</v>
      </c>
      <c r="S14" s="1540" t="str">
        <f t="shared" si="10"/>
        <v>Desp. 521/2022</v>
      </c>
      <c r="T14" s="626" t="s">
        <v>359</v>
      </c>
      <c r="U14" s="729" t="s">
        <v>339</v>
      </c>
      <c r="V14" s="626">
        <v>2024</v>
      </c>
      <c r="W14" s="1535">
        <v>2910</v>
      </c>
      <c r="X14" s="1536" t="s">
        <v>360</v>
      </c>
      <c r="Y14" s="1537">
        <v>1.15E-2</v>
      </c>
      <c r="Z14" s="1538">
        <v>0</v>
      </c>
      <c r="AA14" s="1538" t="s">
        <v>358</v>
      </c>
      <c r="AB14" s="1540">
        <v>33.24</v>
      </c>
      <c r="AC14" s="1541">
        <v>986.44</v>
      </c>
      <c r="AD14" s="1541">
        <v>2124774.87</v>
      </c>
      <c r="AE14" s="729">
        <v>43647</v>
      </c>
      <c r="AF14" s="729">
        <v>43647</v>
      </c>
      <c r="AG14" s="1540">
        <v>0</v>
      </c>
      <c r="AH14" s="626"/>
      <c r="AI14" s="729">
        <v>41472</v>
      </c>
      <c r="AJ14" s="729">
        <v>42562</v>
      </c>
      <c r="AK14" s="729" t="s">
        <v>333</v>
      </c>
      <c r="AL14" s="729"/>
      <c r="AM14" s="729"/>
      <c r="AN14" s="849"/>
      <c r="AO14" s="234"/>
      <c r="AP14" s="17"/>
      <c r="AR14" s="806" t="s">
        <v>361</v>
      </c>
      <c r="AS14" s="234"/>
      <c r="AT14" s="234"/>
      <c r="AX14" s="234"/>
    </row>
    <row r="15" spans="1:50" s="9" customFormat="1" ht="31.5" hidden="1">
      <c r="A15" s="626" t="s">
        <v>362</v>
      </c>
      <c r="B15" s="626" t="s">
        <v>363</v>
      </c>
      <c r="C15" s="626">
        <v>6610</v>
      </c>
      <c r="D15" s="626" t="s">
        <v>364</v>
      </c>
      <c r="E15" s="626" t="s">
        <v>323</v>
      </c>
      <c r="F15" s="626" t="s">
        <v>365</v>
      </c>
      <c r="G15" s="626" t="s">
        <v>325</v>
      </c>
      <c r="H15" s="626">
        <v>9.9699999999999997E-2</v>
      </c>
      <c r="I15" s="626" t="s">
        <v>326</v>
      </c>
      <c r="J15" s="626">
        <v>104</v>
      </c>
      <c r="K15" s="626"/>
      <c r="L15" s="626"/>
      <c r="M15" s="803">
        <v>0</v>
      </c>
      <c r="N15" s="1540"/>
      <c r="O15" s="1540" t="str">
        <f t="shared" si="9"/>
        <v>ReH 2.995/2021</v>
      </c>
      <c r="P15" s="1549">
        <v>0.14800000000000002</v>
      </c>
      <c r="Q15" s="1550">
        <v>5024282.8201926984</v>
      </c>
      <c r="R15" s="1548">
        <v>44531</v>
      </c>
      <c r="S15" s="1540" t="str">
        <f t="shared" si="10"/>
        <v>Desp. 521/2022</v>
      </c>
      <c r="T15" s="626" t="s">
        <v>366</v>
      </c>
      <c r="U15" s="729" t="s">
        <v>330</v>
      </c>
      <c r="V15" s="626">
        <v>2024</v>
      </c>
      <c r="W15" s="1535">
        <v>2978</v>
      </c>
      <c r="X15" s="1536" t="s">
        <v>331</v>
      </c>
      <c r="Y15" s="626"/>
      <c r="AA15" s="1538" t="s">
        <v>332</v>
      </c>
      <c r="AB15" s="1540">
        <v>98.54</v>
      </c>
      <c r="AC15" s="1541">
        <v>492.16</v>
      </c>
      <c r="AD15" s="1541">
        <v>607256.85</v>
      </c>
      <c r="AE15" s="729">
        <v>43739</v>
      </c>
      <c r="AF15" s="729">
        <v>43739</v>
      </c>
      <c r="AG15" s="1540">
        <v>0</v>
      </c>
      <c r="AH15" s="626"/>
      <c r="AI15" s="729">
        <v>41472</v>
      </c>
      <c r="AJ15" s="729">
        <v>42673</v>
      </c>
      <c r="AK15" s="729" t="s">
        <v>333</v>
      </c>
      <c r="AL15" s="729"/>
      <c r="AM15" s="729"/>
      <c r="AN15" s="849"/>
      <c r="AO15" s="234"/>
      <c r="AP15" s="17"/>
      <c r="AR15" s="806" t="s">
        <v>367</v>
      </c>
      <c r="AS15" s="234"/>
      <c r="AT15" s="234"/>
      <c r="AX15" s="234"/>
    </row>
    <row r="16" spans="1:50" s="9" customFormat="1" ht="31.5" hidden="1">
      <c r="A16" s="626" t="s">
        <v>368</v>
      </c>
      <c r="B16" s="626" t="s">
        <v>369</v>
      </c>
      <c r="C16" s="626">
        <v>6609</v>
      </c>
      <c r="D16" s="626" t="s">
        <v>370</v>
      </c>
      <c r="E16" s="626" t="s">
        <v>323</v>
      </c>
      <c r="F16" s="626" t="s">
        <v>371</v>
      </c>
      <c r="G16" s="626" t="s">
        <v>325</v>
      </c>
      <c r="H16" s="626">
        <v>3.7699999999999997E-2</v>
      </c>
      <c r="I16" s="626" t="s">
        <v>162</v>
      </c>
      <c r="J16" s="626">
        <v>165</v>
      </c>
      <c r="K16" s="626"/>
      <c r="L16" s="626"/>
      <c r="M16" s="803">
        <v>0</v>
      </c>
      <c r="N16" s="1540"/>
      <c r="O16" s="1540" t="str">
        <f t="shared" si="9"/>
        <v>ReH 2.995/2021</v>
      </c>
      <c r="P16" s="1549">
        <v>0.1585</v>
      </c>
      <c r="Q16" s="1540">
        <v>13523024.849047249</v>
      </c>
      <c r="R16" s="1548">
        <v>44531</v>
      </c>
      <c r="S16" s="1540" t="str">
        <f t="shared" si="10"/>
        <v>Desp. 521/2022</v>
      </c>
      <c r="T16" s="626" t="s">
        <v>372</v>
      </c>
      <c r="U16" s="729" t="s">
        <v>373</v>
      </c>
      <c r="V16" s="626">
        <v>2024</v>
      </c>
      <c r="W16" s="1535">
        <v>2903</v>
      </c>
      <c r="X16" s="1536" t="s">
        <v>360</v>
      </c>
      <c r="Y16" s="1537">
        <v>1.15E-2</v>
      </c>
      <c r="Z16" s="487">
        <v>0</v>
      </c>
      <c r="AA16" s="487" t="s">
        <v>162</v>
      </c>
      <c r="AB16" s="1540">
        <v>23.817216620837154</v>
      </c>
      <c r="AC16" s="1541">
        <v>102.39004092957872</v>
      </c>
      <c r="AD16" s="1541">
        <v>8424461.6320540309</v>
      </c>
      <c r="AE16" s="729">
        <v>44389</v>
      </c>
      <c r="AF16" s="729">
        <v>44389</v>
      </c>
      <c r="AG16" s="1540">
        <v>0</v>
      </c>
      <c r="AH16" s="626"/>
      <c r="AI16" s="729">
        <v>41472</v>
      </c>
      <c r="AJ16" s="729">
        <v>42507</v>
      </c>
      <c r="AK16" s="729" t="s">
        <v>333</v>
      </c>
      <c r="AL16" s="729"/>
      <c r="AM16" s="729"/>
      <c r="AN16" s="849"/>
      <c r="AO16" s="234"/>
      <c r="AP16" s="17"/>
      <c r="AR16" s="806" t="s">
        <v>374</v>
      </c>
      <c r="AS16" s="234"/>
      <c r="AT16" s="234"/>
      <c r="AX16" s="234"/>
    </row>
    <row r="17" spans="1:50" s="9" customFormat="1" ht="31.5" hidden="1">
      <c r="A17" s="626" t="s">
        <v>375</v>
      </c>
      <c r="B17" s="626" t="s">
        <v>376</v>
      </c>
      <c r="C17" s="626">
        <v>5384</v>
      </c>
      <c r="D17" s="626" t="s">
        <v>377</v>
      </c>
      <c r="E17" s="626" t="s">
        <v>323</v>
      </c>
      <c r="F17" s="626" t="s">
        <v>378</v>
      </c>
      <c r="G17" s="626" t="s">
        <v>325</v>
      </c>
      <c r="H17" s="626">
        <v>9.9699999999999997E-2</v>
      </c>
      <c r="I17" s="626" t="s">
        <v>187</v>
      </c>
      <c r="J17" s="626">
        <v>136</v>
      </c>
      <c r="K17" s="626"/>
      <c r="L17" s="626"/>
      <c r="M17" s="803">
        <v>0</v>
      </c>
      <c r="N17" s="1540"/>
      <c r="O17" s="1540" t="str">
        <f t="shared" si="9"/>
        <v>ReH 2.995/2021</v>
      </c>
      <c r="P17" s="1549">
        <v>0.36620000000000003</v>
      </c>
      <c r="Q17" s="1540">
        <v>10580562.183376934</v>
      </c>
      <c r="R17" s="1548">
        <v>44531</v>
      </c>
      <c r="S17" s="1540" t="str">
        <f t="shared" si="10"/>
        <v>Desp. 521/2022</v>
      </c>
      <c r="T17" s="626" t="s">
        <v>379</v>
      </c>
      <c r="U17" s="729" t="s">
        <v>339</v>
      </c>
      <c r="V17" s="626">
        <v>2024</v>
      </c>
      <c r="W17" s="1535">
        <v>2873</v>
      </c>
      <c r="X17" s="1536" t="s">
        <v>380</v>
      </c>
      <c r="Y17" s="626"/>
      <c r="AA17" s="1538" t="s">
        <v>187</v>
      </c>
      <c r="AB17" s="1540">
        <v>90.43</v>
      </c>
      <c r="AC17" s="1541">
        <v>237.88</v>
      </c>
      <c r="AD17" s="1541">
        <v>1254128.21</v>
      </c>
      <c r="AE17" s="729">
        <v>43198</v>
      </c>
      <c r="AF17" s="729">
        <v>43198</v>
      </c>
      <c r="AG17" s="1540">
        <v>0</v>
      </c>
      <c r="AH17" s="626"/>
      <c r="AI17" s="729">
        <v>41472</v>
      </c>
      <c r="AJ17" s="729">
        <v>42475</v>
      </c>
      <c r="AK17" s="729" t="s">
        <v>333</v>
      </c>
      <c r="AL17" s="729"/>
      <c r="AM17" s="729"/>
      <c r="AN17" s="849"/>
      <c r="AO17" s="234"/>
      <c r="AP17" s="17"/>
      <c r="AR17" s="806" t="s">
        <v>381</v>
      </c>
      <c r="AS17" s="234"/>
      <c r="AT17" s="234"/>
      <c r="AX17" s="234"/>
    </row>
    <row r="18" spans="1:50" s="9" customFormat="1" ht="31.5" hidden="1">
      <c r="A18" s="626" t="s">
        <v>382</v>
      </c>
      <c r="B18" s="626" t="s">
        <v>383</v>
      </c>
      <c r="C18" s="626">
        <v>5385</v>
      </c>
      <c r="D18" s="626" t="s">
        <v>384</v>
      </c>
      <c r="E18" s="626" t="s">
        <v>323</v>
      </c>
      <c r="F18" s="626" t="s">
        <v>385</v>
      </c>
      <c r="G18" s="626" t="s">
        <v>325</v>
      </c>
      <c r="H18" s="626">
        <v>3.7699999999999997E-2</v>
      </c>
      <c r="I18" s="626" t="s">
        <v>187</v>
      </c>
      <c r="J18" s="626">
        <v>136</v>
      </c>
      <c r="K18" s="626" t="s">
        <v>162</v>
      </c>
      <c r="L18" s="626">
        <v>165</v>
      </c>
      <c r="M18" s="803">
        <v>0</v>
      </c>
      <c r="N18" s="1540"/>
      <c r="O18" s="1540" t="str">
        <f t="shared" si="9"/>
        <v>ReH 2.995/2021</v>
      </c>
      <c r="P18" s="1549">
        <v>0.18079999999999999</v>
      </c>
      <c r="Q18" s="1540">
        <v>19362081.83872563</v>
      </c>
      <c r="R18" s="1548">
        <v>44531</v>
      </c>
      <c r="S18" s="1540" t="str">
        <f t="shared" si="10"/>
        <v>Desp. 521/2022</v>
      </c>
      <c r="T18" s="626" t="s">
        <v>386</v>
      </c>
      <c r="U18" s="729" t="s">
        <v>373</v>
      </c>
      <c r="V18" s="626">
        <v>2024</v>
      </c>
      <c r="W18" s="1535">
        <v>2874</v>
      </c>
      <c r="X18" s="1536" t="s">
        <v>380</v>
      </c>
      <c r="Y18" s="1537">
        <v>1.15E-2</v>
      </c>
      <c r="Z18" s="487">
        <v>-7.9000000000000008E-3</v>
      </c>
      <c r="AA18" s="487" t="s">
        <v>187</v>
      </c>
      <c r="AB18" s="1540">
        <v>70.27</v>
      </c>
      <c r="AC18" s="1541">
        <v>237.88</v>
      </c>
      <c r="AD18" s="1541">
        <v>3687472.37</v>
      </c>
      <c r="AE18" s="729">
        <v>43198</v>
      </c>
      <c r="AF18" s="729">
        <v>43198</v>
      </c>
      <c r="AG18" s="1540">
        <v>0</v>
      </c>
      <c r="AH18" s="626"/>
      <c r="AI18" s="729">
        <v>41472</v>
      </c>
      <c r="AJ18" s="729">
        <v>42475</v>
      </c>
      <c r="AK18" s="729" t="s">
        <v>333</v>
      </c>
      <c r="AL18" s="729"/>
      <c r="AM18" s="729"/>
      <c r="AN18" s="849"/>
      <c r="AO18" s="234"/>
      <c r="AP18" s="17"/>
      <c r="AR18" s="806" t="s">
        <v>387</v>
      </c>
      <c r="AS18" s="234"/>
      <c r="AT18" s="234"/>
      <c r="AX18" s="234"/>
    </row>
    <row r="19" spans="1:50" s="9" customFormat="1" ht="31.5" hidden="1">
      <c r="A19" s="626" t="s">
        <v>388</v>
      </c>
      <c r="B19" s="626" t="s">
        <v>389</v>
      </c>
      <c r="C19" s="626">
        <v>5379</v>
      </c>
      <c r="D19" s="626" t="s">
        <v>390</v>
      </c>
      <c r="E19" s="626" t="s">
        <v>323</v>
      </c>
      <c r="F19" s="626" t="s">
        <v>391</v>
      </c>
      <c r="G19" s="626" t="s">
        <v>325</v>
      </c>
      <c r="H19" s="626">
        <v>3.7699999999999997E-2</v>
      </c>
      <c r="I19" s="626" t="s">
        <v>215</v>
      </c>
      <c r="J19" s="626">
        <v>135</v>
      </c>
      <c r="K19" s="626" t="s">
        <v>201</v>
      </c>
      <c r="L19" s="626">
        <v>145</v>
      </c>
      <c r="M19" s="803">
        <v>0</v>
      </c>
      <c r="N19" s="1540"/>
      <c r="O19" s="1540" t="str">
        <f t="shared" si="9"/>
        <v>ReH 2.995/2021</v>
      </c>
      <c r="P19" s="1549">
        <v>0.1321</v>
      </c>
      <c r="Q19" s="1540">
        <v>39394175.109390005</v>
      </c>
      <c r="R19" s="1548">
        <v>44531</v>
      </c>
      <c r="S19" s="1540" t="str">
        <f t="shared" si="10"/>
        <v>Desp. 521/2022</v>
      </c>
      <c r="T19" s="626" t="s">
        <v>392</v>
      </c>
      <c r="U19" s="729" t="s">
        <v>339</v>
      </c>
      <c r="V19" s="626">
        <v>2024</v>
      </c>
      <c r="W19" s="1535">
        <v>2975</v>
      </c>
      <c r="X19" s="1536" t="s">
        <v>331</v>
      </c>
      <c r="Y19" s="1537">
        <v>1.15E-2</v>
      </c>
      <c r="Z19" s="487">
        <v>0</v>
      </c>
      <c r="AA19" s="1538" t="s">
        <v>346</v>
      </c>
      <c r="AB19" s="1542">
        <v>39.53</v>
      </c>
      <c r="AC19" s="1541">
        <v>532.64</v>
      </c>
      <c r="AD19" s="1541">
        <v>12412486.630000001</v>
      </c>
      <c r="AE19" s="729">
        <v>43739</v>
      </c>
      <c r="AF19" s="729">
        <v>43739</v>
      </c>
      <c r="AG19" s="1540">
        <v>0</v>
      </c>
      <c r="AH19" s="626"/>
      <c r="AI19" s="729">
        <v>41472</v>
      </c>
      <c r="AJ19" s="729">
        <v>42673</v>
      </c>
      <c r="AK19" s="729" t="s">
        <v>333</v>
      </c>
      <c r="AL19" s="729"/>
      <c r="AM19" s="729"/>
      <c r="AN19" s="849"/>
      <c r="AO19" s="234"/>
      <c r="AP19" s="17"/>
      <c r="AR19" s="806" t="s">
        <v>221</v>
      </c>
      <c r="AS19" s="234"/>
      <c r="AT19" s="234"/>
      <c r="AX19" s="234"/>
    </row>
    <row r="20" spans="1:50" s="9" customFormat="1" ht="31.5" hidden="1">
      <c r="A20" s="626" t="s">
        <v>361</v>
      </c>
      <c r="B20" s="626" t="s">
        <v>393</v>
      </c>
      <c r="C20" s="626">
        <v>5372</v>
      </c>
      <c r="D20" s="626" t="s">
        <v>394</v>
      </c>
      <c r="E20" s="626" t="s">
        <v>323</v>
      </c>
      <c r="F20" s="626" t="s">
        <v>395</v>
      </c>
      <c r="G20" s="626" t="s">
        <v>396</v>
      </c>
      <c r="H20" s="626">
        <v>9.9699999999999997E-2</v>
      </c>
      <c r="I20" s="626" t="s">
        <v>226</v>
      </c>
      <c r="J20" s="626">
        <v>111</v>
      </c>
      <c r="K20" s="626"/>
      <c r="L20" s="626"/>
      <c r="M20" s="803">
        <v>0</v>
      </c>
      <c r="N20" s="1540"/>
      <c r="O20" s="1540" t="str">
        <f t="shared" si="9"/>
        <v>ReH 2.995/2021</v>
      </c>
      <c r="P20" s="1549">
        <v>0.1079</v>
      </c>
      <c r="Q20" s="1550">
        <v>9742223.1963606756</v>
      </c>
      <c r="R20" s="1548">
        <v>44531</v>
      </c>
      <c r="S20" s="1540" t="str">
        <f t="shared" si="10"/>
        <v>Desp. 521/2022</v>
      </c>
      <c r="T20" s="626" t="s">
        <v>397</v>
      </c>
      <c r="U20" s="729" t="s">
        <v>398</v>
      </c>
      <c r="V20" s="626">
        <v>2024</v>
      </c>
      <c r="W20" s="1535">
        <v>2946</v>
      </c>
      <c r="X20" s="1536" t="s">
        <v>340</v>
      </c>
      <c r="Y20" s="626"/>
      <c r="AA20" s="1538" t="s">
        <v>226</v>
      </c>
      <c r="AB20" s="1540">
        <v>59.846956156846908</v>
      </c>
      <c r="AC20" s="1541">
        <v>180.36</v>
      </c>
      <c r="AD20" s="1541">
        <v>3290792.2979728933</v>
      </c>
      <c r="AE20" s="729">
        <v>44430</v>
      </c>
      <c r="AF20" s="729">
        <v>44430</v>
      </c>
      <c r="AG20" s="1540">
        <v>0</v>
      </c>
      <c r="AH20" s="626"/>
      <c r="AI20" s="729">
        <v>41472</v>
      </c>
      <c r="AJ20" s="729">
        <v>42641</v>
      </c>
      <c r="AK20" s="729" t="s">
        <v>333</v>
      </c>
      <c r="AL20" s="729"/>
      <c r="AM20" s="729"/>
      <c r="AN20" s="849"/>
      <c r="AO20" s="234"/>
      <c r="AP20" s="17"/>
      <c r="AR20" s="806" t="s">
        <v>233</v>
      </c>
      <c r="AS20" s="234"/>
      <c r="AT20" s="234"/>
      <c r="AX20" s="234"/>
    </row>
    <row r="21" spans="1:50" s="9" customFormat="1" ht="31.5" hidden="1">
      <c r="A21" s="626" t="s">
        <v>381</v>
      </c>
      <c r="B21" s="626" t="s">
        <v>399</v>
      </c>
      <c r="C21" s="626">
        <v>5367</v>
      </c>
      <c r="D21" s="626" t="s">
        <v>400</v>
      </c>
      <c r="E21" s="626" t="s">
        <v>323</v>
      </c>
      <c r="F21" s="626" t="s">
        <v>401</v>
      </c>
      <c r="G21" s="626" t="s">
        <v>396</v>
      </c>
      <c r="H21" s="626">
        <v>9.9699999999999997E-2</v>
      </c>
      <c r="I21" s="626" t="s">
        <v>226</v>
      </c>
      <c r="J21" s="626">
        <v>111</v>
      </c>
      <c r="K21" s="626" t="s">
        <v>402</v>
      </c>
      <c r="L21" s="626">
        <v>110</v>
      </c>
      <c r="M21" s="803">
        <v>0</v>
      </c>
      <c r="N21" s="1540"/>
      <c r="O21" s="1540" t="str">
        <f t="shared" si="9"/>
        <v>ReH 2.995/2021</v>
      </c>
      <c r="P21" s="1549">
        <v>8.7999999999999995E-2</v>
      </c>
      <c r="Q21" s="1540">
        <v>28257854.842311971</v>
      </c>
      <c r="R21" s="1548">
        <v>44531</v>
      </c>
      <c r="S21" s="1540" t="str">
        <f t="shared" si="10"/>
        <v>Desp. 521/2022</v>
      </c>
      <c r="T21" s="626" t="s">
        <v>403</v>
      </c>
      <c r="U21" s="729" t="s">
        <v>404</v>
      </c>
      <c r="V21" s="626">
        <v>2025</v>
      </c>
      <c r="W21" s="1535">
        <v>3000</v>
      </c>
      <c r="X21" s="1536" t="s">
        <v>405</v>
      </c>
      <c r="Y21" s="626"/>
      <c r="AA21" s="1538" t="s">
        <v>226</v>
      </c>
      <c r="AB21" s="1540">
        <v>46.284812313198138</v>
      </c>
      <c r="AC21" s="1541">
        <v>180.36</v>
      </c>
      <c r="AD21" s="1541">
        <v>11703468.880194727</v>
      </c>
      <c r="AE21" s="729">
        <v>44430</v>
      </c>
      <c r="AF21" s="729">
        <v>44430</v>
      </c>
      <c r="AG21" s="1540">
        <v>0</v>
      </c>
      <c r="AH21" s="626"/>
      <c r="AI21" s="729">
        <v>41365</v>
      </c>
      <c r="AJ21" s="729">
        <v>42641</v>
      </c>
      <c r="AK21" s="729" t="s">
        <v>333</v>
      </c>
      <c r="AL21" s="729"/>
      <c r="AM21" s="729"/>
      <c r="AN21" s="849"/>
      <c r="AO21" s="234"/>
      <c r="AP21" s="17"/>
      <c r="AR21" s="806" t="s">
        <v>406</v>
      </c>
      <c r="AS21" s="234"/>
      <c r="AT21" s="234"/>
      <c r="AX21" s="234"/>
    </row>
    <row r="22" spans="1:50" s="9" customFormat="1" ht="31.5" hidden="1">
      <c r="A22" s="626" t="s">
        <v>387</v>
      </c>
      <c r="B22" s="626" t="s">
        <v>407</v>
      </c>
      <c r="C22" s="626">
        <v>6897</v>
      </c>
      <c r="D22" s="626" t="s">
        <v>408</v>
      </c>
      <c r="E22" s="626" t="s">
        <v>323</v>
      </c>
      <c r="F22" s="626" t="s">
        <v>409</v>
      </c>
      <c r="G22" s="626" t="s">
        <v>396</v>
      </c>
      <c r="H22" s="626">
        <v>9.9699999999999997E-2</v>
      </c>
      <c r="I22" s="626" t="s">
        <v>226</v>
      </c>
      <c r="J22" s="626">
        <v>111</v>
      </c>
      <c r="K22" s="626"/>
      <c r="L22" s="626"/>
      <c r="M22" s="803">
        <v>0</v>
      </c>
      <c r="N22" s="1540"/>
      <c r="O22" s="1540" t="str">
        <f t="shared" si="9"/>
        <v>ReH 2.995/2021</v>
      </c>
      <c r="P22" s="1549">
        <v>0.11210000000000001</v>
      </c>
      <c r="Q22" s="1540">
        <v>25814070.878469311</v>
      </c>
      <c r="R22" s="1548">
        <v>44531</v>
      </c>
      <c r="S22" s="1540" t="str">
        <f t="shared" si="10"/>
        <v>Desp. 521/2022</v>
      </c>
      <c r="T22" s="626" t="s">
        <v>410</v>
      </c>
      <c r="U22" s="729" t="s">
        <v>398</v>
      </c>
      <c r="V22" s="626">
        <v>2024</v>
      </c>
      <c r="W22" s="1535">
        <v>2939</v>
      </c>
      <c r="X22" s="1536" t="s">
        <v>340</v>
      </c>
      <c r="Y22" s="626"/>
      <c r="AA22" s="1538" t="s">
        <v>226</v>
      </c>
      <c r="AB22" s="1540">
        <v>48.427014093503388</v>
      </c>
      <c r="AC22" s="1541">
        <v>180.36</v>
      </c>
      <c r="AD22" s="1541">
        <v>10692706.342225492</v>
      </c>
      <c r="AE22" s="729">
        <v>44430</v>
      </c>
      <c r="AF22" s="729">
        <v>44430</v>
      </c>
      <c r="AG22" s="1540">
        <v>0</v>
      </c>
      <c r="AH22" s="626"/>
      <c r="AI22" s="729">
        <v>41472</v>
      </c>
      <c r="AJ22" s="729">
        <v>42641</v>
      </c>
      <c r="AK22" s="729" t="s">
        <v>333</v>
      </c>
      <c r="AL22" s="729"/>
      <c r="AM22" s="729"/>
      <c r="AN22" s="849"/>
      <c r="AO22" s="234"/>
      <c r="AP22" s="17"/>
      <c r="AR22" s="806" t="s">
        <v>411</v>
      </c>
      <c r="AS22" s="234"/>
      <c r="AT22" s="234"/>
      <c r="AX22" s="234"/>
    </row>
    <row r="23" spans="1:50" s="9" customFormat="1" ht="31.5" hidden="1">
      <c r="A23" s="626" t="s">
        <v>221</v>
      </c>
      <c r="B23" s="626" t="s">
        <v>412</v>
      </c>
      <c r="C23" s="626">
        <v>5351</v>
      </c>
      <c r="D23" s="626" t="s">
        <v>413</v>
      </c>
      <c r="E23" s="626" t="s">
        <v>323</v>
      </c>
      <c r="F23" s="626" t="s">
        <v>414</v>
      </c>
      <c r="G23" s="626" t="s">
        <v>396</v>
      </c>
      <c r="H23" s="626">
        <v>9.9699999999999997E-2</v>
      </c>
      <c r="I23" s="626" t="s">
        <v>411</v>
      </c>
      <c r="J23" s="626">
        <v>220</v>
      </c>
      <c r="K23" s="626"/>
      <c r="L23" s="626"/>
      <c r="M23" s="803">
        <v>0</v>
      </c>
      <c r="N23" s="1540"/>
      <c r="O23" s="1540" t="str">
        <f t="shared" si="9"/>
        <v>ReH 2.995/2021</v>
      </c>
      <c r="P23" s="1549">
        <v>5.1200000000000002E-2</v>
      </c>
      <c r="Q23" s="1540">
        <v>6592780.5451776758</v>
      </c>
      <c r="R23" s="1548">
        <v>44531</v>
      </c>
      <c r="S23" s="1540" t="str">
        <f t="shared" si="10"/>
        <v>Desp. 521/2022</v>
      </c>
      <c r="T23" s="626" t="s">
        <v>415</v>
      </c>
      <c r="U23" s="729" t="s">
        <v>398</v>
      </c>
      <c r="V23" s="626">
        <v>2024</v>
      </c>
      <c r="W23" s="1535">
        <v>2976</v>
      </c>
      <c r="X23" s="1536" t="s">
        <v>331</v>
      </c>
      <c r="Y23" s="626"/>
      <c r="AA23" s="1538" t="s">
        <v>226</v>
      </c>
      <c r="AB23" s="1540">
        <v>16.172212694965044</v>
      </c>
      <c r="AC23" s="1541">
        <v>180.36</v>
      </c>
      <c r="AD23" s="1541">
        <v>3766690.3356666476</v>
      </c>
      <c r="AE23" s="729">
        <v>44430</v>
      </c>
      <c r="AF23" s="729">
        <v>44430</v>
      </c>
      <c r="AG23" s="1540">
        <v>0</v>
      </c>
      <c r="AH23" s="626"/>
      <c r="AI23" s="729">
        <v>41472</v>
      </c>
      <c r="AJ23" s="729">
        <v>42641</v>
      </c>
      <c r="AK23" s="729" t="s">
        <v>333</v>
      </c>
      <c r="AL23" s="729"/>
      <c r="AM23" s="729"/>
      <c r="AN23" s="849">
        <v>415113.21</v>
      </c>
      <c r="AO23" s="234"/>
      <c r="AP23" s="17"/>
      <c r="AR23" s="806" t="s">
        <v>416</v>
      </c>
      <c r="AS23" s="234"/>
      <c r="AT23" s="234"/>
      <c r="AX23" s="234"/>
    </row>
    <row r="24" spans="1:50" s="9" customFormat="1" ht="31.5" hidden="1">
      <c r="A24" s="626" t="s">
        <v>411</v>
      </c>
      <c r="B24" s="626" t="s">
        <v>417</v>
      </c>
      <c r="C24" s="626">
        <v>6898</v>
      </c>
      <c r="D24" s="626" t="s">
        <v>418</v>
      </c>
      <c r="E24" s="626" t="s">
        <v>323</v>
      </c>
      <c r="F24" s="626" t="s">
        <v>419</v>
      </c>
      <c r="G24" s="626" t="s">
        <v>396</v>
      </c>
      <c r="H24" s="626">
        <v>9.9699999999999997E-2</v>
      </c>
      <c r="I24" s="626" t="s">
        <v>226</v>
      </c>
      <c r="J24" s="626">
        <v>111</v>
      </c>
      <c r="K24" s="626"/>
      <c r="L24" s="626"/>
      <c r="M24" s="803">
        <v>0</v>
      </c>
      <c r="N24" s="1540"/>
      <c r="O24" s="1540" t="str">
        <f t="shared" si="9"/>
        <v>ReH 2.995/2021</v>
      </c>
      <c r="P24" s="1549">
        <v>7.1800000000000003E-2</v>
      </c>
      <c r="Q24" s="1540">
        <v>32515799.777980469</v>
      </c>
      <c r="R24" s="1548">
        <v>44531</v>
      </c>
      <c r="S24" s="1540" t="str">
        <f t="shared" si="10"/>
        <v>Desp. 521/2022</v>
      </c>
      <c r="T24" s="626" t="s">
        <v>420</v>
      </c>
      <c r="U24" s="729" t="s">
        <v>398</v>
      </c>
      <c r="V24" s="626">
        <v>2024</v>
      </c>
      <c r="W24" s="1535">
        <v>2949</v>
      </c>
      <c r="X24" s="1536" t="s">
        <v>340</v>
      </c>
      <c r="Y24" s="626"/>
      <c r="AA24" s="1538" t="s">
        <v>226</v>
      </c>
      <c r="AB24" s="1540">
        <v>77.349128723029523</v>
      </c>
      <c r="AC24" s="1541">
        <v>180.36</v>
      </c>
      <c r="AD24" s="1541">
        <v>9354913.9292200413</v>
      </c>
      <c r="AE24" s="729">
        <v>44430</v>
      </c>
      <c r="AF24" s="729">
        <v>44430</v>
      </c>
      <c r="AG24" s="1540">
        <v>0</v>
      </c>
      <c r="AH24" s="626"/>
      <c r="AI24" s="729">
        <v>41472</v>
      </c>
      <c r="AJ24" s="729">
        <v>42641</v>
      </c>
      <c r="AK24" s="729" t="s">
        <v>333</v>
      </c>
      <c r="AL24" s="729"/>
      <c r="AM24" s="729"/>
      <c r="AN24" s="849"/>
      <c r="AO24" s="234"/>
      <c r="AP24" s="17"/>
      <c r="AR24" s="806" t="s">
        <v>421</v>
      </c>
      <c r="AS24" s="234"/>
      <c r="AT24" s="234"/>
      <c r="AX24" s="234"/>
    </row>
    <row r="25" spans="1:50" s="9" customFormat="1" ht="31.5" hidden="1">
      <c r="A25" s="626" t="s">
        <v>422</v>
      </c>
      <c r="B25" s="626" t="s">
        <v>423</v>
      </c>
      <c r="C25" s="626">
        <v>5352</v>
      </c>
      <c r="D25" s="626" t="s">
        <v>424</v>
      </c>
      <c r="E25" s="626" t="s">
        <v>323</v>
      </c>
      <c r="F25" s="626" t="s">
        <v>425</v>
      </c>
      <c r="G25" s="626" t="s">
        <v>396</v>
      </c>
      <c r="H25" s="626">
        <v>9.9699999999999997E-2</v>
      </c>
      <c r="I25" s="626" t="s">
        <v>226</v>
      </c>
      <c r="J25" s="626">
        <v>111</v>
      </c>
      <c r="K25" s="626"/>
      <c r="L25" s="626"/>
      <c r="M25" s="803">
        <v>0</v>
      </c>
      <c r="N25" s="1540"/>
      <c r="O25" s="1540" t="str">
        <f t="shared" si="9"/>
        <v>ReH 2.995/2021</v>
      </c>
      <c r="P25" s="1549">
        <v>8.72E-2</v>
      </c>
      <c r="Q25" s="1540">
        <v>27692113.474028908</v>
      </c>
      <c r="R25" s="1548">
        <v>44531</v>
      </c>
      <c r="S25" s="1540" t="str">
        <f t="shared" si="10"/>
        <v>Desp. 521/2022</v>
      </c>
      <c r="T25" s="626" t="s">
        <v>426</v>
      </c>
      <c r="U25" s="729" t="s">
        <v>427</v>
      </c>
      <c r="V25" s="626">
        <v>2024</v>
      </c>
      <c r="W25" s="1535">
        <v>2940</v>
      </c>
      <c r="X25" s="1536" t="s">
        <v>340</v>
      </c>
      <c r="Y25" s="626"/>
      <c r="AA25" s="1538" t="s">
        <v>226</v>
      </c>
      <c r="AB25" s="1540">
        <v>22.580552842543515</v>
      </c>
      <c r="AC25" s="1541">
        <v>180.36</v>
      </c>
      <c r="AD25" s="1541">
        <v>16232843.86472071</v>
      </c>
      <c r="AE25" s="729">
        <v>44430</v>
      </c>
      <c r="AF25" s="729">
        <v>44430</v>
      </c>
      <c r="AG25" s="1540">
        <v>0</v>
      </c>
      <c r="AH25" s="626"/>
      <c r="AI25" s="729">
        <v>41472</v>
      </c>
      <c r="AJ25" s="729">
        <v>42641</v>
      </c>
      <c r="AK25" s="729" t="s">
        <v>333</v>
      </c>
      <c r="AL25" s="729"/>
      <c r="AM25" s="729"/>
      <c r="AN25" s="849"/>
      <c r="AO25" s="234"/>
      <c r="AP25" s="17"/>
      <c r="AR25" s="806" t="s">
        <v>422</v>
      </c>
      <c r="AS25" s="234"/>
      <c r="AT25" s="234"/>
      <c r="AX25" s="234"/>
    </row>
    <row r="26" spans="1:50" s="9" customFormat="1" ht="31.5" hidden="1">
      <c r="A26" s="626" t="s">
        <v>222</v>
      </c>
      <c r="B26" s="626" t="s">
        <v>428</v>
      </c>
      <c r="C26" s="626">
        <v>5353</v>
      </c>
      <c r="D26" s="626" t="s">
        <v>429</v>
      </c>
      <c r="E26" s="626" t="s">
        <v>323</v>
      </c>
      <c r="F26" s="626" t="s">
        <v>430</v>
      </c>
      <c r="G26" s="626" t="s">
        <v>396</v>
      </c>
      <c r="H26" s="626">
        <v>9.9699999999999997E-2</v>
      </c>
      <c r="I26" s="626" t="s">
        <v>226</v>
      </c>
      <c r="J26" s="626">
        <v>111</v>
      </c>
      <c r="K26" s="626"/>
      <c r="L26" s="626"/>
      <c r="M26" s="803">
        <v>0</v>
      </c>
      <c r="N26" s="1540"/>
      <c r="O26" s="1540" t="str">
        <f t="shared" si="9"/>
        <v>ReH 2.995/2021</v>
      </c>
      <c r="P26" s="1549">
        <v>5.5899999999999998E-2</v>
      </c>
      <c r="Q26" s="1550">
        <v>21470201.670165978</v>
      </c>
      <c r="R26" s="1548">
        <v>44531</v>
      </c>
      <c r="S26" s="1540" t="str">
        <f t="shared" si="10"/>
        <v>Desp. 521/2022</v>
      </c>
      <c r="T26" s="626" t="s">
        <v>431</v>
      </c>
      <c r="U26" s="729" t="s">
        <v>432</v>
      </c>
      <c r="V26" s="626">
        <v>2024</v>
      </c>
      <c r="W26" s="1535">
        <v>2950</v>
      </c>
      <c r="X26" s="1536" t="s">
        <v>340</v>
      </c>
      <c r="Y26" s="626"/>
      <c r="AA26" s="1538" t="s">
        <v>226</v>
      </c>
      <c r="AB26" s="1540">
        <v>133.2436333697292</v>
      </c>
      <c r="AC26" s="1541">
        <v>180.36</v>
      </c>
      <c r="AD26" s="1541">
        <v>755772.02907041553</v>
      </c>
      <c r="AE26" s="729">
        <v>44430</v>
      </c>
      <c r="AF26" s="729">
        <v>44430</v>
      </c>
      <c r="AG26" s="1540">
        <v>0</v>
      </c>
      <c r="AH26" s="626"/>
      <c r="AI26" s="729">
        <v>41472</v>
      </c>
      <c r="AJ26" s="729">
        <v>42641</v>
      </c>
      <c r="AK26" s="729" t="s">
        <v>333</v>
      </c>
      <c r="AL26" s="729"/>
      <c r="AM26" s="729"/>
      <c r="AN26" s="849">
        <v>1175911.3899999999</v>
      </c>
      <c r="AO26" s="234"/>
      <c r="AP26" s="17"/>
      <c r="AR26" s="806" t="s">
        <v>219</v>
      </c>
      <c r="AS26" s="234"/>
      <c r="AT26" s="234"/>
      <c r="AX26" s="234"/>
    </row>
    <row r="27" spans="1:50" s="9" customFormat="1" ht="31.5" hidden="1">
      <c r="A27" s="626" t="s">
        <v>433</v>
      </c>
      <c r="B27" s="626" t="s">
        <v>434</v>
      </c>
      <c r="C27" s="626">
        <v>5355</v>
      </c>
      <c r="D27" s="626" t="s">
        <v>435</v>
      </c>
      <c r="E27" s="626" t="s">
        <v>323</v>
      </c>
      <c r="F27" s="626" t="s">
        <v>436</v>
      </c>
      <c r="G27" s="626" t="s">
        <v>396</v>
      </c>
      <c r="H27" s="626">
        <v>9.9699999999999997E-2</v>
      </c>
      <c r="I27" s="626" t="s">
        <v>226</v>
      </c>
      <c r="J27" s="626">
        <v>111</v>
      </c>
      <c r="K27" s="626"/>
      <c r="L27" s="626"/>
      <c r="M27" s="803">
        <v>0</v>
      </c>
      <c r="N27" s="1540"/>
      <c r="O27" s="1540" t="str">
        <f t="shared" si="9"/>
        <v>ReH 2.995/2021</v>
      </c>
      <c r="P27" s="1549">
        <v>9.4600000000000004E-2</v>
      </c>
      <c r="Q27" s="1540">
        <v>8199512.497046981</v>
      </c>
      <c r="R27" s="1548">
        <v>44531</v>
      </c>
      <c r="S27" s="1540" t="str">
        <f t="shared" si="10"/>
        <v>Desp. 521/2022</v>
      </c>
      <c r="T27" s="626" t="s">
        <v>437</v>
      </c>
      <c r="U27" s="729" t="s">
        <v>438</v>
      </c>
      <c r="V27" s="626">
        <v>2025</v>
      </c>
      <c r="W27" s="1535">
        <v>2957</v>
      </c>
      <c r="X27" s="1536" t="s">
        <v>340</v>
      </c>
      <c r="Y27" s="626"/>
      <c r="AA27" s="1538" t="s">
        <v>226</v>
      </c>
      <c r="AB27" s="1540">
        <v>52.855625463016914</v>
      </c>
      <c r="AC27" s="1541">
        <v>180.36</v>
      </c>
      <c r="AD27" s="1541">
        <v>3264076.527192608</v>
      </c>
      <c r="AE27" s="729">
        <v>44430</v>
      </c>
      <c r="AF27" s="729">
        <v>44430</v>
      </c>
      <c r="AG27" s="1540">
        <v>0</v>
      </c>
      <c r="AH27" s="626"/>
      <c r="AI27" s="729">
        <v>41365</v>
      </c>
      <c r="AJ27" s="729">
        <v>42641</v>
      </c>
      <c r="AK27" s="729" t="s">
        <v>333</v>
      </c>
      <c r="AL27" s="729"/>
      <c r="AM27" s="729"/>
      <c r="AN27" s="849"/>
      <c r="AO27" s="234"/>
      <c r="AP27" s="17"/>
      <c r="AR27" s="806" t="s">
        <v>439</v>
      </c>
      <c r="AS27" s="234"/>
      <c r="AT27" s="234"/>
      <c r="AX27" s="234"/>
    </row>
    <row r="28" spans="1:50" s="9" customFormat="1" ht="31.5" hidden="1">
      <c r="A28" s="626" t="s">
        <v>440</v>
      </c>
      <c r="B28" s="626" t="s">
        <v>441</v>
      </c>
      <c r="C28" s="626">
        <v>5363</v>
      </c>
      <c r="D28" s="626" t="s">
        <v>442</v>
      </c>
      <c r="E28" s="626" t="s">
        <v>323</v>
      </c>
      <c r="F28" s="626" t="s">
        <v>443</v>
      </c>
      <c r="G28" s="626" t="s">
        <v>396</v>
      </c>
      <c r="H28" s="626">
        <v>9.9699999999999997E-2</v>
      </c>
      <c r="I28" s="626" t="s">
        <v>226</v>
      </c>
      <c r="J28" s="626">
        <v>111</v>
      </c>
      <c r="K28" s="626"/>
      <c r="L28" s="626"/>
      <c r="M28" s="803">
        <v>0</v>
      </c>
      <c r="N28" s="1540"/>
      <c r="O28" s="1540" t="str">
        <f t="shared" si="9"/>
        <v>ReH 2.995/2021</v>
      </c>
      <c r="P28" s="1549">
        <v>8.7799999999999989E-2</v>
      </c>
      <c r="Q28" s="1540">
        <v>9453809.4927214365</v>
      </c>
      <c r="R28" s="1548">
        <v>44531</v>
      </c>
      <c r="S28" s="1540" t="str">
        <f t="shared" si="10"/>
        <v>Desp. 521/2022</v>
      </c>
      <c r="T28" s="626" t="s">
        <v>444</v>
      </c>
      <c r="U28" s="729" t="s">
        <v>398</v>
      </c>
      <c r="V28" s="626">
        <v>2024</v>
      </c>
      <c r="W28" s="1535">
        <v>2947</v>
      </c>
      <c r="X28" s="1536" t="s">
        <v>340</v>
      </c>
      <c r="Y28" s="626"/>
      <c r="AA28" s="1538" t="s">
        <v>226</v>
      </c>
      <c r="AB28" s="1540">
        <v>58.247314361695402</v>
      </c>
      <c r="AC28" s="1541">
        <v>180.36</v>
      </c>
      <c r="AD28" s="1541">
        <v>2499952.1881573107</v>
      </c>
      <c r="AE28" s="729">
        <v>44430</v>
      </c>
      <c r="AF28" s="729">
        <v>44430</v>
      </c>
      <c r="AG28" s="1540">
        <v>0</v>
      </c>
      <c r="AH28" s="626"/>
      <c r="AI28" s="729">
        <v>41472</v>
      </c>
      <c r="AJ28" s="729">
        <v>42641</v>
      </c>
      <c r="AK28" s="729" t="s">
        <v>333</v>
      </c>
      <c r="AL28" s="729"/>
      <c r="AM28" s="729"/>
      <c r="AN28" s="849"/>
      <c r="AO28" s="234"/>
      <c r="AP28" s="17"/>
      <c r="AR28" s="806" t="s">
        <v>222</v>
      </c>
      <c r="AS28" s="234"/>
      <c r="AT28" s="234"/>
      <c r="AX28" s="234"/>
    </row>
    <row r="29" spans="1:50" s="9" customFormat="1" ht="31.5" hidden="1">
      <c r="A29" s="626" t="s">
        <v>445</v>
      </c>
      <c r="B29" s="626" t="s">
        <v>446</v>
      </c>
      <c r="C29" s="626">
        <v>5364</v>
      </c>
      <c r="D29" s="626" t="s">
        <v>447</v>
      </c>
      <c r="E29" s="626" t="s">
        <v>323</v>
      </c>
      <c r="F29" s="626" t="s">
        <v>448</v>
      </c>
      <c r="G29" s="626" t="s">
        <v>396</v>
      </c>
      <c r="H29" s="626">
        <v>9.9699999999999997E-2</v>
      </c>
      <c r="I29" s="626" t="s">
        <v>226</v>
      </c>
      <c r="J29" s="626">
        <v>111</v>
      </c>
      <c r="K29" s="626"/>
      <c r="L29" s="626"/>
      <c r="M29" s="803">
        <v>0</v>
      </c>
      <c r="N29" s="1540"/>
      <c r="O29" s="1540" t="str">
        <f t="shared" si="9"/>
        <v>ReH 2.995/2021</v>
      </c>
      <c r="P29" s="1549">
        <v>8.8100000000000012E-2</v>
      </c>
      <c r="Q29" s="1540">
        <v>28651980.425397582</v>
      </c>
      <c r="R29" s="1548">
        <v>44531</v>
      </c>
      <c r="S29" s="1540" t="str">
        <f t="shared" si="10"/>
        <v>Desp. 521/2022</v>
      </c>
      <c r="T29" s="626" t="s">
        <v>449</v>
      </c>
      <c r="U29" s="729" t="s">
        <v>450</v>
      </c>
      <c r="V29" s="626">
        <v>2022</v>
      </c>
      <c r="W29" s="1535">
        <v>2951</v>
      </c>
      <c r="X29" s="1536" t="s">
        <v>340</v>
      </c>
      <c r="Y29" s="626"/>
      <c r="AA29" s="1538" t="s">
        <v>226</v>
      </c>
      <c r="AB29" s="1540">
        <v>179.67819908532709</v>
      </c>
      <c r="AC29" s="1541">
        <v>180.36</v>
      </c>
      <c r="AD29" s="1541">
        <v>1205667.8282342954</v>
      </c>
      <c r="AE29" s="729">
        <v>44430</v>
      </c>
      <c r="AF29" s="729">
        <v>44430</v>
      </c>
      <c r="AG29" s="1540">
        <v>0</v>
      </c>
      <c r="AH29" s="626"/>
      <c r="AI29" s="729">
        <v>41365</v>
      </c>
      <c r="AJ29" s="729">
        <v>42641</v>
      </c>
      <c r="AK29" s="729" t="s">
        <v>333</v>
      </c>
      <c r="AL29" s="729"/>
      <c r="AM29" s="729"/>
      <c r="AN29" s="849"/>
      <c r="AO29" s="234"/>
      <c r="AP29" s="17"/>
      <c r="AR29" s="806" t="s">
        <v>433</v>
      </c>
      <c r="AS29" s="234"/>
      <c r="AT29" s="234"/>
      <c r="AX29" s="234"/>
    </row>
    <row r="30" spans="1:50" s="9" customFormat="1" ht="31.5" hidden="1">
      <c r="A30" s="626" t="s">
        <v>451</v>
      </c>
      <c r="B30" s="626" t="s">
        <v>452</v>
      </c>
      <c r="C30" s="626">
        <v>5365</v>
      </c>
      <c r="D30" s="626" t="s">
        <v>453</v>
      </c>
      <c r="E30" s="626" t="s">
        <v>323</v>
      </c>
      <c r="F30" s="626" t="s">
        <v>454</v>
      </c>
      <c r="G30" s="626" t="s">
        <v>396</v>
      </c>
      <c r="H30" s="626">
        <v>9.9699999999999997E-2</v>
      </c>
      <c r="I30" s="626" t="s">
        <v>226</v>
      </c>
      <c r="J30" s="626">
        <v>111</v>
      </c>
      <c r="K30" s="626"/>
      <c r="L30" s="626"/>
      <c r="M30" s="803">
        <v>0</v>
      </c>
      <c r="N30" s="1540"/>
      <c r="O30" s="1540" t="str">
        <f t="shared" si="9"/>
        <v>ReH 2.995/2021</v>
      </c>
      <c r="P30" s="1549">
        <v>8.5999999999999993E-2</v>
      </c>
      <c r="Q30" s="1540">
        <v>22196667.859687008</v>
      </c>
      <c r="R30" s="1548">
        <v>44531</v>
      </c>
      <c r="S30" s="1540" t="str">
        <f t="shared" si="10"/>
        <v>Desp. 521/2022</v>
      </c>
      <c r="T30" s="626" t="s">
        <v>455</v>
      </c>
      <c r="U30" s="729" t="s">
        <v>398</v>
      </c>
      <c r="V30" s="626">
        <v>2024</v>
      </c>
      <c r="W30" s="1535">
        <v>2941</v>
      </c>
      <c r="X30" s="1536" t="s">
        <v>340</v>
      </c>
      <c r="Y30" s="626"/>
      <c r="AA30" s="1538" t="s">
        <v>226</v>
      </c>
      <c r="AB30" s="1540">
        <v>91.699587599428298</v>
      </c>
      <c r="AC30" s="1541">
        <v>180.36</v>
      </c>
      <c r="AD30" s="1541">
        <v>3495955.8527844017</v>
      </c>
      <c r="AE30" s="729">
        <v>44430</v>
      </c>
      <c r="AF30" s="729">
        <v>44430</v>
      </c>
      <c r="AG30" s="1540">
        <v>0</v>
      </c>
      <c r="AH30" s="626"/>
      <c r="AI30" s="729">
        <v>41472</v>
      </c>
      <c r="AJ30" s="729">
        <v>42641</v>
      </c>
      <c r="AK30" s="729" t="s">
        <v>333</v>
      </c>
      <c r="AL30" s="729"/>
      <c r="AM30" s="729"/>
      <c r="AN30" s="849"/>
      <c r="AO30" s="234"/>
      <c r="AP30" s="17"/>
      <c r="AR30" s="806" t="s">
        <v>440</v>
      </c>
      <c r="AS30" s="234"/>
      <c r="AT30" s="234"/>
      <c r="AX30" s="234"/>
    </row>
    <row r="31" spans="1:50" s="9" customFormat="1" ht="31.5" hidden="1">
      <c r="A31" s="626" t="s">
        <v>456</v>
      </c>
      <c r="B31" s="626" t="s">
        <v>457</v>
      </c>
      <c r="C31" s="626">
        <v>5368</v>
      </c>
      <c r="D31" s="626" t="s">
        <v>458</v>
      </c>
      <c r="E31" s="626" t="s">
        <v>323</v>
      </c>
      <c r="F31" s="626" t="s">
        <v>459</v>
      </c>
      <c r="G31" s="626" t="s">
        <v>396</v>
      </c>
      <c r="H31" s="626">
        <v>9.9699999999999997E-2</v>
      </c>
      <c r="I31" s="626" t="s">
        <v>226</v>
      </c>
      <c r="J31" s="626">
        <v>111</v>
      </c>
      <c r="K31" s="626"/>
      <c r="L31" s="626"/>
      <c r="M31" s="803">
        <v>0</v>
      </c>
      <c r="N31" s="1540"/>
      <c r="O31" s="1540" t="str">
        <f t="shared" si="9"/>
        <v>ReH 2.995/2021</v>
      </c>
      <c r="P31" s="1549">
        <v>0.15049999999999999</v>
      </c>
      <c r="Q31" s="1550">
        <v>35954089.405949146</v>
      </c>
      <c r="R31" s="1548">
        <v>44531</v>
      </c>
      <c r="S31" s="1540" t="str">
        <f t="shared" si="10"/>
        <v>Desp. 521/2022</v>
      </c>
      <c r="T31" s="626" t="s">
        <v>460</v>
      </c>
      <c r="U31" s="729" t="s">
        <v>398</v>
      </c>
      <c r="V31" s="626">
        <v>2024</v>
      </c>
      <c r="W31" s="1535">
        <v>2953</v>
      </c>
      <c r="X31" s="1536" t="s">
        <v>340</v>
      </c>
      <c r="Y31" s="626"/>
      <c r="AA31" s="1538" t="s">
        <v>226</v>
      </c>
      <c r="AB31" s="1540">
        <v>61.746716264073157</v>
      </c>
      <c r="AC31" s="1541">
        <v>180.36</v>
      </c>
      <c r="AD31" s="1541">
        <v>18151717.219335504</v>
      </c>
      <c r="AE31" s="729">
        <v>44430</v>
      </c>
      <c r="AF31" s="729">
        <v>44430</v>
      </c>
      <c r="AG31" s="1540">
        <v>0</v>
      </c>
      <c r="AH31" s="626"/>
      <c r="AI31" s="729">
        <v>41472</v>
      </c>
      <c r="AJ31" s="729">
        <v>42641</v>
      </c>
      <c r="AK31" s="729" t="s">
        <v>333</v>
      </c>
      <c r="AL31" s="729"/>
      <c r="AM31" s="729"/>
      <c r="AN31" s="849"/>
      <c r="AO31" s="234"/>
      <c r="AP31" s="17"/>
      <c r="AR31" s="806" t="s">
        <v>212</v>
      </c>
      <c r="AS31" s="234"/>
      <c r="AT31" s="234"/>
      <c r="AX31" s="234"/>
    </row>
    <row r="32" spans="1:50" s="9" customFormat="1" ht="31.5" hidden="1">
      <c r="A32" s="626" t="s">
        <v>461</v>
      </c>
      <c r="B32" s="626" t="s">
        <v>462</v>
      </c>
      <c r="C32" s="626">
        <v>5369</v>
      </c>
      <c r="D32" s="626" t="s">
        <v>463</v>
      </c>
      <c r="E32" s="626" t="s">
        <v>323</v>
      </c>
      <c r="F32" s="626" t="s">
        <v>464</v>
      </c>
      <c r="G32" s="626" t="s">
        <v>396</v>
      </c>
      <c r="H32" s="626">
        <v>9.9699999999999997E-2</v>
      </c>
      <c r="I32" s="626" t="s">
        <v>226</v>
      </c>
      <c r="J32" s="626">
        <v>111</v>
      </c>
      <c r="K32" s="626"/>
      <c r="L32" s="626"/>
      <c r="M32" s="803">
        <v>0</v>
      </c>
      <c r="N32" s="1540"/>
      <c r="O32" s="1540" t="str">
        <f t="shared" si="9"/>
        <v>ReH 2.995/2021</v>
      </c>
      <c r="P32" s="1549">
        <v>8.4100000000000008E-2</v>
      </c>
      <c r="Q32" s="1550">
        <v>13590865.443045003</v>
      </c>
      <c r="R32" s="1548">
        <v>44531</v>
      </c>
      <c r="S32" s="1540" t="str">
        <f t="shared" si="10"/>
        <v>Desp. 521/2022</v>
      </c>
      <c r="T32" s="626" t="s">
        <v>465</v>
      </c>
      <c r="U32" s="729" t="s">
        <v>438</v>
      </c>
      <c r="V32" s="626">
        <v>2025</v>
      </c>
      <c r="W32" s="1535">
        <v>2943</v>
      </c>
      <c r="X32" s="1536" t="s">
        <v>340</v>
      </c>
      <c r="Y32" s="626"/>
      <c r="AA32" s="1538" t="s">
        <v>226</v>
      </c>
      <c r="AB32" s="1540">
        <v>81.509152888329083</v>
      </c>
      <c r="AC32" s="1541">
        <v>180.36</v>
      </c>
      <c r="AD32" s="1541">
        <v>2315515.5721165724</v>
      </c>
      <c r="AE32" s="729">
        <v>44430</v>
      </c>
      <c r="AF32" s="729">
        <v>44430</v>
      </c>
      <c r="AG32" s="1540">
        <v>0</v>
      </c>
      <c r="AH32" s="626"/>
      <c r="AI32" s="729">
        <v>41365</v>
      </c>
      <c r="AJ32" s="729">
        <v>42641</v>
      </c>
      <c r="AK32" s="729" t="s">
        <v>333</v>
      </c>
      <c r="AL32" s="729"/>
      <c r="AM32" s="729"/>
      <c r="AN32" s="849"/>
      <c r="AO32" s="234"/>
      <c r="AP32" s="17"/>
      <c r="AR32" s="806" t="s">
        <v>341</v>
      </c>
      <c r="AS32" s="234"/>
      <c r="AT32" s="234"/>
      <c r="AX32" s="234"/>
    </row>
    <row r="33" spans="1:50" s="9" customFormat="1" ht="31.5" hidden="1">
      <c r="A33" s="626" t="s">
        <v>225</v>
      </c>
      <c r="B33" s="626" t="s">
        <v>466</v>
      </c>
      <c r="C33" s="626">
        <v>5370</v>
      </c>
      <c r="D33" s="626" t="s">
        <v>467</v>
      </c>
      <c r="E33" s="626" t="s">
        <v>323</v>
      </c>
      <c r="F33" s="626" t="s">
        <v>468</v>
      </c>
      <c r="G33" s="626" t="s">
        <v>396</v>
      </c>
      <c r="H33" s="626">
        <v>9.9699999999999997E-2</v>
      </c>
      <c r="I33" s="626" t="s">
        <v>226</v>
      </c>
      <c r="J33" s="626">
        <v>111</v>
      </c>
      <c r="K33" s="626"/>
      <c r="L33" s="626"/>
      <c r="M33" s="803">
        <v>0</v>
      </c>
      <c r="N33" s="1540"/>
      <c r="O33" s="1540" t="str">
        <f t="shared" si="9"/>
        <v>ReH 2.995/2021</v>
      </c>
      <c r="P33" s="1549">
        <v>0.1076</v>
      </c>
      <c r="Q33" s="1550">
        <v>60899756.095931061</v>
      </c>
      <c r="R33" s="1548">
        <v>44531</v>
      </c>
      <c r="S33" s="1540" t="str">
        <f t="shared" si="10"/>
        <v>Desp. 521/2022</v>
      </c>
      <c r="T33" s="626" t="s">
        <v>469</v>
      </c>
      <c r="U33" s="729" t="s">
        <v>398</v>
      </c>
      <c r="V33" s="626">
        <v>2024</v>
      </c>
      <c r="W33" s="1535">
        <v>2937</v>
      </c>
      <c r="X33" s="1536" t="s">
        <v>340</v>
      </c>
      <c r="Y33" s="626"/>
      <c r="AA33" s="1538" t="s">
        <v>226</v>
      </c>
      <c r="AB33" s="1540">
        <v>214.41662426644362</v>
      </c>
      <c r="AC33" s="1541">
        <v>180.36</v>
      </c>
      <c r="AD33" s="1541">
        <v>0</v>
      </c>
      <c r="AE33" s="729">
        <v>44430</v>
      </c>
      <c r="AF33" s="729">
        <v>44430</v>
      </c>
      <c r="AG33" s="1540">
        <v>0</v>
      </c>
      <c r="AH33" s="626"/>
      <c r="AI33" s="729">
        <v>41472</v>
      </c>
      <c r="AJ33" s="729">
        <v>42641</v>
      </c>
      <c r="AK33" s="729" t="s">
        <v>333</v>
      </c>
      <c r="AL33" s="729"/>
      <c r="AM33" s="729"/>
      <c r="AN33" s="849">
        <v>9419991.3800000008</v>
      </c>
      <c r="AO33" s="234"/>
      <c r="AP33" s="17"/>
      <c r="AR33" s="806" t="s">
        <v>347</v>
      </c>
      <c r="AS33" s="234"/>
      <c r="AT33" s="234"/>
      <c r="AX33" s="234"/>
    </row>
    <row r="34" spans="1:50" s="9" customFormat="1" ht="31.5" hidden="1">
      <c r="A34" s="626" t="s">
        <v>470</v>
      </c>
      <c r="B34" s="626" t="s">
        <v>471</v>
      </c>
      <c r="C34" s="626">
        <v>5371</v>
      </c>
      <c r="D34" s="626" t="s">
        <v>472</v>
      </c>
      <c r="E34" s="626" t="s">
        <v>323</v>
      </c>
      <c r="F34" s="626" t="s">
        <v>473</v>
      </c>
      <c r="G34" s="626" t="s">
        <v>396</v>
      </c>
      <c r="H34" s="626">
        <v>9.9699999999999997E-2</v>
      </c>
      <c r="I34" s="626" t="s">
        <v>226</v>
      </c>
      <c r="J34" s="626">
        <v>111</v>
      </c>
      <c r="K34" s="626" t="s">
        <v>474</v>
      </c>
      <c r="L34" s="626">
        <v>144</v>
      </c>
      <c r="M34" s="803">
        <v>0</v>
      </c>
      <c r="N34" s="1540"/>
      <c r="O34" s="1540" t="str">
        <f t="shared" si="9"/>
        <v>ReH 2.995/2021</v>
      </c>
      <c r="P34" s="1549">
        <v>9.5000000000000001E-2</v>
      </c>
      <c r="Q34" s="1540">
        <v>19126030.720523704</v>
      </c>
      <c r="R34" s="1548">
        <v>44531</v>
      </c>
      <c r="S34" s="1540" t="str">
        <f t="shared" si="10"/>
        <v>Desp. 521/2022</v>
      </c>
      <c r="T34" s="626" t="s">
        <v>475</v>
      </c>
      <c r="U34" s="729" t="s">
        <v>476</v>
      </c>
      <c r="V34" s="626">
        <v>2022</v>
      </c>
      <c r="W34" s="1535">
        <v>2948</v>
      </c>
      <c r="X34" s="1536" t="s">
        <v>340</v>
      </c>
      <c r="Y34" s="626"/>
      <c r="AA34" s="1538" t="s">
        <v>226</v>
      </c>
      <c r="AB34" s="1540">
        <v>144.17854635765113</v>
      </c>
      <c r="AC34" s="1541">
        <v>180.36</v>
      </c>
      <c r="AD34" s="1541">
        <v>3162343.6648914311</v>
      </c>
      <c r="AE34" s="729">
        <v>44430</v>
      </c>
      <c r="AF34" s="729">
        <v>44430</v>
      </c>
      <c r="AG34" s="1540">
        <v>0</v>
      </c>
      <c r="AH34" s="626"/>
      <c r="AI34" s="729">
        <v>41365</v>
      </c>
      <c r="AJ34" s="729">
        <v>42641</v>
      </c>
      <c r="AK34" s="729" t="s">
        <v>333</v>
      </c>
      <c r="AL34" s="729"/>
      <c r="AM34" s="729"/>
      <c r="AN34" s="849"/>
      <c r="AO34" s="234"/>
      <c r="AP34" s="17"/>
      <c r="AR34" s="806" t="s">
        <v>354</v>
      </c>
      <c r="AS34" s="234"/>
      <c r="AT34" s="234"/>
      <c r="AX34" s="234"/>
    </row>
    <row r="35" spans="1:50" s="9" customFormat="1" ht="31.5" hidden="1">
      <c r="A35" s="626" t="s">
        <v>477</v>
      </c>
      <c r="B35" s="626" t="s">
        <v>478</v>
      </c>
      <c r="C35" s="626">
        <v>5373</v>
      </c>
      <c r="D35" s="626" t="s">
        <v>479</v>
      </c>
      <c r="E35" s="626" t="s">
        <v>323</v>
      </c>
      <c r="F35" s="626" t="s">
        <v>480</v>
      </c>
      <c r="G35" s="626" t="s">
        <v>396</v>
      </c>
      <c r="H35" s="626">
        <v>9.9699999999999997E-2</v>
      </c>
      <c r="I35" s="626" t="s">
        <v>226</v>
      </c>
      <c r="J35" s="626">
        <v>111</v>
      </c>
      <c r="K35" s="626"/>
      <c r="L35" s="626"/>
      <c r="M35" s="803">
        <v>0</v>
      </c>
      <c r="N35" s="1540"/>
      <c r="O35" s="1540" t="str">
        <f t="shared" si="9"/>
        <v>ReH 2.995/2021</v>
      </c>
      <c r="P35" s="1549">
        <v>0.1487</v>
      </c>
      <c r="Q35" s="1540">
        <v>2738505.6826723199</v>
      </c>
      <c r="R35" s="1548">
        <v>44531</v>
      </c>
      <c r="S35" s="1540" t="str">
        <f t="shared" si="10"/>
        <v>Desp. 521/2022</v>
      </c>
      <c r="T35" s="626" t="s">
        <v>481</v>
      </c>
      <c r="U35" s="729" t="s">
        <v>432</v>
      </c>
      <c r="V35" s="626">
        <v>2024</v>
      </c>
      <c r="W35" s="1535">
        <v>2942</v>
      </c>
      <c r="X35" s="1536" t="s">
        <v>340</v>
      </c>
      <c r="Y35" s="626"/>
      <c r="AA35" s="1538" t="s">
        <v>226</v>
      </c>
      <c r="AB35" s="1540">
        <v>63.276120153090822</v>
      </c>
      <c r="AC35" s="1541">
        <v>180.36</v>
      </c>
      <c r="AD35" s="1541">
        <v>1357439.1316492993</v>
      </c>
      <c r="AE35" s="729">
        <v>44430</v>
      </c>
      <c r="AF35" s="729">
        <v>44430</v>
      </c>
      <c r="AG35" s="1540">
        <v>0</v>
      </c>
      <c r="AH35" s="626"/>
      <c r="AI35" s="729">
        <v>41472</v>
      </c>
      <c r="AJ35" s="729">
        <v>42641</v>
      </c>
      <c r="AK35" s="729" t="s">
        <v>333</v>
      </c>
      <c r="AL35" s="729"/>
      <c r="AM35" s="729"/>
      <c r="AN35" s="849"/>
      <c r="AO35" s="234"/>
      <c r="AP35" s="17"/>
      <c r="AR35" s="806" t="s">
        <v>362</v>
      </c>
      <c r="AS35" s="234"/>
      <c r="AT35" s="234"/>
      <c r="AX35" s="234"/>
    </row>
    <row r="36" spans="1:50" s="9" customFormat="1" ht="31.5" hidden="1">
      <c r="A36" s="626" t="s">
        <v>482</v>
      </c>
      <c r="B36" s="626" t="s">
        <v>483</v>
      </c>
      <c r="C36" s="626">
        <v>7016</v>
      </c>
      <c r="D36" s="626" t="s">
        <v>484</v>
      </c>
      <c r="E36" s="626" t="s">
        <v>323</v>
      </c>
      <c r="F36" s="626" t="s">
        <v>485</v>
      </c>
      <c r="G36" s="626" t="s">
        <v>396</v>
      </c>
      <c r="H36" s="626">
        <v>9.9699999999999997E-2</v>
      </c>
      <c r="I36" s="626" t="s">
        <v>226</v>
      </c>
      <c r="J36" s="626">
        <v>111</v>
      </c>
      <c r="K36" s="626"/>
      <c r="L36" s="626"/>
      <c r="M36" s="803">
        <v>0</v>
      </c>
      <c r="N36" s="1540"/>
      <c r="O36" s="1540" t="str">
        <f t="shared" si="9"/>
        <v>ReH 2.995/2021</v>
      </c>
      <c r="P36" s="1549">
        <v>0.14050000000000001</v>
      </c>
      <c r="Q36" s="1550">
        <v>17300202.805932775</v>
      </c>
      <c r="R36" s="1548">
        <v>44531</v>
      </c>
      <c r="S36" s="1540" t="str">
        <f t="shared" si="10"/>
        <v>Desp. 521/2022</v>
      </c>
      <c r="T36" s="626" t="s">
        <v>486</v>
      </c>
      <c r="U36" s="729" t="s">
        <v>398</v>
      </c>
      <c r="V36" s="626">
        <v>2024</v>
      </c>
      <c r="W36" s="1535">
        <v>2956</v>
      </c>
      <c r="X36" s="1536" t="s">
        <v>340</v>
      </c>
      <c r="Y36" s="626"/>
      <c r="AA36" s="1538" t="s">
        <v>226</v>
      </c>
      <c r="AB36" s="1540">
        <v>49.410527393388534</v>
      </c>
      <c r="AC36" s="1541">
        <v>180.36</v>
      </c>
      <c r="AD36" s="1541">
        <v>6872759.7273220662</v>
      </c>
      <c r="AE36" s="729">
        <v>44430</v>
      </c>
      <c r="AF36" s="729">
        <v>44430</v>
      </c>
      <c r="AG36" s="1540">
        <v>0</v>
      </c>
      <c r="AH36" s="626"/>
      <c r="AI36" s="729">
        <v>41472</v>
      </c>
      <c r="AJ36" s="729">
        <v>42641</v>
      </c>
      <c r="AK36" s="729" t="s">
        <v>333</v>
      </c>
      <c r="AL36" s="729"/>
      <c r="AM36" s="729"/>
      <c r="AN36" s="849"/>
      <c r="AO36" s="234"/>
      <c r="AP36" s="17"/>
      <c r="AR36" s="806" t="s">
        <v>487</v>
      </c>
      <c r="AS36" s="234"/>
      <c r="AT36" s="234"/>
      <c r="AX36" s="234"/>
    </row>
    <row r="37" spans="1:50" s="9" customFormat="1" ht="31.5" hidden="1">
      <c r="A37" s="626" t="s">
        <v>212</v>
      </c>
      <c r="B37" s="626" t="s">
        <v>488</v>
      </c>
      <c r="C37" s="626">
        <v>2763</v>
      </c>
      <c r="D37" s="626" t="s">
        <v>489</v>
      </c>
      <c r="E37" s="626" t="s">
        <v>323</v>
      </c>
      <c r="F37" s="626" t="s">
        <v>490</v>
      </c>
      <c r="G37" s="626" t="s">
        <v>491</v>
      </c>
      <c r="H37" s="626">
        <v>9.9699999999999997E-2</v>
      </c>
      <c r="I37" s="626" t="s">
        <v>243</v>
      </c>
      <c r="J37" s="626">
        <v>167</v>
      </c>
      <c r="K37" s="626"/>
      <c r="L37" s="626"/>
      <c r="M37" s="803">
        <v>0</v>
      </c>
      <c r="N37" s="1540"/>
      <c r="O37" s="1540" t="str">
        <f t="shared" si="9"/>
        <v>ReH 2.995/2021</v>
      </c>
      <c r="P37" s="1549">
        <v>0.21060000000000001</v>
      </c>
      <c r="Q37" s="1540">
        <v>40296212.128956385</v>
      </c>
      <c r="R37" s="1548">
        <v>44531</v>
      </c>
      <c r="S37" s="1540" t="str">
        <f t="shared" si="10"/>
        <v>Desp. 521/2022</v>
      </c>
      <c r="T37" s="626" t="s">
        <v>492</v>
      </c>
      <c r="U37" s="729" t="s">
        <v>493</v>
      </c>
      <c r="V37" s="626">
        <v>2022</v>
      </c>
      <c r="W37" s="1535">
        <v>2917</v>
      </c>
      <c r="X37" s="1536" t="s">
        <v>360</v>
      </c>
      <c r="Y37" s="626"/>
      <c r="AA37" s="1538" t="s">
        <v>243</v>
      </c>
      <c r="AB37" s="1540">
        <v>29.55</v>
      </c>
      <c r="AC37" s="1541">
        <v>108.15</v>
      </c>
      <c r="AD37" s="1541">
        <v>14515437.369999999</v>
      </c>
      <c r="AE37" s="729">
        <v>43270</v>
      </c>
      <c r="AF37" s="729">
        <v>43270</v>
      </c>
      <c r="AG37" s="1540">
        <v>0</v>
      </c>
      <c r="AH37" s="626"/>
      <c r="AI37" s="729">
        <v>41365</v>
      </c>
      <c r="AJ37" s="729">
        <v>42551</v>
      </c>
      <c r="AK37" s="729" t="s">
        <v>333</v>
      </c>
      <c r="AL37" s="729"/>
      <c r="AM37" s="729"/>
      <c r="AN37" s="849">
        <v>2202975.46</v>
      </c>
      <c r="AO37" s="234"/>
      <c r="AP37" s="17"/>
      <c r="AR37" s="806" t="s">
        <v>445</v>
      </c>
      <c r="AS37" s="234"/>
      <c r="AT37" s="234"/>
      <c r="AX37" s="234"/>
    </row>
    <row r="38" spans="1:50" s="9" customFormat="1" ht="31.5" hidden="1">
      <c r="A38" s="626" t="s">
        <v>487</v>
      </c>
      <c r="B38" s="626" t="s">
        <v>494</v>
      </c>
      <c r="C38" s="626">
        <v>2381</v>
      </c>
      <c r="D38" s="626" t="s">
        <v>495</v>
      </c>
      <c r="E38" s="626" t="s">
        <v>323</v>
      </c>
      <c r="F38" s="626" t="s">
        <v>496</v>
      </c>
      <c r="G38" s="626" t="s">
        <v>491</v>
      </c>
      <c r="H38" s="626">
        <v>9.9699999999999997E-2</v>
      </c>
      <c r="I38" s="626" t="s">
        <v>243</v>
      </c>
      <c r="J38" s="626">
        <v>167</v>
      </c>
      <c r="K38" s="626"/>
      <c r="L38" s="626"/>
      <c r="M38" s="803">
        <v>0</v>
      </c>
      <c r="N38" s="1540"/>
      <c r="O38" s="1540" t="str">
        <f t="shared" si="9"/>
        <v>ReH 2.995/2021</v>
      </c>
      <c r="P38" s="1549">
        <v>0.1535</v>
      </c>
      <c r="Q38" s="1540">
        <v>57163108.857696883</v>
      </c>
      <c r="R38" s="1548">
        <v>44531</v>
      </c>
      <c r="S38" s="1540" t="str">
        <f t="shared" si="10"/>
        <v>Desp. 521/2022</v>
      </c>
      <c r="T38" s="626" t="s">
        <v>497</v>
      </c>
      <c r="U38" s="729" t="s">
        <v>498</v>
      </c>
      <c r="V38" s="626">
        <v>2025</v>
      </c>
      <c r="W38" s="1535">
        <v>2904</v>
      </c>
      <c r="X38" s="1536" t="s">
        <v>360</v>
      </c>
      <c r="Y38" s="626"/>
      <c r="AA38" s="1538" t="s">
        <v>243</v>
      </c>
      <c r="AB38" s="1540">
        <v>18.75</v>
      </c>
      <c r="AC38" s="1541">
        <v>108.15</v>
      </c>
      <c r="AD38" s="1541">
        <v>22607799.66</v>
      </c>
      <c r="AE38" s="729">
        <v>43270</v>
      </c>
      <c r="AF38" s="729">
        <v>43270</v>
      </c>
      <c r="AG38" s="1540">
        <v>69.23</v>
      </c>
      <c r="AH38" s="729">
        <v>42917</v>
      </c>
      <c r="AI38" s="729">
        <v>41365</v>
      </c>
      <c r="AJ38" s="729">
        <v>42551</v>
      </c>
      <c r="AK38" s="729" t="s">
        <v>333</v>
      </c>
      <c r="AL38" s="729"/>
      <c r="AM38" s="729"/>
      <c r="AN38" s="849"/>
      <c r="AO38" s="234"/>
      <c r="AP38" s="17"/>
      <c r="AR38" s="806" t="s">
        <v>368</v>
      </c>
      <c r="AS38" s="234"/>
      <c r="AT38" s="234"/>
      <c r="AX38" s="234"/>
    </row>
    <row r="39" spans="1:50" s="9" customFormat="1" ht="31.5" hidden="1">
      <c r="A39" s="626" t="s">
        <v>499</v>
      </c>
      <c r="B39" s="626" t="s">
        <v>500</v>
      </c>
      <c r="C39" s="626">
        <v>3223</v>
      </c>
      <c r="D39" s="626" t="s">
        <v>501</v>
      </c>
      <c r="E39" s="626" t="s">
        <v>323</v>
      </c>
      <c r="F39" s="626" t="s">
        <v>502</v>
      </c>
      <c r="G39" s="626" t="s">
        <v>491</v>
      </c>
      <c r="H39" s="626">
        <v>9.9699999999999997E-2</v>
      </c>
      <c r="I39" s="626" t="s">
        <v>243</v>
      </c>
      <c r="J39" s="626">
        <v>167</v>
      </c>
      <c r="K39" s="626" t="s">
        <v>402</v>
      </c>
      <c r="L39" s="626">
        <v>110</v>
      </c>
      <c r="M39" s="803">
        <v>0</v>
      </c>
      <c r="N39" s="1540"/>
      <c r="O39" s="1540" t="str">
        <f t="shared" si="9"/>
        <v>ReH 2.995/2021</v>
      </c>
      <c r="P39" s="1549">
        <v>0.1507</v>
      </c>
      <c r="Q39" s="1540">
        <v>44907656.56835518</v>
      </c>
      <c r="R39" s="1548">
        <v>44531</v>
      </c>
      <c r="S39" s="1540" t="str">
        <f t="shared" si="10"/>
        <v>Desp. 521/2022</v>
      </c>
      <c r="T39" s="626" t="s">
        <v>503</v>
      </c>
      <c r="U39" s="729" t="s">
        <v>504</v>
      </c>
      <c r="V39" s="626">
        <v>2025</v>
      </c>
      <c r="W39" s="1535">
        <v>2914</v>
      </c>
      <c r="X39" s="1536" t="s">
        <v>360</v>
      </c>
      <c r="Y39" s="626"/>
      <c r="AA39" s="1538" t="s">
        <v>243</v>
      </c>
      <c r="AB39" s="1540">
        <v>23.94</v>
      </c>
      <c r="AC39" s="1541">
        <v>131.34</v>
      </c>
      <c r="AD39" s="1541">
        <v>17583006.989999998</v>
      </c>
      <c r="AE39" s="729">
        <v>43209</v>
      </c>
      <c r="AF39" s="729">
        <v>43270</v>
      </c>
      <c r="AG39" s="1540">
        <v>0</v>
      </c>
      <c r="AH39" s="626"/>
      <c r="AI39" s="729">
        <v>41472</v>
      </c>
      <c r="AJ39" s="729">
        <v>42486</v>
      </c>
      <c r="AK39" s="729" t="s">
        <v>333</v>
      </c>
      <c r="AL39" s="729"/>
      <c r="AM39" s="729"/>
      <c r="AN39" s="849"/>
      <c r="AO39" s="234"/>
      <c r="AP39" s="17"/>
      <c r="AR39" s="806" t="s">
        <v>451</v>
      </c>
      <c r="AS39" s="234"/>
      <c r="AT39" s="234"/>
      <c r="AX39" s="234"/>
    </row>
    <row r="40" spans="1:50" s="9" customFormat="1" ht="31.5" hidden="1">
      <c r="A40" s="626" t="s">
        <v>238</v>
      </c>
      <c r="B40" s="626" t="s">
        <v>505</v>
      </c>
      <c r="C40" s="626">
        <v>7371</v>
      </c>
      <c r="D40" s="626" t="s">
        <v>506</v>
      </c>
      <c r="E40" s="626" t="s">
        <v>323</v>
      </c>
      <c r="F40" s="626" t="s">
        <v>507</v>
      </c>
      <c r="G40" s="626" t="s">
        <v>491</v>
      </c>
      <c r="H40" s="626">
        <v>9.9699999999999997E-2</v>
      </c>
      <c r="I40" s="626" t="s">
        <v>243</v>
      </c>
      <c r="J40" s="626">
        <v>167</v>
      </c>
      <c r="K40" s="626"/>
      <c r="L40" s="626"/>
      <c r="M40" s="803">
        <v>0</v>
      </c>
      <c r="N40" s="1540"/>
      <c r="O40" s="1540" t="str">
        <f t="shared" si="9"/>
        <v>ReH 2.995/2021</v>
      </c>
      <c r="P40" s="1549">
        <v>0.15609999999999999</v>
      </c>
      <c r="Q40" s="1540">
        <v>93567555.592848957</v>
      </c>
      <c r="R40" s="1548">
        <v>44531</v>
      </c>
      <c r="S40" s="1540" t="str">
        <f t="shared" si="10"/>
        <v>Desp. 521/2022</v>
      </c>
      <c r="T40" s="626" t="s">
        <v>508</v>
      </c>
      <c r="U40" s="729" t="s">
        <v>509</v>
      </c>
      <c r="V40" s="626">
        <v>2022</v>
      </c>
      <c r="W40" s="1535">
        <v>2916</v>
      </c>
      <c r="X40" s="1536" t="s">
        <v>360</v>
      </c>
      <c r="Y40" s="626"/>
      <c r="AA40" s="1538" t="s">
        <v>243</v>
      </c>
      <c r="AB40" s="1540">
        <v>68.319999999999993</v>
      </c>
      <c r="AC40" s="1541">
        <v>131.34</v>
      </c>
      <c r="AD40" s="1541">
        <v>13728441.029999999</v>
      </c>
      <c r="AE40" s="729">
        <v>43209</v>
      </c>
      <c r="AF40" s="729">
        <v>43270</v>
      </c>
      <c r="AG40" s="1540">
        <v>0</v>
      </c>
      <c r="AH40" s="626"/>
      <c r="AI40" s="729">
        <v>41365</v>
      </c>
      <c r="AJ40" s="729">
        <v>42547</v>
      </c>
      <c r="AK40" s="729" t="s">
        <v>333</v>
      </c>
      <c r="AL40" s="729"/>
      <c r="AM40" s="729"/>
      <c r="AN40" s="849">
        <v>6350526.4100000001</v>
      </c>
      <c r="AO40" s="234"/>
      <c r="AP40" s="17"/>
      <c r="AR40" s="806" t="s">
        <v>375</v>
      </c>
      <c r="AS40" s="234"/>
      <c r="AT40" s="234"/>
      <c r="AX40" s="234"/>
    </row>
    <row r="41" spans="1:50" s="9" customFormat="1" ht="31.5" hidden="1">
      <c r="A41" s="626" t="s">
        <v>510</v>
      </c>
      <c r="B41" s="626" t="s">
        <v>511</v>
      </c>
      <c r="C41" s="626">
        <v>3627</v>
      </c>
      <c r="D41" s="626" t="s">
        <v>512</v>
      </c>
      <c r="E41" s="626" t="s">
        <v>323</v>
      </c>
      <c r="F41" s="626" t="s">
        <v>513</v>
      </c>
      <c r="G41" s="626" t="s">
        <v>491</v>
      </c>
      <c r="H41" s="626">
        <v>9.9699999999999997E-2</v>
      </c>
      <c r="I41" s="626" t="s">
        <v>243</v>
      </c>
      <c r="J41" s="626">
        <v>167</v>
      </c>
      <c r="K41" s="626"/>
      <c r="L41" s="626"/>
      <c r="M41" s="803">
        <v>0</v>
      </c>
      <c r="N41" s="1540"/>
      <c r="O41" s="1540" t="str">
        <f t="shared" si="9"/>
        <v>ReH 2.995/2021</v>
      </c>
      <c r="P41" s="1549">
        <v>0.1338</v>
      </c>
      <c r="Q41" s="1540">
        <v>35123897.452622667</v>
      </c>
      <c r="R41" s="1548">
        <v>44531</v>
      </c>
      <c r="S41" s="1540" t="str">
        <f t="shared" si="10"/>
        <v>Desp. 521/2022</v>
      </c>
      <c r="T41" s="626" t="s">
        <v>514</v>
      </c>
      <c r="U41" s="729" t="s">
        <v>509</v>
      </c>
      <c r="V41" s="626">
        <v>2025</v>
      </c>
      <c r="W41" s="1535">
        <v>2909</v>
      </c>
      <c r="X41" s="1536" t="s">
        <v>360</v>
      </c>
      <c r="Y41" s="626"/>
      <c r="AA41" s="1538" t="s">
        <v>243</v>
      </c>
      <c r="AB41" s="1540">
        <v>13.93</v>
      </c>
      <c r="AC41" s="1541">
        <v>108.15</v>
      </c>
      <c r="AD41" s="1541">
        <v>18556964.23</v>
      </c>
      <c r="AE41" s="729">
        <v>43270</v>
      </c>
      <c r="AF41" s="729">
        <v>43270</v>
      </c>
      <c r="AG41" s="1540">
        <v>0</v>
      </c>
      <c r="AH41" s="626"/>
      <c r="AI41" s="729">
        <v>41365</v>
      </c>
      <c r="AJ41" s="729">
        <v>42551</v>
      </c>
      <c r="AK41" s="729" t="s">
        <v>333</v>
      </c>
      <c r="AL41" s="729"/>
      <c r="AM41" s="729"/>
      <c r="AN41" s="849"/>
      <c r="AO41" s="234"/>
      <c r="AP41" s="17"/>
      <c r="AR41" s="806" t="s">
        <v>382</v>
      </c>
      <c r="AS41" s="234"/>
      <c r="AT41" s="234"/>
      <c r="AX41" s="234"/>
    </row>
    <row r="42" spans="1:50" s="9" customFormat="1" ht="31.5" hidden="1">
      <c r="A42" s="626" t="s">
        <v>515</v>
      </c>
      <c r="B42" s="626" t="s">
        <v>516</v>
      </c>
      <c r="C42" s="626">
        <v>2351</v>
      </c>
      <c r="D42" s="626" t="s">
        <v>517</v>
      </c>
      <c r="E42" s="626" t="s">
        <v>323</v>
      </c>
      <c r="F42" s="626" t="s">
        <v>518</v>
      </c>
      <c r="G42" s="626" t="s">
        <v>491</v>
      </c>
      <c r="H42" s="626">
        <v>9.9699999999999997E-2</v>
      </c>
      <c r="I42" s="626" t="s">
        <v>243</v>
      </c>
      <c r="J42" s="626">
        <v>167</v>
      </c>
      <c r="K42" s="626"/>
      <c r="L42" s="626"/>
      <c r="M42" s="803">
        <v>0</v>
      </c>
      <c r="N42" s="1540"/>
      <c r="O42" s="1540" t="str">
        <f t="shared" si="9"/>
        <v>ReH 2.995/2021</v>
      </c>
      <c r="P42" s="1549">
        <v>0.1832</v>
      </c>
      <c r="Q42" s="1540">
        <v>118984269.89510354</v>
      </c>
      <c r="R42" s="1548">
        <v>44531</v>
      </c>
      <c r="S42" s="1540" t="str">
        <f t="shared" si="10"/>
        <v>Desp. 521/2022</v>
      </c>
      <c r="T42" s="626" t="s">
        <v>519</v>
      </c>
      <c r="U42" s="729" t="s">
        <v>520</v>
      </c>
      <c r="V42" s="626">
        <v>2025</v>
      </c>
      <c r="W42" s="1535">
        <v>2912</v>
      </c>
      <c r="X42" s="1536" t="s">
        <v>360</v>
      </c>
      <c r="Y42" s="626"/>
      <c r="AA42" s="1538" t="s">
        <v>243</v>
      </c>
      <c r="AB42" s="1540">
        <v>22.64</v>
      </c>
      <c r="AC42" s="1541">
        <v>108.15</v>
      </c>
      <c r="AD42" s="1541">
        <v>55770868.960000001</v>
      </c>
      <c r="AE42" s="729">
        <v>43270</v>
      </c>
      <c r="AF42" s="729">
        <v>43270</v>
      </c>
      <c r="AG42" s="1540">
        <v>0</v>
      </c>
      <c r="AH42" s="626"/>
      <c r="AI42" s="729">
        <v>41365</v>
      </c>
      <c r="AJ42" s="729">
        <v>42551</v>
      </c>
      <c r="AK42" s="729" t="s">
        <v>333</v>
      </c>
      <c r="AL42" s="729"/>
      <c r="AM42" s="729"/>
      <c r="AN42" s="849"/>
      <c r="AO42" s="234"/>
      <c r="AP42" s="17"/>
      <c r="AR42" s="806" t="s">
        <v>521</v>
      </c>
      <c r="AS42" s="234"/>
      <c r="AT42" s="234"/>
      <c r="AX42" s="234"/>
    </row>
    <row r="43" spans="1:50" s="9" customFormat="1" ht="31.5" hidden="1">
      <c r="A43" s="626" t="s">
        <v>211</v>
      </c>
      <c r="B43" s="626" t="s">
        <v>522</v>
      </c>
      <c r="C43" s="626">
        <v>598</v>
      </c>
      <c r="D43" s="626" t="s">
        <v>523</v>
      </c>
      <c r="E43" s="626" t="s">
        <v>323</v>
      </c>
      <c r="F43" s="626" t="s">
        <v>524</v>
      </c>
      <c r="G43" s="626" t="s">
        <v>491</v>
      </c>
      <c r="H43" s="626">
        <v>9.9699999999999997E-2</v>
      </c>
      <c r="I43" s="626" t="s">
        <v>243</v>
      </c>
      <c r="J43" s="626">
        <v>167</v>
      </c>
      <c r="K43" s="626"/>
      <c r="L43" s="626"/>
      <c r="M43" s="803">
        <v>0</v>
      </c>
      <c r="N43" s="1540"/>
      <c r="O43" s="1540" t="str">
        <f t="shared" si="9"/>
        <v>ReH 2.995/2021</v>
      </c>
      <c r="P43" s="1549">
        <v>0.4078</v>
      </c>
      <c r="Q43" s="1540">
        <v>48668444.767228298</v>
      </c>
      <c r="R43" s="1548">
        <v>44531</v>
      </c>
      <c r="S43" s="1540" t="str">
        <f t="shared" si="10"/>
        <v>Desp. 521/2022</v>
      </c>
      <c r="T43" s="626" t="s">
        <v>525</v>
      </c>
      <c r="U43" s="729" t="s">
        <v>509</v>
      </c>
      <c r="V43" s="626">
        <v>2022</v>
      </c>
      <c r="W43" s="1535">
        <v>2917</v>
      </c>
      <c r="X43" s="1536" t="s">
        <v>360</v>
      </c>
      <c r="Y43" s="626"/>
      <c r="AA43" s="1538" t="s">
        <v>243</v>
      </c>
      <c r="AB43" s="1540">
        <v>20.55</v>
      </c>
      <c r="AC43" s="1541">
        <v>108.15</v>
      </c>
      <c r="AD43" s="1541">
        <v>16127887.460000001</v>
      </c>
      <c r="AE43" s="729">
        <v>43270</v>
      </c>
      <c r="AF43" s="729">
        <v>43270</v>
      </c>
      <c r="AG43" s="1540">
        <v>0</v>
      </c>
      <c r="AH43" s="626"/>
      <c r="AI43" s="729">
        <v>41365</v>
      </c>
      <c r="AJ43" s="729">
        <v>42551</v>
      </c>
      <c r="AK43" s="729" t="s">
        <v>333</v>
      </c>
      <c r="AL43" s="729"/>
      <c r="AM43" s="729"/>
      <c r="AN43" s="849">
        <v>3110206.14</v>
      </c>
      <c r="AO43" s="234"/>
      <c r="AP43" s="17"/>
      <c r="AR43" s="806" t="s">
        <v>456</v>
      </c>
      <c r="AS43" s="234"/>
      <c r="AT43" s="234"/>
      <c r="AX43" s="234"/>
    </row>
    <row r="44" spans="1:50" s="9" customFormat="1" ht="31.5" hidden="1">
      <c r="A44" s="626" t="s">
        <v>526</v>
      </c>
      <c r="B44" s="626" t="s">
        <v>527</v>
      </c>
      <c r="C44" s="626">
        <v>2783</v>
      </c>
      <c r="D44" s="626" t="s">
        <v>528</v>
      </c>
      <c r="E44" s="626" t="s">
        <v>323</v>
      </c>
      <c r="F44" s="626" t="s">
        <v>529</v>
      </c>
      <c r="G44" s="626" t="s">
        <v>491</v>
      </c>
      <c r="H44" s="626">
        <v>9.9699999999999997E-2</v>
      </c>
      <c r="I44" s="626" t="s">
        <v>243</v>
      </c>
      <c r="J44" s="626">
        <v>167</v>
      </c>
      <c r="K44" s="626"/>
      <c r="L44" s="626"/>
      <c r="M44" s="803">
        <v>0</v>
      </c>
      <c r="N44" s="1540"/>
      <c r="O44" s="1540" t="str">
        <f t="shared" si="9"/>
        <v>ReH 2.995/2021</v>
      </c>
      <c r="P44" s="1549">
        <v>0.17430000000000001</v>
      </c>
      <c r="Q44" s="1540">
        <v>23632870.756335247</v>
      </c>
      <c r="R44" s="1548">
        <v>44531</v>
      </c>
      <c r="S44" s="1540" t="str">
        <f t="shared" si="10"/>
        <v>Desp. 521/2022</v>
      </c>
      <c r="T44" s="626" t="s">
        <v>530</v>
      </c>
      <c r="U44" s="729" t="s">
        <v>509</v>
      </c>
      <c r="V44" s="626">
        <v>2022</v>
      </c>
      <c r="W44" s="1535">
        <v>2911</v>
      </c>
      <c r="X44" s="1536" t="s">
        <v>360</v>
      </c>
      <c r="Y44" s="626"/>
      <c r="AA44" s="1538" t="s">
        <v>243</v>
      </c>
      <c r="AB44" s="1540">
        <v>26.42</v>
      </c>
      <c r="AC44" s="1541">
        <v>108.15</v>
      </c>
      <c r="AD44" s="1541">
        <v>7627285.8200000003</v>
      </c>
      <c r="AE44" s="729">
        <v>43270</v>
      </c>
      <c r="AF44" s="729">
        <v>43270</v>
      </c>
      <c r="AG44" s="1540">
        <v>0</v>
      </c>
      <c r="AH44" s="626"/>
      <c r="AI44" s="729">
        <v>41365</v>
      </c>
      <c r="AJ44" s="729">
        <v>42551</v>
      </c>
      <c r="AK44" s="729" t="s">
        <v>333</v>
      </c>
      <c r="AL44" s="729"/>
      <c r="AM44" s="729"/>
      <c r="AN44" s="849"/>
      <c r="AO44" s="234"/>
      <c r="AP44" s="17"/>
      <c r="AR44" s="806" t="s">
        <v>499</v>
      </c>
      <c r="AS44" s="234"/>
      <c r="AT44" s="234"/>
      <c r="AX44" s="234"/>
    </row>
    <row r="45" spans="1:50" s="9" customFormat="1" ht="31.5" hidden="1">
      <c r="A45" s="626" t="s">
        <v>406</v>
      </c>
      <c r="B45" s="626" t="s">
        <v>531</v>
      </c>
      <c r="C45" s="626">
        <v>4248</v>
      </c>
      <c r="D45" s="626" t="s">
        <v>532</v>
      </c>
      <c r="E45" s="626" t="s">
        <v>323</v>
      </c>
      <c r="F45" s="626" t="s">
        <v>533</v>
      </c>
      <c r="G45" s="626" t="s">
        <v>534</v>
      </c>
      <c r="H45" s="626">
        <v>9.9699999999999997E-2</v>
      </c>
      <c r="I45" s="626" t="s">
        <v>535</v>
      </c>
      <c r="J45" s="626">
        <v>132</v>
      </c>
      <c r="K45" s="626"/>
      <c r="L45" s="626"/>
      <c r="M45" s="803">
        <v>0</v>
      </c>
      <c r="N45" s="1540"/>
      <c r="O45" s="1540" t="str">
        <f t="shared" si="9"/>
        <v>ReH 2.995/2021</v>
      </c>
      <c r="P45" s="1549">
        <v>0.2072</v>
      </c>
      <c r="Q45" s="1540">
        <v>5741724.6974191396</v>
      </c>
      <c r="R45" s="1548">
        <v>44531</v>
      </c>
      <c r="S45" s="1540" t="str">
        <f t="shared" si="10"/>
        <v>Desp. 521/2022</v>
      </c>
      <c r="T45" s="626" t="s">
        <v>536</v>
      </c>
      <c r="U45" s="729" t="s">
        <v>398</v>
      </c>
      <c r="V45" s="626">
        <v>2024</v>
      </c>
      <c r="W45" s="1535">
        <v>2908</v>
      </c>
      <c r="X45" s="1536" t="s">
        <v>360</v>
      </c>
      <c r="Y45" s="626"/>
      <c r="AA45" s="1538" t="s">
        <v>535</v>
      </c>
      <c r="AB45" s="1540">
        <v>58.392923981821539</v>
      </c>
      <c r="AC45" s="1541">
        <v>117.43916412021785</v>
      </c>
      <c r="AD45" s="1541">
        <v>1371216.9263933776</v>
      </c>
      <c r="AE45" s="729">
        <v>44371</v>
      </c>
      <c r="AF45" s="729">
        <v>44371</v>
      </c>
      <c r="AG45" s="1540">
        <v>0</v>
      </c>
      <c r="AH45" s="626"/>
      <c r="AI45" s="729">
        <v>41472</v>
      </c>
      <c r="AJ45" s="729">
        <v>42551</v>
      </c>
      <c r="AK45" s="729" t="s">
        <v>333</v>
      </c>
      <c r="AL45" s="729"/>
      <c r="AM45" s="729"/>
      <c r="AN45" s="849"/>
      <c r="AO45" s="234"/>
      <c r="AP45" s="17"/>
      <c r="AR45" s="806" t="s">
        <v>238</v>
      </c>
      <c r="AS45" s="234"/>
      <c r="AT45" s="234"/>
      <c r="AX45" s="234"/>
    </row>
    <row r="46" spans="1:50" s="9" customFormat="1" ht="31.5" hidden="1">
      <c r="A46" s="626" t="s">
        <v>219</v>
      </c>
      <c r="B46" s="626" t="s">
        <v>537</v>
      </c>
      <c r="C46" s="626">
        <v>5274</v>
      </c>
      <c r="D46" s="626" t="s">
        <v>538</v>
      </c>
      <c r="E46" s="626" t="s">
        <v>323</v>
      </c>
      <c r="F46" s="626" t="s">
        <v>539</v>
      </c>
      <c r="G46" s="626" t="s">
        <v>540</v>
      </c>
      <c r="H46" s="626">
        <v>9.9699999999999997E-2</v>
      </c>
      <c r="I46" s="626" t="s">
        <v>200</v>
      </c>
      <c r="J46" s="626">
        <v>103</v>
      </c>
      <c r="K46" s="626"/>
      <c r="L46" s="626"/>
      <c r="M46" s="803">
        <v>0.128</v>
      </c>
      <c r="N46" s="1540"/>
      <c r="O46" s="1540" t="str">
        <f t="shared" si="9"/>
        <v>ReH 2.995/2021</v>
      </c>
      <c r="P46" s="1549">
        <v>7.9699999999999993E-2</v>
      </c>
      <c r="Q46" s="1550">
        <v>9559924.0871568415</v>
      </c>
      <c r="R46" s="1548">
        <v>44531</v>
      </c>
      <c r="S46" s="1540" t="str">
        <f t="shared" si="10"/>
        <v>Desp. 521/2022</v>
      </c>
      <c r="T46" s="626" t="s">
        <v>541</v>
      </c>
      <c r="U46" s="729" t="s">
        <v>330</v>
      </c>
      <c r="V46" s="626">
        <v>2024</v>
      </c>
      <c r="W46" s="1535">
        <v>2865</v>
      </c>
      <c r="X46" s="1536" t="s">
        <v>352</v>
      </c>
      <c r="Y46" s="626"/>
      <c r="AA46" s="1538" t="s">
        <v>542</v>
      </c>
      <c r="AB46" s="1540">
        <v>49.06</v>
      </c>
      <c r="AC46" s="1541">
        <v>187.05</v>
      </c>
      <c r="AD46" s="1541">
        <v>95315.39</v>
      </c>
      <c r="AE46" s="729">
        <v>43174</v>
      </c>
      <c r="AF46" s="729">
        <v>43174</v>
      </c>
      <c r="AG46" s="1540">
        <v>0</v>
      </c>
      <c r="AH46" s="626"/>
      <c r="AI46" s="729">
        <v>41472</v>
      </c>
      <c r="AJ46" s="729">
        <v>42451</v>
      </c>
      <c r="AK46" s="729" t="s">
        <v>333</v>
      </c>
      <c r="AL46" s="729"/>
      <c r="AM46" s="729"/>
      <c r="AN46" s="849">
        <v>940401.96</v>
      </c>
      <c r="AO46" s="234"/>
      <c r="AP46" s="17"/>
      <c r="AR46" s="806" t="s">
        <v>543</v>
      </c>
      <c r="AS46" s="234"/>
      <c r="AT46" s="234"/>
      <c r="AX46" s="234"/>
    </row>
    <row r="47" spans="1:50" s="9" customFormat="1" ht="31.5" hidden="1">
      <c r="A47" s="626" t="s">
        <v>421</v>
      </c>
      <c r="B47" s="626" t="s">
        <v>544</v>
      </c>
      <c r="C47" s="626">
        <v>5377</v>
      </c>
      <c r="D47" s="626" t="s">
        <v>545</v>
      </c>
      <c r="E47" s="626" t="s">
        <v>323</v>
      </c>
      <c r="F47" s="626" t="s">
        <v>546</v>
      </c>
      <c r="G47" s="626" t="s">
        <v>547</v>
      </c>
      <c r="H47" s="626">
        <v>3.7699999999999997E-2</v>
      </c>
      <c r="I47" s="626" t="s">
        <v>548</v>
      </c>
      <c r="J47" s="626">
        <v>155</v>
      </c>
      <c r="K47" s="626"/>
      <c r="L47" s="626"/>
      <c r="M47" s="803">
        <v>0</v>
      </c>
      <c r="N47" s="1540"/>
      <c r="O47" s="1540" t="str">
        <f t="shared" si="9"/>
        <v>ReH 2.995/2021</v>
      </c>
      <c r="P47" s="1549">
        <v>6.2799999999999995E-2</v>
      </c>
      <c r="Q47" s="1540">
        <v>5170019.3743311316</v>
      </c>
      <c r="R47" s="1548">
        <v>44531</v>
      </c>
      <c r="S47" s="1540" t="str">
        <f t="shared" si="10"/>
        <v>Desp. 521/2022</v>
      </c>
      <c r="T47" s="626" t="s">
        <v>549</v>
      </c>
      <c r="U47" s="729" t="s">
        <v>550</v>
      </c>
      <c r="V47" s="626">
        <v>2024</v>
      </c>
      <c r="W47" s="1535">
        <v>2872</v>
      </c>
      <c r="X47" s="1536" t="s">
        <v>380</v>
      </c>
      <c r="Y47" s="1537">
        <v>1.15E-2</v>
      </c>
      <c r="Z47" s="1538">
        <v>-0.02</v>
      </c>
      <c r="AA47" s="1538" t="s">
        <v>231</v>
      </c>
      <c r="AB47" s="1540">
        <v>43</v>
      </c>
      <c r="AC47" s="1541">
        <v>122.01</v>
      </c>
      <c r="AD47" s="1541">
        <v>807332.96</v>
      </c>
      <c r="AE47" s="729">
        <v>43212</v>
      </c>
      <c r="AF47" s="729">
        <v>43212</v>
      </c>
      <c r="AG47" s="1540">
        <v>0</v>
      </c>
      <c r="AH47" s="626"/>
      <c r="AI47" s="729">
        <v>41472</v>
      </c>
      <c r="AJ47" s="729">
        <v>42489</v>
      </c>
      <c r="AK47" s="729" t="s">
        <v>333</v>
      </c>
      <c r="AL47" s="729"/>
      <c r="AM47" s="729"/>
      <c r="AN47" s="849"/>
      <c r="AO47" s="234"/>
      <c r="AP47" s="17"/>
      <c r="AR47" s="806" t="s">
        <v>461</v>
      </c>
      <c r="AS47" s="234"/>
      <c r="AT47" s="234"/>
      <c r="AX47" s="234"/>
    </row>
    <row r="48" spans="1:50" s="9" customFormat="1" ht="31.5" hidden="1">
      <c r="A48" s="626" t="s">
        <v>416</v>
      </c>
      <c r="B48" s="626" t="s">
        <v>551</v>
      </c>
      <c r="C48" s="626">
        <v>5279</v>
      </c>
      <c r="D48" s="626" t="s">
        <v>552</v>
      </c>
      <c r="E48" s="626" t="s">
        <v>323</v>
      </c>
      <c r="F48" s="626" t="s">
        <v>553</v>
      </c>
      <c r="G48" s="626" t="s">
        <v>540</v>
      </c>
      <c r="H48" s="626">
        <v>9.9699999999999997E-2</v>
      </c>
      <c r="I48" s="626" t="s">
        <v>200</v>
      </c>
      <c r="J48" s="626">
        <v>103</v>
      </c>
      <c r="K48" s="626"/>
      <c r="L48" s="626"/>
      <c r="M48" s="803">
        <v>0.1166</v>
      </c>
      <c r="N48" s="1540"/>
      <c r="O48" s="1540" t="str">
        <f t="shared" si="9"/>
        <v>ReH 2.995/2021</v>
      </c>
      <c r="P48" s="1537">
        <v>0.4052</v>
      </c>
      <c r="Q48" s="1540">
        <v>25601019.68723011</v>
      </c>
      <c r="R48" s="1548">
        <v>44531</v>
      </c>
      <c r="S48" s="1540" t="str">
        <f t="shared" si="10"/>
        <v>Desp. 521/2022</v>
      </c>
      <c r="T48" s="1551" t="s">
        <v>554</v>
      </c>
      <c r="U48" s="729" t="s">
        <v>555</v>
      </c>
      <c r="V48" s="626">
        <v>2022</v>
      </c>
      <c r="W48" s="1535">
        <v>2866</v>
      </c>
      <c r="X48" s="1536" t="s">
        <v>352</v>
      </c>
      <c r="Y48" s="1537"/>
      <c r="AA48" s="1538" t="s">
        <v>542</v>
      </c>
      <c r="AB48" s="1542">
        <v>29.23</v>
      </c>
      <c r="AC48" s="1541">
        <v>183.67</v>
      </c>
      <c r="AD48" s="1541">
        <v>3906806.73</v>
      </c>
      <c r="AE48" s="729">
        <v>42809</v>
      </c>
      <c r="AF48" s="729">
        <v>42809</v>
      </c>
      <c r="AG48" s="729" t="s">
        <v>556</v>
      </c>
      <c r="AH48" s="626"/>
      <c r="AI48" s="729"/>
      <c r="AJ48" s="729"/>
      <c r="AK48" s="729" t="s">
        <v>557</v>
      </c>
      <c r="AL48" s="729">
        <v>43374</v>
      </c>
      <c r="AM48" s="1537">
        <v>0.2465</v>
      </c>
      <c r="AN48" s="849">
        <v>939575.3</v>
      </c>
      <c r="AO48" s="234"/>
      <c r="AP48" s="17"/>
      <c r="AR48" s="806" t="s">
        <v>558</v>
      </c>
      <c r="AS48" s="234"/>
      <c r="AT48" s="234"/>
      <c r="AX48" s="234"/>
    </row>
    <row r="49" spans="1:50" s="9" customFormat="1" ht="31.5" hidden="1">
      <c r="A49" s="626" t="s">
        <v>233</v>
      </c>
      <c r="B49" s="626" t="s">
        <v>559</v>
      </c>
      <c r="C49" s="626">
        <v>6603</v>
      </c>
      <c r="D49" s="626" t="s">
        <v>560</v>
      </c>
      <c r="E49" s="626" t="s">
        <v>323</v>
      </c>
      <c r="F49" s="626" t="s">
        <v>561</v>
      </c>
      <c r="G49" s="626" t="s">
        <v>540</v>
      </c>
      <c r="H49" s="626">
        <v>9.9699999999999997E-2</v>
      </c>
      <c r="I49" s="626" t="s">
        <v>200</v>
      </c>
      <c r="J49" s="626">
        <v>103</v>
      </c>
      <c r="K49" s="626"/>
      <c r="L49" s="626"/>
      <c r="M49" s="803">
        <v>0</v>
      </c>
      <c r="N49" s="1540"/>
      <c r="O49" s="1540" t="str">
        <f t="shared" si="9"/>
        <v>ReH 2.995/2021</v>
      </c>
      <c r="P49" s="1537">
        <v>0.4052</v>
      </c>
      <c r="Q49" s="1540">
        <v>10809195.059114244</v>
      </c>
      <c r="R49" s="1548">
        <v>44531</v>
      </c>
      <c r="S49" s="1540" t="str">
        <f t="shared" si="10"/>
        <v>Desp. 521/2022</v>
      </c>
      <c r="T49" s="1551" t="s">
        <v>562</v>
      </c>
      <c r="U49" s="729" t="s">
        <v>563</v>
      </c>
      <c r="V49" s="626">
        <v>2022</v>
      </c>
      <c r="W49" s="1535">
        <v>2867</v>
      </c>
      <c r="X49" s="1536" t="s">
        <v>352</v>
      </c>
      <c r="Y49" s="1537"/>
      <c r="AA49" s="1538" t="s">
        <v>542</v>
      </c>
      <c r="AB49" s="1542">
        <v>30.78</v>
      </c>
      <c r="AC49" s="1541">
        <v>183.67</v>
      </c>
      <c r="AD49" s="1541">
        <v>1224360.38437886</v>
      </c>
      <c r="AE49" s="729">
        <v>42809</v>
      </c>
      <c r="AF49" s="729">
        <v>42809</v>
      </c>
      <c r="AG49" s="729" t="s">
        <v>556</v>
      </c>
      <c r="AH49" s="626"/>
      <c r="AI49" s="729"/>
      <c r="AJ49" s="729"/>
      <c r="AK49" s="729" t="s">
        <v>557</v>
      </c>
      <c r="AL49" s="729">
        <v>43405</v>
      </c>
      <c r="AM49" s="1543">
        <v>0</v>
      </c>
      <c r="AN49" s="849">
        <v>234949.9</v>
      </c>
      <c r="AO49" s="234"/>
      <c r="AP49" s="17"/>
      <c r="AR49" s="806" t="s">
        <v>388</v>
      </c>
      <c r="AS49" s="234"/>
      <c r="AT49" s="234"/>
      <c r="AX49" s="234"/>
    </row>
    <row r="50" spans="1:50" s="9" customFormat="1" ht="31.5" hidden="1">
      <c r="A50" s="626" t="s">
        <v>439</v>
      </c>
      <c r="B50" s="626" t="s">
        <v>564</v>
      </c>
      <c r="C50" s="626">
        <v>504</v>
      </c>
      <c r="D50" s="626" t="s">
        <v>565</v>
      </c>
      <c r="E50" s="626" t="s">
        <v>323</v>
      </c>
      <c r="F50" s="626" t="s">
        <v>566</v>
      </c>
      <c r="G50" s="626" t="s">
        <v>491</v>
      </c>
      <c r="H50" s="626">
        <v>9.9699999999999997E-2</v>
      </c>
      <c r="I50" s="626" t="s">
        <v>243</v>
      </c>
      <c r="J50" s="626">
        <v>167</v>
      </c>
      <c r="K50" s="626"/>
      <c r="L50" s="626"/>
      <c r="M50" s="803">
        <v>0</v>
      </c>
      <c r="N50" s="1540"/>
      <c r="O50" s="1540" t="str">
        <f t="shared" si="9"/>
        <v>ReH 2.995/2021</v>
      </c>
      <c r="P50" s="1537">
        <v>0.36820000000000003</v>
      </c>
      <c r="Q50" s="1540">
        <v>34114621.739632338</v>
      </c>
      <c r="R50" s="1548">
        <v>44531</v>
      </c>
      <c r="S50" s="1540" t="str">
        <f t="shared" si="10"/>
        <v>Desp. 521/2022</v>
      </c>
      <c r="T50" s="1551" t="s">
        <v>567</v>
      </c>
      <c r="U50" s="729" t="s">
        <v>568</v>
      </c>
      <c r="V50" s="626">
        <v>2022</v>
      </c>
      <c r="W50" s="1535">
        <v>2906</v>
      </c>
      <c r="X50" s="1536" t="s">
        <v>360</v>
      </c>
      <c r="Y50" s="1537"/>
      <c r="AA50" s="1538" t="s">
        <v>243</v>
      </c>
      <c r="AB50" s="1542">
        <v>13.9</v>
      </c>
      <c r="AC50" s="1541">
        <v>108.15</v>
      </c>
      <c r="AD50" s="1541">
        <v>16697250.359999999</v>
      </c>
      <c r="AE50" s="729">
        <v>43270</v>
      </c>
      <c r="AF50" s="729">
        <v>43270</v>
      </c>
      <c r="AG50" s="729" t="s">
        <v>556</v>
      </c>
      <c r="AH50" s="626"/>
      <c r="AI50" s="729"/>
      <c r="AJ50" s="729"/>
      <c r="AK50" s="729" t="s">
        <v>557</v>
      </c>
      <c r="AL50" s="729">
        <v>43405</v>
      </c>
      <c r="AM50" s="729"/>
      <c r="AN50" s="849"/>
      <c r="AO50" s="234"/>
      <c r="AP50" s="17"/>
      <c r="AR50" s="806" t="s">
        <v>569</v>
      </c>
      <c r="AS50" s="234"/>
      <c r="AT50" s="234"/>
      <c r="AX50" s="234"/>
    </row>
    <row r="51" spans="1:50" s="9" customFormat="1" ht="31.5" hidden="1">
      <c r="A51" s="626" t="s">
        <v>543</v>
      </c>
      <c r="B51" s="626" t="s">
        <v>570</v>
      </c>
      <c r="C51" s="626">
        <v>527</v>
      </c>
      <c r="D51" s="626" t="s">
        <v>571</v>
      </c>
      <c r="E51" s="626" t="s">
        <v>323</v>
      </c>
      <c r="F51" s="626" t="s">
        <v>572</v>
      </c>
      <c r="G51" s="626" t="s">
        <v>491</v>
      </c>
      <c r="H51" s="626">
        <v>3.7699999999999997E-2</v>
      </c>
      <c r="I51" s="626" t="s">
        <v>243</v>
      </c>
      <c r="J51" s="626">
        <v>167</v>
      </c>
      <c r="K51" s="626"/>
      <c r="L51" s="626"/>
      <c r="M51" s="803">
        <v>0</v>
      </c>
      <c r="N51" s="1540"/>
      <c r="O51" s="1540" t="str">
        <f t="shared" si="9"/>
        <v>ReH 2.995/2021</v>
      </c>
      <c r="P51" s="1537">
        <v>0.36820000000000003</v>
      </c>
      <c r="Q51" s="1540">
        <v>19676334.273381419</v>
      </c>
      <c r="R51" s="1548">
        <v>44531</v>
      </c>
      <c r="S51" s="1540" t="str">
        <f t="shared" si="10"/>
        <v>Desp. 521/2022</v>
      </c>
      <c r="T51" s="1551" t="s">
        <v>573</v>
      </c>
      <c r="U51" s="729" t="s">
        <v>574</v>
      </c>
      <c r="V51" s="626">
        <v>2022</v>
      </c>
      <c r="W51" s="1535">
        <v>2907</v>
      </c>
      <c r="X51" s="1536" t="s">
        <v>360</v>
      </c>
      <c r="Y51" s="1537"/>
      <c r="AA51" s="1538" t="s">
        <v>243</v>
      </c>
      <c r="AB51" s="1542">
        <v>17.5</v>
      </c>
      <c r="AC51" s="1541">
        <v>108.15</v>
      </c>
      <c r="AD51" s="1541">
        <v>8473358.1899999995</v>
      </c>
      <c r="AE51" s="729">
        <v>43270</v>
      </c>
      <c r="AF51" s="729">
        <v>43270</v>
      </c>
      <c r="AG51" s="729" t="s">
        <v>556</v>
      </c>
      <c r="AH51" s="626"/>
      <c r="AI51" s="729"/>
      <c r="AJ51" s="729"/>
      <c r="AK51" s="729" t="s">
        <v>557</v>
      </c>
      <c r="AL51" s="729">
        <v>43405</v>
      </c>
      <c r="AM51" s="729"/>
      <c r="AN51" s="849"/>
      <c r="AO51" s="234"/>
      <c r="AP51" s="17"/>
      <c r="AR51" s="806" t="s">
        <v>225</v>
      </c>
      <c r="AS51" s="234"/>
      <c r="AT51" s="234"/>
      <c r="AX51" s="234"/>
    </row>
    <row r="52" spans="1:50" s="9" customFormat="1" ht="31.5" hidden="1">
      <c r="A52" s="626" t="s">
        <v>334</v>
      </c>
      <c r="B52" s="626" t="s">
        <v>575</v>
      </c>
      <c r="C52" s="626">
        <v>11825</v>
      </c>
      <c r="D52" s="626" t="s">
        <v>576</v>
      </c>
      <c r="E52" s="626" t="s">
        <v>323</v>
      </c>
      <c r="F52" s="626" t="s">
        <v>577</v>
      </c>
      <c r="G52" s="626" t="s">
        <v>534</v>
      </c>
      <c r="H52" s="626">
        <v>9.9699999999999997E-2</v>
      </c>
      <c r="I52" s="626" t="s">
        <v>578</v>
      </c>
      <c r="J52" s="626">
        <v>132</v>
      </c>
      <c r="K52" s="626"/>
      <c r="L52" s="626"/>
      <c r="M52" s="805">
        <v>0</v>
      </c>
      <c r="N52" s="1540"/>
      <c r="O52" s="1540" t="str">
        <f t="shared" si="9"/>
        <v>ReH 2.995/2021</v>
      </c>
      <c r="P52" s="1537">
        <v>0.30030000000000001</v>
      </c>
      <c r="Q52" s="1540">
        <v>3990174.7268110593</v>
      </c>
      <c r="R52" s="1548">
        <v>44531</v>
      </c>
      <c r="S52" s="1540" t="str">
        <f t="shared" si="10"/>
        <v>Desp. 521/2022</v>
      </c>
      <c r="T52" s="1551" t="s">
        <v>579</v>
      </c>
      <c r="U52" s="729" t="s">
        <v>580</v>
      </c>
      <c r="V52" s="626">
        <v>2022</v>
      </c>
      <c r="W52" s="1535">
        <v>2905</v>
      </c>
      <c r="X52" s="1536" t="s">
        <v>360</v>
      </c>
      <c r="Y52" s="1537"/>
      <c r="AA52" s="1538" t="s">
        <v>535</v>
      </c>
      <c r="AB52" s="1542">
        <v>108.32837360722637</v>
      </c>
      <c r="AC52" s="1541">
        <v>117.43916412021785</v>
      </c>
      <c r="AD52" s="1541">
        <v>0</v>
      </c>
      <c r="AE52" s="729">
        <v>44371</v>
      </c>
      <c r="AF52" s="729">
        <v>44371</v>
      </c>
      <c r="AG52" s="729" t="s">
        <v>556</v>
      </c>
      <c r="AH52" s="626"/>
      <c r="AI52" s="729"/>
      <c r="AJ52" s="729"/>
      <c r="AK52" s="729" t="s">
        <v>557</v>
      </c>
      <c r="AL52" s="729">
        <v>43405</v>
      </c>
      <c r="AM52" s="729"/>
      <c r="AN52" s="849"/>
      <c r="AO52" s="234"/>
      <c r="AP52" s="17"/>
      <c r="AR52" s="806" t="s">
        <v>470</v>
      </c>
      <c r="AS52" s="234"/>
      <c r="AT52" s="234"/>
      <c r="AX52" s="234"/>
    </row>
    <row r="53" spans="1:50" s="9" customFormat="1" ht="31.5" hidden="1">
      <c r="A53" s="626" t="s">
        <v>558</v>
      </c>
      <c r="B53" s="626" t="s">
        <v>581</v>
      </c>
      <c r="C53" s="626">
        <v>5375</v>
      </c>
      <c r="D53" s="626" t="s">
        <v>582</v>
      </c>
      <c r="E53" s="626" t="s">
        <v>323</v>
      </c>
      <c r="F53" s="626" t="s">
        <v>583</v>
      </c>
      <c r="G53" s="626" t="s">
        <v>325</v>
      </c>
      <c r="H53" s="626">
        <v>9.9699999999999997E-2</v>
      </c>
      <c r="I53" s="626" t="s">
        <v>584</v>
      </c>
      <c r="J53" s="626">
        <v>145</v>
      </c>
      <c r="K53" s="626" t="s">
        <v>585</v>
      </c>
      <c r="L53" s="626">
        <v>136</v>
      </c>
      <c r="M53" s="805">
        <v>0</v>
      </c>
      <c r="N53" s="1540"/>
      <c r="O53" s="1540" t="str">
        <f t="shared" si="9"/>
        <v>ReH 2.995/2021</v>
      </c>
      <c r="P53" s="1537">
        <v>0.26960000000000001</v>
      </c>
      <c r="Q53" s="1540">
        <v>9179104.7891964447</v>
      </c>
      <c r="R53" s="1548">
        <v>44531</v>
      </c>
      <c r="S53" s="1540" t="str">
        <f t="shared" si="10"/>
        <v>Desp. 521/2022</v>
      </c>
      <c r="T53" s="1551" t="s">
        <v>586</v>
      </c>
      <c r="U53" s="729" t="s">
        <v>587</v>
      </c>
      <c r="V53" s="626">
        <v>2022</v>
      </c>
      <c r="W53" s="1535">
        <v>2945</v>
      </c>
      <c r="X53" s="1536" t="s">
        <v>340</v>
      </c>
      <c r="Y53" s="1537"/>
      <c r="AA53" s="1538" t="s">
        <v>584</v>
      </c>
      <c r="AB53" s="1542">
        <v>56.75</v>
      </c>
      <c r="AC53" s="1541">
        <v>133.91999999999999</v>
      </c>
      <c r="AD53" s="1541">
        <v>1818143.6</v>
      </c>
      <c r="AE53" s="729">
        <v>43678</v>
      </c>
      <c r="AF53" s="729">
        <v>43678</v>
      </c>
      <c r="AG53" s="729" t="s">
        <v>556</v>
      </c>
      <c r="AH53" s="626"/>
      <c r="AI53" s="729"/>
      <c r="AJ53" s="729"/>
      <c r="AK53" s="729" t="s">
        <v>557</v>
      </c>
      <c r="AL53" s="729">
        <v>43466</v>
      </c>
      <c r="AM53" s="729"/>
      <c r="AN53" s="849"/>
      <c r="AO53" s="234"/>
      <c r="AP53" s="17"/>
      <c r="AR53" s="806" t="s">
        <v>510</v>
      </c>
      <c r="AS53" s="234"/>
      <c r="AT53" s="234"/>
      <c r="AX53" s="234"/>
    </row>
    <row r="54" spans="1:50" s="9" customFormat="1" ht="31.5" hidden="1">
      <c r="A54" s="626" t="s">
        <v>223</v>
      </c>
      <c r="B54" s="626" t="s">
        <v>588</v>
      </c>
      <c r="C54" s="626">
        <v>5356</v>
      </c>
      <c r="D54" s="626" t="s">
        <v>589</v>
      </c>
      <c r="E54" s="626" t="s">
        <v>323</v>
      </c>
      <c r="F54" s="626" t="s">
        <v>590</v>
      </c>
      <c r="G54" s="626" t="s">
        <v>396</v>
      </c>
      <c r="H54" s="626">
        <v>9.9699999999999997E-2</v>
      </c>
      <c r="I54" s="626" t="s">
        <v>591</v>
      </c>
      <c r="J54" s="626">
        <v>111</v>
      </c>
      <c r="K54" s="626"/>
      <c r="L54" s="626"/>
      <c r="M54" s="805">
        <v>0</v>
      </c>
      <c r="N54" s="1540"/>
      <c r="O54" s="1540" t="str">
        <f t="shared" si="9"/>
        <v>ReH 2.995/2021</v>
      </c>
      <c r="P54" s="1537">
        <v>0.26719999999999999</v>
      </c>
      <c r="Q54" s="1540">
        <v>12311896.529185077</v>
      </c>
      <c r="R54" s="1548">
        <v>44531</v>
      </c>
      <c r="S54" s="1540" t="str">
        <f t="shared" si="10"/>
        <v>Desp. 521/2022</v>
      </c>
      <c r="T54" s="1551" t="s">
        <v>592</v>
      </c>
      <c r="U54" s="729" t="s">
        <v>593</v>
      </c>
      <c r="V54" s="626">
        <v>2022</v>
      </c>
      <c r="W54" s="1535">
        <v>2938</v>
      </c>
      <c r="X54" s="1536" t="s">
        <v>340</v>
      </c>
      <c r="Y54" s="1537"/>
      <c r="AA54" s="1538" t="s">
        <v>591</v>
      </c>
      <c r="AB54" s="1542">
        <v>349.3569320960537</v>
      </c>
      <c r="AC54" s="1541">
        <v>180.36</v>
      </c>
      <c r="AD54" s="1541">
        <v>0</v>
      </c>
      <c r="AE54" s="729">
        <v>44430</v>
      </c>
      <c r="AF54" s="729">
        <v>44430</v>
      </c>
      <c r="AG54" s="729" t="s">
        <v>556</v>
      </c>
      <c r="AH54" s="626"/>
      <c r="AI54" s="729"/>
      <c r="AJ54" s="729"/>
      <c r="AK54" s="729" t="s">
        <v>557</v>
      </c>
      <c r="AL54" s="729">
        <v>43435</v>
      </c>
      <c r="AM54" s="729"/>
      <c r="AN54" s="849"/>
      <c r="AO54" s="234"/>
      <c r="AP54" s="17"/>
      <c r="AR54" s="806" t="s">
        <v>477</v>
      </c>
      <c r="AS54" s="234"/>
      <c r="AT54" s="234"/>
      <c r="AX54" s="234"/>
    </row>
    <row r="55" spans="1:50" s="9" customFormat="1" ht="31.5" hidden="1">
      <c r="A55" s="626" t="s">
        <v>521</v>
      </c>
      <c r="B55" s="626" t="s">
        <v>594</v>
      </c>
      <c r="C55" s="626">
        <v>7883</v>
      </c>
      <c r="D55" s="626" t="s">
        <v>595</v>
      </c>
      <c r="E55" s="626" t="s">
        <v>323</v>
      </c>
      <c r="F55" s="626" t="s">
        <v>596</v>
      </c>
      <c r="G55" s="626" t="s">
        <v>396</v>
      </c>
      <c r="H55" s="626">
        <v>9.9699999999999997E-2</v>
      </c>
      <c r="I55" s="626" t="s">
        <v>591</v>
      </c>
      <c r="J55" s="626">
        <v>111</v>
      </c>
      <c r="K55" s="626"/>
      <c r="L55" s="626"/>
      <c r="M55" s="805">
        <v>0</v>
      </c>
      <c r="N55" s="1540"/>
      <c r="O55" s="1540" t="str">
        <f t="shared" si="9"/>
        <v>ReH 2.995/2021</v>
      </c>
      <c r="P55" s="1537">
        <v>0.26719999999999999</v>
      </c>
      <c r="Q55" s="1540">
        <v>2747645.1312338929</v>
      </c>
      <c r="R55" s="1548">
        <v>44531</v>
      </c>
      <c r="S55" s="1540" t="str">
        <f t="shared" si="10"/>
        <v>Desp. 521/2022</v>
      </c>
      <c r="T55" s="1551" t="s">
        <v>597</v>
      </c>
      <c r="U55" s="729" t="s">
        <v>598</v>
      </c>
      <c r="V55" s="626">
        <v>2022</v>
      </c>
      <c r="W55" s="1535">
        <v>2952</v>
      </c>
      <c r="X55" s="1536" t="s">
        <v>340</v>
      </c>
      <c r="Y55" s="1537"/>
      <c r="AA55" s="1538" t="s">
        <v>591</v>
      </c>
      <c r="AB55" s="1542">
        <v>66.75041888804266</v>
      </c>
      <c r="AC55" s="1541">
        <v>180.36</v>
      </c>
      <c r="AD55" s="1541">
        <v>1128622.9917918474</v>
      </c>
      <c r="AE55" s="729">
        <v>44430</v>
      </c>
      <c r="AF55" s="729">
        <v>44430</v>
      </c>
      <c r="AG55" s="729" t="s">
        <v>556</v>
      </c>
      <c r="AH55" s="626"/>
      <c r="AI55" s="729"/>
      <c r="AJ55" s="729"/>
      <c r="AK55" s="729" t="s">
        <v>557</v>
      </c>
      <c r="AL55" s="729">
        <v>43435</v>
      </c>
      <c r="AM55" s="729"/>
      <c r="AN55" s="849"/>
      <c r="AO55" s="234"/>
      <c r="AP55" s="17"/>
      <c r="AR55" s="806" t="s">
        <v>599</v>
      </c>
      <c r="AS55" s="234"/>
      <c r="AT55" s="234"/>
      <c r="AX55" s="234"/>
    </row>
    <row r="56" spans="1:50" s="9" customFormat="1" ht="31.5" hidden="1">
      <c r="A56" s="626" t="s">
        <v>569</v>
      </c>
      <c r="B56" s="626" t="s">
        <v>600</v>
      </c>
      <c r="C56" s="626">
        <v>11763</v>
      </c>
      <c r="D56" s="626" t="s">
        <v>601</v>
      </c>
      <c r="E56" s="626" t="s">
        <v>323</v>
      </c>
      <c r="F56" s="626" t="s">
        <v>602</v>
      </c>
      <c r="G56" s="626" t="s">
        <v>396</v>
      </c>
      <c r="H56" s="626">
        <v>9.9699999999999997E-2</v>
      </c>
      <c r="I56" s="626" t="s">
        <v>591</v>
      </c>
      <c r="J56" s="626">
        <v>111</v>
      </c>
      <c r="K56" s="626"/>
      <c r="L56" s="626"/>
      <c r="M56" s="805">
        <v>0</v>
      </c>
      <c r="N56" s="1540"/>
      <c r="O56" s="1540" t="str">
        <f t="shared" si="9"/>
        <v>ReH 2.995/2021</v>
      </c>
      <c r="P56" s="1537">
        <v>0.26719999999999999</v>
      </c>
      <c r="Q56" s="1540">
        <v>4273903.2129018996</v>
      </c>
      <c r="R56" s="1548">
        <v>44531</v>
      </c>
      <c r="S56" s="1540" t="str">
        <f t="shared" si="10"/>
        <v>Desp. 521/2022</v>
      </c>
      <c r="T56" s="1551" t="s">
        <v>603</v>
      </c>
      <c r="U56" s="729" t="s">
        <v>604</v>
      </c>
      <c r="V56" s="626">
        <v>2022</v>
      </c>
      <c r="W56" s="1535">
        <v>2954</v>
      </c>
      <c r="X56" s="1536" t="s">
        <v>340</v>
      </c>
      <c r="Y56" s="1537"/>
      <c r="AA56" s="1538" t="s">
        <v>591</v>
      </c>
      <c r="AB56" s="1542">
        <v>340.16724180581309</v>
      </c>
      <c r="AC56" s="1541">
        <v>180.36</v>
      </c>
      <c r="AD56" s="1541">
        <v>0</v>
      </c>
      <c r="AE56" s="729">
        <v>44430</v>
      </c>
      <c r="AF56" s="729">
        <v>44430</v>
      </c>
      <c r="AG56" s="729" t="s">
        <v>556</v>
      </c>
      <c r="AH56" s="626"/>
      <c r="AI56" s="729"/>
      <c r="AJ56" s="729"/>
      <c r="AK56" s="729" t="s">
        <v>557</v>
      </c>
      <c r="AL56" s="729">
        <v>43466</v>
      </c>
      <c r="AM56" s="729"/>
      <c r="AN56" s="849"/>
      <c r="AO56" s="234"/>
      <c r="AP56" s="17"/>
      <c r="AR56" s="626" t="s">
        <v>605</v>
      </c>
      <c r="AS56" s="234"/>
      <c r="AT56" s="234"/>
      <c r="AX56" s="234"/>
    </row>
    <row r="57" spans="1:50" s="9" customFormat="1" ht="31.5" hidden="1">
      <c r="A57" s="626" t="s">
        <v>606</v>
      </c>
      <c r="B57" s="626" t="s">
        <v>607</v>
      </c>
      <c r="C57" s="626">
        <v>5374</v>
      </c>
      <c r="D57" s="626" t="s">
        <v>608</v>
      </c>
      <c r="E57" s="626" t="s">
        <v>323</v>
      </c>
      <c r="F57" s="626" t="s">
        <v>609</v>
      </c>
      <c r="G57" s="626" t="s">
        <v>396</v>
      </c>
      <c r="H57" s="626">
        <v>9.9699999999999997E-2</v>
      </c>
      <c r="I57" s="626" t="s">
        <v>591</v>
      </c>
      <c r="J57" s="626">
        <v>111</v>
      </c>
      <c r="K57" s="626"/>
      <c r="L57" s="626"/>
      <c r="M57" s="805">
        <v>0</v>
      </c>
      <c r="N57" s="1540"/>
      <c r="O57" s="1540" t="str">
        <f t="shared" si="9"/>
        <v>ReH 2.995/2021</v>
      </c>
      <c r="P57" s="1537">
        <v>0.26719999999999999</v>
      </c>
      <c r="Q57" s="1540">
        <v>14887159.462181535</v>
      </c>
      <c r="R57" s="1548">
        <v>44531</v>
      </c>
      <c r="S57" s="1540" t="str">
        <f t="shared" si="10"/>
        <v>Desp. 521/2022</v>
      </c>
      <c r="T57" s="1551" t="s">
        <v>610</v>
      </c>
      <c r="U57" s="729" t="s">
        <v>611</v>
      </c>
      <c r="V57" s="626">
        <v>2022</v>
      </c>
      <c r="W57" s="1535">
        <v>2955</v>
      </c>
      <c r="X57" s="1536" t="s">
        <v>340</v>
      </c>
      <c r="Y57" s="1537"/>
      <c r="AA57" s="1538" t="s">
        <v>591</v>
      </c>
      <c r="AB57" s="1542">
        <v>42.479589945809131</v>
      </c>
      <c r="AC57" s="1541">
        <v>180.36</v>
      </c>
      <c r="AD57" s="1541">
        <v>4958818.1676888634</v>
      </c>
      <c r="AE57" s="729">
        <v>44430</v>
      </c>
      <c r="AF57" s="729">
        <v>44430</v>
      </c>
      <c r="AG57" s="729" t="s">
        <v>556</v>
      </c>
      <c r="AH57" s="626"/>
      <c r="AI57" s="729"/>
      <c r="AJ57" s="729"/>
      <c r="AK57" s="729" t="s">
        <v>557</v>
      </c>
      <c r="AL57" s="729">
        <v>43435</v>
      </c>
      <c r="AM57" s="729"/>
      <c r="AN57" s="849"/>
      <c r="AO57" s="234"/>
      <c r="AP57" s="17"/>
      <c r="AR57" s="877" t="s">
        <v>612</v>
      </c>
      <c r="AS57" s="234"/>
      <c r="AT57" s="234"/>
      <c r="AX57" s="234"/>
    </row>
    <row r="58" spans="1:50" s="9" customFormat="1" ht="31.5" hidden="1">
      <c r="A58" s="626" t="s">
        <v>605</v>
      </c>
      <c r="B58" s="626" t="s">
        <v>613</v>
      </c>
      <c r="C58" s="626">
        <v>5346</v>
      </c>
      <c r="D58" s="626" t="s">
        <v>614</v>
      </c>
      <c r="E58" s="626" t="s">
        <v>323</v>
      </c>
      <c r="F58" s="626" t="s">
        <v>615</v>
      </c>
      <c r="G58" s="626" t="s">
        <v>491</v>
      </c>
      <c r="H58" s="626">
        <v>9.9699999999999997E-2</v>
      </c>
      <c r="I58" s="626" t="s">
        <v>402</v>
      </c>
      <c r="J58" s="626">
        <v>110</v>
      </c>
      <c r="K58" s="626"/>
      <c r="L58" s="626"/>
      <c r="M58" s="805">
        <v>0</v>
      </c>
      <c r="N58" s="1540"/>
      <c r="O58" s="1540" t="str">
        <f t="shared" si="9"/>
        <v>ReH 2.995/2021</v>
      </c>
      <c r="P58" s="1537">
        <v>0.29220000000000002</v>
      </c>
      <c r="Q58" s="1540">
        <v>12150493.896013878</v>
      </c>
      <c r="R58" s="1548">
        <v>44531</v>
      </c>
      <c r="S58" s="1540" t="str">
        <f t="shared" si="10"/>
        <v>Desp. 521/2022</v>
      </c>
      <c r="T58" s="626" t="s">
        <v>616</v>
      </c>
      <c r="U58" s="729" t="s">
        <v>617</v>
      </c>
      <c r="V58" s="626">
        <v>2022</v>
      </c>
      <c r="W58" s="1535">
        <v>2993</v>
      </c>
      <c r="X58" s="1536" t="s">
        <v>405</v>
      </c>
      <c r="Y58" s="626"/>
      <c r="AA58" s="1538" t="s">
        <v>402</v>
      </c>
      <c r="AB58" s="1540">
        <v>12.14</v>
      </c>
      <c r="AC58" s="1541">
        <v>127.47</v>
      </c>
      <c r="AD58" s="1541">
        <v>10002090.66</v>
      </c>
      <c r="AE58" s="729">
        <v>44501</v>
      </c>
      <c r="AF58" s="729">
        <v>44522</v>
      </c>
      <c r="AG58" s="729"/>
      <c r="AH58" s="626"/>
      <c r="AI58" s="729"/>
      <c r="AJ58" s="729"/>
      <c r="AK58" s="729" t="s">
        <v>557</v>
      </c>
      <c r="AL58" s="729">
        <v>43525</v>
      </c>
      <c r="AM58" s="729"/>
      <c r="AN58" s="849"/>
      <c r="AO58" s="234"/>
      <c r="AP58" s="17"/>
      <c r="AR58" s="806" t="s">
        <v>482</v>
      </c>
      <c r="AS58" s="234"/>
      <c r="AT58" s="234"/>
      <c r="AX58" s="234"/>
    </row>
    <row r="59" spans="1:50" s="9" customFormat="1" ht="31.5" hidden="1">
      <c r="A59" s="626" t="s">
        <v>599</v>
      </c>
      <c r="B59" s="626" t="s">
        <v>618</v>
      </c>
      <c r="C59" s="626">
        <v>5345</v>
      </c>
      <c r="D59" s="626" t="s">
        <v>619</v>
      </c>
      <c r="E59" s="626" t="s">
        <v>323</v>
      </c>
      <c r="F59" s="626" t="s">
        <v>620</v>
      </c>
      <c r="G59" s="626" t="s">
        <v>491</v>
      </c>
      <c r="H59" s="626">
        <v>9.9699999999999997E-2</v>
      </c>
      <c r="I59" s="626" t="s">
        <v>402</v>
      </c>
      <c r="J59" s="626">
        <v>110</v>
      </c>
      <c r="K59" s="626"/>
      <c r="L59" s="626"/>
      <c r="M59" s="805">
        <v>0</v>
      </c>
      <c r="N59" s="1540"/>
      <c r="O59" s="1540" t="str">
        <f t="shared" si="9"/>
        <v>ReH 2.995/2021</v>
      </c>
      <c r="P59" s="1537">
        <v>0.29220000000000002</v>
      </c>
      <c r="Q59" s="1540">
        <v>12126674.039789611</v>
      </c>
      <c r="R59" s="1548">
        <v>44531</v>
      </c>
      <c r="S59" s="1540" t="str">
        <f t="shared" si="10"/>
        <v>Desp. 521/2022</v>
      </c>
      <c r="T59" s="626" t="s">
        <v>621</v>
      </c>
      <c r="U59" s="729" t="s">
        <v>622</v>
      </c>
      <c r="V59" s="626">
        <v>2022</v>
      </c>
      <c r="W59" s="1535">
        <v>2999</v>
      </c>
      <c r="X59" s="1536" t="s">
        <v>405</v>
      </c>
      <c r="Y59" s="626"/>
      <c r="AA59" s="1538" t="s">
        <v>402</v>
      </c>
      <c r="AB59" s="1540">
        <v>24.63</v>
      </c>
      <c r="AC59" s="1541">
        <v>127.47</v>
      </c>
      <c r="AD59" s="1541">
        <v>5510422.0099999998</v>
      </c>
      <c r="AE59" s="729">
        <v>44197</v>
      </c>
      <c r="AF59" s="729">
        <v>44522</v>
      </c>
      <c r="AG59" s="729"/>
      <c r="AH59" s="626"/>
      <c r="AI59" s="729"/>
      <c r="AJ59" s="729"/>
      <c r="AK59" s="729" t="s">
        <v>557</v>
      </c>
      <c r="AL59" s="729">
        <v>43525</v>
      </c>
      <c r="AM59" s="729"/>
      <c r="AN59" s="849"/>
      <c r="AO59" s="234"/>
      <c r="AP59" s="17"/>
      <c r="AR59" s="806" t="s">
        <v>515</v>
      </c>
      <c r="AS59" s="234"/>
      <c r="AT59" s="234"/>
      <c r="AX59" s="234"/>
    </row>
    <row r="60" spans="1:50" s="9" customFormat="1" ht="31.5" hidden="1">
      <c r="A60" s="626" t="s">
        <v>374</v>
      </c>
      <c r="B60" s="626" t="s">
        <v>623</v>
      </c>
      <c r="C60" s="626">
        <v>7467</v>
      </c>
      <c r="D60" s="626" t="s">
        <v>624</v>
      </c>
      <c r="E60" s="626" t="s">
        <v>323</v>
      </c>
      <c r="F60" s="626" t="s">
        <v>625</v>
      </c>
      <c r="G60" s="626" t="s">
        <v>325</v>
      </c>
      <c r="H60" s="626">
        <v>9.9699999999999997E-2</v>
      </c>
      <c r="I60" s="626" t="s">
        <v>187</v>
      </c>
      <c r="J60" s="626">
        <v>136</v>
      </c>
      <c r="K60" s="626" t="s">
        <v>201</v>
      </c>
      <c r="L60" s="626">
        <v>145</v>
      </c>
      <c r="M60" s="805">
        <v>0</v>
      </c>
      <c r="N60" s="1540"/>
      <c r="O60" s="1540" t="str">
        <f t="shared" si="9"/>
        <v>ReH 2.995/2021</v>
      </c>
      <c r="P60" s="1537">
        <v>0.31130000000000002</v>
      </c>
      <c r="Q60" s="1540">
        <v>26138615.684229702</v>
      </c>
      <c r="R60" s="1548">
        <v>44531</v>
      </c>
      <c r="S60" s="1540" t="str">
        <f t="shared" si="10"/>
        <v>Desp. 521/2022</v>
      </c>
      <c r="T60" s="626" t="s">
        <v>626</v>
      </c>
      <c r="U60" s="729" t="s">
        <v>627</v>
      </c>
      <c r="V60" s="626">
        <v>2023</v>
      </c>
      <c r="W60" s="1535">
        <v>2871</v>
      </c>
      <c r="X60" s="1536" t="s">
        <v>380</v>
      </c>
      <c r="Y60" s="626"/>
      <c r="AA60" s="1538" t="s">
        <v>187</v>
      </c>
      <c r="AB60" s="1540">
        <v>109.7</v>
      </c>
      <c r="AC60" s="1541">
        <v>237.88</v>
      </c>
      <c r="AD60" s="1541">
        <v>7537395.7800000003</v>
      </c>
      <c r="AE60" s="729">
        <v>43198</v>
      </c>
      <c r="AF60" s="729">
        <v>43198</v>
      </c>
      <c r="AG60" s="729"/>
      <c r="AH60" s="626"/>
      <c r="AI60" s="729"/>
      <c r="AJ60" s="729"/>
      <c r="AK60" s="729" t="s">
        <v>557</v>
      </c>
      <c r="AL60" s="729">
        <v>43614</v>
      </c>
      <c r="AM60" s="1544">
        <v>0</v>
      </c>
      <c r="AN60" s="849"/>
      <c r="AR60" s="806" t="s">
        <v>211</v>
      </c>
      <c r="AS60" s="234"/>
      <c r="AT60" s="234"/>
      <c r="AX60" s="234"/>
    </row>
    <row r="61" spans="1:50" ht="31.5" hidden="1">
      <c r="A61" s="507" t="s">
        <v>367</v>
      </c>
      <c r="B61" s="507" t="s">
        <v>628</v>
      </c>
      <c r="C61" s="507">
        <v>5343</v>
      </c>
      <c r="D61" s="626" t="s">
        <v>629</v>
      </c>
      <c r="E61" s="507" t="s">
        <v>323</v>
      </c>
      <c r="F61" s="507" t="s">
        <v>630</v>
      </c>
      <c r="G61" s="507" t="s">
        <v>491</v>
      </c>
      <c r="H61" s="507">
        <v>9.9699999999999997E-2</v>
      </c>
      <c r="I61" s="507" t="s">
        <v>243</v>
      </c>
      <c r="J61" s="507">
        <v>167</v>
      </c>
      <c r="K61" s="507" t="s">
        <v>631</v>
      </c>
      <c r="L61" s="507">
        <v>164</v>
      </c>
      <c r="M61" s="850">
        <v>0</v>
      </c>
      <c r="N61" s="849"/>
      <c r="O61" s="1540" t="str">
        <f t="shared" si="9"/>
        <v>ReH 2.995/2021</v>
      </c>
      <c r="P61" s="1552">
        <v>0.3589</v>
      </c>
      <c r="Q61" s="849">
        <v>45272621.042895459</v>
      </c>
      <c r="R61" s="1548">
        <v>44531</v>
      </c>
      <c r="S61" s="1540" t="str">
        <f t="shared" si="10"/>
        <v>Desp. 521/2022</v>
      </c>
      <c r="T61" s="729">
        <v>43831</v>
      </c>
      <c r="U61" s="851" t="s">
        <v>632</v>
      </c>
      <c r="V61" s="507">
        <v>2022</v>
      </c>
      <c r="W61" s="1545">
        <v>2913</v>
      </c>
      <c r="X61" s="507" t="s">
        <v>360</v>
      </c>
      <c r="Y61" s="507"/>
      <c r="AA61" s="1546" t="s">
        <v>243</v>
      </c>
      <c r="AB61" s="849">
        <v>16.32</v>
      </c>
      <c r="AC61" s="1547">
        <v>131.34</v>
      </c>
      <c r="AD61" s="1547">
        <v>22619960.88284716</v>
      </c>
      <c r="AE61" s="851">
        <v>43209</v>
      </c>
      <c r="AF61" s="851">
        <v>43270</v>
      </c>
      <c r="AG61" s="507"/>
      <c r="AH61" s="851"/>
      <c r="AI61" s="851"/>
      <c r="AJ61" s="851"/>
      <c r="AK61" s="729" t="s">
        <v>633</v>
      </c>
      <c r="AL61" s="851">
        <v>44105</v>
      </c>
      <c r="AM61" s="851"/>
      <c r="AN61" s="849"/>
      <c r="AR61" s="626" t="s">
        <v>526</v>
      </c>
      <c r="AS61" s="844"/>
      <c r="AX61" s="844"/>
    </row>
    <row r="62" spans="1:50">
      <c r="AD62" s="772"/>
    </row>
    <row r="64" spans="1:50">
      <c r="B64">
        <v>6896</v>
      </c>
    </row>
    <row r="66" spans="1:14">
      <c r="A66" s="652" t="s">
        <v>634</v>
      </c>
    </row>
    <row r="68" spans="1:14">
      <c r="A68" s="508" t="s">
        <v>635</v>
      </c>
      <c r="B68" s="508" t="s">
        <v>25</v>
      </c>
      <c r="C68" s="508" t="s">
        <v>636</v>
      </c>
      <c r="D68" s="508" t="s">
        <v>637</v>
      </c>
      <c r="E68" s="508" t="s">
        <v>638</v>
      </c>
      <c r="F68" s="508" t="s">
        <v>639</v>
      </c>
      <c r="G68" s="508" t="s">
        <v>640</v>
      </c>
      <c r="H68" s="508" t="s">
        <v>641</v>
      </c>
      <c r="I68" s="508" t="s">
        <v>642</v>
      </c>
      <c r="J68" s="508" t="s">
        <v>643</v>
      </c>
      <c r="K68" s="512" t="s">
        <v>644</v>
      </c>
      <c r="L68" s="508" t="s">
        <v>645</v>
      </c>
      <c r="M68" s="512" t="s">
        <v>646</v>
      </c>
      <c r="N68" s="512" t="s">
        <v>647</v>
      </c>
    </row>
    <row r="69" spans="1:14" hidden="1">
      <c r="A69" s="480" t="s">
        <v>320</v>
      </c>
      <c r="B69" s="626" t="s">
        <v>326</v>
      </c>
      <c r="C69" s="480">
        <v>104</v>
      </c>
      <c r="D69" s="480">
        <v>391</v>
      </c>
      <c r="E69" s="480" t="s">
        <v>648</v>
      </c>
      <c r="F69" s="480" t="str">
        <f>CONCATENATE(DescontosTE[[#This Row],[Permissionária]],DescontosTE[[#This Row],[codsariSUP]],DescontosTE[[#This Row],[Classe]])</f>
        <v>Cedrap391A4</v>
      </c>
      <c r="G69" s="509">
        <v>0.85740000000000005</v>
      </c>
      <c r="H69" s="509">
        <v>0.64305000000000001</v>
      </c>
      <c r="I69" s="509">
        <v>0.33069999999999999</v>
      </c>
      <c r="J69" s="511">
        <v>0.33069999999999999</v>
      </c>
      <c r="K69" s="679">
        <v>0.26350000000000001</v>
      </c>
      <c r="L69" s="852">
        <v>0</v>
      </c>
      <c r="M69" s="852">
        <v>0</v>
      </c>
    </row>
    <row r="70" spans="1:14" hidden="1">
      <c r="A70" s="480" t="s">
        <v>320</v>
      </c>
      <c r="B70" s="480" t="s">
        <v>201</v>
      </c>
      <c r="C70" s="480">
        <v>145</v>
      </c>
      <c r="D70" s="480">
        <v>385</v>
      </c>
      <c r="E70" s="480" t="s">
        <v>648</v>
      </c>
      <c r="F70" s="480" t="str">
        <f>CONCATENATE(DescontosTE[[#This Row],[Permissionária]],DescontosTE[[#This Row],[codsariSUP]],DescontosTE[[#This Row],[Classe]])</f>
        <v>Cedrap385A4</v>
      </c>
      <c r="G70" s="509">
        <v>0.81920000000000004</v>
      </c>
      <c r="H70" s="509">
        <v>0.61440000000000006</v>
      </c>
      <c r="I70" s="509">
        <v>0.33069999999999999</v>
      </c>
      <c r="J70" s="511">
        <v>0.33069999999999999</v>
      </c>
      <c r="K70" s="679">
        <v>0.26350000000000001</v>
      </c>
      <c r="L70" s="852">
        <v>0</v>
      </c>
      <c r="M70" s="852">
        <v>0</v>
      </c>
    </row>
    <row r="71" spans="1:14" hidden="1">
      <c r="A71" s="480" t="s">
        <v>224</v>
      </c>
      <c r="B71" s="480" t="s">
        <v>201</v>
      </c>
      <c r="C71" s="480">
        <v>145</v>
      </c>
      <c r="D71" s="480">
        <v>385</v>
      </c>
      <c r="E71" s="480" t="s">
        <v>648</v>
      </c>
      <c r="F71" s="480" t="str">
        <f>CONCATENATE(DescontosTE[[#This Row],[Permissionária]],DescontosTE[[#This Row],[codsariSUP]],DescontosTE[[#This Row],[Classe]])</f>
        <v>Cedri385A4</v>
      </c>
      <c r="G71" s="509">
        <v>0.62490000000000001</v>
      </c>
      <c r="H71" s="509">
        <v>0.46867500000000001</v>
      </c>
      <c r="I71" s="509">
        <v>0.45379999999999998</v>
      </c>
      <c r="J71" s="511">
        <v>0.45379999999999998</v>
      </c>
      <c r="K71" s="679">
        <v>0</v>
      </c>
      <c r="L71" s="852">
        <v>0</v>
      </c>
      <c r="M71" s="852">
        <v>0</v>
      </c>
    </row>
    <row r="72" spans="1:14" hidden="1">
      <c r="A72" s="480" t="s">
        <v>361</v>
      </c>
      <c r="B72" s="480" t="s">
        <v>226</v>
      </c>
      <c r="C72" s="480">
        <v>111</v>
      </c>
      <c r="D72" s="480">
        <v>5697</v>
      </c>
      <c r="E72" s="480" t="s">
        <v>648</v>
      </c>
      <c r="F72" s="480" t="str">
        <f>CONCATENATE(DescontosTE[[#This Row],[Permissionária]],DescontosTE[[#This Row],[codsariSUP]],DescontosTE[[#This Row],[Classe]])</f>
        <v>Cejama5697A4</v>
      </c>
      <c r="G72" s="509">
        <v>0.53426551936078681</v>
      </c>
      <c r="H72" s="509">
        <v>0.40069913952059011</v>
      </c>
      <c r="I72" s="509">
        <v>0.40069913952059011</v>
      </c>
      <c r="J72" s="511">
        <v>0.4007</v>
      </c>
      <c r="K72" s="679">
        <v>0.22989999999999999</v>
      </c>
      <c r="L72" s="852">
        <v>0</v>
      </c>
      <c r="M72" s="852">
        <v>0</v>
      </c>
    </row>
    <row r="73" spans="1:14" hidden="1">
      <c r="A73" s="480" t="s">
        <v>361</v>
      </c>
      <c r="B73" s="486" t="s">
        <v>456</v>
      </c>
      <c r="C73" s="480">
        <v>228</v>
      </c>
      <c r="D73" s="480">
        <v>5368</v>
      </c>
      <c r="E73" s="480" t="s">
        <v>648</v>
      </c>
      <c r="F73" s="480" t="str">
        <f>CONCATENATE(DescontosTE[[#This Row],[Permissionária]],DescontosTE[[#This Row],[codsariSUP]],DescontosTE[[#This Row],[Classe]])</f>
        <v>Cejama5368A4</v>
      </c>
      <c r="G73" s="679">
        <v>0</v>
      </c>
      <c r="H73" s="679">
        <v>0</v>
      </c>
      <c r="I73" s="679">
        <v>0</v>
      </c>
      <c r="J73" s="510">
        <v>0</v>
      </c>
      <c r="K73" s="679">
        <v>0</v>
      </c>
      <c r="L73" s="852">
        <v>0</v>
      </c>
      <c r="M73" s="852">
        <v>0</v>
      </c>
    </row>
    <row r="74" spans="1:14" hidden="1">
      <c r="A74" s="480" t="s">
        <v>381</v>
      </c>
      <c r="B74" s="480" t="s">
        <v>649</v>
      </c>
      <c r="C74" s="480">
        <v>110</v>
      </c>
      <c r="D74" s="480">
        <v>5707</v>
      </c>
      <c r="E74" s="480" t="s">
        <v>648</v>
      </c>
      <c r="F74" s="480" t="str">
        <f>CONCATENATE(DescontosTE[[#This Row],[Permissionária]],DescontosTE[[#This Row],[codsariSUP]],DescontosTE[[#This Row],[Classe]])</f>
        <v>Ceprag5707A4</v>
      </c>
      <c r="G74" s="509">
        <v>0.57969814099024475</v>
      </c>
      <c r="H74" s="509">
        <v>0.57969814099024475</v>
      </c>
      <c r="I74" s="509">
        <v>0.57969814099024475</v>
      </c>
      <c r="J74" s="509">
        <v>0.57969814099024475</v>
      </c>
      <c r="K74" s="679">
        <v>0.30859999999999999</v>
      </c>
      <c r="L74" s="852">
        <v>0</v>
      </c>
      <c r="M74" s="1516">
        <v>0</v>
      </c>
    </row>
    <row r="75" spans="1:14" hidden="1">
      <c r="A75" s="480" t="s">
        <v>381</v>
      </c>
      <c r="B75" s="480" t="s">
        <v>226</v>
      </c>
      <c r="C75" s="480">
        <v>111</v>
      </c>
      <c r="D75" s="480">
        <v>5697</v>
      </c>
      <c r="E75" s="480" t="s">
        <v>650</v>
      </c>
      <c r="F75" s="480" t="str">
        <f>CONCATENATE(DescontosTE[[#This Row],[Permissionária]],DescontosTE[[#This Row],[codsariSUP]],DescontosTE[[#This Row],[Classe]])</f>
        <v>Ceprag5697A3</v>
      </c>
      <c r="G75" s="509">
        <v>0.54564975934838955</v>
      </c>
      <c r="H75" s="509">
        <v>0.54564975934838955</v>
      </c>
      <c r="I75" s="509">
        <v>0.54564975934838955</v>
      </c>
      <c r="J75" s="509">
        <v>0.54564975934838955</v>
      </c>
      <c r="K75" s="679">
        <v>0.30859999999999999</v>
      </c>
      <c r="L75" s="852">
        <v>0.29099999999999998</v>
      </c>
      <c r="M75" s="1517">
        <v>0</v>
      </c>
    </row>
    <row r="76" spans="1:14" hidden="1">
      <c r="A76" s="480" t="s">
        <v>387</v>
      </c>
      <c r="B76" s="480" t="s">
        <v>226</v>
      </c>
      <c r="C76" s="480">
        <v>111</v>
      </c>
      <c r="D76" s="480">
        <v>5697</v>
      </c>
      <c r="E76" s="480" t="s">
        <v>648</v>
      </c>
      <c r="F76" s="480" t="str">
        <f>CONCATENATE(DescontosTE[[#This Row],[Permissionária]],DescontosTE[[#This Row],[codsariSUP]],DescontosTE[[#This Row],[Classe]])</f>
        <v>Ceraçá5697A4</v>
      </c>
      <c r="G76" s="509">
        <v>0.89512907191149349</v>
      </c>
      <c r="H76" s="509">
        <v>0.67134680393362012</v>
      </c>
      <c r="I76" s="509">
        <v>0.67134680393362012</v>
      </c>
      <c r="J76" s="511">
        <v>0.65039999999999998</v>
      </c>
      <c r="K76" s="679">
        <v>0.57469999999999999</v>
      </c>
      <c r="L76" s="852">
        <v>0.56379999999999997</v>
      </c>
      <c r="M76" s="1517">
        <v>0.54410000000000003</v>
      </c>
    </row>
    <row r="77" spans="1:14" hidden="1">
      <c r="A77" s="480" t="s">
        <v>221</v>
      </c>
      <c r="B77" s="480" t="s">
        <v>411</v>
      </c>
      <c r="C77" s="480">
        <v>220</v>
      </c>
      <c r="D77" s="480">
        <v>6898</v>
      </c>
      <c r="E77" s="480" t="s">
        <v>648</v>
      </c>
      <c r="F77" s="480" t="str">
        <f>CONCATENATE(DescontosTE[[#This Row],[Permissionária]],DescontosTE[[#This Row],[codsariSUP]],DescontosTE[[#This Row],[Classe]])</f>
        <v>Ceral Anitápolis6898A4</v>
      </c>
      <c r="G77" s="509">
        <v>0.90610167159661548</v>
      </c>
      <c r="H77" s="509">
        <v>0.67957625369746166</v>
      </c>
      <c r="I77" s="509">
        <v>0.222</v>
      </c>
      <c r="J77" s="511">
        <v>0.1933</v>
      </c>
      <c r="K77" s="679">
        <v>0.1933</v>
      </c>
      <c r="L77" s="852">
        <v>0</v>
      </c>
      <c r="M77" s="852">
        <v>0</v>
      </c>
    </row>
    <row r="78" spans="1:14" hidden="1">
      <c r="A78" s="480" t="s">
        <v>406</v>
      </c>
      <c r="B78" s="480" t="s">
        <v>651</v>
      </c>
      <c r="C78" s="480">
        <v>132</v>
      </c>
      <c r="D78" s="480">
        <v>2866</v>
      </c>
      <c r="E78" s="480" t="s">
        <v>648</v>
      </c>
      <c r="F78" s="480" t="str">
        <f>CONCATENATE(DescontosTE[[#This Row],[Permissionária]],DescontosTE[[#This Row],[codsariSUP]],DescontosTE[[#This Row],[Classe]])</f>
        <v>Ceral Dis2866A4</v>
      </c>
      <c r="G78" s="509">
        <v>0.73094654242275625</v>
      </c>
      <c r="H78" s="509">
        <v>0.54820990681706716</v>
      </c>
      <c r="I78" s="509">
        <v>0.40820000000000001</v>
      </c>
      <c r="J78" s="511">
        <v>0.40816629218792566</v>
      </c>
      <c r="K78" s="679">
        <v>0.38150000000000001</v>
      </c>
      <c r="L78" s="852">
        <v>0.2326</v>
      </c>
      <c r="M78" s="1517">
        <v>0.2326</v>
      </c>
    </row>
    <row r="79" spans="1:14" hidden="1">
      <c r="A79" s="480" t="s">
        <v>406</v>
      </c>
      <c r="B79" s="480" t="s">
        <v>651</v>
      </c>
      <c r="C79" s="480">
        <v>132</v>
      </c>
      <c r="D79" s="480">
        <v>2866</v>
      </c>
      <c r="E79" s="480" t="s">
        <v>652</v>
      </c>
      <c r="F79" s="480" t="str">
        <f>CONCATENATE(DescontosTE[[#This Row],[Permissionária]],DescontosTE[[#This Row],[codsariSUP]],DescontosTE[[#This Row],[Classe]])</f>
        <v>Ceral Dis2866A3a</v>
      </c>
      <c r="G79" s="509">
        <v>0.73094654242275625</v>
      </c>
      <c r="H79" s="509">
        <v>0.54820990681706716</v>
      </c>
      <c r="I79" s="509">
        <v>0.40820000000000001</v>
      </c>
      <c r="J79" s="511">
        <v>0.40816629218792566</v>
      </c>
      <c r="K79" s="679">
        <v>0.38150000000000001</v>
      </c>
      <c r="L79" s="852">
        <v>0.2326</v>
      </c>
      <c r="M79" s="1517">
        <v>0.2326</v>
      </c>
    </row>
    <row r="80" spans="1:14" hidden="1">
      <c r="A80" s="480" t="s">
        <v>411</v>
      </c>
      <c r="B80" s="480" t="s">
        <v>226</v>
      </c>
      <c r="C80" s="480">
        <v>111</v>
      </c>
      <c r="D80" s="480">
        <v>5697</v>
      </c>
      <c r="E80" s="480" t="s">
        <v>653</v>
      </c>
      <c r="F80" s="480" t="str">
        <f>CONCATENATE(DescontosTE[[#This Row],[Permissionária]],DescontosTE[[#This Row],[codsariSUP]],DescontosTE[[#This Row],[Classe]])</f>
        <v>Cerbranorte5697A2</v>
      </c>
      <c r="G80" s="509">
        <v>0.47579901659496004</v>
      </c>
      <c r="H80" s="509">
        <v>0.35684926244622006</v>
      </c>
      <c r="I80" s="509">
        <v>0.35684926244622006</v>
      </c>
      <c r="J80" s="511">
        <v>0.34470000000000001</v>
      </c>
      <c r="K80" s="679">
        <v>0.1027</v>
      </c>
      <c r="L80" s="852">
        <v>9.9400000000000002E-2</v>
      </c>
      <c r="M80" s="1517">
        <v>0</v>
      </c>
    </row>
    <row r="81" spans="1:14" hidden="1">
      <c r="A81" s="480" t="s">
        <v>411</v>
      </c>
      <c r="B81" s="480" t="s">
        <v>226</v>
      </c>
      <c r="C81" s="480">
        <v>111</v>
      </c>
      <c r="D81" s="480">
        <v>5697</v>
      </c>
      <c r="E81" s="480" t="s">
        <v>648</v>
      </c>
      <c r="F81" s="480" t="str">
        <f>CONCATENATE(DescontosTE[[#This Row],[Permissionária]],DescontosTE[[#This Row],[codsariSUP]],DescontosTE[[#This Row],[Classe]])</f>
        <v>Cerbranorte5697A4</v>
      </c>
      <c r="G81" s="509">
        <v>0.47579901659496004</v>
      </c>
      <c r="H81" s="509">
        <v>0.35684926244622006</v>
      </c>
      <c r="I81" s="509">
        <v>0.35684926244622006</v>
      </c>
      <c r="J81" s="511">
        <v>0.34470000000000001</v>
      </c>
      <c r="K81" s="679">
        <v>0.1027</v>
      </c>
      <c r="L81" s="852">
        <v>9.9400000000000002E-2</v>
      </c>
      <c r="M81" s="1517">
        <v>0</v>
      </c>
    </row>
    <row r="82" spans="1:14" hidden="1">
      <c r="A82" s="480" t="s">
        <v>421</v>
      </c>
      <c r="B82" s="480" t="s">
        <v>654</v>
      </c>
      <c r="C82" s="480">
        <v>155</v>
      </c>
      <c r="D82" s="480">
        <v>6587</v>
      </c>
      <c r="E82" s="480" t="s">
        <v>648</v>
      </c>
      <c r="F82" s="480" t="str">
        <f>CONCATENATE(DescontosTE[[#This Row],[Permissionária]],DescontosTE[[#This Row],[codsariSUP]],DescontosTE[[#This Row],[Classe]])</f>
        <v>Cercos6587A4</v>
      </c>
      <c r="G82" s="509">
        <v>0.71649852236828693</v>
      </c>
      <c r="H82" s="509">
        <v>0.5373738917762152</v>
      </c>
      <c r="I82" s="509">
        <v>0.35820000000000002</v>
      </c>
      <c r="J82" s="511">
        <v>0</v>
      </c>
      <c r="K82" s="679">
        <v>0</v>
      </c>
      <c r="L82" s="852">
        <v>0</v>
      </c>
      <c r="M82" s="852">
        <v>0</v>
      </c>
    </row>
    <row r="83" spans="1:14" hidden="1">
      <c r="A83" s="480" t="s">
        <v>422</v>
      </c>
      <c r="B83" s="480" t="s">
        <v>226</v>
      </c>
      <c r="C83" s="480">
        <v>111</v>
      </c>
      <c r="D83" s="480">
        <v>5697</v>
      </c>
      <c r="E83" s="480" t="s">
        <v>648</v>
      </c>
      <c r="F83" s="480" t="str">
        <f>CONCATENATE(DescontosTE[[#This Row],[Permissionária]],DescontosTE[[#This Row],[codsariSUP]],DescontosTE[[#This Row],[Classe]])</f>
        <v>Cerej5697A4</v>
      </c>
      <c r="G83" s="509">
        <v>0.89474492931776273</v>
      </c>
      <c r="H83" s="509">
        <v>0.6710586969883221</v>
      </c>
      <c r="I83" s="509">
        <v>0.6710586969883221</v>
      </c>
      <c r="J83" s="511">
        <v>0.67110000000000003</v>
      </c>
      <c r="K83" s="679">
        <v>0.67110000000000003</v>
      </c>
      <c r="L83" s="852">
        <v>0.63749999999999996</v>
      </c>
      <c r="M83" s="1517">
        <v>0.41699999999999998</v>
      </c>
    </row>
    <row r="84" spans="1:14" hidden="1">
      <c r="A84" s="480" t="s">
        <v>219</v>
      </c>
      <c r="B84" s="486" t="s">
        <v>200</v>
      </c>
      <c r="C84" s="480">
        <v>103</v>
      </c>
      <c r="D84" s="480">
        <v>383</v>
      </c>
      <c r="E84" s="480" t="s">
        <v>648</v>
      </c>
      <c r="F84" s="480" t="str">
        <f>CONCATENATE(DescontosTE[[#This Row],[Permissionária]],DescontosTE[[#This Row],[codsariSUP]],DescontosTE[[#This Row],[Classe]])</f>
        <v>Ceres383A4</v>
      </c>
      <c r="G84" s="509">
        <v>0.87464280342908707</v>
      </c>
      <c r="H84" s="509">
        <v>0.65598210257181533</v>
      </c>
      <c r="I84" s="509">
        <v>0.43730000000000002</v>
      </c>
      <c r="J84" s="509">
        <v>0.43730000000000002</v>
      </c>
      <c r="K84" s="679">
        <v>0.43730000000000002</v>
      </c>
      <c r="L84" s="852">
        <f>DescontosTE[[#This Row],[2019]]</f>
        <v>0.43730000000000002</v>
      </c>
      <c r="M84" s="1518">
        <f>DescontosTE[[#This Row],[2020]]</f>
        <v>0.43730000000000002</v>
      </c>
      <c r="N84" s="1518">
        <f>DescontosTE[[#This Row],[2020]]</f>
        <v>0.43730000000000002</v>
      </c>
    </row>
    <row r="85" spans="1:14" hidden="1">
      <c r="A85" s="480" t="s">
        <v>222</v>
      </c>
      <c r="B85" s="480" t="s">
        <v>226</v>
      </c>
      <c r="C85" s="480">
        <v>111</v>
      </c>
      <c r="D85" s="480">
        <v>5697</v>
      </c>
      <c r="E85" s="480" t="s">
        <v>648</v>
      </c>
      <c r="F85" s="480" t="str">
        <f>CONCATENATE(DescontosTE[[#This Row],[Permissionária]],DescontosTE[[#This Row],[codsariSUP]],DescontosTE[[#This Row],[Classe]])</f>
        <v>Cergal5697A4</v>
      </c>
      <c r="G85" s="509">
        <v>0.72464658881376764</v>
      </c>
      <c r="H85" s="509">
        <v>0.54348494161032579</v>
      </c>
      <c r="I85" s="509">
        <v>0.54348494161032579</v>
      </c>
      <c r="J85" s="511">
        <v>0.54349999999999998</v>
      </c>
      <c r="K85" s="679">
        <v>0.33379999999999999</v>
      </c>
      <c r="L85" s="852">
        <v>0.25619999999999998</v>
      </c>
      <c r="M85" s="1517">
        <v>0.25619999999999998</v>
      </c>
    </row>
    <row r="86" spans="1:14" hidden="1">
      <c r="A86" s="480" t="s">
        <v>433</v>
      </c>
      <c r="B86" s="480" t="s">
        <v>226</v>
      </c>
      <c r="C86" s="480">
        <v>111</v>
      </c>
      <c r="D86" s="480">
        <v>5697</v>
      </c>
      <c r="E86" s="480" t="s">
        <v>648</v>
      </c>
      <c r="F86" s="480" t="str">
        <f>CONCATENATE(DescontosTE[[#This Row],[Permissionária]],DescontosTE[[#This Row],[codsariSUP]],DescontosTE[[#This Row],[Classe]])</f>
        <v>Cergapa5697A4</v>
      </c>
      <c r="G86" s="509">
        <v>0.69825990373935576</v>
      </c>
      <c r="H86" s="509">
        <v>0.69825990373935576</v>
      </c>
      <c r="I86" s="509">
        <v>0.54749999999999999</v>
      </c>
      <c r="J86" s="511">
        <v>0.48209999999999997</v>
      </c>
      <c r="K86" s="679">
        <v>0.42549999999999999</v>
      </c>
      <c r="L86" s="852">
        <v>0.37969999999999998</v>
      </c>
      <c r="M86" s="1517">
        <v>0.36749999999999999</v>
      </c>
    </row>
    <row r="87" spans="1:14" hidden="1">
      <c r="A87" s="480" t="s">
        <v>440</v>
      </c>
      <c r="B87" s="480" t="s">
        <v>226</v>
      </c>
      <c r="C87" s="480">
        <v>111</v>
      </c>
      <c r="D87" s="480">
        <v>5697</v>
      </c>
      <c r="E87" s="480" t="s">
        <v>648</v>
      </c>
      <c r="F87" s="480" t="str">
        <f>CONCATENATE(DescontosTE[[#This Row],[Permissionária]],DescontosTE[[#This Row],[codsariSUP]],DescontosTE[[#This Row],[Classe]])</f>
        <v>Cergral5697A4</v>
      </c>
      <c r="G87" s="509">
        <v>0.7833435771358328</v>
      </c>
      <c r="H87" s="509">
        <v>0.5875076828518746</v>
      </c>
      <c r="I87" s="509">
        <v>0.5875076828518746</v>
      </c>
      <c r="J87" s="511">
        <v>0.58750000000000002</v>
      </c>
      <c r="K87" s="679">
        <v>0.56830000000000003</v>
      </c>
      <c r="L87" s="852">
        <v>0.55110000000000003</v>
      </c>
      <c r="M87" s="1517">
        <v>0.48010000000000003</v>
      </c>
    </row>
    <row r="88" spans="1:14" hidden="1">
      <c r="A88" s="480" t="s">
        <v>212</v>
      </c>
      <c r="B88" s="480" t="s">
        <v>243</v>
      </c>
      <c r="C88" s="604">
        <v>167</v>
      </c>
      <c r="D88" s="604">
        <v>396</v>
      </c>
      <c r="E88" s="480" t="s">
        <v>650</v>
      </c>
      <c r="F88" s="480" t="str">
        <f>CONCATENATE(DescontosTE[[#This Row],[Permissionária]],DescontosTE[[#This Row],[codsariSUP]],DescontosTE[[#This Row],[Classe]])</f>
        <v>Ceriluz396A3</v>
      </c>
      <c r="G88" s="509">
        <v>0.82731282784930849</v>
      </c>
      <c r="H88" s="509">
        <v>0.82731282784930849</v>
      </c>
      <c r="I88" s="509">
        <v>0.82731282784930849</v>
      </c>
      <c r="J88" s="511">
        <v>0.2782</v>
      </c>
      <c r="K88" s="679">
        <v>0.2782</v>
      </c>
      <c r="L88" s="852">
        <v>0.2132</v>
      </c>
      <c r="M88" s="1517">
        <v>0.2132</v>
      </c>
    </row>
    <row r="89" spans="1:14" hidden="1">
      <c r="A89" s="480" t="s">
        <v>212</v>
      </c>
      <c r="B89" s="480" t="s">
        <v>243</v>
      </c>
      <c r="C89" s="604">
        <v>167</v>
      </c>
      <c r="D89" s="604">
        <v>396</v>
      </c>
      <c r="E89" s="480" t="s">
        <v>648</v>
      </c>
      <c r="F89" s="480" t="str">
        <f>CONCATENATE(DescontosTE[[#This Row],[Permissionária]],DescontosTE[[#This Row],[codsariSUP]],DescontosTE[[#This Row],[Classe]])</f>
        <v>Ceriluz396A4</v>
      </c>
      <c r="G89" s="509">
        <v>0.73575345731998087</v>
      </c>
      <c r="H89" s="509">
        <v>0.73575345731998087</v>
      </c>
      <c r="I89" s="509">
        <v>0.73575345731998087</v>
      </c>
      <c r="J89" s="511">
        <v>0.2782</v>
      </c>
      <c r="K89" s="679">
        <v>0.2782</v>
      </c>
      <c r="L89" s="852">
        <v>0.2132</v>
      </c>
      <c r="M89" s="1517">
        <v>0.2132</v>
      </c>
    </row>
    <row r="90" spans="1:14" hidden="1">
      <c r="A90" s="480" t="s">
        <v>212</v>
      </c>
      <c r="B90" s="480" t="s">
        <v>243</v>
      </c>
      <c r="C90" s="604">
        <v>167</v>
      </c>
      <c r="D90" s="604">
        <v>396</v>
      </c>
      <c r="E90" s="480" t="s">
        <v>655</v>
      </c>
      <c r="F90" s="480" t="str">
        <f>CONCATENATE(DescontosTE[[#This Row],[Permissionária]],DescontosTE[[#This Row],[codsariSUP]],DescontosTE[[#This Row],[Classe]])</f>
        <v>Ceriluz396B</v>
      </c>
      <c r="G90" s="509">
        <v>0.73033677201026148</v>
      </c>
      <c r="H90" s="509">
        <v>0.73033677201026148</v>
      </c>
      <c r="I90" s="509">
        <v>0.73033677201026148</v>
      </c>
      <c r="J90" s="511">
        <v>0.2782</v>
      </c>
      <c r="K90" s="679">
        <v>0.2782</v>
      </c>
      <c r="L90" s="852">
        <v>0.2132</v>
      </c>
      <c r="M90" s="1517">
        <v>0.2132</v>
      </c>
    </row>
    <row r="91" spans="1:14" hidden="1">
      <c r="A91" s="480" t="s">
        <v>341</v>
      </c>
      <c r="B91" s="480" t="s">
        <v>215</v>
      </c>
      <c r="C91" s="480">
        <v>135</v>
      </c>
      <c r="D91" s="480">
        <v>2937</v>
      </c>
      <c r="E91" s="480" t="s">
        <v>648</v>
      </c>
      <c r="F91" s="480" t="str">
        <f>CONCATENATE(DescontosTE[[#This Row],[Permissionária]],DescontosTE[[#This Row],[codsariSUP]],DescontosTE[[#This Row],[Classe]])</f>
        <v>Cerim2937A4</v>
      </c>
      <c r="G91" s="509">
        <v>0.63275249814187795</v>
      </c>
      <c r="H91" s="509">
        <v>0.47456437360640846</v>
      </c>
      <c r="I91" s="509">
        <v>0.3463</v>
      </c>
      <c r="J91" s="511">
        <v>0.33600000000000002</v>
      </c>
      <c r="K91" s="799">
        <v>5.0599999999999999E-2</v>
      </c>
      <c r="L91" s="852">
        <v>0</v>
      </c>
      <c r="M91" s="852">
        <v>0</v>
      </c>
    </row>
    <row r="92" spans="1:14" hidden="1">
      <c r="A92" s="480" t="s">
        <v>347</v>
      </c>
      <c r="B92" s="480" t="s">
        <v>201</v>
      </c>
      <c r="C92" s="480">
        <v>145</v>
      </c>
      <c r="D92" s="480">
        <v>385</v>
      </c>
      <c r="E92" s="480" t="s">
        <v>652</v>
      </c>
      <c r="F92" s="480" t="str">
        <f>CONCATENATE(DescontosTE[[#This Row],[Permissionária]],DescontosTE[[#This Row],[codsariSUP]],DescontosTE[[#This Row],[Classe]])</f>
        <v>Ceripa385A3a</v>
      </c>
      <c r="G92" s="509">
        <v>0.76371671876684266</v>
      </c>
      <c r="H92" s="509">
        <v>0.57278753907513202</v>
      </c>
      <c r="I92" s="509">
        <v>0.38190000000000002</v>
      </c>
      <c r="J92" s="511">
        <v>1.2E-2</v>
      </c>
      <c r="K92" s="804">
        <v>1.2E-2</v>
      </c>
      <c r="L92" s="852">
        <f>DescontosTE[[#This Row],[2019]]</f>
        <v>1.2E-2</v>
      </c>
      <c r="M92" s="511">
        <f>DescontosTE[[#This Row],[2020]]</f>
        <v>1.2E-2</v>
      </c>
      <c r="N92" s="248">
        <v>1.2E-2</v>
      </c>
    </row>
    <row r="93" spans="1:14" hidden="1">
      <c r="A93" s="480" t="s">
        <v>347</v>
      </c>
      <c r="B93" s="480" t="s">
        <v>201</v>
      </c>
      <c r="C93" s="480">
        <v>145</v>
      </c>
      <c r="D93" s="480">
        <v>385</v>
      </c>
      <c r="E93" s="480" t="s">
        <v>648</v>
      </c>
      <c r="F93" s="480" t="str">
        <f>CONCATENATE(DescontosTE[[#This Row],[Permissionária]],DescontosTE[[#This Row],[codsariSUP]],DescontosTE[[#This Row],[Classe]])</f>
        <v>Ceripa385A4</v>
      </c>
      <c r="G93" s="509">
        <v>0.76627856834842611</v>
      </c>
      <c r="H93" s="509">
        <v>0.57470892626131964</v>
      </c>
      <c r="I93" s="509">
        <v>0.3831</v>
      </c>
      <c r="J93" s="511">
        <v>1.2E-2</v>
      </c>
      <c r="K93" s="804">
        <v>1.2E-2</v>
      </c>
      <c r="L93" s="852">
        <f>DescontosTE[[#This Row],[2019]]</f>
        <v>1.2E-2</v>
      </c>
      <c r="M93" s="511">
        <f>DescontosTE[[#This Row],[2020]]</f>
        <v>1.2E-2</v>
      </c>
      <c r="N93" s="248">
        <v>1.2E-2</v>
      </c>
    </row>
    <row r="94" spans="1:14" hidden="1">
      <c r="A94" s="480" t="s">
        <v>347</v>
      </c>
      <c r="B94" s="480" t="s">
        <v>241</v>
      </c>
      <c r="C94" s="480">
        <v>166</v>
      </c>
      <c r="D94" s="480">
        <v>72</v>
      </c>
      <c r="E94" s="480" t="s">
        <v>650</v>
      </c>
      <c r="F94" s="480" t="str">
        <f>CONCATENATE(DescontosTE[[#This Row],[Permissionária]],DescontosTE[[#This Row],[codsariSUP]],DescontosTE[[#This Row],[Classe]])</f>
        <v>Ceripa72A3</v>
      </c>
      <c r="G94" s="509">
        <v>0.85982875805455028</v>
      </c>
      <c r="H94" s="509">
        <v>0.64487156854091277</v>
      </c>
      <c r="I94" s="509">
        <v>0.4299</v>
      </c>
      <c r="J94" s="511">
        <v>1.2E-2</v>
      </c>
      <c r="K94" s="804">
        <v>1.2E-2</v>
      </c>
      <c r="L94" s="852">
        <f>DescontosTE[[#This Row],[2019]]</f>
        <v>1.2E-2</v>
      </c>
      <c r="M94" s="511">
        <f>DescontosTE[[#This Row],[2020]]</f>
        <v>1.2E-2</v>
      </c>
      <c r="N94" s="248">
        <v>1.2E-2</v>
      </c>
    </row>
    <row r="95" spans="1:14" hidden="1">
      <c r="A95" s="480" t="s">
        <v>347</v>
      </c>
      <c r="B95" s="480" t="s">
        <v>241</v>
      </c>
      <c r="C95" s="480">
        <v>166</v>
      </c>
      <c r="D95" s="480">
        <v>72</v>
      </c>
      <c r="E95" s="480" t="s">
        <v>652</v>
      </c>
      <c r="F95" s="480" t="str">
        <f>CONCATENATE(DescontosTE[[#This Row],[Permissionária]],DescontosTE[[#This Row],[codsariSUP]],DescontosTE[[#This Row],[Classe]])</f>
        <v>Ceripa72A3a</v>
      </c>
      <c r="G95" s="509">
        <v>0.72071674463765556</v>
      </c>
      <c r="H95" s="509">
        <v>0.5405375584782417</v>
      </c>
      <c r="I95" s="509">
        <v>0.3604</v>
      </c>
      <c r="J95" s="511">
        <v>1.2E-2</v>
      </c>
      <c r="K95" s="804">
        <v>1.2E-2</v>
      </c>
      <c r="L95" s="852">
        <f>DescontosTE[[#This Row],[2019]]</f>
        <v>1.2E-2</v>
      </c>
      <c r="M95" s="511">
        <f>DescontosTE[[#This Row],[2020]]</f>
        <v>1.2E-2</v>
      </c>
      <c r="N95" s="248">
        <v>1.2E-2</v>
      </c>
    </row>
    <row r="96" spans="1:14" hidden="1">
      <c r="A96" s="480" t="s">
        <v>347</v>
      </c>
      <c r="B96" s="480" t="s">
        <v>241</v>
      </c>
      <c r="C96" s="480">
        <v>166</v>
      </c>
      <c r="D96" s="480">
        <v>72</v>
      </c>
      <c r="E96" s="480" t="s">
        <v>648</v>
      </c>
      <c r="F96" s="480" t="str">
        <f>CONCATENATE(DescontosTE[[#This Row],[Permissionária]],DescontosTE[[#This Row],[codsariSUP]],DescontosTE[[#This Row],[Classe]])</f>
        <v>Ceripa72A4</v>
      </c>
      <c r="G96" s="509">
        <v>0.69352987907140973</v>
      </c>
      <c r="H96" s="509">
        <v>0.5201474093035573</v>
      </c>
      <c r="I96" s="509">
        <v>0.3468</v>
      </c>
      <c r="J96" s="511">
        <v>1.2E-2</v>
      </c>
      <c r="K96" s="804">
        <v>1.2E-2</v>
      </c>
      <c r="L96" s="852">
        <f>DescontosTE[[#This Row],[2019]]</f>
        <v>1.2E-2</v>
      </c>
      <c r="M96" s="511">
        <f>DescontosTE[[#This Row],[2020]]</f>
        <v>1.2E-2</v>
      </c>
      <c r="N96" s="248">
        <v>1.2E-2</v>
      </c>
    </row>
    <row r="97" spans="1:13">
      <c r="A97" s="480" t="s">
        <v>354</v>
      </c>
      <c r="B97" s="480" t="s">
        <v>358</v>
      </c>
      <c r="C97" s="480">
        <v>148</v>
      </c>
      <c r="D97" s="480">
        <v>390</v>
      </c>
      <c r="E97" s="480" t="s">
        <v>648</v>
      </c>
      <c r="F97" s="480" t="str">
        <f>CONCATENATE(DescontosTE[[#This Row],[Permissionária]],DescontosTE[[#This Row],[codsariSUP]],DescontosTE[[#This Row],[Classe]])</f>
        <v>Ceris390A4</v>
      </c>
      <c r="G97" s="509">
        <v>0.88419999999999999</v>
      </c>
      <c r="H97" s="509">
        <v>0.66315000000000002</v>
      </c>
      <c r="I97" s="509">
        <v>0.61850000000000005</v>
      </c>
      <c r="J97" s="511">
        <v>0.59560000000000002</v>
      </c>
      <c r="K97" s="679">
        <v>0.58150000000000002</v>
      </c>
      <c r="L97" s="852">
        <v>0.58150000000000002</v>
      </c>
      <c r="M97" s="1517">
        <v>0.58150000000000002</v>
      </c>
    </row>
    <row r="98" spans="1:13" hidden="1">
      <c r="A98" s="480" t="s">
        <v>656</v>
      </c>
      <c r="B98" s="626" t="s">
        <v>326</v>
      </c>
      <c r="C98" s="480">
        <v>104</v>
      </c>
      <c r="D98" s="480">
        <v>391</v>
      </c>
      <c r="E98" s="480" t="s">
        <v>648</v>
      </c>
      <c r="F98" s="480" t="str">
        <f>CONCATENATE(DescontosTE[[#This Row],[Permissionária]],DescontosTE[[#This Row],[codsariSUP]],DescontosTE[[#This Row],[Classe]])</f>
        <v>Cermc391A4</v>
      </c>
      <c r="G98" s="509">
        <v>0.36708496982469596</v>
      </c>
      <c r="H98" s="509">
        <v>0.275313727368522</v>
      </c>
      <c r="I98" s="509">
        <v>0.275313727368522</v>
      </c>
      <c r="J98" s="511">
        <v>0.22059999999999999</v>
      </c>
      <c r="K98" s="679">
        <v>0</v>
      </c>
      <c r="L98" s="852">
        <v>0</v>
      </c>
      <c r="M98" s="852">
        <v>0</v>
      </c>
    </row>
    <row r="99" spans="1:13" hidden="1">
      <c r="A99" s="480" t="s">
        <v>487</v>
      </c>
      <c r="B99" s="480" t="s">
        <v>243</v>
      </c>
      <c r="C99" s="604">
        <v>167</v>
      </c>
      <c r="D99" s="604">
        <v>396</v>
      </c>
      <c r="E99" s="480" t="s">
        <v>650</v>
      </c>
      <c r="F99" s="480" t="str">
        <f>CONCATENATE(DescontosTE[[#This Row],[Permissionária]],DescontosTE[[#This Row],[codsariSUP]],DescontosTE[[#This Row],[Classe]])</f>
        <v>Cermissões396A3</v>
      </c>
      <c r="G99" s="509">
        <v>0.5923752369117381</v>
      </c>
      <c r="H99" s="509">
        <v>0.5923752369117381</v>
      </c>
      <c r="I99" s="509">
        <v>0.44429999999999997</v>
      </c>
      <c r="J99" s="511">
        <v>0</v>
      </c>
      <c r="K99" s="679">
        <v>0</v>
      </c>
      <c r="L99" s="852">
        <v>0</v>
      </c>
      <c r="M99" s="852">
        <v>0</v>
      </c>
    </row>
    <row r="100" spans="1:13" hidden="1">
      <c r="A100" s="480" t="s">
        <v>487</v>
      </c>
      <c r="B100" s="480" t="s">
        <v>243</v>
      </c>
      <c r="C100" s="604">
        <v>167</v>
      </c>
      <c r="D100" s="604">
        <v>396</v>
      </c>
      <c r="E100" s="480" t="s">
        <v>648</v>
      </c>
      <c r="F100" s="480" t="str">
        <f>CONCATENATE(DescontosTE[[#This Row],[Permissionária]],DescontosTE[[#This Row],[codsariSUP]],DescontosTE[[#This Row],[Classe]])</f>
        <v>Cermissões396A4</v>
      </c>
      <c r="G100" s="509">
        <v>0.5923752369117381</v>
      </c>
      <c r="H100" s="509">
        <v>0.5923752369117381</v>
      </c>
      <c r="I100" s="509">
        <v>0.44429999999999997</v>
      </c>
      <c r="J100" s="511">
        <v>0</v>
      </c>
      <c r="K100" s="679">
        <v>0</v>
      </c>
      <c r="L100" s="852">
        <v>0</v>
      </c>
      <c r="M100" s="852">
        <v>0</v>
      </c>
    </row>
    <row r="101" spans="1:13" hidden="1">
      <c r="A101" s="480" t="s">
        <v>487</v>
      </c>
      <c r="B101" s="480" t="s">
        <v>243</v>
      </c>
      <c r="C101" s="604">
        <v>167</v>
      </c>
      <c r="D101" s="604">
        <v>396</v>
      </c>
      <c r="E101" s="480" t="s">
        <v>655</v>
      </c>
      <c r="F101" s="480" t="str">
        <f>CONCATENATE(DescontosTE[[#This Row],[Permissionária]],DescontosTE[[#This Row],[codsariSUP]],DescontosTE[[#This Row],[Classe]])</f>
        <v>Cermissões396B</v>
      </c>
      <c r="G101" s="509">
        <v>8.6300000000000002E-2</v>
      </c>
      <c r="H101" s="509">
        <v>8.6300000000000002E-2</v>
      </c>
      <c r="I101" s="509">
        <v>6.4699999999999994E-2</v>
      </c>
      <c r="J101" s="511">
        <v>0</v>
      </c>
      <c r="K101" s="679">
        <v>0</v>
      </c>
      <c r="L101" s="852">
        <v>0</v>
      </c>
      <c r="M101" s="852">
        <v>0</v>
      </c>
    </row>
    <row r="102" spans="1:13" hidden="1">
      <c r="A102" s="480" t="s">
        <v>445</v>
      </c>
      <c r="B102" s="480" t="s">
        <v>226</v>
      </c>
      <c r="C102" s="480">
        <v>111</v>
      </c>
      <c r="D102" s="480">
        <v>5697</v>
      </c>
      <c r="E102" s="480" t="s">
        <v>650</v>
      </c>
      <c r="F102" s="480" t="str">
        <f>CONCATENATE(DescontosTE[[#This Row],[Permissionária]],DescontosTE[[#This Row],[codsariSUP]],DescontosTE[[#This Row],[Classe]])</f>
        <v>Cermoful5697A3</v>
      </c>
      <c r="G102" s="509">
        <v>0.71025546094039238</v>
      </c>
      <c r="H102" s="509">
        <v>0.71025546094039238</v>
      </c>
      <c r="I102" s="509">
        <v>0.71025546094039238</v>
      </c>
      <c r="J102" s="511">
        <v>0.67859999999999998</v>
      </c>
      <c r="K102" s="679">
        <v>0.61480000000000001</v>
      </c>
      <c r="L102" s="852">
        <v>0.55579999999999996</v>
      </c>
      <c r="M102" s="1517">
        <v>0.53969999999999996</v>
      </c>
    </row>
    <row r="103" spans="1:13" hidden="1">
      <c r="A103" s="480" t="s">
        <v>445</v>
      </c>
      <c r="B103" s="480" t="s">
        <v>226</v>
      </c>
      <c r="C103" s="480">
        <v>111</v>
      </c>
      <c r="D103" s="480">
        <v>5697</v>
      </c>
      <c r="E103" s="480" t="s">
        <v>648</v>
      </c>
      <c r="F103" s="480" t="str">
        <f>CONCATENATE(DescontosTE[[#This Row],[Permissionária]],DescontosTE[[#This Row],[codsariSUP]],DescontosTE[[#This Row],[Classe]])</f>
        <v>Cermoful5697A4</v>
      </c>
      <c r="G103" s="509">
        <v>0.71025546094039238</v>
      </c>
      <c r="H103" s="509">
        <v>0.71025546094039238</v>
      </c>
      <c r="I103" s="509">
        <v>0.71025546094039238</v>
      </c>
      <c r="J103" s="511">
        <v>0.67859999999999998</v>
      </c>
      <c r="K103" s="679">
        <v>0.61480000000000001</v>
      </c>
      <c r="L103" s="852">
        <v>0.55579999999999996</v>
      </c>
      <c r="M103" s="1517">
        <v>0.53969999999999996</v>
      </c>
    </row>
    <row r="104" spans="1:13" hidden="1">
      <c r="A104" s="480" t="s">
        <v>368</v>
      </c>
      <c r="B104" s="486" t="s">
        <v>162</v>
      </c>
      <c r="C104" s="480">
        <v>165</v>
      </c>
      <c r="D104" s="480">
        <v>5216</v>
      </c>
      <c r="E104" s="480" t="s">
        <v>648</v>
      </c>
      <c r="F104" s="480" t="str">
        <f>CONCATENATE(DescontosTE[[#This Row],[Permissionária]],DescontosTE[[#This Row],[codsariSUP]],DescontosTE[[#This Row],[Classe]])</f>
        <v>Cernhe5216A4</v>
      </c>
      <c r="G104" s="509">
        <v>0.90173092774063557</v>
      </c>
      <c r="H104" s="509">
        <v>0.67629819580547668</v>
      </c>
      <c r="I104" s="509">
        <v>0.45090000000000002</v>
      </c>
      <c r="J104" s="511">
        <v>0</v>
      </c>
      <c r="K104" s="679">
        <v>0</v>
      </c>
      <c r="L104" s="852">
        <v>0</v>
      </c>
      <c r="M104" s="852">
        <v>0</v>
      </c>
    </row>
    <row r="105" spans="1:13" hidden="1">
      <c r="A105" s="480" t="s">
        <v>451</v>
      </c>
      <c r="B105" s="480" t="s">
        <v>226</v>
      </c>
      <c r="C105" s="480">
        <v>111</v>
      </c>
      <c r="D105" s="480">
        <v>5697</v>
      </c>
      <c r="E105" s="480" t="s">
        <v>652</v>
      </c>
      <c r="F105" s="480" t="str">
        <f>CONCATENATE(DescontosTE[[#This Row],[Permissionária]],DescontosTE[[#This Row],[codsariSUP]],DescontosTE[[#This Row],[Classe]])</f>
        <v>Cerpalo5697A3a</v>
      </c>
      <c r="G105" s="509">
        <v>0.89981561155500922</v>
      </c>
      <c r="H105" s="509">
        <v>0.67486170866625694</v>
      </c>
      <c r="I105" s="509">
        <v>0.59530000000000005</v>
      </c>
      <c r="J105" s="511">
        <v>0.59530000000000005</v>
      </c>
      <c r="K105" s="679">
        <v>0.44540000000000002</v>
      </c>
      <c r="L105" s="852">
        <v>0.44540000000000002</v>
      </c>
      <c r="M105" s="1517">
        <v>0.31740000000000002</v>
      </c>
    </row>
    <row r="106" spans="1:13" hidden="1">
      <c r="A106" s="480" t="s">
        <v>375</v>
      </c>
      <c r="B106" s="480" t="s">
        <v>187</v>
      </c>
      <c r="C106" s="480">
        <v>136</v>
      </c>
      <c r="D106" s="480">
        <v>63</v>
      </c>
      <c r="E106" s="480" t="s">
        <v>648</v>
      </c>
      <c r="F106" s="480" t="str">
        <f>CONCATENATE(DescontosTE[[#This Row],[Permissionária]],DescontosTE[[#This Row],[codsariSUP]],DescontosTE[[#This Row],[Classe]])</f>
        <v>Cerpro63A4</v>
      </c>
      <c r="G106" s="509">
        <v>0.90147665925690701</v>
      </c>
      <c r="H106" s="509">
        <v>0.67610749444268026</v>
      </c>
      <c r="I106" s="509">
        <v>0.45069999999999999</v>
      </c>
      <c r="J106" s="728">
        <v>0</v>
      </c>
      <c r="K106" s="679">
        <v>0</v>
      </c>
      <c r="L106" s="852">
        <v>0</v>
      </c>
      <c r="M106" s="852">
        <v>0</v>
      </c>
    </row>
    <row r="107" spans="1:13" hidden="1">
      <c r="A107" s="480" t="s">
        <v>657</v>
      </c>
      <c r="B107" s="486" t="s">
        <v>162</v>
      </c>
      <c r="C107" s="480">
        <v>165</v>
      </c>
      <c r="D107" s="480">
        <v>5216</v>
      </c>
      <c r="E107" s="486" t="s">
        <v>648</v>
      </c>
      <c r="F107" s="480" t="str">
        <f>CONCATENATE(DescontosTE[[#This Row],[Permissionária]],DescontosTE[[#This Row],[codsariSUP]],DescontosTE[[#This Row],[Classe]])</f>
        <v>Cerrp5216A4</v>
      </c>
      <c r="G107" s="509">
        <v>0.74668009891015652</v>
      </c>
      <c r="H107" s="509">
        <v>0.56001007418261739</v>
      </c>
      <c r="I107" s="509">
        <v>0.37330000000000002</v>
      </c>
      <c r="J107" s="728">
        <v>0.31390000000000001</v>
      </c>
      <c r="K107" s="679">
        <v>0.31390000000000001</v>
      </c>
      <c r="L107" s="852">
        <v>7.5600000000000001E-2</v>
      </c>
      <c r="M107" s="1517">
        <v>6.0199999999999997E-2</v>
      </c>
    </row>
    <row r="108" spans="1:13" hidden="1">
      <c r="A108" s="480" t="s">
        <v>657</v>
      </c>
      <c r="B108" s="480" t="s">
        <v>187</v>
      </c>
      <c r="C108" s="480">
        <v>136</v>
      </c>
      <c r="D108" s="480">
        <v>63</v>
      </c>
      <c r="E108" s="480" t="s">
        <v>648</v>
      </c>
      <c r="F108" s="480" t="str">
        <f>CONCATENATE(DescontosTE[[#This Row],[Permissionária]],DescontosTE[[#This Row],[codsariSUP]],DescontosTE[[#This Row],[Classe]])</f>
        <v>Cerrp63A4</v>
      </c>
      <c r="G108" s="509">
        <v>0.7457129247380121</v>
      </c>
      <c r="H108" s="509">
        <v>0.55928469355350907</v>
      </c>
      <c r="I108" s="509">
        <v>0.37290000000000001</v>
      </c>
      <c r="J108" s="728">
        <v>0.31390000000000001</v>
      </c>
      <c r="K108" s="679">
        <v>0.31390000000000001</v>
      </c>
      <c r="L108" s="852">
        <v>7.5600000000000001E-2</v>
      </c>
      <c r="M108" s="1517">
        <v>6.0199999999999997E-2</v>
      </c>
    </row>
    <row r="109" spans="1:13" hidden="1">
      <c r="A109" s="480" t="s">
        <v>456</v>
      </c>
      <c r="B109" s="480" t="s">
        <v>226</v>
      </c>
      <c r="C109" s="480">
        <v>111</v>
      </c>
      <c r="D109" s="480">
        <v>5697</v>
      </c>
      <c r="E109" s="480" t="s">
        <v>648</v>
      </c>
      <c r="F109" s="480" t="str">
        <f>CONCATENATE(DescontosTE[[#This Row],[Permissionária]],DescontosTE[[#This Row],[codsariSUP]],DescontosTE[[#This Row],[Classe]])</f>
        <v>Cersul5697A4</v>
      </c>
      <c r="G109" s="509">
        <v>0.6419022741241549</v>
      </c>
      <c r="H109" s="509">
        <v>0.48142670559311618</v>
      </c>
      <c r="I109" s="509">
        <v>0.48139999999999999</v>
      </c>
      <c r="J109" s="511">
        <v>0.48139999999999999</v>
      </c>
      <c r="K109" s="679">
        <v>0.48139999999999999</v>
      </c>
      <c r="L109" s="852">
        <v>0.48139999999999999</v>
      </c>
      <c r="M109" s="1517">
        <v>0.48139999999999999</v>
      </c>
    </row>
    <row r="110" spans="1:13" hidden="1">
      <c r="A110" s="480" t="s">
        <v>456</v>
      </c>
      <c r="B110" s="480" t="s">
        <v>226</v>
      </c>
      <c r="C110" s="480">
        <v>111</v>
      </c>
      <c r="D110" s="480">
        <v>5697</v>
      </c>
      <c r="E110" s="480" t="s">
        <v>650</v>
      </c>
      <c r="F110" s="480" t="str">
        <f>CONCATENATE(DescontosTE[[#This Row],[Permissionária]],DescontosTE[[#This Row],[codsariSUP]],DescontosTE[[#This Row],[Classe]])</f>
        <v>Cersul5697A3</v>
      </c>
      <c r="G110" s="509">
        <v>0.83597111247695144</v>
      </c>
      <c r="H110" s="509">
        <v>0.62697833435771355</v>
      </c>
      <c r="I110" s="509">
        <v>0.59899999999999998</v>
      </c>
      <c r="J110" s="511">
        <v>0.59009999999999996</v>
      </c>
      <c r="K110" s="679">
        <v>0.59009999999999996</v>
      </c>
      <c r="L110" s="852">
        <v>0.55869999999999997</v>
      </c>
      <c r="M110" s="1517">
        <v>0.55869999999999997</v>
      </c>
    </row>
    <row r="111" spans="1:13" hidden="1">
      <c r="A111" s="480" t="s">
        <v>499</v>
      </c>
      <c r="B111" s="480" t="s">
        <v>243</v>
      </c>
      <c r="C111" s="604">
        <v>167</v>
      </c>
      <c r="D111" s="480">
        <v>396</v>
      </c>
      <c r="E111" s="480" t="s">
        <v>650</v>
      </c>
      <c r="F111" s="480" t="str">
        <f>CONCATENATE(DescontosTE[[#This Row],[Permissionária]],DescontosTE[[#This Row],[codsariSUP]],DescontosTE[[#This Row],[Classe]])</f>
        <v>Certaja396A3</v>
      </c>
      <c r="G111" s="509">
        <v>0.8415330252786084</v>
      </c>
      <c r="H111" s="509">
        <v>0.63114976895895625</v>
      </c>
      <c r="I111" s="509">
        <v>0.42080000000000001</v>
      </c>
      <c r="J111" s="511">
        <v>0.21149999999999999</v>
      </c>
      <c r="K111" s="679">
        <v>0</v>
      </c>
      <c r="L111" s="852">
        <v>0</v>
      </c>
      <c r="M111" s="852">
        <v>0</v>
      </c>
    </row>
    <row r="112" spans="1:13" hidden="1">
      <c r="A112" s="480" t="s">
        <v>499</v>
      </c>
      <c r="B112" s="480" t="s">
        <v>243</v>
      </c>
      <c r="C112" s="604">
        <v>167</v>
      </c>
      <c r="D112" s="480">
        <v>396</v>
      </c>
      <c r="E112" s="480" t="s">
        <v>648</v>
      </c>
      <c r="F112" s="480" t="str">
        <f>CONCATENATE(DescontosTE[[#This Row],[Permissionária]],DescontosTE[[#This Row],[codsariSUP]],DescontosTE[[#This Row],[Classe]])</f>
        <v>Certaja396A4</v>
      </c>
      <c r="G112" s="509">
        <v>0.8415330252786084</v>
      </c>
      <c r="H112" s="509">
        <v>0.63114976895895625</v>
      </c>
      <c r="I112" s="509">
        <v>0.42080000000000001</v>
      </c>
      <c r="J112" s="511">
        <v>0.21149999999999999</v>
      </c>
      <c r="K112" s="679">
        <v>0</v>
      </c>
      <c r="L112" s="852">
        <v>0</v>
      </c>
      <c r="M112" s="852">
        <v>0</v>
      </c>
    </row>
    <row r="113" spans="1:13" hidden="1">
      <c r="A113" s="480" t="s">
        <v>499</v>
      </c>
      <c r="B113" s="480" t="s">
        <v>402</v>
      </c>
      <c r="C113" s="480">
        <v>110</v>
      </c>
      <c r="D113" s="480">
        <v>5707</v>
      </c>
      <c r="E113" s="480" t="s">
        <v>648</v>
      </c>
      <c r="F113" s="480" t="str">
        <f>CONCATENATE(DescontosTE[[#This Row],[Permissionária]],DescontosTE[[#This Row],[codsariSUP]],DescontosTE[[#This Row],[Classe]])</f>
        <v>Certaja5707A4</v>
      </c>
      <c r="G113" s="509">
        <v>0.8239405071230177</v>
      </c>
      <c r="H113" s="509">
        <v>0.61795538034226327</v>
      </c>
      <c r="I113" s="509">
        <v>0.41199999999999998</v>
      </c>
      <c r="J113" s="511">
        <v>0.21149999999999999</v>
      </c>
      <c r="K113" s="679">
        <v>0</v>
      </c>
      <c r="L113" s="852">
        <v>0</v>
      </c>
      <c r="M113" s="852">
        <v>0</v>
      </c>
    </row>
    <row r="114" spans="1:13" hidden="1">
      <c r="A114" s="480" t="s">
        <v>238</v>
      </c>
      <c r="B114" s="480" t="s">
        <v>243</v>
      </c>
      <c r="C114" s="604">
        <v>167</v>
      </c>
      <c r="D114" s="480">
        <v>396</v>
      </c>
      <c r="E114" s="480" t="s">
        <v>650</v>
      </c>
      <c r="F114" s="480" t="str">
        <f>CONCATENATE(DescontosTE[[#This Row],[Permissionária]],DescontosTE[[#This Row],[codsariSUP]],DescontosTE[[#This Row],[Classe]])</f>
        <v>Certel396A3</v>
      </c>
      <c r="G114" s="509">
        <v>0.60488390712570062</v>
      </c>
      <c r="H114" s="509">
        <v>0.60488390712570062</v>
      </c>
      <c r="I114" s="509">
        <v>0.60488390712570062</v>
      </c>
      <c r="J114" s="511">
        <v>0.58309999999999995</v>
      </c>
      <c r="K114" s="679">
        <v>0.48330000000000001</v>
      </c>
      <c r="L114" s="852">
        <v>0.35730000000000001</v>
      </c>
      <c r="M114" s="1517">
        <v>0.32969999999999999</v>
      </c>
    </row>
    <row r="115" spans="1:13" hidden="1">
      <c r="A115" s="480" t="s">
        <v>238</v>
      </c>
      <c r="B115" s="480" t="s">
        <v>243</v>
      </c>
      <c r="C115" s="604">
        <v>167</v>
      </c>
      <c r="D115" s="604">
        <v>396</v>
      </c>
      <c r="E115" s="480" t="s">
        <v>648</v>
      </c>
      <c r="F115" s="480" t="str">
        <f>CONCATENATE(DescontosTE[[#This Row],[Permissionária]],DescontosTE[[#This Row],[codsariSUP]],DescontosTE[[#This Row],[Classe]])</f>
        <v>Certel396A4</v>
      </c>
      <c r="G115" s="509">
        <v>0.54613733905579398</v>
      </c>
      <c r="H115" s="509">
        <v>0.54613733905579398</v>
      </c>
      <c r="I115" s="509">
        <v>0.54613733905579398</v>
      </c>
      <c r="J115" s="511">
        <v>0.54610000000000003</v>
      </c>
      <c r="K115" s="679">
        <v>0.48330000000000001</v>
      </c>
      <c r="L115" s="852">
        <v>0.35730000000000001</v>
      </c>
      <c r="M115" s="1517">
        <v>0.32969999999999999</v>
      </c>
    </row>
    <row r="116" spans="1:13" hidden="1">
      <c r="A116" s="480" t="s">
        <v>461</v>
      </c>
      <c r="B116" s="480" t="s">
        <v>226</v>
      </c>
      <c r="C116" s="480">
        <v>111</v>
      </c>
      <c r="D116" s="480">
        <v>5697</v>
      </c>
      <c r="E116" s="480" t="s">
        <v>648</v>
      </c>
      <c r="F116" s="480" t="str">
        <f>CONCATENATE(DescontosTE[[#This Row],[Permissionária]],DescontosTE[[#This Row],[codsariSUP]],DescontosTE[[#This Row],[Classe]])</f>
        <v>Certrel5697A4</v>
      </c>
      <c r="G116" s="509">
        <v>0.88707885968159939</v>
      </c>
      <c r="H116" s="509">
        <v>0.88707885968159939</v>
      </c>
      <c r="I116" s="509">
        <v>0.88707885968159939</v>
      </c>
      <c r="J116" s="511">
        <v>0.81359999999999999</v>
      </c>
      <c r="K116" s="679">
        <v>0.81359999999999999</v>
      </c>
      <c r="L116" s="852">
        <v>0.81359999999999999</v>
      </c>
      <c r="M116" s="1517">
        <v>0.61460000000000004</v>
      </c>
    </row>
    <row r="117" spans="1:13" hidden="1">
      <c r="A117" s="480" t="s">
        <v>388</v>
      </c>
      <c r="B117" s="480" t="s">
        <v>215</v>
      </c>
      <c r="C117" s="480">
        <v>135</v>
      </c>
      <c r="D117" s="480">
        <v>2937</v>
      </c>
      <c r="E117" s="480" t="s">
        <v>648</v>
      </c>
      <c r="F117" s="480" t="str">
        <f>CONCATENATE(DescontosTE[[#This Row],[Permissionária]],DescontosTE[[#This Row],[codsariSUP]],DescontosTE[[#This Row],[Classe]])</f>
        <v>Cetril2937A4</v>
      </c>
      <c r="G117" s="509">
        <v>0.50648278140226277</v>
      </c>
      <c r="H117" s="509">
        <v>0.37986208605169708</v>
      </c>
      <c r="I117" s="509">
        <v>0.1396</v>
      </c>
      <c r="J117" s="511">
        <v>0.1396</v>
      </c>
      <c r="K117" s="679">
        <v>0</v>
      </c>
      <c r="L117" s="852">
        <v>0</v>
      </c>
      <c r="M117" s="852">
        <v>0</v>
      </c>
    </row>
    <row r="118" spans="1:13" hidden="1">
      <c r="A118" s="480" t="s">
        <v>388</v>
      </c>
      <c r="B118" s="480" t="s">
        <v>201</v>
      </c>
      <c r="C118" s="480">
        <v>145</v>
      </c>
      <c r="D118" s="480">
        <v>385</v>
      </c>
      <c r="E118" s="480" t="s">
        <v>648</v>
      </c>
      <c r="F118" s="480" t="str">
        <f>CONCATENATE(DescontosTE[[#This Row],[Permissionária]],DescontosTE[[#This Row],[codsariSUP]],DescontosTE[[#This Row],[Classe]])</f>
        <v>Cetril385A4</v>
      </c>
      <c r="G118" s="509">
        <v>0.66580422595946531</v>
      </c>
      <c r="H118" s="509">
        <v>0.49935316946959896</v>
      </c>
      <c r="I118" s="509">
        <v>0.1396</v>
      </c>
      <c r="J118" s="511">
        <v>0.1396</v>
      </c>
      <c r="K118" s="679">
        <v>0</v>
      </c>
      <c r="L118" s="852">
        <v>0</v>
      </c>
      <c r="M118" s="852">
        <v>0</v>
      </c>
    </row>
    <row r="119" spans="1:13" hidden="1">
      <c r="A119" s="480" t="s">
        <v>225</v>
      </c>
      <c r="B119" s="480" t="s">
        <v>226</v>
      </c>
      <c r="C119" s="480">
        <v>111</v>
      </c>
      <c r="D119" s="480">
        <v>5697</v>
      </c>
      <c r="E119" s="480" t="s">
        <v>650</v>
      </c>
      <c r="F119" s="480" t="str">
        <f>CONCATENATE(DescontosTE[[#This Row],[Permissionária]],DescontosTE[[#This Row],[codsariSUP]],DescontosTE[[#This Row],[Classe]])</f>
        <v>Coopera5697A3</v>
      </c>
      <c r="G119" s="509">
        <v>0.78664720344191763</v>
      </c>
      <c r="H119" s="509">
        <v>0.58998540258143817</v>
      </c>
      <c r="I119" s="509">
        <v>0.58998540258143817</v>
      </c>
      <c r="J119" s="511">
        <v>0.59</v>
      </c>
      <c r="K119" s="679">
        <v>0.59</v>
      </c>
      <c r="L119" s="852">
        <v>0.59</v>
      </c>
      <c r="M119" s="1517">
        <v>0.59</v>
      </c>
    </row>
    <row r="120" spans="1:13" hidden="1">
      <c r="A120" s="480" t="s">
        <v>470</v>
      </c>
      <c r="B120" s="480" t="s">
        <v>226</v>
      </c>
      <c r="C120" s="480">
        <v>111</v>
      </c>
      <c r="D120" s="480">
        <v>5697</v>
      </c>
      <c r="E120" s="480" t="s">
        <v>648</v>
      </c>
      <c r="F120" s="480" t="str">
        <f>CONCATENATE(DescontosTE[[#This Row],[Permissionária]],DescontosTE[[#This Row],[codsariSUP]],DescontosTE[[#This Row],[Classe]])</f>
        <v>Coopercocal5697A4</v>
      </c>
      <c r="G120" s="509">
        <v>0.43784572833435764</v>
      </c>
      <c r="H120" s="509">
        <v>0.43784572833435764</v>
      </c>
      <c r="I120" s="509">
        <v>0.43780000000000002</v>
      </c>
      <c r="J120" s="511">
        <v>0.43780000000000002</v>
      </c>
      <c r="K120" s="679">
        <v>0.43780000000000002</v>
      </c>
      <c r="L120" s="852">
        <v>0.42730000000000001</v>
      </c>
      <c r="M120" s="1517">
        <v>0.42730000000000001</v>
      </c>
    </row>
    <row r="121" spans="1:13" hidden="1">
      <c r="A121" s="480" t="s">
        <v>470</v>
      </c>
      <c r="B121" s="480" t="s">
        <v>226</v>
      </c>
      <c r="C121" s="480">
        <v>111</v>
      </c>
      <c r="D121" s="480">
        <v>5697</v>
      </c>
      <c r="E121" s="480" t="s">
        <v>650</v>
      </c>
      <c r="F121" s="480" t="str">
        <f>CONCATENATE(DescontosTE[[#This Row],[Permissionária]],DescontosTE[[#This Row],[codsariSUP]],DescontosTE[[#This Row],[Classe]])</f>
        <v>Coopercocal5697A3</v>
      </c>
      <c r="G121" s="509">
        <v>0.74423786109403811</v>
      </c>
      <c r="H121" s="509">
        <v>0.74423786109403811</v>
      </c>
      <c r="I121" s="509">
        <v>0.66139999999999999</v>
      </c>
      <c r="J121" s="511">
        <v>0.6452</v>
      </c>
      <c r="K121" s="679">
        <v>0.4995</v>
      </c>
      <c r="L121" s="852">
        <v>0.42730000000000001</v>
      </c>
      <c r="M121" s="1517">
        <v>0.42730000000000001</v>
      </c>
    </row>
    <row r="122" spans="1:13" hidden="1">
      <c r="A122" s="480" t="s">
        <v>470</v>
      </c>
      <c r="B122" s="507" t="s">
        <v>474</v>
      </c>
      <c r="C122" s="507">
        <v>144</v>
      </c>
      <c r="D122" s="507">
        <v>86</v>
      </c>
      <c r="E122" s="480" t="s">
        <v>648</v>
      </c>
      <c r="F122" s="480" t="str">
        <f>CONCATENATE(DescontosTE[[#This Row],[Permissionária]],DescontosTE[[#This Row],[codsariSUP]],DescontosTE[[#This Row],[Classe]])</f>
        <v>Coopercocal86A4</v>
      </c>
      <c r="G122" s="509">
        <v>0.75887474882786332</v>
      </c>
      <c r="H122" s="509">
        <v>0.75887474882786332</v>
      </c>
      <c r="I122" s="509">
        <v>0.66139999999999999</v>
      </c>
      <c r="J122" s="511">
        <v>0.6452</v>
      </c>
      <c r="K122" s="679">
        <v>0.4995</v>
      </c>
      <c r="L122" s="852">
        <v>0.42730000000000001</v>
      </c>
      <c r="M122" s="1517">
        <v>0.42730000000000001</v>
      </c>
    </row>
    <row r="123" spans="1:13" hidden="1">
      <c r="A123" s="480" t="s">
        <v>510</v>
      </c>
      <c r="B123" s="480" t="s">
        <v>243</v>
      </c>
      <c r="C123" s="604">
        <v>167</v>
      </c>
      <c r="D123" s="604">
        <v>396</v>
      </c>
      <c r="E123" s="480" t="s">
        <v>648</v>
      </c>
      <c r="F123" s="480" t="str">
        <f>CONCATENATE(DescontosTE[[#This Row],[Permissionária]],DescontosTE[[#This Row],[codsariSUP]],DescontosTE[[#This Row],[Classe]])</f>
        <v>Cooperluz396A4</v>
      </c>
      <c r="G123" s="509">
        <v>0.81789999999999996</v>
      </c>
      <c r="H123" s="509">
        <v>0.81789999999999996</v>
      </c>
      <c r="I123" s="509">
        <v>0.65900000000000003</v>
      </c>
      <c r="J123" s="511">
        <v>0</v>
      </c>
      <c r="K123" s="679">
        <v>0</v>
      </c>
      <c r="L123" s="852">
        <v>0</v>
      </c>
      <c r="M123" s="852">
        <v>0</v>
      </c>
    </row>
    <row r="124" spans="1:13" hidden="1">
      <c r="A124" s="480" t="s">
        <v>510</v>
      </c>
      <c r="B124" s="480" t="s">
        <v>243</v>
      </c>
      <c r="C124" s="604">
        <v>167</v>
      </c>
      <c r="D124" s="604">
        <v>396</v>
      </c>
      <c r="E124" s="480" t="s">
        <v>650</v>
      </c>
      <c r="F124" s="480" t="str">
        <f>CONCATENATE(DescontosTE[[#This Row],[Permissionária]],DescontosTE[[#This Row],[codsariSUP]],DescontosTE[[#This Row],[Classe]])</f>
        <v>Cooperluz396A3</v>
      </c>
      <c r="G124" s="509">
        <v>0.81789999999999996</v>
      </c>
      <c r="H124" s="509">
        <v>0.81789999999999996</v>
      </c>
      <c r="I124" s="509">
        <v>0.65900000000000003</v>
      </c>
      <c r="J124" s="511">
        <v>0</v>
      </c>
      <c r="K124" s="679">
        <v>0</v>
      </c>
      <c r="L124" s="852">
        <v>0</v>
      </c>
      <c r="M124" s="852">
        <v>0</v>
      </c>
    </row>
    <row r="125" spans="1:13" hidden="1">
      <c r="A125" s="480" t="s">
        <v>477</v>
      </c>
      <c r="B125" s="480" t="s">
        <v>226</v>
      </c>
      <c r="C125" s="480">
        <v>111</v>
      </c>
      <c r="D125" s="480">
        <v>5697</v>
      </c>
      <c r="E125" s="480" t="s">
        <v>648</v>
      </c>
      <c r="F125" s="480" t="str">
        <f>CONCATENATE(DescontosTE[[#This Row],[Permissionária]],DescontosTE[[#This Row],[codsariSUP]],DescontosTE[[#This Row],[Classe]])</f>
        <v>Coopermila5697A4</v>
      </c>
      <c r="G125" s="509">
        <v>0.53672403196066387</v>
      </c>
      <c r="H125" s="509">
        <v>0.4025430239704979</v>
      </c>
      <c r="I125" s="509">
        <v>0.38200000000000001</v>
      </c>
      <c r="J125" s="511">
        <v>0.35849999999999999</v>
      </c>
      <c r="K125" s="679">
        <v>4.9599999999999998E-2</v>
      </c>
      <c r="L125" s="852">
        <v>3.3399999999999999E-2</v>
      </c>
      <c r="M125" s="1517">
        <v>3.3399999999999999E-2</v>
      </c>
    </row>
    <row r="126" spans="1:13" hidden="1">
      <c r="A126" s="480" t="s">
        <v>482</v>
      </c>
      <c r="B126" s="480" t="s">
        <v>226</v>
      </c>
      <c r="C126" s="480">
        <v>111</v>
      </c>
      <c r="D126" s="480">
        <v>5697</v>
      </c>
      <c r="E126" s="480" t="s">
        <v>648</v>
      </c>
      <c r="F126" s="480" t="str">
        <f>CONCATENATE(DescontosTE[[#This Row],[Permissionária]],DescontosTE[[#This Row],[codsariSUP]],DescontosTE[[#This Row],[Classe]])</f>
        <v>Coorsel5697A4</v>
      </c>
      <c r="G126" s="509">
        <v>0.88667793484941604</v>
      </c>
      <c r="H126" s="509">
        <v>0.66500845113706197</v>
      </c>
      <c r="I126" s="509">
        <v>0.36559999999999998</v>
      </c>
      <c r="J126" s="511">
        <v>0.29060000000000002</v>
      </c>
      <c r="K126" s="679">
        <v>2.6599999999999999E-2</v>
      </c>
      <c r="L126" s="852">
        <v>0</v>
      </c>
      <c r="M126" s="852">
        <v>0</v>
      </c>
    </row>
    <row r="127" spans="1:13" hidden="1">
      <c r="A127" s="480" t="s">
        <v>515</v>
      </c>
      <c r="B127" s="480" t="s">
        <v>243</v>
      </c>
      <c r="C127" s="604">
        <v>167</v>
      </c>
      <c r="D127" s="604">
        <v>396</v>
      </c>
      <c r="E127" s="480" t="s">
        <v>653</v>
      </c>
      <c r="F127" s="480" t="str">
        <f>CONCATENATE(DescontosTE[[#This Row],[Permissionária]],DescontosTE[[#This Row],[codsariSUP]],DescontosTE[[#This Row],[Classe]])</f>
        <v>Coprel396A2</v>
      </c>
      <c r="G127" s="509">
        <v>0.63819999999999999</v>
      </c>
      <c r="H127" s="509">
        <v>0.63819999999999999</v>
      </c>
      <c r="I127" s="509">
        <v>0.44450000000000001</v>
      </c>
      <c r="J127" s="511">
        <v>0</v>
      </c>
      <c r="K127" s="679">
        <v>0</v>
      </c>
      <c r="L127" s="852">
        <v>0</v>
      </c>
      <c r="M127" s="852">
        <v>0</v>
      </c>
    </row>
    <row r="128" spans="1:13" hidden="1">
      <c r="A128" s="480" t="s">
        <v>515</v>
      </c>
      <c r="B128" s="480" t="s">
        <v>243</v>
      </c>
      <c r="C128" s="604">
        <v>167</v>
      </c>
      <c r="D128" s="604">
        <v>396</v>
      </c>
      <c r="E128" s="480" t="s">
        <v>650</v>
      </c>
      <c r="F128" s="480" t="str">
        <f>CONCATENATE(DescontosTE[[#This Row],[Permissionária]],DescontosTE[[#This Row],[codsariSUP]],DescontosTE[[#This Row],[Classe]])</f>
        <v>Coprel396A3</v>
      </c>
      <c r="G128" s="509">
        <v>0.63819999999999999</v>
      </c>
      <c r="H128" s="509">
        <v>0.63819999999999999</v>
      </c>
      <c r="I128" s="509">
        <v>0.47870000000000001</v>
      </c>
      <c r="J128" s="511">
        <v>0</v>
      </c>
      <c r="K128" s="679">
        <v>0</v>
      </c>
      <c r="L128" s="852">
        <v>0</v>
      </c>
      <c r="M128" s="852">
        <v>0</v>
      </c>
    </row>
    <row r="129" spans="1:14" hidden="1">
      <c r="A129" s="480" t="s">
        <v>515</v>
      </c>
      <c r="B129" s="480" t="s">
        <v>243</v>
      </c>
      <c r="C129" s="604">
        <v>167</v>
      </c>
      <c r="D129" s="604">
        <v>396</v>
      </c>
      <c r="E129" s="480" t="s">
        <v>648</v>
      </c>
      <c r="F129" s="480" t="str">
        <f>CONCATENATE(DescontosTE[[#This Row],[Permissionária]],DescontosTE[[#This Row],[codsariSUP]],DescontosTE[[#This Row],[Classe]])</f>
        <v>Coprel396A4</v>
      </c>
      <c r="G129" s="509">
        <v>0.53600000000000003</v>
      </c>
      <c r="H129" s="509">
        <v>0.53600000000000003</v>
      </c>
      <c r="I129" s="509">
        <v>0.40200000000000002</v>
      </c>
      <c r="J129" s="511">
        <v>0</v>
      </c>
      <c r="K129" s="679">
        <v>0</v>
      </c>
      <c r="L129" s="852">
        <v>0</v>
      </c>
      <c r="M129" s="852">
        <v>0</v>
      </c>
    </row>
    <row r="130" spans="1:14" hidden="1">
      <c r="A130" s="480" t="s">
        <v>211</v>
      </c>
      <c r="B130" s="480" t="s">
        <v>243</v>
      </c>
      <c r="C130" s="604">
        <v>167</v>
      </c>
      <c r="D130" s="604">
        <v>396</v>
      </c>
      <c r="E130" s="480" t="s">
        <v>648</v>
      </c>
      <c r="F130" s="480" t="str">
        <f>CONCATENATE(DescontosTE[[#This Row],[Permissionária]],DescontosTE[[#This Row],[codsariSUP]],DescontosTE[[#This Row],[Classe]])</f>
        <v>Creluz396A4</v>
      </c>
      <c r="G130" s="509">
        <v>0.83053171196948017</v>
      </c>
      <c r="H130" s="509">
        <v>0.83053171196948017</v>
      </c>
      <c r="I130" s="509">
        <v>0.83053171196948017</v>
      </c>
      <c r="J130" s="511">
        <v>0.34849999999999998</v>
      </c>
      <c r="K130" s="679">
        <v>0.34849999999999998</v>
      </c>
      <c r="L130" s="852">
        <v>0.28499999999999998</v>
      </c>
      <c r="M130" s="1517">
        <v>0.28499999999999998</v>
      </c>
    </row>
    <row r="131" spans="1:14" hidden="1">
      <c r="A131" s="480" t="s">
        <v>526</v>
      </c>
      <c r="B131" s="480" t="s">
        <v>243</v>
      </c>
      <c r="C131" s="604">
        <v>167</v>
      </c>
      <c r="D131" s="604">
        <v>396</v>
      </c>
      <c r="E131" s="480" t="s">
        <v>648</v>
      </c>
      <c r="F131" s="480" t="str">
        <f>CONCATENATE(DescontosTE[[#This Row],[Permissionária]],DescontosTE[[#This Row],[codsariSUP]],DescontosTE[[#This Row],[Classe]])</f>
        <v>Creral396A4</v>
      </c>
      <c r="G131" s="509">
        <v>0.76871721506914636</v>
      </c>
      <c r="H131" s="509">
        <v>0.76871721506914636</v>
      </c>
      <c r="I131" s="509">
        <v>0.76871721506914636</v>
      </c>
      <c r="J131" s="511">
        <v>0.46889999999999998</v>
      </c>
      <c r="K131" s="679">
        <v>0.46889999999999998</v>
      </c>
      <c r="L131" s="852">
        <v>0.214</v>
      </c>
      <c r="M131" s="1517">
        <v>0.214</v>
      </c>
    </row>
    <row r="132" spans="1:14" hidden="1">
      <c r="A132" s="480" t="s">
        <v>526</v>
      </c>
      <c r="B132" s="480" t="s">
        <v>243</v>
      </c>
      <c r="C132" s="604">
        <v>167</v>
      </c>
      <c r="D132" s="604">
        <v>396</v>
      </c>
      <c r="E132" s="480" t="s">
        <v>655</v>
      </c>
      <c r="F132" s="480" t="str">
        <f>CONCATENATE(DescontosTE[[#This Row],[Permissionária]],DescontosTE[[#This Row],[codsariSUP]],DescontosTE[[#This Row],[Classe]])</f>
        <v>Creral396B</v>
      </c>
      <c r="G132" s="509">
        <v>2.0743919885550688E-2</v>
      </c>
      <c r="H132" s="509">
        <v>2.0743919885550688E-2</v>
      </c>
      <c r="I132" s="509">
        <v>2.0743919885550688E-2</v>
      </c>
      <c r="J132" s="511">
        <v>2.07E-2</v>
      </c>
      <c r="K132" s="679">
        <v>2.07E-2</v>
      </c>
      <c r="L132" s="852">
        <v>2.07E-2</v>
      </c>
      <c r="M132" s="1517">
        <v>2.07E-2</v>
      </c>
    </row>
    <row r="133" spans="1:14" hidden="1">
      <c r="A133" s="480" t="s">
        <v>416</v>
      </c>
      <c r="B133" s="486" t="s">
        <v>200</v>
      </c>
      <c r="C133" s="480">
        <v>103</v>
      </c>
      <c r="D133" s="480">
        <v>383</v>
      </c>
      <c r="E133" s="480" t="s">
        <v>648</v>
      </c>
      <c r="F133" s="480" t="str">
        <f>CONCATENATE(DescontosTE[[#This Row],[Permissionária]],DescontosTE[[#This Row],[codsariSUP]],DescontosTE[[#This Row],[Classe]])</f>
        <v>Cerci383A4</v>
      </c>
      <c r="G133" s="509"/>
      <c r="H133" s="509"/>
      <c r="I133" s="509"/>
      <c r="J133" s="511">
        <v>0.38529999999999998</v>
      </c>
      <c r="K133" s="804">
        <v>0.38529999999999998</v>
      </c>
      <c r="L133" s="852">
        <f>DescontosTE[[#This Row],[2019]]</f>
        <v>0.38529999999999998</v>
      </c>
      <c r="M133" s="511">
        <f>DescontosTE[[#This Row],[2020]]</f>
        <v>0.38529999999999998</v>
      </c>
      <c r="N133" s="511">
        <f>DescontosTE[[#This Row],[2020]]</f>
        <v>0.38529999999999998</v>
      </c>
    </row>
    <row r="134" spans="1:14" hidden="1">
      <c r="A134" s="480" t="s">
        <v>233</v>
      </c>
      <c r="B134" s="486" t="s">
        <v>200</v>
      </c>
      <c r="C134" s="480">
        <v>103</v>
      </c>
      <c r="D134" s="480">
        <v>383</v>
      </c>
      <c r="E134" s="480" t="s">
        <v>648</v>
      </c>
      <c r="F134" s="480" t="str">
        <f>CONCATENATE(DescontosTE[[#This Row],[Permissionária]],DescontosTE[[#This Row],[codsariSUP]],DescontosTE[[#This Row],[Classe]])</f>
        <v>Ceral Araruama383A4</v>
      </c>
      <c r="G134" s="509"/>
      <c r="H134" s="509"/>
      <c r="I134" s="509"/>
      <c r="J134" s="511">
        <v>0.38529999999999998</v>
      </c>
      <c r="K134" s="804">
        <v>0.38030000000000003</v>
      </c>
      <c r="L134" s="852">
        <f>DescontosTE[[#This Row],[2019]]</f>
        <v>0.38030000000000003</v>
      </c>
      <c r="M134" s="509">
        <v>0.26430999999999999</v>
      </c>
      <c r="N134" s="509">
        <v>0.26430999999999999</v>
      </c>
    </row>
    <row r="135" spans="1:14" hidden="1">
      <c r="A135" s="480" t="s">
        <v>439</v>
      </c>
      <c r="B135" s="480" t="s">
        <v>243</v>
      </c>
      <c r="C135" s="604">
        <v>167</v>
      </c>
      <c r="D135" s="604">
        <v>396</v>
      </c>
      <c r="E135" s="480" t="s">
        <v>648</v>
      </c>
      <c r="F135" s="480" t="str">
        <f>CONCATENATE(DescontosTE[[#This Row],[Permissionária]],DescontosTE[[#This Row],[codsariSUP]],DescontosTE[[#This Row],[Classe]])</f>
        <v>Cerfox396A4</v>
      </c>
      <c r="G135" s="509"/>
      <c r="H135" s="509"/>
      <c r="I135" s="509"/>
      <c r="J135" s="511">
        <v>0.1401</v>
      </c>
      <c r="K135" s="804">
        <v>0.1401</v>
      </c>
      <c r="L135" s="852">
        <v>0.1401</v>
      </c>
      <c r="M135" s="1517">
        <v>0.1401</v>
      </c>
    </row>
    <row r="136" spans="1:14" hidden="1">
      <c r="A136" s="480" t="s">
        <v>543</v>
      </c>
      <c r="B136" s="480" t="s">
        <v>243</v>
      </c>
      <c r="C136" s="604">
        <v>167</v>
      </c>
      <c r="D136" s="604">
        <v>396</v>
      </c>
      <c r="E136" s="480" t="s">
        <v>648</v>
      </c>
      <c r="F136" s="480" t="str">
        <f>CONCATENATE(DescontosTE[[#This Row],[Permissionária]],DescontosTE[[#This Row],[codsariSUP]],DescontosTE[[#This Row],[Classe]])</f>
        <v>Certhil396A4</v>
      </c>
      <c r="G136" s="509"/>
      <c r="H136" s="509"/>
      <c r="I136" s="509"/>
      <c r="J136" s="511">
        <v>0.25359999999999999</v>
      </c>
      <c r="K136" s="804">
        <v>0.22370000000000001</v>
      </c>
      <c r="L136" s="852">
        <v>0.1273</v>
      </c>
      <c r="M136" s="1517">
        <v>0</v>
      </c>
    </row>
    <row r="137" spans="1:14" hidden="1">
      <c r="A137" s="480" t="s">
        <v>334</v>
      </c>
      <c r="B137" s="480" t="s">
        <v>658</v>
      </c>
      <c r="C137" s="480">
        <v>132</v>
      </c>
      <c r="D137" s="480">
        <v>2866</v>
      </c>
      <c r="E137" s="480" t="s">
        <v>652</v>
      </c>
      <c r="F137" s="480" t="str">
        <f>CONCATENATE(DescontosTE[[#This Row],[Permissionária]],DescontosTE[[#This Row],[codsariSUP]],DescontosTE[[#This Row],[Classe]])</f>
        <v>Castro Dis2866A3a</v>
      </c>
      <c r="G137" s="509"/>
      <c r="H137" s="509"/>
      <c r="I137" s="509"/>
      <c r="J137" s="511">
        <v>0.42030000000000001</v>
      </c>
      <c r="K137" s="804">
        <v>0.42030000000000001</v>
      </c>
      <c r="L137" s="852">
        <v>0.33839999999999998</v>
      </c>
      <c r="M137" s="1517">
        <v>0.33839999999999998</v>
      </c>
    </row>
    <row r="138" spans="1:14" hidden="1">
      <c r="A138" s="480" t="s">
        <v>334</v>
      </c>
      <c r="B138" s="480" t="s">
        <v>658</v>
      </c>
      <c r="C138" s="480">
        <v>132</v>
      </c>
      <c r="D138" s="480">
        <v>2866</v>
      </c>
      <c r="E138" s="480" t="s">
        <v>648</v>
      </c>
      <c r="F138" s="480" t="str">
        <f>CONCATENATE(DescontosTE[[#This Row],[Permissionária]],DescontosTE[[#This Row],[codsariSUP]],DescontosTE[[#This Row],[Classe]])</f>
        <v>Castro Dis2866A4</v>
      </c>
      <c r="G138" s="509"/>
      <c r="H138" s="509"/>
      <c r="I138" s="509"/>
      <c r="J138" s="511">
        <v>0.4153</v>
      </c>
      <c r="K138" s="804">
        <v>0.4153</v>
      </c>
      <c r="L138" s="852">
        <v>0.33839999999999998</v>
      </c>
      <c r="M138" s="1517">
        <v>0.33839999999999998</v>
      </c>
    </row>
    <row r="139" spans="1:14" hidden="1">
      <c r="A139" s="480" t="s">
        <v>558</v>
      </c>
      <c r="B139" s="480" t="s">
        <v>659</v>
      </c>
      <c r="C139" s="480">
        <v>145</v>
      </c>
      <c r="D139" s="480">
        <v>385</v>
      </c>
      <c r="E139" s="480" t="s">
        <v>648</v>
      </c>
      <c r="F139" s="480" t="str">
        <f>CONCATENATE(DescontosTE[[#This Row],[Permissionária]],DescontosTE[[#This Row],[codsariSUP]],DescontosTE[[#This Row],[Classe]])</f>
        <v>Cervam385A4</v>
      </c>
      <c r="G139" s="509"/>
      <c r="H139" s="509"/>
      <c r="I139" s="509"/>
      <c r="J139" s="511">
        <v>0.40989999999999999</v>
      </c>
      <c r="K139" s="804">
        <v>4.3299999999999998E-2</v>
      </c>
      <c r="L139" s="852">
        <v>0</v>
      </c>
      <c r="M139" s="852">
        <v>0</v>
      </c>
    </row>
    <row r="140" spans="1:14" hidden="1">
      <c r="A140" s="480" t="s">
        <v>558</v>
      </c>
      <c r="B140" s="480" t="s">
        <v>187</v>
      </c>
      <c r="C140" s="480">
        <v>136</v>
      </c>
      <c r="D140" s="480">
        <v>63</v>
      </c>
      <c r="E140" s="480" t="s">
        <v>648</v>
      </c>
      <c r="F140" s="480" t="str">
        <f>CONCATENATE(DescontosTE[[#This Row],[Permissionária]],DescontosTE[[#This Row],[codsariSUP]],DescontosTE[[#This Row],[Classe]])</f>
        <v>Cervam63A4</v>
      </c>
      <c r="G140" s="509"/>
      <c r="H140" s="509"/>
      <c r="I140" s="509"/>
      <c r="J140" s="511">
        <v>0.4103</v>
      </c>
      <c r="K140" s="804">
        <v>4.3299999999999998E-2</v>
      </c>
      <c r="L140" s="852">
        <v>0</v>
      </c>
      <c r="M140" s="852">
        <v>0</v>
      </c>
    </row>
    <row r="141" spans="1:14" hidden="1">
      <c r="A141" s="480" t="s">
        <v>223</v>
      </c>
      <c r="B141" s="480" t="s">
        <v>226</v>
      </c>
      <c r="C141" s="480">
        <v>111</v>
      </c>
      <c r="D141" s="480">
        <v>5697</v>
      </c>
      <c r="E141" s="480" t="s">
        <v>653</v>
      </c>
      <c r="F141" s="480" t="str">
        <f>CONCATENATE(DescontosTE[[#This Row],[Permissionária]],DescontosTE[[#This Row],[codsariSUP]],DescontosTE[[#This Row],[Classe]])</f>
        <v>Cegero5697A2</v>
      </c>
      <c r="G141" s="509"/>
      <c r="H141" s="509"/>
      <c r="I141" s="509"/>
      <c r="J141" s="511">
        <v>0.44009999999999999</v>
      </c>
      <c r="K141" s="804">
        <v>0.3735</v>
      </c>
      <c r="L141" s="852">
        <v>0.29289999999999999</v>
      </c>
      <c r="M141" s="1517">
        <v>0.29289999999999999</v>
      </c>
    </row>
    <row r="142" spans="1:14" hidden="1">
      <c r="A142" s="480" t="s">
        <v>521</v>
      </c>
      <c r="B142" s="480" t="s">
        <v>226</v>
      </c>
      <c r="C142" s="480">
        <v>111</v>
      </c>
      <c r="D142" s="480">
        <v>5697</v>
      </c>
      <c r="E142" s="480" t="s">
        <v>648</v>
      </c>
      <c r="F142" s="480" t="str">
        <f>CONCATENATE(DescontosTE[[#This Row],[Permissionária]],DescontosTE[[#This Row],[codsariSUP]],DescontosTE[[#This Row],[Classe]])</f>
        <v>Cersad5697A4</v>
      </c>
      <c r="G142" s="509"/>
      <c r="H142" s="509"/>
      <c r="I142" s="509"/>
      <c r="J142" s="511">
        <v>0.41320000000000001</v>
      </c>
      <c r="K142" s="804">
        <v>0.34079999999999999</v>
      </c>
      <c r="L142" s="852">
        <v>0.25679999999999997</v>
      </c>
      <c r="M142" s="1517">
        <v>0</v>
      </c>
    </row>
    <row r="143" spans="1:14" hidden="1">
      <c r="A143" s="480" t="s">
        <v>569</v>
      </c>
      <c r="B143" s="480" t="s">
        <v>226</v>
      </c>
      <c r="C143" s="480">
        <v>111</v>
      </c>
      <c r="D143" s="480">
        <v>5697</v>
      </c>
      <c r="E143" s="480" t="s">
        <v>653</v>
      </c>
      <c r="F143" s="480" t="str">
        <f>CONCATENATE(DescontosTE[[#This Row],[Permissionária]],DescontosTE[[#This Row],[codsariSUP]],DescontosTE[[#This Row],[Classe]])</f>
        <v>Codesam5697A2</v>
      </c>
      <c r="G143" s="509"/>
      <c r="H143" s="509"/>
      <c r="I143" s="509"/>
      <c r="J143" s="511">
        <v>0.44009999999999999</v>
      </c>
      <c r="K143" s="804">
        <v>0.28170000000000001</v>
      </c>
      <c r="L143" s="852">
        <v>0.25019999999999998</v>
      </c>
      <c r="M143" s="1517">
        <v>0.25019999999999998</v>
      </c>
    </row>
    <row r="144" spans="1:14" hidden="1">
      <c r="A144" s="480" t="s">
        <v>606</v>
      </c>
      <c r="B144" s="480" t="s">
        <v>226</v>
      </c>
      <c r="C144" s="480">
        <v>111</v>
      </c>
      <c r="D144" s="480">
        <v>5697</v>
      </c>
      <c r="E144" s="480" t="s">
        <v>648</v>
      </c>
      <c r="F144" s="480" t="str">
        <f>CONCATENATE(DescontosTE[[#This Row],[Permissionária]],DescontosTE[[#This Row],[codsariSUP]],DescontosTE[[#This Row],[Classe]])</f>
        <v>Cooperzem5697A4</v>
      </c>
      <c r="G144" s="509"/>
      <c r="H144" s="509"/>
      <c r="I144" s="509"/>
      <c r="J144" s="511">
        <v>0.41320000000000001</v>
      </c>
      <c r="K144" s="804">
        <v>0.16650000000000001</v>
      </c>
      <c r="L144" s="852">
        <v>0.1057</v>
      </c>
      <c r="M144" s="1517">
        <v>0.1057</v>
      </c>
    </row>
    <row r="145" spans="1:50" hidden="1">
      <c r="A145" s="480" t="s">
        <v>605</v>
      </c>
      <c r="B145" s="480" t="s">
        <v>402</v>
      </c>
      <c r="C145" s="480">
        <v>110</v>
      </c>
      <c r="D145" s="480">
        <v>5707</v>
      </c>
      <c r="E145" s="480" t="s">
        <v>648</v>
      </c>
      <c r="F145" s="480" t="str">
        <f>CONCATENATE(DescontosTE[[#This Row],[Permissionária]],DescontosTE[[#This Row],[codsariSUP]],DescontosTE[[#This Row],[Classe]])</f>
        <v>Coopersul5707A4</v>
      </c>
      <c r="G145" s="509"/>
      <c r="H145" s="509"/>
      <c r="I145" s="509"/>
      <c r="J145" s="511">
        <v>0.33779999999999999</v>
      </c>
      <c r="K145" s="804">
        <v>0.33779999999999999</v>
      </c>
      <c r="L145" s="852">
        <v>0.20419999999999999</v>
      </c>
      <c r="M145" s="1517">
        <v>9.0499999999999997E-2</v>
      </c>
    </row>
    <row r="146" spans="1:50" hidden="1">
      <c r="A146" s="480" t="s">
        <v>599</v>
      </c>
      <c r="B146" s="480" t="s">
        <v>402</v>
      </c>
      <c r="C146" s="480">
        <v>110</v>
      </c>
      <c r="D146" s="480">
        <v>5707</v>
      </c>
      <c r="E146" s="480" t="s">
        <v>648</v>
      </c>
      <c r="F146" s="480" t="str">
        <f>CONCATENATE(DescontosTE[[#This Row],[Permissionária]],DescontosTE[[#This Row],[codsariSUP]],DescontosTE[[#This Row],[Classe]])</f>
        <v>Coopernorte5707A4</v>
      </c>
      <c r="G146" s="509"/>
      <c r="H146" s="509"/>
      <c r="I146" s="509"/>
      <c r="J146" s="511">
        <v>0.49409999999999998</v>
      </c>
      <c r="K146" s="804">
        <v>0.48630000000000001</v>
      </c>
      <c r="L146" s="852">
        <v>0.37609999999999999</v>
      </c>
      <c r="M146" s="1517">
        <v>0.37609999999999999</v>
      </c>
    </row>
    <row r="147" spans="1:50" hidden="1">
      <c r="A147" s="480" t="s">
        <v>374</v>
      </c>
      <c r="B147" s="480" t="s">
        <v>187</v>
      </c>
      <c r="C147" s="480">
        <v>136</v>
      </c>
      <c r="D147" s="480">
        <v>63</v>
      </c>
      <c r="E147" s="480" t="s">
        <v>653</v>
      </c>
      <c r="F147" s="480" t="str">
        <f>CONCATENATE(DescontosTE[[#This Row],[Permissionária]],DescontosTE[[#This Row],[codsariSUP]],DescontosTE[[#This Row],[Classe]])</f>
        <v>Cemirim63A2</v>
      </c>
      <c r="G147" s="509"/>
      <c r="H147" s="509"/>
      <c r="I147" s="509"/>
      <c r="J147" s="511"/>
      <c r="K147" s="804">
        <v>0.18690000000000001</v>
      </c>
      <c r="L147" s="852">
        <v>0.1603</v>
      </c>
      <c r="M147" s="509">
        <v>0</v>
      </c>
    </row>
    <row r="148" spans="1:50" hidden="1">
      <c r="A148" s="480" t="s">
        <v>374</v>
      </c>
      <c r="B148" s="480" t="s">
        <v>201</v>
      </c>
      <c r="C148" s="480">
        <v>145</v>
      </c>
      <c r="D148" s="480">
        <v>385</v>
      </c>
      <c r="E148" s="480" t="s">
        <v>648</v>
      </c>
      <c r="F148" s="480" t="str">
        <f>CONCATENATE(DescontosTE[[#This Row],[Permissionária]],DescontosTE[[#This Row],[codsariSUP]],DescontosTE[[#This Row],[Classe]])</f>
        <v>Cemirim385A4</v>
      </c>
      <c r="G148" s="509"/>
      <c r="H148" s="509"/>
      <c r="I148" s="509"/>
      <c r="J148" s="511"/>
      <c r="K148" s="804">
        <v>0.18690000000000001</v>
      </c>
      <c r="L148" s="852">
        <v>0.1603</v>
      </c>
      <c r="M148" s="509">
        <v>0</v>
      </c>
    </row>
    <row r="149" spans="1:50" hidden="1">
      <c r="A149" s="480" t="s">
        <v>367</v>
      </c>
      <c r="B149" s="480" t="s">
        <v>243</v>
      </c>
      <c r="C149" s="480">
        <v>167</v>
      </c>
      <c r="D149" s="480">
        <v>396</v>
      </c>
      <c r="E149" s="480" t="s">
        <v>648</v>
      </c>
      <c r="F149" s="480" t="str">
        <f>CONCATENATE(DescontosTE[[#This Row],[Permissionária]],DescontosTE[[#This Row],[codsariSUP]],DescontosTE[[#This Row],[Classe]])</f>
        <v>Celetro396A4</v>
      </c>
      <c r="G149" s="853"/>
      <c r="H149" s="853"/>
      <c r="I149" s="853"/>
      <c r="J149" s="511"/>
      <c r="K149" s="804"/>
      <c r="L149" s="852">
        <v>0.1426</v>
      </c>
      <c r="M149" s="1517">
        <v>0.1426</v>
      </c>
      <c r="AS149" s="844"/>
      <c r="AX149" s="844"/>
    </row>
    <row r="150" spans="1:50" hidden="1">
      <c r="A150" s="480" t="s">
        <v>367</v>
      </c>
      <c r="B150" s="480" t="s">
        <v>660</v>
      </c>
      <c r="C150" s="480">
        <v>164</v>
      </c>
      <c r="D150" s="480">
        <v>400</v>
      </c>
      <c r="E150" s="480" t="s">
        <v>648</v>
      </c>
      <c r="F150" s="480" t="str">
        <f>CONCATENATE(DescontosTE[[#This Row],[Permissionária]],DescontosTE[[#This Row],[codsariSUP]],DescontosTE[[#This Row],[Classe]])</f>
        <v>Celetro400A4</v>
      </c>
      <c r="L150" s="511">
        <v>0.1426</v>
      </c>
      <c r="M150" s="1517">
        <v>0.1426</v>
      </c>
      <c r="AS150" s="844"/>
      <c r="AX150" s="844"/>
    </row>
    <row r="154" spans="1:50">
      <c r="A154" s="652" t="s">
        <v>661</v>
      </c>
    </row>
    <row r="156" spans="1:50">
      <c r="A156" s="9" t="s">
        <v>20</v>
      </c>
      <c r="B156" s="653" t="s">
        <v>279</v>
      </c>
      <c r="C156" t="s">
        <v>662</v>
      </c>
      <c r="D156" s="9" t="s">
        <v>663</v>
      </c>
      <c r="E156" s="9" t="s">
        <v>664</v>
      </c>
      <c r="F156" t="s">
        <v>665</v>
      </c>
      <c r="G156" t="s">
        <v>640</v>
      </c>
      <c r="H156" t="s">
        <v>641</v>
      </c>
      <c r="I156" t="s">
        <v>642</v>
      </c>
      <c r="J156" t="s">
        <v>643</v>
      </c>
      <c r="K156" t="s">
        <v>644</v>
      </c>
      <c r="L156" t="s">
        <v>645</v>
      </c>
      <c r="M156" t="s">
        <v>646</v>
      </c>
      <c r="N156" t="s">
        <v>647</v>
      </c>
    </row>
    <row r="157" spans="1:50" hidden="1">
      <c r="A157" s="9" t="s">
        <v>635</v>
      </c>
      <c r="B157" s="654" t="s">
        <v>320</v>
      </c>
      <c r="C157" s="233">
        <v>477.54</v>
      </c>
      <c r="D157" s="233">
        <v>293.51</v>
      </c>
      <c r="E157" s="233">
        <v>285.53000000000003</v>
      </c>
      <c r="F157" s="233">
        <v>316.42</v>
      </c>
      <c r="G157" s="233">
        <v>400.42</v>
      </c>
      <c r="H157" s="233">
        <v>439.05</v>
      </c>
      <c r="I157">
        <v>464.07</v>
      </c>
      <c r="J157">
        <v>529.15</v>
      </c>
      <c r="K157" s="802">
        <v>585.49</v>
      </c>
      <c r="L157">
        <v>716.79000000000008</v>
      </c>
      <c r="M157" s="416">
        <v>802.08</v>
      </c>
    </row>
    <row r="158" spans="1:50" hidden="1">
      <c r="A158" s="9" t="s">
        <v>635</v>
      </c>
      <c r="B158" s="655" t="s">
        <v>224</v>
      </c>
      <c r="C158" s="233">
        <v>454.01</v>
      </c>
      <c r="D158" s="233">
        <v>372.29</v>
      </c>
      <c r="E158" s="233">
        <v>429.11</v>
      </c>
      <c r="F158" s="233">
        <v>488.63</v>
      </c>
      <c r="G158" s="233">
        <v>603.84</v>
      </c>
      <c r="H158" s="233">
        <v>662.82</v>
      </c>
      <c r="I158">
        <v>695.1</v>
      </c>
      <c r="J158">
        <v>784.40000000000009</v>
      </c>
      <c r="K158" s="802">
        <v>750.67</v>
      </c>
      <c r="L158">
        <v>694.52</v>
      </c>
      <c r="M158" s="416">
        <v>683.87</v>
      </c>
    </row>
    <row r="159" spans="1:50" hidden="1">
      <c r="A159" s="9" t="s">
        <v>635</v>
      </c>
      <c r="B159" s="654" t="s">
        <v>341</v>
      </c>
      <c r="C159" s="233">
        <v>422.89</v>
      </c>
      <c r="D159" s="233">
        <v>324.93</v>
      </c>
      <c r="E159" s="233">
        <v>330.32</v>
      </c>
      <c r="F159" s="233">
        <v>350.22</v>
      </c>
      <c r="G159" s="233">
        <v>461.39</v>
      </c>
      <c r="H159" s="233">
        <v>538.26</v>
      </c>
      <c r="I159">
        <v>573.74</v>
      </c>
      <c r="J159" s="233">
        <v>627.88</v>
      </c>
      <c r="K159" s="802">
        <v>687.25</v>
      </c>
      <c r="L159">
        <v>653.32000000000005</v>
      </c>
      <c r="M159" s="416">
        <v>636.51</v>
      </c>
    </row>
    <row r="160" spans="1:50" hidden="1">
      <c r="A160" s="9" t="s">
        <v>635</v>
      </c>
      <c r="B160" s="655" t="s">
        <v>347</v>
      </c>
      <c r="C160" s="233">
        <v>358.18</v>
      </c>
      <c r="D160" s="233">
        <v>201.09</v>
      </c>
      <c r="E160" s="233">
        <v>358.18</v>
      </c>
      <c r="F160" s="233">
        <v>285.40778770524361</v>
      </c>
      <c r="G160" s="233">
        <v>393.80621010002614</v>
      </c>
      <c r="H160" s="233">
        <v>393.80621010002614</v>
      </c>
      <c r="I160">
        <v>524.92999999999995</v>
      </c>
      <c r="J160" s="233">
        <v>473.15</v>
      </c>
      <c r="K160" s="802">
        <v>521.09</v>
      </c>
      <c r="L160">
        <v>586.86</v>
      </c>
      <c r="M160">
        <v>663.81999999999994</v>
      </c>
    </row>
    <row r="161" spans="1:13">
      <c r="A161" s="9" t="s">
        <v>635</v>
      </c>
      <c r="B161" s="654" t="s">
        <v>354</v>
      </c>
      <c r="C161" s="233">
        <v>364.27</v>
      </c>
      <c r="D161" s="233">
        <v>264.33</v>
      </c>
      <c r="E161" s="233">
        <v>322.36</v>
      </c>
      <c r="F161" s="233">
        <v>278.05753790328487</v>
      </c>
      <c r="G161" s="233">
        <v>365.46000000000004</v>
      </c>
      <c r="H161" s="233">
        <v>365.46000000000004</v>
      </c>
      <c r="I161">
        <v>441.3</v>
      </c>
      <c r="J161" s="233">
        <v>484.86</v>
      </c>
      <c r="K161" s="802">
        <v>531.81000000000006</v>
      </c>
      <c r="L161">
        <v>604.55999999999995</v>
      </c>
      <c r="M161" s="416">
        <v>688.71</v>
      </c>
    </row>
    <row r="162" spans="1:13" hidden="1">
      <c r="A162" s="9" t="s">
        <v>635</v>
      </c>
      <c r="B162" s="655" t="s">
        <v>362</v>
      </c>
      <c r="C162" s="233">
        <v>346.04</v>
      </c>
      <c r="D162" s="233">
        <v>244.04023455404769</v>
      </c>
      <c r="E162" s="233">
        <v>311.33999999999997</v>
      </c>
      <c r="F162" s="233">
        <v>357.41293987313691</v>
      </c>
      <c r="G162" s="233">
        <v>463.95000000000005</v>
      </c>
      <c r="H162" s="233">
        <v>461.19</v>
      </c>
      <c r="I162">
        <v>555.5</v>
      </c>
      <c r="J162" s="233">
        <v>607.63</v>
      </c>
      <c r="K162" s="802">
        <v>627.79</v>
      </c>
      <c r="L162">
        <f>419.13+242.86</f>
        <v>661.99</v>
      </c>
      <c r="M162" s="416">
        <v>820.92</v>
      </c>
    </row>
    <row r="163" spans="1:13" hidden="1">
      <c r="A163" s="9" t="s">
        <v>635</v>
      </c>
      <c r="B163" s="654" t="s">
        <v>368</v>
      </c>
      <c r="C163" s="233">
        <v>432.22</v>
      </c>
      <c r="D163" s="233">
        <v>334.28</v>
      </c>
      <c r="E163" s="233">
        <v>432.22</v>
      </c>
      <c r="F163" s="233">
        <v>406.19</v>
      </c>
      <c r="G163" s="233">
        <v>489.04</v>
      </c>
      <c r="H163" s="233">
        <v>489.04</v>
      </c>
      <c r="I163" s="233">
        <v>712.47</v>
      </c>
      <c r="J163" s="233">
        <v>461.91882050087406</v>
      </c>
      <c r="K163" s="802">
        <v>550.73</v>
      </c>
      <c r="L163">
        <f>343.12+245.73</f>
        <v>588.85</v>
      </c>
      <c r="M163" s="416">
        <v>603.04999999999995</v>
      </c>
    </row>
    <row r="164" spans="1:13" hidden="1">
      <c r="A164" s="9" t="s">
        <v>635</v>
      </c>
      <c r="B164" s="655" t="s">
        <v>375</v>
      </c>
      <c r="C164" s="233">
        <v>404.93</v>
      </c>
      <c r="D164" s="233">
        <v>237.94</v>
      </c>
      <c r="E164" s="233">
        <v>404.93</v>
      </c>
      <c r="F164" s="233">
        <v>263.02999999999997</v>
      </c>
      <c r="G164" s="233">
        <v>371.49669002205025</v>
      </c>
      <c r="H164" s="233">
        <v>371.5</v>
      </c>
      <c r="I164">
        <v>467.95</v>
      </c>
      <c r="J164" s="233">
        <v>504.95621166549836</v>
      </c>
      <c r="K164" s="802">
        <v>601.67000000000007</v>
      </c>
      <c r="L164">
        <f>319.9+262.18</f>
        <v>582.07999999999993</v>
      </c>
      <c r="M164" s="416">
        <v>613.14</v>
      </c>
    </row>
    <row r="165" spans="1:13" hidden="1">
      <c r="A165" s="9" t="s">
        <v>635</v>
      </c>
      <c r="B165" s="654" t="s">
        <v>382</v>
      </c>
      <c r="C165" s="233">
        <v>362.71</v>
      </c>
      <c r="D165" s="233">
        <v>216.37</v>
      </c>
      <c r="E165" s="233">
        <v>362.71</v>
      </c>
      <c r="F165" s="233">
        <v>259.14999999999998</v>
      </c>
      <c r="G165" s="233">
        <v>330.57</v>
      </c>
      <c r="H165" s="233">
        <v>330.57</v>
      </c>
      <c r="I165">
        <v>511.56</v>
      </c>
      <c r="J165" s="233">
        <v>538.42999999999995</v>
      </c>
      <c r="K165" s="802">
        <v>589.30000000000007</v>
      </c>
      <c r="L165">
        <v>631.75</v>
      </c>
      <c r="M165" s="416">
        <v>678.01</v>
      </c>
    </row>
    <row r="166" spans="1:13" hidden="1">
      <c r="A166" s="9" t="s">
        <v>635</v>
      </c>
      <c r="B166" s="655" t="s">
        <v>388</v>
      </c>
      <c r="C166" s="233">
        <v>435.97</v>
      </c>
      <c r="D166" s="233">
        <v>357.5</v>
      </c>
      <c r="E166" s="233">
        <v>388.25</v>
      </c>
      <c r="F166" s="233">
        <v>431.16</v>
      </c>
      <c r="G166" s="233">
        <v>543.15</v>
      </c>
      <c r="H166" s="233">
        <v>583.96</v>
      </c>
      <c r="I166">
        <v>636.54</v>
      </c>
      <c r="J166" s="233">
        <v>716.04</v>
      </c>
      <c r="K166" s="802">
        <v>697.1</v>
      </c>
      <c r="L166">
        <f>452.4+266.08</f>
        <v>718.48</v>
      </c>
      <c r="M166" s="416">
        <v>711.11</v>
      </c>
    </row>
    <row r="167" spans="1:13" hidden="1">
      <c r="A167" s="9" t="s">
        <v>635</v>
      </c>
      <c r="B167" s="654" t="s">
        <v>361</v>
      </c>
      <c r="C167" s="233">
        <v>388.16</v>
      </c>
      <c r="D167" s="233">
        <v>279.68</v>
      </c>
      <c r="E167" s="233">
        <v>301.51</v>
      </c>
      <c r="F167" s="233">
        <v>350.89</v>
      </c>
      <c r="G167" s="233">
        <v>436.4</v>
      </c>
      <c r="H167" s="233">
        <v>495.02000000000004</v>
      </c>
      <c r="I167">
        <v>556.74</v>
      </c>
      <c r="J167" s="233">
        <v>563.41</v>
      </c>
      <c r="K167" s="802">
        <v>616.29</v>
      </c>
      <c r="L167">
        <v>657.39</v>
      </c>
      <c r="M167" s="416">
        <v>548.54000000000008</v>
      </c>
    </row>
    <row r="168" spans="1:13" hidden="1">
      <c r="A168" s="9" t="s">
        <v>635</v>
      </c>
      <c r="B168" s="655" t="s">
        <v>381</v>
      </c>
      <c r="C168" s="233">
        <v>369.49</v>
      </c>
      <c r="D168" s="233">
        <v>306.07</v>
      </c>
      <c r="E168" s="233">
        <v>384.09999999999997</v>
      </c>
      <c r="F168" s="233">
        <v>430.41999999999996</v>
      </c>
      <c r="G168" s="233">
        <v>531.1</v>
      </c>
      <c r="H168" s="233">
        <v>507.00753569285177</v>
      </c>
      <c r="I168" s="233">
        <v>564.46713725793518</v>
      </c>
      <c r="J168" s="233">
        <v>626.71</v>
      </c>
      <c r="K168" s="802">
        <v>682.83</v>
      </c>
      <c r="L168">
        <v>725.14</v>
      </c>
      <c r="M168" s="416">
        <v>632.80000000000007</v>
      </c>
    </row>
    <row r="169" spans="1:13" hidden="1">
      <c r="A169" s="9" t="s">
        <v>635</v>
      </c>
      <c r="B169" s="654" t="s">
        <v>387</v>
      </c>
      <c r="C169" s="233">
        <v>366.87</v>
      </c>
      <c r="D169" s="233">
        <v>206.18</v>
      </c>
      <c r="E169" s="233">
        <v>252.23999999999998</v>
      </c>
      <c r="F169" s="233">
        <v>284.88</v>
      </c>
      <c r="G169" s="233">
        <v>353.59</v>
      </c>
      <c r="H169" s="233">
        <v>386.15</v>
      </c>
      <c r="I169">
        <v>430.76</v>
      </c>
      <c r="J169" s="233">
        <v>470.37</v>
      </c>
      <c r="K169" s="802">
        <v>496.86</v>
      </c>
      <c r="L169">
        <v>511.66</v>
      </c>
      <c r="M169" s="416">
        <v>518.32999999999993</v>
      </c>
    </row>
    <row r="170" spans="1:13" hidden="1">
      <c r="A170" s="9" t="s">
        <v>635</v>
      </c>
      <c r="B170" s="655" t="s">
        <v>221</v>
      </c>
      <c r="C170" s="233">
        <v>356.62</v>
      </c>
      <c r="D170" s="233">
        <v>292.43</v>
      </c>
      <c r="E170" s="233">
        <v>336.71</v>
      </c>
      <c r="F170" s="233">
        <v>369</v>
      </c>
      <c r="G170" s="233">
        <v>465.46000000000004</v>
      </c>
      <c r="H170" s="233">
        <v>512.65</v>
      </c>
      <c r="I170">
        <v>555.32000000000005</v>
      </c>
      <c r="J170" s="233">
        <v>609.02</v>
      </c>
      <c r="K170" s="802">
        <v>663.57999999999993</v>
      </c>
      <c r="L170">
        <v>677.53</v>
      </c>
      <c r="M170" s="416">
        <v>632.93999999999994</v>
      </c>
    </row>
    <row r="171" spans="1:13" hidden="1">
      <c r="A171" s="9" t="s">
        <v>635</v>
      </c>
      <c r="B171" s="654" t="s">
        <v>411</v>
      </c>
      <c r="C171" s="233">
        <v>319.74</v>
      </c>
      <c r="D171" s="233">
        <v>262.19</v>
      </c>
      <c r="E171" s="233">
        <v>308.73</v>
      </c>
      <c r="F171" s="233">
        <v>340.03</v>
      </c>
      <c r="G171" s="233">
        <v>401.97</v>
      </c>
      <c r="H171" s="233">
        <v>412.9</v>
      </c>
      <c r="I171">
        <v>460.64</v>
      </c>
      <c r="J171" s="233">
        <v>501.31</v>
      </c>
      <c r="K171" s="802">
        <v>544.1</v>
      </c>
      <c r="L171">
        <v>589.07999999999993</v>
      </c>
      <c r="M171" s="657">
        <v>561.9</v>
      </c>
    </row>
    <row r="172" spans="1:13" hidden="1">
      <c r="A172" s="9" t="s">
        <v>635</v>
      </c>
      <c r="B172" s="655" t="s">
        <v>422</v>
      </c>
      <c r="C172" s="233">
        <v>368.63</v>
      </c>
      <c r="D172" s="233">
        <v>302.27999999999997</v>
      </c>
      <c r="E172" s="233">
        <v>324.70000000000005</v>
      </c>
      <c r="F172" s="233">
        <v>370.55</v>
      </c>
      <c r="G172" s="233">
        <v>458.99</v>
      </c>
      <c r="H172" s="233">
        <v>456.67</v>
      </c>
      <c r="I172">
        <v>541.30999999999995</v>
      </c>
      <c r="J172" s="233">
        <v>543.35</v>
      </c>
      <c r="K172" s="802">
        <v>580.39</v>
      </c>
      <c r="L172">
        <v>610.34</v>
      </c>
      <c r="M172" s="416">
        <v>628.70000000000005</v>
      </c>
    </row>
    <row r="173" spans="1:13" hidden="1">
      <c r="A173" s="9" t="s">
        <v>635</v>
      </c>
      <c r="B173" s="654" t="s">
        <v>222</v>
      </c>
      <c r="C173" s="233">
        <v>346.91</v>
      </c>
      <c r="D173" s="233">
        <v>242</v>
      </c>
      <c r="E173" s="233">
        <v>289.56</v>
      </c>
      <c r="F173" s="233">
        <v>330.23</v>
      </c>
      <c r="G173" s="233">
        <v>413.18</v>
      </c>
      <c r="H173" s="233">
        <v>428.98</v>
      </c>
      <c r="I173">
        <v>522</v>
      </c>
      <c r="J173" s="233">
        <v>599.08000000000004</v>
      </c>
      <c r="K173" s="802">
        <v>655.47</v>
      </c>
      <c r="L173">
        <v>654.13</v>
      </c>
      <c r="M173" s="416">
        <v>721.68</v>
      </c>
    </row>
    <row r="174" spans="1:13" hidden="1">
      <c r="A174" s="9" t="s">
        <v>635</v>
      </c>
      <c r="B174" s="655" t="s">
        <v>433</v>
      </c>
      <c r="C174" s="233">
        <v>366.98</v>
      </c>
      <c r="D174" s="233">
        <v>251.82</v>
      </c>
      <c r="E174" s="233">
        <v>312.01</v>
      </c>
      <c r="F174" s="233">
        <v>335.83</v>
      </c>
      <c r="G174" s="233">
        <v>413.43</v>
      </c>
      <c r="H174" s="233">
        <v>401.35</v>
      </c>
      <c r="I174">
        <v>449.65</v>
      </c>
      <c r="J174" s="233">
        <v>491.34</v>
      </c>
      <c r="K174" s="802">
        <v>523.83000000000004</v>
      </c>
      <c r="L174">
        <v>545.07000000000005</v>
      </c>
      <c r="M174" s="416">
        <v>563.88</v>
      </c>
    </row>
    <row r="175" spans="1:13" hidden="1">
      <c r="A175" s="9" t="s">
        <v>635</v>
      </c>
      <c r="B175" s="654" t="s">
        <v>440</v>
      </c>
      <c r="C175" s="233">
        <v>344.09</v>
      </c>
      <c r="D175" s="233">
        <v>252.56</v>
      </c>
      <c r="E175" s="233">
        <v>299.25</v>
      </c>
      <c r="F175" s="233">
        <v>336.02</v>
      </c>
      <c r="G175" s="233">
        <v>412.58</v>
      </c>
      <c r="H175" s="233">
        <v>430.32</v>
      </c>
      <c r="I175">
        <v>464.97</v>
      </c>
      <c r="J175" s="233">
        <v>510.26</v>
      </c>
      <c r="K175" s="802">
        <v>559.04</v>
      </c>
      <c r="L175">
        <v>605.22</v>
      </c>
      <c r="M175" s="416">
        <v>641.27</v>
      </c>
    </row>
    <row r="176" spans="1:13" hidden="1">
      <c r="A176" s="9" t="s">
        <v>635</v>
      </c>
      <c r="B176" s="655" t="s">
        <v>445</v>
      </c>
      <c r="C176" s="233">
        <v>352.15</v>
      </c>
      <c r="D176" s="233">
        <v>313.41000000000003</v>
      </c>
      <c r="E176" s="233">
        <v>340.76</v>
      </c>
      <c r="F176" s="233">
        <v>300.83000000000004</v>
      </c>
      <c r="G176" s="233">
        <v>367.03999999999996</v>
      </c>
      <c r="H176" s="233">
        <v>352.81</v>
      </c>
      <c r="I176" s="233">
        <v>417.12369966554775</v>
      </c>
      <c r="J176" s="233">
        <v>507.4</v>
      </c>
      <c r="K176" s="802">
        <v>562.51</v>
      </c>
      <c r="L176">
        <v>608.16999999999996</v>
      </c>
      <c r="M176" s="416">
        <v>651.74</v>
      </c>
    </row>
    <row r="177" spans="1:13" hidden="1">
      <c r="A177" s="9" t="s">
        <v>635</v>
      </c>
      <c r="B177" s="654" t="s">
        <v>451</v>
      </c>
      <c r="C177" s="233">
        <v>363.15</v>
      </c>
      <c r="D177" s="233">
        <v>238.56</v>
      </c>
      <c r="E177" s="233">
        <v>279.66000000000003</v>
      </c>
      <c r="F177" s="233">
        <v>327.79999999999995</v>
      </c>
      <c r="G177" s="233">
        <v>404.02</v>
      </c>
      <c r="H177" s="233">
        <v>482.26</v>
      </c>
      <c r="I177">
        <v>521.36</v>
      </c>
      <c r="J177" s="233">
        <v>577.79</v>
      </c>
      <c r="K177" s="802">
        <v>633.44000000000005</v>
      </c>
      <c r="L177">
        <v>707.06999999999994</v>
      </c>
      <c r="M177" s="416">
        <v>705.72</v>
      </c>
    </row>
    <row r="178" spans="1:13" hidden="1">
      <c r="A178" s="9" t="s">
        <v>635</v>
      </c>
      <c r="B178" s="655" t="s">
        <v>456</v>
      </c>
      <c r="C178" s="233">
        <v>313.55</v>
      </c>
      <c r="D178" s="233">
        <v>208.01</v>
      </c>
      <c r="E178" s="233">
        <v>199.54</v>
      </c>
      <c r="F178" s="233">
        <v>227.81</v>
      </c>
      <c r="G178" s="233">
        <v>293.36</v>
      </c>
      <c r="H178" s="233">
        <v>330.82</v>
      </c>
      <c r="I178">
        <v>345.93</v>
      </c>
      <c r="J178" s="233">
        <v>375.68</v>
      </c>
      <c r="K178" s="802">
        <v>419.84</v>
      </c>
      <c r="L178">
        <v>440.52000000000004</v>
      </c>
      <c r="M178" s="416">
        <v>466</v>
      </c>
    </row>
    <row r="179" spans="1:13" hidden="1">
      <c r="A179" s="9" t="s">
        <v>635</v>
      </c>
      <c r="B179" s="654" t="s">
        <v>461</v>
      </c>
      <c r="C179" s="233">
        <v>368.84</v>
      </c>
      <c r="D179" s="233">
        <v>321.41000000000003</v>
      </c>
      <c r="E179" s="233">
        <v>293.41000000000003</v>
      </c>
      <c r="F179" s="233">
        <v>293.20000000000005</v>
      </c>
      <c r="G179" s="233">
        <v>369.56</v>
      </c>
      <c r="H179" s="233">
        <v>364.44</v>
      </c>
      <c r="I179">
        <v>507.27</v>
      </c>
      <c r="J179" s="233">
        <v>552.46</v>
      </c>
      <c r="K179" s="802">
        <v>620.12</v>
      </c>
      <c r="L179">
        <v>691.03000000000009</v>
      </c>
      <c r="M179" s="416">
        <v>729.03</v>
      </c>
    </row>
    <row r="180" spans="1:13" hidden="1">
      <c r="A180" s="9" t="s">
        <v>635</v>
      </c>
      <c r="B180" s="655" t="s">
        <v>225</v>
      </c>
      <c r="C180" s="233">
        <v>318.97000000000003</v>
      </c>
      <c r="D180" s="233">
        <v>222.08</v>
      </c>
      <c r="E180" s="233">
        <v>208.08</v>
      </c>
      <c r="F180" s="233">
        <v>214.45</v>
      </c>
      <c r="G180" s="233">
        <v>249.71</v>
      </c>
      <c r="H180" s="233">
        <v>296.18</v>
      </c>
      <c r="I180">
        <v>309.25</v>
      </c>
      <c r="J180" s="233">
        <v>338.07</v>
      </c>
      <c r="K180" s="802">
        <v>387.09</v>
      </c>
      <c r="L180">
        <v>395.17</v>
      </c>
      <c r="M180" s="416">
        <v>403.03</v>
      </c>
    </row>
    <row r="181" spans="1:13" hidden="1">
      <c r="A181" s="9" t="s">
        <v>635</v>
      </c>
      <c r="B181" s="654" t="s">
        <v>470</v>
      </c>
      <c r="C181" s="233">
        <v>310.13</v>
      </c>
      <c r="D181" s="233">
        <v>259.92</v>
      </c>
      <c r="E181" s="233">
        <v>296.12</v>
      </c>
      <c r="F181" s="233">
        <v>275.63</v>
      </c>
      <c r="G181" s="233">
        <v>347.7</v>
      </c>
      <c r="H181" s="233">
        <v>314.48</v>
      </c>
      <c r="I181">
        <v>356.72</v>
      </c>
      <c r="J181" s="233">
        <v>429.12</v>
      </c>
      <c r="K181" s="802">
        <v>468.2</v>
      </c>
      <c r="L181">
        <v>502.33000000000004</v>
      </c>
      <c r="M181" s="416">
        <v>550.72</v>
      </c>
    </row>
    <row r="182" spans="1:13" hidden="1">
      <c r="A182" s="9" t="s">
        <v>635</v>
      </c>
      <c r="B182" s="655" t="s">
        <v>477</v>
      </c>
      <c r="C182" s="233">
        <v>369.8</v>
      </c>
      <c r="D182" s="233">
        <v>231.9</v>
      </c>
      <c r="E182" s="233">
        <v>286.64999999999998</v>
      </c>
      <c r="F182" s="233">
        <v>323.81</v>
      </c>
      <c r="G182" s="233">
        <v>401.27</v>
      </c>
      <c r="H182" s="233">
        <v>420.08</v>
      </c>
      <c r="I182">
        <v>440.25</v>
      </c>
      <c r="J182" s="233">
        <v>475.41</v>
      </c>
      <c r="K182" s="802">
        <v>506.32999999999993</v>
      </c>
      <c r="L182">
        <v>538.1</v>
      </c>
      <c r="M182" s="416">
        <v>614.15</v>
      </c>
    </row>
    <row r="183" spans="1:13" hidden="1">
      <c r="A183" s="9" t="s">
        <v>635</v>
      </c>
      <c r="B183" s="654" t="s">
        <v>482</v>
      </c>
      <c r="C183" s="233">
        <v>364.86</v>
      </c>
      <c r="D183" s="233">
        <v>226.34</v>
      </c>
      <c r="E183" s="233">
        <v>282.91999999999996</v>
      </c>
      <c r="F183" s="233">
        <v>312.21999999999997</v>
      </c>
      <c r="G183" s="233">
        <v>384.17</v>
      </c>
      <c r="H183" s="233">
        <v>475.53</v>
      </c>
      <c r="I183">
        <v>505.03</v>
      </c>
      <c r="J183" s="233">
        <v>557.01</v>
      </c>
      <c r="K183" s="802">
        <v>592.26</v>
      </c>
      <c r="L183">
        <v>622.27</v>
      </c>
      <c r="M183" s="416">
        <v>648.42999999999995</v>
      </c>
    </row>
    <row r="184" spans="1:13" hidden="1">
      <c r="A184" s="9" t="s">
        <v>635</v>
      </c>
      <c r="B184" s="655" t="s">
        <v>212</v>
      </c>
      <c r="C184" s="233">
        <v>458.59</v>
      </c>
      <c r="D184" s="233">
        <v>323.39</v>
      </c>
      <c r="E184" s="233">
        <v>339.78</v>
      </c>
      <c r="F184" s="233">
        <v>301.13</v>
      </c>
      <c r="G184" s="233">
        <v>344.61</v>
      </c>
      <c r="H184" s="233">
        <v>363.7</v>
      </c>
      <c r="I184">
        <v>415.73</v>
      </c>
      <c r="J184" s="233">
        <v>454.61</v>
      </c>
      <c r="K184" s="802">
        <v>514.23</v>
      </c>
      <c r="L184">
        <v>496.95</v>
      </c>
      <c r="M184" s="416">
        <v>539.69000000000005</v>
      </c>
    </row>
    <row r="185" spans="1:13" hidden="1">
      <c r="A185" s="9" t="s">
        <v>635</v>
      </c>
      <c r="B185" s="654" t="s">
        <v>487</v>
      </c>
      <c r="C185" s="233">
        <v>482.42</v>
      </c>
      <c r="D185" s="233">
        <v>334.28</v>
      </c>
      <c r="E185" s="233">
        <v>369.17</v>
      </c>
      <c r="F185" s="233">
        <v>405.12</v>
      </c>
      <c r="G185" s="233">
        <v>495.76</v>
      </c>
      <c r="H185" s="233">
        <v>469.76</v>
      </c>
      <c r="I185" s="233">
        <v>537.92999999999995</v>
      </c>
      <c r="J185" s="233">
        <v>568.73030731554422</v>
      </c>
      <c r="K185" s="802">
        <v>666.96</v>
      </c>
      <c r="L185">
        <v>631.15</v>
      </c>
      <c r="M185" s="416">
        <v>604.07000000000005</v>
      </c>
    </row>
    <row r="186" spans="1:13" hidden="1">
      <c r="A186" s="9" t="s">
        <v>635</v>
      </c>
      <c r="B186" s="655" t="s">
        <v>499</v>
      </c>
      <c r="C186" s="233">
        <v>404.46</v>
      </c>
      <c r="D186" s="233">
        <v>265.99</v>
      </c>
      <c r="E186" s="233">
        <v>404.46</v>
      </c>
      <c r="F186" s="233">
        <v>305.14</v>
      </c>
      <c r="G186" s="233">
        <v>393.10271432926857</v>
      </c>
      <c r="H186" s="233">
        <v>393.1</v>
      </c>
      <c r="I186">
        <v>551.04</v>
      </c>
      <c r="J186" s="233">
        <v>595.99</v>
      </c>
      <c r="K186" s="802">
        <v>616.19999999999993</v>
      </c>
      <c r="L186">
        <f>357.43+226.05</f>
        <v>583.48</v>
      </c>
      <c r="M186" s="416">
        <v>521.44999999999993</v>
      </c>
    </row>
    <row r="187" spans="1:13" hidden="1">
      <c r="A187" s="9" t="s">
        <v>635</v>
      </c>
      <c r="B187" s="654" t="s">
        <v>238</v>
      </c>
      <c r="C187" s="233">
        <v>369.38</v>
      </c>
      <c r="D187" s="233">
        <v>287.44</v>
      </c>
      <c r="E187" s="233">
        <v>297.12</v>
      </c>
      <c r="F187" s="233">
        <v>269.27</v>
      </c>
      <c r="G187" s="233">
        <v>373.22999999999996</v>
      </c>
      <c r="H187" s="233">
        <v>358.46</v>
      </c>
      <c r="I187">
        <v>384</v>
      </c>
      <c r="J187">
        <v>422.87</v>
      </c>
      <c r="K187" s="802">
        <v>458.66</v>
      </c>
      <c r="L187">
        <v>484.06</v>
      </c>
      <c r="M187" s="416">
        <v>508.88999999999993</v>
      </c>
    </row>
    <row r="188" spans="1:13" hidden="1">
      <c r="A188" s="9" t="s">
        <v>635</v>
      </c>
      <c r="B188" s="655" t="s">
        <v>510</v>
      </c>
      <c r="C188" s="233">
        <v>449.12</v>
      </c>
      <c r="D188" s="233">
        <v>302.11</v>
      </c>
      <c r="E188" s="233">
        <v>344.88</v>
      </c>
      <c r="F188" s="233">
        <v>366.2</v>
      </c>
      <c r="G188" s="233">
        <v>450.46000000000004</v>
      </c>
      <c r="H188" s="233">
        <v>424.82695202870184</v>
      </c>
      <c r="I188">
        <v>507.06</v>
      </c>
      <c r="J188">
        <v>452.06</v>
      </c>
      <c r="K188" s="802">
        <v>503.84</v>
      </c>
      <c r="L188">
        <v>506.04</v>
      </c>
      <c r="M188" s="416">
        <v>514.01</v>
      </c>
    </row>
    <row r="189" spans="1:13" hidden="1">
      <c r="A189" s="9" t="s">
        <v>635</v>
      </c>
      <c r="B189" s="654" t="s">
        <v>515</v>
      </c>
      <c r="C189" s="233">
        <v>405.06</v>
      </c>
      <c r="D189" s="233">
        <v>283</v>
      </c>
      <c r="E189" s="233">
        <v>323.12</v>
      </c>
      <c r="F189" s="233">
        <v>325.23</v>
      </c>
      <c r="G189" s="233">
        <v>414.44</v>
      </c>
      <c r="H189" s="233">
        <v>402.86</v>
      </c>
      <c r="I189">
        <v>497.26</v>
      </c>
      <c r="J189">
        <v>525.89</v>
      </c>
      <c r="K189" s="802">
        <v>571.18000000000006</v>
      </c>
      <c r="L189">
        <f>279.82+218.08</f>
        <v>497.9</v>
      </c>
      <c r="M189" s="416">
        <v>458.09</v>
      </c>
    </row>
    <row r="190" spans="1:13" hidden="1">
      <c r="A190" s="9" t="s">
        <v>635</v>
      </c>
      <c r="B190" s="655" t="s">
        <v>211</v>
      </c>
      <c r="C190" s="233">
        <v>449.12</v>
      </c>
      <c r="D190" s="233">
        <v>302.11</v>
      </c>
      <c r="E190" s="233">
        <v>344.88</v>
      </c>
      <c r="F190" s="233">
        <v>366.2</v>
      </c>
      <c r="G190" s="233">
        <v>471.76</v>
      </c>
      <c r="H190" s="233">
        <v>434.78</v>
      </c>
      <c r="I190">
        <v>498.87</v>
      </c>
      <c r="J190">
        <v>538.66999999999996</v>
      </c>
      <c r="K190" s="802">
        <v>592.31999999999994</v>
      </c>
      <c r="L190">
        <v>573.04999999999995</v>
      </c>
      <c r="M190" s="416">
        <v>611.82000000000005</v>
      </c>
    </row>
    <row r="191" spans="1:13" hidden="1">
      <c r="A191" s="9" t="s">
        <v>635</v>
      </c>
      <c r="B191" s="654" t="s">
        <v>526</v>
      </c>
      <c r="C191" s="233">
        <v>421.37</v>
      </c>
      <c r="D191" s="233">
        <v>303.04000000000002</v>
      </c>
      <c r="E191" s="233">
        <v>315.06</v>
      </c>
      <c r="F191" s="233">
        <v>383.55</v>
      </c>
      <c r="G191" s="233">
        <v>462.38</v>
      </c>
      <c r="H191" s="233">
        <v>421.46</v>
      </c>
      <c r="I191">
        <v>466.23</v>
      </c>
      <c r="J191">
        <v>550.96</v>
      </c>
      <c r="K191" s="802">
        <v>607.33000000000004</v>
      </c>
      <c r="L191">
        <v>642.19000000000005</v>
      </c>
      <c r="M191" s="416">
        <v>700.57</v>
      </c>
    </row>
    <row r="192" spans="1:13" hidden="1">
      <c r="A192" s="9" t="s">
        <v>635</v>
      </c>
      <c r="B192" s="655" t="s">
        <v>406</v>
      </c>
      <c r="C192" s="233">
        <v>334.38</v>
      </c>
      <c r="D192" s="233">
        <v>229.56</v>
      </c>
      <c r="E192" s="233">
        <v>280.39</v>
      </c>
      <c r="F192" s="233">
        <v>226.26999999999998</v>
      </c>
      <c r="G192" s="233">
        <v>319.52999999999997</v>
      </c>
      <c r="H192" s="233">
        <v>347.1</v>
      </c>
      <c r="I192">
        <v>389.73</v>
      </c>
      <c r="J192">
        <v>444.4</v>
      </c>
      <c r="K192" s="802">
        <v>469.96</v>
      </c>
      <c r="L192">
        <v>496.82</v>
      </c>
      <c r="M192" s="416">
        <v>587.54</v>
      </c>
    </row>
    <row r="193" spans="1:16" hidden="1">
      <c r="A193" s="9" t="s">
        <v>635</v>
      </c>
      <c r="B193" s="654" t="s">
        <v>219</v>
      </c>
      <c r="C193" s="233">
        <v>535.47</v>
      </c>
      <c r="D193" s="233">
        <v>338.98</v>
      </c>
      <c r="E193" s="233">
        <v>535.47</v>
      </c>
      <c r="F193" s="233">
        <v>372.87</v>
      </c>
      <c r="G193" s="233">
        <v>533.08000000000004</v>
      </c>
      <c r="H193" s="233">
        <v>533.08000000000004</v>
      </c>
      <c r="I193">
        <v>692.29</v>
      </c>
      <c r="J193">
        <v>764.98</v>
      </c>
      <c r="K193" s="802">
        <v>884.76</v>
      </c>
      <c r="L193">
        <f>763.76+204.91</f>
        <v>968.67</v>
      </c>
      <c r="M193">
        <v>1025.47</v>
      </c>
    </row>
    <row r="194" spans="1:16" hidden="1">
      <c r="A194" s="9" t="s">
        <v>635</v>
      </c>
      <c r="B194" s="656" t="s">
        <v>421</v>
      </c>
      <c r="C194" s="233">
        <v>363.71</v>
      </c>
      <c r="D194" s="233">
        <v>298.24</v>
      </c>
      <c r="E194" s="233">
        <v>363.71</v>
      </c>
      <c r="F194" s="233">
        <v>396.87</v>
      </c>
      <c r="G194" s="233">
        <v>454.81272598997919</v>
      </c>
      <c r="H194" s="233">
        <v>546.46</v>
      </c>
      <c r="I194">
        <v>681.93</v>
      </c>
      <c r="J194">
        <v>744.47</v>
      </c>
      <c r="K194" s="802">
        <v>782.78000000000009</v>
      </c>
      <c r="L194">
        <f>513.49+240.36</f>
        <v>753.85</v>
      </c>
      <c r="M194" s="416">
        <v>761.28</v>
      </c>
    </row>
    <row r="195" spans="1:16" hidden="1">
      <c r="A195" s="9" t="s">
        <v>635</v>
      </c>
      <c r="B195" s="507" t="s">
        <v>416</v>
      </c>
      <c r="C195" s="233"/>
      <c r="D195" s="233"/>
      <c r="E195" s="233"/>
      <c r="F195" s="233"/>
      <c r="G195" s="233"/>
      <c r="H195" s="233"/>
      <c r="J195">
        <f>615+203.54</f>
        <v>818.54</v>
      </c>
      <c r="K195" s="802">
        <v>894.62</v>
      </c>
      <c r="L195">
        <f>765.89+213.34</f>
        <v>979.23</v>
      </c>
      <c r="M195">
        <v>1023.74</v>
      </c>
    </row>
    <row r="196" spans="1:16" hidden="1">
      <c r="A196" s="9" t="s">
        <v>635</v>
      </c>
      <c r="B196" s="507" t="s">
        <v>233</v>
      </c>
      <c r="C196" s="233"/>
      <c r="D196" s="233"/>
      <c r="E196" s="233"/>
      <c r="F196" s="233"/>
      <c r="G196" s="233"/>
      <c r="H196" s="233"/>
      <c r="J196">
        <f>664.33+206.1</f>
        <v>870.43000000000006</v>
      </c>
      <c r="K196" s="802">
        <v>950.33</v>
      </c>
      <c r="L196">
        <v>1054.05</v>
      </c>
      <c r="M196">
        <v>1107.67</v>
      </c>
      <c r="N196" s="233"/>
    </row>
    <row r="197" spans="1:16" hidden="1">
      <c r="A197" s="9" t="s">
        <v>635</v>
      </c>
      <c r="B197" s="507" t="s">
        <v>439</v>
      </c>
      <c r="C197" s="233"/>
      <c r="D197" s="233"/>
      <c r="E197" s="233"/>
      <c r="F197" s="233"/>
      <c r="G197" s="233"/>
      <c r="H197" s="233"/>
      <c r="J197">
        <f>301.06+226.53</f>
        <v>527.59</v>
      </c>
      <c r="K197" s="802">
        <v>562.08000000000004</v>
      </c>
      <c r="L197">
        <v>611.43999999999994</v>
      </c>
      <c r="M197" s="416">
        <v>660.43</v>
      </c>
      <c r="N197" s="8"/>
    </row>
    <row r="198" spans="1:16" hidden="1">
      <c r="A198" s="9" t="s">
        <v>635</v>
      </c>
      <c r="B198" s="507" t="s">
        <v>543</v>
      </c>
      <c r="C198" s="233"/>
      <c r="D198" s="233"/>
      <c r="E198" s="233"/>
      <c r="F198" s="233"/>
      <c r="G198" s="233"/>
      <c r="H198" s="233"/>
      <c r="J198">
        <f>307.78+191.1</f>
        <v>498.88</v>
      </c>
      <c r="K198" s="802">
        <v>528.30999999999995</v>
      </c>
      <c r="L198">
        <v>564.45999999999992</v>
      </c>
      <c r="M198" s="416">
        <v>597.03</v>
      </c>
      <c r="N198" s="8"/>
    </row>
    <row r="199" spans="1:16" hidden="1">
      <c r="A199" s="9" t="s">
        <v>635</v>
      </c>
      <c r="B199" s="507" t="s">
        <v>334</v>
      </c>
      <c r="C199" s="233"/>
      <c r="D199" s="233"/>
      <c r="E199" s="233"/>
      <c r="F199" s="233"/>
      <c r="G199" s="233"/>
      <c r="H199" s="233"/>
      <c r="J199">
        <f>168.45+162.56</f>
        <v>331.01</v>
      </c>
      <c r="K199" s="802">
        <v>350.78999999999996</v>
      </c>
      <c r="L199">
        <v>369.5</v>
      </c>
      <c r="M199" s="416">
        <v>424.29</v>
      </c>
      <c r="N199" s="8"/>
    </row>
    <row r="200" spans="1:16" hidden="1">
      <c r="A200" s="9" t="s">
        <v>635</v>
      </c>
      <c r="B200" s="507" t="s">
        <v>558</v>
      </c>
      <c r="C200" s="233"/>
      <c r="D200" s="233"/>
      <c r="E200" s="233"/>
      <c r="F200" s="233"/>
      <c r="G200" s="233"/>
      <c r="H200" s="233"/>
      <c r="J200">
        <f>439.25+192.21</f>
        <v>631.46</v>
      </c>
      <c r="K200" s="802">
        <v>667.26</v>
      </c>
      <c r="L200">
        <v>648.54999999999995</v>
      </c>
      <c r="M200" s="416">
        <v>635.66</v>
      </c>
      <c r="N200" s="8"/>
    </row>
    <row r="201" spans="1:16" hidden="1">
      <c r="A201" s="9" t="s">
        <v>635</v>
      </c>
      <c r="B201" s="507" t="s">
        <v>223</v>
      </c>
      <c r="C201" s="233"/>
      <c r="D201" s="233"/>
      <c r="E201" s="233"/>
      <c r="F201" s="233"/>
      <c r="G201" s="233"/>
      <c r="H201" s="233"/>
      <c r="J201">
        <f>171.47+169.46</f>
        <v>340.93</v>
      </c>
      <c r="K201" s="802">
        <v>374.59</v>
      </c>
      <c r="L201">
        <v>366.5</v>
      </c>
      <c r="M201" s="416">
        <v>409.78999999999996</v>
      </c>
      <c r="N201" s="8"/>
    </row>
    <row r="202" spans="1:16" hidden="1">
      <c r="A202" s="9" t="s">
        <v>635</v>
      </c>
      <c r="B202" s="507" t="s">
        <v>521</v>
      </c>
      <c r="C202" s="233"/>
      <c r="D202" s="233"/>
      <c r="E202" s="233"/>
      <c r="F202" s="233"/>
      <c r="G202" s="233"/>
      <c r="H202" s="233"/>
      <c r="J202">
        <f>340.97+179.98</f>
        <v>520.95000000000005</v>
      </c>
      <c r="K202" s="802">
        <v>564.18000000000006</v>
      </c>
      <c r="L202">
        <v>604.55000000000007</v>
      </c>
      <c r="M202" s="416">
        <v>472.58</v>
      </c>
      <c r="N202" s="8"/>
    </row>
    <row r="203" spans="1:16" hidden="1">
      <c r="A203" s="9" t="s">
        <v>635</v>
      </c>
      <c r="B203" s="507" t="s">
        <v>569</v>
      </c>
      <c r="C203" s="233"/>
      <c r="D203" s="233"/>
      <c r="E203" s="233"/>
      <c r="F203" s="233"/>
      <c r="G203" s="233"/>
      <c r="H203" s="233"/>
      <c r="J203">
        <f>190.47+169.91</f>
        <v>360.38</v>
      </c>
      <c r="K203" s="802">
        <v>386.85</v>
      </c>
      <c r="L203">
        <v>418.26000000000005</v>
      </c>
      <c r="M203" s="416">
        <v>463.75</v>
      </c>
      <c r="N203" s="8"/>
    </row>
    <row r="204" spans="1:16" hidden="1">
      <c r="A204" s="9" t="s">
        <v>635</v>
      </c>
      <c r="B204" s="507" t="s">
        <v>606</v>
      </c>
      <c r="C204" s="233"/>
      <c r="D204" s="233"/>
      <c r="E204" s="233"/>
      <c r="F204" s="233"/>
      <c r="G204" s="233"/>
      <c r="H204" s="233"/>
      <c r="J204">
        <f>342.7+181.1</f>
        <v>523.79999999999995</v>
      </c>
      <c r="K204" s="802">
        <v>559.9</v>
      </c>
      <c r="L204">
        <f>357.17+229.26</f>
        <v>586.43000000000006</v>
      </c>
      <c r="M204" s="416">
        <v>662.51</v>
      </c>
      <c r="N204" s="8"/>
    </row>
    <row r="205" spans="1:16" hidden="1">
      <c r="A205" s="9" t="s">
        <v>635</v>
      </c>
      <c r="B205" s="507" t="s">
        <v>666</v>
      </c>
      <c r="C205" s="233"/>
      <c r="D205" s="233"/>
      <c r="E205" s="233"/>
      <c r="F205" s="233"/>
      <c r="G205" s="233"/>
      <c r="H205" s="233"/>
      <c r="J205">
        <f>339.3+208.3</f>
        <v>547.6</v>
      </c>
      <c r="K205" s="802">
        <v>595.43999999999994</v>
      </c>
      <c r="L205">
        <f>413.48+197.81</f>
        <v>611.29</v>
      </c>
      <c r="M205" s="416">
        <v>640.98</v>
      </c>
    </row>
    <row r="206" spans="1:16" hidden="1">
      <c r="A206" s="9" t="s">
        <v>635</v>
      </c>
      <c r="B206" s="507" t="s">
        <v>599</v>
      </c>
      <c r="C206" s="233"/>
      <c r="D206" s="233"/>
      <c r="E206" s="233"/>
      <c r="F206" s="233"/>
      <c r="G206" s="233"/>
      <c r="H206" s="233"/>
      <c r="J206">
        <f>515.49+163.34</f>
        <v>678.83</v>
      </c>
      <c r="K206" s="802">
        <v>735.09</v>
      </c>
      <c r="L206">
        <f>616.69+148.58</f>
        <v>765.2700000000001</v>
      </c>
      <c r="M206" s="416">
        <v>815.69</v>
      </c>
    </row>
    <row r="207" spans="1:16" hidden="1">
      <c r="A207" s="265" t="s">
        <v>635</v>
      </c>
      <c r="B207" s="798" t="s">
        <v>374</v>
      </c>
      <c r="C207" s="233"/>
      <c r="D207" s="233"/>
      <c r="E207" s="233"/>
      <c r="F207" s="233"/>
      <c r="G207" s="233"/>
      <c r="H207" s="233"/>
      <c r="K207" s="802">
        <v>470.82</v>
      </c>
      <c r="L207">
        <f>281.75+226.45</f>
        <v>508.2</v>
      </c>
      <c r="M207" s="416">
        <v>536.98</v>
      </c>
    </row>
    <row r="208" spans="1:16" hidden="1">
      <c r="A208" s="265" t="s">
        <v>635</v>
      </c>
      <c r="B208" s="798" t="s">
        <v>367</v>
      </c>
      <c r="C208" s="233"/>
      <c r="D208" s="233"/>
      <c r="E208" s="233"/>
      <c r="F208" s="233"/>
      <c r="G208" s="233"/>
      <c r="H208" s="233"/>
      <c r="K208" s="802"/>
      <c r="L208">
        <f>357.76+231.81</f>
        <v>589.56999999999994</v>
      </c>
      <c r="M208" s="416">
        <v>677.96999999999991</v>
      </c>
      <c r="O208" s="839" t="s">
        <v>667</v>
      </c>
      <c r="P208" s="840">
        <v>968.67</v>
      </c>
    </row>
    <row r="209" spans="1:50" hidden="1">
      <c r="A209" s="9" t="s">
        <v>25</v>
      </c>
      <c r="B209" s="486" t="s">
        <v>200</v>
      </c>
      <c r="C209" s="233">
        <v>427.01</v>
      </c>
      <c r="D209" s="233">
        <v>350.15</v>
      </c>
      <c r="E209" s="233">
        <v>391.91</v>
      </c>
      <c r="F209" s="233">
        <v>389.30999999999995</v>
      </c>
      <c r="G209" s="233">
        <v>506.91999999999996</v>
      </c>
      <c r="H209" s="233">
        <v>541.95000000000005</v>
      </c>
      <c r="I209">
        <v>507.61</v>
      </c>
      <c r="J209">
        <v>622.61</v>
      </c>
      <c r="K209" s="802">
        <f>397.32+270.9</f>
        <v>668.22</v>
      </c>
      <c r="L209">
        <v>683.67</v>
      </c>
      <c r="M209" s="516">
        <v>714.43999999999994</v>
      </c>
      <c r="N209">
        <v>838.02</v>
      </c>
      <c r="O209" s="839" t="s">
        <v>668</v>
      </c>
      <c r="P209" s="840" t="e">
        <v>#N/A</v>
      </c>
    </row>
    <row r="210" spans="1:50" hidden="1">
      <c r="A210" s="9" t="s">
        <v>25</v>
      </c>
      <c r="B210" s="486" t="s">
        <v>226</v>
      </c>
      <c r="C210" s="233">
        <v>313.8</v>
      </c>
      <c r="D210" s="233">
        <v>255.8</v>
      </c>
      <c r="E210" s="233">
        <v>288.68</v>
      </c>
      <c r="F210" s="233">
        <v>353.49</v>
      </c>
      <c r="G210" s="233">
        <v>444.36</v>
      </c>
      <c r="H210" s="233">
        <v>431.42</v>
      </c>
      <c r="I210">
        <v>459.85</v>
      </c>
      <c r="J210">
        <f>208.72+311.77</f>
        <v>520.49</v>
      </c>
      <c r="K210" s="802">
        <v>469.78</v>
      </c>
      <c r="L210">
        <v>505.99000000000007</v>
      </c>
      <c r="M210" s="416">
        <v>532.24</v>
      </c>
      <c r="O210" s="839" t="s">
        <v>669</v>
      </c>
      <c r="P210" s="840" t="e">
        <v>#N/A</v>
      </c>
    </row>
    <row r="211" spans="1:50" hidden="1">
      <c r="A211" s="9" t="s">
        <v>25</v>
      </c>
      <c r="B211" s="486" t="s">
        <v>162</v>
      </c>
      <c r="C211" s="233">
        <v>338.46</v>
      </c>
      <c r="D211" s="233">
        <v>271.8</v>
      </c>
      <c r="E211" s="233">
        <v>282.32</v>
      </c>
      <c r="F211" s="233">
        <v>328.86</v>
      </c>
      <c r="G211" s="233">
        <v>424.02</v>
      </c>
      <c r="H211" s="233">
        <v>418.87</v>
      </c>
      <c r="I211" s="233">
        <v>432.96262292463598</v>
      </c>
      <c r="J211">
        <v>432.96</v>
      </c>
      <c r="K211" s="486">
        <f>252.99+244.36</f>
        <v>497.35</v>
      </c>
      <c r="L211">
        <v>513.89</v>
      </c>
      <c r="M211" s="416">
        <v>572.45999999999992</v>
      </c>
      <c r="O211" s="839" t="s">
        <v>670</v>
      </c>
      <c r="P211" s="840" t="e">
        <v>#N/A</v>
      </c>
    </row>
    <row r="212" spans="1:50" hidden="1">
      <c r="A212" s="9" t="s">
        <v>25</v>
      </c>
      <c r="B212" s="486" t="s">
        <v>651</v>
      </c>
      <c r="C212" s="233">
        <v>296.26</v>
      </c>
      <c r="D212" s="233">
        <v>242.58</v>
      </c>
      <c r="E212" s="233">
        <v>263.55</v>
      </c>
      <c r="F212" s="233">
        <v>326.37</v>
      </c>
      <c r="G212" s="233">
        <v>492.31</v>
      </c>
      <c r="H212" s="233">
        <v>421.47</v>
      </c>
      <c r="I212">
        <v>440.56</v>
      </c>
      <c r="J212">
        <v>507.52</v>
      </c>
      <c r="K212" s="802">
        <v>517.61</v>
      </c>
      <c r="L212">
        <v>512.77</v>
      </c>
      <c r="M212" s="416">
        <v>558.81000000000006</v>
      </c>
      <c r="O212" s="839" t="s">
        <v>671</v>
      </c>
      <c r="P212" s="840" t="e">
        <v>#N/A</v>
      </c>
    </row>
    <row r="213" spans="1:50" hidden="1">
      <c r="A213" s="9" t="s">
        <v>25</v>
      </c>
      <c r="B213" s="486" t="s">
        <v>187</v>
      </c>
      <c r="C213" s="233">
        <v>276.20999999999998</v>
      </c>
      <c r="D213" s="233">
        <v>272.12</v>
      </c>
      <c r="E213" s="233">
        <v>316.86</v>
      </c>
      <c r="F213" s="233">
        <v>316.86</v>
      </c>
      <c r="G213" s="233">
        <v>419.64</v>
      </c>
      <c r="H213" s="233">
        <v>447.18999999999994</v>
      </c>
      <c r="I213">
        <v>404.17</v>
      </c>
      <c r="J213">
        <v>484.63</v>
      </c>
      <c r="K213" s="802">
        <v>523.02</v>
      </c>
      <c r="L213">
        <v>550.20000000000005</v>
      </c>
      <c r="M213">
        <v>595.66</v>
      </c>
      <c r="N213">
        <v>678.65</v>
      </c>
      <c r="O213" s="839" t="s">
        <v>672</v>
      </c>
      <c r="P213" s="840" t="e">
        <v>#N/A</v>
      </c>
    </row>
    <row r="214" spans="1:50" hidden="1">
      <c r="A214" s="9" t="s">
        <v>25</v>
      </c>
      <c r="B214" s="486" t="s">
        <v>215</v>
      </c>
      <c r="C214" s="233">
        <v>314.83999999999997</v>
      </c>
      <c r="D214" s="233">
        <v>256.94</v>
      </c>
      <c r="E214" s="233">
        <v>278.24</v>
      </c>
      <c r="F214" s="233">
        <v>336.65</v>
      </c>
      <c r="G214" s="233">
        <v>510.81000000000006</v>
      </c>
      <c r="H214" s="233">
        <v>411.1</v>
      </c>
      <c r="I214">
        <v>465.66</v>
      </c>
      <c r="J214">
        <v>552.91999999999996</v>
      </c>
      <c r="K214" s="802">
        <v>490.18</v>
      </c>
      <c r="L214">
        <v>533.54999999999995</v>
      </c>
      <c r="M214" s="416">
        <v>619.94000000000005</v>
      </c>
      <c r="O214" s="839" t="s">
        <v>673</v>
      </c>
      <c r="P214" s="840">
        <v>586.86</v>
      </c>
    </row>
    <row r="215" spans="1:50" hidden="1">
      <c r="A215" s="9" t="s">
        <v>25</v>
      </c>
      <c r="B215" s="486" t="s">
        <v>241</v>
      </c>
      <c r="C215">
        <v>399.38</v>
      </c>
      <c r="D215">
        <v>287.81</v>
      </c>
      <c r="E215">
        <v>260.7</v>
      </c>
      <c r="F215">
        <v>340.07</v>
      </c>
      <c r="G215">
        <v>438.55</v>
      </c>
      <c r="H215">
        <v>521.33000000000004</v>
      </c>
      <c r="I215">
        <v>466.99</v>
      </c>
      <c r="J215">
        <v>491.45</v>
      </c>
      <c r="K215" s="802">
        <f>303.99+243.7</f>
        <v>547.69000000000005</v>
      </c>
      <c r="L215">
        <v>541.15</v>
      </c>
      <c r="M215" s="845">
        <v>564.97</v>
      </c>
      <c r="N215">
        <v>606.77</v>
      </c>
      <c r="O215" s="839" t="s">
        <v>674</v>
      </c>
      <c r="P215" s="840" t="e">
        <v>#N/A</v>
      </c>
    </row>
    <row r="216" spans="1:50" hidden="1">
      <c r="A216" s="9" t="s">
        <v>25</v>
      </c>
      <c r="B216" s="486" t="s">
        <v>326</v>
      </c>
      <c r="C216">
        <v>348.94</v>
      </c>
      <c r="D216">
        <v>285.86</v>
      </c>
      <c r="E216">
        <v>304.94</v>
      </c>
      <c r="F216">
        <v>367.77</v>
      </c>
      <c r="G216">
        <v>500.57</v>
      </c>
      <c r="H216">
        <v>402.99</v>
      </c>
      <c r="I216" s="657">
        <v>487.3</v>
      </c>
      <c r="J216">
        <f>241.74+319.79</f>
        <v>561.53</v>
      </c>
      <c r="K216" s="802">
        <v>525.73</v>
      </c>
      <c r="L216" s="657">
        <v>546.10945347732809</v>
      </c>
      <c r="M216" s="416">
        <v>635.92000000000007</v>
      </c>
      <c r="N216" s="838"/>
      <c r="O216" s="839" t="s">
        <v>675</v>
      </c>
      <c r="P216" s="840" t="e">
        <v>#N/A</v>
      </c>
    </row>
    <row r="217" spans="1:50" hidden="1">
      <c r="A217" s="9" t="s">
        <v>25</v>
      </c>
      <c r="B217" s="486" t="s">
        <v>201</v>
      </c>
      <c r="C217">
        <v>352.17</v>
      </c>
      <c r="D217">
        <v>287.13</v>
      </c>
      <c r="E217">
        <v>311.88</v>
      </c>
      <c r="F217">
        <v>423.27</v>
      </c>
      <c r="G217">
        <v>510.40999999999997</v>
      </c>
      <c r="H217">
        <v>464.88</v>
      </c>
      <c r="I217">
        <v>479.14</v>
      </c>
      <c r="J217">
        <v>601.79</v>
      </c>
      <c r="K217" s="802">
        <v>531.87</v>
      </c>
      <c r="L217" s="657">
        <v>555.04999999999995</v>
      </c>
      <c r="M217" s="416">
        <v>622.58000000000004</v>
      </c>
      <c r="O217" s="839" t="s">
        <v>676</v>
      </c>
      <c r="P217" s="840" t="e">
        <v>#N/A</v>
      </c>
    </row>
    <row r="218" spans="1:50">
      <c r="A218" s="9" t="s">
        <v>25</v>
      </c>
      <c r="B218" s="486" t="s">
        <v>358</v>
      </c>
      <c r="C218">
        <v>291.14</v>
      </c>
      <c r="D218">
        <v>238.01</v>
      </c>
      <c r="E218">
        <v>238.44</v>
      </c>
      <c r="F218">
        <v>290.16000000000003</v>
      </c>
      <c r="G218">
        <v>436.11</v>
      </c>
      <c r="H218">
        <v>404.43</v>
      </c>
      <c r="I218">
        <v>419.61</v>
      </c>
      <c r="J218">
        <v>483.63</v>
      </c>
      <c r="K218" s="802">
        <v>515.59</v>
      </c>
      <c r="L218" s="657">
        <v>534.19000000000005</v>
      </c>
      <c r="M218" s="416">
        <v>594.49</v>
      </c>
      <c r="O218" s="839" t="s">
        <v>677</v>
      </c>
      <c r="P218" s="840" t="e">
        <v>#N/A</v>
      </c>
    </row>
    <row r="219" spans="1:50" hidden="1">
      <c r="A219" s="9" t="s">
        <v>25</v>
      </c>
      <c r="B219" s="486" t="s">
        <v>654</v>
      </c>
      <c r="C219">
        <v>353.69</v>
      </c>
      <c r="D219">
        <v>290.02999999999997</v>
      </c>
      <c r="E219">
        <v>308.28999999999996</v>
      </c>
      <c r="F219">
        <v>344.78999999999996</v>
      </c>
      <c r="G219">
        <v>409.35</v>
      </c>
      <c r="H219">
        <v>432.33</v>
      </c>
      <c r="I219">
        <v>467.59000000000003</v>
      </c>
      <c r="J219">
        <v>514.29999999999995</v>
      </c>
      <c r="K219" s="802">
        <v>530.72</v>
      </c>
      <c r="L219" s="657">
        <v>535.51</v>
      </c>
      <c r="M219" s="233">
        <v>580.43681504518099</v>
      </c>
      <c r="N219">
        <v>677.99</v>
      </c>
      <c r="O219" s="839" t="s">
        <v>678</v>
      </c>
      <c r="P219" s="840" t="e">
        <v>#N/A</v>
      </c>
    </row>
    <row r="220" spans="1:50" hidden="1">
      <c r="A220" s="9" t="s">
        <v>25</v>
      </c>
      <c r="B220" s="486" t="s">
        <v>243</v>
      </c>
      <c r="C220">
        <v>422.53</v>
      </c>
      <c r="D220">
        <v>329.56</v>
      </c>
      <c r="E220">
        <v>284.77999999999997</v>
      </c>
      <c r="F220">
        <v>350.69</v>
      </c>
      <c r="G220">
        <v>446.79999999999995</v>
      </c>
      <c r="H220">
        <v>415.49</v>
      </c>
      <c r="I220">
        <v>433.86</v>
      </c>
      <c r="J220">
        <v>527.58999999999992</v>
      </c>
      <c r="K220" s="802">
        <v>560.27</v>
      </c>
      <c r="L220" s="657">
        <v>589.57000000000005</v>
      </c>
      <c r="M220" s="416">
        <v>643.09</v>
      </c>
      <c r="O220" s="839" t="s">
        <v>679</v>
      </c>
      <c r="P220" s="840" t="e">
        <v>#N/A</v>
      </c>
    </row>
    <row r="221" spans="1:50" hidden="1">
      <c r="A221" t="s">
        <v>25</v>
      </c>
      <c r="B221" s="480" t="s">
        <v>402</v>
      </c>
      <c r="J221">
        <v>547.6</v>
      </c>
      <c r="K221" s="802">
        <v>515.07000000000005</v>
      </c>
      <c r="L221">
        <v>548.96999999999991</v>
      </c>
      <c r="M221" s="416">
        <v>629.70000000000005</v>
      </c>
      <c r="O221" s="839" t="s">
        <v>680</v>
      </c>
      <c r="P221" s="840" t="e">
        <v>#N/A</v>
      </c>
    </row>
    <row r="222" spans="1:50">
      <c r="A222" t="s">
        <v>25</v>
      </c>
      <c r="B222" s="480" t="s">
        <v>660</v>
      </c>
      <c r="K222" s="802"/>
      <c r="L222">
        <v>571.71</v>
      </c>
      <c r="M222" s="416">
        <v>605.55000000000007</v>
      </c>
      <c r="O222" s="839" t="s">
        <v>681</v>
      </c>
      <c r="P222" s="854" t="e">
        <v>#N/A</v>
      </c>
      <c r="AS222" s="844"/>
      <c r="AX222" s="844"/>
    </row>
    <row r="223" spans="1:50">
      <c r="O223" s="839" t="s">
        <v>682</v>
      </c>
      <c r="P223" s="840" t="e">
        <v>#N/A</v>
      </c>
    </row>
    <row r="224" spans="1:50">
      <c r="O224" s="839" t="s">
        <v>683</v>
      </c>
      <c r="P224" s="840" t="e">
        <v>#N/A</v>
      </c>
    </row>
    <row r="225" spans="11:16">
      <c r="K225" s="840">
        <v>547.69000000000005</v>
      </c>
      <c r="O225" s="839" t="s">
        <v>684</v>
      </c>
      <c r="P225" s="840" t="e">
        <v>#N/A</v>
      </c>
    </row>
    <row r="226" spans="11:16">
      <c r="O226" s="839" t="s">
        <v>685</v>
      </c>
      <c r="P226" s="840" t="e">
        <v>#N/A</v>
      </c>
    </row>
    <row r="227" spans="11:16">
      <c r="O227" s="839" t="s">
        <v>686</v>
      </c>
      <c r="P227" s="841" t="e">
        <v>#N/A</v>
      </c>
    </row>
    <row r="228" spans="11:16">
      <c r="O228" s="839" t="s">
        <v>687</v>
      </c>
      <c r="P228" s="841" t="e">
        <v>#N/A</v>
      </c>
    </row>
    <row r="229" spans="11:16">
      <c r="O229" s="839" t="s">
        <v>688</v>
      </c>
      <c r="P229" s="841" t="e">
        <v>#N/A</v>
      </c>
    </row>
    <row r="230" spans="11:16">
      <c r="O230" s="839" t="s">
        <v>689</v>
      </c>
      <c r="P230" s="841" t="e">
        <v>#N/A</v>
      </c>
    </row>
    <row r="231" spans="11:16">
      <c r="O231" s="839" t="s">
        <v>690</v>
      </c>
      <c r="P231" s="841" t="e">
        <v>#N/A</v>
      </c>
    </row>
    <row r="232" spans="11:16">
      <c r="O232" s="839" t="s">
        <v>691</v>
      </c>
      <c r="P232" s="841" t="e">
        <v>#N/A</v>
      </c>
    </row>
    <row r="233" spans="11:16">
      <c r="O233" s="839" t="s">
        <v>692</v>
      </c>
      <c r="P233" s="841" t="e">
        <v>#N/A</v>
      </c>
    </row>
    <row r="234" spans="11:16">
      <c r="O234" s="839" t="s">
        <v>693</v>
      </c>
      <c r="P234" s="841" t="e">
        <v>#N/A</v>
      </c>
    </row>
    <row r="235" spans="11:16">
      <c r="O235" s="839" t="s">
        <v>694</v>
      </c>
      <c r="P235" s="841">
        <v>979.23</v>
      </c>
    </row>
    <row r="236" spans="11:16">
      <c r="O236" s="839" t="s">
        <v>695</v>
      </c>
      <c r="P236" s="841">
        <v>1054.05</v>
      </c>
    </row>
  </sheetData>
  <sortState xmlns:xlrd2="http://schemas.microsoft.com/office/spreadsheetml/2017/richdata2" ref="AR10:AR61">
    <sortCondition ref="AR10:AR61"/>
  </sortState>
  <phoneticPr fontId="110" type="noConversion"/>
  <hyperlinks>
    <hyperlink ref="A2" location="'Informações Gerais'!A7" display="Informações Gerais" xr:uid="{00000000-0004-0000-0000-000000000000}"/>
    <hyperlink ref="A3" location="'Informações Gerais'!A68" display="Descontos TE" xr:uid="{00000000-0004-0000-0000-000001000000}"/>
    <hyperlink ref="A4" location="'Informações Gerais'!A137" display="Ranking B1" xr:uid="{00000000-0004-0000-0000-000002000000}"/>
  </hyperlinks>
  <pageMargins left="0.511811024" right="0.511811024" top="0.78740157499999996" bottom="0.78740157499999996" header="0.31496062000000002" footer="0.31496062000000002"/>
  <pageSetup paperSize="9" orientation="portrait" r:id="rId1"/>
  <tableParts count="3">
    <tablePart r:id="rId2"/>
    <tablePart r:id="rId3"/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1">
    <tabColor rgb="FF002060"/>
  </sheetPr>
  <dimension ref="A1:CF186"/>
  <sheetViews>
    <sheetView showGridLines="0" zoomScale="91" zoomScaleNormal="91" workbookViewId="0">
      <selection activeCell="F20" sqref="F20"/>
    </sheetView>
  </sheetViews>
  <sheetFormatPr defaultColWidth="9.140625" defaultRowHeight="15.75"/>
  <cols>
    <col min="1" max="1" width="2.5703125" style="380" customWidth="1"/>
    <col min="2" max="2" width="36.42578125" style="380" customWidth="1"/>
    <col min="3" max="3" width="23.85546875" style="380" customWidth="1"/>
    <col min="4" max="4" width="17.7109375" style="380" customWidth="1"/>
    <col min="5" max="5" width="3.42578125" style="380" customWidth="1"/>
    <col min="6" max="6" width="41.85546875" style="380" customWidth="1"/>
    <col min="7" max="7" width="28" style="542" customWidth="1"/>
    <col min="8" max="8" width="28" style="380" customWidth="1"/>
    <col min="9" max="9" width="14.85546875" style="380" customWidth="1"/>
    <col min="10" max="10" width="32.7109375" style="380" bestFit="1" customWidth="1"/>
    <col min="11" max="11" width="22" style="380" bestFit="1" customWidth="1"/>
    <col min="12" max="12" width="19.140625" style="380" customWidth="1"/>
    <col min="13" max="13" width="18.42578125" style="380" customWidth="1"/>
    <col min="14" max="14" width="37.85546875" style="380" customWidth="1"/>
    <col min="15" max="15" width="19.28515625" style="380" customWidth="1"/>
    <col min="16" max="16" width="18.7109375" style="9" customWidth="1"/>
    <col min="17" max="17" width="92.140625" style="9" customWidth="1"/>
    <col min="18" max="20" width="13.85546875" style="9" customWidth="1"/>
    <col min="21" max="21" width="24.28515625" style="9" customWidth="1"/>
    <col min="22" max="22" width="17" style="9" customWidth="1"/>
    <col min="23" max="23" width="16.28515625" style="9" customWidth="1"/>
    <col min="24" max="24" width="15.140625" style="9" customWidth="1"/>
    <col min="25" max="25" width="17" style="9" customWidth="1"/>
    <col min="26" max="26" width="15.5703125" style="9" bestFit="1" customWidth="1"/>
    <col min="27" max="29" width="13.85546875" style="9" customWidth="1"/>
    <col min="30" max="30" width="9.140625" style="9"/>
    <col min="31" max="31" width="66" style="9" bestFit="1" customWidth="1"/>
    <col min="32" max="32" width="19.42578125" style="9" bestFit="1" customWidth="1"/>
    <col min="33" max="33" width="10.28515625" style="9" bestFit="1" customWidth="1"/>
    <col min="34" max="34" width="8" style="9" bestFit="1" customWidth="1"/>
    <col min="35" max="35" width="10.85546875" style="9" bestFit="1" customWidth="1"/>
    <col min="36" max="36" width="11.28515625" style="9" bestFit="1" customWidth="1"/>
    <col min="37" max="39" width="8" style="9" bestFit="1" customWidth="1"/>
    <col min="40" max="40" width="7" style="9" bestFit="1" customWidth="1"/>
    <col min="41" max="41" width="11.28515625" style="9" bestFit="1" customWidth="1"/>
    <col min="42" max="45" width="9.140625" style="9" customWidth="1"/>
    <col min="46" max="46" width="19" style="9" bestFit="1" customWidth="1"/>
    <col min="47" max="47" width="21.140625" style="9" bestFit="1" customWidth="1"/>
    <col min="48" max="48" width="9.140625" style="9"/>
    <col min="49" max="49" width="30" style="9" bestFit="1" customWidth="1"/>
    <col min="50" max="50" width="10.85546875" style="9" bestFit="1" customWidth="1"/>
    <col min="51" max="51" width="9.140625" style="9"/>
    <col min="52" max="52" width="18.28515625" style="9" bestFit="1" customWidth="1"/>
    <col min="53" max="53" width="12.42578125" style="234" bestFit="1" customWidth="1"/>
    <col min="54" max="54" width="9.140625" style="234"/>
    <col min="55" max="57" width="11.140625" style="234" bestFit="1" customWidth="1"/>
    <col min="58" max="60" width="9.140625" style="9"/>
    <col min="61" max="61" width="17.85546875" style="9" bestFit="1" customWidth="1"/>
    <col min="62" max="62" width="13.42578125" style="9" customWidth="1"/>
    <col min="63" max="63" width="22.28515625" style="9" customWidth="1"/>
    <col min="64" max="64" width="11" style="9" customWidth="1"/>
    <col min="65" max="65" width="30.85546875" style="9" customWidth="1"/>
    <col min="66" max="66" width="16.7109375" style="485" customWidth="1"/>
    <col min="67" max="67" width="12.42578125" style="485" customWidth="1"/>
    <col min="68" max="68" width="12" style="485" customWidth="1"/>
    <col min="69" max="69" width="10.85546875" style="9" bestFit="1" customWidth="1"/>
    <col min="70" max="70" width="7.42578125" style="9" bestFit="1" customWidth="1"/>
    <col min="71" max="71" width="8.7109375" style="9" bestFit="1" customWidth="1"/>
    <col min="72" max="72" width="8.85546875" style="486" bestFit="1" customWidth="1"/>
    <col min="73" max="73" width="8" style="9" bestFit="1" customWidth="1"/>
    <col min="74" max="74" width="9.140625" style="9"/>
    <col min="75" max="75" width="16.7109375" style="9" bestFit="1" customWidth="1"/>
    <col min="76" max="76" width="15" style="9" bestFit="1" customWidth="1"/>
    <col min="77" max="77" width="13.7109375" style="9" customWidth="1"/>
    <col min="78" max="78" width="12.42578125" style="9" customWidth="1"/>
    <col min="79" max="79" width="16.85546875" style="9" bestFit="1" customWidth="1"/>
    <col min="80" max="82" width="9.140625" style="9"/>
    <col min="83" max="83" width="16" style="9" bestFit="1" customWidth="1"/>
    <col min="84" max="84" width="11.42578125" style="234" customWidth="1"/>
    <col min="85" max="16384" width="9.140625" style="380"/>
  </cols>
  <sheetData>
    <row r="1" spans="1:84" ht="25.5">
      <c r="B1" s="1048" t="s">
        <v>696</v>
      </c>
      <c r="C1" s="1049"/>
      <c r="D1" s="1049"/>
      <c r="M1" s="543"/>
      <c r="P1" s="877" t="str">
        <f>IF((VLOOKUP(LnkTXTSigla,Informacoes[],5,FALSE))="8.4","VERDADEIRO","FALSO")</f>
        <v>VERDADEIRO</v>
      </c>
      <c r="Q1" s="877" t="s">
        <v>697</v>
      </c>
      <c r="BA1" s="484"/>
      <c r="BB1" s="484"/>
      <c r="BC1" s="484"/>
      <c r="BD1" s="484"/>
    </row>
    <row r="2" spans="1:84" ht="25.5">
      <c r="B2" s="544" t="str">
        <f>CAPA!C9</f>
        <v>Ceris</v>
      </c>
      <c r="C2" s="634"/>
      <c r="D2" s="545"/>
      <c r="E2" s="585" t="s">
        <v>698</v>
      </c>
      <c r="F2" s="585"/>
      <c r="G2" s="585"/>
      <c r="H2" s="612" t="s">
        <v>2324</v>
      </c>
      <c r="M2" s="543"/>
      <c r="AK2" s="485"/>
      <c r="AZ2" s="1723" t="s">
        <v>699</v>
      </c>
      <c r="BA2" s="1724"/>
      <c r="BB2" s="1724"/>
      <c r="BC2" s="1724"/>
      <c r="BD2" s="1724"/>
      <c r="BE2" s="1724"/>
      <c r="BF2" s="1724"/>
      <c r="BG2" s="486"/>
      <c r="BM2" s="489"/>
      <c r="BW2" s="420"/>
      <c r="BX2" s="420"/>
      <c r="BY2" s="420"/>
      <c r="BZ2" s="420"/>
      <c r="CA2" s="420"/>
      <c r="CB2" s="420"/>
      <c r="CC2" s="420"/>
      <c r="CD2" s="420"/>
      <c r="CE2" s="420"/>
      <c r="CF2" s="513"/>
    </row>
    <row r="3" spans="1:84">
      <c r="C3" s="557"/>
      <c r="E3" s="580" t="s">
        <v>700</v>
      </c>
      <c r="F3" s="580"/>
      <c r="G3" s="580"/>
      <c r="H3" s="533"/>
      <c r="M3" s="543"/>
      <c r="O3" s="380">
        <f>VALUE(RIGHT(P3,2))</f>
        <v>7</v>
      </c>
      <c r="P3" s="1050" t="str">
        <f>VLOOKUP($C$9,Informacoes[],4,FALSE)</f>
        <v>C07</v>
      </c>
      <c r="Q3" s="1050" t="str">
        <f>VLOOKUP($C$9,Informacoes[],2,FALSE)</f>
        <v>Cooperativa de Eletrificação da Região de Itapecerica da Serra</v>
      </c>
      <c r="AH3" s="487"/>
      <c r="AI3" s="485"/>
      <c r="BA3" s="484"/>
      <c r="BB3" s="484"/>
      <c r="BC3" s="484"/>
      <c r="BD3" s="484"/>
      <c r="BM3" s="17"/>
      <c r="BQ3" s="488"/>
      <c r="BW3" s="420"/>
      <c r="BX3" s="420"/>
      <c r="BY3" s="420"/>
      <c r="BZ3" s="420"/>
      <c r="CA3" s="420"/>
      <c r="CB3" s="420"/>
      <c r="CC3" s="420"/>
      <c r="CD3" s="420"/>
      <c r="CE3" s="420"/>
      <c r="CF3" s="513"/>
    </row>
    <row r="4" spans="1:84">
      <c r="E4" s="764" t="s">
        <v>701</v>
      </c>
      <c r="F4" s="764"/>
      <c r="G4" s="764"/>
      <c r="H4" s="792"/>
      <c r="I4" s="546"/>
      <c r="M4" s="543"/>
      <c r="AZ4" s="877"/>
      <c r="BA4" s="1051">
        <v>40940</v>
      </c>
      <c r="BB4" s="1051" t="s">
        <v>663</v>
      </c>
      <c r="BC4" s="1051">
        <v>41306</v>
      </c>
      <c r="BD4" s="1051">
        <v>41671</v>
      </c>
      <c r="BE4" s="1052">
        <v>42036</v>
      </c>
      <c r="BF4" s="1053">
        <v>42401</v>
      </c>
      <c r="BG4" s="1053">
        <v>42767</v>
      </c>
      <c r="BI4" s="1054"/>
      <c r="BJ4" s="1054"/>
      <c r="BK4" s="1054"/>
      <c r="BL4" s="1054"/>
      <c r="BM4" s="1055"/>
      <c r="BN4" s="1055"/>
      <c r="BO4" s="1055"/>
      <c r="BP4" s="1055"/>
      <c r="BQ4" s="1055"/>
      <c r="BR4" s="1055"/>
      <c r="BS4" s="1055"/>
      <c r="BT4" s="1055"/>
      <c r="BU4" s="1055"/>
      <c r="BV4" s="493"/>
      <c r="BW4" s="420"/>
      <c r="BX4" s="420"/>
      <c r="BY4" s="420"/>
      <c r="BZ4" s="420"/>
      <c r="CA4" s="420"/>
      <c r="CB4" s="420"/>
      <c r="CC4" s="420"/>
      <c r="CD4" s="420"/>
      <c r="CE4" s="420"/>
      <c r="CF4" s="420"/>
    </row>
    <row r="5" spans="1:84">
      <c r="E5" s="764" t="s">
        <v>702</v>
      </c>
      <c r="F5" s="764"/>
      <c r="G5" s="764"/>
      <c r="H5" s="775" t="s">
        <v>2325</v>
      </c>
      <c r="I5" s="546"/>
      <c r="M5" s="543"/>
      <c r="O5" s="9"/>
      <c r="R5" s="380"/>
      <c r="S5" s="380"/>
      <c r="T5" s="380"/>
      <c r="U5" s="380"/>
      <c r="V5" s="380"/>
      <c r="W5" s="380"/>
      <c r="X5" s="380"/>
      <c r="Y5" s="380"/>
      <c r="Z5" s="380"/>
      <c r="AA5" s="380"/>
      <c r="AB5" s="380"/>
      <c r="AC5" s="380"/>
      <c r="AD5" s="380"/>
      <c r="AE5" s="380"/>
      <c r="AF5" s="380"/>
      <c r="AG5" s="380"/>
      <c r="AH5" s="380"/>
      <c r="AI5" s="380"/>
      <c r="AJ5" s="380"/>
      <c r="AK5" s="380"/>
      <c r="AL5" s="380"/>
      <c r="AM5" s="380"/>
      <c r="AN5" s="380"/>
      <c r="AO5" s="380"/>
      <c r="AP5" s="380"/>
      <c r="AQ5" s="380"/>
      <c r="AR5" s="380"/>
      <c r="AS5" s="380"/>
      <c r="AT5" s="380"/>
      <c r="AU5" s="380"/>
      <c r="AV5" s="380"/>
      <c r="AW5" s="380"/>
      <c r="AX5" s="380"/>
      <c r="AY5" s="380"/>
      <c r="AZ5" s="380"/>
      <c r="BA5" s="380"/>
      <c r="BB5" s="380"/>
      <c r="BC5" s="380"/>
      <c r="BD5" s="380"/>
      <c r="BE5" s="380"/>
      <c r="BF5" s="380"/>
      <c r="BG5" s="380"/>
      <c r="BH5" s="380"/>
      <c r="BI5" s="380"/>
      <c r="BJ5" s="380"/>
      <c r="BK5" s="380"/>
      <c r="BL5" s="380"/>
      <c r="BM5" s="380"/>
      <c r="BN5" s="380"/>
      <c r="BO5" s="380"/>
      <c r="BP5" s="380"/>
      <c r="BQ5" s="380"/>
      <c r="BR5" s="380"/>
      <c r="BS5" s="380"/>
      <c r="BT5" s="380"/>
      <c r="BU5" s="380"/>
      <c r="BV5" s="380"/>
      <c r="BW5" s="380"/>
      <c r="BX5" s="380"/>
      <c r="BY5" s="380"/>
      <c r="BZ5" s="380"/>
      <c r="CA5" s="380"/>
      <c r="CB5" s="380"/>
      <c r="CC5" s="380"/>
      <c r="CD5" s="380"/>
      <c r="CE5" s="380"/>
      <c r="CF5" s="380"/>
    </row>
    <row r="6" spans="1:84" ht="17.25" customHeight="1" thickBot="1">
      <c r="F6" s="547"/>
      <c r="I6" s="546"/>
      <c r="N6" s="548"/>
      <c r="O6" s="9"/>
      <c r="R6" s="380"/>
      <c r="S6" s="380"/>
      <c r="T6" s="380"/>
      <c r="U6" s="380"/>
      <c r="V6" s="380"/>
      <c r="W6" s="380"/>
      <c r="X6" s="380"/>
      <c r="Y6" s="380"/>
      <c r="Z6" s="380"/>
      <c r="AA6" s="380"/>
      <c r="AB6" s="380"/>
      <c r="AC6" s="380"/>
      <c r="AD6" s="380"/>
      <c r="AE6" s="380"/>
      <c r="AF6" s="380"/>
      <c r="AG6" s="380"/>
      <c r="AH6" s="380"/>
      <c r="AI6" s="380"/>
      <c r="AJ6" s="380"/>
      <c r="AK6" s="380"/>
      <c r="AL6" s="380"/>
      <c r="AM6" s="380"/>
      <c r="AN6" s="380"/>
      <c r="AO6" s="380"/>
      <c r="AP6" s="380"/>
      <c r="AQ6" s="380"/>
      <c r="AR6" s="380"/>
      <c r="AS6" s="380"/>
      <c r="AT6" s="380"/>
      <c r="AU6" s="380"/>
      <c r="AV6" s="380"/>
      <c r="AW6" s="380"/>
      <c r="AX6" s="380"/>
      <c r="AY6" s="380"/>
      <c r="AZ6" s="380"/>
      <c r="BA6" s="380"/>
      <c r="BB6" s="380"/>
      <c r="BC6" s="380"/>
      <c r="BD6" s="380"/>
      <c r="BE6" s="380"/>
      <c r="BF6" s="380"/>
      <c r="BG6" s="380"/>
      <c r="BH6" s="380"/>
      <c r="BI6" s="380"/>
      <c r="BJ6" s="380"/>
      <c r="BK6" s="380"/>
      <c r="BL6" s="380"/>
      <c r="BM6" s="380"/>
      <c r="BN6" s="380"/>
      <c r="BO6" s="380"/>
      <c r="BP6" s="380"/>
      <c r="BQ6" s="380"/>
      <c r="BR6" s="380"/>
      <c r="BS6" s="380"/>
      <c r="BT6" s="380"/>
      <c r="BU6" s="380"/>
      <c r="BV6" s="380"/>
      <c r="BW6" s="380"/>
      <c r="BX6" s="380"/>
      <c r="BY6" s="380"/>
      <c r="BZ6" s="380"/>
      <c r="CA6" s="380"/>
      <c r="CB6" s="380"/>
      <c r="CC6" s="380"/>
      <c r="CD6" s="380"/>
      <c r="CE6" s="380"/>
      <c r="CF6" s="380"/>
    </row>
    <row r="7" spans="1:84" ht="26.25" thickBot="1">
      <c r="A7" s="549"/>
      <c r="B7" s="539" t="s">
        <v>703</v>
      </c>
      <c r="C7" s="550"/>
      <c r="D7" s="550"/>
      <c r="E7" s="551"/>
      <c r="F7" s="551"/>
      <c r="G7" s="551"/>
      <c r="H7" s="531"/>
      <c r="I7" s="532"/>
      <c r="J7" s="551"/>
      <c r="K7" s="552"/>
      <c r="L7" s="553"/>
      <c r="M7" s="554"/>
      <c r="N7" s="555"/>
      <c r="O7" s="9"/>
      <c r="Q7" s="534"/>
      <c r="R7" s="380"/>
      <c r="S7" s="380"/>
      <c r="T7" s="380"/>
      <c r="U7" s="380"/>
      <c r="V7" s="380"/>
      <c r="W7" s="380"/>
      <c r="X7" s="380"/>
      <c r="Y7" s="380"/>
      <c r="Z7" s="380"/>
      <c r="AA7" s="380"/>
      <c r="AB7" s="380"/>
      <c r="AC7" s="380"/>
      <c r="AD7" s="380"/>
      <c r="AE7" s="380"/>
      <c r="AF7" s="380"/>
      <c r="AG7" s="380"/>
      <c r="AH7" s="380"/>
      <c r="AI7" s="380"/>
      <c r="AJ7" s="380"/>
      <c r="AK7" s="380"/>
      <c r="AL7" s="380"/>
      <c r="AM7" s="380"/>
      <c r="AN7" s="380"/>
      <c r="AO7" s="380"/>
      <c r="AP7" s="380"/>
      <c r="AQ7" s="380"/>
      <c r="AR7" s="380"/>
      <c r="AS7" s="380"/>
      <c r="AT7" s="380"/>
      <c r="AU7" s="380"/>
      <c r="AV7" s="380"/>
      <c r="AW7" s="380"/>
      <c r="AX7" s="380"/>
      <c r="AY7" s="380"/>
      <c r="AZ7" s="380"/>
      <c r="BA7" s="380"/>
      <c r="BB7" s="380"/>
      <c r="BC7" s="380"/>
      <c r="BD7" s="380"/>
      <c r="BE7" s="380"/>
      <c r="BF7" s="380"/>
      <c r="BG7" s="380"/>
      <c r="BH7" s="380"/>
      <c r="BI7" s="380"/>
      <c r="BJ7" s="380"/>
      <c r="BK7" s="380"/>
      <c r="BL7" s="380"/>
      <c r="BM7" s="380"/>
      <c r="BN7" s="380"/>
      <c r="BO7" s="380"/>
      <c r="BP7" s="380"/>
      <c r="BQ7" s="380"/>
      <c r="BR7" s="380"/>
      <c r="BS7" s="380"/>
      <c r="BT7" s="380"/>
      <c r="BU7" s="380"/>
      <c r="BV7" s="380"/>
      <c r="BW7" s="380"/>
      <c r="BX7" s="380"/>
      <c r="BY7" s="380"/>
      <c r="BZ7" s="380"/>
      <c r="CA7" s="380"/>
      <c r="CB7" s="380"/>
      <c r="CC7" s="380"/>
      <c r="CD7" s="380"/>
      <c r="CE7" s="380"/>
      <c r="CF7" s="380"/>
    </row>
    <row r="8" spans="1:84" ht="16.5">
      <c r="D8" s="9"/>
      <c r="E8" s="9"/>
      <c r="F8" s="9"/>
      <c r="G8" s="9"/>
      <c r="H8" s="9"/>
      <c r="I8" s="9"/>
      <c r="J8" s="9"/>
      <c r="K8" s="9"/>
      <c r="L8" s="9"/>
      <c r="N8" s="548"/>
      <c r="O8" s="9"/>
      <c r="P8" s="274"/>
      <c r="Q8" s="773"/>
      <c r="R8" s="380"/>
      <c r="S8" s="380"/>
      <c r="T8" s="380"/>
      <c r="U8" s="380"/>
      <c r="V8" s="380"/>
      <c r="W8" s="380"/>
      <c r="X8" s="380"/>
      <c r="Y8" s="380"/>
      <c r="Z8" s="380"/>
      <c r="AA8" s="380"/>
      <c r="AB8" s="380"/>
      <c r="AC8" s="380"/>
      <c r="AD8" s="380"/>
      <c r="AE8" s="380"/>
      <c r="AF8" s="380"/>
      <c r="AG8" s="380"/>
      <c r="AH8" s="380"/>
      <c r="AI8" s="380"/>
      <c r="AJ8" s="380"/>
      <c r="AK8" s="380"/>
      <c r="AL8" s="380"/>
      <c r="AM8" s="380"/>
      <c r="AN8" s="380"/>
      <c r="AO8" s="380"/>
      <c r="AP8" s="380"/>
      <c r="AQ8" s="380"/>
      <c r="AR8" s="380"/>
      <c r="AS8" s="380"/>
      <c r="AT8" s="380"/>
      <c r="AU8" s="380"/>
      <c r="AV8" s="380"/>
      <c r="AW8" s="380"/>
      <c r="AX8" s="380"/>
      <c r="AY8" s="380"/>
      <c r="AZ8" s="380"/>
      <c r="BA8" s="380"/>
      <c r="BB8" s="380"/>
      <c r="BC8" s="380"/>
      <c r="BD8" s="380"/>
      <c r="BE8" s="380"/>
      <c r="BF8" s="380"/>
      <c r="BG8" s="380"/>
      <c r="BH8" s="380"/>
      <c r="BI8" s="380"/>
      <c r="BJ8" s="380"/>
      <c r="BK8" s="380"/>
      <c r="BL8" s="380"/>
      <c r="BM8" s="380"/>
      <c r="BN8" s="380"/>
      <c r="BO8" s="380"/>
      <c r="BP8" s="380"/>
      <c r="BQ8" s="380"/>
      <c r="BR8" s="380"/>
      <c r="BS8" s="380"/>
      <c r="BT8" s="380"/>
      <c r="BU8" s="380"/>
      <c r="BV8" s="380"/>
      <c r="BW8" s="380"/>
      <c r="BX8" s="380"/>
      <c r="BY8" s="380"/>
      <c r="BZ8" s="380"/>
      <c r="CA8" s="380"/>
      <c r="CB8" s="380"/>
      <c r="CC8" s="380"/>
      <c r="CD8" s="380"/>
      <c r="CE8" s="380"/>
      <c r="CF8" s="380"/>
    </row>
    <row r="9" spans="1:84" ht="16.5">
      <c r="B9" s="598" t="s">
        <v>152</v>
      </c>
      <c r="C9" s="1056" t="s">
        <v>354</v>
      </c>
      <c r="D9" s="9"/>
      <c r="E9" s="1725" t="s">
        <v>704</v>
      </c>
      <c r="F9" s="1726"/>
      <c r="G9" s="1726"/>
      <c r="H9" s="1726"/>
      <c r="I9" s="603"/>
      <c r="J9" s="492" t="s">
        <v>705</v>
      </c>
      <c r="K9" s="9"/>
      <c r="L9" s="9"/>
      <c r="M9" s="556"/>
      <c r="N9" s="548"/>
      <c r="O9" s="9"/>
      <c r="R9" s="380"/>
      <c r="S9" s="380"/>
      <c r="T9" s="380"/>
      <c r="U9" s="380"/>
      <c r="V9" s="380"/>
      <c r="W9" s="380"/>
      <c r="X9" s="380"/>
      <c r="Y9" s="380"/>
      <c r="Z9" s="380"/>
      <c r="AA9" s="380"/>
      <c r="AB9" s="380"/>
      <c r="AC9" s="380"/>
      <c r="AD9" s="380"/>
      <c r="AE9" s="380"/>
      <c r="AF9" s="380"/>
      <c r="AG9" s="380"/>
      <c r="AH9" s="380"/>
      <c r="AI9" s="380"/>
      <c r="AJ9" s="380"/>
      <c r="AK9" s="380"/>
      <c r="AL9" s="380"/>
      <c r="AM9" s="380"/>
      <c r="AN9" s="380"/>
      <c r="AO9" s="380"/>
      <c r="AP9" s="380"/>
      <c r="AQ9" s="380"/>
      <c r="AR9" s="380"/>
      <c r="AS9" s="380"/>
      <c r="AT9" s="380"/>
      <c r="AU9" s="380"/>
      <c r="AV9" s="380"/>
      <c r="AW9" s="380"/>
      <c r="AX9" s="380"/>
      <c r="AY9" s="380"/>
      <c r="AZ9" s="380"/>
      <c r="BA9" s="380"/>
      <c r="BB9" s="380"/>
      <c r="BC9" s="380"/>
      <c r="BD9" s="380"/>
      <c r="BE9" s="380"/>
      <c r="BF9" s="380"/>
      <c r="BG9" s="380"/>
      <c r="BH9" s="380"/>
      <c r="BI9" s="380"/>
      <c r="BJ9" s="380"/>
      <c r="BK9" s="380"/>
      <c r="BL9" s="380"/>
      <c r="BM9" s="380"/>
      <c r="BN9" s="380"/>
      <c r="BO9" s="380"/>
      <c r="BP9" s="380"/>
      <c r="BQ9" s="380"/>
      <c r="BR9" s="380"/>
      <c r="BS9" s="380"/>
      <c r="BT9" s="380"/>
      <c r="BU9" s="380"/>
      <c r="BV9" s="380"/>
      <c r="BW9" s="380"/>
      <c r="BX9" s="380"/>
      <c r="BY9" s="380"/>
      <c r="BZ9" s="380"/>
      <c r="CA9" s="380"/>
      <c r="CB9" s="380"/>
      <c r="CC9" s="380"/>
      <c r="CD9" s="380"/>
      <c r="CE9" s="380"/>
      <c r="CF9" s="380"/>
    </row>
    <row r="10" spans="1:84" ht="16.5" customHeight="1">
      <c r="B10" s="1057" t="s">
        <v>706</v>
      </c>
      <c r="C10" s="1058" t="str">
        <f>IF(C9="Cercos","N/NE","S/SE/CO")</f>
        <v>S/SE/CO</v>
      </c>
      <c r="D10" s="9"/>
      <c r="E10" s="607"/>
      <c r="F10" s="608" t="s">
        <v>707</v>
      </c>
      <c r="G10" s="609">
        <v>44749.528391203705</v>
      </c>
      <c r="H10" s="1059"/>
      <c r="I10" s="604"/>
      <c r="J10" s="763" t="s">
        <v>708</v>
      </c>
      <c r="K10" s="1060">
        <f>IFERROR(O3+200,0)</f>
        <v>207</v>
      </c>
      <c r="L10" s="593"/>
      <c r="M10" s="556"/>
      <c r="N10" s="548"/>
      <c r="O10" s="9"/>
      <c r="R10" s="380"/>
      <c r="S10" s="380"/>
      <c r="T10" s="380"/>
      <c r="U10" s="380"/>
      <c r="V10" s="380"/>
      <c r="W10" s="380"/>
      <c r="X10" s="380"/>
      <c r="Y10" s="380"/>
      <c r="Z10" s="380"/>
      <c r="AA10" s="380"/>
      <c r="AB10" s="380"/>
      <c r="AC10" s="380"/>
      <c r="AD10" s="380"/>
      <c r="AE10" s="380"/>
      <c r="AF10" s="380"/>
      <c r="AG10" s="380"/>
      <c r="AH10" s="380"/>
      <c r="AI10" s="380"/>
      <c r="AJ10" s="380"/>
      <c r="AK10" s="380"/>
      <c r="AL10" s="380"/>
      <c r="AM10" s="380"/>
      <c r="AN10" s="380"/>
      <c r="AO10" s="380"/>
      <c r="AP10" s="380"/>
      <c r="AQ10" s="380"/>
      <c r="AR10" s="380"/>
      <c r="AS10" s="380"/>
      <c r="AT10" s="380"/>
      <c r="AU10" s="380"/>
      <c r="AV10" s="380"/>
      <c r="AW10" s="380"/>
      <c r="AX10" s="380"/>
      <c r="AY10" s="380"/>
      <c r="AZ10" s="380"/>
      <c r="BA10" s="380"/>
      <c r="BB10" s="380"/>
      <c r="BC10" s="380"/>
      <c r="BD10" s="380"/>
      <c r="BE10" s="380"/>
      <c r="BF10" s="380"/>
      <c r="BG10" s="380"/>
      <c r="BH10" s="380"/>
      <c r="BI10" s="380"/>
      <c r="BJ10" s="380"/>
      <c r="BK10" s="380"/>
      <c r="BL10" s="380"/>
      <c r="BM10" s="380"/>
      <c r="BN10" s="380"/>
      <c r="BO10" s="380"/>
      <c r="BP10" s="380"/>
      <c r="BQ10" s="380"/>
      <c r="BR10" s="380"/>
      <c r="BS10" s="380"/>
      <c r="BT10" s="380"/>
      <c r="BU10" s="380"/>
      <c r="BV10" s="380"/>
      <c r="BW10" s="380"/>
      <c r="BX10" s="380"/>
      <c r="BY10" s="380"/>
      <c r="BZ10" s="380"/>
      <c r="CA10" s="380"/>
      <c r="CB10" s="380"/>
      <c r="CC10" s="380"/>
      <c r="CD10" s="380"/>
      <c r="CE10" s="380"/>
      <c r="CF10" s="380"/>
    </row>
    <row r="11" spans="1:84" ht="16.5">
      <c r="B11" s="9"/>
      <c r="C11" s="9"/>
      <c r="D11" s="9"/>
      <c r="E11" s="607"/>
      <c r="F11" s="608" t="s">
        <v>709</v>
      </c>
      <c r="G11" s="609">
        <v>44750.494317129633</v>
      </c>
      <c r="H11" s="605"/>
      <c r="I11" s="606"/>
      <c r="J11" s="580" t="s">
        <v>710</v>
      </c>
      <c r="K11" s="611">
        <v>5382</v>
      </c>
      <c r="L11" s="593"/>
      <c r="M11" s="556"/>
      <c r="N11" s="548"/>
      <c r="O11" s="9"/>
      <c r="Q11" s="534"/>
      <c r="R11" s="380"/>
      <c r="S11" s="380"/>
      <c r="T11" s="380"/>
      <c r="U11" s="380"/>
      <c r="V11" s="380"/>
      <c r="W11" s="380"/>
      <c r="X11" s="380"/>
      <c r="Y11" s="380"/>
      <c r="Z11" s="380"/>
      <c r="AA11" s="380"/>
      <c r="AB11" s="380"/>
      <c r="AC11" s="380"/>
      <c r="AD11" s="380"/>
      <c r="AE11" s="380"/>
      <c r="AF11" s="380"/>
      <c r="AG11" s="380"/>
      <c r="AH11" s="380"/>
      <c r="AI11" s="380"/>
      <c r="AJ11" s="380"/>
      <c r="AK11" s="380"/>
      <c r="AL11" s="380"/>
      <c r="AM11" s="380"/>
      <c r="AN11" s="380"/>
      <c r="AO11" s="380"/>
      <c r="AP11" s="380"/>
      <c r="AQ11" s="380"/>
      <c r="AR11" s="380"/>
      <c r="AS11" s="380"/>
      <c r="AT11" s="380"/>
      <c r="AU11" s="380"/>
      <c r="AV11" s="380"/>
      <c r="AW11" s="380"/>
      <c r="AX11" s="380"/>
      <c r="AY11" s="380"/>
      <c r="AZ11" s="380"/>
      <c r="BA11" s="380"/>
      <c r="BB11" s="380"/>
      <c r="BC11" s="380"/>
      <c r="BD11" s="380"/>
      <c r="BE11" s="380"/>
      <c r="BF11" s="380"/>
      <c r="BG11" s="380"/>
      <c r="BH11" s="380"/>
      <c r="BI11" s="380"/>
      <c r="BJ11" s="380"/>
      <c r="BK11" s="380"/>
      <c r="BL11" s="380"/>
      <c r="BM11" s="380"/>
      <c r="BN11" s="380"/>
      <c r="BO11" s="380"/>
      <c r="BP11" s="380"/>
      <c r="BQ11" s="380"/>
      <c r="BR11" s="380"/>
      <c r="BS11" s="380"/>
      <c r="BT11" s="380"/>
      <c r="BU11" s="380"/>
      <c r="BV11" s="380"/>
      <c r="BW11" s="380"/>
      <c r="BX11" s="380"/>
      <c r="BY11" s="380"/>
      <c r="BZ11" s="380"/>
      <c r="CA11" s="380"/>
      <c r="CB11" s="380"/>
      <c r="CC11" s="380"/>
      <c r="CD11" s="380"/>
      <c r="CE11" s="380"/>
      <c r="CF11" s="380"/>
    </row>
    <row r="12" spans="1:84" ht="16.5">
      <c r="A12" s="557"/>
      <c r="B12" s="492" t="s">
        <v>711</v>
      </c>
      <c r="C12" s="9"/>
      <c r="D12" s="9"/>
      <c r="E12" s="607"/>
      <c r="F12" s="608" t="s">
        <v>712</v>
      </c>
      <c r="G12" s="609">
        <v>44749.767939814818</v>
      </c>
      <c r="H12" s="605"/>
      <c r="I12" s="606"/>
      <c r="J12" s="764" t="s">
        <v>713</v>
      </c>
      <c r="K12" s="774">
        <f>idagente</f>
        <v>5382</v>
      </c>
      <c r="L12" s="593"/>
      <c r="M12" s="556"/>
      <c r="N12" s="548"/>
      <c r="O12" s="9"/>
      <c r="Q12" s="534"/>
      <c r="R12" s="380"/>
      <c r="S12" s="380"/>
      <c r="T12" s="380"/>
      <c r="U12" s="380"/>
      <c r="V12" s="380"/>
      <c r="W12" s="380"/>
      <c r="X12" s="380"/>
      <c r="Y12" s="380"/>
      <c r="Z12" s="380"/>
      <c r="AA12" s="380"/>
      <c r="AB12" s="380"/>
      <c r="AC12" s="380"/>
      <c r="AD12" s="380"/>
      <c r="AE12" s="380"/>
      <c r="AF12" s="380"/>
      <c r="AG12" s="380"/>
      <c r="AH12" s="380"/>
      <c r="AI12" s="380"/>
      <c r="AJ12" s="380"/>
      <c r="AK12" s="380"/>
      <c r="AL12" s="380"/>
      <c r="AM12" s="380"/>
      <c r="AN12" s="380"/>
      <c r="AO12" s="380"/>
      <c r="AP12" s="380"/>
      <c r="AQ12" s="380"/>
      <c r="AR12" s="380"/>
      <c r="AS12" s="380"/>
      <c r="AT12" s="380"/>
      <c r="AU12" s="380"/>
      <c r="AV12" s="380"/>
      <c r="AW12" s="380"/>
      <c r="AX12" s="380"/>
      <c r="AY12" s="380"/>
      <c r="AZ12" s="380"/>
      <c r="BA12" s="380"/>
      <c r="BB12" s="380"/>
      <c r="BC12" s="380"/>
      <c r="BD12" s="380"/>
      <c r="BE12" s="380"/>
      <c r="BF12" s="380"/>
      <c r="BG12" s="380"/>
      <c r="BH12" s="380"/>
      <c r="BI12" s="380"/>
      <c r="BJ12" s="380"/>
      <c r="BK12" s="380"/>
      <c r="BL12" s="380"/>
      <c r="BM12" s="380"/>
      <c r="BN12" s="380"/>
      <c r="BO12" s="380"/>
      <c r="BP12" s="380"/>
      <c r="BQ12" s="380"/>
      <c r="BR12" s="380"/>
      <c r="BS12" s="380"/>
      <c r="BT12" s="380"/>
      <c r="BU12" s="380"/>
      <c r="BV12" s="380"/>
      <c r="BW12" s="380"/>
      <c r="BX12" s="380"/>
      <c r="BY12" s="380"/>
      <c r="BZ12" s="380"/>
      <c r="CA12" s="380"/>
      <c r="CB12" s="380"/>
      <c r="CC12" s="380"/>
      <c r="CD12" s="380"/>
      <c r="CE12" s="380"/>
      <c r="CF12" s="380"/>
    </row>
    <row r="13" spans="1:84">
      <c r="A13" s="557"/>
      <c r="B13" s="598" t="s">
        <v>714</v>
      </c>
      <c r="C13" s="1061">
        <f ca="1">YEAR(TODAY())</f>
        <v>2022</v>
      </c>
      <c r="D13" s="15"/>
      <c r="E13" s="607"/>
      <c r="F13" s="608" t="s">
        <v>715</v>
      </c>
      <c r="G13" s="609">
        <v>44761.361111111109</v>
      </c>
      <c r="H13" s="605"/>
      <c r="I13" s="9"/>
      <c r="J13" s="492" t="s">
        <v>716</v>
      </c>
      <c r="K13" s="9"/>
      <c r="L13" s="593"/>
      <c r="M13" s="558"/>
      <c r="O13" s="9"/>
      <c r="R13" s="380"/>
      <c r="S13" s="380"/>
      <c r="T13" s="380"/>
      <c r="U13" s="380"/>
      <c r="V13" s="380"/>
      <c r="W13" s="380"/>
      <c r="X13" s="380"/>
      <c r="Y13" s="380"/>
      <c r="Z13" s="380"/>
      <c r="AA13" s="380"/>
      <c r="AB13" s="380"/>
      <c r="AC13" s="380"/>
      <c r="AD13" s="380"/>
      <c r="AE13" s="380"/>
      <c r="AF13" s="380"/>
      <c r="AG13" s="380"/>
      <c r="AH13" s="380"/>
      <c r="AI13" s="380"/>
      <c r="AJ13" s="380"/>
      <c r="AK13" s="380"/>
      <c r="AL13" s="380"/>
      <c r="AM13" s="380"/>
      <c r="AN13" s="380"/>
      <c r="AO13" s="380"/>
      <c r="AP13" s="380"/>
      <c r="AQ13" s="380"/>
      <c r="AR13" s="380"/>
      <c r="AS13" s="380"/>
      <c r="AT13" s="380"/>
      <c r="AU13" s="380"/>
      <c r="AV13" s="380"/>
      <c r="AW13" s="380"/>
      <c r="AX13" s="380"/>
      <c r="AY13" s="380"/>
      <c r="AZ13" s="380"/>
      <c r="BA13" s="380"/>
      <c r="BB13" s="380"/>
      <c r="BC13" s="380"/>
      <c r="BD13" s="380"/>
      <c r="BE13" s="380"/>
      <c r="BF13" s="380"/>
      <c r="BG13" s="380"/>
      <c r="BH13" s="380"/>
      <c r="BI13" s="380"/>
      <c r="BJ13" s="380"/>
      <c r="BK13" s="380"/>
      <c r="BL13" s="380"/>
      <c r="BM13" s="380"/>
      <c r="BN13" s="380"/>
      <c r="BO13" s="380"/>
      <c r="BP13" s="380"/>
      <c r="BQ13" s="380"/>
      <c r="BR13" s="380"/>
      <c r="BS13" s="380"/>
      <c r="BT13" s="380"/>
      <c r="BU13" s="380"/>
      <c r="BV13" s="380"/>
      <c r="BW13" s="380"/>
      <c r="BX13" s="380"/>
      <c r="BY13" s="380"/>
      <c r="BZ13" s="380"/>
      <c r="CA13" s="380"/>
      <c r="CB13" s="380"/>
      <c r="CC13" s="380"/>
      <c r="CD13" s="380"/>
      <c r="CE13" s="380"/>
      <c r="CF13" s="380"/>
    </row>
    <row r="14" spans="1:84">
      <c r="B14" s="599" t="s">
        <v>717</v>
      </c>
      <c r="C14" s="600">
        <v>44407</v>
      </c>
      <c r="D14" s="15"/>
      <c r="E14" s="607"/>
      <c r="F14" s="608" t="s">
        <v>718</v>
      </c>
      <c r="G14" s="609">
        <v>44761.361493055556</v>
      </c>
      <c r="H14" s="605"/>
      <c r="I14" s="9"/>
      <c r="J14" s="763" t="s">
        <v>719</v>
      </c>
      <c r="K14" s="1060">
        <f>VLOOKUP(SAS_RA0_DataFim,Índices!$B$7:$F$500,2,FALSE)</f>
        <v>1190.8820000000001</v>
      </c>
      <c r="L14" s="593"/>
      <c r="M14" s="558"/>
      <c r="O14" s="9"/>
      <c r="R14" s="380"/>
      <c r="S14" s="380"/>
      <c r="T14" s="380"/>
      <c r="U14" s="380"/>
      <c r="V14" s="380"/>
      <c r="W14" s="380"/>
      <c r="X14" s="380"/>
      <c r="Y14" s="380"/>
      <c r="Z14" s="380"/>
      <c r="AA14" s="380"/>
      <c r="AB14" s="380"/>
      <c r="AC14" s="380"/>
      <c r="AD14" s="380"/>
      <c r="AE14" s="380"/>
      <c r="AF14" s="380"/>
      <c r="AG14" s="380"/>
      <c r="AH14" s="380"/>
      <c r="AI14" s="380"/>
      <c r="AJ14" s="380"/>
      <c r="AK14" s="380"/>
      <c r="AL14" s="380"/>
      <c r="AM14" s="380"/>
      <c r="AN14" s="380"/>
      <c r="AO14" s="380"/>
      <c r="AP14" s="380"/>
      <c r="AQ14" s="380"/>
      <c r="AR14" s="380"/>
      <c r="AS14" s="380"/>
      <c r="AT14" s="380"/>
      <c r="AU14" s="380"/>
      <c r="AV14" s="380"/>
      <c r="AW14" s="380"/>
      <c r="AX14" s="380"/>
      <c r="AY14" s="380"/>
      <c r="AZ14" s="380"/>
      <c r="BA14" s="380"/>
      <c r="BB14" s="380"/>
      <c r="BC14" s="380"/>
      <c r="BD14" s="380"/>
      <c r="BE14" s="380"/>
      <c r="BF14" s="380"/>
      <c r="BG14" s="380"/>
      <c r="BH14" s="380"/>
      <c r="BI14" s="380"/>
      <c r="BJ14" s="380"/>
      <c r="BK14" s="380"/>
      <c r="BL14" s="380"/>
      <c r="BM14" s="380"/>
      <c r="BN14" s="380"/>
      <c r="BO14" s="380"/>
      <c r="BP14" s="380"/>
      <c r="BQ14" s="380"/>
      <c r="BR14" s="380"/>
      <c r="BS14" s="380"/>
      <c r="BT14" s="380"/>
      <c r="BU14" s="380"/>
      <c r="BV14" s="380"/>
      <c r="BW14" s="380"/>
      <c r="BX14" s="380"/>
      <c r="BY14" s="380"/>
      <c r="BZ14" s="380"/>
      <c r="CA14" s="380"/>
      <c r="CB14" s="380"/>
      <c r="CC14" s="380"/>
      <c r="CD14" s="380"/>
      <c r="CE14" s="380"/>
      <c r="CF14" s="380"/>
    </row>
    <row r="15" spans="1:84">
      <c r="B15" s="599" t="s">
        <v>720</v>
      </c>
      <c r="C15" s="601">
        <v>44772</v>
      </c>
      <c r="D15" s="15"/>
      <c r="E15" s="607"/>
      <c r="F15" s="608" t="s">
        <v>721</v>
      </c>
      <c r="G15" s="609">
        <v>44761.364965277775</v>
      </c>
      <c r="H15" s="610"/>
      <c r="I15" s="9"/>
      <c r="J15" s="580" t="s">
        <v>722</v>
      </c>
      <c r="K15" s="611">
        <f>VLOOKUP(SAS_RA0_DataFim,Índices!$B$7:$F$500,3,FALSE)</f>
        <v>6455.85</v>
      </c>
      <c r="L15" s="593"/>
      <c r="M15" s="558"/>
      <c r="O15" s="9"/>
      <c r="R15" s="380"/>
      <c r="S15" s="380"/>
      <c r="T15" s="380"/>
      <c r="U15" s="380"/>
      <c r="V15" s="380"/>
      <c r="W15" s="380"/>
      <c r="X15" s="380"/>
      <c r="Y15" s="380"/>
      <c r="Z15" s="380"/>
      <c r="AA15" s="380"/>
      <c r="AB15" s="380"/>
      <c r="AC15" s="380"/>
      <c r="AD15" s="380"/>
      <c r="AE15" s="380"/>
      <c r="AF15" s="380"/>
      <c r="AG15" s="380"/>
      <c r="AH15" s="380"/>
      <c r="AI15" s="380"/>
      <c r="AJ15" s="380"/>
      <c r="AK15" s="380"/>
      <c r="AL15" s="380"/>
      <c r="AM15" s="380"/>
      <c r="AN15" s="380"/>
      <c r="AO15" s="380"/>
      <c r="AP15" s="380"/>
      <c r="AQ15" s="380"/>
      <c r="AR15" s="380"/>
      <c r="AS15" s="380"/>
      <c r="AT15" s="380"/>
      <c r="AU15" s="380"/>
      <c r="AV15" s="380"/>
      <c r="AW15" s="380"/>
      <c r="AX15" s="380"/>
      <c r="AY15" s="380"/>
      <c r="AZ15" s="380"/>
      <c r="BA15" s="380"/>
      <c r="BB15" s="380"/>
      <c r="BC15" s="380"/>
      <c r="BD15" s="380"/>
      <c r="BE15" s="380"/>
      <c r="BF15" s="380"/>
      <c r="BG15" s="380"/>
      <c r="BH15" s="380"/>
      <c r="BI15" s="380"/>
      <c r="BJ15" s="380"/>
      <c r="BK15" s="380"/>
      <c r="BL15" s="380"/>
      <c r="BM15" s="380"/>
      <c r="BN15" s="380"/>
      <c r="BO15" s="380"/>
      <c r="BP15" s="380"/>
      <c r="BQ15" s="380"/>
      <c r="BR15" s="380"/>
      <c r="BS15" s="380"/>
      <c r="BT15" s="380"/>
      <c r="BU15" s="380"/>
      <c r="BV15" s="380"/>
      <c r="BW15" s="380"/>
      <c r="BX15" s="380"/>
      <c r="BY15" s="380"/>
      <c r="BZ15" s="380"/>
      <c r="CA15" s="380"/>
      <c r="CB15" s="380"/>
      <c r="CC15" s="380"/>
      <c r="CD15" s="380"/>
      <c r="CE15" s="380"/>
      <c r="CF15" s="380"/>
    </row>
    <row r="16" spans="1:84">
      <c r="B16" s="599" t="s">
        <v>262</v>
      </c>
      <c r="C16" s="602">
        <f>DATE(YEAR(C14),MONTH(C14),1)</f>
        <v>44378</v>
      </c>
      <c r="D16" s="265"/>
      <c r="E16" s="607"/>
      <c r="F16" s="608" t="s">
        <v>723</v>
      </c>
      <c r="G16" s="609">
        <v>44757.405231481483</v>
      </c>
      <c r="H16" s="1593"/>
      <c r="I16" s="9"/>
      <c r="J16" s="580" t="s">
        <v>724</v>
      </c>
      <c r="K16" s="587">
        <f>K14/VLOOKUP(DATE(YEAR(SAS_RA0_DataInicio),MONTH(SAS_RA0_DataInicio)-1,DAY(SAS_RA0_DataInicio)),Índices!$B$7:$F$500,2,FALSE)-1</f>
        <v>0.10704236088323049</v>
      </c>
      <c r="L16" s="593"/>
      <c r="M16" s="558"/>
      <c r="O16" s="9"/>
      <c r="Q16" s="534"/>
      <c r="R16" s="380"/>
      <c r="S16" s="380"/>
      <c r="T16" s="380"/>
      <c r="U16" s="380"/>
      <c r="V16" s="380"/>
      <c r="W16" s="380"/>
      <c r="X16" s="380"/>
      <c r="Y16" s="380"/>
      <c r="Z16" s="380"/>
      <c r="AA16" s="380"/>
      <c r="AB16" s="380"/>
      <c r="AC16" s="380"/>
      <c r="AD16" s="380"/>
      <c r="AE16" s="380"/>
      <c r="AF16" s="380"/>
      <c r="AG16" s="380"/>
      <c r="AH16" s="380"/>
      <c r="AI16" s="380"/>
      <c r="AJ16" s="380"/>
      <c r="AK16" s="380"/>
      <c r="AL16" s="380"/>
      <c r="AM16" s="380"/>
      <c r="AN16" s="380"/>
      <c r="AO16" s="380"/>
      <c r="AP16" s="380"/>
      <c r="AQ16" s="380"/>
      <c r="AR16" s="380"/>
      <c r="AS16" s="380"/>
      <c r="AT16" s="380"/>
      <c r="AU16" s="380"/>
      <c r="AV16" s="380"/>
      <c r="AW16" s="380"/>
      <c r="AX16" s="380"/>
      <c r="AY16" s="380"/>
      <c r="AZ16" s="380"/>
      <c r="BA16" s="380"/>
      <c r="BB16" s="380"/>
      <c r="BC16" s="380"/>
      <c r="BD16" s="380"/>
      <c r="BE16" s="380"/>
      <c r="BF16" s="380"/>
      <c r="BG16" s="380"/>
      <c r="BH16" s="380"/>
      <c r="BI16" s="380"/>
      <c r="BJ16" s="380"/>
      <c r="BK16" s="380"/>
      <c r="BL16" s="380"/>
      <c r="BM16" s="380"/>
      <c r="BN16" s="380"/>
      <c r="BO16" s="380"/>
      <c r="BP16" s="380"/>
      <c r="BQ16" s="380"/>
      <c r="BR16" s="380"/>
      <c r="BS16" s="380"/>
      <c r="BT16" s="380"/>
      <c r="BU16" s="380"/>
      <c r="BV16" s="380"/>
      <c r="BW16" s="380"/>
      <c r="BX16" s="380"/>
      <c r="BY16" s="380"/>
      <c r="BZ16" s="380"/>
      <c r="CA16" s="380"/>
      <c r="CB16" s="380"/>
      <c r="CC16" s="380"/>
      <c r="CD16" s="380"/>
      <c r="CE16" s="380"/>
      <c r="CF16" s="380"/>
    </row>
    <row r="17" spans="1:84">
      <c r="B17" s="599" t="s">
        <v>263</v>
      </c>
      <c r="C17" s="602">
        <f>DATE(YEAR(C15),MONTH(C15)-1,1)</f>
        <v>44713</v>
      </c>
      <c r="D17" s="265"/>
      <c r="E17" s="607"/>
      <c r="F17" s="608" t="s">
        <v>725</v>
      </c>
      <c r="G17" s="609">
        <v>44757.404814814814</v>
      </c>
      <c r="H17" s="9"/>
      <c r="I17" s="374"/>
      <c r="J17" s="580" t="s">
        <v>726</v>
      </c>
      <c r="K17" s="1062">
        <f>K15/VLOOKUP(DATE(YEAR(SAS_RA0_DataInicio),MONTH(SAS_RA0_DataInicio)-1,DAY(SAS_RA0_DataInicio)),Índices!$B$7:$F$500,3,FALSE)-1</f>
        <v>0.11886869625198027</v>
      </c>
      <c r="L17" s="9"/>
      <c r="M17" s="558"/>
      <c r="O17" s="9"/>
      <c r="Q17" s="534"/>
      <c r="R17" s="380"/>
      <c r="S17" s="380"/>
      <c r="T17" s="380"/>
      <c r="U17" s="380"/>
      <c r="V17" s="380"/>
      <c r="W17" s="380"/>
      <c r="X17" s="380"/>
      <c r="Y17" s="380"/>
      <c r="Z17" s="380"/>
      <c r="AA17" s="380"/>
      <c r="AB17" s="380"/>
      <c r="AC17" s="380"/>
      <c r="AD17" s="380"/>
      <c r="AE17" s="380"/>
      <c r="AF17" s="380"/>
      <c r="AG17" s="380"/>
      <c r="AH17" s="380"/>
      <c r="AI17" s="380"/>
      <c r="AJ17" s="380"/>
      <c r="AK17" s="380"/>
      <c r="AL17" s="380"/>
      <c r="AM17" s="380"/>
      <c r="AN17" s="380"/>
      <c r="AO17" s="380"/>
      <c r="AP17" s="380"/>
      <c r="AQ17" s="380"/>
      <c r="AR17" s="380"/>
      <c r="AS17" s="380"/>
      <c r="AT17" s="380"/>
      <c r="AU17" s="380"/>
      <c r="AV17" s="380"/>
      <c r="AW17" s="380"/>
      <c r="AX17" s="380"/>
      <c r="AY17" s="380"/>
      <c r="AZ17" s="380"/>
      <c r="BA17" s="380"/>
      <c r="BB17" s="380"/>
      <c r="BC17" s="380"/>
      <c r="BD17" s="380"/>
      <c r="BE17" s="380"/>
      <c r="BF17" s="380"/>
      <c r="BG17" s="380"/>
      <c r="BH17" s="380"/>
      <c r="BI17" s="380"/>
      <c r="BJ17" s="380"/>
      <c r="BK17" s="380"/>
      <c r="BL17" s="380"/>
      <c r="BM17" s="380"/>
      <c r="BN17" s="380"/>
      <c r="BO17" s="380"/>
      <c r="BP17" s="380"/>
      <c r="BQ17" s="380"/>
      <c r="BR17" s="380"/>
      <c r="BS17" s="380"/>
      <c r="BT17" s="380"/>
      <c r="BU17" s="380"/>
      <c r="BV17" s="380"/>
      <c r="BW17" s="380"/>
      <c r="BX17" s="380"/>
      <c r="BY17" s="380"/>
      <c r="BZ17" s="380"/>
      <c r="CA17" s="380"/>
      <c r="CB17" s="380"/>
      <c r="CC17" s="380"/>
      <c r="CD17" s="380"/>
      <c r="CE17" s="380"/>
      <c r="CF17" s="380"/>
    </row>
    <row r="18" spans="1:84">
      <c r="B18" s="599" t="s">
        <v>727</v>
      </c>
      <c r="C18" s="1650" t="str">
        <f ca="1">C110</f>
        <v>REAJUSTE</v>
      </c>
      <c r="D18" s="265"/>
      <c r="E18" s="607"/>
      <c r="F18" s="608" t="s">
        <v>728</v>
      </c>
      <c r="G18" s="609">
        <v>44757.404074074075</v>
      </c>
      <c r="I18" s="374"/>
      <c r="J18" s="585" t="s">
        <v>729</v>
      </c>
      <c r="K18" s="590">
        <f>VLOOKUP(DATE(YEAR(SAS_RA0_DataFim),MONTH(SAS_RA0_DataFim)-1,DAY(SAS_RA0_DataFim)),Índices!$B$7:$F$500,3,FALSE)/VLOOKUP(DATE(YEAR(L18),MONTH(L18)-1,1),Índices!$B$7:$F$500,3,FALSE)-1</f>
        <v>5.5498223247071543E-2</v>
      </c>
      <c r="L18" s="17">
        <f>VLOOKUP(C9,Informacoes[],18,FALSE)</f>
        <v>44531</v>
      </c>
      <c r="M18" s="558"/>
      <c r="N18" s="9"/>
      <c r="O18" s="9"/>
      <c r="Q18" s="534"/>
      <c r="R18" s="380"/>
      <c r="S18" s="380"/>
      <c r="T18" s="380"/>
      <c r="U18" s="380"/>
      <c r="V18" s="380"/>
      <c r="W18" s="380"/>
      <c r="X18" s="380"/>
      <c r="Y18" s="380"/>
      <c r="Z18" s="380"/>
      <c r="AA18" s="380"/>
      <c r="AB18" s="380"/>
      <c r="AC18" s="380"/>
      <c r="AD18" s="380"/>
      <c r="AE18" s="380"/>
      <c r="AF18" s="380"/>
      <c r="AG18" s="380"/>
      <c r="AH18" s="380"/>
      <c r="AI18" s="380"/>
      <c r="AJ18" s="380"/>
      <c r="AK18" s="380"/>
      <c r="AL18" s="380"/>
      <c r="AM18" s="380"/>
      <c r="AN18" s="380"/>
      <c r="AO18" s="380"/>
      <c r="AP18" s="380"/>
      <c r="AQ18" s="380"/>
      <c r="AR18" s="380"/>
      <c r="AS18" s="380"/>
      <c r="AT18" s="380"/>
      <c r="AU18" s="380"/>
      <c r="AV18" s="380"/>
      <c r="AW18" s="380"/>
      <c r="AX18" s="380"/>
      <c r="AY18" s="380"/>
      <c r="AZ18" s="380"/>
      <c r="BA18" s="380"/>
      <c r="BB18" s="380"/>
      <c r="BC18" s="380"/>
      <c r="BD18" s="380"/>
      <c r="BE18" s="380"/>
      <c r="BF18" s="380"/>
      <c r="BG18" s="380"/>
      <c r="BH18" s="380"/>
      <c r="BI18" s="380"/>
      <c r="BJ18" s="380"/>
      <c r="BK18" s="380"/>
      <c r="BL18" s="380"/>
      <c r="BM18" s="380"/>
      <c r="BN18" s="380"/>
      <c r="BO18" s="380"/>
      <c r="BP18" s="380"/>
      <c r="BQ18" s="380"/>
      <c r="BR18" s="380"/>
      <c r="BS18" s="380"/>
      <c r="BT18" s="380"/>
      <c r="BU18" s="380"/>
      <c r="BV18" s="380"/>
      <c r="BW18" s="380"/>
      <c r="BX18" s="380"/>
      <c r="BY18" s="380"/>
      <c r="BZ18" s="380"/>
      <c r="CA18" s="380"/>
      <c r="CB18" s="380"/>
      <c r="CC18" s="380"/>
      <c r="CD18" s="380"/>
      <c r="CE18" s="380"/>
      <c r="CF18" s="380"/>
    </row>
    <row r="19" spans="1:84">
      <c r="D19" s="9"/>
      <c r="I19" s="374"/>
      <c r="J19" s="274"/>
      <c r="K19" s="587"/>
      <c r="L19" s="17"/>
      <c r="M19" s="558"/>
      <c r="N19" s="9"/>
      <c r="O19" s="9"/>
      <c r="Q19" s="534"/>
      <c r="R19" s="380"/>
      <c r="S19" s="380"/>
      <c r="T19" s="380"/>
      <c r="U19" s="380"/>
      <c r="V19" s="380"/>
      <c r="W19" s="380"/>
      <c r="X19" s="380"/>
      <c r="Y19" s="380"/>
      <c r="Z19" s="380"/>
      <c r="AA19" s="380"/>
      <c r="AB19" s="380"/>
      <c r="AC19" s="380"/>
      <c r="AD19" s="380"/>
      <c r="AE19" s="380"/>
      <c r="AF19" s="380"/>
      <c r="AG19" s="380"/>
      <c r="AH19" s="380"/>
      <c r="AI19" s="380"/>
      <c r="AJ19" s="380"/>
      <c r="AK19" s="380"/>
      <c r="AL19" s="380"/>
      <c r="AM19" s="380"/>
      <c r="AN19" s="380"/>
      <c r="AO19" s="380"/>
      <c r="AP19" s="380"/>
      <c r="AQ19" s="380"/>
      <c r="AR19" s="380"/>
      <c r="AS19" s="380"/>
      <c r="AT19" s="380"/>
      <c r="AU19" s="380"/>
      <c r="AV19" s="380"/>
      <c r="AW19" s="380"/>
      <c r="AX19" s="380"/>
      <c r="AY19" s="380"/>
      <c r="AZ19" s="380"/>
      <c r="BA19" s="380"/>
      <c r="BB19" s="380"/>
      <c r="BC19" s="380"/>
      <c r="BD19" s="380"/>
      <c r="BE19" s="380"/>
      <c r="BF19" s="380"/>
      <c r="BG19" s="380"/>
      <c r="BH19" s="380"/>
      <c r="BI19" s="380"/>
      <c r="BJ19" s="380"/>
      <c r="BK19" s="380"/>
      <c r="BL19" s="380"/>
      <c r="BM19" s="380"/>
      <c r="BN19" s="380"/>
      <c r="BO19" s="380"/>
      <c r="BP19" s="380"/>
      <c r="BQ19" s="380"/>
      <c r="BR19" s="380"/>
      <c r="BS19" s="380"/>
      <c r="BT19" s="380"/>
      <c r="BU19" s="380"/>
      <c r="BV19" s="380"/>
      <c r="BW19" s="380"/>
      <c r="BX19" s="380"/>
      <c r="BY19" s="380"/>
      <c r="BZ19" s="380"/>
      <c r="CA19" s="380"/>
      <c r="CB19" s="380"/>
      <c r="CC19" s="380"/>
      <c r="CD19" s="380"/>
      <c r="CE19" s="380"/>
      <c r="CF19" s="380"/>
    </row>
    <row r="20" spans="1:84">
      <c r="D20" s="9"/>
      <c r="I20" s="374"/>
      <c r="J20" s="274"/>
      <c r="K20" s="773"/>
      <c r="L20" s="17"/>
      <c r="M20" s="558"/>
      <c r="N20" s="9"/>
      <c r="O20" s="9"/>
      <c r="Q20" s="534"/>
      <c r="R20" s="380"/>
      <c r="S20" s="380"/>
      <c r="T20" s="380"/>
      <c r="U20" s="380"/>
      <c r="V20" s="380"/>
      <c r="W20" s="380"/>
      <c r="X20" s="380"/>
      <c r="Y20" s="380"/>
      <c r="Z20" s="380"/>
      <c r="AA20" s="380"/>
      <c r="AB20" s="380"/>
      <c r="AC20" s="380"/>
      <c r="AD20" s="380"/>
      <c r="AE20" s="380"/>
      <c r="AF20" s="380"/>
      <c r="AG20" s="380"/>
      <c r="AH20" s="380"/>
      <c r="AI20" s="380"/>
      <c r="AJ20" s="380"/>
      <c r="AK20" s="380"/>
      <c r="AL20" s="380"/>
      <c r="AM20" s="380"/>
      <c r="AN20" s="380"/>
      <c r="AO20" s="380"/>
      <c r="AP20" s="380"/>
      <c r="AQ20" s="380"/>
      <c r="AR20" s="380"/>
      <c r="AS20" s="380"/>
      <c r="AT20" s="380"/>
      <c r="AU20" s="380"/>
      <c r="AV20" s="380"/>
      <c r="AW20" s="380"/>
      <c r="AX20" s="380"/>
      <c r="AY20" s="380"/>
      <c r="AZ20" s="380"/>
      <c r="BA20" s="380"/>
      <c r="BB20" s="380"/>
      <c r="BC20" s="380"/>
      <c r="BD20" s="380"/>
      <c r="BE20" s="380"/>
      <c r="BF20" s="380"/>
      <c r="BG20" s="380"/>
      <c r="BH20" s="380"/>
      <c r="BI20" s="380"/>
      <c r="BJ20" s="380"/>
      <c r="BK20" s="380"/>
      <c r="BL20" s="380"/>
      <c r="BM20" s="380"/>
      <c r="BN20" s="380"/>
      <c r="BO20" s="380"/>
      <c r="BP20" s="380"/>
      <c r="BQ20" s="380"/>
      <c r="BR20" s="380"/>
      <c r="BS20" s="380"/>
      <c r="BT20" s="380"/>
      <c r="BU20" s="380"/>
      <c r="BV20" s="380"/>
      <c r="BW20" s="380"/>
      <c r="BX20" s="380"/>
      <c r="BY20" s="380"/>
      <c r="BZ20" s="380"/>
      <c r="CA20" s="380"/>
      <c r="CB20" s="380"/>
      <c r="CC20" s="380"/>
      <c r="CD20" s="380"/>
      <c r="CE20" s="380"/>
      <c r="CF20" s="380"/>
    </row>
    <row r="21" spans="1:84">
      <c r="D21" s="9"/>
      <c r="I21" s="374"/>
      <c r="J21" s="274"/>
      <c r="K21" s="587"/>
      <c r="L21" s="17"/>
      <c r="M21" s="558"/>
      <c r="N21" s="9"/>
      <c r="O21" s="9"/>
      <c r="Q21" s="534"/>
      <c r="R21" s="380"/>
      <c r="S21" s="380"/>
      <c r="T21" s="380"/>
      <c r="U21" s="380"/>
      <c r="V21" s="380"/>
      <c r="W21" s="380"/>
      <c r="X21" s="380"/>
      <c r="Y21" s="380"/>
      <c r="Z21" s="380"/>
      <c r="AA21" s="380"/>
      <c r="AB21" s="380"/>
      <c r="AC21" s="380"/>
      <c r="AD21" s="380"/>
      <c r="AE21" s="380"/>
      <c r="AF21" s="380"/>
      <c r="AG21" s="380"/>
      <c r="AH21" s="380"/>
      <c r="AI21" s="380"/>
      <c r="AJ21" s="380"/>
      <c r="AK21" s="380"/>
      <c r="AL21" s="380"/>
      <c r="AM21" s="380"/>
      <c r="AN21" s="380"/>
      <c r="AO21" s="380"/>
      <c r="AP21" s="380"/>
      <c r="AQ21" s="380"/>
      <c r="AR21" s="380"/>
      <c r="AS21" s="380"/>
      <c r="AT21" s="380"/>
      <c r="AU21" s="380"/>
      <c r="AV21" s="380"/>
      <c r="AW21" s="380"/>
      <c r="AX21" s="380"/>
      <c r="AY21" s="380"/>
      <c r="AZ21" s="380"/>
      <c r="BA21" s="380"/>
      <c r="BB21" s="380"/>
      <c r="BC21" s="380"/>
      <c r="BD21" s="380"/>
      <c r="BE21" s="380"/>
      <c r="BF21" s="380"/>
      <c r="BG21" s="380"/>
      <c r="BH21" s="380"/>
      <c r="BI21" s="380"/>
      <c r="BJ21" s="380"/>
      <c r="BK21" s="380"/>
      <c r="BL21" s="380"/>
      <c r="BM21" s="380"/>
      <c r="BN21" s="380"/>
      <c r="BO21" s="380"/>
      <c r="BP21" s="380"/>
      <c r="BQ21" s="380"/>
      <c r="BR21" s="380"/>
      <c r="BS21" s="380"/>
      <c r="BT21" s="380"/>
      <c r="BU21" s="380"/>
      <c r="BV21" s="380"/>
      <c r="BW21" s="380"/>
      <c r="BX21" s="380"/>
      <c r="BY21" s="380"/>
      <c r="BZ21" s="380"/>
      <c r="CA21" s="380"/>
      <c r="CB21" s="380"/>
      <c r="CC21" s="380"/>
      <c r="CD21" s="380"/>
      <c r="CE21" s="380"/>
      <c r="CF21" s="380"/>
    </row>
    <row r="22" spans="1:84" ht="16.5" thickBot="1">
      <c r="E22" s="49"/>
      <c r="F22" s="49"/>
      <c r="G22" s="49"/>
      <c r="H22" s="530"/>
      <c r="I22" s="374"/>
      <c r="J22" s="49"/>
      <c r="K22" s="559"/>
      <c r="L22" s="560"/>
      <c r="M22" s="558"/>
      <c r="N22" s="9"/>
      <c r="O22" s="9"/>
      <c r="Q22" s="534"/>
      <c r="R22" s="380"/>
      <c r="S22" s="380"/>
      <c r="T22" s="380"/>
      <c r="U22" s="380"/>
      <c r="V22" s="380"/>
      <c r="W22" s="380"/>
      <c r="X22" s="380"/>
      <c r="Y22" s="380"/>
      <c r="Z22" s="380"/>
      <c r="AA22" s="380"/>
      <c r="AB22" s="380"/>
      <c r="AC22" s="380"/>
      <c r="AD22" s="380"/>
      <c r="AE22" s="380"/>
      <c r="AF22" s="380"/>
      <c r="AG22" s="380"/>
      <c r="AH22" s="380"/>
      <c r="AI22" s="380"/>
      <c r="AJ22" s="380"/>
      <c r="AK22" s="380"/>
      <c r="AL22" s="380"/>
      <c r="AM22" s="380"/>
      <c r="AN22" s="380"/>
      <c r="AO22" s="380"/>
      <c r="AP22" s="380"/>
      <c r="AQ22" s="380"/>
      <c r="AR22" s="380"/>
      <c r="AS22" s="380"/>
      <c r="AT22" s="380"/>
      <c r="AU22" s="380"/>
      <c r="AV22" s="380"/>
      <c r="AW22" s="380"/>
      <c r="AX22" s="380"/>
      <c r="AY22" s="380"/>
      <c r="AZ22" s="380"/>
      <c r="BA22" s="380"/>
      <c r="BB22" s="380"/>
      <c r="BC22" s="380"/>
      <c r="BD22" s="380"/>
      <c r="BE22" s="380"/>
      <c r="BF22" s="380"/>
      <c r="BG22" s="380"/>
      <c r="BH22" s="380"/>
      <c r="BI22" s="380"/>
      <c r="BJ22" s="380"/>
      <c r="BK22" s="380"/>
      <c r="BL22" s="380"/>
      <c r="BM22" s="380"/>
      <c r="BN22" s="380"/>
      <c r="BO22" s="380"/>
      <c r="BP22" s="380"/>
      <c r="BQ22" s="380"/>
      <c r="BR22" s="380"/>
      <c r="BS22" s="380"/>
      <c r="BT22" s="380"/>
      <c r="BU22" s="380"/>
      <c r="BV22" s="380"/>
      <c r="BW22" s="380"/>
      <c r="BX22" s="380"/>
      <c r="BY22" s="380"/>
      <c r="BZ22" s="380"/>
      <c r="CA22" s="380"/>
      <c r="CB22" s="380"/>
      <c r="CC22" s="380"/>
      <c r="CD22" s="380"/>
      <c r="CE22" s="380"/>
      <c r="CF22" s="380"/>
    </row>
    <row r="23" spans="1:84" ht="26.25" thickBot="1">
      <c r="A23" s="549"/>
      <c r="B23" s="539" t="s">
        <v>730</v>
      </c>
      <c r="C23" s="550"/>
      <c r="D23" s="550"/>
      <c r="E23" s="551"/>
      <c r="F23" s="551"/>
      <c r="G23" s="551"/>
      <c r="H23" s="531"/>
      <c r="I23" s="532"/>
      <c r="J23" s="551"/>
      <c r="K23" s="552"/>
      <c r="L23" s="553"/>
      <c r="M23" s="554"/>
      <c r="N23" s="9"/>
      <c r="O23" s="9"/>
      <c r="Q23" s="534"/>
      <c r="R23" s="380"/>
      <c r="S23" s="380"/>
      <c r="T23" s="380"/>
      <c r="U23" s="380"/>
      <c r="V23" s="380"/>
      <c r="W23" s="380"/>
      <c r="X23" s="380"/>
      <c r="Y23" s="380"/>
      <c r="Z23" s="380"/>
      <c r="AA23" s="380"/>
      <c r="AB23" s="380"/>
      <c r="AC23" s="380"/>
      <c r="AD23" s="380"/>
      <c r="AE23" s="380"/>
      <c r="AF23" s="380"/>
      <c r="AG23" s="380"/>
      <c r="AH23" s="380"/>
      <c r="AI23" s="380"/>
      <c r="AJ23" s="380"/>
      <c r="AK23" s="380"/>
      <c r="AL23" s="380"/>
      <c r="AM23" s="380"/>
      <c r="AN23" s="380"/>
      <c r="AO23" s="380"/>
      <c r="AP23" s="380"/>
      <c r="AQ23" s="380"/>
      <c r="AR23" s="380"/>
      <c r="AS23" s="380"/>
      <c r="AT23" s="380"/>
      <c r="AU23" s="380"/>
      <c r="AV23" s="380"/>
      <c r="AW23" s="380"/>
      <c r="AX23" s="380"/>
      <c r="AY23" s="380"/>
      <c r="AZ23" s="380"/>
      <c r="BA23" s="380"/>
      <c r="BB23" s="380"/>
      <c r="BC23" s="380"/>
      <c r="BD23" s="380"/>
      <c r="BE23" s="380"/>
      <c r="BF23" s="380"/>
      <c r="BG23" s="380"/>
      <c r="BH23" s="380"/>
      <c r="BI23" s="380"/>
      <c r="BJ23" s="380"/>
      <c r="BK23" s="380"/>
      <c r="BL23" s="380"/>
      <c r="BM23" s="380"/>
      <c r="BN23" s="380"/>
      <c r="BO23" s="380"/>
      <c r="BP23" s="380"/>
      <c r="BQ23" s="380"/>
      <c r="BR23" s="380"/>
      <c r="BS23" s="380"/>
      <c r="BT23" s="380"/>
      <c r="BU23" s="380"/>
      <c r="BV23" s="380"/>
      <c r="BW23" s="380"/>
      <c r="BX23" s="380"/>
      <c r="BY23" s="380"/>
      <c r="BZ23" s="380"/>
      <c r="CA23" s="380"/>
      <c r="CB23" s="380"/>
      <c r="CC23" s="380"/>
      <c r="CD23" s="380"/>
      <c r="CE23" s="380"/>
      <c r="CF23" s="380"/>
    </row>
    <row r="24" spans="1:84">
      <c r="E24" s="49"/>
      <c r="F24" s="49"/>
      <c r="G24" s="49"/>
      <c r="H24" s="530"/>
      <c r="I24" s="374"/>
      <c r="J24" s="49"/>
      <c r="K24" s="559"/>
      <c r="L24" s="560"/>
      <c r="M24" s="625"/>
      <c r="N24" s="567"/>
      <c r="O24" s="9"/>
      <c r="Q24" s="534"/>
      <c r="R24" s="380"/>
      <c r="S24" s="380"/>
      <c r="T24" s="380"/>
      <c r="U24" s="380"/>
      <c r="V24" s="380"/>
      <c r="W24" s="380"/>
      <c r="X24" s="380"/>
      <c r="Y24" s="380"/>
      <c r="Z24" s="380"/>
      <c r="AA24" s="380"/>
      <c r="AB24" s="380"/>
      <c r="AC24" s="380"/>
      <c r="AD24" s="380"/>
      <c r="AE24" s="380"/>
      <c r="AF24" s="380"/>
      <c r="AG24" s="380"/>
      <c r="AH24" s="380"/>
      <c r="AI24" s="380"/>
      <c r="AJ24" s="380"/>
      <c r="AK24" s="380"/>
      <c r="AL24" s="380"/>
      <c r="AM24" s="380"/>
      <c r="AN24" s="380"/>
      <c r="AO24" s="380"/>
      <c r="AP24" s="380"/>
      <c r="AQ24" s="380"/>
      <c r="AR24" s="380"/>
      <c r="AS24" s="380"/>
      <c r="AT24" s="380"/>
      <c r="AU24" s="380"/>
      <c r="AV24" s="380"/>
      <c r="AW24" s="380"/>
      <c r="AX24" s="380"/>
      <c r="AY24" s="380"/>
      <c r="AZ24" s="380"/>
      <c r="BA24" s="380"/>
      <c r="BB24" s="380"/>
      <c r="BC24" s="380"/>
      <c r="BD24" s="380"/>
      <c r="BE24" s="380"/>
      <c r="BF24" s="380"/>
      <c r="BG24" s="380"/>
      <c r="BH24" s="380"/>
      <c r="BI24" s="380"/>
      <c r="BJ24" s="380"/>
      <c r="BK24" s="380"/>
      <c r="BL24" s="380"/>
      <c r="BM24" s="380"/>
      <c r="BN24" s="380"/>
      <c r="BO24" s="380"/>
      <c r="BP24" s="380"/>
      <c r="BQ24" s="380"/>
      <c r="BR24" s="380"/>
      <c r="BS24" s="380"/>
      <c r="BT24" s="380"/>
      <c r="BU24" s="380"/>
      <c r="BV24" s="380"/>
      <c r="BW24" s="380"/>
      <c r="BX24" s="380"/>
      <c r="BY24" s="380"/>
      <c r="BZ24" s="380"/>
      <c r="CA24" s="380"/>
      <c r="CB24" s="380"/>
      <c r="CC24" s="380"/>
      <c r="CD24" s="380"/>
      <c r="CE24" s="380"/>
      <c r="CF24" s="380"/>
    </row>
    <row r="25" spans="1:84">
      <c r="D25" s="561"/>
      <c r="F25" s="562"/>
      <c r="G25" s="563"/>
      <c r="L25" s="560"/>
      <c r="M25" s="558"/>
      <c r="N25" s="567"/>
      <c r="O25" s="9"/>
      <c r="Q25" s="534"/>
      <c r="R25" s="380"/>
      <c r="S25" s="380"/>
      <c r="T25" s="380"/>
      <c r="U25" s="380"/>
      <c r="V25" s="380"/>
      <c r="W25" s="380"/>
      <c r="X25" s="380"/>
      <c r="Y25" s="380"/>
      <c r="Z25" s="380"/>
      <c r="AA25" s="380"/>
      <c r="AB25" s="380"/>
      <c r="AC25" s="380"/>
      <c r="AD25" s="380"/>
      <c r="AE25" s="380"/>
      <c r="AF25" s="380"/>
      <c r="AG25" s="380"/>
      <c r="AH25" s="380"/>
      <c r="AI25" s="380"/>
      <c r="AJ25" s="380"/>
      <c r="AK25" s="380"/>
      <c r="AL25" s="380"/>
      <c r="AM25" s="380"/>
      <c r="AN25" s="380"/>
      <c r="AO25" s="380"/>
      <c r="AP25" s="380"/>
      <c r="AQ25" s="380"/>
      <c r="AR25" s="380"/>
      <c r="AS25" s="380"/>
      <c r="AT25" s="380"/>
      <c r="AU25" s="380"/>
      <c r="AV25" s="380"/>
      <c r="AW25" s="380"/>
      <c r="AX25" s="380"/>
      <c r="AY25" s="380"/>
      <c r="AZ25" s="380"/>
      <c r="BA25" s="380"/>
      <c r="BB25" s="380"/>
      <c r="BC25" s="380"/>
      <c r="BD25" s="380"/>
      <c r="BE25" s="380"/>
      <c r="BF25" s="380"/>
      <c r="BG25" s="380"/>
      <c r="BH25" s="380"/>
      <c r="BI25" s="380"/>
      <c r="BJ25" s="380"/>
      <c r="BK25" s="380"/>
      <c r="BL25" s="380"/>
      <c r="BM25" s="380"/>
      <c r="BN25" s="380"/>
      <c r="BO25" s="380"/>
      <c r="BP25" s="380"/>
      <c r="BQ25" s="380"/>
      <c r="BR25" s="380"/>
      <c r="BS25" s="380"/>
      <c r="BT25" s="380"/>
      <c r="BU25" s="380"/>
      <c r="BV25" s="380"/>
      <c r="BW25" s="380"/>
      <c r="BX25" s="380"/>
      <c r="BY25" s="380"/>
      <c r="BZ25" s="380"/>
      <c r="CA25" s="380"/>
      <c r="CB25" s="380"/>
      <c r="CC25" s="380"/>
      <c r="CD25" s="380"/>
      <c r="CE25" s="380"/>
      <c r="CF25" s="380"/>
    </row>
    <row r="26" spans="1:84" ht="18">
      <c r="B26" s="730" t="s">
        <v>731</v>
      </c>
      <c r="C26" s="592"/>
      <c r="D26" s="1063"/>
      <c r="E26" s="1064"/>
      <c r="F26" s="1065"/>
      <c r="G26" s="1066"/>
      <c r="H26" s="1063"/>
      <c r="I26" s="1063"/>
      <c r="J26" s="1063"/>
      <c r="K26" s="1067"/>
      <c r="L26" s="1068"/>
      <c r="M26" s="558"/>
      <c r="N26" s="567"/>
      <c r="O26" s="9"/>
      <c r="Q26" s="534"/>
      <c r="R26" s="380"/>
      <c r="S26" s="380"/>
      <c r="T26" s="380"/>
      <c r="U26" s="380"/>
      <c r="V26" s="380"/>
      <c r="W26" s="380"/>
      <c r="X26" s="380"/>
      <c r="Y26" s="380"/>
      <c r="Z26" s="380"/>
      <c r="AA26" s="380"/>
      <c r="AB26" s="380"/>
      <c r="AC26" s="380"/>
      <c r="AD26" s="380"/>
      <c r="AE26" s="380"/>
      <c r="AF26" s="380"/>
      <c r="AG26" s="380"/>
      <c r="AH26" s="380"/>
      <c r="AI26" s="380"/>
      <c r="AJ26" s="380"/>
      <c r="AK26" s="380"/>
      <c r="AL26" s="380"/>
      <c r="AM26" s="380"/>
      <c r="AN26" s="380"/>
      <c r="AO26" s="380"/>
      <c r="AP26" s="380"/>
      <c r="AQ26" s="380"/>
      <c r="AR26" s="380"/>
      <c r="AS26" s="380"/>
      <c r="AT26" s="380"/>
      <c r="AU26" s="380"/>
      <c r="AV26" s="380"/>
      <c r="AW26" s="380"/>
      <c r="AX26" s="380"/>
      <c r="AY26" s="380"/>
      <c r="AZ26" s="380"/>
      <c r="BA26" s="380"/>
      <c r="BB26" s="380"/>
      <c r="BC26" s="380"/>
      <c r="BD26" s="380"/>
      <c r="BE26" s="380"/>
      <c r="BF26" s="380"/>
      <c r="BG26" s="380"/>
      <c r="BH26" s="380"/>
      <c r="BI26" s="380"/>
      <c r="BJ26" s="380"/>
      <c r="BK26" s="380"/>
      <c r="BL26" s="380"/>
      <c r="BM26" s="380"/>
      <c r="BN26" s="380"/>
      <c r="BO26" s="380"/>
      <c r="BP26" s="380"/>
      <c r="BQ26" s="380"/>
      <c r="BR26" s="380"/>
      <c r="BS26" s="380"/>
      <c r="BT26" s="380"/>
      <c r="BU26" s="380"/>
      <c r="BV26" s="380"/>
      <c r="BW26" s="380"/>
      <c r="BX26" s="380"/>
      <c r="BY26" s="380"/>
      <c r="BZ26" s="380"/>
      <c r="CA26" s="380"/>
      <c r="CB26" s="380"/>
      <c r="CC26" s="380"/>
      <c r="CD26" s="380"/>
      <c r="CE26" s="380"/>
      <c r="CF26" s="380"/>
    </row>
    <row r="27" spans="1:84">
      <c r="L27" s="560"/>
      <c r="M27" s="558"/>
      <c r="N27" s="567"/>
      <c r="O27" s="9"/>
      <c r="R27" s="380"/>
      <c r="S27" s="380"/>
      <c r="T27" s="380"/>
      <c r="U27" s="380"/>
      <c r="V27" s="380"/>
      <c r="W27" s="380"/>
      <c r="X27" s="380"/>
      <c r="Y27" s="380"/>
      <c r="Z27" s="380"/>
      <c r="AA27" s="380"/>
      <c r="AB27" s="380"/>
      <c r="AC27" s="380"/>
      <c r="AD27" s="380"/>
      <c r="AE27" s="380"/>
      <c r="AF27" s="380"/>
      <c r="AG27" s="380"/>
      <c r="AH27" s="380"/>
      <c r="AI27" s="380"/>
      <c r="AJ27" s="380"/>
      <c r="AK27" s="380"/>
      <c r="AL27" s="380"/>
      <c r="AM27" s="380"/>
      <c r="AN27" s="380"/>
      <c r="AO27" s="380"/>
      <c r="AP27" s="380"/>
      <c r="AQ27" s="380"/>
      <c r="AR27" s="380"/>
      <c r="AS27" s="380"/>
      <c r="AT27" s="380"/>
      <c r="AU27" s="380"/>
      <c r="AV27" s="380"/>
      <c r="AW27" s="380"/>
      <c r="AX27" s="380"/>
      <c r="AY27" s="380"/>
      <c r="AZ27" s="380"/>
      <c r="BA27" s="380"/>
      <c r="BB27" s="380"/>
      <c r="BC27" s="380"/>
      <c r="BD27" s="380"/>
      <c r="BE27" s="380"/>
      <c r="BF27" s="380"/>
      <c r="BG27" s="380"/>
      <c r="BH27" s="380"/>
      <c r="BI27" s="380"/>
      <c r="BJ27" s="380"/>
      <c r="BK27" s="380"/>
      <c r="BL27" s="380"/>
      <c r="BM27" s="380"/>
      <c r="BN27" s="380"/>
      <c r="BO27" s="380"/>
      <c r="BP27" s="380"/>
      <c r="BQ27" s="380"/>
      <c r="BR27" s="380"/>
      <c r="BS27" s="380"/>
      <c r="BT27" s="380"/>
      <c r="BU27" s="380"/>
      <c r="BV27" s="380"/>
      <c r="BW27" s="380"/>
      <c r="BX27" s="380"/>
      <c r="BY27" s="380"/>
      <c r="BZ27" s="380"/>
      <c r="CA27" s="380"/>
      <c r="CB27" s="380"/>
      <c r="CC27" s="380"/>
      <c r="CD27" s="380"/>
      <c r="CE27" s="380"/>
      <c r="CF27" s="380"/>
    </row>
    <row r="28" spans="1:84">
      <c r="B28" s="585" t="s">
        <v>732</v>
      </c>
      <c r="C28" s="1714" t="s">
        <v>2326</v>
      </c>
      <c r="D28" s="1714"/>
      <c r="E28" s="9"/>
      <c r="F28" s="591" t="s">
        <v>733</v>
      </c>
      <c r="G28" s="592"/>
      <c r="H28" s="592"/>
      <c r="I28" s="9"/>
      <c r="J28" s="591" t="s">
        <v>734</v>
      </c>
      <c r="K28" s="592"/>
      <c r="L28" s="17"/>
      <c r="M28" s="558"/>
      <c r="N28" s="567"/>
      <c r="O28" s="9"/>
      <c r="R28" s="380"/>
      <c r="S28" s="380"/>
      <c r="T28" s="380"/>
      <c r="U28" s="380"/>
      <c r="V28" s="380"/>
      <c r="W28" s="380"/>
      <c r="X28" s="380"/>
      <c r="Y28" s="380"/>
      <c r="Z28" s="380"/>
      <c r="AA28" s="380"/>
      <c r="AB28" s="380"/>
      <c r="AC28" s="380"/>
      <c r="AD28" s="380"/>
      <c r="AE28" s="380"/>
      <c r="AF28" s="380"/>
      <c r="AG28" s="380"/>
      <c r="AH28" s="380"/>
      <c r="AI28" s="380"/>
      <c r="AJ28" s="380"/>
      <c r="AK28" s="380"/>
      <c r="AL28" s="380"/>
      <c r="AM28" s="380"/>
      <c r="AN28" s="380"/>
      <c r="AO28" s="380"/>
      <c r="AP28" s="380"/>
      <c r="AQ28" s="380"/>
      <c r="AR28" s="380"/>
      <c r="AS28" s="380"/>
      <c r="AT28" s="380"/>
      <c r="AU28" s="380"/>
      <c r="AV28" s="380"/>
      <c r="AW28" s="380"/>
      <c r="AX28" s="380"/>
      <c r="AY28" s="380"/>
      <c r="AZ28" s="380"/>
      <c r="BA28" s="380"/>
      <c r="BB28" s="380"/>
      <c r="BC28" s="380"/>
      <c r="BD28" s="380"/>
      <c r="BE28" s="380"/>
      <c r="BF28" s="380"/>
      <c r="BG28" s="380"/>
      <c r="BH28" s="380"/>
      <c r="BI28" s="380"/>
      <c r="BJ28" s="380"/>
      <c r="BK28" s="380"/>
      <c r="BL28" s="380"/>
      <c r="BM28" s="380"/>
      <c r="BN28" s="380"/>
      <c r="BO28" s="380"/>
      <c r="BP28" s="380"/>
      <c r="BQ28" s="380"/>
      <c r="BR28" s="380"/>
      <c r="BS28" s="380"/>
      <c r="BT28" s="380"/>
      <c r="BU28" s="380"/>
      <c r="BV28" s="380"/>
      <c r="BW28" s="380"/>
      <c r="BX28" s="380"/>
      <c r="BY28" s="380"/>
      <c r="BZ28" s="380"/>
      <c r="CA28" s="380"/>
      <c r="CB28" s="380"/>
      <c r="CC28" s="380"/>
      <c r="CD28" s="380"/>
      <c r="CE28" s="380"/>
      <c r="CF28" s="380"/>
    </row>
    <row r="29" spans="1:84">
      <c r="B29" s="9"/>
      <c r="C29" s="9"/>
      <c r="D29" s="9"/>
      <c r="E29" s="9"/>
      <c r="F29" s="763" t="s">
        <v>735</v>
      </c>
      <c r="G29" s="763"/>
      <c r="H29" s="1069">
        <v>0.193</v>
      </c>
      <c r="I29" s="9"/>
      <c r="J29" s="763" t="s">
        <v>736</v>
      </c>
      <c r="K29" s="1070">
        <f>BD!C26</f>
        <v>7953642.9800000004</v>
      </c>
      <c r="L29" s="17"/>
      <c r="M29" s="558"/>
      <c r="N29" s="567"/>
      <c r="O29" s="9"/>
      <c r="R29" s="380"/>
      <c r="S29" s="380"/>
      <c r="T29" s="380"/>
      <c r="U29" s="380"/>
      <c r="V29" s="380"/>
      <c r="W29" s="380"/>
      <c r="X29" s="380"/>
      <c r="Y29" s="380"/>
      <c r="Z29" s="380"/>
      <c r="AA29" s="380"/>
      <c r="AB29" s="380"/>
      <c r="AC29" s="380"/>
      <c r="AD29" s="380"/>
      <c r="AE29" s="380"/>
      <c r="AF29" s="380"/>
      <c r="AG29" s="380"/>
      <c r="AH29" s="380"/>
      <c r="AI29" s="380"/>
      <c r="AJ29" s="380"/>
      <c r="AK29" s="380"/>
      <c r="AL29" s="380"/>
      <c r="AM29" s="380"/>
      <c r="AN29" s="380"/>
      <c r="AO29" s="380"/>
      <c r="AP29" s="380"/>
      <c r="AQ29" s="380"/>
      <c r="AR29" s="380"/>
      <c r="AS29" s="380"/>
      <c r="AT29" s="380"/>
      <c r="AU29" s="380"/>
      <c r="AV29" s="380"/>
      <c r="AW29" s="380"/>
      <c r="AX29" s="380"/>
      <c r="AY29" s="380"/>
      <c r="AZ29" s="380"/>
      <c r="BA29" s="380"/>
      <c r="BB29" s="380"/>
      <c r="BC29" s="380"/>
      <c r="BD29" s="380"/>
      <c r="BE29" s="380"/>
      <c r="BF29" s="380"/>
      <c r="BG29" s="380"/>
      <c r="BH29" s="380"/>
      <c r="BI29" s="380"/>
      <c r="BJ29" s="380"/>
      <c r="BK29" s="380"/>
      <c r="BL29" s="380"/>
      <c r="BM29" s="380"/>
      <c r="BN29" s="380"/>
      <c r="BO29" s="380"/>
      <c r="BP29" s="380"/>
      <c r="BQ29" s="380"/>
      <c r="BR29" s="380"/>
      <c r="BS29" s="380"/>
      <c r="BT29" s="380"/>
      <c r="BU29" s="380"/>
      <c r="BV29" s="380"/>
      <c r="BW29" s="380"/>
      <c r="BX29" s="380"/>
      <c r="BY29" s="380"/>
      <c r="BZ29" s="380"/>
      <c r="CA29" s="380"/>
      <c r="CB29" s="380"/>
      <c r="CC29" s="380"/>
      <c r="CD29" s="380"/>
      <c r="CE29" s="380"/>
      <c r="CF29" s="380"/>
    </row>
    <row r="30" spans="1:84">
      <c r="B30" s="492" t="s">
        <v>84</v>
      </c>
      <c r="C30" s="9"/>
      <c r="D30" s="9"/>
      <c r="E30" s="9"/>
      <c r="F30" s="764" t="s">
        <v>737</v>
      </c>
      <c r="G30" s="764"/>
      <c r="H30" s="1071"/>
      <c r="I30" s="9"/>
      <c r="J30" s="580" t="s">
        <v>738</v>
      </c>
      <c r="K30" s="594">
        <f>IFERROR(VLOOKUP(LnkTXTSigla,Informacoes[],17,FALSE)*(1+K18),0)</f>
        <v>8886707.1840326414</v>
      </c>
      <c r="L30" s="17"/>
      <c r="M30" s="558"/>
      <c r="O30" s="567"/>
      <c r="R30" s="380"/>
      <c r="S30" s="380"/>
      <c r="T30" s="380"/>
      <c r="U30" s="380"/>
      <c r="V30" s="380"/>
      <c r="W30" s="380"/>
      <c r="X30" s="380"/>
      <c r="Y30" s="380"/>
      <c r="Z30" s="380"/>
      <c r="AA30" s="380"/>
      <c r="AB30" s="380"/>
      <c r="AC30" s="380"/>
      <c r="AD30" s="380"/>
      <c r="AE30" s="380"/>
      <c r="AF30" s="380"/>
      <c r="AG30" s="380"/>
      <c r="AH30" s="380"/>
      <c r="AI30" s="380"/>
      <c r="AJ30" s="380"/>
      <c r="AK30" s="380"/>
      <c r="AL30" s="380"/>
      <c r="AM30" s="380"/>
      <c r="AN30" s="380"/>
      <c r="AO30" s="380"/>
      <c r="AP30" s="380"/>
      <c r="AQ30" s="380"/>
      <c r="AR30" s="380"/>
      <c r="AS30" s="380"/>
      <c r="AT30" s="380"/>
      <c r="AU30" s="380"/>
      <c r="AV30" s="380"/>
      <c r="AW30" s="380"/>
      <c r="AX30" s="380"/>
      <c r="AY30" s="380"/>
      <c r="AZ30" s="380"/>
      <c r="BA30" s="380"/>
      <c r="BB30" s="380"/>
      <c r="BC30" s="380"/>
      <c r="BD30" s="380"/>
      <c r="BE30" s="380"/>
      <c r="BF30" s="380"/>
      <c r="BG30" s="380"/>
      <c r="BH30" s="380"/>
      <c r="BI30" s="380"/>
      <c r="BJ30" s="380"/>
      <c r="BK30" s="380"/>
      <c r="BL30" s="380"/>
      <c r="BM30" s="380"/>
      <c r="BN30" s="380"/>
      <c r="BO30" s="380"/>
      <c r="BP30" s="380"/>
      <c r="BQ30" s="380"/>
      <c r="BR30" s="380"/>
      <c r="BS30" s="380"/>
      <c r="BT30" s="380"/>
      <c r="BU30" s="380"/>
      <c r="BV30" s="380"/>
      <c r="BW30" s="380"/>
      <c r="BX30" s="380"/>
      <c r="BY30" s="380"/>
      <c r="BZ30" s="380"/>
      <c r="CA30" s="380"/>
      <c r="CB30" s="380"/>
      <c r="CC30" s="380"/>
      <c r="CD30" s="380"/>
      <c r="CE30" s="380"/>
      <c r="CF30" s="380"/>
    </row>
    <row r="31" spans="1:84">
      <c r="B31" s="1719" t="s">
        <v>739</v>
      </c>
      <c r="C31" s="1719"/>
      <c r="D31" s="797"/>
      <c r="E31" s="9"/>
      <c r="F31" s="1072"/>
      <c r="G31" s="1072"/>
      <c r="H31" s="1073"/>
      <c r="I31" s="9"/>
      <c r="J31" s="764" t="s">
        <v>740</v>
      </c>
      <c r="K31" s="1074">
        <f>D32+D33+D34</f>
        <v>8886696.2552139182</v>
      </c>
      <c r="L31" s="17" t="s">
        <v>741</v>
      </c>
      <c r="M31" s="558" t="s">
        <v>742</v>
      </c>
      <c r="O31" s="567"/>
      <c r="R31" s="380"/>
      <c r="S31" s="380"/>
      <c r="T31" s="380"/>
      <c r="U31" s="380"/>
      <c r="V31" s="380"/>
      <c r="W31" s="380"/>
      <c r="X31" s="380"/>
      <c r="Y31" s="380"/>
      <c r="Z31" s="380"/>
      <c r="AA31" s="380"/>
      <c r="AB31" s="380"/>
      <c r="AC31" s="380"/>
      <c r="AD31" s="380"/>
      <c r="AE31" s="380"/>
      <c r="AF31" s="380"/>
      <c r="AG31" s="380"/>
      <c r="AH31" s="380"/>
      <c r="AI31" s="380"/>
      <c r="AJ31" s="380"/>
      <c r="AK31" s="380"/>
      <c r="AL31" s="380"/>
      <c r="AM31" s="380"/>
      <c r="AN31" s="380"/>
      <c r="AO31" s="380"/>
      <c r="AP31" s="380"/>
      <c r="AQ31" s="380"/>
      <c r="AR31" s="380"/>
      <c r="AS31" s="380"/>
      <c r="AT31" s="380"/>
      <c r="AU31" s="380"/>
      <c r="AV31" s="380"/>
      <c r="AW31" s="380"/>
      <c r="AX31" s="380"/>
      <c r="AY31" s="380"/>
      <c r="AZ31" s="380"/>
      <c r="BA31" s="380"/>
      <c r="BB31" s="380"/>
      <c r="BC31" s="380"/>
      <c r="BD31" s="380"/>
      <c r="BE31" s="380"/>
      <c r="BF31" s="380"/>
      <c r="BG31" s="380"/>
      <c r="BH31" s="380"/>
      <c r="BI31" s="380"/>
      <c r="BJ31" s="380"/>
      <c r="BK31" s="380"/>
      <c r="BL31" s="380"/>
      <c r="BM31" s="380"/>
      <c r="BN31" s="380"/>
      <c r="BO31" s="380"/>
      <c r="BP31" s="380"/>
      <c r="BQ31" s="380"/>
      <c r="BR31" s="380"/>
      <c r="BS31" s="380"/>
      <c r="BT31" s="380"/>
      <c r="BU31" s="380"/>
      <c r="BV31" s="380"/>
      <c r="BW31" s="380"/>
      <c r="BX31" s="380"/>
      <c r="BY31" s="380"/>
      <c r="BZ31" s="380"/>
      <c r="CA31" s="380"/>
      <c r="CB31" s="380"/>
      <c r="CC31" s="380"/>
      <c r="CD31" s="380"/>
      <c r="CE31" s="380"/>
      <c r="CF31" s="380"/>
    </row>
    <row r="32" spans="1:84">
      <c r="B32" s="1075" t="s">
        <v>743</v>
      </c>
      <c r="C32" s="1075"/>
      <c r="D32" s="808">
        <v>6291047.8400000008</v>
      </c>
      <c r="E32" s="9"/>
      <c r="F32" s="1076" t="s">
        <v>744</v>
      </c>
      <c r="G32" s="1077"/>
      <c r="H32" s="1077"/>
      <c r="I32" s="9"/>
      <c r="J32" s="763" t="s">
        <v>745</v>
      </c>
      <c r="K32" s="1078">
        <f ca="1">VLOOKUP(C9,Informacoes[],30,FALSE)*(VLOOKUP(DATE(AnoRefTar,MONTH(M32)-1,1),Índices!B6:F500,3,FALSE)/VLOOKUP(DATE(YEAR(M32),MONTH(L32)-1,1),Índices!B6:F500,3,FALSE))</f>
        <v>2630709.1586146285</v>
      </c>
      <c r="L32" s="17">
        <f>VLOOKUP(C9,Informacoes[],31,FALSE)</f>
        <v>43647</v>
      </c>
      <c r="M32" s="836">
        <f>VLOOKUP(C9,Informacoes[],32,FALSE)</f>
        <v>43647</v>
      </c>
      <c r="O32" s="567"/>
      <c r="Q32" s="534"/>
      <c r="R32" s="380"/>
      <c r="S32" s="380"/>
      <c r="T32" s="380"/>
      <c r="U32" s="380"/>
      <c r="V32" s="380"/>
      <c r="W32" s="380"/>
      <c r="X32" s="380"/>
      <c r="Y32" s="380"/>
      <c r="Z32" s="380"/>
      <c r="AA32" s="380"/>
      <c r="AB32" s="380"/>
      <c r="AC32" s="380"/>
      <c r="AD32" s="380"/>
      <c r="AE32" s="380"/>
      <c r="AF32" s="380"/>
      <c r="AG32" s="380"/>
      <c r="AH32" s="380"/>
      <c r="AI32" s="380"/>
      <c r="AJ32" s="380"/>
      <c r="AK32" s="380"/>
      <c r="AL32" s="380"/>
      <c r="AM32" s="380"/>
      <c r="AN32" s="380"/>
      <c r="AO32" s="380"/>
      <c r="AP32" s="380"/>
      <c r="AQ32" s="380"/>
      <c r="AR32" s="380"/>
      <c r="AS32" s="380"/>
      <c r="AT32" s="380"/>
      <c r="AU32" s="380"/>
      <c r="AV32" s="380"/>
      <c r="AW32" s="380"/>
      <c r="AX32" s="380"/>
      <c r="AY32" s="380"/>
      <c r="AZ32" s="380"/>
      <c r="BA32" s="380"/>
      <c r="BB32" s="380"/>
      <c r="BC32" s="380"/>
      <c r="BD32" s="380"/>
      <c r="BE32" s="380"/>
      <c r="BF32" s="380"/>
      <c r="BG32" s="380"/>
      <c r="BH32" s="380"/>
      <c r="BI32" s="380"/>
      <c r="BJ32" s="380"/>
      <c r="BK32" s="380"/>
      <c r="BL32" s="380"/>
      <c r="BM32" s="380"/>
      <c r="BN32" s="380"/>
      <c r="BO32" s="380"/>
      <c r="BP32" s="380"/>
      <c r="BQ32" s="380"/>
      <c r="BR32" s="380"/>
      <c r="BS32" s="380"/>
      <c r="BT32" s="380"/>
      <c r="BU32" s="380"/>
      <c r="BV32" s="380"/>
      <c r="BW32" s="380"/>
      <c r="BX32" s="380"/>
      <c r="BY32" s="380"/>
      <c r="BZ32" s="380"/>
      <c r="CA32" s="380"/>
      <c r="CB32" s="380"/>
      <c r="CC32" s="380"/>
      <c r="CD32" s="380"/>
      <c r="CE32" s="380"/>
      <c r="CF32" s="380"/>
    </row>
    <row r="33" spans="1:84">
      <c r="B33" s="1075" t="s">
        <v>746</v>
      </c>
      <c r="C33" s="1075"/>
      <c r="D33" s="809">
        <v>2595648.4152139174</v>
      </c>
      <c r="E33" s="9"/>
      <c r="F33" s="580" t="s">
        <v>747</v>
      </c>
      <c r="G33" s="580"/>
      <c r="H33" s="498">
        <v>3157.7538669999999</v>
      </c>
      <c r="I33" s="9"/>
      <c r="J33" s="764" t="s">
        <v>748</v>
      </c>
      <c r="K33" s="1079">
        <f ca="1">LnkTXTISubvencaoPB/12</f>
        <v>219225.76321788572</v>
      </c>
      <c r="L33" s="17"/>
      <c r="M33" s="543"/>
      <c r="O33" s="9"/>
      <c r="R33" s="380"/>
      <c r="S33" s="380"/>
      <c r="T33" s="380"/>
      <c r="U33" s="380"/>
      <c r="V33" s="380"/>
      <c r="W33" s="380"/>
      <c r="X33" s="380"/>
      <c r="Y33" s="380"/>
      <c r="Z33" s="380"/>
      <c r="AA33" s="380"/>
      <c r="AB33" s="380"/>
      <c r="AC33" s="380"/>
      <c r="AD33" s="380"/>
      <c r="AE33" s="380"/>
      <c r="AF33" s="380"/>
      <c r="AG33" s="380"/>
      <c r="AH33" s="380"/>
      <c r="AI33" s="380"/>
      <c r="AJ33" s="380"/>
      <c r="AK33" s="380"/>
      <c r="AL33" s="380"/>
      <c r="AM33" s="380"/>
      <c r="AN33" s="380"/>
      <c r="AO33" s="380"/>
      <c r="AP33" s="380"/>
      <c r="AQ33" s="380"/>
      <c r="AR33" s="380"/>
      <c r="AS33" s="380"/>
      <c r="AT33" s="380"/>
      <c r="AU33" s="380"/>
      <c r="AV33" s="380"/>
      <c r="AW33" s="380"/>
      <c r="AX33" s="380"/>
      <c r="AY33" s="380"/>
      <c r="AZ33" s="380"/>
      <c r="BA33" s="380"/>
      <c r="BB33" s="380"/>
      <c r="BC33" s="380"/>
      <c r="BD33" s="380"/>
      <c r="BE33" s="380"/>
      <c r="BF33" s="380"/>
      <c r="BG33" s="380"/>
      <c r="BH33" s="380"/>
      <c r="BI33" s="380"/>
      <c r="BJ33" s="380"/>
      <c r="BK33" s="380"/>
      <c r="BL33" s="380"/>
      <c r="BM33" s="380"/>
      <c r="BN33" s="380"/>
      <c r="BO33" s="380"/>
      <c r="BP33" s="380"/>
      <c r="BQ33" s="380"/>
      <c r="BR33" s="380"/>
      <c r="BS33" s="380"/>
      <c r="BT33" s="380"/>
      <c r="BU33" s="380"/>
      <c r="BV33" s="380"/>
      <c r="BW33" s="380"/>
      <c r="BX33" s="380"/>
      <c r="BY33" s="380"/>
      <c r="BZ33" s="380"/>
      <c r="CA33" s="380"/>
      <c r="CB33" s="380"/>
      <c r="CC33" s="380"/>
      <c r="CD33" s="380"/>
      <c r="CE33" s="380"/>
      <c r="CF33" s="380"/>
    </row>
    <row r="34" spans="1:84">
      <c r="B34" s="1080"/>
      <c r="C34" s="1080"/>
      <c r="D34" s="1081"/>
      <c r="E34" s="9"/>
      <c r="F34" s="764" t="s">
        <v>749</v>
      </c>
      <c r="G34" s="764"/>
      <c r="H34" s="1082"/>
      <c r="I34" s="9"/>
      <c r="J34" s="763" t="s">
        <v>750</v>
      </c>
      <c r="K34" s="1083">
        <f>LinkTXTPR</f>
        <v>0.18478264492249999</v>
      </c>
      <c r="L34" s="17"/>
      <c r="M34" s="558"/>
      <c r="O34" s="9"/>
      <c r="Q34" s="534"/>
      <c r="R34" s="380"/>
      <c r="S34" s="380"/>
      <c r="T34" s="380"/>
      <c r="U34" s="380"/>
      <c r="V34" s="380"/>
      <c r="W34" s="380"/>
      <c r="X34" s="380"/>
      <c r="Y34" s="380"/>
      <c r="Z34" s="380"/>
      <c r="AA34" s="380"/>
      <c r="AB34" s="380"/>
      <c r="AC34" s="380"/>
      <c r="AD34" s="380"/>
      <c r="AE34" s="380"/>
      <c r="AF34" s="380"/>
      <c r="AG34" s="380"/>
      <c r="AH34" s="380"/>
      <c r="AI34" s="380"/>
      <c r="AJ34" s="380"/>
      <c r="AK34" s="380"/>
      <c r="AL34" s="380"/>
      <c r="AM34" s="380"/>
      <c r="AN34" s="380"/>
      <c r="AO34" s="380"/>
      <c r="AP34" s="380"/>
      <c r="AQ34" s="380"/>
      <c r="AR34" s="380"/>
      <c r="AS34" s="380"/>
      <c r="AT34" s="380"/>
      <c r="AU34" s="380"/>
      <c r="AV34" s="380"/>
      <c r="AW34" s="380"/>
      <c r="AX34" s="380"/>
      <c r="AY34" s="380"/>
      <c r="AZ34" s="380"/>
      <c r="BA34" s="380"/>
      <c r="BB34" s="380"/>
      <c r="BC34" s="380"/>
      <c r="BD34" s="380"/>
      <c r="BE34" s="380"/>
      <c r="BF34" s="380"/>
      <c r="BG34" s="380"/>
      <c r="BH34" s="380"/>
      <c r="BI34" s="380"/>
      <c r="BJ34" s="380"/>
      <c r="BK34" s="380"/>
      <c r="BL34" s="380"/>
      <c r="BM34" s="380"/>
      <c r="BN34" s="380"/>
      <c r="BO34" s="380"/>
      <c r="BP34" s="380"/>
      <c r="BQ34" s="380"/>
      <c r="BR34" s="380"/>
      <c r="BS34" s="380"/>
      <c r="BT34" s="380"/>
      <c r="BU34" s="380"/>
      <c r="BV34" s="380"/>
      <c r="BW34" s="380"/>
      <c r="BX34" s="380"/>
      <c r="BY34" s="380"/>
      <c r="BZ34" s="380"/>
      <c r="CA34" s="380"/>
      <c r="CB34" s="380"/>
      <c r="CC34" s="380"/>
      <c r="CD34" s="380"/>
      <c r="CE34" s="380"/>
      <c r="CF34" s="380"/>
    </row>
    <row r="35" spans="1:84">
      <c r="B35" s="9"/>
      <c r="C35" s="9"/>
      <c r="D35" s="1084"/>
      <c r="E35" s="9"/>
      <c r="F35" s="596"/>
      <c r="G35" s="1085"/>
      <c r="H35" s="474"/>
      <c r="I35" s="9"/>
      <c r="J35" s="580" t="s">
        <v>751</v>
      </c>
      <c r="K35" s="595">
        <f ca="1">IFERROR(Energia!L20/((Energia!L5+Energia!L6-Energia!L7+Energia!M16)+Energia!L20),0)</f>
        <v>0.20507167697726358</v>
      </c>
      <c r="L35" s="17"/>
      <c r="M35" s="558"/>
      <c r="O35" s="9"/>
      <c r="Q35" s="534"/>
      <c r="R35" s="380"/>
      <c r="S35" s="380"/>
      <c r="T35" s="380"/>
      <c r="U35" s="380"/>
      <c r="V35" s="380"/>
      <c r="W35" s="380"/>
      <c r="X35" s="380"/>
      <c r="Y35" s="380"/>
      <c r="Z35" s="380"/>
      <c r="AA35" s="380"/>
      <c r="AB35" s="380"/>
      <c r="AC35" s="380"/>
      <c r="AD35" s="380"/>
      <c r="AE35" s="380"/>
      <c r="AF35" s="380"/>
      <c r="AG35" s="380"/>
      <c r="AH35" s="380"/>
      <c r="AI35" s="380"/>
      <c r="AJ35" s="380"/>
      <c r="AK35" s="380"/>
      <c r="AL35" s="380"/>
      <c r="AM35" s="380"/>
      <c r="AN35" s="380"/>
      <c r="AO35" s="380"/>
      <c r="AP35" s="380"/>
      <c r="AQ35" s="380"/>
      <c r="AR35" s="380"/>
      <c r="AS35" s="380"/>
      <c r="AT35" s="380"/>
      <c r="AU35" s="380"/>
      <c r="AV35" s="380"/>
      <c r="AW35" s="380"/>
      <c r="AX35" s="380"/>
      <c r="AY35" s="380"/>
      <c r="AZ35" s="380"/>
      <c r="BA35" s="380"/>
      <c r="BB35" s="380"/>
      <c r="BC35" s="380"/>
      <c r="BD35" s="380"/>
      <c r="BE35" s="380"/>
      <c r="BF35" s="380"/>
      <c r="BG35" s="380"/>
      <c r="BH35" s="380"/>
      <c r="BI35" s="380"/>
      <c r="BJ35" s="380"/>
      <c r="BK35" s="380"/>
      <c r="BL35" s="380"/>
      <c r="BM35" s="380"/>
      <c r="BN35" s="380"/>
      <c r="BO35" s="380"/>
      <c r="BP35" s="380"/>
      <c r="BQ35" s="380"/>
      <c r="BR35" s="380"/>
      <c r="BS35" s="380"/>
      <c r="BT35" s="380"/>
      <c r="BU35" s="380"/>
      <c r="BV35" s="380"/>
      <c r="BW35" s="380"/>
      <c r="BX35" s="380"/>
      <c r="BY35" s="380"/>
      <c r="BZ35" s="380"/>
      <c r="CA35" s="380"/>
      <c r="CB35" s="380"/>
      <c r="CC35" s="380"/>
      <c r="CD35" s="380"/>
      <c r="CE35" s="380"/>
      <c r="CF35" s="380"/>
    </row>
    <row r="36" spans="1:84">
      <c r="B36" s="9"/>
      <c r="C36" s="777"/>
      <c r="D36" s="810"/>
      <c r="E36" s="9"/>
      <c r="F36" s="596"/>
      <c r="G36" s="596"/>
      <c r="H36" s="474"/>
      <c r="I36" s="9"/>
      <c r="J36" s="764" t="s">
        <v>752</v>
      </c>
      <c r="K36" s="1086">
        <f ca="1">IFERROR(LNKTXTPercperdas,0)</f>
        <v>0.16164743597351994</v>
      </c>
      <c r="L36" s="17"/>
      <c r="M36" s="558"/>
      <c r="O36" s="9"/>
      <c r="Q36" s="534"/>
      <c r="R36" s="380"/>
      <c r="S36" s="380"/>
      <c r="T36" s="380"/>
      <c r="U36" s="380"/>
      <c r="V36" s="380"/>
      <c r="W36" s="380"/>
      <c r="X36" s="380"/>
      <c r="Y36" s="380"/>
      <c r="Z36" s="380"/>
      <c r="AA36" s="380"/>
      <c r="AB36" s="380"/>
      <c r="AC36" s="380"/>
      <c r="AD36" s="380"/>
      <c r="AE36" s="380"/>
      <c r="AF36" s="380"/>
      <c r="AG36" s="380"/>
      <c r="AH36" s="380"/>
      <c r="AI36" s="380"/>
      <c r="AJ36" s="380"/>
      <c r="AK36" s="380"/>
      <c r="AL36" s="380"/>
      <c r="AM36" s="380"/>
      <c r="AN36" s="380"/>
      <c r="AO36" s="380"/>
      <c r="AP36" s="380"/>
      <c r="AQ36" s="380"/>
      <c r="AR36" s="380"/>
      <c r="AS36" s="380"/>
      <c r="AT36" s="380"/>
      <c r="AU36" s="380"/>
      <c r="AV36" s="380"/>
      <c r="AW36" s="380"/>
      <c r="AX36" s="380"/>
      <c r="AY36" s="380"/>
      <c r="AZ36" s="380"/>
      <c r="BA36" s="380"/>
      <c r="BB36" s="380"/>
      <c r="BC36" s="380"/>
      <c r="BD36" s="380"/>
      <c r="BE36" s="380"/>
      <c r="BF36" s="380"/>
      <c r="BG36" s="380"/>
      <c r="BH36" s="380"/>
      <c r="BI36" s="380"/>
      <c r="BJ36" s="380"/>
      <c r="BK36" s="380"/>
      <c r="BL36" s="380"/>
      <c r="BM36" s="380"/>
      <c r="BN36" s="380"/>
      <c r="BO36" s="380"/>
      <c r="BP36" s="380"/>
      <c r="BQ36" s="380"/>
      <c r="BR36" s="380"/>
      <c r="BS36" s="380"/>
      <c r="BT36" s="380"/>
      <c r="BU36" s="380"/>
      <c r="BV36" s="380"/>
      <c r="BW36" s="380"/>
      <c r="BX36" s="380"/>
      <c r="BY36" s="380"/>
      <c r="BZ36" s="380"/>
      <c r="CA36" s="380"/>
      <c r="CB36" s="380"/>
      <c r="CC36" s="380"/>
      <c r="CD36" s="380"/>
      <c r="CE36" s="380"/>
      <c r="CF36" s="380"/>
    </row>
    <row r="37" spans="1:84" ht="29.25" customHeight="1" thickBot="1">
      <c r="B37" s="9"/>
      <c r="C37" s="9"/>
      <c r="D37" s="597"/>
      <c r="E37" s="9"/>
      <c r="F37" s="596"/>
      <c r="G37" s="596"/>
      <c r="H37" s="474"/>
      <c r="I37" s="9"/>
      <c r="J37" s="274"/>
      <c r="K37" s="474"/>
      <c r="L37" s="779"/>
      <c r="M37" s="566"/>
      <c r="O37" s="9"/>
      <c r="R37" s="380"/>
      <c r="S37" s="380"/>
      <c r="T37" s="380"/>
      <c r="U37" s="380"/>
      <c r="V37" s="380"/>
      <c r="W37" s="380"/>
      <c r="X37" s="380"/>
      <c r="Y37" s="380"/>
      <c r="Z37" s="380"/>
      <c r="AA37" s="380"/>
      <c r="AB37" s="380"/>
      <c r="AC37" s="380"/>
      <c r="AD37" s="380"/>
      <c r="AE37" s="380"/>
      <c r="AF37" s="380"/>
      <c r="AG37" s="380"/>
      <c r="AH37" s="380"/>
      <c r="AI37" s="380"/>
      <c r="AJ37" s="380"/>
      <c r="AK37" s="380"/>
      <c r="AL37" s="380"/>
      <c r="AM37" s="380"/>
      <c r="AN37" s="380"/>
      <c r="AO37" s="380"/>
      <c r="AP37" s="380"/>
      <c r="AQ37" s="380"/>
      <c r="AR37" s="380"/>
      <c r="AS37" s="380"/>
      <c r="AT37" s="380"/>
      <c r="AU37" s="380"/>
      <c r="AV37" s="380"/>
      <c r="AW37" s="380"/>
      <c r="AX37" s="380"/>
      <c r="AY37" s="380"/>
      <c r="AZ37" s="380"/>
      <c r="BA37" s="380"/>
      <c r="BB37" s="380"/>
      <c r="BC37" s="380"/>
      <c r="BD37" s="380"/>
      <c r="BE37" s="380"/>
      <c r="BF37" s="380"/>
      <c r="BG37" s="380"/>
      <c r="BH37" s="380"/>
      <c r="BI37" s="380"/>
      <c r="BJ37" s="380"/>
      <c r="BK37" s="380"/>
      <c r="BL37" s="380"/>
      <c r="BM37" s="380"/>
      <c r="BN37" s="380"/>
      <c r="BO37" s="380"/>
      <c r="BP37" s="380"/>
      <c r="BQ37" s="380"/>
      <c r="BR37" s="380"/>
      <c r="BS37" s="380"/>
      <c r="BT37" s="380"/>
      <c r="BU37" s="380"/>
      <c r="BV37" s="380"/>
      <c r="BW37" s="380"/>
      <c r="BX37" s="380"/>
      <c r="BY37" s="380"/>
      <c r="BZ37" s="380"/>
      <c r="CA37" s="380"/>
      <c r="CB37" s="380"/>
      <c r="CC37" s="380"/>
      <c r="CD37" s="380"/>
      <c r="CE37" s="380"/>
      <c r="CF37" s="380"/>
    </row>
    <row r="38" spans="1:84" ht="26.25" thickBot="1">
      <c r="A38" s="549"/>
      <c r="B38" s="539" t="s">
        <v>753</v>
      </c>
      <c r="C38" s="550"/>
      <c r="D38" s="550"/>
      <c r="E38" s="551"/>
      <c r="F38" s="551"/>
      <c r="G38" s="551"/>
      <c r="H38" s="531"/>
      <c r="I38" s="532"/>
      <c r="J38" s="551"/>
      <c r="K38" s="552"/>
      <c r="L38" s="553"/>
      <c r="M38" s="554"/>
      <c r="O38" s="9"/>
      <c r="Q38" s="534"/>
      <c r="R38" s="380"/>
      <c r="S38" s="380"/>
      <c r="T38" s="380"/>
      <c r="U38" s="380"/>
      <c r="V38" s="380"/>
      <c r="W38" s="380"/>
      <c r="X38" s="380"/>
      <c r="Y38" s="380"/>
      <c r="Z38" s="380"/>
      <c r="AA38" s="380"/>
      <c r="AB38" s="380"/>
      <c r="AC38" s="380"/>
      <c r="AD38" s="380"/>
      <c r="AE38" s="380"/>
      <c r="AF38" s="380"/>
      <c r="AG38" s="380"/>
      <c r="AH38" s="380"/>
      <c r="AI38" s="380"/>
      <c r="AJ38" s="380"/>
      <c r="AK38" s="380"/>
      <c r="AL38" s="380"/>
      <c r="AM38" s="380"/>
      <c r="AN38" s="380"/>
      <c r="AO38" s="380"/>
      <c r="AP38" s="380"/>
      <c r="AQ38" s="380"/>
      <c r="AR38" s="380"/>
      <c r="AS38" s="380"/>
      <c r="AT38" s="380"/>
      <c r="AU38" s="380"/>
      <c r="AV38" s="380"/>
      <c r="AW38" s="380"/>
      <c r="AX38" s="380"/>
      <c r="AY38" s="380"/>
      <c r="AZ38" s="380"/>
      <c r="BA38" s="380"/>
      <c r="BB38" s="380"/>
      <c r="BC38" s="380"/>
      <c r="BD38" s="380"/>
      <c r="BE38" s="380"/>
      <c r="BF38" s="380"/>
      <c r="BG38" s="380"/>
      <c r="BH38" s="380"/>
      <c r="BI38" s="380"/>
      <c r="BJ38" s="380"/>
      <c r="BK38" s="380"/>
      <c r="BL38" s="380"/>
      <c r="BM38" s="380"/>
      <c r="BN38" s="380"/>
      <c r="BO38" s="380"/>
      <c r="BP38" s="380"/>
      <c r="BQ38" s="380"/>
      <c r="BR38" s="380"/>
      <c r="BS38" s="380"/>
      <c r="BT38" s="380"/>
      <c r="BU38" s="380"/>
      <c r="BV38" s="380"/>
      <c r="BW38" s="380"/>
      <c r="BX38" s="380"/>
      <c r="BY38" s="380"/>
      <c r="BZ38" s="380"/>
      <c r="CA38" s="380"/>
      <c r="CB38" s="380"/>
      <c r="CC38" s="380"/>
      <c r="CD38" s="380"/>
      <c r="CE38" s="380"/>
      <c r="CF38" s="380"/>
    </row>
    <row r="39" spans="1:84" ht="18">
      <c r="F39" s="1739" t="s">
        <v>754</v>
      </c>
      <c r="G39" s="1739"/>
      <c r="L39" s="560"/>
      <c r="M39" s="543"/>
      <c r="O39" s="9"/>
      <c r="R39" s="380"/>
      <c r="S39" s="380"/>
      <c r="T39" s="380"/>
      <c r="U39" s="380"/>
      <c r="V39" s="380"/>
      <c r="W39" s="380"/>
      <c r="X39" s="380"/>
      <c r="Y39" s="380"/>
      <c r="Z39" s="380"/>
      <c r="AA39" s="380"/>
      <c r="AB39" s="380"/>
      <c r="AC39" s="380"/>
      <c r="AD39" s="380"/>
      <c r="AE39" s="380"/>
      <c r="AF39" s="380"/>
      <c r="AG39" s="380"/>
      <c r="AH39" s="380"/>
      <c r="AI39" s="380"/>
      <c r="AJ39" s="380"/>
      <c r="AK39" s="380"/>
      <c r="AL39" s="380"/>
      <c r="AM39" s="380"/>
      <c r="AN39" s="380"/>
      <c r="AO39" s="380"/>
      <c r="AP39" s="380"/>
      <c r="AQ39" s="380"/>
      <c r="AR39" s="380"/>
      <c r="AS39" s="380"/>
      <c r="AT39" s="380"/>
      <c r="AU39" s="380"/>
      <c r="AV39" s="380"/>
      <c r="AW39" s="380"/>
      <c r="AX39" s="380"/>
      <c r="AY39" s="380"/>
      <c r="AZ39" s="380"/>
      <c r="BA39" s="380"/>
      <c r="BB39" s="380"/>
      <c r="BC39" s="380"/>
      <c r="BD39" s="380"/>
      <c r="BE39" s="380"/>
      <c r="BF39" s="380"/>
      <c r="BG39" s="380"/>
      <c r="BH39" s="380"/>
      <c r="BI39" s="380"/>
      <c r="BJ39" s="380"/>
      <c r="BK39" s="380"/>
      <c r="BL39" s="380"/>
      <c r="BM39" s="380"/>
      <c r="BN39" s="380"/>
      <c r="BO39" s="380"/>
      <c r="BP39" s="380"/>
      <c r="BQ39" s="380"/>
      <c r="BR39" s="380"/>
      <c r="BS39" s="380"/>
      <c r="BT39" s="380"/>
      <c r="BU39" s="380"/>
      <c r="BV39" s="380"/>
      <c r="BW39" s="380"/>
      <c r="BX39" s="380"/>
      <c r="BY39" s="380"/>
      <c r="BZ39" s="380"/>
      <c r="CA39" s="380"/>
      <c r="CB39" s="380"/>
      <c r="CC39" s="380"/>
      <c r="CD39" s="380"/>
      <c r="CE39" s="380"/>
      <c r="CF39" s="380"/>
    </row>
    <row r="40" spans="1:84">
      <c r="B40" s="492" t="str">
        <f>"Valores de "&amp;YEAR(C14)</f>
        <v>Valores de 2021</v>
      </c>
      <c r="C40" s="9"/>
      <c r="D40" s="9"/>
      <c r="E40" s="9"/>
      <c r="F40" s="1740" t="s">
        <v>755</v>
      </c>
      <c r="G40" s="1740"/>
      <c r="H40" s="588"/>
      <c r="I40" s="9"/>
      <c r="J40" s="1727" t="str">
        <f ca="1">"Variação processo anterior e "&amp;AnoRevRea</f>
        <v>Variação processo anterior e 2022</v>
      </c>
      <c r="K40" s="1727"/>
      <c r="L40" s="560"/>
      <c r="M40" s="543"/>
      <c r="O40" s="9"/>
      <c r="R40" s="380"/>
      <c r="S40" s="380"/>
      <c r="T40" s="380"/>
      <c r="U40" s="380"/>
      <c r="V40" s="380"/>
      <c r="W40" s="380"/>
      <c r="X40" s="380"/>
      <c r="Y40" s="380"/>
      <c r="Z40" s="380"/>
      <c r="AA40" s="380"/>
      <c r="AB40" s="380"/>
      <c r="AC40" s="380"/>
      <c r="AD40" s="380"/>
      <c r="AE40" s="380"/>
      <c r="AF40" s="380"/>
      <c r="AG40" s="380"/>
      <c r="AH40" s="380"/>
      <c r="AI40" s="380"/>
      <c r="AJ40" s="380"/>
      <c r="AK40" s="380"/>
      <c r="AL40" s="380"/>
      <c r="AM40" s="380"/>
      <c r="AN40" s="380"/>
      <c r="AO40" s="380"/>
      <c r="AP40" s="380"/>
      <c r="AQ40" s="380"/>
      <c r="AR40" s="380"/>
      <c r="AS40" s="380"/>
      <c r="AT40" s="380"/>
      <c r="AU40" s="380"/>
      <c r="AV40" s="380"/>
      <c r="AW40" s="380"/>
      <c r="AX40" s="380"/>
      <c r="AY40" s="380"/>
      <c r="AZ40" s="380"/>
      <c r="BA40" s="380"/>
      <c r="BB40" s="380"/>
      <c r="BC40" s="380"/>
      <c r="BD40" s="380"/>
      <c r="BE40" s="380"/>
      <c r="BF40" s="380"/>
      <c r="BG40" s="380"/>
      <c r="BH40" s="380"/>
      <c r="BI40" s="380"/>
      <c r="BJ40" s="380"/>
      <c r="BK40" s="380"/>
      <c r="BL40" s="380"/>
      <c r="BM40" s="380"/>
      <c r="BN40" s="380"/>
      <c r="BO40" s="380"/>
      <c r="BP40" s="380"/>
      <c r="BQ40" s="380"/>
      <c r="BR40" s="380"/>
      <c r="BS40" s="380"/>
      <c r="BT40" s="380"/>
      <c r="BU40" s="380"/>
      <c r="BV40" s="380"/>
      <c r="BW40" s="380"/>
      <c r="BX40" s="380"/>
      <c r="BY40" s="380"/>
      <c r="BZ40" s="380"/>
      <c r="CA40" s="380"/>
      <c r="CB40" s="380"/>
      <c r="CC40" s="380"/>
      <c r="CD40" s="380"/>
      <c r="CE40" s="380"/>
      <c r="CF40" s="380"/>
    </row>
    <row r="41" spans="1:84">
      <c r="B41" s="585" t="s">
        <v>756</v>
      </c>
      <c r="C41" s="586"/>
      <c r="D41" s="1087">
        <f>BD!C5</f>
        <v>16632.745999999999</v>
      </c>
      <c r="E41" s="9"/>
      <c r="F41" s="1731" t="s">
        <v>757</v>
      </c>
      <c r="G41" s="1731"/>
      <c r="H41" s="1088">
        <f>LinkTXTPR</f>
        <v>0.18478264492249999</v>
      </c>
      <c r="I41" s="9"/>
      <c r="J41" s="585" t="s">
        <v>756</v>
      </c>
      <c r="K41" s="1089">
        <f ca="1">IFERROR(Calc_Mercado!J15,0)</f>
        <v>-1.5371965639347618E-2</v>
      </c>
      <c r="L41" s="560"/>
      <c r="M41" s="543"/>
      <c r="O41" s="9"/>
      <c r="Q41" s="534"/>
      <c r="R41" s="380"/>
      <c r="S41" s="380"/>
      <c r="T41" s="380"/>
      <c r="U41" s="380"/>
      <c r="V41" s="380"/>
      <c r="W41" s="380"/>
      <c r="X41" s="380"/>
      <c r="Y41" s="380"/>
      <c r="Z41" s="380"/>
      <c r="AA41" s="380"/>
      <c r="AB41" s="380"/>
      <c r="AC41" s="380"/>
      <c r="AD41" s="380"/>
      <c r="AE41" s="380"/>
      <c r="AF41" s="380"/>
      <c r="AG41" s="380"/>
      <c r="AH41" s="380"/>
      <c r="AI41" s="380"/>
      <c r="AJ41" s="380"/>
      <c r="AK41" s="380"/>
      <c r="AL41" s="380"/>
      <c r="AM41" s="380"/>
      <c r="AN41" s="380"/>
      <c r="AO41" s="380"/>
      <c r="AP41" s="380"/>
      <c r="AQ41" s="380"/>
      <c r="AR41" s="380"/>
      <c r="AS41" s="380"/>
      <c r="AT41" s="380"/>
      <c r="AU41" s="380"/>
      <c r="AV41" s="380"/>
      <c r="AW41" s="380"/>
      <c r="AX41" s="380"/>
      <c r="AY41" s="380"/>
      <c r="AZ41" s="380"/>
      <c r="BA41" s="380"/>
      <c r="BB41" s="380"/>
      <c r="BC41" s="380"/>
      <c r="BD41" s="380"/>
      <c r="BE41" s="380"/>
      <c r="BF41" s="380"/>
      <c r="BG41" s="380"/>
      <c r="BH41" s="380"/>
      <c r="BI41" s="380"/>
      <c r="BJ41" s="380"/>
      <c r="BK41" s="380"/>
      <c r="BL41" s="380"/>
      <c r="BM41" s="380"/>
      <c r="BN41" s="380"/>
      <c r="BO41" s="380"/>
      <c r="BP41" s="380"/>
      <c r="BQ41" s="380"/>
      <c r="BR41" s="380"/>
      <c r="BS41" s="380"/>
      <c r="BT41" s="380"/>
      <c r="BU41" s="380"/>
      <c r="BV41" s="380"/>
      <c r="BW41" s="380"/>
      <c r="BX41" s="380"/>
      <c r="BY41" s="380"/>
      <c r="BZ41" s="380"/>
      <c r="CA41" s="380"/>
      <c r="CB41" s="380"/>
      <c r="CC41" s="380"/>
      <c r="CD41" s="380"/>
      <c r="CE41" s="380"/>
      <c r="CF41" s="380"/>
    </row>
    <row r="42" spans="1:84">
      <c r="B42" s="580" t="s">
        <v>44</v>
      </c>
      <c r="C42" s="580"/>
      <c r="D42" s="373">
        <f>IFERROR(VLOOKUP("TFSEE",BD!$B$7:$C$16,2,FALSE),0)</f>
        <v>36574.6449441515</v>
      </c>
      <c r="E42" s="9"/>
      <c r="F42" s="1732" t="s">
        <v>758</v>
      </c>
      <c r="G42" s="1732"/>
      <c r="H42" s="589">
        <f>SUM(H43:H44)</f>
        <v>1.15E-2</v>
      </c>
      <c r="I42" s="9"/>
      <c r="J42" s="580" t="s">
        <v>44</v>
      </c>
      <c r="K42" s="1089">
        <f ca="1">LnkTxtVarTFSEE</f>
        <v>0.18947849626915181</v>
      </c>
      <c r="L42" s="560"/>
      <c r="M42" s="543"/>
      <c r="O42" s="9"/>
      <c r="R42" s="380"/>
      <c r="S42" s="380"/>
      <c r="T42" s="380"/>
      <c r="U42" s="380"/>
      <c r="V42" s="380"/>
      <c r="W42" s="380"/>
      <c r="X42" s="380"/>
      <c r="Y42" s="380"/>
      <c r="Z42" s="380"/>
      <c r="AA42" s="380"/>
      <c r="AB42" s="380"/>
      <c r="AC42" s="380"/>
      <c r="AD42" s="380"/>
      <c r="AE42" s="380"/>
      <c r="AF42" s="380"/>
      <c r="AG42" s="380"/>
      <c r="AH42" s="380"/>
      <c r="AI42" s="380"/>
      <c r="AJ42" s="380"/>
      <c r="AK42" s="380"/>
      <c r="AL42" s="380"/>
      <c r="AM42" s="380"/>
      <c r="AN42" s="380"/>
      <c r="AO42" s="380"/>
      <c r="AP42" s="380"/>
      <c r="AQ42" s="380"/>
      <c r="AR42" s="380"/>
      <c r="AS42" s="380"/>
      <c r="AT42" s="380"/>
      <c r="AU42" s="380"/>
      <c r="AV42" s="380"/>
      <c r="AW42" s="380"/>
      <c r="AX42" s="380"/>
      <c r="AY42" s="380"/>
      <c r="AZ42" s="380"/>
      <c r="BA42" s="380"/>
      <c r="BB42" s="380"/>
      <c r="BC42" s="380"/>
      <c r="BD42" s="380"/>
      <c r="BE42" s="380"/>
      <c r="BF42" s="380"/>
      <c r="BG42" s="380"/>
      <c r="BH42" s="380"/>
      <c r="BI42" s="380"/>
      <c r="BJ42" s="380"/>
      <c r="BK42" s="380"/>
      <c r="BL42" s="380"/>
      <c r="BM42" s="380"/>
      <c r="BN42" s="380"/>
      <c r="BO42" s="380"/>
      <c r="BP42" s="380"/>
      <c r="BQ42" s="380"/>
      <c r="BR42" s="380"/>
      <c r="BS42" s="380"/>
      <c r="BT42" s="380"/>
      <c r="BU42" s="380"/>
      <c r="BV42" s="380"/>
      <c r="BW42" s="380"/>
      <c r="BX42" s="380"/>
      <c r="BY42" s="380"/>
      <c r="BZ42" s="380"/>
      <c r="CA42" s="380"/>
      <c r="CB42" s="380"/>
      <c r="CC42" s="380"/>
      <c r="CD42" s="380"/>
      <c r="CE42" s="380"/>
      <c r="CF42" s="380"/>
    </row>
    <row r="43" spans="1:84" ht="15" customHeight="1">
      <c r="B43" s="580" t="s">
        <v>46</v>
      </c>
      <c r="C43" s="580"/>
      <c r="D43" s="373">
        <f>IFERROR(VLOOKUP("CDE",BD!$B$7:$C$16,2,FALSE),0)</f>
        <v>979868.31935999996</v>
      </c>
      <c r="E43" s="9"/>
      <c r="F43" s="1732" t="s">
        <v>759</v>
      </c>
      <c r="G43" s="1732"/>
      <c r="H43" s="589">
        <f>VLOOKUP(B2,Informacoes[#Data],25,FALSE)</f>
        <v>1.15E-2</v>
      </c>
      <c r="I43" s="9"/>
      <c r="J43" s="580" t="s">
        <v>46</v>
      </c>
      <c r="K43" s="587">
        <f ca="1">LnkTxtVarCDE</f>
        <v>0.48027351277262009</v>
      </c>
      <c r="L43" s="560"/>
      <c r="M43" s="543"/>
      <c r="O43" s="9"/>
      <c r="Q43" s="534"/>
      <c r="R43" s="380"/>
      <c r="S43" s="380"/>
      <c r="T43" s="380"/>
      <c r="U43" s="380"/>
      <c r="V43" s="380"/>
      <c r="W43" s="380"/>
      <c r="X43" s="380"/>
      <c r="Y43" s="380"/>
      <c r="Z43" s="380"/>
      <c r="AA43" s="380"/>
      <c r="AB43" s="380"/>
      <c r="AC43" s="380"/>
      <c r="AD43" s="380"/>
      <c r="AE43" s="380"/>
      <c r="AF43" s="380"/>
      <c r="AG43" s="380"/>
      <c r="AH43" s="380"/>
      <c r="AI43" s="380"/>
      <c r="AJ43" s="380"/>
      <c r="AK43" s="380"/>
      <c r="AL43" s="380"/>
      <c r="AM43" s="380"/>
      <c r="AN43" s="380"/>
      <c r="AO43" s="380"/>
      <c r="AP43" s="380"/>
      <c r="AQ43" s="380"/>
      <c r="AR43" s="380"/>
      <c r="AS43" s="380"/>
      <c r="AT43" s="380"/>
      <c r="AU43" s="380"/>
      <c r="AV43" s="380"/>
      <c r="AW43" s="380"/>
      <c r="AX43" s="380"/>
      <c r="AY43" s="380"/>
      <c r="AZ43" s="380"/>
      <c r="BA43" s="380"/>
      <c r="BB43" s="380"/>
      <c r="BC43" s="380"/>
      <c r="BD43" s="380"/>
      <c r="BE43" s="380"/>
      <c r="BF43" s="380"/>
      <c r="BG43" s="380"/>
      <c r="BH43" s="380"/>
      <c r="BI43" s="380"/>
      <c r="BJ43" s="380"/>
      <c r="BK43" s="380"/>
      <c r="BL43" s="380"/>
      <c r="BM43" s="380"/>
      <c r="BN43" s="380"/>
      <c r="BO43" s="380"/>
      <c r="BP43" s="380"/>
      <c r="BQ43" s="380"/>
      <c r="BR43" s="380"/>
      <c r="BS43" s="380"/>
      <c r="BT43" s="380"/>
      <c r="BU43" s="380"/>
      <c r="BV43" s="380"/>
      <c r="BW43" s="380"/>
      <c r="BX43" s="380"/>
      <c r="BY43" s="380"/>
      <c r="BZ43" s="380"/>
      <c r="CA43" s="380"/>
      <c r="CB43" s="380"/>
      <c r="CC43" s="380"/>
      <c r="CD43" s="380"/>
      <c r="CE43" s="380"/>
      <c r="CF43" s="380"/>
    </row>
    <row r="44" spans="1:84">
      <c r="B44" s="580" t="s">
        <v>163</v>
      </c>
      <c r="C44" s="580"/>
      <c r="D44" s="373">
        <f>IFERROR(VLOOKUP("CFURH",BD!$B$7:$C$16,2,FALSE),0)</f>
        <v>0</v>
      </c>
      <c r="E44" s="9"/>
      <c r="F44" s="1728" t="s">
        <v>304</v>
      </c>
      <c r="G44" s="1728"/>
      <c r="H44" s="1090">
        <f>VLOOKUP(B2,Informacoes[#Data],26,FALSE)</f>
        <v>0</v>
      </c>
      <c r="I44" s="9"/>
      <c r="J44" s="580" t="s">
        <v>163</v>
      </c>
      <c r="K44" s="474" t="str">
        <f ca="1">Resultado!F19</f>
        <v>-</v>
      </c>
      <c r="L44" s="560"/>
      <c r="M44" s="543"/>
      <c r="N44" s="569"/>
      <c r="O44" s="9"/>
      <c r="R44" s="380"/>
      <c r="S44" s="380"/>
      <c r="T44" s="380"/>
      <c r="U44" s="380"/>
      <c r="V44" s="380"/>
      <c r="W44" s="380"/>
      <c r="X44" s="380"/>
      <c r="Y44" s="380"/>
      <c r="Z44" s="380"/>
      <c r="AA44" s="380"/>
      <c r="AB44" s="380"/>
      <c r="AC44" s="380"/>
      <c r="AD44" s="380"/>
      <c r="AE44" s="380"/>
      <c r="AF44" s="380"/>
      <c r="AG44" s="380"/>
      <c r="AH44" s="380"/>
      <c r="AI44" s="380"/>
      <c r="AJ44" s="380"/>
      <c r="AK44" s="380"/>
      <c r="AL44" s="380"/>
      <c r="AM44" s="380"/>
      <c r="AN44" s="380"/>
      <c r="AO44" s="380"/>
      <c r="AP44" s="380"/>
      <c r="AQ44" s="380"/>
      <c r="AR44" s="380"/>
      <c r="AS44" s="380"/>
      <c r="AT44" s="380"/>
      <c r="AU44" s="380"/>
      <c r="AV44" s="380"/>
      <c r="AW44" s="380"/>
      <c r="AX44" s="380"/>
      <c r="AY44" s="380"/>
      <c r="AZ44" s="380"/>
      <c r="BA44" s="380"/>
      <c r="BB44" s="380"/>
      <c r="BC44" s="380"/>
      <c r="BD44" s="380"/>
      <c r="BE44" s="380"/>
      <c r="BF44" s="380"/>
      <c r="BG44" s="380"/>
      <c r="BH44" s="380"/>
      <c r="BI44" s="380"/>
      <c r="BJ44" s="380"/>
      <c r="BK44" s="380"/>
      <c r="BL44" s="380"/>
      <c r="BM44" s="380"/>
      <c r="BN44" s="380"/>
      <c r="BO44" s="380"/>
      <c r="BP44" s="380"/>
      <c r="BQ44" s="380"/>
      <c r="BR44" s="380"/>
      <c r="BS44" s="380"/>
      <c r="BT44" s="380"/>
      <c r="BU44" s="380"/>
      <c r="BV44" s="380"/>
      <c r="BW44" s="380"/>
      <c r="BX44" s="380"/>
      <c r="BY44" s="380"/>
      <c r="BZ44" s="380"/>
      <c r="CA44" s="380"/>
      <c r="CB44" s="380"/>
      <c r="CC44" s="380"/>
      <c r="CD44" s="380"/>
      <c r="CE44" s="380"/>
      <c r="CF44" s="380"/>
    </row>
    <row r="45" spans="1:84">
      <c r="B45" s="580" t="s">
        <v>51</v>
      </c>
      <c r="C45" s="580"/>
      <c r="D45" s="373">
        <f>IFERROR(VLOOKUP("ESS/ERR",BD!$B$7:$C$16,2,FALSE),0)</f>
        <v>0</v>
      </c>
      <c r="E45" s="9"/>
      <c r="I45" s="375"/>
      <c r="J45" s="580" t="s">
        <v>51</v>
      </c>
      <c r="K45" s="474" t="str">
        <f ca="1">Resultado!F20</f>
        <v>-</v>
      </c>
      <c r="L45" s="560"/>
      <c r="M45" s="568"/>
      <c r="N45" s="569"/>
      <c r="O45" s="9"/>
      <c r="Q45" s="534"/>
      <c r="R45" s="380"/>
      <c r="S45" s="380"/>
      <c r="T45" s="380"/>
      <c r="U45" s="380"/>
      <c r="V45" s="380"/>
      <c r="W45" s="380"/>
      <c r="X45" s="380"/>
      <c r="Y45" s="380"/>
      <c r="Z45" s="380"/>
      <c r="AA45" s="380"/>
      <c r="AB45" s="380"/>
      <c r="AC45" s="380"/>
      <c r="AD45" s="380"/>
      <c r="AE45" s="380"/>
      <c r="AF45" s="380"/>
      <c r="AG45" s="380"/>
      <c r="AH45" s="380"/>
      <c r="AI45" s="380"/>
      <c r="AJ45" s="380"/>
      <c r="AK45" s="380"/>
      <c r="AL45" s="380"/>
      <c r="AM45" s="380"/>
      <c r="AN45" s="380"/>
      <c r="AO45" s="380"/>
      <c r="AP45" s="380"/>
      <c r="AQ45" s="380"/>
      <c r="AR45" s="380"/>
      <c r="AS45" s="380"/>
      <c r="AT45" s="380"/>
      <c r="AU45" s="380"/>
      <c r="AV45" s="380"/>
      <c r="AW45" s="380"/>
      <c r="AX45" s="380"/>
      <c r="AY45" s="380"/>
      <c r="AZ45" s="380"/>
      <c r="BA45" s="380"/>
      <c r="BB45" s="380"/>
      <c r="BC45" s="380"/>
      <c r="BD45" s="380"/>
      <c r="BE45" s="380"/>
      <c r="BF45" s="380"/>
      <c r="BG45" s="380"/>
      <c r="BH45" s="380"/>
      <c r="BI45" s="380"/>
      <c r="BJ45" s="380"/>
      <c r="BK45" s="380"/>
      <c r="BL45" s="380"/>
      <c r="BM45" s="380"/>
      <c r="BN45" s="380"/>
      <c r="BO45" s="380"/>
      <c r="BP45" s="380"/>
      <c r="BQ45" s="380"/>
      <c r="BR45" s="380"/>
      <c r="BS45" s="380"/>
      <c r="BT45" s="380"/>
      <c r="BU45" s="380"/>
      <c r="BV45" s="380"/>
      <c r="BW45" s="380"/>
      <c r="BX45" s="380"/>
      <c r="BY45" s="380"/>
      <c r="BZ45" s="380"/>
      <c r="CA45" s="380"/>
      <c r="CB45" s="380"/>
      <c r="CC45" s="380"/>
      <c r="CD45" s="380"/>
      <c r="CE45" s="380"/>
      <c r="CF45" s="380"/>
    </row>
    <row r="46" spans="1:84">
      <c r="B46" s="580" t="s">
        <v>52</v>
      </c>
      <c r="C46" s="580"/>
      <c r="D46" s="373">
        <f>IFERROR(VLOOKUP("PROINFA",BD!$B$7:$C$16,2,FALSE),0)</f>
        <v>152520.15968000001</v>
      </c>
      <c r="E46" s="9"/>
      <c r="F46" s="9"/>
      <c r="G46" s="9"/>
      <c r="H46" s="9"/>
      <c r="I46" s="399"/>
      <c r="J46" s="580" t="s">
        <v>52</v>
      </c>
      <c r="K46" s="587">
        <f ca="1">Resultado!F21</f>
        <v>0.51726037427039273</v>
      </c>
      <c r="L46" s="560"/>
      <c r="M46" s="570"/>
      <c r="N46" s="569"/>
      <c r="O46" s="9"/>
      <c r="R46" s="380"/>
      <c r="S46" s="380"/>
      <c r="T46" s="380"/>
      <c r="U46" s="380"/>
      <c r="V46" s="380"/>
      <c r="W46" s="380"/>
      <c r="X46" s="380"/>
      <c r="Y46" s="380"/>
      <c r="Z46" s="380"/>
      <c r="AA46" s="380"/>
      <c r="AB46" s="380"/>
      <c r="AC46" s="380"/>
      <c r="AD46" s="380"/>
      <c r="AE46" s="380"/>
      <c r="AF46" s="380"/>
      <c r="AG46" s="380"/>
      <c r="AH46" s="380"/>
      <c r="AI46" s="380"/>
      <c r="AJ46" s="380"/>
      <c r="AK46" s="380"/>
      <c r="AL46" s="380"/>
      <c r="AM46" s="380"/>
      <c r="AN46" s="380"/>
      <c r="AO46" s="380"/>
      <c r="AP46" s="380"/>
      <c r="AQ46" s="380"/>
      <c r="AR46" s="380"/>
      <c r="AS46" s="380"/>
      <c r="AT46" s="380"/>
      <c r="AU46" s="380"/>
      <c r="AV46" s="380"/>
      <c r="AW46" s="380"/>
      <c r="AX46" s="380"/>
      <c r="AY46" s="380"/>
      <c r="AZ46" s="380"/>
      <c r="BA46" s="380"/>
      <c r="BB46" s="380"/>
      <c r="BC46" s="380"/>
      <c r="BD46" s="380"/>
      <c r="BE46" s="380"/>
      <c r="BF46" s="380"/>
      <c r="BG46" s="380"/>
      <c r="BH46" s="380"/>
      <c r="BI46" s="380"/>
      <c r="BJ46" s="380"/>
      <c r="BK46" s="380"/>
      <c r="BL46" s="380"/>
      <c r="BM46" s="380"/>
      <c r="BN46" s="380"/>
      <c r="BO46" s="380"/>
      <c r="BP46" s="380"/>
      <c r="BQ46" s="380"/>
      <c r="BR46" s="380"/>
      <c r="BS46" s="380"/>
      <c r="BT46" s="380"/>
      <c r="BU46" s="380"/>
      <c r="BV46" s="380"/>
      <c r="BW46" s="380"/>
      <c r="BX46" s="380"/>
      <c r="BY46" s="380"/>
      <c r="BZ46" s="380"/>
      <c r="CA46" s="380"/>
      <c r="CB46" s="380"/>
      <c r="CC46" s="380"/>
      <c r="CD46" s="380"/>
      <c r="CE46" s="380"/>
      <c r="CF46" s="380"/>
    </row>
    <row r="47" spans="1:84" ht="17.25" customHeight="1">
      <c r="B47" s="580" t="s">
        <v>55</v>
      </c>
      <c r="C47" s="580"/>
      <c r="D47" s="373">
        <f>IFERROR(VLOOKUP("CDE Covid TUSD",BD!$B$7:$C$16,2,FALSE),0)</f>
        <v>0</v>
      </c>
      <c r="E47" s="9"/>
      <c r="I47" s="399"/>
      <c r="J47" s="580" t="s">
        <v>53</v>
      </c>
      <c r="K47" s="474" t="str">
        <f ca="1">Resultado!F22</f>
        <v>-</v>
      </c>
      <c r="L47" s="560"/>
      <c r="M47" s="570"/>
      <c r="N47" s="569"/>
      <c r="O47" s="9"/>
      <c r="R47" s="380"/>
      <c r="S47" s="380"/>
      <c r="T47" s="380"/>
      <c r="U47" s="380"/>
      <c r="V47" s="380"/>
      <c r="W47" s="380"/>
      <c r="X47" s="380"/>
      <c r="Y47" s="380"/>
      <c r="Z47" s="380"/>
      <c r="AA47" s="380"/>
      <c r="AB47" s="380"/>
      <c r="AC47" s="380"/>
      <c r="AD47" s="380"/>
      <c r="AE47" s="380"/>
      <c r="AF47" s="380"/>
      <c r="AG47" s="380"/>
      <c r="AH47" s="380"/>
      <c r="AI47" s="380"/>
      <c r="AJ47" s="380"/>
      <c r="AK47" s="380"/>
      <c r="AL47" s="380"/>
      <c r="AM47" s="380"/>
      <c r="AN47" s="380"/>
      <c r="AO47" s="380"/>
      <c r="AP47" s="380"/>
      <c r="AQ47" s="380"/>
      <c r="AR47" s="380"/>
      <c r="AS47" s="380"/>
      <c r="AT47" s="380"/>
      <c r="AU47" s="380"/>
      <c r="AV47" s="380"/>
      <c r="AW47" s="380"/>
      <c r="AX47" s="380"/>
      <c r="AY47" s="380"/>
      <c r="AZ47" s="380"/>
      <c r="BA47" s="380"/>
      <c r="BB47" s="380"/>
      <c r="BC47" s="380"/>
      <c r="BD47" s="380"/>
      <c r="BE47" s="380"/>
      <c r="BF47" s="380"/>
      <c r="BG47" s="380"/>
      <c r="BH47" s="380"/>
      <c r="BI47" s="380"/>
      <c r="BJ47" s="380"/>
      <c r="BK47" s="380"/>
      <c r="BL47" s="380"/>
      <c r="BM47" s="380"/>
      <c r="BN47" s="380"/>
      <c r="BO47" s="380"/>
      <c r="BP47" s="380"/>
      <c r="BQ47" s="380"/>
      <c r="BR47" s="380"/>
      <c r="BS47" s="380"/>
      <c r="BT47" s="380"/>
      <c r="BU47" s="380"/>
      <c r="BV47" s="380"/>
      <c r="BW47" s="380"/>
      <c r="BX47" s="380"/>
      <c r="BY47" s="380"/>
      <c r="BZ47" s="380"/>
      <c r="CA47" s="380"/>
      <c r="CB47" s="380"/>
      <c r="CC47" s="380"/>
      <c r="CD47" s="380"/>
      <c r="CE47" s="380"/>
      <c r="CF47" s="380"/>
    </row>
    <row r="48" spans="1:84">
      <c r="B48" s="580" t="s">
        <v>54</v>
      </c>
      <c r="C48" s="580"/>
      <c r="D48" s="373">
        <f>IFERROR(VLOOKUP("ONS",BD!$B$7:$C$16,2,FALSE),0)</f>
        <v>0</v>
      </c>
      <c r="E48" s="9"/>
      <c r="F48" s="708" t="s">
        <v>760</v>
      </c>
      <c r="G48" s="709"/>
      <c r="I48" s="399"/>
      <c r="J48" s="580" t="s">
        <v>54</v>
      </c>
      <c r="K48" s="474" t="str">
        <f ca="1">Resultado!F23</f>
        <v>-</v>
      </c>
      <c r="L48" s="560"/>
      <c r="M48" s="570"/>
      <c r="N48" s="569"/>
      <c r="O48" s="9"/>
      <c r="Q48" s="534"/>
      <c r="R48" s="380"/>
      <c r="S48" s="380"/>
      <c r="T48" s="380"/>
      <c r="U48" s="380"/>
      <c r="V48" s="380"/>
      <c r="W48" s="380"/>
      <c r="X48" s="380"/>
      <c r="Y48" s="380"/>
      <c r="Z48" s="380"/>
      <c r="AA48" s="380"/>
      <c r="AB48" s="380"/>
      <c r="AC48" s="380"/>
      <c r="AD48" s="380"/>
      <c r="AE48" s="380"/>
      <c r="AF48" s="380"/>
      <c r="AG48" s="380"/>
      <c r="AH48" s="380"/>
      <c r="AI48" s="380"/>
      <c r="AJ48" s="380"/>
      <c r="AK48" s="380"/>
      <c r="AL48" s="380"/>
      <c r="AM48" s="380"/>
      <c r="AN48" s="380"/>
      <c r="AO48" s="380"/>
      <c r="AP48" s="380"/>
      <c r="AQ48" s="380"/>
      <c r="AR48" s="380"/>
      <c r="AS48" s="380"/>
      <c r="AT48" s="380"/>
      <c r="AU48" s="380"/>
      <c r="AV48" s="380"/>
      <c r="AW48" s="380"/>
      <c r="AX48" s="380"/>
      <c r="AY48" s="380"/>
      <c r="AZ48" s="380"/>
      <c r="BA48" s="380"/>
      <c r="BB48" s="380"/>
      <c r="BC48" s="380"/>
      <c r="BD48" s="380"/>
      <c r="BE48" s="380"/>
      <c r="BF48" s="380"/>
      <c r="BG48" s="380"/>
      <c r="BH48" s="380"/>
      <c r="BI48" s="380"/>
      <c r="BJ48" s="380"/>
      <c r="BK48" s="380"/>
      <c r="BL48" s="380"/>
      <c r="BM48" s="380"/>
      <c r="BN48" s="380"/>
      <c r="BO48" s="380"/>
      <c r="BP48" s="380"/>
      <c r="BQ48" s="380"/>
      <c r="BR48" s="380"/>
      <c r="BS48" s="380"/>
      <c r="BT48" s="380"/>
      <c r="BU48" s="380"/>
      <c r="BV48" s="380"/>
      <c r="BW48" s="380"/>
      <c r="BX48" s="380"/>
      <c r="BY48" s="380"/>
      <c r="BZ48" s="380"/>
      <c r="CA48" s="380"/>
      <c r="CB48" s="380"/>
      <c r="CC48" s="380"/>
      <c r="CD48" s="380"/>
      <c r="CE48" s="380"/>
      <c r="CF48" s="380"/>
    </row>
    <row r="49" spans="1:84">
      <c r="B49" s="763" t="s">
        <v>761</v>
      </c>
      <c r="C49" s="763"/>
      <c r="D49" s="1091">
        <f>BD!C18</f>
        <v>0</v>
      </c>
      <c r="E49" s="9"/>
      <c r="F49" s="708" t="s">
        <v>762</v>
      </c>
      <c r="G49" s="710"/>
      <c r="I49" s="399"/>
      <c r="J49" s="763" t="s">
        <v>761</v>
      </c>
      <c r="K49" s="1089"/>
      <c r="L49" s="560"/>
      <c r="M49" s="570"/>
      <c r="N49" s="569"/>
      <c r="O49" s="9"/>
      <c r="R49" s="380"/>
      <c r="S49" s="380"/>
      <c r="T49" s="380"/>
      <c r="U49" s="380"/>
      <c r="V49" s="380"/>
      <c r="W49" s="380"/>
      <c r="X49" s="380"/>
      <c r="Y49" s="380"/>
      <c r="Z49" s="380"/>
      <c r="AA49" s="380"/>
      <c r="AB49" s="380"/>
      <c r="AC49" s="380"/>
      <c r="AD49" s="380"/>
      <c r="AE49" s="380"/>
      <c r="AF49" s="380"/>
      <c r="AG49" s="380"/>
      <c r="AH49" s="380"/>
      <c r="AI49" s="380"/>
      <c r="AJ49" s="380"/>
      <c r="AK49" s="380"/>
      <c r="AL49" s="380"/>
      <c r="AM49" s="380"/>
      <c r="AN49" s="380"/>
      <c r="AO49" s="380"/>
      <c r="AP49" s="380"/>
      <c r="AQ49" s="380"/>
      <c r="AR49" s="380"/>
      <c r="AS49" s="380"/>
      <c r="AT49" s="380"/>
      <c r="AU49" s="380"/>
      <c r="AV49" s="380"/>
      <c r="AW49" s="380"/>
      <c r="AX49" s="380"/>
      <c r="AY49" s="380"/>
      <c r="AZ49" s="380"/>
      <c r="BA49" s="380"/>
      <c r="BB49" s="380"/>
      <c r="BC49" s="380"/>
      <c r="BD49" s="380"/>
      <c r="BE49" s="380"/>
      <c r="BF49" s="380"/>
      <c r="BG49" s="380"/>
      <c r="BH49" s="380"/>
      <c r="BI49" s="380"/>
      <c r="BJ49" s="380"/>
      <c r="BK49" s="380"/>
      <c r="BL49" s="380"/>
      <c r="BM49" s="380"/>
      <c r="BN49" s="380"/>
      <c r="BO49" s="380"/>
      <c r="BP49" s="380"/>
      <c r="BQ49" s="380"/>
      <c r="BR49" s="380"/>
      <c r="BS49" s="380"/>
      <c r="BT49" s="380"/>
      <c r="BU49" s="380"/>
      <c r="BV49" s="380"/>
      <c r="BW49" s="380"/>
      <c r="BX49" s="380"/>
      <c r="BY49" s="380"/>
      <c r="BZ49" s="380"/>
      <c r="CA49" s="380"/>
      <c r="CB49" s="380"/>
      <c r="CC49" s="380"/>
      <c r="CD49" s="380"/>
      <c r="CE49" s="380"/>
      <c r="CF49" s="380"/>
    </row>
    <row r="50" spans="1:84">
      <c r="B50" s="580" t="s">
        <v>763</v>
      </c>
      <c r="C50" s="580"/>
      <c r="D50" s="373">
        <f>BD!C19</f>
        <v>0</v>
      </c>
      <c r="E50" s="9"/>
      <c r="I50" s="399"/>
      <c r="J50" s="580" t="s">
        <v>763</v>
      </c>
      <c r="K50" s="587"/>
      <c r="L50" s="560"/>
      <c r="M50" s="570"/>
      <c r="N50" s="569"/>
      <c r="O50" s="9"/>
      <c r="R50" s="380"/>
      <c r="S50" s="380"/>
      <c r="T50" s="380"/>
      <c r="U50" s="380"/>
      <c r="V50" s="380"/>
      <c r="W50" s="380"/>
      <c r="X50" s="380"/>
      <c r="Y50" s="380"/>
      <c r="Z50" s="380"/>
      <c r="AA50" s="380"/>
      <c r="AB50" s="380"/>
      <c r="AC50" s="380"/>
      <c r="AD50" s="380"/>
      <c r="AE50" s="380"/>
      <c r="AF50" s="380"/>
      <c r="AG50" s="380"/>
      <c r="AH50" s="380"/>
      <c r="AI50" s="380"/>
      <c r="AJ50" s="380"/>
      <c r="AK50" s="380"/>
      <c r="AL50" s="380"/>
      <c r="AM50" s="380"/>
      <c r="AN50" s="380"/>
      <c r="AO50" s="380"/>
      <c r="AP50" s="380"/>
      <c r="AQ50" s="380"/>
      <c r="AR50" s="380"/>
      <c r="AS50" s="380"/>
      <c r="AT50" s="380"/>
      <c r="AU50" s="380"/>
      <c r="AV50" s="380"/>
      <c r="AW50" s="380"/>
      <c r="AX50" s="380"/>
      <c r="AY50" s="380"/>
      <c r="AZ50" s="380"/>
      <c r="BA50" s="380"/>
      <c r="BB50" s="380"/>
      <c r="BC50" s="380"/>
      <c r="BD50" s="380"/>
      <c r="BE50" s="380"/>
      <c r="BF50" s="380"/>
      <c r="BG50" s="380"/>
      <c r="BH50" s="380"/>
      <c r="BI50" s="380"/>
      <c r="BJ50" s="380"/>
      <c r="BK50" s="380"/>
      <c r="BL50" s="380"/>
      <c r="BM50" s="380"/>
      <c r="BN50" s="380"/>
      <c r="BO50" s="380"/>
      <c r="BP50" s="380"/>
      <c r="BQ50" s="380"/>
      <c r="BR50" s="380"/>
      <c r="BS50" s="380"/>
      <c r="BT50" s="380"/>
      <c r="BU50" s="380"/>
      <c r="BV50" s="380"/>
      <c r="BW50" s="380"/>
      <c r="BX50" s="380"/>
      <c r="BY50" s="380"/>
      <c r="BZ50" s="380"/>
      <c r="CA50" s="380"/>
      <c r="CB50" s="380"/>
      <c r="CC50" s="380"/>
      <c r="CD50" s="380"/>
      <c r="CE50" s="380"/>
      <c r="CF50" s="380"/>
    </row>
    <row r="51" spans="1:84" ht="17.25" customHeight="1">
      <c r="B51" s="764" t="s">
        <v>764</v>
      </c>
      <c r="C51" s="764"/>
      <c r="D51" s="1092"/>
      <c r="E51" s="9"/>
      <c r="I51" s="9"/>
      <c r="J51" s="764" t="s">
        <v>764</v>
      </c>
      <c r="K51" s="587"/>
      <c r="L51" s="560"/>
      <c r="M51" s="570"/>
      <c r="N51" s="569"/>
      <c r="O51" s="9"/>
      <c r="Q51" s="534"/>
      <c r="R51" s="380"/>
      <c r="S51" s="380"/>
      <c r="T51" s="380"/>
      <c r="U51" s="380"/>
      <c r="V51" s="380"/>
      <c r="W51" s="380"/>
      <c r="X51" s="380"/>
      <c r="Y51" s="380"/>
      <c r="Z51" s="380"/>
      <c r="AA51" s="380"/>
      <c r="AB51" s="380"/>
      <c r="AC51" s="380"/>
      <c r="AD51" s="380"/>
      <c r="AE51" s="380"/>
      <c r="AF51" s="380"/>
      <c r="AG51" s="380"/>
      <c r="AH51" s="380"/>
      <c r="AI51" s="380"/>
      <c r="AJ51" s="380"/>
      <c r="AK51" s="380"/>
      <c r="AL51" s="380"/>
      <c r="AM51" s="380"/>
      <c r="AN51" s="380"/>
      <c r="AO51" s="380"/>
      <c r="AP51" s="380"/>
      <c r="AQ51" s="380"/>
      <c r="AR51" s="380"/>
      <c r="AS51" s="380"/>
      <c r="AT51" s="380"/>
      <c r="AU51" s="380"/>
      <c r="AV51" s="380"/>
      <c r="AW51" s="380"/>
      <c r="AX51" s="380"/>
      <c r="AY51" s="380"/>
      <c r="AZ51" s="380"/>
      <c r="BA51" s="380"/>
      <c r="BB51" s="380"/>
      <c r="BC51" s="380"/>
      <c r="BD51" s="380"/>
      <c r="BE51" s="380"/>
      <c r="BF51" s="380"/>
      <c r="BG51" s="380"/>
      <c r="BH51" s="380"/>
      <c r="BI51" s="380"/>
      <c r="BJ51" s="380"/>
      <c r="BK51" s="380"/>
      <c r="BL51" s="380"/>
      <c r="BM51" s="380"/>
      <c r="BN51" s="380"/>
      <c r="BO51" s="380"/>
      <c r="BP51" s="380"/>
      <c r="BQ51" s="380"/>
      <c r="BR51" s="380"/>
      <c r="BS51" s="380"/>
      <c r="BT51" s="380"/>
      <c r="BU51" s="380"/>
      <c r="BV51" s="380"/>
      <c r="BW51" s="380"/>
      <c r="BX51" s="380"/>
      <c r="BY51" s="380"/>
      <c r="BZ51" s="380"/>
      <c r="CA51" s="380"/>
      <c r="CB51" s="380"/>
      <c r="CC51" s="380"/>
      <c r="CD51" s="380"/>
      <c r="CE51" s="380"/>
      <c r="CF51" s="380"/>
    </row>
    <row r="52" spans="1:84">
      <c r="B52" s="585" t="s">
        <v>765</v>
      </c>
      <c r="C52" s="585"/>
      <c r="D52" s="1093">
        <f>BD!C25</f>
        <v>1791532.7412099999</v>
      </c>
      <c r="E52" s="9"/>
      <c r="F52" s="9"/>
      <c r="G52" s="9"/>
      <c r="H52" s="9"/>
      <c r="I52" s="9"/>
      <c r="J52" s="585" t="s">
        <v>765</v>
      </c>
      <c r="K52" s="590">
        <f ca="1">Resultado!F32</f>
        <v>0.31737450589493421</v>
      </c>
      <c r="L52" s="560"/>
      <c r="M52" s="570"/>
      <c r="N52" s="569"/>
      <c r="O52" s="9"/>
      <c r="Q52" s="490"/>
      <c r="R52" s="380"/>
      <c r="S52" s="380"/>
      <c r="T52" s="380"/>
      <c r="U52" s="380"/>
      <c r="V52" s="380"/>
      <c r="W52" s="380"/>
      <c r="X52" s="380"/>
      <c r="Y52" s="380"/>
      <c r="Z52" s="380"/>
      <c r="AA52" s="380"/>
      <c r="AB52" s="380"/>
      <c r="AC52" s="380"/>
      <c r="AD52" s="380"/>
      <c r="AE52" s="380"/>
      <c r="AF52" s="380"/>
      <c r="AG52" s="380"/>
      <c r="AH52" s="380"/>
      <c r="AI52" s="380"/>
      <c r="AJ52" s="380"/>
      <c r="AK52" s="380"/>
      <c r="AL52" s="380"/>
      <c r="AM52" s="380"/>
      <c r="AN52" s="380"/>
      <c r="AO52" s="380"/>
      <c r="AP52" s="380"/>
      <c r="AQ52" s="380"/>
      <c r="AR52" s="380"/>
      <c r="AS52" s="380"/>
      <c r="AT52" s="380"/>
      <c r="AU52" s="380"/>
      <c r="AV52" s="380"/>
      <c r="AW52" s="380"/>
      <c r="AX52" s="380"/>
      <c r="AY52" s="380"/>
      <c r="AZ52" s="380"/>
      <c r="BA52" s="380"/>
      <c r="BB52" s="380"/>
      <c r="BC52" s="380"/>
      <c r="BD52" s="380"/>
      <c r="BE52" s="380"/>
      <c r="BF52" s="380"/>
      <c r="BG52" s="380"/>
      <c r="BH52" s="380"/>
      <c r="BI52" s="380"/>
      <c r="BJ52" s="380"/>
      <c r="BK52" s="380"/>
      <c r="BL52" s="380"/>
      <c r="BM52" s="380"/>
      <c r="BN52" s="380"/>
      <c r="BO52" s="380"/>
      <c r="BP52" s="380"/>
      <c r="BQ52" s="380"/>
      <c r="BR52" s="380"/>
      <c r="BS52" s="380"/>
      <c r="BT52" s="380"/>
      <c r="BU52" s="380"/>
      <c r="BV52" s="380"/>
      <c r="BW52" s="380"/>
      <c r="BX52" s="380"/>
      <c r="BY52" s="380"/>
      <c r="BZ52" s="380"/>
      <c r="CA52" s="380"/>
      <c r="CB52" s="380"/>
      <c r="CC52" s="380"/>
      <c r="CD52" s="380"/>
      <c r="CE52" s="380"/>
      <c r="CF52" s="380"/>
    </row>
    <row r="53" spans="1:84">
      <c r="B53" s="585" t="s">
        <v>766</v>
      </c>
      <c r="C53" s="585"/>
      <c r="D53" s="1093">
        <f>BD!C26</f>
        <v>7953642.9800000004</v>
      </c>
      <c r="E53" s="9"/>
      <c r="F53" s="9"/>
      <c r="G53" s="9"/>
      <c r="H53" s="9"/>
      <c r="I53" s="9"/>
      <c r="J53" s="9"/>
      <c r="K53" s="9"/>
      <c r="L53" s="560"/>
      <c r="M53" s="570"/>
      <c r="N53" s="569"/>
      <c r="O53" s="9"/>
      <c r="Q53" s="490"/>
      <c r="R53" s="380"/>
      <c r="S53" s="380"/>
      <c r="T53" s="380"/>
      <c r="U53" s="380"/>
      <c r="V53" s="380"/>
      <c r="W53" s="380"/>
      <c r="X53" s="380"/>
      <c r="Y53" s="380"/>
      <c r="Z53" s="380"/>
      <c r="AA53" s="380"/>
      <c r="AB53" s="380"/>
      <c r="AC53" s="380"/>
      <c r="AD53" s="380"/>
      <c r="AE53" s="380"/>
      <c r="AF53" s="380"/>
      <c r="AG53" s="380"/>
      <c r="AH53" s="380"/>
      <c r="AI53" s="380"/>
      <c r="AJ53" s="380"/>
      <c r="AK53" s="380"/>
      <c r="AL53" s="380"/>
      <c r="AM53" s="380"/>
      <c r="AN53" s="380"/>
      <c r="AO53" s="380"/>
      <c r="AP53" s="380"/>
      <c r="AQ53" s="380"/>
      <c r="AR53" s="380"/>
      <c r="AS53" s="380"/>
      <c r="AT53" s="380"/>
      <c r="AU53" s="380"/>
      <c r="AV53" s="380"/>
      <c r="AW53" s="380"/>
      <c r="AX53" s="380"/>
      <c r="AY53" s="380"/>
      <c r="AZ53" s="380"/>
      <c r="BA53" s="380"/>
      <c r="BB53" s="380"/>
      <c r="BC53" s="380"/>
      <c r="BD53" s="380"/>
      <c r="BE53" s="380"/>
      <c r="BF53" s="380"/>
      <c r="BG53" s="380"/>
      <c r="BH53" s="380"/>
      <c r="BI53" s="380"/>
      <c r="BJ53" s="380"/>
      <c r="BK53" s="380"/>
      <c r="BL53" s="380"/>
      <c r="BM53" s="380"/>
      <c r="BN53" s="380"/>
      <c r="BO53" s="380"/>
      <c r="BP53" s="380"/>
      <c r="BQ53" s="380"/>
      <c r="BR53" s="380"/>
      <c r="BS53" s="380"/>
      <c r="BT53" s="380"/>
      <c r="BU53" s="380"/>
      <c r="BV53" s="380"/>
      <c r="BW53" s="380"/>
      <c r="BX53" s="380"/>
      <c r="BY53" s="380"/>
      <c r="BZ53" s="380"/>
      <c r="CA53" s="380"/>
      <c r="CB53" s="380"/>
      <c r="CC53" s="380"/>
      <c r="CD53" s="380"/>
      <c r="CE53" s="380"/>
      <c r="CF53" s="380"/>
    </row>
    <row r="54" spans="1:84" ht="16.5" thickBot="1">
      <c r="B54" s="274"/>
      <c r="C54" s="274"/>
      <c r="D54" s="540"/>
      <c r="E54" s="9"/>
      <c r="F54" s="9"/>
      <c r="G54" s="9"/>
      <c r="H54" s="9"/>
      <c r="I54" s="9"/>
      <c r="J54" s="9"/>
      <c r="K54" s="9"/>
      <c r="L54" s="560"/>
      <c r="M54" s="570"/>
      <c r="N54" s="569"/>
      <c r="O54" s="9"/>
      <c r="R54" s="380"/>
      <c r="S54" s="380"/>
      <c r="T54" s="380"/>
      <c r="U54" s="380"/>
      <c r="V54" s="380"/>
      <c r="W54" s="380"/>
      <c r="X54" s="380"/>
      <c r="Y54" s="380"/>
      <c r="Z54" s="380"/>
      <c r="AA54" s="380"/>
      <c r="AB54" s="380"/>
      <c r="AC54" s="380"/>
      <c r="AD54" s="380"/>
      <c r="AE54" s="380"/>
      <c r="AF54" s="380"/>
      <c r="AG54" s="380"/>
      <c r="AH54" s="380"/>
      <c r="AI54" s="380"/>
      <c r="AJ54" s="380"/>
      <c r="AK54" s="380"/>
      <c r="AL54" s="380"/>
      <c r="AM54" s="380"/>
      <c r="AN54" s="380"/>
      <c r="AO54" s="380"/>
      <c r="AP54" s="380"/>
      <c r="AQ54" s="380"/>
      <c r="AR54" s="380"/>
      <c r="AS54" s="380"/>
      <c r="AT54" s="380"/>
      <c r="AU54" s="380"/>
      <c r="AV54" s="380"/>
      <c r="AW54" s="380"/>
      <c r="AX54" s="380"/>
      <c r="AY54" s="380"/>
      <c r="AZ54" s="380"/>
      <c r="BA54" s="380"/>
      <c r="BB54" s="380"/>
      <c r="BC54" s="380"/>
      <c r="BD54" s="380"/>
      <c r="BE54" s="380"/>
      <c r="BF54" s="380"/>
      <c r="BG54" s="380"/>
      <c r="BH54" s="380"/>
      <c r="BI54" s="380"/>
      <c r="BJ54" s="380"/>
      <c r="BK54" s="380"/>
      <c r="BL54" s="380"/>
      <c r="BM54" s="380"/>
      <c r="BN54" s="380"/>
      <c r="BO54" s="380"/>
      <c r="BP54" s="380"/>
      <c r="BQ54" s="380"/>
      <c r="BR54" s="380"/>
      <c r="BS54" s="380"/>
      <c r="BT54" s="380"/>
      <c r="BU54" s="380"/>
      <c r="BV54" s="380"/>
      <c r="BW54" s="380"/>
      <c r="BX54" s="380"/>
      <c r="BY54" s="380"/>
      <c r="BZ54" s="380"/>
      <c r="CA54" s="380"/>
      <c r="CB54" s="380"/>
      <c r="CC54" s="380"/>
      <c r="CD54" s="380"/>
      <c r="CE54" s="380"/>
      <c r="CF54" s="380"/>
    </row>
    <row r="55" spans="1:84" ht="26.25" thickBot="1">
      <c r="A55" s="549"/>
      <c r="B55" s="539" t="s">
        <v>767</v>
      </c>
      <c r="C55" s="550"/>
      <c r="D55" s="550"/>
      <c r="E55" s="551"/>
      <c r="F55" s="551"/>
      <c r="G55" s="551"/>
      <c r="H55" s="531"/>
      <c r="I55" s="532"/>
      <c r="J55" s="551"/>
      <c r="K55" s="552"/>
      <c r="L55" s="553"/>
      <c r="M55" s="554"/>
      <c r="N55" s="569"/>
      <c r="O55" s="9"/>
      <c r="R55" s="380"/>
      <c r="S55" s="380"/>
      <c r="T55" s="380"/>
      <c r="U55" s="380"/>
      <c r="V55" s="380"/>
      <c r="W55" s="380"/>
      <c r="X55" s="380"/>
      <c r="Y55" s="380"/>
      <c r="Z55" s="380"/>
      <c r="AA55" s="380"/>
      <c r="AB55" s="380"/>
      <c r="AC55" s="380"/>
      <c r="AD55" s="380"/>
      <c r="AE55" s="380"/>
      <c r="AF55" s="380"/>
      <c r="AG55" s="380"/>
      <c r="AH55" s="380"/>
      <c r="AI55" s="380"/>
      <c r="AJ55" s="380"/>
      <c r="AK55" s="380"/>
      <c r="AL55" s="380"/>
      <c r="AM55" s="380"/>
      <c r="AN55" s="380"/>
      <c r="AO55" s="380"/>
      <c r="AP55" s="380"/>
      <c r="AQ55" s="380"/>
      <c r="AR55" s="380"/>
      <c r="AS55" s="380"/>
      <c r="AT55" s="380"/>
      <c r="AU55" s="380"/>
      <c r="AV55" s="380"/>
      <c r="AW55" s="380"/>
      <c r="AX55" s="380"/>
      <c r="AY55" s="380"/>
      <c r="AZ55" s="380"/>
      <c r="BA55" s="380"/>
      <c r="BB55" s="380"/>
      <c r="BC55" s="380"/>
      <c r="BD55" s="380"/>
      <c r="BE55" s="380"/>
      <c r="BF55" s="380"/>
      <c r="BG55" s="380"/>
      <c r="BH55" s="380"/>
      <c r="BI55" s="380"/>
      <c r="BJ55" s="380"/>
      <c r="BK55" s="380"/>
      <c r="BL55" s="380"/>
      <c r="BM55" s="380"/>
      <c r="BN55" s="380"/>
      <c r="BO55" s="380"/>
      <c r="BP55" s="380"/>
      <c r="BQ55" s="380"/>
      <c r="BR55" s="380"/>
      <c r="BS55" s="380"/>
      <c r="BT55" s="380"/>
      <c r="BU55" s="380"/>
      <c r="BV55" s="380"/>
      <c r="BW55" s="380"/>
      <c r="BX55" s="380"/>
      <c r="BY55" s="380"/>
      <c r="BZ55" s="380"/>
      <c r="CA55" s="380"/>
      <c r="CB55" s="380"/>
      <c r="CC55" s="380"/>
      <c r="CD55" s="380"/>
      <c r="CE55" s="380"/>
      <c r="CF55" s="380"/>
    </row>
    <row r="56" spans="1:84" ht="25.5">
      <c r="B56" s="544"/>
      <c r="E56" s="49"/>
      <c r="F56" s="49"/>
      <c r="G56" s="49"/>
      <c r="H56" s="530"/>
      <c r="I56" s="374"/>
      <c r="J56" s="49"/>
      <c r="K56" s="559"/>
      <c r="L56" s="560"/>
      <c r="M56" s="556"/>
      <c r="N56" s="569"/>
      <c r="O56" s="9"/>
      <c r="R56" s="380"/>
      <c r="S56" s="380"/>
      <c r="T56" s="380"/>
      <c r="U56" s="380"/>
      <c r="V56" s="380"/>
      <c r="W56" s="380"/>
      <c r="X56" s="380"/>
      <c r="Y56" s="380"/>
      <c r="Z56" s="380"/>
      <c r="AA56" s="380"/>
      <c r="AB56" s="380"/>
      <c r="AC56" s="380"/>
      <c r="AD56" s="380"/>
      <c r="AE56" s="380"/>
      <c r="AF56" s="380"/>
      <c r="AG56" s="380"/>
      <c r="AH56" s="380"/>
      <c r="AI56" s="380"/>
      <c r="AJ56" s="380"/>
      <c r="AK56" s="380"/>
      <c r="AL56" s="380"/>
      <c r="AM56" s="380"/>
      <c r="AN56" s="380"/>
      <c r="AO56" s="380"/>
      <c r="AP56" s="380"/>
      <c r="AQ56" s="380"/>
      <c r="AR56" s="380"/>
      <c r="AS56" s="380"/>
      <c r="AT56" s="380"/>
      <c r="AU56" s="380"/>
      <c r="AV56" s="380"/>
      <c r="AW56" s="380"/>
      <c r="AX56" s="380"/>
      <c r="AY56" s="380"/>
      <c r="AZ56" s="380"/>
      <c r="BA56" s="380"/>
      <c r="BB56" s="380"/>
      <c r="BC56" s="380"/>
      <c r="BD56" s="380"/>
      <c r="BE56" s="380"/>
      <c r="BF56" s="380"/>
      <c r="BG56" s="380"/>
      <c r="BH56" s="380"/>
      <c r="BI56" s="380"/>
      <c r="BJ56" s="380"/>
      <c r="BK56" s="380"/>
      <c r="BL56" s="380"/>
      <c r="BM56" s="380"/>
      <c r="BN56" s="380"/>
      <c r="BO56" s="380"/>
      <c r="BP56" s="380"/>
      <c r="BQ56" s="380"/>
      <c r="BR56" s="380"/>
      <c r="BS56" s="380"/>
      <c r="BT56" s="380"/>
      <c r="BU56" s="380"/>
      <c r="BV56" s="380"/>
      <c r="BW56" s="380"/>
      <c r="BX56" s="380"/>
      <c r="BY56" s="380"/>
      <c r="BZ56" s="380"/>
      <c r="CA56" s="380"/>
      <c r="CB56" s="380"/>
      <c r="CC56" s="380"/>
      <c r="CD56" s="380"/>
      <c r="CE56" s="380"/>
      <c r="CF56" s="380"/>
    </row>
    <row r="57" spans="1:84" ht="16.5">
      <c r="B57" s="492"/>
      <c r="C57" s="9"/>
      <c r="D57" s="1094"/>
      <c r="E57" s="583"/>
      <c r="F57" s="584" t="s">
        <v>768</v>
      </c>
      <c r="G57" s="49"/>
      <c r="H57" s="530"/>
      <c r="I57" s="374"/>
      <c r="J57" s="49"/>
      <c r="K57" s="559"/>
      <c r="L57" s="560"/>
      <c r="M57" s="556"/>
      <c r="N57" s="572"/>
      <c r="O57" s="9"/>
      <c r="R57" s="380"/>
      <c r="S57" s="380"/>
      <c r="T57" s="380"/>
      <c r="U57" s="380"/>
      <c r="V57" s="380"/>
      <c r="W57" s="380"/>
      <c r="X57" s="380"/>
      <c r="Y57" s="380"/>
      <c r="Z57" s="380"/>
      <c r="AA57" s="380"/>
      <c r="AB57" s="380"/>
      <c r="AC57" s="380"/>
      <c r="AD57" s="380"/>
      <c r="AE57" s="380"/>
      <c r="AF57" s="380"/>
      <c r="AG57" s="380"/>
      <c r="AH57" s="380"/>
      <c r="AI57" s="380"/>
      <c r="AJ57" s="380"/>
      <c r="AK57" s="380"/>
      <c r="AL57" s="380"/>
      <c r="AM57" s="380"/>
      <c r="AN57" s="380"/>
      <c r="AO57" s="380"/>
      <c r="AP57" s="380"/>
      <c r="AQ57" s="380"/>
      <c r="AR57" s="380"/>
      <c r="AS57" s="380"/>
      <c r="AT57" s="380"/>
      <c r="AU57" s="380"/>
      <c r="AV57" s="380"/>
      <c r="AW57" s="380"/>
      <c r="AX57" s="380"/>
      <c r="AY57" s="380"/>
      <c r="AZ57" s="380"/>
      <c r="BA57" s="380"/>
      <c r="BB57" s="380"/>
      <c r="BC57" s="380"/>
      <c r="BD57" s="380"/>
      <c r="BE57" s="380"/>
      <c r="BF57" s="380"/>
      <c r="BG57" s="380"/>
      <c r="BH57" s="380"/>
      <c r="BI57" s="380"/>
      <c r="BJ57" s="380"/>
      <c r="BK57" s="380"/>
      <c r="BL57" s="380"/>
      <c r="BM57" s="380"/>
      <c r="BN57" s="380"/>
      <c r="BO57" s="380"/>
      <c r="BP57" s="380"/>
      <c r="BQ57" s="380"/>
      <c r="BR57" s="380"/>
      <c r="BS57" s="380"/>
      <c r="BT57" s="380"/>
      <c r="BU57" s="380"/>
      <c r="BV57" s="380"/>
      <c r="BW57" s="380"/>
      <c r="BX57" s="380"/>
      <c r="BY57" s="380"/>
      <c r="BZ57" s="380"/>
      <c r="CA57" s="380"/>
      <c r="CB57" s="380"/>
      <c r="CC57" s="380"/>
      <c r="CD57" s="380"/>
      <c r="CE57" s="380"/>
      <c r="CF57" s="380"/>
    </row>
    <row r="58" spans="1:84" ht="16.5">
      <c r="B58" s="1095" t="s">
        <v>311</v>
      </c>
      <c r="C58" s="1096"/>
      <c r="D58" s="793"/>
      <c r="E58" s="1722">
        <v>0</v>
      </c>
      <c r="F58" s="1722"/>
      <c r="G58" s="380"/>
      <c r="L58" s="780"/>
      <c r="M58" s="571"/>
      <c r="N58" s="574"/>
      <c r="O58" s="9"/>
      <c r="R58" s="380"/>
      <c r="S58" s="380"/>
      <c r="T58" s="380"/>
      <c r="U58" s="380"/>
      <c r="V58" s="380"/>
      <c r="W58" s="380"/>
      <c r="X58" s="380"/>
      <c r="Y58" s="380"/>
      <c r="Z58" s="380"/>
      <c r="AA58" s="380"/>
      <c r="AB58" s="380"/>
      <c r="AC58" s="380"/>
      <c r="AD58" s="380"/>
      <c r="AE58" s="380"/>
      <c r="AF58" s="380"/>
      <c r="AG58" s="380"/>
      <c r="AH58" s="380"/>
      <c r="AI58" s="380"/>
      <c r="AJ58" s="380"/>
      <c r="AK58" s="380"/>
      <c r="AL58" s="380"/>
      <c r="AM58" s="380"/>
      <c r="AN58" s="380"/>
      <c r="AO58" s="380"/>
      <c r="AP58" s="380"/>
      <c r="AQ58" s="380"/>
      <c r="AR58" s="380"/>
      <c r="AS58" s="380"/>
      <c r="AT58" s="380"/>
      <c r="AU58" s="380"/>
      <c r="AV58" s="380"/>
      <c r="AW58" s="380"/>
      <c r="AX58" s="380"/>
      <c r="AY58" s="380"/>
      <c r="AZ58" s="380"/>
      <c r="BA58" s="380"/>
      <c r="BB58" s="380"/>
      <c r="BC58" s="380"/>
      <c r="BD58" s="380"/>
      <c r="BE58" s="380"/>
      <c r="BF58" s="380"/>
      <c r="BG58" s="380"/>
      <c r="BH58" s="380"/>
      <c r="BI58" s="380"/>
      <c r="BJ58" s="380"/>
      <c r="BK58" s="380"/>
      <c r="BL58" s="380"/>
      <c r="BM58" s="380"/>
      <c r="BN58" s="380"/>
      <c r="BO58" s="380"/>
      <c r="BP58" s="380"/>
      <c r="BQ58" s="380"/>
      <c r="BR58" s="380"/>
      <c r="BS58" s="380"/>
      <c r="BT58" s="380"/>
      <c r="BU58" s="380"/>
      <c r="BV58" s="380"/>
      <c r="BW58" s="380"/>
      <c r="BX58" s="380"/>
      <c r="BY58" s="380"/>
      <c r="BZ58" s="380"/>
      <c r="CA58" s="380"/>
      <c r="CB58" s="380"/>
      <c r="CC58" s="380"/>
      <c r="CD58" s="380"/>
      <c r="CE58" s="380"/>
      <c r="CF58" s="380"/>
    </row>
    <row r="59" spans="1:84" ht="17.25" thickBot="1">
      <c r="B59" s="9"/>
      <c r="C59" s="9"/>
      <c r="D59" s="9"/>
      <c r="E59" s="9"/>
      <c r="F59" s="17">
        <f>IF(VLOOKUP(LnkTXTSigla,Informacoes[],33,FALSE)=0,SAS_RA0_DataFim,VLOOKUP(LnkTXTSigla,Informacoes[],33,FALSE))</f>
        <v>44713</v>
      </c>
      <c r="G59" s="380"/>
      <c r="K59" s="573"/>
      <c r="L59" s="560"/>
      <c r="N59" s="577"/>
      <c r="O59" s="9"/>
      <c r="R59" s="380"/>
      <c r="S59" s="380"/>
      <c r="T59" s="380"/>
      <c r="U59" s="380"/>
      <c r="V59" s="380"/>
      <c r="W59" s="380"/>
      <c r="X59" s="380"/>
      <c r="Y59" s="380"/>
      <c r="Z59" s="380"/>
      <c r="AA59" s="380"/>
      <c r="AB59" s="380"/>
      <c r="AC59" s="380"/>
      <c r="AD59" s="380"/>
      <c r="AE59" s="380"/>
      <c r="AF59" s="380"/>
      <c r="AG59" s="380"/>
      <c r="AH59" s="380"/>
      <c r="AI59" s="380"/>
      <c r="AJ59" s="380"/>
      <c r="AK59" s="380"/>
      <c r="AL59" s="380"/>
      <c r="AM59" s="380"/>
      <c r="AN59" s="380"/>
      <c r="AO59" s="380"/>
      <c r="AP59" s="380"/>
      <c r="AQ59" s="380"/>
      <c r="AR59" s="380"/>
      <c r="AS59" s="380"/>
      <c r="AT59" s="380"/>
      <c r="AU59" s="380"/>
      <c r="AV59" s="380"/>
      <c r="AW59" s="380"/>
      <c r="AX59" s="380"/>
      <c r="AY59" s="380"/>
      <c r="AZ59" s="380"/>
      <c r="BA59" s="380"/>
      <c r="BB59" s="380"/>
      <c r="BC59" s="380"/>
      <c r="BD59" s="380"/>
      <c r="BE59" s="380"/>
      <c r="BF59" s="380"/>
      <c r="BG59" s="380"/>
      <c r="BH59" s="380"/>
      <c r="BI59" s="380"/>
      <c r="BJ59" s="380"/>
      <c r="BK59" s="380"/>
      <c r="BL59" s="380"/>
      <c r="BM59" s="380"/>
      <c r="BN59" s="380"/>
      <c r="BO59" s="380"/>
      <c r="BP59" s="380"/>
      <c r="BQ59" s="380"/>
      <c r="BR59" s="380"/>
      <c r="BS59" s="380"/>
      <c r="BT59" s="380"/>
      <c r="BU59" s="380"/>
      <c r="BV59" s="380"/>
      <c r="BW59" s="380"/>
      <c r="BX59" s="380"/>
      <c r="BY59" s="380"/>
      <c r="BZ59" s="380"/>
      <c r="CA59" s="380"/>
      <c r="CB59" s="380"/>
      <c r="CC59" s="380"/>
      <c r="CD59" s="380"/>
      <c r="CE59" s="380"/>
      <c r="CF59" s="380"/>
    </row>
    <row r="60" spans="1:84" ht="26.25" thickBot="1">
      <c r="A60" s="575"/>
      <c r="B60" s="539" t="s">
        <v>769</v>
      </c>
      <c r="C60" s="550"/>
      <c r="D60" s="551"/>
      <c r="E60" s="551"/>
      <c r="F60" s="551"/>
      <c r="G60" s="531"/>
      <c r="H60" s="532"/>
      <c r="I60" s="551"/>
      <c r="J60" s="552"/>
      <c r="K60" s="553"/>
      <c r="L60" s="781"/>
      <c r="M60" s="576"/>
      <c r="N60" s="577"/>
      <c r="O60" s="9"/>
      <c r="R60" s="380"/>
      <c r="S60" s="380"/>
      <c r="T60" s="380"/>
      <c r="U60" s="380"/>
      <c r="V60" s="380"/>
      <c r="W60" s="380"/>
      <c r="X60" s="380"/>
      <c r="Y60" s="380"/>
      <c r="Z60" s="380"/>
      <c r="AA60" s="380"/>
      <c r="AB60" s="380"/>
      <c r="AC60" s="380"/>
      <c r="AD60" s="380"/>
      <c r="AE60" s="380"/>
      <c r="AF60" s="380"/>
      <c r="AG60" s="380"/>
      <c r="AH60" s="380"/>
      <c r="AI60" s="380"/>
      <c r="AJ60" s="380"/>
      <c r="AK60" s="380"/>
      <c r="AL60" s="380"/>
      <c r="AM60" s="380"/>
      <c r="AN60" s="380"/>
      <c r="AO60" s="380"/>
      <c r="AP60" s="380"/>
      <c r="AQ60" s="380"/>
      <c r="AR60" s="380"/>
      <c r="AS60" s="380"/>
      <c r="AT60" s="380"/>
      <c r="AU60" s="380"/>
      <c r="AV60" s="380"/>
      <c r="AW60" s="380"/>
      <c r="AX60" s="380"/>
      <c r="AY60" s="380"/>
      <c r="AZ60" s="380"/>
      <c r="BA60" s="380"/>
      <c r="BB60" s="380"/>
      <c r="BC60" s="380"/>
      <c r="BD60" s="380"/>
      <c r="BE60" s="380"/>
      <c r="BF60" s="380"/>
      <c r="BG60" s="380"/>
      <c r="BH60" s="380"/>
      <c r="BI60" s="380"/>
      <c r="BJ60" s="380"/>
      <c r="BK60" s="380"/>
      <c r="BL60" s="380"/>
      <c r="BM60" s="380"/>
      <c r="BN60" s="380"/>
      <c r="BO60" s="380"/>
      <c r="BP60" s="380"/>
      <c r="BQ60" s="380"/>
      <c r="BR60" s="380"/>
      <c r="BS60" s="380"/>
      <c r="BT60" s="380"/>
      <c r="BU60" s="380"/>
      <c r="BV60" s="380"/>
      <c r="BW60" s="380"/>
      <c r="BX60" s="380"/>
      <c r="BY60" s="380"/>
      <c r="BZ60" s="380"/>
      <c r="CA60" s="380"/>
      <c r="CB60" s="380"/>
      <c r="CC60" s="380"/>
      <c r="CD60" s="380"/>
      <c r="CE60" s="380"/>
      <c r="CF60" s="380"/>
    </row>
    <row r="61" spans="1:84" ht="57" customHeight="1" thickBot="1">
      <c r="B61" s="578" t="s">
        <v>770</v>
      </c>
      <c r="C61" s="578"/>
      <c r="D61" s="578" t="s">
        <v>771</v>
      </c>
      <c r="L61" s="560"/>
      <c r="M61" s="759"/>
      <c r="N61" s="479"/>
      <c r="O61" s="577"/>
      <c r="S61" s="380"/>
      <c r="T61" s="380"/>
      <c r="U61" s="380"/>
      <c r="V61" s="380"/>
      <c r="W61" s="380"/>
      <c r="X61" s="380"/>
      <c r="Y61" s="380"/>
      <c r="Z61" s="380"/>
      <c r="AA61" s="380"/>
      <c r="AB61" s="380"/>
      <c r="AC61" s="380"/>
      <c r="AD61" s="380"/>
      <c r="AE61" s="380"/>
      <c r="AF61" s="380"/>
      <c r="AG61" s="380"/>
      <c r="AH61" s="380"/>
      <c r="AI61" s="380"/>
      <c r="AJ61" s="380"/>
      <c r="AK61" s="380"/>
      <c r="AL61" s="380"/>
      <c r="AM61" s="380"/>
      <c r="AN61" s="380"/>
      <c r="AO61" s="380"/>
      <c r="AP61" s="380"/>
      <c r="AQ61" s="380"/>
      <c r="AR61" s="380"/>
      <c r="AS61" s="380"/>
      <c r="AT61" s="380"/>
      <c r="AU61" s="380"/>
      <c r="AV61" s="380"/>
      <c r="AW61" s="380"/>
      <c r="AX61" s="380"/>
      <c r="AY61" s="380"/>
      <c r="AZ61" s="380"/>
      <c r="BA61" s="380"/>
      <c r="BB61" s="380"/>
      <c r="BC61" s="380"/>
      <c r="BD61" s="380"/>
      <c r="BE61" s="380"/>
      <c r="BF61" s="380"/>
      <c r="BG61" s="380"/>
      <c r="BH61" s="380"/>
      <c r="BI61" s="380"/>
      <c r="BJ61" s="380"/>
      <c r="BK61" s="380"/>
      <c r="BL61" s="380"/>
      <c r="BM61" s="380"/>
      <c r="BN61" s="380"/>
      <c r="BO61" s="380"/>
      <c r="BP61" s="380"/>
      <c r="BQ61" s="380"/>
      <c r="BR61" s="380"/>
      <c r="BS61" s="380"/>
      <c r="BT61" s="380"/>
      <c r="BU61" s="380"/>
      <c r="BV61" s="380"/>
      <c r="BW61" s="380"/>
      <c r="BX61" s="380"/>
      <c r="BY61" s="380"/>
      <c r="BZ61" s="380"/>
      <c r="CA61" s="380"/>
      <c r="CB61" s="380"/>
      <c r="CC61" s="380"/>
      <c r="CD61" s="380"/>
      <c r="CE61" s="380"/>
      <c r="CF61" s="380"/>
    </row>
    <row r="62" spans="1:84" ht="17.25" thickBot="1">
      <c r="B62" s="735" t="s">
        <v>772</v>
      </c>
      <c r="C62" s="736" t="s">
        <v>773</v>
      </c>
      <c r="D62" s="736" t="s">
        <v>270</v>
      </c>
      <c r="E62" s="1715" t="s">
        <v>774</v>
      </c>
      <c r="F62" s="1716"/>
      <c r="G62" s="736" t="s">
        <v>775</v>
      </c>
      <c r="H62" s="737" t="s">
        <v>776</v>
      </c>
      <c r="I62" s="9"/>
      <c r="J62" s="9"/>
      <c r="K62" s="9"/>
      <c r="L62" s="17"/>
      <c r="M62" s="565"/>
      <c r="N62" s="479"/>
      <c r="O62" s="577"/>
      <c r="S62" s="380"/>
      <c r="T62" s="380"/>
      <c r="U62" s="380"/>
      <c r="V62" s="380"/>
      <c r="W62" s="380"/>
      <c r="X62" s="380"/>
      <c r="Y62" s="380"/>
      <c r="Z62" s="380"/>
      <c r="AA62" s="380"/>
      <c r="AB62" s="380"/>
      <c r="AC62" s="380"/>
      <c r="AD62" s="380"/>
      <c r="AE62" s="380"/>
      <c r="AF62" s="380"/>
      <c r="AG62" s="380"/>
      <c r="AH62" s="380"/>
      <c r="AI62" s="380"/>
      <c r="AJ62" s="380"/>
      <c r="AK62" s="380"/>
      <c r="AL62" s="380"/>
      <c r="AM62" s="380"/>
      <c r="AN62" s="380"/>
      <c r="AO62" s="380"/>
      <c r="AP62" s="380"/>
      <c r="AQ62" s="380"/>
      <c r="AR62" s="380"/>
      <c r="AS62" s="380"/>
      <c r="AT62" s="380"/>
      <c r="AU62" s="380"/>
      <c r="AV62" s="380"/>
      <c r="AW62" s="380"/>
      <c r="AX62" s="380"/>
      <c r="AY62" s="380"/>
      <c r="AZ62" s="380"/>
      <c r="BA62" s="380"/>
      <c r="BB62" s="380"/>
      <c r="BC62" s="380"/>
      <c r="BD62" s="380"/>
      <c r="BE62" s="380"/>
      <c r="BF62" s="380"/>
      <c r="BG62" s="380"/>
      <c r="BH62" s="380"/>
      <c r="BI62" s="380"/>
      <c r="BJ62" s="380"/>
      <c r="BK62" s="380"/>
      <c r="BL62" s="380"/>
      <c r="BM62" s="380"/>
      <c r="BN62" s="380"/>
      <c r="BO62" s="380"/>
      <c r="BP62" s="380"/>
      <c r="BQ62" s="380"/>
      <c r="BR62" s="380"/>
      <c r="BS62" s="380"/>
      <c r="BT62" s="380"/>
      <c r="BU62" s="380"/>
      <c r="BV62" s="380"/>
      <c r="BW62" s="380"/>
      <c r="BX62" s="380"/>
      <c r="BY62" s="380"/>
      <c r="BZ62" s="380"/>
      <c r="CA62" s="380"/>
      <c r="CB62" s="380"/>
      <c r="CC62" s="380"/>
      <c r="CD62" s="380"/>
      <c r="CE62" s="380"/>
      <c r="CF62" s="380"/>
    </row>
    <row r="63" spans="1:84" ht="16.5">
      <c r="B63" s="731">
        <f>Indexador!B34</f>
        <v>44287</v>
      </c>
      <c r="C63" s="1683"/>
      <c r="D63" s="747">
        <f>IF($C$113="Não",SUMIFS(Faturas!H:H,Faturas!A:A,$K$12,Faturas!G:G,"ICMS",Faturas!F:F,YEAR(CAPA!B63)*100+MONTH(CAPA!B63)),IF(B63&lt;$C$114,0,SUMIFS(Faturas!H:H,Faturas!A:A,$K$12,Faturas!G:G,"ICMS",Faturas!F:F,YEAR(CAPA!B63)*100+MONTH(CAPA!B63))))</f>
        <v>0</v>
      </c>
      <c r="E63" s="1733">
        <f>IF($C$113="Não",SUMIFS(Faturas!H:H,Faturas!A:A,$K$12,Faturas!G:G,"DICFIC",Faturas!F:F,YEAR(CAPA!B63)*100+MONTH(CAPA!B63)),IF(B63&lt;$C$114,0,SUMIFS(Faturas!H:H,Faturas!A:A,$K$12,Faturas!G:G,"DICFIC",Faturas!F:F,YEAR(CAPA!B63)*100+MONTH(CAPA!B63))))</f>
        <v>0</v>
      </c>
      <c r="F63" s="1734"/>
      <c r="G63" s="747">
        <f>IFERROR(VLOOKUP(B63,transmissorapiscofins[#All],2,FALSE),0)</f>
        <v>0</v>
      </c>
      <c r="H63" s="748"/>
      <c r="I63" s="9" t="s">
        <v>777</v>
      </c>
      <c r="J63" s="484"/>
      <c r="K63" s="9"/>
      <c r="L63" s="17"/>
      <c r="M63" s="565"/>
      <c r="N63" s="479"/>
      <c r="O63" s="577"/>
      <c r="S63" s="380"/>
      <c r="T63" s="380"/>
      <c r="U63" s="380"/>
      <c r="V63" s="380"/>
      <c r="W63" s="380"/>
      <c r="X63" s="380"/>
      <c r="Y63" s="380"/>
      <c r="Z63" s="380"/>
      <c r="AA63" s="380"/>
      <c r="AB63" s="380"/>
      <c r="AC63" s="380"/>
      <c r="AD63" s="380"/>
      <c r="AE63" s="380"/>
      <c r="AF63" s="380"/>
      <c r="AG63" s="380"/>
      <c r="AH63" s="380"/>
      <c r="AI63" s="380"/>
      <c r="AJ63" s="380"/>
      <c r="AK63" s="380"/>
      <c r="AL63" s="380"/>
      <c r="AM63" s="380"/>
      <c r="AN63" s="380"/>
      <c r="AO63" s="380"/>
      <c r="AP63" s="380"/>
      <c r="AQ63" s="380"/>
      <c r="AR63" s="380"/>
      <c r="AS63" s="380"/>
      <c r="AT63" s="380"/>
      <c r="AU63" s="380"/>
      <c r="AV63" s="380"/>
      <c r="AW63" s="380"/>
      <c r="AX63" s="380"/>
      <c r="AY63" s="380"/>
      <c r="AZ63" s="380"/>
      <c r="BA63" s="380"/>
      <c r="BB63" s="380"/>
      <c r="BC63" s="380"/>
      <c r="BD63" s="380"/>
      <c r="BE63" s="380"/>
      <c r="BF63" s="380"/>
      <c r="BG63" s="380"/>
      <c r="BH63" s="380"/>
      <c r="BI63" s="380"/>
      <c r="BJ63" s="380"/>
      <c r="BK63" s="380"/>
      <c r="BL63" s="380"/>
      <c r="BM63" s="380"/>
      <c r="BN63" s="380"/>
      <c r="BO63" s="380"/>
      <c r="BP63" s="380"/>
      <c r="BQ63" s="380"/>
      <c r="BR63" s="380"/>
      <c r="BS63" s="380"/>
      <c r="BT63" s="380"/>
      <c r="BU63" s="380"/>
      <c r="BV63" s="380"/>
      <c r="BW63" s="380"/>
      <c r="BX63" s="380"/>
      <c r="BY63" s="380"/>
      <c r="BZ63" s="380"/>
      <c r="CA63" s="380"/>
      <c r="CB63" s="380"/>
      <c r="CC63" s="380"/>
      <c r="CD63" s="380"/>
      <c r="CE63" s="380"/>
      <c r="CF63" s="380"/>
    </row>
    <row r="64" spans="1:84" ht="16.5">
      <c r="B64" s="732">
        <f>Indexador!B35</f>
        <v>44317</v>
      </c>
      <c r="C64" s="1684"/>
      <c r="D64" s="753">
        <f>IF($C$113="Não",SUMIFS(Faturas!H:H,Faturas!A:A,$K$12,Faturas!G:G,"ICMS",Faturas!F:F,YEAR(CAPA!B64)*100+MONTH(CAPA!B64)),IF(B64&lt;$C$114,0,SUMIFS(Faturas!H:H,Faturas!A:A,$K$12,Faturas!G:G,"ICMS",Faturas!F:F,YEAR(CAPA!B64)*100+MONTH(CAPA!B64))))</f>
        <v>0</v>
      </c>
      <c r="E64" s="1735">
        <f>IF($C$113="Não",SUMIFS(Faturas!H:H,Faturas!A:A,$K$12,Faturas!G:G,"DICFIC",Faturas!F:F,YEAR(CAPA!B64)*100+MONTH(CAPA!B64)),IF(B64&lt;$C$114,0,SUMIFS(Faturas!H:H,Faturas!A:A,$K$12,Faturas!G:G,"DICFIC",Faturas!F:F,YEAR(CAPA!B64)*100+MONTH(CAPA!B64))))</f>
        <v>0</v>
      </c>
      <c r="F64" s="1736"/>
      <c r="G64" s="753">
        <f>IFERROR(VLOOKUP(B64,transmissorapiscofins[#All],2,FALSE),0)</f>
        <v>0</v>
      </c>
      <c r="H64" s="739">
        <f>SUMIF(BD!$A$41:$A$57,B64,BD!$C$41:$C$57)</f>
        <v>0</v>
      </c>
      <c r="I64" s="9" t="s">
        <v>778</v>
      </c>
      <c r="J64" s="582"/>
      <c r="K64" s="9"/>
      <c r="L64" s="17"/>
      <c r="M64" s="565"/>
      <c r="N64" s="479"/>
      <c r="O64" s="577"/>
      <c r="S64" s="380"/>
      <c r="T64" s="380"/>
      <c r="U64" s="380"/>
      <c r="V64" s="380"/>
      <c r="W64" s="380"/>
      <c r="X64" s="380"/>
      <c r="Y64" s="380"/>
      <c r="Z64" s="380"/>
      <c r="AA64" s="380"/>
      <c r="AB64" s="380"/>
      <c r="AC64" s="380"/>
      <c r="AD64" s="380"/>
      <c r="AE64" s="380"/>
      <c r="AF64" s="380"/>
      <c r="AG64" s="380"/>
      <c r="AH64" s="380"/>
      <c r="AI64" s="380"/>
      <c r="AJ64" s="380"/>
      <c r="AK64" s="380"/>
      <c r="AL64" s="380"/>
      <c r="AM64" s="380"/>
      <c r="AN64" s="380"/>
      <c r="AO64" s="380"/>
      <c r="AP64" s="380"/>
      <c r="AQ64" s="380"/>
      <c r="AR64" s="380"/>
      <c r="AS64" s="380"/>
      <c r="AT64" s="380"/>
      <c r="AU64" s="380"/>
      <c r="AV64" s="380"/>
      <c r="AW64" s="380"/>
      <c r="AX64" s="380"/>
      <c r="AY64" s="380"/>
      <c r="AZ64" s="380"/>
      <c r="BA64" s="380"/>
      <c r="BB64" s="380"/>
      <c r="BC64" s="380"/>
      <c r="BD64" s="380"/>
      <c r="BE64" s="380"/>
      <c r="BF64" s="380"/>
      <c r="BG64" s="380"/>
      <c r="BH64" s="380"/>
      <c r="BI64" s="380"/>
      <c r="BJ64" s="380"/>
      <c r="BK64" s="380"/>
      <c r="BL64" s="380"/>
      <c r="BM64" s="380"/>
      <c r="BN64" s="380"/>
      <c r="BO64" s="380"/>
      <c r="BP64" s="380"/>
      <c r="BQ64" s="380"/>
      <c r="BR64" s="380"/>
      <c r="BS64" s="380"/>
      <c r="BT64" s="380"/>
      <c r="BU64" s="380"/>
      <c r="BV64" s="380"/>
      <c r="BW64" s="380"/>
      <c r="BX64" s="380"/>
      <c r="BY64" s="380"/>
      <c r="BZ64" s="380"/>
      <c r="CA64" s="380"/>
      <c r="CB64" s="380"/>
      <c r="CC64" s="380"/>
      <c r="CD64" s="380"/>
      <c r="CE64" s="380"/>
      <c r="CF64" s="380"/>
    </row>
    <row r="65" spans="1:84" ht="17.25" thickBot="1">
      <c r="B65" s="738">
        <f>Indexador!B36</f>
        <v>44348</v>
      </c>
      <c r="C65" s="1685"/>
      <c r="D65" s="754">
        <f>IF($C$113="Não",SUMIFS(Faturas!H:H,Faturas!A:A,$K$12,Faturas!G:G,"ICMS",Faturas!F:F,YEAR(CAPA!B65)*100+MONTH(CAPA!B65)),IF(B65&lt;$C$114,0,SUMIFS(Faturas!H:H,Faturas!A:A,$K$12,Faturas!G:G,"ICMS",Faturas!F:F,YEAR(CAPA!B65)*100+MONTH(CAPA!B65))))</f>
        <v>0</v>
      </c>
      <c r="E65" s="1737">
        <f>IF($C$113="Não",SUMIFS(Faturas!H:H,Faturas!A:A,$K$12,Faturas!G:G,"DICFIC",Faturas!F:F,YEAR(CAPA!B65)*100+MONTH(CAPA!B65)),IF(B65&lt;$C$114,0,SUMIFS(Faturas!H:H,Faturas!A:A,$K$12,Faturas!G:G,"DICFIC",Faturas!F:F,YEAR(CAPA!B65)*100+MONTH(CAPA!B65))))</f>
        <v>0</v>
      </c>
      <c r="F65" s="1738"/>
      <c r="G65" s="754">
        <f>IFERROR(VLOOKUP(B65,transmissorapiscofins[#All],2,FALSE),0)</f>
        <v>0</v>
      </c>
      <c r="H65" s="762">
        <f>SUMIF(BD!$A$41:$A$57,B65,BD!$C$41:$C$57)</f>
        <v>0</v>
      </c>
      <c r="I65" s="9"/>
      <c r="J65" s="582"/>
      <c r="K65" s="9"/>
      <c r="L65" s="17"/>
      <c r="M65" s="565"/>
      <c r="N65" s="479"/>
      <c r="O65" s="577"/>
      <c r="S65" s="380"/>
      <c r="T65" s="380"/>
      <c r="U65" s="380"/>
      <c r="V65" s="380"/>
      <c r="W65" s="380"/>
      <c r="X65" s="380"/>
      <c r="Y65" s="380"/>
      <c r="Z65" s="380"/>
      <c r="AA65" s="380"/>
      <c r="AB65" s="380"/>
      <c r="AC65" s="380"/>
      <c r="AD65" s="380"/>
      <c r="AE65" s="380"/>
      <c r="AF65" s="380"/>
      <c r="AG65" s="380"/>
      <c r="AH65" s="380"/>
      <c r="AI65" s="380"/>
      <c r="AJ65" s="380"/>
      <c r="AK65" s="380"/>
      <c r="AL65" s="380"/>
      <c r="AM65" s="380"/>
      <c r="AN65" s="380"/>
      <c r="AO65" s="380"/>
      <c r="AP65" s="380"/>
      <c r="AQ65" s="380"/>
      <c r="AR65" s="380"/>
      <c r="AS65" s="380"/>
      <c r="AT65" s="380"/>
      <c r="AU65" s="380"/>
      <c r="AV65" s="380"/>
      <c r="AW65" s="380"/>
      <c r="AX65" s="380"/>
      <c r="AY65" s="380"/>
      <c r="AZ65" s="380"/>
      <c r="BA65" s="380"/>
      <c r="BB65" s="380"/>
      <c r="BC65" s="380"/>
      <c r="BD65" s="380"/>
      <c r="BE65" s="380"/>
      <c r="BF65" s="380"/>
      <c r="BG65" s="380"/>
      <c r="BH65" s="380"/>
      <c r="BI65" s="380"/>
      <c r="BJ65" s="380"/>
      <c r="BK65" s="380"/>
      <c r="BL65" s="380"/>
      <c r="BM65" s="380"/>
      <c r="BN65" s="380"/>
      <c r="BO65" s="380"/>
      <c r="BP65" s="380"/>
      <c r="BQ65" s="380"/>
      <c r="BR65" s="380"/>
      <c r="BS65" s="380"/>
      <c r="BT65" s="380"/>
      <c r="BU65" s="380"/>
      <c r="BV65" s="380"/>
      <c r="BW65" s="380"/>
      <c r="BX65" s="380"/>
      <c r="BY65" s="380"/>
      <c r="BZ65" s="380"/>
      <c r="CA65" s="380"/>
      <c r="CB65" s="380"/>
      <c r="CC65" s="380"/>
      <c r="CD65" s="380"/>
      <c r="CE65" s="380"/>
      <c r="CF65" s="380"/>
    </row>
    <row r="66" spans="1:84">
      <c r="B66" s="733">
        <f>Indexador!B37</f>
        <v>44378</v>
      </c>
      <c r="C66" s="755">
        <f>IF($C$113="Não",SUMIFS(Faturas!H:H,Faturas!A:A,$K$12,Faturas!G:G,"PisConfins",Faturas!F:F,YEAR(CAPA!B66)*100+MONTH(CAPA!B66)),IF(B66&lt;$C$114,0,SUMIFS(Faturas!H:H,Faturas!A:A,$K$12,Faturas!G:G,"PisConfins",Faturas!F:F,YEAR(CAPA!B66)*100+MONTH(CAPA!B66))))</f>
        <v>11928.2</v>
      </c>
      <c r="D66" s="756">
        <f>IF($C$113="Não",SUMIFS(Faturas!H:H,Faturas!A:A,$K$12,Faturas!G:G,"ICMS",Faturas!F:F,YEAR(CAPA!B66)*100+MONTH(CAPA!B66)),IF(B66&lt;$C$114,0,SUMIFS(Faturas!H:H,Faturas!A:A,$K$12,Faturas!G:G,"ICMS",Faturas!F:F,YEAR(CAPA!B66)*100+MONTH(CAPA!B66))))</f>
        <v>0</v>
      </c>
      <c r="E66" s="1729">
        <f>IF($C$113="Não",SUMIFS(Faturas!H:H,Faturas!A:A,$K$12,Faturas!G:G,"DICFIC",Faturas!F:F,YEAR(CAPA!B66)*100+MONTH(CAPA!B66)),IF(B66&lt;$C$114,0,SUMIFS(Faturas!H:H,Faturas!A:A,$K$12,Faturas!G:G,"DICFIC",Faturas!F:F,YEAR(CAPA!B66)*100+MONTH(CAPA!B66))))</f>
        <v>0</v>
      </c>
      <c r="F66" s="1730"/>
      <c r="G66" s="756">
        <f>IFERROR(VLOOKUP(B66,transmissorapiscofins[#All],2,FALSE),0)</f>
        <v>0</v>
      </c>
      <c r="H66" s="739">
        <f>SUMIF(BD!$A$41:$A$57,B66,BD!$C$41:$C$57)</f>
        <v>0</v>
      </c>
      <c r="I66" s="9"/>
      <c r="J66" s="9"/>
      <c r="K66" s="9"/>
      <c r="L66" s="17"/>
      <c r="M66" s="565"/>
      <c r="N66" s="479"/>
      <c r="S66" s="380"/>
      <c r="T66" s="380"/>
      <c r="U66" s="380"/>
      <c r="V66" s="380"/>
      <c r="W66" s="380"/>
      <c r="X66" s="380"/>
      <c r="Y66" s="380"/>
      <c r="Z66" s="380"/>
      <c r="AA66" s="380"/>
      <c r="AB66" s="380"/>
      <c r="AC66" s="380"/>
      <c r="AD66" s="380"/>
      <c r="AE66" s="380"/>
      <c r="AF66" s="380"/>
      <c r="AG66" s="380"/>
      <c r="AH66" s="380"/>
      <c r="AI66" s="380"/>
      <c r="AJ66" s="380"/>
      <c r="AK66" s="380"/>
      <c r="AL66" s="380"/>
      <c r="AM66" s="380"/>
      <c r="AN66" s="380"/>
      <c r="AO66" s="380"/>
      <c r="AP66" s="380"/>
      <c r="AQ66" s="380"/>
      <c r="AR66" s="380"/>
      <c r="AS66" s="380"/>
      <c r="AT66" s="380"/>
      <c r="AU66" s="380"/>
      <c r="AV66" s="380"/>
      <c r="AW66" s="380"/>
      <c r="AX66" s="380"/>
      <c r="AY66" s="380"/>
      <c r="AZ66" s="380"/>
      <c r="BA66" s="380"/>
      <c r="BB66" s="380"/>
      <c r="BC66" s="380"/>
      <c r="BD66" s="380"/>
      <c r="BE66" s="380"/>
      <c r="BF66" s="380"/>
      <c r="BG66" s="380"/>
      <c r="BH66" s="380"/>
      <c r="BI66" s="380"/>
      <c r="BJ66" s="380"/>
      <c r="BK66" s="380"/>
      <c r="BL66" s="380"/>
      <c r="BM66" s="380"/>
      <c r="BN66" s="380"/>
      <c r="BO66" s="380"/>
      <c r="BP66" s="380"/>
      <c r="BQ66" s="380"/>
      <c r="BR66" s="380"/>
      <c r="BS66" s="380"/>
      <c r="BT66" s="380"/>
      <c r="BU66" s="380"/>
      <c r="BV66" s="380"/>
      <c r="BW66" s="380"/>
      <c r="BX66" s="380"/>
      <c r="BY66" s="380"/>
      <c r="BZ66" s="380"/>
      <c r="CA66" s="380"/>
      <c r="CB66" s="380"/>
      <c r="CC66" s="380"/>
      <c r="CD66" s="380"/>
      <c r="CE66" s="380"/>
      <c r="CF66" s="380"/>
    </row>
    <row r="67" spans="1:84" ht="16.5" customHeight="1">
      <c r="B67" s="733">
        <f>Indexador!B38</f>
        <v>44409</v>
      </c>
      <c r="C67" s="755">
        <f>IF($C$113="Não",SUMIFS(Faturas!H:H,Faturas!A:A,$K$12,Faturas!G:G,"PisConfins",Faturas!F:F,YEAR(CAPA!B67)*100+MONTH(CAPA!B67)),IF(B67&lt;$C$114,0,SUMIFS(Faturas!H:H,Faturas!A:A,$K$12,Faturas!G:G,"PisConfins",Faturas!F:F,YEAR(CAPA!B67)*100+MONTH(CAPA!B67))))</f>
        <v>7627.94</v>
      </c>
      <c r="D67" s="755">
        <f>IF($C$113="Não",SUMIFS(Faturas!H:H,Faturas!A:A,$K$12,Faturas!G:G,"ICMS",Faturas!F:F,YEAR(CAPA!B67)*100+MONTH(CAPA!B67)),IF(B67&lt;$C$114,0,SUMIFS(Faturas!H:H,Faturas!A:A,$K$12,Faturas!G:G,"ICMS",Faturas!F:F,YEAR(CAPA!B67)*100+MONTH(CAPA!B67))))</f>
        <v>0</v>
      </c>
      <c r="E67" s="1717">
        <f>IF($C$113="Não",SUMIFS(Faturas!H:H,Faturas!A:A,$K$12,Faturas!G:G,"DICFIC",Faturas!F:F,YEAR(CAPA!B67)*100+MONTH(CAPA!B67)),IF(B67&lt;$C$114,0,SUMIFS(Faturas!H:H,Faturas!A:A,$K$12,Faturas!G:G,"DICFIC",Faturas!F:F,YEAR(CAPA!B67)*100+MONTH(CAPA!B67))))</f>
        <v>0</v>
      </c>
      <c r="F67" s="1718"/>
      <c r="G67" s="755">
        <f>IFERROR(VLOOKUP(B67,transmissorapiscofins[#All],2,FALSE),0)</f>
        <v>0</v>
      </c>
      <c r="H67" s="739">
        <f>SUMIF(BD!$A$41:$A$57,B67,BD!$C$41:$C$57)</f>
        <v>0</v>
      </c>
      <c r="I67" s="9"/>
      <c r="J67" s="9"/>
      <c r="K67" s="9"/>
      <c r="L67" s="17"/>
      <c r="M67" s="565"/>
      <c r="N67" s="761"/>
      <c r="S67" s="380"/>
      <c r="T67" s="380"/>
      <c r="U67" s="380"/>
      <c r="V67" s="380"/>
      <c r="W67" s="380"/>
      <c r="X67" s="380"/>
      <c r="Y67" s="380"/>
      <c r="Z67" s="380"/>
      <c r="AA67" s="380"/>
      <c r="AB67" s="380"/>
      <c r="AC67" s="380"/>
      <c r="AD67" s="380"/>
      <c r="AE67" s="380"/>
      <c r="AF67" s="380"/>
      <c r="AG67" s="380"/>
      <c r="AH67" s="380"/>
      <c r="AI67" s="380"/>
      <c r="AJ67" s="380"/>
      <c r="AK67" s="380"/>
      <c r="AL67" s="380"/>
      <c r="AM67" s="380"/>
      <c r="AN67" s="380"/>
      <c r="AO67" s="380"/>
      <c r="AP67" s="380"/>
      <c r="AQ67" s="380"/>
      <c r="AR67" s="380"/>
      <c r="AS67" s="380"/>
      <c r="AT67" s="380"/>
      <c r="AU67" s="380"/>
      <c r="AV67" s="380"/>
      <c r="AW67" s="380"/>
      <c r="AX67" s="380"/>
      <c r="AY67" s="380"/>
      <c r="AZ67" s="380"/>
      <c r="BA67" s="380"/>
      <c r="BB67" s="380"/>
      <c r="BC67" s="380"/>
      <c r="BD67" s="380"/>
      <c r="BE67" s="380"/>
      <c r="BF67" s="380"/>
      <c r="BG67" s="380"/>
      <c r="BH67" s="380"/>
      <c r="BI67" s="380"/>
      <c r="BJ67" s="380"/>
      <c r="BK67" s="380"/>
      <c r="BL67" s="380"/>
      <c r="BM67" s="380"/>
      <c r="BN67" s="380"/>
      <c r="BO67" s="380"/>
      <c r="BP67" s="380"/>
      <c r="BQ67" s="380"/>
      <c r="BR67" s="380"/>
      <c r="BS67" s="380"/>
      <c r="BT67" s="380"/>
      <c r="BU67" s="380"/>
      <c r="BV67" s="380"/>
      <c r="BW67" s="380"/>
      <c r="BX67" s="380"/>
      <c r="BY67" s="380"/>
      <c r="BZ67" s="380"/>
      <c r="CA67" s="380"/>
      <c r="CB67" s="380"/>
      <c r="CC67" s="380"/>
      <c r="CD67" s="380"/>
      <c r="CE67" s="380"/>
      <c r="CF67" s="380"/>
    </row>
    <row r="68" spans="1:84" ht="16.5" customHeight="1">
      <c r="B68" s="733">
        <f>Indexador!B39</f>
        <v>44440</v>
      </c>
      <c r="C68" s="755">
        <f>IF($C$113="Não",SUMIFS(Faturas!H:H,Faturas!A:A,$K$12,Faturas!G:G,"PisConfins",Faturas!F:F,YEAR(CAPA!B68)*100+MONTH(CAPA!B68)),IF(B68&lt;$C$114,0,SUMIFS(Faturas!H:H,Faturas!A:A,$K$12,Faturas!G:G,"PisConfins",Faturas!F:F,YEAR(CAPA!B68)*100+MONTH(CAPA!B68))))</f>
        <v>13874.88</v>
      </c>
      <c r="D68" s="755">
        <f>IF($C$113="Não",SUMIFS(Faturas!H:H,Faturas!A:A,$K$12,Faturas!G:G,"ICMS",Faturas!F:F,YEAR(CAPA!B68)*100+MONTH(CAPA!B68)),IF(B68&lt;$C$114,0,SUMIFS(Faturas!H:H,Faturas!A:A,$K$12,Faturas!G:G,"ICMS",Faturas!F:F,YEAR(CAPA!B68)*100+MONTH(CAPA!B68))))</f>
        <v>0</v>
      </c>
      <c r="E68" s="1717">
        <f>IF($C$113="Não",SUMIFS(Faturas!H:H,Faturas!A:A,$K$12,Faturas!G:G,"DICFIC",Faturas!F:F,YEAR(CAPA!B68)*100+MONTH(CAPA!B68)),IF(B68&lt;$C$114,0,SUMIFS(Faturas!H:H,Faturas!A:A,$K$12,Faturas!G:G,"DICFIC",Faturas!F:F,YEAR(CAPA!B68)*100+MONTH(CAPA!B68))))</f>
        <v>0</v>
      </c>
      <c r="F68" s="1718"/>
      <c r="G68" s="755">
        <f>IFERROR(VLOOKUP(B68,transmissorapiscofins[#All],2,FALSE),0)</f>
        <v>0</v>
      </c>
      <c r="H68" s="739">
        <f>SUMIF(BD!$A$41:$A$57,B68,BD!$C$41:$C$57)</f>
        <v>0</v>
      </c>
      <c r="I68" s="9"/>
      <c r="J68" s="9"/>
      <c r="K68" s="9"/>
      <c r="L68" s="17"/>
      <c r="M68" s="565"/>
      <c r="N68" s="479"/>
      <c r="S68" s="380"/>
      <c r="T68" s="380"/>
      <c r="U68" s="380"/>
      <c r="V68" s="380"/>
      <c r="W68" s="380"/>
      <c r="X68" s="380"/>
      <c r="Y68" s="380"/>
      <c r="Z68" s="380"/>
      <c r="AA68" s="380"/>
      <c r="AB68" s="380"/>
      <c r="AC68" s="380"/>
      <c r="AD68" s="380"/>
      <c r="AE68" s="380"/>
      <c r="AF68" s="380"/>
      <c r="AG68" s="380"/>
      <c r="AH68" s="380"/>
      <c r="AI68" s="380"/>
      <c r="AJ68" s="380"/>
      <c r="AK68" s="380"/>
      <c r="AL68" s="380"/>
      <c r="AM68" s="380"/>
      <c r="AN68" s="380"/>
      <c r="AO68" s="380"/>
      <c r="AP68" s="380"/>
      <c r="AQ68" s="380"/>
      <c r="AR68" s="380"/>
      <c r="AS68" s="380"/>
      <c r="AT68" s="380"/>
      <c r="AU68" s="380"/>
      <c r="AV68" s="380"/>
      <c r="AW68" s="380"/>
      <c r="AX68" s="380"/>
      <c r="AY68" s="380"/>
      <c r="AZ68" s="380"/>
      <c r="BA68" s="380"/>
      <c r="BB68" s="380"/>
      <c r="BC68" s="380"/>
      <c r="BD68" s="380"/>
      <c r="BE68" s="380"/>
      <c r="BF68" s="380"/>
      <c r="BG68" s="380"/>
      <c r="BH68" s="380"/>
      <c r="BI68" s="380"/>
      <c r="BJ68" s="380"/>
      <c r="BK68" s="380"/>
      <c r="BL68" s="380"/>
      <c r="BM68" s="380"/>
      <c r="BN68" s="380"/>
      <c r="BO68" s="380"/>
      <c r="BP68" s="380"/>
      <c r="BQ68" s="380"/>
      <c r="BR68" s="380"/>
      <c r="BS68" s="380"/>
      <c r="BT68" s="380"/>
      <c r="BU68" s="380"/>
      <c r="BV68" s="380"/>
      <c r="BW68" s="380"/>
      <c r="BX68" s="380"/>
      <c r="BY68" s="380"/>
      <c r="BZ68" s="380"/>
      <c r="CA68" s="380"/>
      <c r="CB68" s="380"/>
      <c r="CC68" s="380"/>
      <c r="CD68" s="380"/>
      <c r="CE68" s="380"/>
      <c r="CF68" s="380"/>
    </row>
    <row r="69" spans="1:84" ht="16.5" customHeight="1">
      <c r="B69" s="733">
        <f>Indexador!B40</f>
        <v>44470</v>
      </c>
      <c r="C69" s="755">
        <f>IF($C$113="Não",SUMIFS(Faturas!H:H,Faturas!A:A,$K$12,Faturas!G:G,"PisConfins",Faturas!F:F,YEAR(CAPA!B69)*100+MONTH(CAPA!B69)),IF(B69&lt;$C$114,0,SUMIFS(Faturas!H:H,Faturas!A:A,$K$12,Faturas!G:G,"PisConfins",Faturas!F:F,YEAR(CAPA!B69)*100+MONTH(CAPA!B69))))</f>
        <v>14736.57</v>
      </c>
      <c r="D69" s="755">
        <f>IF($C$113="Não",SUMIFS(Faturas!H:H,Faturas!A:A,$K$12,Faturas!G:G,"ICMS",Faturas!F:F,YEAR(CAPA!B69)*100+MONTH(CAPA!B69)),IF(B69&lt;$C$114,0,SUMIFS(Faturas!H:H,Faturas!A:A,$K$12,Faturas!G:G,"ICMS",Faturas!F:F,YEAR(CAPA!B69)*100+MONTH(CAPA!B69))))</f>
        <v>0</v>
      </c>
      <c r="E69" s="1717">
        <f>IF($C$113="Não",SUMIFS(Faturas!H:H,Faturas!A:A,$K$12,Faturas!G:G,"DICFIC",Faturas!F:F,YEAR(CAPA!B69)*100+MONTH(CAPA!B69)),IF(B69&lt;$C$114,0,SUMIFS(Faturas!H:H,Faturas!A:A,$K$12,Faturas!G:G,"DICFIC",Faturas!F:F,YEAR(CAPA!B69)*100+MONTH(CAPA!B69))))</f>
        <v>0</v>
      </c>
      <c r="F69" s="1718"/>
      <c r="G69" s="755">
        <f>IFERROR(VLOOKUP(B69,transmissorapiscofins[#All],2,FALSE),0)</f>
        <v>0</v>
      </c>
      <c r="H69" s="739">
        <f>SUMIF(BD!$A$41:$A$57,B69,BD!$C$41:$C$57)</f>
        <v>0</v>
      </c>
      <c r="I69" s="9"/>
      <c r="J69" s="9"/>
      <c r="K69" s="9"/>
      <c r="L69" s="17"/>
      <c r="M69" s="565"/>
      <c r="N69" s="479"/>
      <c r="S69" s="380"/>
      <c r="T69" s="380"/>
      <c r="U69" s="380"/>
      <c r="V69" s="380"/>
      <c r="W69" s="380"/>
      <c r="X69" s="380"/>
      <c r="Y69" s="380"/>
      <c r="Z69" s="380"/>
      <c r="AA69" s="380"/>
      <c r="AB69" s="380"/>
      <c r="AC69" s="380"/>
      <c r="AD69" s="380"/>
      <c r="AE69" s="380"/>
      <c r="AF69" s="380"/>
      <c r="AG69" s="380"/>
      <c r="AH69" s="380"/>
      <c r="AI69" s="380"/>
      <c r="AJ69" s="380"/>
      <c r="AK69" s="380"/>
      <c r="AL69" s="380"/>
      <c r="AM69" s="380"/>
      <c r="AN69" s="380"/>
      <c r="AO69" s="380"/>
      <c r="AP69" s="380"/>
      <c r="AQ69" s="380"/>
      <c r="AR69" s="380"/>
      <c r="AS69" s="380"/>
      <c r="AT69" s="380"/>
      <c r="AU69" s="380"/>
      <c r="AV69" s="380"/>
      <c r="AW69" s="380"/>
      <c r="AX69" s="380"/>
      <c r="AY69" s="380"/>
      <c r="AZ69" s="380"/>
      <c r="BA69" s="380"/>
      <c r="BB69" s="380"/>
      <c r="BC69" s="380"/>
      <c r="BD69" s="380"/>
      <c r="BE69" s="380"/>
      <c r="BF69" s="380"/>
      <c r="BG69" s="380"/>
      <c r="BH69" s="380"/>
      <c r="BI69" s="380"/>
      <c r="BJ69" s="380"/>
      <c r="BK69" s="380"/>
      <c r="BL69" s="380"/>
      <c r="BM69" s="380"/>
      <c r="BN69" s="380"/>
      <c r="BO69" s="380"/>
      <c r="BP69" s="380"/>
      <c r="BQ69" s="380"/>
      <c r="BR69" s="380"/>
      <c r="BS69" s="380"/>
      <c r="BT69" s="380"/>
      <c r="BU69" s="380"/>
      <c r="BV69" s="380"/>
      <c r="BW69" s="380"/>
      <c r="BX69" s="380"/>
      <c r="BY69" s="380"/>
      <c r="BZ69" s="380"/>
      <c r="CA69" s="380"/>
      <c r="CB69" s="380"/>
      <c r="CC69" s="380"/>
      <c r="CD69" s="380"/>
      <c r="CE69" s="380"/>
      <c r="CF69" s="380"/>
    </row>
    <row r="70" spans="1:84" ht="16.5" customHeight="1">
      <c r="B70" s="733">
        <f>Indexador!B41</f>
        <v>44501</v>
      </c>
      <c r="C70" s="755">
        <f>IF($C$113="Não",SUMIFS(Faturas!H:H,Faturas!A:A,$K$12,Faturas!G:G,"PisConfins",Faturas!F:F,YEAR(CAPA!B70)*100+MONTH(CAPA!B70)),IF(B70&lt;$C$114,0,SUMIFS(Faturas!H:H,Faturas!A:A,$K$12,Faturas!G:G,"PisConfins",Faturas!F:F,YEAR(CAPA!B70)*100+MONTH(CAPA!B70))))</f>
        <v>14818.48</v>
      </c>
      <c r="D70" s="755">
        <f>IF($C$113="Não",SUMIFS(Faturas!H:H,Faturas!A:A,$K$12,Faturas!G:G,"ICMS",Faturas!F:F,YEAR(CAPA!B70)*100+MONTH(CAPA!B70)),IF(B70&lt;$C$114,0,SUMIFS(Faturas!H:H,Faturas!A:A,$K$12,Faturas!G:G,"ICMS",Faturas!F:F,YEAR(CAPA!B70)*100+MONTH(CAPA!B70))))</f>
        <v>0</v>
      </c>
      <c r="E70" s="1717">
        <f>IF($C$113="Não",SUMIFS(Faturas!H:H,Faturas!A:A,$K$12,Faturas!G:G,"DICFIC",Faturas!F:F,YEAR(CAPA!B70)*100+MONTH(CAPA!B70)),IF(B70&lt;$C$114,0,SUMIFS(Faturas!H:H,Faturas!A:A,$K$12,Faturas!G:G,"DICFIC",Faturas!F:F,YEAR(CAPA!B70)*100+MONTH(CAPA!B70))))</f>
        <v>0</v>
      </c>
      <c r="F70" s="1718"/>
      <c r="G70" s="755">
        <f>IFERROR(VLOOKUP(B70,transmissorapiscofins[#All],2,FALSE),0)</f>
        <v>0</v>
      </c>
      <c r="H70" s="739">
        <f>SUMIF(BD!$A$41:$A$57,B70,BD!$C$41:$C$57)</f>
        <v>0</v>
      </c>
      <c r="I70" s="9"/>
      <c r="J70" s="9"/>
      <c r="K70" s="9"/>
      <c r="L70" s="17"/>
      <c r="M70" s="565"/>
      <c r="N70" s="479"/>
      <c r="S70" s="380"/>
      <c r="T70" s="380"/>
      <c r="U70" s="380"/>
      <c r="V70" s="380"/>
      <c r="W70" s="380"/>
      <c r="X70" s="380"/>
      <c r="Y70" s="380"/>
      <c r="Z70" s="380"/>
      <c r="AA70" s="380"/>
      <c r="AB70" s="380"/>
      <c r="AC70" s="380"/>
      <c r="AD70" s="380"/>
      <c r="AE70" s="380"/>
      <c r="AF70" s="380"/>
      <c r="AG70" s="380"/>
      <c r="AH70" s="380"/>
      <c r="AI70" s="380"/>
      <c r="AJ70" s="380"/>
      <c r="AK70" s="380"/>
      <c r="AL70" s="380"/>
      <c r="AM70" s="380"/>
      <c r="AN70" s="380"/>
      <c r="AO70" s="380"/>
      <c r="AP70" s="380"/>
      <c r="AQ70" s="380"/>
      <c r="AR70" s="380"/>
      <c r="AS70" s="380"/>
      <c r="AT70" s="380"/>
      <c r="AU70" s="380"/>
      <c r="AV70" s="380"/>
      <c r="AW70" s="380"/>
      <c r="AX70" s="380"/>
      <c r="AY70" s="380"/>
      <c r="AZ70" s="380"/>
      <c r="BA70" s="380"/>
      <c r="BB70" s="380"/>
      <c r="BC70" s="380"/>
      <c r="BD70" s="380"/>
      <c r="BE70" s="380"/>
      <c r="BF70" s="380"/>
      <c r="BG70" s="380"/>
      <c r="BH70" s="380"/>
      <c r="BI70" s="380"/>
      <c r="BJ70" s="380"/>
      <c r="BK70" s="380"/>
      <c r="BL70" s="380"/>
      <c r="BM70" s="380"/>
      <c r="BN70" s="380"/>
      <c r="BO70" s="380"/>
      <c r="BP70" s="380"/>
      <c r="BQ70" s="380"/>
      <c r="BR70" s="380"/>
      <c r="BS70" s="380"/>
      <c r="BT70" s="380"/>
      <c r="BU70" s="380"/>
      <c r="BV70" s="380"/>
      <c r="BW70" s="380"/>
      <c r="BX70" s="380"/>
      <c r="BY70" s="380"/>
      <c r="BZ70" s="380"/>
      <c r="CA70" s="380"/>
      <c r="CB70" s="380"/>
      <c r="CC70" s="380"/>
      <c r="CD70" s="380"/>
      <c r="CE70" s="380"/>
      <c r="CF70" s="380"/>
    </row>
    <row r="71" spans="1:84" ht="16.5" customHeight="1">
      <c r="B71" s="733">
        <f>Indexador!B42</f>
        <v>44531</v>
      </c>
      <c r="C71" s="755">
        <f>IF($C$113="Não",SUMIFS(Faturas!H:H,Faturas!A:A,$K$12,Faturas!G:G,"PisConfins",Faturas!F:F,YEAR(CAPA!B71)*100+MONTH(CAPA!B71)),IF(B71&lt;$C$114,0,SUMIFS(Faturas!H:H,Faturas!A:A,$K$12,Faturas!G:G,"PisConfins",Faturas!F:F,YEAR(CAPA!B71)*100+MONTH(CAPA!B71))))</f>
        <v>14864.95</v>
      </c>
      <c r="D71" s="755">
        <f>IF($C$113="Não",SUMIFS(Faturas!H:H,Faturas!A:A,$K$12,Faturas!G:G,"ICMS",Faturas!F:F,YEAR(CAPA!B71)*100+MONTH(CAPA!B71)),IF(B71&lt;$C$114,0,SUMIFS(Faturas!H:H,Faturas!A:A,$K$12,Faturas!G:G,"ICMS",Faturas!F:F,YEAR(CAPA!B71)*100+MONTH(CAPA!B71))))</f>
        <v>0</v>
      </c>
      <c r="E71" s="1717">
        <f>IF($C$113="Não",SUMIFS(Faturas!H:H,Faturas!A:A,$K$12,Faturas!G:G,"DICFIC",Faturas!F:F,YEAR(CAPA!B71)*100+MONTH(CAPA!B71)),IF(B71&lt;$C$114,0,SUMIFS(Faturas!H:H,Faturas!A:A,$K$12,Faturas!G:G,"DICFIC",Faturas!F:F,YEAR(CAPA!B71)*100+MONTH(CAPA!B71))))</f>
        <v>0</v>
      </c>
      <c r="F71" s="1718"/>
      <c r="G71" s="755">
        <f>IFERROR(VLOOKUP(B71,transmissorapiscofins[#All],2,FALSE),0)</f>
        <v>0</v>
      </c>
      <c r="H71" s="739">
        <f>SUMIF(BD!$A$41:$A$57,B71,BD!$C$41:$C$57)</f>
        <v>0</v>
      </c>
      <c r="I71" s="9"/>
      <c r="J71" s="9"/>
      <c r="K71" s="9"/>
      <c r="L71" s="17"/>
      <c r="M71" s="565"/>
      <c r="N71" s="479"/>
      <c r="S71" s="380"/>
      <c r="T71" s="380"/>
      <c r="U71" s="380"/>
      <c r="V71" s="380"/>
      <c r="W71" s="380"/>
      <c r="X71" s="380"/>
      <c r="Y71" s="380"/>
      <c r="Z71" s="380"/>
      <c r="AA71" s="380"/>
      <c r="AB71" s="380"/>
      <c r="AC71" s="380"/>
      <c r="AD71" s="380"/>
      <c r="AE71" s="380"/>
      <c r="AF71" s="380"/>
      <c r="AG71" s="380"/>
      <c r="AH71" s="380"/>
      <c r="AI71" s="380"/>
      <c r="AJ71" s="380"/>
      <c r="AK71" s="380"/>
      <c r="AL71" s="380"/>
      <c r="AM71" s="380"/>
      <c r="AN71" s="380"/>
      <c r="AO71" s="380"/>
      <c r="AP71" s="380"/>
      <c r="AQ71" s="380"/>
      <c r="AR71" s="380"/>
      <c r="AS71" s="380"/>
      <c r="AT71" s="380"/>
      <c r="AU71" s="380"/>
      <c r="AV71" s="380"/>
      <c r="AW71" s="380"/>
      <c r="AX71" s="380"/>
      <c r="AY71" s="380"/>
      <c r="AZ71" s="380"/>
      <c r="BA71" s="380"/>
      <c r="BB71" s="380"/>
      <c r="BC71" s="380"/>
      <c r="BD71" s="380"/>
      <c r="BE71" s="380"/>
      <c r="BF71" s="380"/>
      <c r="BG71" s="380"/>
      <c r="BH71" s="380"/>
      <c r="BI71" s="380"/>
      <c r="BJ71" s="380"/>
      <c r="BK71" s="380"/>
      <c r="BL71" s="380"/>
      <c r="BM71" s="380"/>
      <c r="BN71" s="380"/>
      <c r="BO71" s="380"/>
      <c r="BP71" s="380"/>
      <c r="BQ71" s="380"/>
      <c r="BR71" s="380"/>
      <c r="BS71" s="380"/>
      <c r="BT71" s="380"/>
      <c r="BU71" s="380"/>
      <c r="BV71" s="380"/>
      <c r="BW71" s="380"/>
      <c r="BX71" s="380"/>
      <c r="BY71" s="380"/>
      <c r="BZ71" s="380"/>
      <c r="CA71" s="380"/>
      <c r="CB71" s="380"/>
      <c r="CC71" s="380"/>
      <c r="CD71" s="380"/>
      <c r="CE71" s="380"/>
      <c r="CF71" s="380"/>
    </row>
    <row r="72" spans="1:84" ht="16.5" customHeight="1">
      <c r="B72" s="733">
        <f>Indexador!B43</f>
        <v>44562</v>
      </c>
      <c r="C72" s="755">
        <f>IF($C$113="Não",SUMIFS(Faturas!H:H,Faturas!A:A,$K$12,Faturas!G:G,"PisConfins",Faturas!F:F,YEAR(CAPA!B72)*100+MONTH(CAPA!B72)),IF(B72&lt;$C$114,0,SUMIFS(Faturas!H:H,Faturas!A:A,$K$12,Faturas!G:G,"PisConfins",Faturas!F:F,YEAR(CAPA!B72)*100+MONTH(CAPA!B72))))</f>
        <v>14637.61</v>
      </c>
      <c r="D72" s="755">
        <f>IF($C$113="Não",SUMIFS(Faturas!H:H,Faturas!A:A,$K$12,Faturas!G:G,"ICMS",Faturas!F:F,YEAR(CAPA!B72)*100+MONTH(CAPA!B72)),IF(B72&lt;$C$114,0,SUMIFS(Faturas!H:H,Faturas!A:A,$K$12,Faturas!G:G,"ICMS",Faturas!F:F,YEAR(CAPA!B72)*100+MONTH(CAPA!B72))))</f>
        <v>0</v>
      </c>
      <c r="E72" s="1717">
        <f>IF($C$113="Não",SUMIFS(Faturas!H:H,Faturas!A:A,$K$12,Faturas!G:G,"DICFIC",Faturas!F:F,YEAR(CAPA!B72)*100+MONTH(CAPA!B72)),IF(B72&lt;$C$114,0,SUMIFS(Faturas!H:H,Faturas!A:A,$K$12,Faturas!G:G,"DICFIC",Faturas!F:F,YEAR(CAPA!B72)*100+MONTH(CAPA!B72))))</f>
        <v>0</v>
      </c>
      <c r="F72" s="1718"/>
      <c r="G72" s="755">
        <f>IFERROR(VLOOKUP(B72,transmissorapiscofins[#All],2,FALSE),0)</f>
        <v>0</v>
      </c>
      <c r="H72" s="739">
        <f>SUMIF(BD!$A$41:$A$57,B72,BD!$C$41:$C$57)</f>
        <v>0</v>
      </c>
      <c r="J72" s="486" t="s">
        <v>779</v>
      </c>
      <c r="K72" s="486" t="s">
        <v>780</v>
      </c>
      <c r="L72" s="603" t="s">
        <v>780</v>
      </c>
      <c r="M72" s="603" t="s">
        <v>781</v>
      </c>
      <c r="N72" s="479"/>
      <c r="S72" s="380"/>
      <c r="T72" s="380"/>
      <c r="U72" s="380"/>
      <c r="V72" s="380"/>
      <c r="W72" s="380"/>
      <c r="X72" s="380"/>
      <c r="Y72" s="380"/>
      <c r="Z72" s="380"/>
      <c r="AA72" s="380"/>
      <c r="AB72" s="380"/>
      <c r="AC72" s="380"/>
      <c r="AD72" s="380"/>
      <c r="AE72" s="380"/>
      <c r="AF72" s="380"/>
      <c r="AG72" s="380"/>
      <c r="AH72" s="380"/>
      <c r="AI72" s="380"/>
      <c r="AJ72" s="380"/>
      <c r="AK72" s="380"/>
      <c r="AL72" s="380"/>
      <c r="AM72" s="380"/>
      <c r="AN72" s="380"/>
      <c r="AO72" s="380"/>
      <c r="AP72" s="380"/>
      <c r="AQ72" s="380"/>
      <c r="AR72" s="380"/>
      <c r="AS72" s="380"/>
      <c r="AT72" s="380"/>
      <c r="AU72" s="380"/>
      <c r="AV72" s="380"/>
      <c r="AW72" s="380"/>
      <c r="AX72" s="380"/>
      <c r="AY72" s="380"/>
      <c r="AZ72" s="380"/>
      <c r="BA72" s="380"/>
      <c r="BB72" s="380"/>
      <c r="BC72" s="380"/>
      <c r="BD72" s="380"/>
      <c r="BE72" s="380"/>
      <c r="BF72" s="380"/>
      <c r="BG72" s="380"/>
      <c r="BH72" s="380"/>
      <c r="BI72" s="380"/>
      <c r="BJ72" s="380"/>
      <c r="BK72" s="380"/>
      <c r="BL72" s="380"/>
      <c r="BM72" s="380"/>
      <c r="BN72" s="380"/>
      <c r="BO72" s="380"/>
      <c r="BP72" s="380"/>
      <c r="BQ72" s="380"/>
      <c r="BR72" s="380"/>
      <c r="BS72" s="380"/>
      <c r="BT72" s="380"/>
      <c r="BU72" s="380"/>
      <c r="BV72" s="380"/>
      <c r="BW72" s="380"/>
      <c r="BX72" s="380"/>
      <c r="BY72" s="380"/>
      <c r="BZ72" s="380"/>
      <c r="CA72" s="380"/>
      <c r="CB72" s="380"/>
      <c r="CC72" s="380"/>
      <c r="CD72" s="380"/>
      <c r="CE72" s="380"/>
      <c r="CF72" s="380"/>
    </row>
    <row r="73" spans="1:84" ht="16.5" customHeight="1">
      <c r="B73" s="733">
        <f>Indexador!B44</f>
        <v>44593</v>
      </c>
      <c r="C73" s="755">
        <f>IF($C$113="Não",SUMIFS(Faturas!H:H,Faturas!A:A,$K$12,Faturas!G:G,"PisConfins",Faturas!F:F,YEAR(CAPA!B73)*100+MONTH(CAPA!B73)),IF(B73&lt;$C$114,0,SUMIFS(Faturas!H:H,Faturas!A:A,$K$12,Faturas!G:G,"PisConfins",Faturas!F:F,YEAR(CAPA!B73)*100+MONTH(CAPA!B73))))</f>
        <v>16423.16</v>
      </c>
      <c r="D73" s="755">
        <f>IF($C$113="Não",SUMIFS(Faturas!H:H,Faturas!A:A,$K$12,Faturas!G:G,"ICMS",Faturas!F:F,YEAR(CAPA!B73)*100+MONTH(CAPA!B73)),IF(B73&lt;$C$114,0,SUMIFS(Faturas!H:H,Faturas!A:A,$K$12,Faturas!G:G,"ICMS",Faturas!F:F,YEAR(CAPA!B73)*100+MONTH(CAPA!B73))))</f>
        <v>0</v>
      </c>
      <c r="E73" s="1717">
        <f>IF($C$113="Não",SUMIFS(Faturas!H:H,Faturas!A:A,$K$12,Faturas!G:G,"DICFIC",Faturas!F:F,YEAR(CAPA!B73)*100+MONTH(CAPA!B73)),IF(B73&lt;$C$114,0,SUMIFS(Faturas!H:H,Faturas!A:A,$K$12,Faturas!G:G,"DICFIC",Faturas!F:F,YEAR(CAPA!B73)*100+MONTH(CAPA!B73))))</f>
        <v>0</v>
      </c>
      <c r="F73" s="1718"/>
      <c r="G73" s="755">
        <f>IFERROR(VLOOKUP(B73,transmissorapiscofins[#All],2,FALSE),0)</f>
        <v>0</v>
      </c>
      <c r="H73" s="739">
        <f>SUMIF(BD!$A$41:$A$57,B73,BD!$C$41:$C$57)</f>
        <v>0</v>
      </c>
      <c r="J73" s="1097" t="str">
        <f ca="1">IFERROR(VLOOKUP(TRUE,BD!D41:F56,3,FALSE),"todos os meses")</f>
        <v>todos os meses</v>
      </c>
      <c r="K73" s="1098" t="s">
        <v>782</v>
      </c>
      <c r="L73" s="1099">
        <f ca="1">IF(Energia!F23*2/3=0,0.0000001,Energia!F23*2/3)</f>
        <v>1525644.6957819641</v>
      </c>
      <c r="M73" s="1100">
        <f ca="1">IFERROR(-LnkTXTBandeira/Energia!F23," ")</f>
        <v>5.6986179034161859E-2</v>
      </c>
      <c r="N73" s="479"/>
      <c r="S73" s="380"/>
      <c r="T73" s="380"/>
      <c r="U73" s="380"/>
      <c r="V73" s="380"/>
      <c r="W73" s="380"/>
      <c r="X73" s="380"/>
      <c r="Y73" s="380"/>
      <c r="Z73" s="380"/>
      <c r="AA73" s="380"/>
      <c r="AB73" s="380"/>
      <c r="AC73" s="380"/>
      <c r="AD73" s="380"/>
      <c r="AE73" s="380"/>
      <c r="AF73" s="380"/>
      <c r="AG73" s="380"/>
      <c r="AH73" s="380"/>
      <c r="AI73" s="380"/>
      <c r="AJ73" s="380"/>
      <c r="AK73" s="380"/>
      <c r="AL73" s="380"/>
      <c r="AM73" s="380"/>
      <c r="AN73" s="380"/>
      <c r="AO73" s="380"/>
      <c r="AP73" s="380"/>
      <c r="AQ73" s="380"/>
      <c r="AR73" s="380"/>
      <c r="AS73" s="380"/>
      <c r="AT73" s="380"/>
      <c r="AU73" s="380"/>
      <c r="AV73" s="380"/>
      <c r="AW73" s="380"/>
      <c r="AX73" s="380"/>
      <c r="AY73" s="380"/>
      <c r="AZ73" s="380"/>
      <c r="BA73" s="380"/>
      <c r="BB73" s="380"/>
      <c r="BC73" s="380"/>
      <c r="BD73" s="380"/>
      <c r="BE73" s="380"/>
      <c r="BF73" s="380"/>
      <c r="BG73" s="380"/>
      <c r="BH73" s="380"/>
      <c r="BI73" s="380"/>
      <c r="BJ73" s="380"/>
      <c r="BK73" s="380"/>
      <c r="BL73" s="380"/>
      <c r="BM73" s="380"/>
      <c r="BN73" s="380"/>
      <c r="BO73" s="380"/>
      <c r="BP73" s="380"/>
      <c r="BQ73" s="380"/>
      <c r="BR73" s="380"/>
      <c r="BS73" s="380"/>
      <c r="BT73" s="380"/>
      <c r="BU73" s="380"/>
      <c r="BV73" s="380"/>
      <c r="BW73" s="380"/>
      <c r="BX73" s="380"/>
      <c r="BY73" s="380"/>
      <c r="BZ73" s="380"/>
      <c r="CA73" s="380"/>
      <c r="CB73" s="380"/>
      <c r="CC73" s="380"/>
      <c r="CD73" s="380"/>
      <c r="CE73" s="380"/>
      <c r="CF73" s="380"/>
    </row>
    <row r="74" spans="1:84">
      <c r="B74" s="733">
        <f>Indexador!B45</f>
        <v>44621</v>
      </c>
      <c r="C74" s="755">
        <f>IF($C$113="Não",SUMIFS(Faturas!H:H,Faturas!A:A,$K$12,Faturas!G:G,"PisConfins",Faturas!F:F,YEAR(CAPA!B74)*100+MONTH(CAPA!B74)),IF(B74&lt;$C$114,0,SUMIFS(Faturas!H:H,Faturas!A:A,$K$12,Faturas!G:G,"PisConfins",Faturas!F:F,YEAR(CAPA!B74)*100+MONTH(CAPA!B74))))</f>
        <v>21485.11</v>
      </c>
      <c r="D74" s="755">
        <f>IF($C$113="Não",SUMIFS(Faturas!H:H,Faturas!A:A,$K$12,Faturas!G:G,"ICMS",Faturas!F:F,YEAR(CAPA!B74)*100+MONTH(CAPA!B74)),IF(B74&lt;$C$114,0,SUMIFS(Faturas!H:H,Faturas!A:A,$K$12,Faturas!G:G,"ICMS",Faturas!F:F,YEAR(CAPA!B74)*100+MONTH(CAPA!B74))))</f>
        <v>0</v>
      </c>
      <c r="E74" s="1717">
        <f>IF($C$113="Não",SUMIFS(Faturas!H:H,Faturas!A:A,$K$12,Faturas!G:G,"DICFIC",Faturas!F:F,YEAR(CAPA!B74)*100+MONTH(CAPA!B74)),IF(B74&lt;$C$114,0,SUMIFS(Faturas!H:H,Faturas!A:A,$K$12,Faturas!G:G,"DICFIC",Faturas!F:F,YEAR(CAPA!B74)*100+MONTH(CAPA!B74))))</f>
        <v>0</v>
      </c>
      <c r="F74" s="1718"/>
      <c r="G74" s="755">
        <f>IFERROR(VLOOKUP(B74,transmissorapiscofins[#All],2,FALSE),0)</f>
        <v>0</v>
      </c>
      <c r="H74" s="739">
        <f>SUMIF(BD!$A$41:$A$57,B74,BD!$C$41:$C$57)</f>
        <v>0</v>
      </c>
      <c r="I74" s="9"/>
      <c r="J74" s="9"/>
      <c r="K74" s="9"/>
      <c r="L74" s="17"/>
      <c r="M74" s="565"/>
      <c r="N74" s="479"/>
      <c r="S74" s="380"/>
      <c r="T74" s="380"/>
      <c r="U74" s="380"/>
      <c r="V74" s="380"/>
      <c r="W74" s="380"/>
      <c r="X74" s="380"/>
      <c r="Y74" s="380"/>
      <c r="Z74" s="380"/>
      <c r="AA74" s="380"/>
      <c r="AB74" s="380"/>
      <c r="AC74" s="380"/>
      <c r="AD74" s="380"/>
      <c r="AE74" s="380"/>
      <c r="AF74" s="380"/>
      <c r="AG74" s="380"/>
      <c r="AH74" s="380"/>
      <c r="AI74" s="380"/>
      <c r="AJ74" s="380"/>
      <c r="AK74" s="380"/>
      <c r="AL74" s="380"/>
      <c r="AM74" s="380"/>
      <c r="AN74" s="380"/>
      <c r="AO74" s="380"/>
      <c r="AP74" s="380"/>
      <c r="AQ74" s="380"/>
      <c r="AR74" s="380"/>
      <c r="AS74" s="380"/>
      <c r="AT74" s="380"/>
      <c r="AU74" s="380"/>
      <c r="AV74" s="380"/>
      <c r="AW74" s="380"/>
      <c r="AX74" s="380"/>
      <c r="AY74" s="380"/>
      <c r="AZ74" s="380"/>
      <c r="BA74" s="380"/>
      <c r="BB74" s="380"/>
      <c r="BC74" s="380"/>
      <c r="BD74" s="380"/>
      <c r="BE74" s="380"/>
      <c r="BF74" s="380"/>
      <c r="BG74" s="380"/>
      <c r="BH74" s="380"/>
      <c r="BI74" s="380"/>
      <c r="BJ74" s="380"/>
      <c r="BK74" s="380"/>
      <c r="BL74" s="380"/>
      <c r="BM74" s="380"/>
      <c r="BN74" s="380"/>
      <c r="BO74" s="380"/>
      <c r="BP74" s="380"/>
      <c r="BQ74" s="380"/>
      <c r="BR74" s="380"/>
      <c r="BS74" s="380"/>
      <c r="BT74" s="380"/>
      <c r="BU74" s="380"/>
      <c r="BV74" s="380"/>
      <c r="BW74" s="380"/>
      <c r="BX74" s="380"/>
      <c r="BY74" s="380"/>
      <c r="BZ74" s="380"/>
      <c r="CA74" s="380"/>
      <c r="CB74" s="380"/>
      <c r="CC74" s="380"/>
      <c r="CD74" s="380"/>
      <c r="CE74" s="380"/>
      <c r="CF74" s="380"/>
    </row>
    <row r="75" spans="1:84" ht="16.5" customHeight="1">
      <c r="B75" s="733">
        <f>Indexador!B46</f>
        <v>44652</v>
      </c>
      <c r="C75" s="755">
        <f>IF($C$113="Não",SUMIFS(Faturas!H:H,Faturas!A:A,$K$12,Faturas!G:G,"PisConfins",Faturas!F:F,YEAR(CAPA!B75)*100+MONTH(CAPA!B75)),IF(B75&lt;$C$114,0,SUMIFS(Faturas!H:H,Faturas!A:A,$K$12,Faturas!G:G,"PisConfins",Faturas!F:F,YEAR(CAPA!B75)*100+MONTH(CAPA!B75))))</f>
        <v>24232.34</v>
      </c>
      <c r="D75" s="755">
        <f>IF($C$113="Não",SUMIFS(Faturas!H:H,Faturas!A:A,$K$12,Faturas!G:G,"ICMS",Faturas!F:F,YEAR(CAPA!B75)*100+MONTH(CAPA!B75)),IF(B75&lt;$C$114,0,SUMIFS(Faturas!H:H,Faturas!A:A,$K$12,Faturas!G:G,"ICMS",Faturas!F:F,YEAR(CAPA!B75)*100+MONTH(CAPA!B75))))</f>
        <v>0</v>
      </c>
      <c r="E75" s="1717">
        <f>IF($C$113="Não",SUMIFS(Faturas!H:H,Faturas!A:A,$K$12,Faturas!G:G,"DICFIC",Faturas!F:F,YEAR(CAPA!B75)*100+MONTH(CAPA!B75)),IF(B75&lt;$C$114,0,SUMIFS(Faturas!H:H,Faturas!A:A,$K$12,Faturas!G:G,"DICFIC",Faturas!F:F,YEAR(CAPA!B75)*100+MONTH(CAPA!B75))))</f>
        <v>0</v>
      </c>
      <c r="F75" s="1718"/>
      <c r="G75" s="755">
        <f>IFERROR(VLOOKUP(B75,transmissorapiscofins[#All],2,FALSE),0)</f>
        <v>0</v>
      </c>
      <c r="H75" s="739">
        <f>SUMIF(BD!$A$41:$A$57,B75,BD!$C$41:$C$57)</f>
        <v>0</v>
      </c>
      <c r="I75" s="9"/>
      <c r="J75" s="9"/>
      <c r="K75" s="9"/>
      <c r="L75" s="17"/>
      <c r="M75" s="565"/>
      <c r="N75" s="479"/>
      <c r="S75" s="380"/>
      <c r="T75" s="380"/>
      <c r="U75" s="380"/>
      <c r="V75" s="380"/>
      <c r="W75" s="380"/>
      <c r="X75" s="380"/>
      <c r="Y75" s="380"/>
      <c r="Z75" s="380"/>
      <c r="AA75" s="380"/>
      <c r="AB75" s="380"/>
      <c r="AC75" s="380"/>
      <c r="AD75" s="380"/>
      <c r="AE75" s="380"/>
      <c r="AF75" s="380"/>
      <c r="AG75" s="380"/>
      <c r="AH75" s="380"/>
      <c r="AI75" s="380"/>
      <c r="AJ75" s="380"/>
      <c r="AK75" s="380"/>
      <c r="AL75" s="380"/>
      <c r="AM75" s="380"/>
      <c r="AN75" s="380"/>
      <c r="AO75" s="380"/>
      <c r="AP75" s="380"/>
      <c r="AQ75" s="380"/>
      <c r="AR75" s="380"/>
      <c r="AS75" s="380"/>
      <c r="AT75" s="380"/>
      <c r="AU75" s="380"/>
      <c r="AV75" s="380"/>
      <c r="AW75" s="380"/>
      <c r="AX75" s="380"/>
      <c r="AY75" s="380"/>
      <c r="AZ75" s="380"/>
      <c r="BA75" s="380"/>
      <c r="BB75" s="380"/>
      <c r="BC75" s="380"/>
      <c r="BD75" s="380"/>
      <c r="BE75" s="380"/>
      <c r="BF75" s="380"/>
      <c r="BG75" s="380"/>
      <c r="BH75" s="380"/>
      <c r="BI75" s="380"/>
      <c r="BJ75" s="380"/>
      <c r="BK75" s="380"/>
      <c r="BL75" s="380"/>
      <c r="BM75" s="380"/>
      <c r="BN75" s="380"/>
      <c r="BO75" s="380"/>
      <c r="BP75" s="380"/>
      <c r="BQ75" s="380"/>
      <c r="BR75" s="380"/>
      <c r="BS75" s="380"/>
      <c r="BT75" s="380"/>
      <c r="BU75" s="380"/>
      <c r="BV75" s="380"/>
      <c r="BW75" s="380"/>
      <c r="BX75" s="380"/>
      <c r="BY75" s="380"/>
      <c r="BZ75" s="380"/>
      <c r="CA75" s="380"/>
      <c r="CB75" s="380"/>
      <c r="CC75" s="380"/>
      <c r="CD75" s="380"/>
      <c r="CE75" s="380"/>
      <c r="CF75" s="380"/>
    </row>
    <row r="76" spans="1:84">
      <c r="B76" s="733">
        <f>Indexador!B47</f>
        <v>44682</v>
      </c>
      <c r="C76" s="755">
        <f>IF($C$113="Não",SUMIFS(Faturas!H:H,Faturas!A:A,$K$12,Faturas!G:G,"PisConfins",Faturas!F:F,YEAR(CAPA!B76)*100+MONTH(CAPA!B76)),IF(B76&lt;$C$114,0,SUMIFS(Faturas!H:H,Faturas!A:A,$K$12,Faturas!G:G,"PisConfins",Faturas!F:F,YEAR(CAPA!B76)*100+MONTH(CAPA!B76))))</f>
        <v>18102.25</v>
      </c>
      <c r="D76" s="755">
        <f>IF($C$113="Não",SUMIFS(Faturas!H:H,Faturas!A:A,$K$12,Faturas!G:G,"ICMS",Faturas!F:F,YEAR(CAPA!B76)*100+MONTH(CAPA!B76)),IF(B76&lt;$C$114,0,SUMIFS(Faturas!H:H,Faturas!A:A,$K$12,Faturas!G:G,"ICMS",Faturas!F:F,YEAR(CAPA!B76)*100+MONTH(CAPA!B76))))</f>
        <v>0</v>
      </c>
      <c r="E76" s="1717">
        <f>IF($C$113="Não",SUMIFS(Faturas!H:H,Faturas!A:A,$K$12,Faturas!G:G,"DICFIC",Faturas!F:F,YEAR(CAPA!B76)*100+MONTH(CAPA!B76)),IF(B76&lt;$C$114,0,SUMIFS(Faturas!H:H,Faturas!A:A,$K$12,Faturas!G:G,"DICFIC",Faturas!F:F,YEAR(CAPA!B76)*100+MONTH(CAPA!B76))))</f>
        <v>0</v>
      </c>
      <c r="F76" s="1718"/>
      <c r="G76" s="755">
        <f>IFERROR(VLOOKUP(B76,transmissorapiscofins[#All],2,FALSE),0)</f>
        <v>0</v>
      </c>
      <c r="H76" s="739">
        <f>SUMIF(BD!$A$41:$A$57,B76,BD!$C$41:$C$57)</f>
        <v>0</v>
      </c>
      <c r="I76" s="9"/>
      <c r="J76" s="9"/>
      <c r="K76" s="9"/>
      <c r="L76" s="17"/>
      <c r="M76" s="565"/>
      <c r="N76" s="479"/>
      <c r="S76" s="380"/>
      <c r="T76" s="380"/>
      <c r="U76" s="380"/>
      <c r="V76" s="380"/>
      <c r="W76" s="380"/>
      <c r="X76" s="380"/>
      <c r="Y76" s="380"/>
      <c r="Z76" s="380"/>
      <c r="AA76" s="380"/>
      <c r="AB76" s="380"/>
      <c r="AC76" s="380"/>
      <c r="AD76" s="380"/>
      <c r="AE76" s="380"/>
      <c r="AF76" s="380"/>
      <c r="AG76" s="380"/>
      <c r="AH76" s="380"/>
      <c r="AI76" s="380"/>
      <c r="AJ76" s="380"/>
      <c r="AK76" s="380"/>
      <c r="AL76" s="380"/>
      <c r="AM76" s="380"/>
      <c r="AN76" s="380"/>
      <c r="AO76" s="380"/>
      <c r="AP76" s="380"/>
      <c r="AQ76" s="380"/>
      <c r="AR76" s="380"/>
      <c r="AS76" s="380"/>
      <c r="AT76" s="380"/>
      <c r="AU76" s="380"/>
      <c r="AV76" s="380"/>
      <c r="AW76" s="380"/>
      <c r="AX76" s="380"/>
      <c r="AY76" s="380"/>
      <c r="AZ76" s="380"/>
      <c r="BA76" s="380"/>
      <c r="BB76" s="380"/>
      <c r="BC76" s="380"/>
      <c r="BD76" s="380"/>
      <c r="BE76" s="380"/>
      <c r="BF76" s="380"/>
      <c r="BG76" s="380"/>
      <c r="BH76" s="380"/>
      <c r="BI76" s="380"/>
      <c r="BJ76" s="380"/>
      <c r="BK76" s="380"/>
      <c r="BL76" s="380"/>
      <c r="BM76" s="380"/>
      <c r="BN76" s="380"/>
      <c r="BO76" s="380"/>
      <c r="BP76" s="380"/>
      <c r="BQ76" s="380"/>
      <c r="BR76" s="380"/>
      <c r="BS76" s="380"/>
      <c r="BT76" s="380"/>
      <c r="BU76" s="380"/>
      <c r="BV76" s="380"/>
      <c r="BW76" s="380"/>
      <c r="BX76" s="380"/>
      <c r="BY76" s="380"/>
      <c r="BZ76" s="380"/>
      <c r="CA76" s="380"/>
      <c r="CB76" s="380"/>
      <c r="CC76" s="380"/>
      <c r="CD76" s="380"/>
      <c r="CE76" s="380"/>
      <c r="CF76" s="380"/>
    </row>
    <row r="77" spans="1:84" ht="16.5" thickBot="1">
      <c r="B77" s="734">
        <f>Indexador!B48</f>
        <v>44713</v>
      </c>
      <c r="C77" s="757">
        <f>IF($C$113="Não",SUMIFS(Faturas!H:H,Faturas!A:A,$K$12,Faturas!G:G,"PisConfins",Faturas!F:F,YEAR(CAPA!B77)*100+MONTH(CAPA!B77)),IF(B77&lt;$C$114,0,SUMIFS(Faturas!H:H,Faturas!A:A,$K$12,Faturas!G:G,"PisConfins",Faturas!F:F,YEAR(CAPA!B77)*100+MONTH(CAPA!B77))))</f>
        <v>17440.98</v>
      </c>
      <c r="D77" s="866">
        <f>IF($C$113="Não",SUMIFS(Faturas!H:H,Faturas!A:A,$K$12,Faturas!G:G,"ICMS",Faturas!F:F,YEAR(CAPA!B77)*100+MONTH(CAPA!B77)),IF(B77&lt;$C$114,0,SUMIFS(Faturas!H:H,Faturas!A:A,$K$12,Faturas!G:G,"ICMS",Faturas!F:F,YEAR(CAPA!B77)*100+MONTH(CAPA!B77))))</f>
        <v>0</v>
      </c>
      <c r="E77" s="1720">
        <f>IF($C$113="Não",SUMIFS(Faturas!H:H,Faturas!A:A,$K$12,Faturas!G:G,"DICFIC",Faturas!F:F,YEAR(CAPA!B77)*100+MONTH(CAPA!B77)),IF(B77&lt;$C$114,0,SUMIFS(Faturas!H:H,Faturas!A:A,$K$12,Faturas!G:G,"DICFIC",Faturas!F:F,YEAR(CAPA!B77)*100+MONTH(CAPA!B77))))</f>
        <v>0</v>
      </c>
      <c r="F77" s="1721"/>
      <c r="G77" s="866">
        <f>IFERROR(VLOOKUP(B77,transmissorapiscofins[#All],2,FALSE),0)</f>
        <v>0</v>
      </c>
      <c r="H77" s="855">
        <f>SUMIF(BD!$A$41:$A$57,B77,BD!$C$41:$C$57)</f>
        <v>129100.21799999999</v>
      </c>
      <c r="I77" s="581">
        <f>SUM(D65:D76)+D76</f>
        <v>0</v>
      </c>
      <c r="J77" s="9"/>
      <c r="K77" s="9"/>
      <c r="L77" s="17"/>
      <c r="M77" s="565"/>
      <c r="O77" s="9"/>
      <c r="R77" s="380"/>
      <c r="S77" s="380"/>
      <c r="T77" s="380"/>
      <c r="U77" s="380"/>
      <c r="V77" s="380"/>
      <c r="W77" s="380"/>
      <c r="X77" s="380"/>
      <c r="Y77" s="380"/>
      <c r="Z77" s="380"/>
      <c r="AA77" s="380"/>
      <c r="AB77" s="380"/>
      <c r="AC77" s="380"/>
      <c r="AD77" s="380"/>
      <c r="AE77" s="380"/>
      <c r="AF77" s="380"/>
      <c r="AG77" s="380"/>
      <c r="AH77" s="380"/>
      <c r="AI77" s="380"/>
      <c r="AJ77" s="380"/>
      <c r="AK77" s="380"/>
      <c r="AL77" s="380"/>
      <c r="AM77" s="380"/>
      <c r="AN77" s="380"/>
      <c r="AO77" s="380"/>
      <c r="AP77" s="380"/>
      <c r="AQ77" s="380"/>
      <c r="AR77" s="380"/>
      <c r="AS77" s="380"/>
      <c r="AT77" s="380"/>
      <c r="AU77" s="380"/>
      <c r="AV77" s="380"/>
      <c r="AW77" s="380"/>
      <c r="AX77" s="380"/>
      <c r="AY77" s="380"/>
      <c r="AZ77" s="380"/>
      <c r="BA77" s="380"/>
      <c r="BB77" s="380"/>
      <c r="BC77" s="380"/>
      <c r="BD77" s="380"/>
      <c r="BE77" s="380"/>
      <c r="BF77" s="380"/>
      <c r="BG77" s="380"/>
      <c r="BH77" s="380"/>
      <c r="BI77" s="380"/>
      <c r="BJ77" s="380"/>
      <c r="BK77" s="380"/>
      <c r="BL77" s="380"/>
      <c r="BM77" s="380"/>
      <c r="BN77" s="380"/>
      <c r="BO77" s="380"/>
      <c r="BP77" s="380"/>
      <c r="BQ77" s="380"/>
      <c r="BR77" s="380"/>
      <c r="BS77" s="380"/>
      <c r="BT77" s="380"/>
      <c r="BU77" s="380"/>
      <c r="BV77" s="380"/>
      <c r="BW77" s="380"/>
      <c r="BX77" s="380"/>
      <c r="BY77" s="380"/>
      <c r="BZ77" s="380"/>
      <c r="CA77" s="380"/>
      <c r="CB77" s="380"/>
      <c r="CC77" s="380"/>
      <c r="CD77" s="380"/>
      <c r="CE77" s="380"/>
      <c r="CF77" s="380"/>
    </row>
    <row r="78" spans="1:84">
      <c r="B78" s="9"/>
      <c r="C78" s="9"/>
      <c r="D78" s="9"/>
      <c r="E78" s="9"/>
      <c r="F78" s="9"/>
      <c r="G78" s="9"/>
      <c r="H78" s="9"/>
      <c r="I78" s="9"/>
      <c r="J78" s="581"/>
      <c r="K78" s="9"/>
      <c r="L78" s="17"/>
      <c r="M78" s="543"/>
      <c r="O78" s="9"/>
      <c r="R78" s="380"/>
      <c r="S78" s="380"/>
      <c r="T78" s="380"/>
      <c r="U78" s="380"/>
      <c r="V78" s="380"/>
      <c r="W78" s="380"/>
      <c r="X78" s="380"/>
      <c r="Y78" s="380"/>
      <c r="Z78" s="380"/>
      <c r="AA78" s="380"/>
      <c r="AB78" s="380"/>
      <c r="AC78" s="380"/>
      <c r="AD78" s="380"/>
      <c r="AE78" s="380"/>
      <c r="AF78" s="380"/>
      <c r="AG78" s="380"/>
      <c r="AH78" s="380"/>
      <c r="AI78" s="380"/>
      <c r="AJ78" s="380"/>
      <c r="AK78" s="380"/>
      <c r="AL78" s="380"/>
      <c r="AM78" s="380"/>
      <c r="AN78" s="380"/>
      <c r="AO78" s="380"/>
      <c r="AP78" s="380"/>
      <c r="AQ78" s="380"/>
      <c r="AR78" s="380"/>
      <c r="AS78" s="380"/>
      <c r="AT78" s="380"/>
      <c r="AU78" s="380"/>
      <c r="AV78" s="380"/>
      <c r="AW78" s="380"/>
      <c r="AX78" s="380"/>
      <c r="AY78" s="380"/>
      <c r="AZ78" s="380"/>
      <c r="BA78" s="380"/>
      <c r="BB78" s="380"/>
      <c r="BC78" s="380"/>
      <c r="BD78" s="380"/>
      <c r="BE78" s="380"/>
      <c r="BF78" s="380"/>
      <c r="BG78" s="380"/>
      <c r="BH78" s="380"/>
      <c r="BI78" s="380"/>
      <c r="BJ78" s="380"/>
      <c r="BK78" s="380"/>
      <c r="BL78" s="380"/>
      <c r="BM78" s="380"/>
      <c r="BN78" s="380"/>
      <c r="BO78" s="380"/>
      <c r="BP78" s="380"/>
      <c r="BQ78" s="380"/>
      <c r="BR78" s="380"/>
      <c r="BS78" s="380"/>
      <c r="BT78" s="380"/>
      <c r="BU78" s="380"/>
      <c r="BV78" s="380"/>
      <c r="BW78" s="380"/>
      <c r="BX78" s="380"/>
      <c r="BY78" s="380"/>
      <c r="BZ78" s="380"/>
      <c r="CA78" s="380"/>
      <c r="CB78" s="380"/>
      <c r="CC78" s="380"/>
      <c r="CD78" s="380"/>
      <c r="CE78" s="380"/>
      <c r="CF78" s="380"/>
    </row>
    <row r="79" spans="1:84" ht="17.25" thickBot="1">
      <c r="F79" s="527"/>
      <c r="G79" s="528"/>
      <c r="H79" s="529"/>
      <c r="I79" s="523"/>
      <c r="J79" s="523"/>
      <c r="K79" s="524"/>
      <c r="L79" s="782"/>
      <c r="M79" s="760"/>
      <c r="O79" s="9"/>
      <c r="R79" s="380"/>
      <c r="S79" s="380"/>
      <c r="T79" s="380"/>
      <c r="U79" s="380"/>
      <c r="V79" s="380"/>
      <c r="W79" s="380"/>
      <c r="X79" s="380"/>
      <c r="Y79" s="380"/>
      <c r="Z79" s="380"/>
      <c r="AA79" s="380"/>
      <c r="AB79" s="380"/>
      <c r="AC79" s="380"/>
      <c r="AD79" s="380"/>
      <c r="AE79" s="380"/>
      <c r="AF79" s="380"/>
      <c r="AG79" s="380"/>
      <c r="AH79" s="380"/>
      <c r="AI79" s="380"/>
      <c r="AJ79" s="380"/>
      <c r="AK79" s="380"/>
      <c r="AL79" s="380"/>
      <c r="AM79" s="380"/>
      <c r="AN79" s="380"/>
      <c r="AO79" s="380"/>
      <c r="AP79" s="380"/>
      <c r="AQ79" s="380"/>
      <c r="AR79" s="380"/>
      <c r="AS79" s="380"/>
      <c r="AT79" s="380"/>
      <c r="AU79" s="380"/>
      <c r="AV79" s="380"/>
      <c r="AW79" s="380"/>
      <c r="AX79" s="380"/>
      <c r="AY79" s="380"/>
      <c r="AZ79" s="380"/>
      <c r="BA79" s="380"/>
      <c r="BB79" s="380"/>
      <c r="BC79" s="380"/>
      <c r="BD79" s="380"/>
      <c r="BE79" s="380"/>
      <c r="BF79" s="380"/>
      <c r="BG79" s="380"/>
      <c r="BH79" s="380"/>
      <c r="BI79" s="380"/>
      <c r="BJ79" s="380"/>
      <c r="BK79" s="380"/>
      <c r="BL79" s="380"/>
      <c r="BM79" s="380"/>
      <c r="BN79" s="380"/>
      <c r="BO79" s="380"/>
      <c r="BP79" s="380"/>
      <c r="BQ79" s="380"/>
      <c r="BR79" s="380"/>
      <c r="BS79" s="380"/>
      <c r="BT79" s="380"/>
      <c r="BU79" s="380"/>
      <c r="BV79" s="380"/>
      <c r="BW79" s="380"/>
      <c r="BX79" s="380"/>
      <c r="BY79" s="380"/>
      <c r="BZ79" s="380"/>
      <c r="CA79" s="380"/>
      <c r="CB79" s="380"/>
      <c r="CC79" s="380"/>
      <c r="CD79" s="380"/>
      <c r="CE79" s="380"/>
      <c r="CF79" s="380"/>
    </row>
    <row r="80" spans="1:84" ht="26.25" thickBot="1">
      <c r="A80" s="575"/>
      <c r="B80" s="539" t="s">
        <v>783</v>
      </c>
      <c r="C80" s="550"/>
      <c r="D80" s="551"/>
      <c r="E80" s="551"/>
      <c r="F80" s="551"/>
      <c r="G80" s="531"/>
      <c r="H80" s="532"/>
      <c r="I80" s="551"/>
      <c r="J80" s="552"/>
      <c r="K80" s="553"/>
      <c r="L80" s="781"/>
      <c r="M80" s="576"/>
      <c r="O80" s="9"/>
      <c r="R80" s="380"/>
      <c r="S80" s="380"/>
      <c r="T80" s="380"/>
      <c r="U80" s="380"/>
      <c r="V80" s="380"/>
      <c r="W80" s="380"/>
      <c r="X80" s="380"/>
      <c r="Y80" s="380"/>
      <c r="Z80" s="380"/>
      <c r="AA80" s="380"/>
      <c r="AB80" s="380"/>
      <c r="AC80" s="380"/>
      <c r="AD80" s="380"/>
      <c r="AE80" s="380"/>
      <c r="AF80" s="380"/>
      <c r="AG80" s="380"/>
      <c r="AH80" s="380"/>
      <c r="AI80" s="380"/>
      <c r="AJ80" s="380"/>
      <c r="AK80" s="380"/>
      <c r="AL80" s="380"/>
      <c r="AM80" s="380"/>
      <c r="AN80" s="380"/>
      <c r="AO80" s="380"/>
      <c r="AP80" s="380"/>
      <c r="AQ80" s="380"/>
      <c r="AR80" s="380"/>
      <c r="AS80" s="380"/>
      <c r="AT80" s="380"/>
      <c r="AU80" s="380"/>
      <c r="AV80" s="380"/>
      <c r="AW80" s="380"/>
      <c r="AX80" s="380"/>
      <c r="AY80" s="380"/>
      <c r="AZ80" s="380"/>
      <c r="BA80" s="380"/>
      <c r="BB80" s="380"/>
      <c r="BC80" s="380"/>
      <c r="BD80" s="380"/>
      <c r="BE80" s="380"/>
      <c r="BF80" s="380"/>
      <c r="BG80" s="380"/>
      <c r="BH80" s="380"/>
      <c r="BI80" s="380"/>
      <c r="BJ80" s="380"/>
      <c r="BK80" s="380"/>
      <c r="BL80" s="380"/>
      <c r="BM80" s="380"/>
      <c r="BN80" s="380"/>
      <c r="BO80" s="380"/>
      <c r="BP80" s="380"/>
      <c r="BQ80" s="380"/>
      <c r="BR80" s="380"/>
      <c r="BS80" s="380"/>
      <c r="BT80" s="380"/>
      <c r="BU80" s="380"/>
      <c r="BV80" s="380"/>
      <c r="BW80" s="380"/>
      <c r="BX80" s="380"/>
      <c r="BY80" s="380"/>
      <c r="BZ80" s="380"/>
      <c r="CA80" s="380"/>
      <c r="CB80" s="380"/>
      <c r="CC80" s="380"/>
      <c r="CD80" s="380"/>
      <c r="CE80" s="380"/>
      <c r="CF80" s="380"/>
    </row>
    <row r="81" spans="2:84">
      <c r="L81" s="783"/>
      <c r="M81" s="543"/>
      <c r="O81" s="9"/>
      <c r="R81" s="380"/>
      <c r="S81" s="380"/>
      <c r="T81" s="380"/>
      <c r="U81" s="380"/>
      <c r="V81" s="380"/>
      <c r="W81" s="380"/>
      <c r="X81" s="380"/>
      <c r="Y81" s="380"/>
      <c r="Z81" s="380"/>
      <c r="AA81" s="380"/>
      <c r="AB81" s="380"/>
      <c r="AC81" s="380"/>
      <c r="AD81" s="380"/>
      <c r="AE81" s="380"/>
      <c r="AF81" s="380"/>
      <c r="AG81" s="380"/>
      <c r="AH81" s="380"/>
      <c r="AI81" s="380"/>
      <c r="AJ81" s="380"/>
      <c r="AK81" s="380"/>
      <c r="AL81" s="380"/>
      <c r="AM81" s="380"/>
      <c r="AN81" s="380"/>
      <c r="AO81" s="380"/>
      <c r="AP81" s="380"/>
      <c r="AQ81" s="380"/>
      <c r="AR81" s="380"/>
      <c r="AS81" s="380"/>
      <c r="AT81" s="380"/>
      <c r="AU81" s="380"/>
      <c r="AV81" s="380"/>
      <c r="AW81" s="380"/>
      <c r="AX81" s="380"/>
      <c r="AY81" s="380"/>
      <c r="AZ81" s="380"/>
      <c r="BA81" s="380"/>
      <c r="BB81" s="380"/>
      <c r="BC81" s="380"/>
      <c r="BD81" s="380"/>
      <c r="BE81" s="380"/>
      <c r="BF81" s="380"/>
      <c r="BG81" s="380"/>
      <c r="BH81" s="380"/>
      <c r="BI81" s="380"/>
      <c r="BJ81" s="380"/>
      <c r="BK81" s="380"/>
      <c r="BL81" s="380"/>
      <c r="BM81" s="380"/>
      <c r="BN81" s="380"/>
      <c r="BO81" s="380"/>
      <c r="BP81" s="380"/>
      <c r="BQ81" s="380"/>
      <c r="BR81" s="380"/>
      <c r="BS81" s="380"/>
      <c r="BT81" s="380"/>
      <c r="BU81" s="380"/>
      <c r="BV81" s="380"/>
      <c r="BW81" s="380"/>
      <c r="BX81" s="380"/>
      <c r="BY81" s="380"/>
      <c r="BZ81" s="380"/>
      <c r="CA81" s="380"/>
      <c r="CB81" s="380"/>
      <c r="CC81" s="380"/>
      <c r="CD81" s="380"/>
      <c r="CE81" s="380"/>
      <c r="CF81" s="380"/>
    </row>
    <row r="82" spans="2:84" ht="16.5" customHeight="1">
      <c r="B82" s="585" t="s">
        <v>784</v>
      </c>
      <c r="C82" s="1101" t="str">
        <f>H5</f>
        <v>48500.004968/2021-33</v>
      </c>
      <c r="D82" s="1102"/>
      <c r="E82" s="1102"/>
      <c r="F82" s="1102"/>
      <c r="H82" s="564"/>
      <c r="L82" s="560"/>
      <c r="M82" s="543"/>
      <c r="O82" s="9"/>
      <c r="R82" s="380"/>
      <c r="S82" s="380"/>
      <c r="T82" s="380"/>
      <c r="U82" s="380"/>
      <c r="V82" s="380"/>
      <c r="W82" s="380"/>
      <c r="X82" s="380"/>
      <c r="Y82" s="380"/>
      <c r="Z82" s="380"/>
      <c r="AA82" s="380"/>
      <c r="AB82" s="380"/>
      <c r="AC82" s="380"/>
      <c r="AD82" s="380"/>
      <c r="AE82" s="380"/>
      <c r="AF82" s="380"/>
      <c r="AG82" s="380"/>
      <c r="AH82" s="380"/>
      <c r="AI82" s="380"/>
      <c r="AJ82" s="380"/>
      <c r="AK82" s="380"/>
      <c r="AL82" s="380"/>
      <c r="AM82" s="380"/>
      <c r="AN82" s="380"/>
      <c r="AO82" s="380"/>
      <c r="AP82" s="380"/>
      <c r="AQ82" s="380"/>
      <c r="AR82" s="380"/>
      <c r="AS82" s="380"/>
      <c r="AT82" s="380"/>
      <c r="AU82" s="380"/>
      <c r="AV82" s="380"/>
      <c r="AW82" s="380"/>
      <c r="AX82" s="380"/>
      <c r="AY82" s="380"/>
      <c r="AZ82" s="380"/>
      <c r="BA82" s="380"/>
      <c r="BB82" s="380"/>
      <c r="BC82" s="380"/>
      <c r="BD82" s="380"/>
      <c r="BE82" s="380"/>
      <c r="BF82" s="380"/>
      <c r="BG82" s="380"/>
      <c r="BH82" s="380"/>
      <c r="BI82" s="380"/>
      <c r="BJ82" s="380"/>
      <c r="BK82" s="380"/>
      <c r="BL82" s="380"/>
      <c r="BM82" s="380"/>
      <c r="BN82" s="380"/>
      <c r="BO82" s="380"/>
      <c r="BP82" s="380"/>
      <c r="BQ82" s="380"/>
      <c r="BR82" s="380"/>
      <c r="BS82" s="380"/>
      <c r="BT82" s="380"/>
      <c r="BU82" s="380"/>
      <c r="BV82" s="380"/>
      <c r="BW82" s="380"/>
      <c r="BX82" s="380"/>
      <c r="BY82" s="380"/>
      <c r="BZ82" s="380"/>
      <c r="CA82" s="380"/>
      <c r="CB82" s="380"/>
      <c r="CC82" s="380"/>
      <c r="CD82" s="380"/>
      <c r="CE82" s="380"/>
      <c r="CF82" s="380"/>
    </row>
    <row r="83" spans="2:84">
      <c r="B83" s="763" t="s">
        <v>785</v>
      </c>
      <c r="C83" s="1103">
        <f>VLOOKUP(LnkTXTSigla,Informacoes[],23,FALSE)</f>
        <v>2910</v>
      </c>
      <c r="D83" s="1104"/>
      <c r="E83" s="1104"/>
      <c r="F83" s="1104"/>
      <c r="G83" s="380"/>
      <c r="H83" s="564"/>
      <c r="I83" s="776"/>
      <c r="L83" s="560"/>
      <c r="M83" s="543"/>
      <c r="O83" s="9"/>
      <c r="R83" s="380"/>
      <c r="S83" s="380"/>
      <c r="T83" s="380"/>
      <c r="U83" s="380"/>
      <c r="V83" s="380"/>
      <c r="W83" s="380"/>
      <c r="X83" s="380"/>
      <c r="Y83" s="380"/>
      <c r="Z83" s="380"/>
      <c r="AA83" s="380"/>
      <c r="AB83" s="380"/>
      <c r="AC83" s="380"/>
      <c r="AD83" s="380"/>
      <c r="AE83" s="380"/>
      <c r="AF83" s="380"/>
      <c r="AG83" s="380"/>
      <c r="AH83" s="380"/>
      <c r="AI83" s="380"/>
      <c r="AJ83" s="380"/>
      <c r="AK83" s="380"/>
      <c r="AL83" s="380"/>
      <c r="AM83" s="380"/>
      <c r="AN83" s="380"/>
      <c r="AO83" s="380"/>
      <c r="AP83" s="380"/>
      <c r="AQ83" s="380"/>
      <c r="AR83" s="380"/>
      <c r="AS83" s="380"/>
      <c r="AT83" s="380"/>
      <c r="AU83" s="380"/>
      <c r="AV83" s="380"/>
      <c r="AW83" s="380"/>
      <c r="AX83" s="380"/>
      <c r="AY83" s="380"/>
      <c r="AZ83" s="380"/>
      <c r="BA83" s="380"/>
      <c r="BB83" s="380"/>
      <c r="BC83" s="380"/>
      <c r="BD83" s="380"/>
      <c r="BE83" s="380"/>
      <c r="BF83" s="380"/>
      <c r="BG83" s="380"/>
      <c r="BH83" s="380"/>
      <c r="BI83" s="380"/>
      <c r="BJ83" s="380"/>
      <c r="BK83" s="380"/>
      <c r="BL83" s="380"/>
      <c r="BM83" s="380"/>
      <c r="BN83" s="380"/>
      <c r="BO83" s="380"/>
      <c r="BP83" s="380"/>
      <c r="BQ83" s="380"/>
      <c r="BR83" s="380"/>
      <c r="BS83" s="380"/>
      <c r="BT83" s="380"/>
      <c r="BU83" s="380"/>
      <c r="BV83" s="380"/>
      <c r="BW83" s="380"/>
      <c r="BX83" s="380"/>
      <c r="BY83" s="380"/>
      <c r="BZ83" s="380"/>
      <c r="CA83" s="380"/>
      <c r="CB83" s="380"/>
      <c r="CC83" s="380"/>
      <c r="CD83" s="380"/>
      <c r="CE83" s="380"/>
      <c r="CF83" s="380"/>
    </row>
    <row r="84" spans="2:84">
      <c r="B84" s="580" t="s">
        <v>786</v>
      </c>
      <c r="C84" s="614" t="str">
        <f>'Informações Gerais'!X49</f>
        <v>27 de abril de 2021</v>
      </c>
      <c r="D84" s="535"/>
      <c r="E84" s="535"/>
      <c r="F84" s="535"/>
      <c r="G84" s="380"/>
      <c r="H84" s="564"/>
      <c r="L84" s="560"/>
      <c r="M84" s="543"/>
      <c r="O84" s="9"/>
      <c r="R84" s="380"/>
      <c r="S84" s="380"/>
      <c r="T84" s="380"/>
      <c r="U84" s="380"/>
      <c r="V84" s="380"/>
      <c r="W84" s="380"/>
      <c r="X84" s="380"/>
      <c r="Y84" s="380"/>
      <c r="Z84" s="380"/>
      <c r="AA84" s="380"/>
      <c r="AB84" s="380"/>
      <c r="AC84" s="380"/>
      <c r="AD84" s="380"/>
      <c r="AE84" s="380"/>
      <c r="AF84" s="380"/>
      <c r="AG84" s="380"/>
      <c r="AH84" s="380"/>
      <c r="AI84" s="380"/>
      <c r="AJ84" s="380"/>
      <c r="AK84" s="380"/>
      <c r="AL84" s="380"/>
      <c r="AM84" s="380"/>
      <c r="AN84" s="380"/>
      <c r="AO84" s="380"/>
      <c r="AP84" s="380"/>
      <c r="AQ84" s="380"/>
      <c r="AR84" s="380"/>
      <c r="AS84" s="380"/>
      <c r="AT84" s="380"/>
      <c r="AU84" s="380"/>
      <c r="AV84" s="380"/>
      <c r="AW84" s="380"/>
      <c r="AX84" s="380"/>
      <c r="AY84" s="380"/>
      <c r="AZ84" s="380"/>
      <c r="BA84" s="380"/>
      <c r="BB84" s="380"/>
      <c r="BC84" s="380"/>
      <c r="BD84" s="380"/>
      <c r="BE84" s="380"/>
      <c r="BF84" s="380"/>
      <c r="BG84" s="380"/>
      <c r="BH84" s="380"/>
      <c r="BI84" s="380"/>
      <c r="BJ84" s="380"/>
      <c r="BK84" s="380"/>
      <c r="BL84" s="380"/>
      <c r="BM84" s="380"/>
      <c r="BN84" s="380"/>
      <c r="BO84" s="380"/>
      <c r="BP84" s="380"/>
      <c r="BQ84" s="380"/>
      <c r="BR84" s="380"/>
      <c r="BS84" s="380"/>
      <c r="BT84" s="380"/>
      <c r="BU84" s="380"/>
      <c r="BV84" s="380"/>
      <c r="BW84" s="380"/>
      <c r="BX84" s="380"/>
      <c r="BY84" s="380"/>
      <c r="BZ84" s="380"/>
      <c r="CA84" s="380"/>
      <c r="CB84" s="380"/>
      <c r="CC84" s="380"/>
      <c r="CD84" s="380"/>
      <c r="CE84" s="380"/>
      <c r="CF84" s="380"/>
    </row>
    <row r="85" spans="2:84">
      <c r="B85" s="763" t="s">
        <v>787</v>
      </c>
      <c r="C85" s="1105"/>
      <c r="D85" s="1106"/>
      <c r="E85" s="1106"/>
      <c r="F85" s="1106"/>
      <c r="G85" s="380"/>
      <c r="H85" s="564"/>
      <c r="L85" s="560"/>
      <c r="M85" s="543"/>
      <c r="O85" s="9"/>
      <c r="R85" s="380"/>
      <c r="S85" s="380"/>
      <c r="T85" s="380"/>
      <c r="U85" s="380"/>
      <c r="V85" s="380"/>
      <c r="W85" s="380"/>
      <c r="X85" s="380"/>
      <c r="Y85" s="380"/>
      <c r="Z85" s="380"/>
      <c r="AA85" s="380"/>
      <c r="AB85" s="380"/>
      <c r="AC85" s="380"/>
      <c r="AD85" s="380"/>
      <c r="AE85" s="380"/>
      <c r="AF85" s="380"/>
      <c r="AG85" s="380"/>
      <c r="AH85" s="380"/>
      <c r="AI85" s="380"/>
      <c r="AJ85" s="380"/>
      <c r="AK85" s="380"/>
      <c r="AL85" s="380"/>
      <c r="AM85" s="380"/>
      <c r="AN85" s="380"/>
      <c r="AO85" s="380"/>
      <c r="AP85" s="380"/>
      <c r="AQ85" s="380"/>
      <c r="AR85" s="380"/>
      <c r="AS85" s="380"/>
      <c r="AT85" s="380"/>
      <c r="AU85" s="380"/>
      <c r="AV85" s="380"/>
      <c r="AW85" s="380"/>
      <c r="AX85" s="380"/>
      <c r="AY85" s="380"/>
      <c r="AZ85" s="380"/>
      <c r="BA85" s="380"/>
      <c r="BB85" s="380"/>
      <c r="BC85" s="380"/>
      <c r="BD85" s="380"/>
      <c r="BE85" s="380"/>
      <c r="BF85" s="380"/>
      <c r="BG85" s="380"/>
      <c r="BH85" s="380"/>
      <c r="BI85" s="380"/>
      <c r="BJ85" s="380"/>
      <c r="BK85" s="380"/>
      <c r="BL85" s="380"/>
      <c r="BM85" s="380"/>
      <c r="BN85" s="380"/>
      <c r="BO85" s="380"/>
      <c r="BP85" s="380"/>
      <c r="BQ85" s="380"/>
      <c r="BR85" s="380"/>
      <c r="BS85" s="380"/>
      <c r="BT85" s="380"/>
      <c r="BU85" s="380"/>
      <c r="BV85" s="380"/>
      <c r="BW85" s="380"/>
      <c r="BX85" s="380"/>
      <c r="BY85" s="380"/>
      <c r="BZ85" s="380"/>
      <c r="CA85" s="380"/>
      <c r="CB85" s="380"/>
      <c r="CC85" s="380"/>
      <c r="CD85" s="380"/>
      <c r="CE85" s="380"/>
      <c r="CF85" s="380"/>
    </row>
    <row r="86" spans="2:84">
      <c r="B86" s="580" t="s">
        <v>788</v>
      </c>
      <c r="C86" s="658"/>
      <c r="D86" s="659"/>
      <c r="E86" s="659"/>
      <c r="F86" s="659"/>
      <c r="G86" s="380"/>
      <c r="H86" s="564"/>
      <c r="L86" s="560"/>
      <c r="M86" s="543"/>
      <c r="O86" s="9"/>
      <c r="R86" s="380"/>
      <c r="S86" s="380"/>
      <c r="T86" s="380"/>
      <c r="U86" s="380"/>
      <c r="V86" s="380"/>
      <c r="W86" s="380"/>
      <c r="X86" s="380"/>
      <c r="Y86" s="380"/>
      <c r="Z86" s="380"/>
      <c r="AA86" s="380"/>
      <c r="AB86" s="380"/>
      <c r="AC86" s="380"/>
      <c r="AD86" s="380"/>
      <c r="AE86" s="380"/>
      <c r="AF86" s="380"/>
      <c r="AG86" s="380"/>
      <c r="AH86" s="380"/>
      <c r="AI86" s="380"/>
      <c r="AJ86" s="380"/>
      <c r="AK86" s="380"/>
      <c r="AL86" s="380"/>
      <c r="AM86" s="380"/>
      <c r="AN86" s="380"/>
      <c r="AO86" s="380"/>
      <c r="AP86" s="380"/>
      <c r="AQ86" s="380"/>
      <c r="AR86" s="380"/>
      <c r="AS86" s="380"/>
      <c r="AT86" s="380"/>
      <c r="AU86" s="380"/>
      <c r="AV86" s="380"/>
      <c r="AW86" s="380"/>
      <c r="AX86" s="380"/>
      <c r="AY86" s="380"/>
      <c r="AZ86" s="380"/>
      <c r="BA86" s="380"/>
      <c r="BB86" s="380"/>
      <c r="BC86" s="380"/>
      <c r="BD86" s="380"/>
      <c r="BE86" s="380"/>
      <c r="BF86" s="380"/>
      <c r="BG86" s="380"/>
      <c r="BH86" s="380"/>
      <c r="BI86" s="380"/>
      <c r="BJ86" s="380"/>
      <c r="BK86" s="380"/>
      <c r="BL86" s="380"/>
      <c r="BM86" s="380"/>
      <c r="BN86" s="380"/>
      <c r="BO86" s="380"/>
      <c r="BP86" s="380"/>
      <c r="BQ86" s="380"/>
      <c r="BR86" s="380"/>
      <c r="BS86" s="380"/>
      <c r="BT86" s="380"/>
      <c r="BU86" s="380"/>
      <c r="BV86" s="380"/>
      <c r="BW86" s="380"/>
      <c r="BX86" s="380"/>
      <c r="BY86" s="380"/>
      <c r="BZ86" s="380"/>
      <c r="CA86" s="380"/>
      <c r="CB86" s="380"/>
      <c r="CC86" s="380"/>
      <c r="CD86" s="380"/>
      <c r="CE86" s="380"/>
      <c r="CF86" s="380"/>
    </row>
    <row r="87" spans="2:84">
      <c r="B87" s="764" t="s">
        <v>789</v>
      </c>
      <c r="C87" s="1107"/>
      <c r="D87" s="1108"/>
      <c r="E87" s="1108"/>
      <c r="F87" s="1108"/>
      <c r="G87" s="380"/>
      <c r="H87" s="564"/>
      <c r="L87" s="560"/>
      <c r="M87" s="543"/>
      <c r="O87" s="9"/>
      <c r="R87" s="380"/>
      <c r="S87" s="380"/>
      <c r="T87" s="380"/>
      <c r="U87" s="380"/>
      <c r="V87" s="380"/>
      <c r="W87" s="380"/>
      <c r="X87" s="380"/>
      <c r="Y87" s="380"/>
      <c r="Z87" s="380"/>
      <c r="AA87" s="380"/>
      <c r="AB87" s="380"/>
      <c r="AC87" s="380"/>
      <c r="AD87" s="380"/>
      <c r="AE87" s="380"/>
      <c r="AF87" s="380"/>
      <c r="AG87" s="380"/>
      <c r="AH87" s="380"/>
      <c r="AI87" s="380"/>
      <c r="AJ87" s="380"/>
      <c r="AK87" s="380"/>
      <c r="AL87" s="380"/>
      <c r="AM87" s="380"/>
      <c r="AN87" s="380"/>
      <c r="AO87" s="380"/>
      <c r="AP87" s="380"/>
      <c r="AQ87" s="380"/>
      <c r="AR87" s="380"/>
      <c r="AS87" s="380"/>
      <c r="AT87" s="380"/>
      <c r="AU87" s="380"/>
      <c r="AV87" s="380"/>
      <c r="AW87" s="380"/>
      <c r="AX87" s="380"/>
      <c r="AY87" s="380"/>
      <c r="AZ87" s="380"/>
      <c r="BA87" s="380"/>
      <c r="BB87" s="380"/>
      <c r="BC87" s="380"/>
      <c r="BD87" s="380"/>
      <c r="BE87" s="380"/>
      <c r="BF87" s="380"/>
      <c r="BG87" s="380"/>
      <c r="BH87" s="380"/>
      <c r="BI87" s="380"/>
      <c r="BJ87" s="380"/>
      <c r="BK87" s="380"/>
      <c r="BL87" s="380"/>
      <c r="BM87" s="380"/>
      <c r="BN87" s="380"/>
      <c r="BO87" s="380"/>
      <c r="BP87" s="380"/>
      <c r="BQ87" s="380"/>
      <c r="BR87" s="380"/>
      <c r="BS87" s="380"/>
      <c r="BT87" s="380"/>
      <c r="BU87" s="380"/>
      <c r="BV87" s="380"/>
      <c r="BW87" s="380"/>
      <c r="BX87" s="380"/>
      <c r="BY87" s="380"/>
      <c r="BZ87" s="380"/>
      <c r="CA87" s="380"/>
      <c r="CB87" s="380"/>
      <c r="CC87" s="380"/>
      <c r="CD87" s="380"/>
      <c r="CE87" s="380"/>
      <c r="CF87" s="380"/>
    </row>
    <row r="88" spans="2:84">
      <c r="B88" s="580" t="s">
        <v>790</v>
      </c>
      <c r="C88" s="616" t="str">
        <f>VLOOKUP(LnkTXTSigla,Informacoes[],20,FALSE)</f>
        <v>05/2008</v>
      </c>
      <c r="D88" s="536"/>
      <c r="E88" s="536"/>
      <c r="F88" s="536"/>
      <c r="G88" s="380"/>
      <c r="H88" s="564"/>
      <c r="L88" s="560"/>
      <c r="M88" s="543"/>
      <c r="O88" s="9"/>
      <c r="R88" s="380"/>
      <c r="S88" s="380"/>
      <c r="T88" s="380"/>
      <c r="U88" s="380"/>
      <c r="V88" s="380"/>
      <c r="W88" s="380"/>
      <c r="X88" s="380"/>
      <c r="Y88" s="380"/>
      <c r="Z88" s="380"/>
      <c r="AA88" s="380"/>
      <c r="AB88" s="380"/>
      <c r="AC88" s="380"/>
      <c r="AD88" s="380"/>
      <c r="AE88" s="380"/>
      <c r="AF88" s="380"/>
      <c r="AG88" s="380"/>
      <c r="AH88" s="380"/>
      <c r="AI88" s="380"/>
      <c r="AJ88" s="380"/>
      <c r="AK88" s="380"/>
      <c r="AL88" s="380"/>
      <c r="AM88" s="380"/>
      <c r="AN88" s="380"/>
      <c r="AO88" s="380"/>
      <c r="AP88" s="380"/>
      <c r="AQ88" s="380"/>
      <c r="AR88" s="380"/>
      <c r="AS88" s="380"/>
      <c r="AT88" s="380"/>
      <c r="AU88" s="380"/>
      <c r="AV88" s="380"/>
      <c r="AW88" s="380"/>
      <c r="AX88" s="380"/>
      <c r="AY88" s="380"/>
      <c r="AZ88" s="380"/>
      <c r="BA88" s="380"/>
      <c r="BB88" s="380"/>
      <c r="BC88" s="380"/>
      <c r="BD88" s="380"/>
      <c r="BE88" s="380"/>
      <c r="BF88" s="380"/>
      <c r="BG88" s="380"/>
      <c r="BH88" s="380"/>
      <c r="BI88" s="380"/>
      <c r="BJ88" s="380"/>
      <c r="BK88" s="380"/>
      <c r="BL88" s="380"/>
      <c r="BM88" s="380"/>
      <c r="BN88" s="380"/>
      <c r="BO88" s="380"/>
      <c r="BP88" s="380"/>
      <c r="BQ88" s="380"/>
      <c r="BR88" s="380"/>
      <c r="BS88" s="380"/>
      <c r="BT88" s="380"/>
      <c r="BU88" s="380"/>
      <c r="BV88" s="380"/>
      <c r="BW88" s="380"/>
      <c r="BX88" s="380"/>
      <c r="BY88" s="380"/>
      <c r="BZ88" s="380"/>
      <c r="CA88" s="380"/>
      <c r="CB88" s="380"/>
      <c r="CC88" s="380"/>
      <c r="CD88" s="380"/>
      <c r="CE88" s="380"/>
      <c r="CF88" s="380"/>
    </row>
    <row r="89" spans="2:84">
      <c r="B89" s="580" t="s">
        <v>791</v>
      </c>
      <c r="C89" s="616" t="str">
        <f>VLOOKUP(LnkTXTSigla,Informacoes[],21,FALSE)</f>
        <v>12 de junho de 2008</v>
      </c>
      <c r="D89" s="617"/>
      <c r="E89" s="536"/>
      <c r="F89" s="535"/>
      <c r="H89" s="564"/>
      <c r="L89" s="560"/>
      <c r="M89" s="543"/>
      <c r="O89" s="9"/>
      <c r="R89" s="380"/>
      <c r="S89" s="380"/>
      <c r="T89" s="380"/>
      <c r="U89" s="380"/>
      <c r="V89" s="380"/>
      <c r="W89" s="380"/>
      <c r="X89" s="380"/>
      <c r="Y89" s="380"/>
      <c r="Z89" s="380"/>
      <c r="AA89" s="380"/>
      <c r="AB89" s="380"/>
      <c r="AC89" s="380"/>
      <c r="AD89" s="380"/>
      <c r="AE89" s="380"/>
      <c r="AF89" s="380"/>
      <c r="AG89" s="380"/>
      <c r="AH89" s="380"/>
      <c r="AI89" s="380"/>
      <c r="AJ89" s="380"/>
      <c r="AK89" s="380"/>
      <c r="AL89" s="380"/>
      <c r="AM89" s="380"/>
      <c r="AN89" s="380"/>
      <c r="AO89" s="380"/>
      <c r="AP89" s="380"/>
      <c r="AQ89" s="380"/>
      <c r="AR89" s="380"/>
      <c r="AS89" s="380"/>
      <c r="AT89" s="380"/>
      <c r="AU89" s="380"/>
      <c r="AV89" s="380"/>
      <c r="AW89" s="380"/>
      <c r="AX89" s="380"/>
      <c r="AY89" s="380"/>
      <c r="AZ89" s="380"/>
      <c r="BA89" s="380"/>
      <c r="BB89" s="380"/>
      <c r="BC89" s="380"/>
      <c r="BD89" s="380"/>
      <c r="BE89" s="380"/>
      <c r="BF89" s="380"/>
      <c r="BG89" s="380"/>
      <c r="BH89" s="380"/>
      <c r="BI89" s="380"/>
      <c r="BJ89" s="380"/>
      <c r="BK89" s="380"/>
      <c r="BL89" s="380"/>
      <c r="BM89" s="380"/>
      <c r="BN89" s="380"/>
      <c r="BO89" s="380"/>
      <c r="BP89" s="380"/>
      <c r="BQ89" s="380"/>
      <c r="BR89" s="380"/>
      <c r="BS89" s="380"/>
      <c r="BT89" s="380"/>
      <c r="BU89" s="380"/>
      <c r="BV89" s="380"/>
      <c r="BW89" s="380"/>
      <c r="BX89" s="380"/>
      <c r="BY89" s="380"/>
      <c r="BZ89" s="380"/>
      <c r="CA89" s="380"/>
      <c r="CB89" s="380"/>
      <c r="CC89" s="380"/>
      <c r="CD89" s="380"/>
      <c r="CE89" s="380"/>
      <c r="CF89" s="380"/>
    </row>
    <row r="90" spans="2:84">
      <c r="B90" s="580" t="s">
        <v>792</v>
      </c>
      <c r="C90" s="618" t="str">
        <f>Q3</f>
        <v>Cooperativa de Eletrificação da Região de Itapecerica da Serra</v>
      </c>
      <c r="D90" s="536"/>
      <c r="E90" s="536"/>
      <c r="F90" s="536"/>
      <c r="H90" s="564"/>
      <c r="L90" s="560"/>
      <c r="M90" s="543"/>
      <c r="O90" s="9"/>
      <c r="R90" s="380"/>
      <c r="S90" s="380"/>
      <c r="T90" s="380"/>
      <c r="U90" s="380"/>
      <c r="V90" s="380"/>
      <c r="W90" s="380"/>
      <c r="X90" s="380"/>
      <c r="Y90" s="380"/>
      <c r="Z90" s="380"/>
      <c r="AA90" s="380"/>
      <c r="AB90" s="380"/>
      <c r="AC90" s="380"/>
      <c r="AD90" s="380"/>
      <c r="AE90" s="380"/>
      <c r="AF90" s="380"/>
      <c r="AG90" s="380"/>
      <c r="AH90" s="380"/>
      <c r="AI90" s="380"/>
      <c r="AJ90" s="380"/>
      <c r="AK90" s="380"/>
      <c r="AL90" s="380"/>
      <c r="AM90" s="380"/>
      <c r="AN90" s="380"/>
      <c r="AO90" s="380"/>
      <c r="AP90" s="380"/>
      <c r="AQ90" s="380"/>
      <c r="AR90" s="380"/>
      <c r="AS90" s="380"/>
      <c r="AT90" s="380"/>
      <c r="AU90" s="380"/>
      <c r="AV90" s="380"/>
      <c r="AW90" s="380"/>
      <c r="AX90" s="380"/>
      <c r="AY90" s="380"/>
      <c r="AZ90" s="380"/>
      <c r="BA90" s="380"/>
      <c r="BB90" s="380"/>
      <c r="BC90" s="380"/>
      <c r="BD90" s="380"/>
      <c r="BE90" s="380"/>
      <c r="BF90" s="380"/>
      <c r="BG90" s="380"/>
      <c r="BH90" s="380"/>
      <c r="BI90" s="380"/>
      <c r="BJ90" s="380"/>
      <c r="BK90" s="380"/>
      <c r="BL90" s="380"/>
      <c r="BM90" s="380"/>
      <c r="BN90" s="380"/>
      <c r="BO90" s="380"/>
      <c r="BP90" s="380"/>
      <c r="BQ90" s="380"/>
      <c r="BR90" s="380"/>
      <c r="BS90" s="380"/>
      <c r="BT90" s="380"/>
      <c r="BU90" s="380"/>
      <c r="BV90" s="380"/>
      <c r="BW90" s="380"/>
      <c r="BX90" s="380"/>
      <c r="BY90" s="380"/>
      <c r="BZ90" s="380"/>
      <c r="CA90" s="380"/>
      <c r="CB90" s="380"/>
      <c r="CC90" s="380"/>
      <c r="CD90" s="380"/>
      <c r="CE90" s="380"/>
      <c r="CF90" s="380"/>
    </row>
    <row r="91" spans="2:84" ht="16.5" customHeight="1">
      <c r="B91" s="580" t="s">
        <v>793</v>
      </c>
      <c r="C91" s="618" t="str">
        <f>C9</f>
        <v>Ceris</v>
      </c>
      <c r="D91" s="536"/>
      <c r="E91" s="537"/>
      <c r="F91" s="536"/>
      <c r="H91" s="776"/>
      <c r="L91" s="560"/>
      <c r="M91" s="543"/>
      <c r="O91" s="9"/>
      <c r="R91" s="380"/>
      <c r="S91" s="380"/>
      <c r="T91" s="380"/>
      <c r="U91" s="380"/>
      <c r="V91" s="380"/>
      <c r="W91" s="380"/>
      <c r="X91" s="380"/>
      <c r="Y91" s="380"/>
      <c r="Z91" s="380"/>
      <c r="AA91" s="380"/>
      <c r="AB91" s="380"/>
      <c r="AC91" s="380"/>
      <c r="AD91" s="380"/>
      <c r="AE91" s="380"/>
      <c r="AF91" s="380"/>
      <c r="AG91" s="380"/>
      <c r="AH91" s="380"/>
      <c r="AI91" s="380"/>
      <c r="AJ91" s="380"/>
      <c r="AK91" s="380"/>
      <c r="AL91" s="380"/>
      <c r="AM91" s="380"/>
      <c r="AN91" s="380"/>
      <c r="AO91" s="380"/>
      <c r="AP91" s="380"/>
      <c r="AQ91" s="380"/>
      <c r="AR91" s="380"/>
      <c r="AS91" s="380"/>
      <c r="AT91" s="380"/>
      <c r="AU91" s="380"/>
      <c r="AV91" s="380"/>
      <c r="AW91" s="380"/>
      <c r="AX91" s="380"/>
      <c r="AY91" s="380"/>
      <c r="AZ91" s="380"/>
      <c r="BA91" s="380"/>
      <c r="BB91" s="380"/>
      <c r="BC91" s="380"/>
      <c r="BD91" s="380"/>
      <c r="BE91" s="380"/>
      <c r="BF91" s="380"/>
      <c r="BG91" s="380"/>
      <c r="BH91" s="380"/>
      <c r="BI91" s="380"/>
      <c r="BJ91" s="380"/>
      <c r="BK91" s="380"/>
      <c r="BL91" s="380"/>
      <c r="BM91" s="380"/>
      <c r="BN91" s="380"/>
      <c r="BO91" s="380"/>
      <c r="BP91" s="380"/>
      <c r="BQ91" s="380"/>
      <c r="BR91" s="380"/>
      <c r="BS91" s="380"/>
      <c r="BT91" s="380"/>
      <c r="BU91" s="380"/>
      <c r="BV91" s="380"/>
      <c r="BW91" s="380"/>
      <c r="BX91" s="380"/>
      <c r="BY91" s="380"/>
      <c r="BZ91" s="380"/>
      <c r="CA91" s="380"/>
      <c r="CB91" s="380"/>
      <c r="CC91" s="380"/>
      <c r="CD91" s="380"/>
      <c r="CE91" s="380"/>
      <c r="CF91" s="380"/>
    </row>
    <row r="92" spans="2:84">
      <c r="B92" s="580" t="s">
        <v>794</v>
      </c>
      <c r="C92" s="616" t="str">
        <f>D92&amp;" - "&amp;E92</f>
        <v>São Lourenço da Serra - SP</v>
      </c>
      <c r="D92" s="538" t="str">
        <f>VLOOKUP(LnkTXTSigla,Informacoes[],6,FALSE)</f>
        <v>São Lourenço da Serra</v>
      </c>
      <c r="E92" s="538" t="str">
        <f>VLOOKUP(LnkTXTSigla,Informacoes[],7,FALSE)</f>
        <v>SP</v>
      </c>
      <c r="F92" s="536"/>
      <c r="L92" s="560"/>
      <c r="M92" s="543"/>
      <c r="O92" s="9"/>
      <c r="R92" s="380"/>
      <c r="S92" s="380"/>
      <c r="T92" s="380"/>
      <c r="U92" s="380"/>
      <c r="V92" s="380"/>
      <c r="W92" s="380"/>
      <c r="X92" s="380"/>
      <c r="Y92" s="380"/>
      <c r="Z92" s="380"/>
      <c r="AA92" s="380"/>
      <c r="AB92" s="380"/>
      <c r="AC92" s="380"/>
      <c r="AD92" s="380"/>
      <c r="AE92" s="380"/>
      <c r="AF92" s="380"/>
      <c r="AG92" s="380"/>
      <c r="AH92" s="380"/>
      <c r="AI92" s="380"/>
      <c r="AJ92" s="380"/>
      <c r="AK92" s="380"/>
      <c r="AL92" s="380"/>
      <c r="AM92" s="380"/>
      <c r="AN92" s="380"/>
      <c r="AO92" s="380"/>
      <c r="AP92" s="380"/>
      <c r="AQ92" s="380"/>
      <c r="AR92" s="380"/>
      <c r="AS92" s="380"/>
      <c r="AT92" s="380"/>
      <c r="AU92" s="380"/>
      <c r="AV92" s="380"/>
      <c r="AW92" s="380"/>
      <c r="AX92" s="380"/>
      <c r="AY92" s="380"/>
      <c r="AZ92" s="380"/>
      <c r="BA92" s="380"/>
      <c r="BB92" s="380"/>
      <c r="BC92" s="380"/>
      <c r="BD92" s="380"/>
      <c r="BE92" s="380"/>
      <c r="BF92" s="380"/>
      <c r="BG92" s="380"/>
      <c r="BH92" s="380"/>
      <c r="BI92" s="380"/>
      <c r="BJ92" s="380"/>
      <c r="BK92" s="380"/>
      <c r="BL92" s="380"/>
      <c r="BM92" s="380"/>
      <c r="BN92" s="380"/>
      <c r="BO92" s="380"/>
      <c r="BP92" s="380"/>
      <c r="BQ92" s="380"/>
      <c r="BR92" s="380"/>
      <c r="BS92" s="380"/>
      <c r="BT92" s="380"/>
      <c r="BU92" s="380"/>
      <c r="BV92" s="380"/>
      <c r="BW92" s="380"/>
      <c r="BX92" s="380"/>
      <c r="BY92" s="380"/>
      <c r="BZ92" s="380"/>
      <c r="CA92" s="380"/>
      <c r="CB92" s="380"/>
      <c r="CC92" s="380"/>
      <c r="CD92" s="380"/>
      <c r="CE92" s="380"/>
      <c r="CF92" s="380"/>
    </row>
    <row r="93" spans="2:84">
      <c r="B93" s="580" t="s">
        <v>795</v>
      </c>
      <c r="C93" s="619"/>
      <c r="D93" s="536"/>
      <c r="E93" s="536"/>
      <c r="F93" s="536"/>
      <c r="L93" s="560"/>
      <c r="M93" s="543"/>
      <c r="O93" s="9"/>
      <c r="R93" s="380"/>
      <c r="S93" s="380"/>
      <c r="T93" s="380"/>
      <c r="U93" s="380"/>
      <c r="V93" s="380"/>
      <c r="W93" s="380"/>
      <c r="X93" s="380"/>
      <c r="Y93" s="380"/>
      <c r="Z93" s="380"/>
      <c r="AA93" s="380"/>
      <c r="AB93" s="380"/>
      <c r="AC93" s="380"/>
      <c r="AD93" s="380"/>
      <c r="AE93" s="380"/>
      <c r="AF93" s="380"/>
      <c r="AG93" s="380"/>
      <c r="AH93" s="380"/>
      <c r="AI93" s="380"/>
      <c r="AJ93" s="380"/>
      <c r="AK93" s="380"/>
      <c r="AL93" s="380"/>
      <c r="AM93" s="380"/>
      <c r="AN93" s="380"/>
      <c r="AO93" s="380"/>
      <c r="AP93" s="380"/>
      <c r="AQ93" s="380"/>
      <c r="AR93" s="380"/>
      <c r="AS93" s="380"/>
      <c r="AT93" s="380"/>
      <c r="AU93" s="380"/>
      <c r="AV93" s="380"/>
      <c r="AW93" s="380"/>
      <c r="AX93" s="380"/>
      <c r="AY93" s="380"/>
      <c r="AZ93" s="380"/>
      <c r="BA93" s="380"/>
      <c r="BB93" s="380"/>
      <c r="BC93" s="380"/>
      <c r="BD93" s="380"/>
      <c r="BE93" s="380"/>
      <c r="BF93" s="380"/>
      <c r="BG93" s="380"/>
      <c r="BH93" s="380"/>
      <c r="BI93" s="380"/>
      <c r="BJ93" s="380"/>
      <c r="BK93" s="380"/>
      <c r="BL93" s="380"/>
      <c r="BM93" s="380"/>
      <c r="BN93" s="380"/>
      <c r="BO93" s="380"/>
      <c r="BP93" s="380"/>
      <c r="BQ93" s="380"/>
      <c r="BR93" s="380"/>
      <c r="BS93" s="380"/>
      <c r="BT93" s="380"/>
      <c r="BU93" s="380"/>
      <c r="BV93" s="380"/>
      <c r="BW93" s="380"/>
      <c r="BX93" s="380"/>
      <c r="BY93" s="380"/>
      <c r="BZ93" s="380"/>
      <c r="CA93" s="380"/>
      <c r="CB93" s="380"/>
      <c r="CC93" s="380"/>
      <c r="CD93" s="380"/>
      <c r="CE93" s="380"/>
      <c r="CF93" s="380"/>
    </row>
    <row r="94" spans="2:84">
      <c r="B94" s="580" t="s">
        <v>796</v>
      </c>
      <c r="C94" s="618">
        <f>DataRevRea</f>
        <v>44772</v>
      </c>
      <c r="D94" s="536"/>
      <c r="E94" s="536">
        <f>DATE(YEAR(DataRevRea)+1,MONTH(DataRevRea)-1,1)</f>
        <v>45078</v>
      </c>
      <c r="F94" s="536"/>
      <c r="L94" s="560"/>
      <c r="M94" s="543"/>
      <c r="O94" s="9"/>
      <c r="R94" s="380"/>
      <c r="S94" s="380"/>
      <c r="T94" s="380"/>
      <c r="U94" s="380"/>
      <c r="V94" s="380"/>
      <c r="W94" s="380"/>
      <c r="X94" s="380"/>
      <c r="Y94" s="380"/>
      <c r="Z94" s="380"/>
      <c r="AA94" s="380"/>
      <c r="AB94" s="380"/>
      <c r="AC94" s="380"/>
      <c r="AD94" s="380"/>
      <c r="AE94" s="380"/>
      <c r="AF94" s="380"/>
      <c r="AG94" s="380"/>
      <c r="AH94" s="380"/>
      <c r="AI94" s="380"/>
      <c r="AJ94" s="380"/>
      <c r="AK94" s="380"/>
      <c r="AL94" s="380"/>
      <c r="AM94" s="380"/>
      <c r="AN94" s="380"/>
      <c r="AO94" s="380"/>
      <c r="AP94" s="380"/>
      <c r="AQ94" s="380"/>
      <c r="AR94" s="380"/>
      <c r="AS94" s="380"/>
      <c r="AT94" s="380"/>
      <c r="AU94" s="380"/>
      <c r="AV94" s="380"/>
      <c r="AW94" s="380"/>
      <c r="AX94" s="380"/>
      <c r="AY94" s="380"/>
      <c r="AZ94" s="380"/>
      <c r="BA94" s="380"/>
      <c r="BB94" s="380"/>
      <c r="BC94" s="380"/>
      <c r="BD94" s="380"/>
      <c r="BE94" s="380"/>
      <c r="BF94" s="380"/>
      <c r="BG94" s="380"/>
      <c r="BH94" s="380"/>
      <c r="BI94" s="380"/>
      <c r="BJ94" s="380"/>
      <c r="BK94" s="380"/>
      <c r="BL94" s="380"/>
      <c r="BM94" s="380"/>
      <c r="BN94" s="380"/>
      <c r="BO94" s="380"/>
      <c r="BP94" s="380"/>
      <c r="BQ94" s="380"/>
      <c r="BR94" s="380"/>
      <c r="BS94" s="380"/>
      <c r="BT94" s="380"/>
      <c r="BU94" s="380"/>
      <c r="BV94" s="380"/>
      <c r="BW94" s="380"/>
      <c r="BX94" s="380"/>
      <c r="BY94" s="380"/>
      <c r="BZ94" s="380"/>
      <c r="CA94" s="380"/>
      <c r="CB94" s="380"/>
      <c r="CC94" s="380"/>
      <c r="CD94" s="380"/>
      <c r="CE94" s="380"/>
      <c r="CF94" s="380"/>
    </row>
    <row r="95" spans="2:84">
      <c r="B95" s="580" t="s">
        <v>797</v>
      </c>
      <c r="C95" s="620" t="str">
        <f>TEXT(E95,"mmmm")&amp;" de "&amp;TEXT(E95,"aaaa")&amp; " a "&amp;TEXT(E94,"mmmm")&amp;" de "&amp;TEXT(E94,"aaaa")</f>
        <v>julho de 2022 a junho de 2023</v>
      </c>
      <c r="D95" s="536"/>
      <c r="E95" s="536">
        <f>DATE(YEAR(DataRevRea),MONTH(DataRevRea),DAY(DataRevRea))</f>
        <v>44772</v>
      </c>
      <c r="F95" s="536"/>
      <c r="L95" s="560"/>
      <c r="M95" s="543"/>
      <c r="O95" s="9"/>
      <c r="R95" s="380"/>
      <c r="S95" s="380"/>
      <c r="T95" s="380"/>
      <c r="U95" s="380"/>
      <c r="V95" s="380"/>
      <c r="W95" s="380"/>
      <c r="X95" s="380"/>
      <c r="Y95" s="380"/>
      <c r="Z95" s="380"/>
      <c r="AA95" s="380"/>
      <c r="AB95" s="380"/>
      <c r="AC95" s="380"/>
      <c r="AD95" s="380"/>
      <c r="AE95" s="380"/>
      <c r="AF95" s="380"/>
      <c r="AG95" s="380"/>
      <c r="AH95" s="380"/>
      <c r="AI95" s="380"/>
      <c r="AJ95" s="380"/>
      <c r="AK95" s="380"/>
      <c r="AL95" s="380"/>
      <c r="AM95" s="380"/>
      <c r="AN95" s="380"/>
      <c r="AO95" s="380"/>
      <c r="AP95" s="380"/>
      <c r="AQ95" s="380"/>
      <c r="AR95" s="380"/>
      <c r="AS95" s="380"/>
      <c r="AT95" s="380"/>
      <c r="AU95" s="380"/>
      <c r="AV95" s="380"/>
      <c r="AW95" s="380"/>
      <c r="AX95" s="380"/>
      <c r="AY95" s="380"/>
      <c r="AZ95" s="380"/>
      <c r="BA95" s="380"/>
      <c r="BB95" s="380"/>
      <c r="BC95" s="380"/>
      <c r="BD95" s="380"/>
      <c r="BE95" s="380"/>
      <c r="BF95" s="380"/>
      <c r="BG95" s="380"/>
      <c r="BH95" s="380"/>
      <c r="BI95" s="380"/>
      <c r="BJ95" s="380"/>
      <c r="BK95" s="380"/>
      <c r="BL95" s="380"/>
      <c r="BM95" s="380"/>
      <c r="BN95" s="380"/>
      <c r="BO95" s="380"/>
      <c r="BP95" s="380"/>
      <c r="BQ95" s="380"/>
      <c r="BR95" s="380"/>
      <c r="BS95" s="380"/>
      <c r="BT95" s="380"/>
      <c r="BU95" s="380"/>
      <c r="BV95" s="380"/>
      <c r="BW95" s="380"/>
      <c r="BX95" s="380"/>
      <c r="BY95" s="380"/>
      <c r="BZ95" s="380"/>
      <c r="CA95" s="380"/>
      <c r="CB95" s="380"/>
      <c r="CC95" s="380"/>
      <c r="CD95" s="380"/>
      <c r="CE95" s="380"/>
      <c r="CF95" s="380"/>
    </row>
    <row r="96" spans="2:84">
      <c r="B96" s="580" t="s">
        <v>798</v>
      </c>
      <c r="C96" s="619">
        <f>C94</f>
        <v>44772</v>
      </c>
      <c r="D96" s="621"/>
      <c r="E96" s="536"/>
      <c r="F96" s="536"/>
      <c r="L96" s="560"/>
      <c r="M96" s="543"/>
      <c r="O96" s="9"/>
      <c r="R96" s="380"/>
      <c r="S96" s="380"/>
      <c r="T96" s="380"/>
      <c r="U96" s="380"/>
      <c r="V96" s="380"/>
      <c r="W96" s="380"/>
      <c r="X96" s="380"/>
      <c r="Y96" s="380"/>
      <c r="Z96" s="380"/>
      <c r="AA96" s="380"/>
      <c r="AB96" s="380"/>
      <c r="AC96" s="380"/>
      <c r="AD96" s="380"/>
      <c r="AE96" s="380"/>
      <c r="AF96" s="380"/>
      <c r="AG96" s="380"/>
      <c r="AH96" s="380"/>
      <c r="AI96" s="380"/>
      <c r="AJ96" s="380"/>
      <c r="AK96" s="380"/>
      <c r="AL96" s="380"/>
      <c r="AM96" s="380"/>
      <c r="AN96" s="380"/>
      <c r="AO96" s="380"/>
      <c r="AP96" s="380"/>
      <c r="AQ96" s="380"/>
      <c r="AR96" s="380"/>
      <c r="AS96" s="380"/>
      <c r="AT96" s="380"/>
      <c r="AU96" s="380"/>
      <c r="AV96" s="380"/>
      <c r="AW96" s="380"/>
      <c r="AX96" s="380"/>
      <c r="AY96" s="380"/>
      <c r="AZ96" s="380"/>
      <c r="BA96" s="380"/>
      <c r="BB96" s="380"/>
      <c r="BC96" s="380"/>
      <c r="BD96" s="380"/>
      <c r="BE96" s="380"/>
      <c r="BF96" s="380"/>
      <c r="BG96" s="380"/>
      <c r="BH96" s="380"/>
      <c r="BI96" s="380"/>
      <c r="BJ96" s="380"/>
      <c r="BK96" s="380"/>
      <c r="BL96" s="380"/>
      <c r="BM96" s="380"/>
      <c r="BN96" s="380"/>
      <c r="BO96" s="380"/>
      <c r="BP96" s="380"/>
      <c r="BQ96" s="380"/>
      <c r="BR96" s="380"/>
      <c r="BS96" s="380"/>
      <c r="BT96" s="380"/>
      <c r="BU96" s="380"/>
      <c r="BV96" s="380"/>
      <c r="BW96" s="380"/>
      <c r="BX96" s="380"/>
      <c r="BY96" s="380"/>
      <c r="BZ96" s="380"/>
      <c r="CA96" s="380"/>
      <c r="CB96" s="380"/>
      <c r="CC96" s="380"/>
      <c r="CD96" s="380"/>
      <c r="CE96" s="380"/>
      <c r="CF96" s="380"/>
    </row>
    <row r="97" spans="2:84">
      <c r="B97" s="580" t="s">
        <v>263</v>
      </c>
      <c r="C97" s="622">
        <f>DATE(YEAR(DataRevRea)+1,MONTH(DataRevRea),DAY(DataRevRea)-1)</f>
        <v>45136</v>
      </c>
      <c r="D97" s="621"/>
      <c r="E97" s="536"/>
      <c r="F97" s="536"/>
      <c r="L97" s="560"/>
      <c r="M97" s="543"/>
      <c r="O97" s="9"/>
      <c r="R97" s="380"/>
      <c r="S97" s="380"/>
      <c r="T97" s="380"/>
      <c r="U97" s="380"/>
      <c r="V97" s="380"/>
      <c r="W97" s="380"/>
      <c r="X97" s="380"/>
      <c r="Y97" s="380"/>
      <c r="Z97" s="380"/>
      <c r="AA97" s="380"/>
      <c r="AB97" s="380"/>
      <c r="AC97" s="380"/>
      <c r="AD97" s="380"/>
      <c r="AE97" s="380"/>
      <c r="AF97" s="380"/>
      <c r="AG97" s="380"/>
      <c r="AH97" s="380"/>
      <c r="AI97" s="380"/>
      <c r="AJ97" s="380"/>
      <c r="AK97" s="380"/>
      <c r="AL97" s="380"/>
      <c r="AM97" s="380"/>
      <c r="AN97" s="380"/>
      <c r="AO97" s="380"/>
      <c r="AP97" s="380"/>
      <c r="AQ97" s="380"/>
      <c r="AR97" s="380"/>
      <c r="AS97" s="380"/>
      <c r="AT97" s="380"/>
      <c r="AU97" s="380"/>
      <c r="AV97" s="380"/>
      <c r="AW97" s="380"/>
      <c r="AX97" s="380"/>
      <c r="AY97" s="380"/>
      <c r="AZ97" s="380"/>
      <c r="BA97" s="380"/>
      <c r="BB97" s="380"/>
      <c r="BC97" s="380"/>
      <c r="BD97" s="380"/>
      <c r="BE97" s="380"/>
      <c r="BF97" s="380"/>
      <c r="BG97" s="380"/>
      <c r="BH97" s="380"/>
      <c r="BI97" s="380"/>
      <c r="BJ97" s="380"/>
      <c r="BK97" s="380"/>
      <c r="BL97" s="380"/>
      <c r="BM97" s="380"/>
      <c r="BN97" s="380"/>
      <c r="BO97" s="380"/>
      <c r="BP97" s="380"/>
      <c r="BQ97" s="380"/>
      <c r="BR97" s="380"/>
      <c r="BS97" s="380"/>
      <c r="BT97" s="380"/>
      <c r="BU97" s="380"/>
      <c r="BV97" s="380"/>
      <c r="BW97" s="380"/>
      <c r="BX97" s="380"/>
      <c r="BY97" s="380"/>
      <c r="BZ97" s="380"/>
      <c r="CA97" s="380"/>
      <c r="CB97" s="380"/>
      <c r="CC97" s="380"/>
      <c r="CD97" s="380"/>
      <c r="CE97" s="380"/>
      <c r="CF97" s="380"/>
    </row>
    <row r="98" spans="2:84">
      <c r="B98" s="580" t="s">
        <v>799</v>
      </c>
      <c r="C98" s="622" t="str">
        <f>TEXT(C14,"mmmm")&amp;" de "&amp;TEXT(C14,"aaaa")&amp; " a "&amp;TEXT(C17,"mmmm")&amp;" de "&amp;TEXT(C17,"aaaa")</f>
        <v>julho de 2021 a junho de 2022</v>
      </c>
      <c r="D98" s="536"/>
      <c r="E98" s="536"/>
      <c r="F98" s="536"/>
      <c r="L98" s="560"/>
      <c r="M98" s="543"/>
      <c r="O98" s="9"/>
      <c r="R98" s="380"/>
      <c r="S98" s="380"/>
      <c r="T98" s="380"/>
      <c r="U98" s="380"/>
      <c r="V98" s="380"/>
      <c r="W98" s="380"/>
      <c r="X98" s="380"/>
      <c r="Y98" s="380"/>
      <c r="Z98" s="380"/>
      <c r="AA98" s="380"/>
      <c r="AB98" s="380"/>
      <c r="AC98" s="380"/>
      <c r="AD98" s="380"/>
      <c r="AE98" s="380"/>
      <c r="AF98" s="380"/>
      <c r="AG98" s="380"/>
      <c r="AH98" s="380"/>
      <c r="AI98" s="380"/>
      <c r="AJ98" s="380"/>
      <c r="AK98" s="380"/>
      <c r="AL98" s="380"/>
      <c r="AM98" s="380"/>
      <c r="AN98" s="380"/>
      <c r="AO98" s="380"/>
      <c r="AP98" s="380"/>
      <c r="AQ98" s="380"/>
      <c r="AR98" s="380"/>
      <c r="AS98" s="380"/>
      <c r="AT98" s="380"/>
      <c r="AU98" s="380"/>
      <c r="AV98" s="380"/>
      <c r="AW98" s="380"/>
      <c r="AX98" s="380"/>
      <c r="AY98" s="380"/>
      <c r="AZ98" s="380"/>
      <c r="BA98" s="380"/>
      <c r="BB98" s="380"/>
      <c r="BC98" s="380"/>
      <c r="BD98" s="380"/>
      <c r="BE98" s="380"/>
      <c r="BF98" s="380"/>
      <c r="BG98" s="380"/>
      <c r="BH98" s="380"/>
      <c r="BI98" s="380"/>
      <c r="BJ98" s="380"/>
      <c r="BK98" s="380"/>
      <c r="BL98" s="380"/>
      <c r="BM98" s="380"/>
      <c r="BN98" s="380"/>
      <c r="BO98" s="380"/>
      <c r="BP98" s="380"/>
      <c r="BQ98" s="380"/>
      <c r="BR98" s="380"/>
      <c r="BS98" s="380"/>
      <c r="BT98" s="380"/>
      <c r="BU98" s="380"/>
      <c r="BV98" s="380"/>
      <c r="BW98" s="380"/>
      <c r="BX98" s="380"/>
      <c r="BY98" s="380"/>
      <c r="BZ98" s="380"/>
      <c r="CA98" s="380"/>
      <c r="CB98" s="380"/>
      <c r="CC98" s="380"/>
      <c r="CD98" s="380"/>
      <c r="CE98" s="380"/>
      <c r="CF98" s="380"/>
    </row>
    <row r="99" spans="2:84">
      <c r="B99" s="580" t="s">
        <v>800</v>
      </c>
      <c r="C99" s="615">
        <f ca="1">IF(P1="verdadeiro",K36,H41)</f>
        <v>0.16164743597351994</v>
      </c>
      <c r="D99" s="536"/>
      <c r="E99" s="536"/>
      <c r="F99" s="536"/>
      <c r="I99" s="564"/>
      <c r="L99" s="560"/>
      <c r="M99" s="543"/>
      <c r="O99" s="9"/>
      <c r="R99" s="380"/>
      <c r="S99" s="380"/>
      <c r="T99" s="380"/>
      <c r="U99" s="380"/>
      <c r="V99" s="380"/>
      <c r="W99" s="380"/>
      <c r="X99" s="380"/>
      <c r="Y99" s="380"/>
      <c r="Z99" s="380"/>
      <c r="AA99" s="380"/>
      <c r="AB99" s="380"/>
      <c r="AC99" s="380"/>
      <c r="AD99" s="380"/>
      <c r="AE99" s="380"/>
      <c r="AF99" s="380"/>
      <c r="AG99" s="380"/>
      <c r="AH99" s="380"/>
      <c r="AI99" s="380"/>
      <c r="AJ99" s="380"/>
      <c r="AK99" s="380"/>
      <c r="AL99" s="380"/>
      <c r="AM99" s="380"/>
      <c r="AN99" s="380"/>
      <c r="AO99" s="380"/>
      <c r="AP99" s="380"/>
      <c r="AQ99" s="380"/>
      <c r="AR99" s="380"/>
      <c r="AS99" s="380"/>
      <c r="AT99" s="380"/>
      <c r="AU99" s="380"/>
      <c r="AV99" s="380"/>
      <c r="AW99" s="380"/>
      <c r="AX99" s="380"/>
      <c r="AY99" s="380"/>
      <c r="AZ99" s="380"/>
      <c r="BA99" s="380"/>
      <c r="BB99" s="380"/>
      <c r="BC99" s="380"/>
      <c r="BD99" s="380"/>
      <c r="BE99" s="380"/>
      <c r="BF99" s="380"/>
      <c r="BG99" s="380"/>
      <c r="BH99" s="380"/>
      <c r="BI99" s="380"/>
      <c r="BJ99" s="380"/>
      <c r="BK99" s="380"/>
      <c r="BL99" s="380"/>
      <c r="BM99" s="380"/>
      <c r="BN99" s="380"/>
      <c r="BO99" s="380"/>
      <c r="BP99" s="380"/>
      <c r="BQ99" s="380"/>
      <c r="BR99" s="380"/>
      <c r="BS99" s="380"/>
      <c r="BT99" s="380"/>
      <c r="BU99" s="380"/>
      <c r="BV99" s="380"/>
      <c r="BW99" s="380"/>
      <c r="BX99" s="380"/>
      <c r="BY99" s="380"/>
      <c r="BZ99" s="380"/>
      <c r="CA99" s="380"/>
      <c r="CB99" s="380"/>
      <c r="CC99" s="380"/>
      <c r="CD99" s="380"/>
      <c r="CE99" s="380"/>
      <c r="CF99" s="380"/>
    </row>
    <row r="100" spans="2:84" ht="16.5" customHeight="1">
      <c r="B100" s="580" t="s">
        <v>758</v>
      </c>
      <c r="C100" s="615">
        <f>H42</f>
        <v>1.15E-2</v>
      </c>
      <c r="D100" s="536"/>
      <c r="E100" s="536"/>
      <c r="F100" s="536"/>
      <c r="L100" s="560"/>
      <c r="M100" s="543"/>
      <c r="O100" s="9"/>
      <c r="R100" s="380"/>
      <c r="S100" s="380"/>
      <c r="T100" s="380"/>
      <c r="U100" s="380"/>
      <c r="V100" s="380"/>
      <c r="W100" s="380"/>
      <c r="X100" s="380"/>
      <c r="Y100" s="380"/>
      <c r="Z100" s="380"/>
      <c r="AA100" s="380"/>
      <c r="AB100" s="380"/>
      <c r="AC100" s="380"/>
      <c r="AD100" s="380"/>
      <c r="AE100" s="380"/>
      <c r="AF100" s="380"/>
      <c r="AG100" s="380"/>
      <c r="AH100" s="380"/>
      <c r="AI100" s="380"/>
      <c r="AJ100" s="380"/>
      <c r="AK100" s="380"/>
      <c r="AL100" s="380"/>
      <c r="AM100" s="380"/>
      <c r="AN100" s="380"/>
      <c r="AO100" s="380"/>
      <c r="AP100" s="380"/>
      <c r="AQ100" s="380"/>
      <c r="AR100" s="380"/>
      <c r="AS100" s="380"/>
      <c r="AT100" s="380"/>
      <c r="AU100" s="380"/>
      <c r="AV100" s="380"/>
      <c r="AW100" s="380"/>
      <c r="AX100" s="380"/>
      <c r="AY100" s="380"/>
      <c r="AZ100" s="380"/>
      <c r="BA100" s="380"/>
      <c r="BB100" s="380"/>
      <c r="BC100" s="380"/>
      <c r="BD100" s="380"/>
      <c r="BE100" s="380"/>
      <c r="BF100" s="380"/>
      <c r="BG100" s="380"/>
      <c r="BH100" s="380"/>
      <c r="BI100" s="380"/>
      <c r="BJ100" s="380"/>
      <c r="BK100" s="380"/>
      <c r="BL100" s="380"/>
      <c r="BM100" s="380"/>
      <c r="BN100" s="380"/>
      <c r="BO100" s="380"/>
      <c r="BP100" s="380"/>
      <c r="BQ100" s="380"/>
      <c r="BR100" s="380"/>
      <c r="BS100" s="380"/>
      <c r="BT100" s="380"/>
      <c r="BU100" s="380"/>
      <c r="BV100" s="380"/>
      <c r="BW100" s="380"/>
      <c r="BX100" s="380"/>
      <c r="BY100" s="380"/>
      <c r="BZ100" s="380"/>
      <c r="CA100" s="380"/>
      <c r="CB100" s="380"/>
      <c r="CC100" s="380"/>
      <c r="CD100" s="380"/>
      <c r="CE100" s="380"/>
      <c r="CF100" s="380"/>
    </row>
    <row r="101" spans="2:84">
      <c r="B101" s="580" t="s">
        <v>801</v>
      </c>
      <c r="C101" s="615">
        <f>LnkTXTIPCA-C100</f>
        <v>0.10736869625198027</v>
      </c>
      <c r="D101" s="536"/>
      <c r="E101" s="536"/>
      <c r="F101" s="536"/>
      <c r="L101" s="560"/>
      <c r="M101" s="543"/>
      <c r="O101" s="9"/>
      <c r="R101" s="380"/>
      <c r="S101" s="380"/>
      <c r="T101" s="380"/>
      <c r="U101" s="380"/>
      <c r="V101" s="380"/>
      <c r="W101" s="380"/>
      <c r="X101" s="380"/>
      <c r="Y101" s="380"/>
      <c r="Z101" s="380"/>
      <c r="AA101" s="380"/>
      <c r="AB101" s="380"/>
      <c r="AC101" s="380"/>
      <c r="AD101" s="380"/>
      <c r="AE101" s="380"/>
      <c r="AF101" s="380"/>
      <c r="AG101" s="380"/>
      <c r="AH101" s="380"/>
      <c r="AI101" s="380"/>
      <c r="AJ101" s="380"/>
      <c r="AK101" s="380"/>
      <c r="AL101" s="380"/>
      <c r="AM101" s="380"/>
      <c r="AN101" s="380"/>
      <c r="AO101" s="380"/>
      <c r="AP101" s="380"/>
      <c r="AQ101" s="380"/>
      <c r="AR101" s="380"/>
      <c r="AS101" s="380"/>
      <c r="AT101" s="380"/>
      <c r="AU101" s="380"/>
      <c r="AV101" s="380"/>
      <c r="AW101" s="380"/>
      <c r="AX101" s="380"/>
      <c r="AY101" s="380"/>
      <c r="AZ101" s="380"/>
      <c r="BA101" s="380"/>
      <c r="BB101" s="380"/>
      <c r="BC101" s="380"/>
      <c r="BD101" s="380"/>
      <c r="BE101" s="380"/>
      <c r="BF101" s="380"/>
      <c r="BG101" s="380"/>
      <c r="BH101" s="380"/>
      <c r="BI101" s="380"/>
      <c r="BJ101" s="380"/>
      <c r="BK101" s="380"/>
      <c r="BL101" s="380"/>
      <c r="BM101" s="380"/>
      <c r="BN101" s="380"/>
      <c r="BO101" s="380"/>
      <c r="BP101" s="380"/>
      <c r="BQ101" s="380"/>
      <c r="BR101" s="380"/>
      <c r="BS101" s="380"/>
      <c r="BT101" s="380"/>
      <c r="BU101" s="380"/>
      <c r="BV101" s="380"/>
      <c r="BW101" s="380"/>
      <c r="BX101" s="380"/>
      <c r="BY101" s="380"/>
      <c r="BZ101" s="380"/>
      <c r="CA101" s="380"/>
      <c r="CB101" s="380"/>
      <c r="CC101" s="380"/>
      <c r="CD101" s="380"/>
      <c r="CE101" s="380"/>
      <c r="CF101" s="380"/>
    </row>
    <row r="102" spans="2:84">
      <c r="B102" s="580" t="s">
        <v>802</v>
      </c>
      <c r="C102" s="623">
        <f ca="1">Resultado!D33</f>
        <v>2288467.0436729463</v>
      </c>
      <c r="D102" s="536"/>
      <c r="E102" s="536"/>
      <c r="F102" s="536"/>
      <c r="L102" s="560"/>
      <c r="M102" s="543"/>
      <c r="O102" s="9"/>
      <c r="R102" s="380"/>
      <c r="S102" s="380"/>
      <c r="T102" s="380"/>
      <c r="U102" s="380"/>
      <c r="V102" s="380"/>
      <c r="W102" s="380"/>
      <c r="X102" s="380"/>
      <c r="Y102" s="380"/>
      <c r="Z102" s="380"/>
      <c r="AA102" s="380"/>
      <c r="AB102" s="380"/>
      <c r="AC102" s="380"/>
      <c r="AD102" s="380"/>
      <c r="AE102" s="380"/>
      <c r="AF102" s="380"/>
      <c r="AG102" s="380"/>
      <c r="AH102" s="380"/>
      <c r="AI102" s="380"/>
      <c r="AJ102" s="380"/>
      <c r="AK102" s="380"/>
      <c r="AL102" s="380"/>
      <c r="AM102" s="380"/>
      <c r="AN102" s="380"/>
      <c r="AO102" s="380"/>
      <c r="AP102" s="380"/>
      <c r="AQ102" s="380"/>
      <c r="AR102" s="380"/>
      <c r="AS102" s="380"/>
      <c r="AT102" s="380"/>
      <c r="AU102" s="380"/>
      <c r="AV102" s="380"/>
      <c r="AW102" s="380"/>
      <c r="AX102" s="380"/>
      <c r="AY102" s="380"/>
      <c r="AZ102" s="380"/>
      <c r="BA102" s="380"/>
      <c r="BB102" s="380"/>
      <c r="BC102" s="380"/>
      <c r="BD102" s="380"/>
      <c r="BE102" s="380"/>
      <c r="BF102" s="380"/>
      <c r="BG102" s="380"/>
      <c r="BH102" s="380"/>
      <c r="BI102" s="380"/>
      <c r="BJ102" s="380"/>
      <c r="BK102" s="380"/>
      <c r="BL102" s="380"/>
      <c r="BM102" s="380"/>
      <c r="BN102" s="380"/>
      <c r="BO102" s="380"/>
      <c r="BP102" s="380"/>
      <c r="BQ102" s="380"/>
      <c r="BR102" s="380"/>
      <c r="BS102" s="380"/>
      <c r="BT102" s="380"/>
      <c r="BU102" s="380"/>
      <c r="BV102" s="380"/>
      <c r="BW102" s="380"/>
      <c r="BX102" s="380"/>
      <c r="BY102" s="380"/>
      <c r="BZ102" s="380"/>
      <c r="CA102" s="380"/>
      <c r="CB102" s="380"/>
      <c r="CC102" s="380"/>
      <c r="CD102" s="380"/>
      <c r="CE102" s="380"/>
      <c r="CF102" s="380"/>
    </row>
    <row r="103" spans="2:84">
      <c r="B103" s="580" t="s">
        <v>803</v>
      </c>
      <c r="C103" s="623">
        <f>Resultado!D32</f>
        <v>2300281.9677699995</v>
      </c>
      <c r="D103" s="536"/>
      <c r="E103" s="536"/>
      <c r="F103" s="536"/>
      <c r="L103" s="560"/>
      <c r="M103" s="543"/>
      <c r="O103" s="9"/>
      <c r="R103" s="380"/>
      <c r="S103" s="380"/>
      <c r="T103" s="380"/>
      <c r="U103" s="380"/>
      <c r="V103" s="380"/>
      <c r="W103" s="380"/>
      <c r="X103" s="380"/>
      <c r="Y103" s="380"/>
      <c r="Z103" s="380"/>
      <c r="AA103" s="380"/>
      <c r="AB103" s="380"/>
      <c r="AC103" s="380"/>
      <c r="AD103" s="380"/>
      <c r="AE103" s="380"/>
      <c r="AF103" s="380"/>
      <c r="AG103" s="380"/>
      <c r="AH103" s="380"/>
      <c r="AI103" s="380"/>
      <c r="AJ103" s="380"/>
      <c r="AK103" s="380"/>
      <c r="AL103" s="380"/>
      <c r="AM103" s="380"/>
      <c r="AN103" s="380"/>
      <c r="AO103" s="380"/>
      <c r="AP103" s="380"/>
      <c r="AQ103" s="380"/>
      <c r="AR103" s="380"/>
      <c r="AS103" s="380"/>
      <c r="AT103" s="380"/>
      <c r="AU103" s="380"/>
      <c r="AV103" s="380"/>
      <c r="AW103" s="380"/>
      <c r="AX103" s="380"/>
      <c r="AY103" s="380"/>
      <c r="AZ103" s="380"/>
      <c r="BA103" s="380"/>
      <c r="BB103" s="380"/>
      <c r="BC103" s="380"/>
      <c r="BD103" s="380"/>
      <c r="BE103" s="380"/>
      <c r="BF103" s="380"/>
      <c r="BG103" s="380"/>
      <c r="BH103" s="380"/>
      <c r="BI103" s="380"/>
      <c r="BJ103" s="380"/>
      <c r="BK103" s="380"/>
      <c r="BL103" s="380"/>
      <c r="BM103" s="380"/>
      <c r="BN103" s="380"/>
      <c r="BO103" s="380"/>
      <c r="BP103" s="380"/>
      <c r="BQ103" s="380"/>
      <c r="BR103" s="380"/>
      <c r="BS103" s="380"/>
      <c r="BT103" s="380"/>
      <c r="BU103" s="380"/>
      <c r="BV103" s="380"/>
      <c r="BW103" s="380"/>
      <c r="BX103" s="380"/>
      <c r="BY103" s="380"/>
      <c r="BZ103" s="380"/>
      <c r="CA103" s="380"/>
      <c r="CB103" s="380"/>
      <c r="CC103" s="380"/>
      <c r="CD103" s="380"/>
      <c r="CE103" s="380"/>
      <c r="CF103" s="380"/>
    </row>
    <row r="104" spans="2:84">
      <c r="B104" s="580" t="s">
        <v>804</v>
      </c>
      <c r="C104" s="623">
        <f>SUM(Resultado!D25:D29)</f>
        <v>0</v>
      </c>
      <c r="D104" s="536"/>
      <c r="E104" s="536"/>
      <c r="F104" s="536"/>
      <c r="H104" s="579"/>
      <c r="I104" s="579"/>
      <c r="L104" s="560"/>
      <c r="M104" s="543"/>
      <c r="O104" s="9"/>
      <c r="R104" s="380"/>
      <c r="S104" s="380"/>
      <c r="T104" s="380"/>
      <c r="U104" s="380"/>
      <c r="V104" s="380"/>
      <c r="W104" s="380"/>
      <c r="X104" s="380"/>
      <c r="Y104" s="380"/>
      <c r="Z104" s="380"/>
      <c r="AA104" s="380"/>
      <c r="AB104" s="380"/>
      <c r="AC104" s="380"/>
      <c r="AD104" s="380"/>
      <c r="AE104" s="380"/>
      <c r="AF104" s="380"/>
      <c r="AG104" s="380"/>
      <c r="AH104" s="380"/>
      <c r="AI104" s="380"/>
      <c r="AJ104" s="380"/>
      <c r="AK104" s="380"/>
      <c r="AL104" s="380"/>
      <c r="AM104" s="380"/>
      <c r="AN104" s="380"/>
      <c r="AO104" s="380"/>
      <c r="AP104" s="380"/>
      <c r="AQ104" s="380"/>
      <c r="AR104" s="380"/>
      <c r="AS104" s="380"/>
      <c r="AT104" s="380"/>
      <c r="AU104" s="380"/>
      <c r="AV104" s="380"/>
      <c r="AW104" s="380"/>
      <c r="AX104" s="380"/>
      <c r="AY104" s="380"/>
      <c r="AZ104" s="380"/>
      <c r="BA104" s="380"/>
      <c r="BB104" s="380"/>
      <c r="BC104" s="380"/>
      <c r="BD104" s="380"/>
      <c r="BE104" s="380"/>
      <c r="BF104" s="380"/>
      <c r="BG104" s="380"/>
      <c r="BH104" s="380"/>
      <c r="BI104" s="380"/>
      <c r="BJ104" s="380"/>
      <c r="BK104" s="380"/>
      <c r="BL104" s="380"/>
      <c r="BM104" s="380"/>
      <c r="BN104" s="380"/>
      <c r="BO104" s="380"/>
      <c r="BP104" s="380"/>
      <c r="BQ104" s="380"/>
      <c r="BR104" s="380"/>
      <c r="BS104" s="380"/>
      <c r="BT104" s="380"/>
      <c r="BU104" s="380"/>
      <c r="BV104" s="380"/>
      <c r="BW104" s="380"/>
      <c r="BX104" s="380"/>
      <c r="BY104" s="380"/>
      <c r="BZ104" s="380"/>
      <c r="CA104" s="380"/>
      <c r="CB104" s="380"/>
      <c r="CC104" s="380"/>
      <c r="CD104" s="380"/>
      <c r="CE104" s="380"/>
      <c r="CF104" s="380"/>
    </row>
    <row r="105" spans="2:84">
      <c r="B105" s="580" t="s">
        <v>805</v>
      </c>
      <c r="C105" s="623">
        <f>Resultado!D31</f>
        <v>0</v>
      </c>
      <c r="D105" s="536"/>
      <c r="E105" s="536"/>
      <c r="F105" s="536"/>
      <c r="L105" s="560"/>
      <c r="M105" s="543"/>
      <c r="O105" s="9"/>
      <c r="R105" s="380"/>
      <c r="S105" s="380"/>
      <c r="T105" s="380"/>
      <c r="U105" s="380"/>
      <c r="V105" s="380"/>
      <c r="W105" s="380"/>
      <c r="X105" s="380"/>
      <c r="Y105" s="380"/>
      <c r="Z105" s="380"/>
      <c r="AA105" s="380"/>
      <c r="AB105" s="380"/>
      <c r="AC105" s="380"/>
      <c r="AD105" s="380"/>
      <c r="AE105" s="380"/>
      <c r="AF105" s="380"/>
      <c r="AG105" s="380"/>
      <c r="AH105" s="380"/>
      <c r="AI105" s="380"/>
      <c r="AJ105" s="380"/>
      <c r="AK105" s="380"/>
      <c r="AL105" s="380"/>
      <c r="AM105" s="380"/>
      <c r="AN105" s="380"/>
      <c r="AO105" s="380"/>
      <c r="AP105" s="380"/>
      <c r="AQ105" s="380"/>
      <c r="AR105" s="380"/>
      <c r="AS105" s="380"/>
      <c r="AT105" s="380"/>
      <c r="AU105" s="380"/>
      <c r="AV105" s="380"/>
      <c r="AW105" s="380"/>
      <c r="AX105" s="380"/>
      <c r="AY105" s="380"/>
      <c r="AZ105" s="380"/>
      <c r="BA105" s="380"/>
      <c r="BB105" s="380"/>
      <c r="BC105" s="380"/>
      <c r="BD105" s="380"/>
      <c r="BE105" s="380"/>
      <c r="BF105" s="380"/>
      <c r="BG105" s="380"/>
      <c r="BH105" s="380"/>
      <c r="BI105" s="380"/>
      <c r="BJ105" s="380"/>
      <c r="BK105" s="380"/>
      <c r="BL105" s="380"/>
      <c r="BM105" s="380"/>
      <c r="BN105" s="380"/>
      <c r="BO105" s="380"/>
      <c r="BP105" s="380"/>
      <c r="BQ105" s="380"/>
      <c r="BR105" s="380"/>
      <c r="BS105" s="380"/>
      <c r="BT105" s="380"/>
      <c r="BU105" s="380"/>
      <c r="BV105" s="380"/>
      <c r="BW105" s="380"/>
      <c r="BX105" s="380"/>
      <c r="BY105" s="380"/>
      <c r="BZ105" s="380"/>
      <c r="CA105" s="380"/>
      <c r="CB105" s="380"/>
      <c r="CC105" s="380"/>
      <c r="CD105" s="380"/>
      <c r="CE105" s="380"/>
      <c r="CF105" s="380"/>
    </row>
    <row r="106" spans="2:84">
      <c r="B106" s="580" t="s">
        <v>806</v>
      </c>
      <c r="C106" s="624">
        <f>ROUND(Calc_Mercado!J18/1000,0)</f>
        <v>6</v>
      </c>
      <c r="D106" s="536"/>
      <c r="E106" s="536"/>
      <c r="F106" s="536"/>
      <c r="L106" s="560"/>
      <c r="M106" s="543"/>
      <c r="O106" s="9"/>
      <c r="R106" s="380"/>
      <c r="S106" s="380"/>
      <c r="T106" s="380"/>
      <c r="U106" s="380"/>
      <c r="V106" s="380"/>
      <c r="W106" s="380"/>
      <c r="X106" s="380"/>
      <c r="Y106" s="380"/>
      <c r="Z106" s="380"/>
      <c r="AA106" s="380"/>
      <c r="AB106" s="380"/>
      <c r="AC106" s="380"/>
      <c r="AD106" s="380"/>
      <c r="AE106" s="380"/>
      <c r="AF106" s="380"/>
      <c r="AG106" s="380"/>
      <c r="AH106" s="380"/>
      <c r="AI106" s="380"/>
      <c r="AJ106" s="380"/>
      <c r="AK106" s="380"/>
      <c r="AL106" s="380"/>
      <c r="AM106" s="380"/>
      <c r="AN106" s="380"/>
      <c r="AO106" s="380"/>
      <c r="AP106" s="380"/>
      <c r="AQ106" s="380"/>
      <c r="AR106" s="380"/>
      <c r="AS106" s="380"/>
      <c r="AT106" s="380"/>
      <c r="AU106" s="380"/>
      <c r="AV106" s="380"/>
      <c r="AW106" s="380"/>
      <c r="AX106" s="380"/>
      <c r="AY106" s="380"/>
      <c r="AZ106" s="380"/>
      <c r="BA106" s="380"/>
      <c r="BB106" s="380"/>
      <c r="BC106" s="380"/>
      <c r="BD106" s="380"/>
      <c r="BE106" s="380"/>
      <c r="BF106" s="380"/>
      <c r="BG106" s="380"/>
      <c r="BH106" s="380"/>
      <c r="BI106" s="380"/>
      <c r="BJ106" s="380"/>
      <c r="BK106" s="380"/>
      <c r="BL106" s="380"/>
      <c r="BM106" s="380"/>
      <c r="BN106" s="380"/>
      <c r="BO106" s="380"/>
      <c r="BP106" s="380"/>
      <c r="BQ106" s="380"/>
      <c r="BR106" s="380"/>
      <c r="BS106" s="380"/>
      <c r="BT106" s="380"/>
      <c r="BU106" s="380"/>
      <c r="BV106" s="380"/>
      <c r="BW106" s="380"/>
      <c r="BX106" s="380"/>
      <c r="BY106" s="380"/>
      <c r="BZ106" s="380"/>
      <c r="CA106" s="380"/>
      <c r="CB106" s="380"/>
      <c r="CC106" s="380"/>
      <c r="CD106" s="380"/>
      <c r="CE106" s="380"/>
      <c r="CF106" s="380"/>
    </row>
    <row r="107" spans="2:84">
      <c r="B107" s="580" t="s">
        <v>807</v>
      </c>
      <c r="C107" s="624">
        <f ca="1">ROUND(Mercado_RA0_Reais/1000000,0)</f>
        <v>13</v>
      </c>
      <c r="D107" s="536"/>
      <c r="E107" s="536"/>
      <c r="F107" s="536"/>
      <c r="L107" s="560"/>
      <c r="M107" s="543"/>
      <c r="O107" s="9"/>
      <c r="R107" s="380"/>
      <c r="S107" s="380"/>
      <c r="T107" s="380"/>
      <c r="U107" s="380"/>
      <c r="V107" s="380"/>
      <c r="W107" s="380"/>
      <c r="X107" s="380"/>
      <c r="Y107" s="380"/>
      <c r="Z107" s="380"/>
      <c r="AA107" s="380"/>
      <c r="AB107" s="380"/>
      <c r="AC107" s="380"/>
      <c r="AD107" s="380"/>
      <c r="AE107" s="380"/>
      <c r="AF107" s="380"/>
      <c r="AG107" s="380"/>
      <c r="AH107" s="380"/>
      <c r="AI107" s="380"/>
      <c r="AJ107" s="380"/>
      <c r="AK107" s="380"/>
      <c r="AL107" s="380"/>
      <c r="AM107" s="380"/>
      <c r="AN107" s="380"/>
      <c r="AO107" s="380"/>
      <c r="AP107" s="380"/>
      <c r="AQ107" s="380"/>
      <c r="AR107" s="380"/>
      <c r="AS107" s="380"/>
      <c r="AT107" s="380"/>
      <c r="AU107" s="380"/>
      <c r="AV107" s="380"/>
      <c r="AW107" s="380"/>
      <c r="AX107" s="380"/>
      <c r="AY107" s="380"/>
      <c r="AZ107" s="380"/>
      <c r="BA107" s="380"/>
      <c r="BB107" s="380"/>
      <c r="BC107" s="380"/>
      <c r="BD107" s="380"/>
      <c r="BE107" s="380"/>
      <c r="BF107" s="380"/>
      <c r="BG107" s="380"/>
      <c r="BH107" s="380"/>
      <c r="BI107" s="380"/>
      <c r="BJ107" s="380"/>
      <c r="BK107" s="380"/>
      <c r="BL107" s="380"/>
      <c r="BM107" s="380"/>
      <c r="BN107" s="380"/>
      <c r="BO107" s="380"/>
      <c r="BP107" s="380"/>
      <c r="BQ107" s="380"/>
      <c r="BR107" s="380"/>
      <c r="BS107" s="380"/>
      <c r="BT107" s="380"/>
      <c r="BU107" s="380"/>
      <c r="BV107" s="380"/>
      <c r="BW107" s="380"/>
      <c r="BX107" s="380"/>
      <c r="BY107" s="380"/>
      <c r="BZ107" s="380"/>
      <c r="CA107" s="380"/>
      <c r="CB107" s="380"/>
      <c r="CC107" s="380"/>
      <c r="CD107" s="380"/>
      <c r="CE107" s="380"/>
      <c r="CF107" s="380"/>
    </row>
    <row r="108" spans="2:84">
      <c r="B108" s="580" t="s">
        <v>287</v>
      </c>
      <c r="C108" s="624" t="str">
        <f>VLOOKUP(LnkTXTSigla,Informacoes[],9,FALSE)</f>
        <v>Eletropaulo</v>
      </c>
      <c r="D108" s="536"/>
      <c r="E108" s="536">
        <f>VLOOKUP(LnkTXTSigla,Informacoes[],11,FALSE)</f>
        <v>0</v>
      </c>
      <c r="F108" s="536"/>
      <c r="L108" s="560"/>
      <c r="M108" s="543"/>
      <c r="O108" s="9"/>
      <c r="R108" s="380"/>
      <c r="S108" s="380"/>
      <c r="T108" s="380"/>
      <c r="U108" s="380"/>
      <c r="V108" s="380"/>
      <c r="W108" s="380"/>
      <c r="X108" s="380"/>
      <c r="Y108" s="380"/>
      <c r="Z108" s="380"/>
      <c r="AA108" s="380"/>
      <c r="AB108" s="380"/>
      <c r="AC108" s="380"/>
      <c r="AD108" s="380"/>
      <c r="AE108" s="380"/>
      <c r="AF108" s="380"/>
      <c r="AG108" s="380"/>
      <c r="AH108" s="380"/>
      <c r="AI108" s="380"/>
      <c r="AJ108" s="380"/>
      <c r="AK108" s="380"/>
      <c r="AL108" s="380"/>
      <c r="AM108" s="380"/>
      <c r="AN108" s="380"/>
      <c r="AO108" s="380"/>
      <c r="AP108" s="380"/>
      <c r="AQ108" s="380"/>
      <c r="AR108" s="380"/>
      <c r="AS108" s="380"/>
      <c r="AT108" s="380"/>
      <c r="AU108" s="380"/>
      <c r="AV108" s="380"/>
      <c r="AW108" s="380"/>
      <c r="AX108" s="380"/>
      <c r="AY108" s="380"/>
      <c r="AZ108" s="380"/>
      <c r="BA108" s="380"/>
      <c r="BB108" s="380"/>
      <c r="BC108" s="380"/>
      <c r="BD108" s="380"/>
      <c r="BE108" s="380"/>
      <c r="BF108" s="380"/>
      <c r="BG108" s="380"/>
      <c r="BH108" s="380"/>
      <c r="BI108" s="380"/>
      <c r="BJ108" s="380"/>
      <c r="BK108" s="380"/>
      <c r="BL108" s="380"/>
      <c r="BM108" s="380"/>
      <c r="BN108" s="380"/>
      <c r="BO108" s="380"/>
      <c r="BP108" s="380"/>
      <c r="BQ108" s="380"/>
      <c r="BR108" s="380"/>
      <c r="BS108" s="380"/>
      <c r="BT108" s="380"/>
      <c r="BU108" s="380"/>
      <c r="BV108" s="380"/>
      <c r="BW108" s="380"/>
      <c r="BX108" s="380"/>
      <c r="BY108" s="380"/>
      <c r="BZ108" s="380"/>
      <c r="CA108" s="380"/>
      <c r="CB108" s="380"/>
      <c r="CC108" s="380"/>
      <c r="CD108" s="380"/>
      <c r="CE108" s="380"/>
      <c r="CF108" s="380"/>
    </row>
    <row r="109" spans="2:84" ht="16.5" customHeight="1">
      <c r="B109" s="764" t="s">
        <v>289</v>
      </c>
      <c r="C109" s="1109" t="str">
        <f>IF(E109=0,"!vazio!"," e "&amp;E109)</f>
        <v>!vazio!</v>
      </c>
      <c r="D109" s="1110">
        <f>IF(Energia!B29=Energia!B28,IF(Energia!B30=Energia!B28,Energia!B31,Energia!B29),Energia!B29)</f>
        <v>0</v>
      </c>
      <c r="E109" s="1110">
        <f>VLOOKUP(LnkTXTSigla,Informacoes[],11,FALSE)</f>
        <v>0</v>
      </c>
      <c r="F109" s="1110"/>
      <c r="L109" s="560"/>
      <c r="M109" s="543"/>
      <c r="O109" s="9"/>
      <c r="R109" s="380"/>
      <c r="S109" s="380"/>
      <c r="T109" s="380"/>
      <c r="U109" s="380"/>
      <c r="V109" s="380"/>
      <c r="W109" s="380"/>
      <c r="X109" s="380"/>
      <c r="Y109" s="380"/>
      <c r="Z109" s="380"/>
      <c r="AA109" s="380"/>
      <c r="AB109" s="380"/>
      <c r="AC109" s="380"/>
      <c r="AD109" s="380"/>
      <c r="AE109" s="380"/>
      <c r="AF109" s="380"/>
      <c r="AG109" s="380"/>
      <c r="AH109" s="380"/>
      <c r="AI109" s="380"/>
      <c r="AJ109" s="380"/>
      <c r="AK109" s="380"/>
      <c r="AL109" s="380"/>
      <c r="AM109" s="380"/>
      <c r="AN109" s="380"/>
      <c r="AO109" s="380"/>
      <c r="AP109" s="380"/>
      <c r="AQ109" s="380"/>
      <c r="AR109" s="380"/>
      <c r="AS109" s="380"/>
      <c r="AT109" s="380"/>
      <c r="AU109" s="380"/>
      <c r="AV109" s="380"/>
      <c r="AW109" s="380"/>
      <c r="AX109" s="380"/>
      <c r="AY109" s="380"/>
      <c r="AZ109" s="380"/>
      <c r="BA109" s="380"/>
      <c r="BB109" s="380"/>
      <c r="BC109" s="380"/>
      <c r="BD109" s="380"/>
      <c r="BE109" s="380"/>
      <c r="BF109" s="380"/>
      <c r="BG109" s="380"/>
      <c r="BH109" s="380"/>
      <c r="BI109" s="380"/>
      <c r="BJ109" s="380"/>
      <c r="BK109" s="380"/>
      <c r="BL109" s="380"/>
      <c r="BM109" s="380"/>
      <c r="BN109" s="380"/>
      <c r="BO109" s="380"/>
      <c r="BP109" s="380"/>
      <c r="BQ109" s="380"/>
      <c r="BR109" s="380"/>
      <c r="BS109" s="380"/>
      <c r="BT109" s="380"/>
      <c r="BU109" s="380"/>
      <c r="BV109" s="380"/>
      <c r="BW109" s="380"/>
      <c r="BX109" s="380"/>
      <c r="BY109" s="380"/>
      <c r="BZ109" s="380"/>
      <c r="CA109" s="380"/>
      <c r="CB109" s="380"/>
      <c r="CC109" s="380"/>
      <c r="CD109" s="380"/>
      <c r="CE109" s="380"/>
      <c r="CF109" s="380"/>
    </row>
    <row r="110" spans="2:84">
      <c r="B110" s="764" t="s">
        <v>808</v>
      </c>
      <c r="C110" s="1109" t="str">
        <f ca="1">IF(AnoRevRea=VLOOKUP(LnkTXTSigla,Informacoes[],22,FALSE),"REVISÃO","REAJUSTE")</f>
        <v>REAJUSTE</v>
      </c>
      <c r="D110" s="1110"/>
      <c r="E110" s="1110"/>
      <c r="F110" s="1110"/>
      <c r="L110" s="560"/>
      <c r="M110" s="543"/>
      <c r="O110" s="9"/>
      <c r="R110" s="380"/>
      <c r="S110" s="380"/>
      <c r="T110" s="380"/>
      <c r="U110" s="380"/>
      <c r="V110" s="380"/>
      <c r="W110" s="380"/>
      <c r="X110" s="380"/>
      <c r="Y110" s="380"/>
      <c r="Z110" s="380"/>
      <c r="AA110" s="380"/>
      <c r="AB110" s="380"/>
      <c r="AC110" s="380"/>
      <c r="AD110" s="380"/>
      <c r="AE110" s="380"/>
      <c r="AF110" s="380"/>
      <c r="AG110" s="380"/>
      <c r="AH110" s="380"/>
      <c r="AI110" s="380"/>
      <c r="AJ110" s="380"/>
      <c r="AK110" s="380"/>
      <c r="AL110" s="380"/>
      <c r="AM110" s="380"/>
      <c r="AN110" s="380"/>
      <c r="AO110" s="380"/>
      <c r="AP110" s="380"/>
      <c r="AQ110" s="380"/>
      <c r="AR110" s="380"/>
      <c r="AS110" s="380"/>
      <c r="AT110" s="380"/>
      <c r="AU110" s="380"/>
      <c r="AV110" s="380"/>
      <c r="AW110" s="380"/>
      <c r="AX110" s="380"/>
      <c r="AY110" s="380"/>
      <c r="AZ110" s="380"/>
      <c r="BA110" s="380"/>
      <c r="BB110" s="380"/>
      <c r="BC110" s="380"/>
      <c r="BD110" s="380"/>
      <c r="BE110" s="380"/>
      <c r="BF110" s="380"/>
      <c r="BG110" s="380"/>
      <c r="BH110" s="380"/>
      <c r="BI110" s="380"/>
      <c r="BJ110" s="380"/>
      <c r="BK110" s="380"/>
      <c r="BL110" s="380"/>
      <c r="BM110" s="380"/>
      <c r="BN110" s="380"/>
      <c r="BO110" s="380"/>
      <c r="BP110" s="380"/>
      <c r="BQ110" s="380"/>
      <c r="BR110" s="380"/>
      <c r="BS110" s="380"/>
      <c r="BT110" s="380"/>
      <c r="BU110" s="380"/>
      <c r="BV110" s="380"/>
      <c r="BW110" s="380"/>
      <c r="BX110" s="380"/>
      <c r="BY110" s="380"/>
      <c r="BZ110" s="380"/>
      <c r="CA110" s="380"/>
      <c r="CB110" s="380"/>
      <c r="CC110" s="380"/>
      <c r="CD110" s="380"/>
      <c r="CE110" s="380"/>
      <c r="CF110" s="380"/>
    </row>
    <row r="111" spans="2:84" ht="31.5" customHeight="1">
      <c r="B111" s="764" t="s">
        <v>809</v>
      </c>
      <c r="C111" s="1109" t="str">
        <f ca="1">IF(C110="Reajuste", "Reajuste Tarifário Anual - RTA", "Revisão Tarifária Periódica - RTP")</f>
        <v>Reajuste Tarifário Anual - RTA</v>
      </c>
      <c r="D111" s="1109"/>
      <c r="E111" s="1109"/>
      <c r="F111" s="1109"/>
      <c r="L111" s="560"/>
      <c r="M111" s="543"/>
      <c r="O111" s="9"/>
      <c r="R111" s="380"/>
      <c r="S111" s="380"/>
      <c r="T111" s="380"/>
      <c r="U111" s="380"/>
      <c r="V111" s="380"/>
      <c r="W111" s="380"/>
      <c r="X111" s="380"/>
      <c r="Y111" s="380"/>
      <c r="Z111" s="380"/>
      <c r="AA111" s="380"/>
      <c r="AB111" s="380"/>
      <c r="AC111" s="380"/>
      <c r="AD111" s="380"/>
      <c r="AE111" s="380"/>
      <c r="AF111" s="380"/>
      <c r="AG111" s="380"/>
      <c r="AH111" s="380"/>
      <c r="AI111" s="380"/>
      <c r="AJ111" s="380"/>
      <c r="AK111" s="380"/>
      <c r="AL111" s="380"/>
      <c r="AM111" s="380"/>
      <c r="AN111" s="380"/>
      <c r="AO111" s="380"/>
      <c r="AP111" s="380"/>
      <c r="AQ111" s="380"/>
      <c r="AR111" s="380"/>
      <c r="AS111" s="380"/>
      <c r="AT111" s="380"/>
      <c r="AU111" s="380"/>
      <c r="AV111" s="380"/>
      <c r="AW111" s="380"/>
      <c r="AX111" s="380"/>
      <c r="AY111" s="380"/>
      <c r="AZ111" s="380"/>
      <c r="BA111" s="380"/>
      <c r="BB111" s="380"/>
      <c r="BC111" s="380"/>
      <c r="BD111" s="380"/>
      <c r="BE111" s="380"/>
      <c r="BF111" s="380"/>
      <c r="BG111" s="380"/>
      <c r="BH111" s="380"/>
      <c r="BI111" s="380"/>
      <c r="BJ111" s="380"/>
      <c r="BK111" s="380"/>
      <c r="BL111" s="380"/>
      <c r="BM111" s="380"/>
      <c r="BN111" s="380"/>
      <c r="BO111" s="380"/>
      <c r="BP111" s="380"/>
      <c r="BQ111" s="380"/>
      <c r="BR111" s="380"/>
      <c r="BS111" s="380"/>
      <c r="BT111" s="380"/>
      <c r="BU111" s="380"/>
      <c r="BV111" s="380"/>
      <c r="BW111" s="380"/>
      <c r="BX111" s="380"/>
      <c r="BY111" s="380"/>
      <c r="BZ111" s="380"/>
      <c r="CA111" s="380"/>
      <c r="CB111" s="380"/>
      <c r="CC111" s="380"/>
      <c r="CD111" s="380"/>
      <c r="CE111" s="380"/>
      <c r="CF111" s="380"/>
    </row>
    <row r="112" spans="2:84" ht="110.25">
      <c r="B112" s="764" t="s">
        <v>810</v>
      </c>
      <c r="C112" s="768" t="str">
        <f>IF(P1="VERDADEIRO","Por ter sido regularizada em 2018, a definição da parcela B segue a regra descrita no submódulo 8.4 do PRORET, aprovado pela REN 704/2016 ","A permissionária optou por não assinar o termo adtivo proposto pela REN 704/2016, assim a definição da parcela B segue o que está definido nos submódulos 8.1 e 8.2 do  PRORET.")</f>
        <v xml:space="preserve">Por ter sido regularizada em 2018, a definição da parcela B segue a regra descrita no submódulo 8.4 do PRORET, aprovado pela REN 704/2016 </v>
      </c>
      <c r="D112" s="768"/>
      <c r="E112" s="768"/>
      <c r="F112" s="768"/>
      <c r="L112" s="560"/>
      <c r="M112" s="543"/>
      <c r="O112" s="9"/>
      <c r="R112" s="380"/>
      <c r="S112" s="380"/>
      <c r="T112" s="380"/>
      <c r="U112" s="380"/>
      <c r="V112" s="380"/>
      <c r="W112" s="380"/>
      <c r="X112" s="380"/>
      <c r="Y112" s="380"/>
      <c r="Z112" s="380"/>
      <c r="AA112" s="380"/>
      <c r="AB112" s="380"/>
      <c r="AC112" s="380"/>
      <c r="AD112" s="380"/>
      <c r="AE112" s="380"/>
      <c r="AF112" s="380"/>
      <c r="AG112" s="380"/>
      <c r="AH112" s="380"/>
      <c r="AI112" s="380"/>
      <c r="AJ112" s="380"/>
      <c r="AK112" s="380"/>
      <c r="AL112" s="380"/>
      <c r="AM112" s="380"/>
      <c r="AN112" s="380"/>
      <c r="AO112" s="380"/>
      <c r="AP112" s="380"/>
      <c r="AQ112" s="380"/>
      <c r="AR112" s="380"/>
      <c r="AS112" s="380"/>
      <c r="AT112" s="380"/>
      <c r="AU112" s="380"/>
      <c r="AV112" s="380"/>
      <c r="AW112" s="380"/>
      <c r="AX112" s="380"/>
      <c r="AY112" s="380"/>
      <c r="AZ112" s="380"/>
      <c r="BA112" s="380"/>
      <c r="BB112" s="380"/>
      <c r="BC112" s="380"/>
      <c r="BD112" s="380"/>
      <c r="BE112" s="380"/>
      <c r="BF112" s="380"/>
      <c r="BG112" s="380"/>
      <c r="BH112" s="380"/>
      <c r="BI112" s="380"/>
      <c r="BJ112" s="380"/>
      <c r="BK112" s="380"/>
      <c r="BL112" s="380"/>
      <c r="BM112" s="380"/>
      <c r="BN112" s="380"/>
      <c r="BO112" s="380"/>
      <c r="BP112" s="380"/>
      <c r="BQ112" s="380"/>
      <c r="BR112" s="380"/>
      <c r="BS112" s="380"/>
      <c r="BT112" s="380"/>
      <c r="BU112" s="380"/>
      <c r="BV112" s="380"/>
      <c r="BW112" s="380"/>
      <c r="BX112" s="380"/>
      <c r="BY112" s="380"/>
      <c r="BZ112" s="380"/>
      <c r="CA112" s="380"/>
      <c r="CB112" s="380"/>
      <c r="CC112" s="380"/>
      <c r="CD112" s="380"/>
      <c r="CE112" s="380"/>
      <c r="CF112" s="380"/>
    </row>
    <row r="113" spans="2:84">
      <c r="B113" s="763" t="s">
        <v>811</v>
      </c>
      <c r="C113" s="766" t="str">
        <f>VLOOKUP(C9,Informacoes[],37,FALSE)</f>
        <v>Não</v>
      </c>
      <c r="D113" s="766"/>
      <c r="E113" s="766"/>
      <c r="F113" s="766"/>
      <c r="L113" s="560"/>
      <c r="M113" s="543"/>
      <c r="O113" s="9"/>
      <c r="R113" s="380"/>
      <c r="S113" s="380"/>
      <c r="T113" s="380"/>
      <c r="U113" s="380"/>
      <c r="V113" s="380"/>
      <c r="W113" s="380"/>
      <c r="X113" s="380"/>
      <c r="Y113" s="380"/>
      <c r="Z113" s="380"/>
      <c r="AA113" s="380"/>
      <c r="AB113" s="380"/>
      <c r="AC113" s="380"/>
      <c r="AD113" s="380"/>
      <c r="AE113" s="380"/>
      <c r="AF113" s="380"/>
      <c r="AG113" s="380"/>
      <c r="AH113" s="380"/>
      <c r="AI113" s="380"/>
      <c r="AJ113" s="380"/>
      <c r="AK113" s="380"/>
      <c r="AL113" s="380"/>
      <c r="AM113" s="380"/>
      <c r="AN113" s="380"/>
      <c r="AO113" s="380"/>
      <c r="AP113" s="380"/>
      <c r="AQ113" s="380"/>
      <c r="AR113" s="380"/>
      <c r="AS113" s="380"/>
      <c r="AT113" s="380"/>
      <c r="AU113" s="380"/>
      <c r="AV113" s="380"/>
      <c r="AW113" s="380"/>
      <c r="AX113" s="380"/>
      <c r="AY113" s="380"/>
      <c r="AZ113" s="380"/>
      <c r="BA113" s="380"/>
      <c r="BB113" s="380"/>
      <c r="BC113" s="380"/>
      <c r="BD113" s="380"/>
      <c r="BE113" s="380"/>
      <c r="BF113" s="380"/>
      <c r="BG113" s="380"/>
      <c r="BH113" s="380"/>
      <c r="BI113" s="380"/>
      <c r="BJ113" s="380"/>
      <c r="BK113" s="380"/>
      <c r="BL113" s="380"/>
      <c r="BM113" s="380"/>
      <c r="BN113" s="380"/>
      <c r="BO113" s="380"/>
      <c r="BP113" s="380"/>
      <c r="BQ113" s="380"/>
      <c r="BR113" s="380"/>
      <c r="BS113" s="380"/>
      <c r="BT113" s="380"/>
      <c r="BU113" s="380"/>
      <c r="BV113" s="380"/>
      <c r="BW113" s="380"/>
      <c r="BX113" s="380"/>
      <c r="BY113" s="380"/>
      <c r="BZ113" s="380"/>
      <c r="CA113" s="380"/>
      <c r="CB113" s="380"/>
      <c r="CC113" s="380"/>
      <c r="CD113" s="380"/>
      <c r="CE113" s="380"/>
      <c r="CF113" s="380"/>
    </row>
    <row r="114" spans="2:84">
      <c r="B114" s="764" t="s">
        <v>812</v>
      </c>
      <c r="C114" s="767">
        <f>VLOOKUP(C9,Informacoes[],38,FALSE)</f>
        <v>0</v>
      </c>
      <c r="D114" s="767"/>
      <c r="E114" s="767"/>
      <c r="F114" s="767"/>
      <c r="L114" s="560"/>
      <c r="M114" s="543"/>
      <c r="O114" s="9"/>
      <c r="R114" s="380"/>
      <c r="S114" s="380"/>
      <c r="T114" s="380"/>
      <c r="U114" s="380"/>
      <c r="V114" s="380"/>
      <c r="W114" s="380"/>
      <c r="X114" s="380"/>
      <c r="Y114" s="380"/>
      <c r="Z114" s="380"/>
      <c r="AA114" s="380"/>
      <c r="AB114" s="380"/>
      <c r="AC114" s="380"/>
      <c r="AD114" s="380"/>
      <c r="AE114" s="380"/>
      <c r="AF114" s="380"/>
      <c r="AG114" s="380"/>
      <c r="AH114" s="380"/>
      <c r="AI114" s="380"/>
      <c r="AJ114" s="380"/>
      <c r="AK114" s="380"/>
      <c r="AL114" s="380"/>
      <c r="AM114" s="380"/>
      <c r="AN114" s="380"/>
      <c r="AO114" s="380"/>
      <c r="AP114" s="380"/>
      <c r="AQ114" s="380"/>
      <c r="AR114" s="380"/>
      <c r="AS114" s="380"/>
      <c r="AT114" s="380"/>
      <c r="AU114" s="380"/>
      <c r="AV114" s="380"/>
      <c r="AW114" s="380"/>
      <c r="AX114" s="380"/>
      <c r="AY114" s="380"/>
      <c r="AZ114" s="380"/>
      <c r="BA114" s="380"/>
      <c r="BB114" s="380"/>
      <c r="BC114" s="380"/>
      <c r="BD114" s="380"/>
      <c r="BE114" s="380"/>
      <c r="BF114" s="380"/>
      <c r="BG114" s="380"/>
      <c r="BH114" s="380"/>
      <c r="BI114" s="380"/>
      <c r="BJ114" s="380"/>
      <c r="BK114" s="380"/>
      <c r="BL114" s="380"/>
      <c r="BM114" s="380"/>
      <c r="BN114" s="380"/>
      <c r="BO114" s="380"/>
      <c r="BP114" s="380"/>
      <c r="BQ114" s="380"/>
      <c r="BR114" s="380"/>
      <c r="BS114" s="380"/>
      <c r="BT114" s="380"/>
      <c r="BU114" s="380"/>
      <c r="BV114" s="380"/>
      <c r="BW114" s="380"/>
      <c r="BX114" s="380"/>
      <c r="BY114" s="380"/>
      <c r="BZ114" s="380"/>
      <c r="CA114" s="380"/>
      <c r="CB114" s="380"/>
      <c r="CC114" s="380"/>
      <c r="CD114" s="380"/>
      <c r="CE114" s="380"/>
      <c r="CF114" s="380"/>
    </row>
    <row r="115" spans="2:84">
      <c r="L115" s="560"/>
      <c r="M115" s="543"/>
      <c r="O115" s="9"/>
      <c r="R115" s="380"/>
      <c r="S115" s="380"/>
      <c r="T115" s="380"/>
      <c r="U115" s="380"/>
      <c r="V115" s="380"/>
      <c r="W115" s="380"/>
      <c r="X115" s="380"/>
      <c r="Y115" s="380"/>
      <c r="Z115" s="380"/>
      <c r="AA115" s="380"/>
      <c r="AB115" s="380"/>
      <c r="AC115" s="380"/>
      <c r="AD115" s="380"/>
      <c r="AE115" s="380"/>
      <c r="AF115" s="380"/>
      <c r="AG115" s="380"/>
      <c r="AH115" s="380"/>
      <c r="AI115" s="380"/>
      <c r="AJ115" s="380"/>
      <c r="AK115" s="380"/>
      <c r="AL115" s="380"/>
      <c r="AM115" s="380"/>
      <c r="AN115" s="380"/>
      <c r="AO115" s="380"/>
      <c r="AP115" s="380"/>
      <c r="AQ115" s="380"/>
      <c r="AR115" s="380"/>
      <c r="AS115" s="380"/>
      <c r="AT115" s="380"/>
      <c r="AU115" s="380"/>
      <c r="AV115" s="380"/>
      <c r="AW115" s="380"/>
      <c r="AX115" s="380"/>
      <c r="AY115" s="380"/>
      <c r="AZ115" s="380"/>
      <c r="BA115" s="380"/>
      <c r="BB115" s="380"/>
      <c r="BC115" s="380"/>
      <c r="BD115" s="380"/>
      <c r="BE115" s="380"/>
      <c r="BF115" s="380"/>
      <c r="BG115" s="380"/>
      <c r="BH115" s="380"/>
      <c r="BI115" s="380"/>
      <c r="BJ115" s="380"/>
      <c r="BK115" s="380"/>
      <c r="BL115" s="380"/>
      <c r="BM115" s="380"/>
      <c r="BN115" s="380"/>
      <c r="BO115" s="380"/>
      <c r="BP115" s="380"/>
      <c r="BQ115" s="380"/>
      <c r="BR115" s="380"/>
      <c r="BS115" s="380"/>
      <c r="BT115" s="380"/>
      <c r="BU115" s="380"/>
      <c r="BV115" s="380"/>
      <c r="BW115" s="380"/>
      <c r="BX115" s="380"/>
      <c r="BY115" s="380"/>
      <c r="BZ115" s="380"/>
      <c r="CA115" s="380"/>
      <c r="CB115" s="380"/>
      <c r="CC115" s="380"/>
      <c r="CD115" s="380"/>
      <c r="CE115" s="380"/>
      <c r="CF115" s="380"/>
    </row>
    <row r="116" spans="2:84">
      <c r="L116" s="560"/>
      <c r="M116" s="543"/>
      <c r="O116" s="9"/>
      <c r="R116" s="380"/>
      <c r="S116" s="380"/>
      <c r="T116" s="380"/>
      <c r="U116" s="380"/>
      <c r="V116" s="380"/>
      <c r="W116" s="380"/>
      <c r="X116" s="380"/>
      <c r="Y116" s="380"/>
      <c r="Z116" s="380"/>
      <c r="AA116" s="380"/>
      <c r="AB116" s="380"/>
      <c r="AC116" s="380"/>
      <c r="AD116" s="380"/>
      <c r="AE116" s="380"/>
      <c r="AF116" s="380"/>
      <c r="AG116" s="380"/>
      <c r="AH116" s="380"/>
      <c r="AI116" s="380"/>
      <c r="AJ116" s="380"/>
      <c r="AK116" s="380"/>
      <c r="AL116" s="380"/>
      <c r="AM116" s="380"/>
      <c r="AN116" s="380"/>
      <c r="AO116" s="380"/>
      <c r="AP116" s="380"/>
      <c r="AQ116" s="380"/>
      <c r="AR116" s="380"/>
      <c r="AS116" s="380"/>
      <c r="AT116" s="380"/>
      <c r="AU116" s="380"/>
      <c r="AV116" s="380"/>
      <c r="AW116" s="380"/>
      <c r="AX116" s="380"/>
      <c r="AY116" s="380"/>
      <c r="AZ116" s="380"/>
      <c r="BA116" s="380"/>
      <c r="BB116" s="380"/>
      <c r="BC116" s="380"/>
      <c r="BD116" s="380"/>
      <c r="BE116" s="380"/>
      <c r="BF116" s="380"/>
      <c r="BG116" s="380"/>
      <c r="BH116" s="380"/>
      <c r="BI116" s="380"/>
      <c r="BJ116" s="380"/>
      <c r="BK116" s="380"/>
      <c r="BL116" s="380"/>
      <c r="BM116" s="380"/>
      <c r="BN116" s="380"/>
      <c r="BO116" s="380"/>
      <c r="BP116" s="380"/>
      <c r="BQ116" s="380"/>
      <c r="BR116" s="380"/>
      <c r="BS116" s="380"/>
      <c r="BT116" s="380"/>
      <c r="BU116" s="380"/>
      <c r="BV116" s="380"/>
      <c r="BW116" s="380"/>
      <c r="BX116" s="380"/>
      <c r="BY116" s="380"/>
      <c r="BZ116" s="380"/>
      <c r="CA116" s="380"/>
      <c r="CB116" s="380"/>
      <c r="CC116" s="380"/>
      <c r="CD116" s="380"/>
      <c r="CE116" s="380"/>
      <c r="CF116" s="380"/>
    </row>
    <row r="117" spans="2:84">
      <c r="L117" s="560"/>
      <c r="M117" s="543"/>
      <c r="O117" s="9"/>
      <c r="R117" s="380"/>
      <c r="S117" s="380"/>
      <c r="T117" s="380"/>
      <c r="U117" s="380"/>
      <c r="V117" s="380"/>
      <c r="W117" s="380"/>
      <c r="X117" s="380"/>
      <c r="Y117" s="380"/>
      <c r="Z117" s="380"/>
      <c r="AA117" s="380"/>
      <c r="AB117" s="380"/>
      <c r="AC117" s="380"/>
      <c r="AD117" s="380"/>
      <c r="AE117" s="380"/>
      <c r="AF117" s="380"/>
      <c r="AG117" s="380"/>
      <c r="AH117" s="380"/>
      <c r="AI117" s="380"/>
      <c r="AJ117" s="380"/>
      <c r="AK117" s="380"/>
      <c r="AL117" s="380"/>
      <c r="AM117" s="380"/>
      <c r="AN117" s="380"/>
      <c r="AO117" s="380"/>
      <c r="AP117" s="380"/>
      <c r="AQ117" s="380"/>
      <c r="AR117" s="380"/>
      <c r="AS117" s="380"/>
      <c r="AT117" s="380"/>
      <c r="AU117" s="380"/>
      <c r="AV117" s="380"/>
      <c r="AW117" s="380"/>
      <c r="AX117" s="380"/>
      <c r="AY117" s="380"/>
      <c r="AZ117" s="380"/>
      <c r="BA117" s="380"/>
      <c r="BB117" s="380"/>
      <c r="BC117" s="380"/>
      <c r="BD117" s="380"/>
      <c r="BE117" s="380"/>
      <c r="BF117" s="380"/>
      <c r="BG117" s="380"/>
      <c r="BH117" s="380"/>
      <c r="BI117" s="380"/>
      <c r="BJ117" s="380"/>
      <c r="BK117" s="380"/>
      <c r="BL117" s="380"/>
      <c r="BM117" s="380"/>
      <c r="BN117" s="380"/>
      <c r="BO117" s="380"/>
      <c r="BP117" s="380"/>
      <c r="BQ117" s="380"/>
      <c r="BR117" s="380"/>
      <c r="BS117" s="380"/>
      <c r="BT117" s="380"/>
      <c r="BU117" s="380"/>
      <c r="BV117" s="380"/>
      <c r="BW117" s="380"/>
      <c r="BX117" s="380"/>
      <c r="BY117" s="380"/>
      <c r="BZ117" s="380"/>
      <c r="CA117" s="380"/>
      <c r="CB117" s="380"/>
      <c r="CC117" s="380"/>
      <c r="CD117" s="380"/>
      <c r="CE117" s="380"/>
      <c r="CF117" s="380"/>
    </row>
    <row r="118" spans="2:84" ht="16.5" customHeight="1">
      <c r="B118" s="230" t="s">
        <v>813</v>
      </c>
      <c r="C118" s="230"/>
      <c r="L118" s="560"/>
      <c r="M118" s="543"/>
      <c r="O118" s="9"/>
      <c r="R118" s="380"/>
      <c r="S118" s="380"/>
      <c r="T118" s="380"/>
      <c r="U118" s="380"/>
      <c r="V118" s="380"/>
      <c r="W118" s="380"/>
      <c r="X118" s="380"/>
      <c r="Y118" s="380"/>
      <c r="Z118" s="380"/>
      <c r="AA118" s="380"/>
      <c r="AB118" s="380"/>
      <c r="AC118" s="380"/>
      <c r="AD118" s="380"/>
      <c r="AE118" s="380"/>
      <c r="AF118" s="380"/>
      <c r="AG118" s="380"/>
      <c r="AH118" s="380"/>
      <c r="AI118" s="380"/>
      <c r="AJ118" s="380"/>
      <c r="AK118" s="380"/>
      <c r="AL118" s="380"/>
      <c r="AM118" s="380"/>
      <c r="AN118" s="380"/>
      <c r="AO118" s="380"/>
      <c r="AP118" s="380"/>
      <c r="AQ118" s="380"/>
      <c r="AR118" s="380"/>
      <c r="AS118" s="380"/>
      <c r="AT118" s="380"/>
      <c r="AU118" s="380"/>
      <c r="AV118" s="380"/>
      <c r="AW118" s="380"/>
      <c r="AX118" s="380"/>
      <c r="AY118" s="380"/>
      <c r="AZ118" s="380"/>
      <c r="BA118" s="380"/>
      <c r="BB118" s="380"/>
      <c r="BC118" s="380"/>
      <c r="BD118" s="380"/>
      <c r="BE118" s="380"/>
      <c r="BF118" s="380"/>
      <c r="BG118" s="380"/>
      <c r="BH118" s="380"/>
      <c r="BI118" s="380"/>
      <c r="BJ118" s="380"/>
      <c r="BK118" s="380"/>
      <c r="BL118" s="380"/>
      <c r="BM118" s="380"/>
      <c r="BN118" s="380"/>
      <c r="BO118" s="380"/>
      <c r="BP118" s="380"/>
      <c r="BQ118" s="380"/>
      <c r="BR118" s="380"/>
      <c r="BS118" s="380"/>
      <c r="BT118" s="380"/>
      <c r="BU118" s="380"/>
      <c r="BV118" s="380"/>
      <c r="BW118" s="380"/>
      <c r="BX118" s="380"/>
      <c r="BY118" s="380"/>
      <c r="BZ118" s="380"/>
      <c r="CA118" s="380"/>
      <c r="CB118" s="380"/>
      <c r="CC118" s="380"/>
      <c r="CD118" s="380"/>
      <c r="CE118" s="380"/>
      <c r="CF118" s="380"/>
    </row>
    <row r="119" spans="2:84">
      <c r="B119" s="1111" t="s">
        <v>279</v>
      </c>
      <c r="C119" s="1111" t="s">
        <v>279</v>
      </c>
      <c r="L119" s="560"/>
      <c r="M119" s="543"/>
      <c r="O119" s="9"/>
      <c r="R119" s="380"/>
      <c r="S119" s="380"/>
      <c r="T119" s="380"/>
      <c r="U119" s="380"/>
      <c r="V119" s="380"/>
      <c r="W119" s="380"/>
      <c r="X119" s="380"/>
      <c r="Y119" s="380"/>
      <c r="Z119" s="380"/>
      <c r="AA119" s="380"/>
      <c r="AB119" s="380"/>
      <c r="AC119" s="380"/>
      <c r="AD119" s="380"/>
      <c r="AE119" s="380"/>
      <c r="AF119" s="380"/>
      <c r="AG119" s="380"/>
      <c r="AH119" s="380"/>
      <c r="AI119" s="380"/>
      <c r="AJ119" s="380"/>
      <c r="AK119" s="380"/>
      <c r="AL119" s="380"/>
      <c r="AM119" s="380"/>
      <c r="AN119" s="380"/>
      <c r="AO119" s="380"/>
      <c r="AP119" s="380"/>
      <c r="AQ119" s="380"/>
      <c r="AR119" s="380"/>
      <c r="AS119" s="380"/>
      <c r="AT119" s="380"/>
      <c r="AU119" s="380"/>
      <c r="AV119" s="380"/>
      <c r="AW119" s="380"/>
      <c r="AX119" s="380"/>
      <c r="AY119" s="380"/>
      <c r="AZ119" s="380"/>
      <c r="BA119" s="380"/>
      <c r="BB119" s="380"/>
      <c r="BC119" s="380"/>
      <c r="BD119" s="380"/>
      <c r="BE119" s="380"/>
      <c r="BF119" s="380"/>
      <c r="BG119" s="380"/>
      <c r="BH119" s="380"/>
      <c r="BI119" s="380"/>
      <c r="BJ119" s="380"/>
      <c r="BK119" s="380"/>
      <c r="BL119" s="380"/>
      <c r="BM119" s="380"/>
      <c r="BN119" s="380"/>
      <c r="BO119" s="380"/>
      <c r="BP119" s="380"/>
      <c r="BQ119" s="380"/>
      <c r="BR119" s="380"/>
      <c r="BS119" s="380"/>
      <c r="BT119" s="380"/>
      <c r="BU119" s="380"/>
      <c r="BV119" s="380"/>
      <c r="BW119" s="380"/>
      <c r="BX119" s="380"/>
      <c r="BY119" s="380"/>
      <c r="BZ119" s="380"/>
      <c r="CA119" s="380"/>
      <c r="CB119" s="380"/>
      <c r="CC119" s="380"/>
      <c r="CD119" s="380"/>
      <c r="CE119" s="380"/>
      <c r="CF119" s="380"/>
    </row>
    <row r="120" spans="2:84">
      <c r="B120" s="1112" t="str">
        <f>LnkTXTSigla</f>
        <v>Ceris</v>
      </c>
      <c r="C120" s="1113" t="str">
        <f>LnkTXTSuprid1</f>
        <v>Eletropaulo</v>
      </c>
      <c r="L120" s="560"/>
      <c r="M120" s="543"/>
      <c r="O120" s="9"/>
      <c r="R120" s="380"/>
      <c r="S120" s="380"/>
      <c r="T120" s="380"/>
      <c r="U120" s="380"/>
      <c r="V120" s="380"/>
      <c r="W120" s="380"/>
      <c r="X120" s="380"/>
      <c r="Y120" s="380"/>
      <c r="Z120" s="380"/>
      <c r="AA120" s="380"/>
      <c r="AB120" s="380"/>
      <c r="AC120" s="380"/>
      <c r="AD120" s="380"/>
      <c r="AE120" s="380"/>
      <c r="AF120" s="380"/>
      <c r="AG120" s="380"/>
      <c r="AH120" s="380"/>
      <c r="AI120" s="380"/>
      <c r="AJ120" s="380"/>
      <c r="AK120" s="380"/>
      <c r="AL120" s="380"/>
      <c r="AM120" s="380"/>
      <c r="AN120" s="380"/>
      <c r="AO120" s="380"/>
      <c r="AP120" s="380"/>
      <c r="AQ120" s="380"/>
      <c r="AR120" s="380"/>
      <c r="AS120" s="380"/>
      <c r="AT120" s="380"/>
      <c r="AU120" s="380"/>
      <c r="AV120" s="380"/>
      <c r="AW120" s="380"/>
      <c r="AX120" s="380"/>
      <c r="AY120" s="380"/>
      <c r="AZ120" s="380"/>
      <c r="BA120" s="380"/>
      <c r="BB120" s="380"/>
      <c r="BC120" s="380"/>
      <c r="BD120" s="380"/>
      <c r="BE120" s="380"/>
      <c r="BF120" s="380"/>
      <c r="BG120" s="380"/>
      <c r="BH120" s="380"/>
      <c r="BI120" s="380"/>
      <c r="BJ120" s="380"/>
      <c r="BK120" s="380"/>
      <c r="BL120" s="380"/>
      <c r="BM120" s="380"/>
      <c r="BN120" s="380"/>
      <c r="BO120" s="380"/>
      <c r="BP120" s="380"/>
      <c r="BQ120" s="380"/>
      <c r="BR120" s="380"/>
      <c r="BS120" s="380"/>
      <c r="BT120" s="380"/>
      <c r="BU120" s="380"/>
      <c r="BV120" s="380"/>
      <c r="BW120" s="380"/>
      <c r="BX120" s="380"/>
      <c r="BY120" s="380"/>
      <c r="BZ120" s="380"/>
      <c r="CA120" s="380"/>
      <c r="CB120" s="380"/>
      <c r="CC120" s="380"/>
      <c r="CD120" s="380"/>
      <c r="CE120" s="380"/>
      <c r="CF120" s="380"/>
    </row>
    <row r="121" spans="2:84">
      <c r="L121" s="560"/>
      <c r="M121" s="543"/>
      <c r="O121" s="9"/>
      <c r="R121" s="380"/>
      <c r="S121" s="380"/>
      <c r="T121" s="380"/>
      <c r="U121" s="380"/>
      <c r="V121" s="380"/>
      <c r="W121" s="380"/>
      <c r="X121" s="380"/>
      <c r="Y121" s="380"/>
      <c r="Z121" s="380"/>
      <c r="AA121" s="380"/>
      <c r="AB121" s="380"/>
      <c r="AC121" s="380"/>
      <c r="AD121" s="380"/>
      <c r="AE121" s="380"/>
      <c r="AF121" s="380"/>
      <c r="AG121" s="380"/>
      <c r="AH121" s="380"/>
      <c r="AI121" s="380"/>
      <c r="AJ121" s="380"/>
      <c r="AK121" s="380"/>
      <c r="AL121" s="380"/>
      <c r="AM121" s="380"/>
      <c r="AN121" s="380"/>
      <c r="AO121" s="380"/>
      <c r="AP121" s="380"/>
      <c r="AQ121" s="380"/>
      <c r="AR121" s="380"/>
      <c r="AS121" s="380"/>
      <c r="AT121" s="380"/>
      <c r="AU121" s="380"/>
      <c r="AV121" s="380"/>
      <c r="AW121" s="380"/>
      <c r="AX121" s="380"/>
      <c r="AY121" s="380"/>
      <c r="AZ121" s="380"/>
      <c r="BA121" s="380"/>
      <c r="BB121" s="380"/>
      <c r="BC121" s="380"/>
      <c r="BD121" s="380"/>
      <c r="BE121" s="380"/>
      <c r="BF121" s="380"/>
      <c r="BG121" s="380"/>
      <c r="BH121" s="380"/>
      <c r="BI121" s="380"/>
      <c r="BJ121" s="380"/>
      <c r="BK121" s="380"/>
      <c r="BL121" s="380"/>
      <c r="BM121" s="380"/>
      <c r="BN121" s="380"/>
      <c r="BO121" s="380"/>
      <c r="BP121" s="380"/>
      <c r="BQ121" s="380"/>
      <c r="BR121" s="380"/>
      <c r="BS121" s="380"/>
      <c r="BT121" s="380"/>
      <c r="BU121" s="380"/>
      <c r="BV121" s="380"/>
      <c r="BW121" s="380"/>
      <c r="BX121" s="380"/>
      <c r="BY121" s="380"/>
      <c r="BZ121" s="380"/>
      <c r="CA121" s="380"/>
      <c r="CB121" s="380"/>
      <c r="CC121" s="380"/>
      <c r="CD121" s="380"/>
      <c r="CE121" s="380"/>
      <c r="CF121" s="380"/>
    </row>
    <row r="122" spans="2:84">
      <c r="L122" s="560"/>
      <c r="M122" s="543"/>
      <c r="O122" s="9"/>
      <c r="R122" s="380"/>
      <c r="S122" s="380"/>
      <c r="T122" s="380"/>
      <c r="U122" s="380"/>
      <c r="V122" s="380"/>
      <c r="W122" s="380"/>
      <c r="X122" s="380"/>
      <c r="Y122" s="380"/>
      <c r="Z122" s="380"/>
      <c r="AA122" s="380"/>
      <c r="AB122" s="380"/>
      <c r="AC122" s="380"/>
      <c r="AD122" s="380"/>
      <c r="AE122" s="380"/>
      <c r="AF122" s="380"/>
      <c r="AG122" s="380"/>
      <c r="AH122" s="380"/>
      <c r="AI122" s="380"/>
      <c r="AJ122" s="380"/>
      <c r="AK122" s="380"/>
      <c r="AL122" s="380"/>
      <c r="AM122" s="380"/>
      <c r="AN122" s="380"/>
      <c r="AO122" s="380"/>
      <c r="AP122" s="380"/>
      <c r="AQ122" s="380"/>
      <c r="AR122" s="380"/>
      <c r="AS122" s="380"/>
      <c r="AT122" s="380"/>
      <c r="AU122" s="380"/>
      <c r="AV122" s="380"/>
      <c r="AW122" s="380"/>
      <c r="AX122" s="380"/>
      <c r="AY122" s="380"/>
      <c r="AZ122" s="380"/>
      <c r="BA122" s="380"/>
      <c r="BB122" s="380"/>
      <c r="BC122" s="380"/>
      <c r="BD122" s="380"/>
      <c r="BE122" s="380"/>
      <c r="BF122" s="380"/>
      <c r="BG122" s="380"/>
      <c r="BH122" s="380"/>
      <c r="BI122" s="380"/>
      <c r="BJ122" s="380"/>
      <c r="BK122" s="380"/>
      <c r="BL122" s="380"/>
      <c r="BM122" s="380"/>
      <c r="BN122" s="380"/>
      <c r="BO122" s="380"/>
      <c r="BP122" s="380"/>
      <c r="BQ122" s="380"/>
      <c r="BR122" s="380"/>
      <c r="BS122" s="380"/>
      <c r="BT122" s="380"/>
      <c r="BU122" s="380"/>
      <c r="BV122" s="380"/>
      <c r="BW122" s="380"/>
      <c r="BX122" s="380"/>
      <c r="BY122" s="380"/>
      <c r="BZ122" s="380"/>
      <c r="CA122" s="380"/>
      <c r="CB122" s="380"/>
      <c r="CC122" s="380"/>
      <c r="CD122" s="380"/>
      <c r="CE122" s="380"/>
      <c r="CF122" s="380"/>
    </row>
    <row r="123" spans="2:84">
      <c r="L123" s="560"/>
      <c r="M123" s="543"/>
      <c r="O123" s="9"/>
      <c r="R123" s="380"/>
      <c r="S123" s="380"/>
      <c r="T123" s="380"/>
      <c r="U123" s="380"/>
      <c r="V123" s="380"/>
      <c r="W123" s="380"/>
      <c r="X123" s="380"/>
      <c r="Y123" s="380"/>
      <c r="Z123" s="380"/>
      <c r="AA123" s="380"/>
      <c r="AB123" s="380"/>
      <c r="AC123" s="380"/>
      <c r="AD123" s="380"/>
      <c r="AE123" s="380"/>
      <c r="AF123" s="380"/>
      <c r="AG123" s="380"/>
      <c r="AH123" s="380"/>
      <c r="AI123" s="380"/>
      <c r="AJ123" s="380"/>
      <c r="AK123" s="380"/>
      <c r="AL123" s="380"/>
      <c r="AM123" s="380"/>
      <c r="AN123" s="380"/>
      <c r="AO123" s="380"/>
      <c r="AP123" s="380"/>
      <c r="AQ123" s="380"/>
      <c r="AR123" s="380"/>
      <c r="AS123" s="380"/>
      <c r="AT123" s="380"/>
      <c r="AU123" s="380"/>
      <c r="AV123" s="380"/>
      <c r="AW123" s="380"/>
      <c r="AX123" s="380"/>
      <c r="AY123" s="380"/>
      <c r="AZ123" s="380"/>
      <c r="BA123" s="380"/>
      <c r="BB123" s="380"/>
      <c r="BC123" s="380"/>
      <c r="BD123" s="380"/>
      <c r="BE123" s="380"/>
      <c r="BF123" s="380"/>
      <c r="BG123" s="380"/>
      <c r="BH123" s="380"/>
      <c r="BI123" s="380"/>
      <c r="BJ123" s="380"/>
      <c r="BK123" s="380"/>
      <c r="BL123" s="380"/>
      <c r="BM123" s="380"/>
      <c r="BN123" s="380"/>
      <c r="BO123" s="380"/>
      <c r="BP123" s="380"/>
      <c r="BQ123" s="380"/>
      <c r="BR123" s="380"/>
      <c r="BS123" s="380"/>
      <c r="BT123" s="380"/>
      <c r="BU123" s="380"/>
      <c r="BV123" s="380"/>
      <c r="BW123" s="380"/>
      <c r="BX123" s="380"/>
      <c r="BY123" s="380"/>
      <c r="BZ123" s="380"/>
      <c r="CA123" s="380"/>
      <c r="CB123" s="380"/>
      <c r="CC123" s="380"/>
      <c r="CD123" s="380"/>
      <c r="CE123" s="380"/>
      <c r="CF123" s="380"/>
    </row>
    <row r="124" spans="2:84">
      <c r="L124" s="560"/>
      <c r="M124" s="543"/>
      <c r="O124" s="9"/>
      <c r="R124" s="380"/>
      <c r="S124" s="380"/>
      <c r="T124" s="380"/>
      <c r="U124" s="380"/>
      <c r="V124" s="380"/>
      <c r="W124" s="380"/>
      <c r="X124" s="380"/>
      <c r="Y124" s="380"/>
      <c r="Z124" s="380"/>
      <c r="AA124" s="380"/>
      <c r="AB124" s="380"/>
      <c r="AC124" s="380"/>
      <c r="AD124" s="380"/>
      <c r="AE124" s="380"/>
      <c r="AF124" s="380"/>
      <c r="AG124" s="380"/>
      <c r="AH124" s="380"/>
      <c r="AI124" s="380"/>
      <c r="AJ124" s="380"/>
      <c r="AK124" s="380"/>
      <c r="AL124" s="380"/>
      <c r="AM124" s="380"/>
      <c r="AN124" s="380"/>
      <c r="AO124" s="380"/>
      <c r="AP124" s="380"/>
      <c r="AQ124" s="380"/>
      <c r="AR124" s="380"/>
      <c r="AS124" s="380"/>
      <c r="AT124" s="380"/>
      <c r="AU124" s="380"/>
      <c r="AV124" s="380"/>
      <c r="AW124" s="380"/>
      <c r="AX124" s="380"/>
      <c r="AY124" s="380"/>
      <c r="AZ124" s="380"/>
      <c r="BA124" s="380"/>
      <c r="BB124" s="380"/>
      <c r="BC124" s="380"/>
      <c r="BD124" s="380"/>
      <c r="BE124" s="380"/>
      <c r="BF124" s="380"/>
      <c r="BG124" s="380"/>
      <c r="BH124" s="380"/>
      <c r="BI124" s="380"/>
      <c r="BJ124" s="380"/>
      <c r="BK124" s="380"/>
      <c r="BL124" s="380"/>
      <c r="BM124" s="380"/>
      <c r="BN124" s="380"/>
      <c r="BO124" s="380"/>
      <c r="BP124" s="380"/>
      <c r="BQ124" s="380"/>
      <c r="BR124" s="380"/>
      <c r="BS124" s="380"/>
      <c r="BT124" s="380"/>
      <c r="BU124" s="380"/>
      <c r="BV124" s="380"/>
      <c r="BW124" s="380"/>
      <c r="BX124" s="380"/>
      <c r="BY124" s="380"/>
      <c r="BZ124" s="380"/>
      <c r="CA124" s="380"/>
      <c r="CB124" s="380"/>
      <c r="CC124" s="380"/>
      <c r="CD124" s="380"/>
      <c r="CE124" s="380"/>
      <c r="CF124" s="380"/>
    </row>
    <row r="125" spans="2:84">
      <c r="L125" s="560"/>
      <c r="M125" s="543"/>
      <c r="O125" s="9"/>
      <c r="Q125" s="234"/>
      <c r="R125" s="380"/>
      <c r="S125" s="380"/>
      <c r="T125" s="380"/>
      <c r="U125" s="380"/>
      <c r="V125" s="380"/>
      <c r="W125" s="380"/>
      <c r="X125" s="380"/>
      <c r="Y125" s="380"/>
      <c r="Z125" s="380"/>
      <c r="AA125" s="380"/>
      <c r="AB125" s="380"/>
      <c r="AC125" s="380"/>
      <c r="AD125" s="380"/>
      <c r="AE125" s="380"/>
      <c r="AF125" s="380"/>
      <c r="AG125" s="380"/>
      <c r="AH125" s="380"/>
      <c r="AI125" s="380"/>
      <c r="AJ125" s="380"/>
      <c r="AK125" s="380"/>
      <c r="AL125" s="380"/>
      <c r="AM125" s="380"/>
      <c r="AN125" s="380"/>
      <c r="AO125" s="380"/>
      <c r="AP125" s="380"/>
      <c r="AQ125" s="380"/>
      <c r="AR125" s="380"/>
      <c r="AS125" s="380"/>
      <c r="AT125" s="380"/>
      <c r="AU125" s="380"/>
      <c r="AV125" s="380"/>
      <c r="AW125" s="380"/>
      <c r="AX125" s="380"/>
      <c r="AY125" s="380"/>
      <c r="AZ125" s="380"/>
      <c r="BA125" s="380"/>
      <c r="BB125" s="380"/>
      <c r="BC125" s="380"/>
      <c r="BD125" s="380"/>
      <c r="BE125" s="380"/>
      <c r="BF125" s="380"/>
      <c r="BG125" s="380"/>
      <c r="BH125" s="380"/>
      <c r="BI125" s="380"/>
      <c r="BJ125" s="380"/>
      <c r="BK125" s="380"/>
      <c r="BL125" s="380"/>
      <c r="BM125" s="380"/>
      <c r="BN125" s="380"/>
      <c r="BO125" s="380"/>
      <c r="BP125" s="380"/>
      <c r="BQ125" s="380"/>
      <c r="BR125" s="380"/>
      <c r="BS125" s="380"/>
      <c r="BT125" s="380"/>
      <c r="BU125" s="380"/>
      <c r="BV125" s="380"/>
      <c r="BW125" s="380"/>
      <c r="BX125" s="380"/>
      <c r="BY125" s="380"/>
      <c r="BZ125" s="380"/>
      <c r="CA125" s="380"/>
      <c r="CB125" s="380"/>
      <c r="CC125" s="380"/>
      <c r="CD125" s="380"/>
      <c r="CE125" s="380"/>
      <c r="CF125" s="380"/>
    </row>
    <row r="126" spans="2:84">
      <c r="L126" s="560"/>
      <c r="M126" s="543"/>
      <c r="O126" s="9"/>
      <c r="Q126" s="234"/>
      <c r="R126" s="380"/>
      <c r="S126" s="380"/>
      <c r="T126" s="380"/>
      <c r="U126" s="380"/>
      <c r="V126" s="380"/>
      <c r="W126" s="380"/>
      <c r="X126" s="380"/>
      <c r="Y126" s="380"/>
      <c r="Z126" s="380"/>
      <c r="AA126" s="380"/>
      <c r="AB126" s="380"/>
      <c r="AC126" s="380"/>
      <c r="AD126" s="380"/>
      <c r="AE126" s="380"/>
      <c r="AF126" s="380"/>
      <c r="AG126" s="380"/>
      <c r="AH126" s="380"/>
      <c r="AI126" s="380"/>
      <c r="AJ126" s="380"/>
      <c r="AK126" s="380"/>
      <c r="AL126" s="380"/>
      <c r="AM126" s="380"/>
      <c r="AN126" s="380"/>
      <c r="AO126" s="380"/>
      <c r="AP126" s="380"/>
      <c r="AQ126" s="380"/>
      <c r="AR126" s="380"/>
      <c r="AS126" s="380"/>
      <c r="AT126" s="380"/>
      <c r="AU126" s="380"/>
      <c r="AV126" s="380"/>
      <c r="AW126" s="380"/>
      <c r="AX126" s="380"/>
      <c r="AY126" s="380"/>
      <c r="AZ126" s="380"/>
      <c r="BA126" s="380"/>
      <c r="BB126" s="380"/>
      <c r="BC126" s="380"/>
      <c r="BD126" s="380"/>
      <c r="BE126" s="380"/>
      <c r="BF126" s="380"/>
      <c r="BG126" s="380"/>
      <c r="BH126" s="380"/>
      <c r="BI126" s="380"/>
      <c r="BJ126" s="380"/>
      <c r="BK126" s="380"/>
      <c r="BL126" s="380"/>
      <c r="BM126" s="380"/>
      <c r="BN126" s="380"/>
      <c r="BO126" s="380"/>
      <c r="BP126" s="380"/>
      <c r="BQ126" s="380"/>
      <c r="BR126" s="380"/>
      <c r="BS126" s="380"/>
      <c r="BT126" s="380"/>
      <c r="BU126" s="380"/>
      <c r="BV126" s="380"/>
      <c r="BW126" s="380"/>
      <c r="BX126" s="380"/>
      <c r="BY126" s="380"/>
      <c r="BZ126" s="380"/>
      <c r="CA126" s="380"/>
      <c r="CB126" s="380"/>
      <c r="CC126" s="380"/>
      <c r="CD126" s="380"/>
      <c r="CE126" s="380"/>
      <c r="CF126" s="380"/>
    </row>
    <row r="127" spans="2:84" ht="16.5" customHeight="1">
      <c r="L127" s="560"/>
      <c r="M127" s="543"/>
      <c r="O127" s="9"/>
      <c r="Q127" s="234"/>
      <c r="R127" s="380"/>
      <c r="S127" s="380"/>
      <c r="T127" s="380"/>
      <c r="U127" s="380"/>
      <c r="V127" s="380"/>
      <c r="W127" s="380"/>
      <c r="X127" s="380"/>
      <c r="Y127" s="380"/>
      <c r="Z127" s="380"/>
      <c r="AA127" s="380"/>
      <c r="AB127" s="380"/>
      <c r="AC127" s="380"/>
      <c r="AD127" s="380"/>
      <c r="AE127" s="380"/>
      <c r="AF127" s="380"/>
      <c r="AG127" s="380"/>
      <c r="AH127" s="380"/>
      <c r="AI127" s="380"/>
      <c r="AJ127" s="380"/>
      <c r="AK127" s="380"/>
      <c r="AL127" s="380"/>
      <c r="AM127" s="380"/>
      <c r="AN127" s="380"/>
      <c r="AO127" s="380"/>
      <c r="AP127" s="380"/>
      <c r="AQ127" s="380"/>
      <c r="AR127" s="380"/>
      <c r="AS127" s="380"/>
      <c r="AT127" s="380"/>
      <c r="AU127" s="380"/>
      <c r="AV127" s="380"/>
      <c r="AW127" s="380"/>
      <c r="AX127" s="380"/>
      <c r="AY127" s="380"/>
      <c r="AZ127" s="380"/>
      <c r="BA127" s="380"/>
      <c r="BB127" s="380"/>
      <c r="BC127" s="380"/>
      <c r="BD127" s="380"/>
      <c r="BE127" s="380"/>
      <c r="BF127" s="380"/>
      <c r="BG127" s="380"/>
      <c r="BH127" s="380"/>
      <c r="BI127" s="380"/>
      <c r="BJ127" s="380"/>
      <c r="BK127" s="380"/>
      <c r="BL127" s="380"/>
      <c r="BM127" s="380"/>
      <c r="BN127" s="380"/>
      <c r="BO127" s="380"/>
      <c r="BP127" s="380"/>
      <c r="BQ127" s="380"/>
      <c r="BR127" s="380"/>
      <c r="BS127" s="380"/>
      <c r="BT127" s="380"/>
      <c r="BU127" s="380"/>
      <c r="BV127" s="380"/>
      <c r="BW127" s="380"/>
      <c r="BX127" s="380"/>
      <c r="BY127" s="380"/>
      <c r="BZ127" s="380"/>
      <c r="CA127" s="380"/>
      <c r="CB127" s="380"/>
      <c r="CC127" s="380"/>
      <c r="CD127" s="380"/>
      <c r="CE127" s="380"/>
      <c r="CF127" s="380"/>
    </row>
    <row r="128" spans="2:84">
      <c r="L128" s="560"/>
      <c r="M128" s="543"/>
      <c r="O128" s="9"/>
      <c r="Q128" s="234"/>
      <c r="R128" s="380"/>
      <c r="S128" s="380"/>
      <c r="T128" s="380"/>
      <c r="U128" s="380"/>
      <c r="V128" s="380"/>
      <c r="W128" s="380"/>
      <c r="X128" s="380"/>
      <c r="Y128" s="380"/>
      <c r="Z128" s="380"/>
      <c r="AA128" s="380"/>
      <c r="AB128" s="380"/>
      <c r="AC128" s="380"/>
      <c r="AD128" s="380"/>
      <c r="AE128" s="380"/>
      <c r="AF128" s="380"/>
      <c r="AG128" s="380"/>
      <c r="AH128" s="380"/>
      <c r="AI128" s="380"/>
      <c r="AJ128" s="380"/>
      <c r="AK128" s="380"/>
      <c r="AL128" s="380"/>
      <c r="AM128" s="380"/>
      <c r="AN128" s="380"/>
      <c r="AO128" s="380"/>
      <c r="AP128" s="380"/>
      <c r="AQ128" s="380"/>
      <c r="AR128" s="380"/>
      <c r="AS128" s="380"/>
      <c r="AT128" s="380"/>
      <c r="AU128" s="380"/>
      <c r="AV128" s="380"/>
      <c r="AW128" s="380"/>
      <c r="AX128" s="380"/>
      <c r="AY128" s="380"/>
      <c r="AZ128" s="380"/>
      <c r="BA128" s="380"/>
      <c r="BB128" s="380"/>
      <c r="BC128" s="380"/>
      <c r="BD128" s="380"/>
      <c r="BE128" s="380"/>
      <c r="BF128" s="380"/>
      <c r="BG128" s="380"/>
      <c r="BH128" s="380"/>
      <c r="BI128" s="380"/>
      <c r="BJ128" s="380"/>
      <c r="BK128" s="380"/>
      <c r="BL128" s="380"/>
      <c r="BM128" s="380"/>
      <c r="BN128" s="380"/>
      <c r="BO128" s="380"/>
      <c r="BP128" s="380"/>
      <c r="BQ128" s="380"/>
      <c r="BR128" s="380"/>
      <c r="BS128" s="380"/>
      <c r="BT128" s="380"/>
      <c r="BU128" s="380"/>
      <c r="BV128" s="380"/>
      <c r="BW128" s="380"/>
      <c r="BX128" s="380"/>
      <c r="BY128" s="380"/>
      <c r="BZ128" s="380"/>
      <c r="CA128" s="380"/>
      <c r="CB128" s="380"/>
      <c r="CC128" s="380"/>
      <c r="CD128" s="380"/>
      <c r="CE128" s="380"/>
      <c r="CF128" s="380"/>
    </row>
    <row r="129" spans="13:84">
      <c r="M129" s="543"/>
      <c r="O129" s="9"/>
      <c r="Q129" s="234"/>
      <c r="R129" s="380"/>
      <c r="S129" s="380"/>
      <c r="T129" s="380"/>
      <c r="U129" s="380"/>
      <c r="V129" s="380"/>
      <c r="W129" s="380"/>
      <c r="X129" s="380"/>
      <c r="Y129" s="380"/>
      <c r="Z129" s="380"/>
      <c r="AA129" s="380"/>
      <c r="AB129" s="380"/>
      <c r="AC129" s="380"/>
      <c r="AD129" s="380"/>
      <c r="AE129" s="380"/>
      <c r="AF129" s="380"/>
      <c r="AG129" s="380"/>
      <c r="AH129" s="380"/>
      <c r="AI129" s="380"/>
      <c r="AJ129" s="380"/>
      <c r="AK129" s="380"/>
      <c r="AL129" s="380"/>
      <c r="AM129" s="380"/>
      <c r="AN129" s="380"/>
      <c r="AO129" s="380"/>
      <c r="AP129" s="380"/>
      <c r="AQ129" s="380"/>
      <c r="AR129" s="380"/>
      <c r="AS129" s="380"/>
      <c r="AT129" s="380"/>
      <c r="AU129" s="380"/>
      <c r="AV129" s="380"/>
      <c r="AW129" s="380"/>
      <c r="AX129" s="380"/>
      <c r="AY129" s="380"/>
      <c r="AZ129" s="380"/>
      <c r="BA129" s="380"/>
      <c r="BB129" s="380"/>
      <c r="BC129" s="380"/>
      <c r="BD129" s="380"/>
      <c r="BE129" s="380"/>
      <c r="BF129" s="380"/>
      <c r="BG129" s="380"/>
      <c r="BH129" s="380"/>
      <c r="BI129" s="380"/>
      <c r="BJ129" s="380"/>
      <c r="BK129" s="380"/>
      <c r="BL129" s="380"/>
      <c r="BM129" s="380"/>
      <c r="BN129" s="380"/>
      <c r="BO129" s="380"/>
      <c r="BP129" s="380"/>
      <c r="BQ129" s="380"/>
      <c r="BR129" s="380"/>
      <c r="BS129" s="380"/>
      <c r="BT129" s="380"/>
      <c r="BU129" s="380"/>
      <c r="BV129" s="380"/>
      <c r="BW129" s="380"/>
      <c r="BX129" s="380"/>
      <c r="BY129" s="380"/>
      <c r="BZ129" s="380"/>
      <c r="CA129" s="380"/>
      <c r="CB129" s="380"/>
      <c r="CC129" s="380"/>
      <c r="CD129" s="380"/>
      <c r="CE129" s="380"/>
      <c r="CF129" s="380"/>
    </row>
    <row r="130" spans="13:84">
      <c r="M130" s="543"/>
      <c r="O130" s="9"/>
      <c r="Q130" s="234"/>
      <c r="R130" s="380"/>
      <c r="S130" s="380"/>
      <c r="T130" s="380"/>
      <c r="U130" s="380"/>
      <c r="V130" s="380"/>
      <c r="W130" s="380"/>
      <c r="X130" s="380"/>
      <c r="Y130" s="380"/>
      <c r="Z130" s="380"/>
      <c r="AA130" s="380"/>
      <c r="AB130" s="380"/>
      <c r="AC130" s="380"/>
      <c r="AD130" s="380"/>
      <c r="AE130" s="380"/>
      <c r="AF130" s="380"/>
      <c r="AG130" s="380"/>
      <c r="AH130" s="380"/>
      <c r="AI130" s="380"/>
      <c r="AJ130" s="380"/>
      <c r="AK130" s="380"/>
      <c r="AL130" s="380"/>
      <c r="AM130" s="380"/>
      <c r="AN130" s="380"/>
      <c r="AO130" s="380"/>
      <c r="AP130" s="380"/>
      <c r="AQ130" s="380"/>
      <c r="AR130" s="380"/>
      <c r="AS130" s="380"/>
      <c r="AT130" s="380"/>
      <c r="AU130" s="380"/>
      <c r="AV130" s="380"/>
      <c r="AW130" s="380"/>
      <c r="AX130" s="380"/>
      <c r="AY130" s="380"/>
      <c r="AZ130" s="380"/>
      <c r="BA130" s="380"/>
      <c r="BB130" s="380"/>
      <c r="BC130" s="380"/>
      <c r="BD130" s="380"/>
      <c r="BE130" s="380"/>
      <c r="BF130" s="380"/>
      <c r="BG130" s="380"/>
      <c r="BH130" s="380"/>
      <c r="BI130" s="380"/>
      <c r="BJ130" s="380"/>
      <c r="BK130" s="380"/>
      <c r="BL130" s="380"/>
      <c r="BM130" s="380"/>
      <c r="BN130" s="380"/>
      <c r="BO130" s="380"/>
      <c r="BP130" s="380"/>
      <c r="BQ130" s="380"/>
      <c r="BR130" s="380"/>
      <c r="BS130" s="380"/>
      <c r="BT130" s="380"/>
      <c r="BU130" s="380"/>
      <c r="BV130" s="380"/>
      <c r="BW130" s="380"/>
      <c r="BX130" s="380"/>
      <c r="BY130" s="380"/>
      <c r="BZ130" s="380"/>
      <c r="CA130" s="380"/>
      <c r="CB130" s="380"/>
      <c r="CC130" s="380"/>
      <c r="CD130" s="380"/>
      <c r="CE130" s="380"/>
      <c r="CF130" s="380"/>
    </row>
    <row r="131" spans="13:84">
      <c r="M131" s="543"/>
      <c r="O131" s="9"/>
      <c r="Q131" s="234"/>
      <c r="R131" s="380"/>
      <c r="S131" s="380"/>
      <c r="T131" s="380"/>
      <c r="U131" s="380"/>
      <c r="V131" s="380"/>
      <c r="W131" s="380"/>
      <c r="X131" s="380"/>
      <c r="Y131" s="380"/>
      <c r="Z131" s="380"/>
      <c r="AA131" s="380"/>
      <c r="AB131" s="380"/>
      <c r="AC131" s="380"/>
      <c r="AD131" s="380"/>
      <c r="AE131" s="380"/>
      <c r="AF131" s="380"/>
      <c r="AG131" s="380"/>
      <c r="AH131" s="380"/>
      <c r="AI131" s="380"/>
      <c r="AJ131" s="380"/>
      <c r="AK131" s="380"/>
      <c r="AL131" s="380"/>
      <c r="AM131" s="380"/>
      <c r="AN131" s="380"/>
      <c r="AO131" s="380"/>
      <c r="AP131" s="380"/>
      <c r="AQ131" s="380"/>
      <c r="AR131" s="380"/>
      <c r="AS131" s="380"/>
      <c r="AT131" s="380"/>
      <c r="AU131" s="380"/>
      <c r="AV131" s="380"/>
      <c r="AW131" s="380"/>
      <c r="AX131" s="380"/>
      <c r="AY131" s="380"/>
      <c r="AZ131" s="380"/>
      <c r="BA131" s="380"/>
      <c r="BB131" s="380"/>
      <c r="BC131" s="380"/>
      <c r="BD131" s="380"/>
      <c r="BE131" s="380"/>
      <c r="BF131" s="380"/>
      <c r="BG131" s="380"/>
      <c r="BH131" s="380"/>
      <c r="BI131" s="380"/>
      <c r="BJ131" s="380"/>
      <c r="BK131" s="380"/>
      <c r="BL131" s="380"/>
      <c r="BM131" s="380"/>
      <c r="BN131" s="380"/>
      <c r="BO131" s="380"/>
      <c r="BP131" s="380"/>
      <c r="BQ131" s="380"/>
      <c r="BR131" s="380"/>
      <c r="BS131" s="380"/>
      <c r="BT131" s="380"/>
      <c r="BU131" s="380"/>
      <c r="BV131" s="380"/>
      <c r="BW131" s="380"/>
      <c r="BX131" s="380"/>
      <c r="BY131" s="380"/>
      <c r="BZ131" s="380"/>
      <c r="CA131" s="380"/>
      <c r="CB131" s="380"/>
      <c r="CC131" s="380"/>
      <c r="CD131" s="380"/>
      <c r="CE131" s="380"/>
      <c r="CF131" s="380"/>
    </row>
    <row r="132" spans="13:84">
      <c r="M132" s="543"/>
      <c r="O132" s="9"/>
      <c r="Q132" s="234"/>
      <c r="R132" s="380"/>
      <c r="S132" s="380"/>
      <c r="T132" s="380"/>
      <c r="U132" s="380"/>
      <c r="V132" s="380"/>
      <c r="W132" s="380"/>
      <c r="X132" s="380"/>
      <c r="Y132" s="380"/>
      <c r="Z132" s="380"/>
      <c r="AA132" s="380"/>
      <c r="AB132" s="380"/>
      <c r="AC132" s="380"/>
      <c r="AD132" s="380"/>
      <c r="AE132" s="380"/>
      <c r="AF132" s="380"/>
      <c r="AG132" s="380"/>
      <c r="AH132" s="380"/>
      <c r="AI132" s="380"/>
      <c r="AJ132" s="380"/>
      <c r="AK132" s="380"/>
      <c r="AL132" s="380"/>
      <c r="AM132" s="380"/>
      <c r="AN132" s="380"/>
      <c r="AO132" s="380"/>
      <c r="AP132" s="380"/>
      <c r="AQ132" s="380"/>
      <c r="AR132" s="380"/>
      <c r="AS132" s="380"/>
      <c r="AT132" s="380"/>
      <c r="AU132" s="380"/>
      <c r="AV132" s="380"/>
      <c r="AW132" s="380"/>
      <c r="AX132" s="380"/>
      <c r="AY132" s="380"/>
      <c r="AZ132" s="380"/>
      <c r="BA132" s="380"/>
      <c r="BB132" s="380"/>
      <c r="BC132" s="380"/>
      <c r="BD132" s="380"/>
      <c r="BE132" s="380"/>
      <c r="BF132" s="380"/>
      <c r="BG132" s="380"/>
      <c r="BH132" s="380"/>
      <c r="BI132" s="380"/>
      <c r="BJ132" s="380"/>
      <c r="BK132" s="380"/>
      <c r="BL132" s="380"/>
      <c r="BM132" s="380"/>
      <c r="BN132" s="380"/>
      <c r="BO132" s="380"/>
      <c r="BP132" s="380"/>
      <c r="BQ132" s="380"/>
      <c r="BR132" s="380"/>
      <c r="BS132" s="380"/>
      <c r="BT132" s="380"/>
      <c r="BU132" s="380"/>
      <c r="BV132" s="380"/>
      <c r="BW132" s="380"/>
      <c r="BX132" s="380"/>
      <c r="BY132" s="380"/>
      <c r="BZ132" s="380"/>
      <c r="CA132" s="380"/>
      <c r="CB132" s="380"/>
      <c r="CC132" s="380"/>
      <c r="CD132" s="380"/>
      <c r="CE132" s="380"/>
      <c r="CF132" s="380"/>
    </row>
    <row r="133" spans="13:84">
      <c r="M133" s="543"/>
      <c r="O133" s="9"/>
      <c r="Q133" s="234"/>
      <c r="R133" s="380"/>
      <c r="S133" s="380"/>
      <c r="T133" s="380"/>
      <c r="U133" s="380"/>
      <c r="V133" s="380"/>
      <c r="W133" s="380"/>
      <c r="X133" s="380"/>
      <c r="Y133" s="380"/>
      <c r="Z133" s="380"/>
      <c r="AA133" s="380"/>
      <c r="AB133" s="380"/>
      <c r="AC133" s="380"/>
      <c r="AD133" s="380"/>
      <c r="AE133" s="380"/>
      <c r="AF133" s="380"/>
      <c r="AG133" s="380"/>
      <c r="AH133" s="380"/>
      <c r="AI133" s="380"/>
      <c r="AJ133" s="380"/>
      <c r="AK133" s="380"/>
      <c r="AL133" s="380"/>
      <c r="AM133" s="380"/>
      <c r="AN133" s="380"/>
      <c r="AO133" s="380"/>
      <c r="AP133" s="380"/>
      <c r="AQ133" s="380"/>
      <c r="AR133" s="380"/>
      <c r="AS133" s="380"/>
      <c r="AT133" s="380"/>
      <c r="AU133" s="380"/>
      <c r="AV133" s="380"/>
      <c r="AW133" s="380"/>
      <c r="AX133" s="380"/>
      <c r="AY133" s="380"/>
      <c r="AZ133" s="380"/>
      <c r="BA133" s="380"/>
      <c r="BB133" s="380"/>
      <c r="BC133" s="380"/>
      <c r="BD133" s="380"/>
      <c r="BE133" s="380"/>
      <c r="BF133" s="380"/>
      <c r="BG133" s="380"/>
      <c r="BH133" s="380"/>
      <c r="BI133" s="380"/>
      <c r="BJ133" s="380"/>
      <c r="BK133" s="380"/>
      <c r="BL133" s="380"/>
      <c r="BM133" s="380"/>
      <c r="BN133" s="380"/>
      <c r="BO133" s="380"/>
      <c r="BP133" s="380"/>
      <c r="BQ133" s="380"/>
      <c r="BR133" s="380"/>
      <c r="BS133" s="380"/>
      <c r="BT133" s="380"/>
      <c r="BU133" s="380"/>
      <c r="BV133" s="380"/>
      <c r="BW133" s="380"/>
      <c r="BX133" s="380"/>
      <c r="BY133" s="380"/>
      <c r="BZ133" s="380"/>
      <c r="CA133" s="380"/>
      <c r="CB133" s="380"/>
      <c r="CC133" s="380"/>
      <c r="CD133" s="380"/>
      <c r="CE133" s="380"/>
      <c r="CF133" s="380"/>
    </row>
    <row r="134" spans="13:84">
      <c r="M134" s="543"/>
      <c r="O134" s="9"/>
      <c r="Q134" s="234"/>
      <c r="R134" s="380"/>
      <c r="S134" s="380"/>
      <c r="T134" s="380"/>
      <c r="U134" s="380"/>
      <c r="V134" s="380"/>
      <c r="W134" s="380"/>
      <c r="X134" s="380"/>
      <c r="Y134" s="380"/>
      <c r="Z134" s="380"/>
      <c r="AA134" s="380"/>
      <c r="AB134" s="380"/>
      <c r="AC134" s="380"/>
      <c r="AD134" s="380"/>
      <c r="AE134" s="380"/>
      <c r="AF134" s="380"/>
      <c r="AG134" s="380"/>
      <c r="AH134" s="380"/>
      <c r="AI134" s="380"/>
      <c r="AJ134" s="380"/>
      <c r="AK134" s="380"/>
      <c r="AL134" s="380"/>
      <c r="AM134" s="380"/>
      <c r="AN134" s="380"/>
      <c r="AO134" s="380"/>
      <c r="AP134" s="380"/>
      <c r="AQ134" s="380"/>
      <c r="AR134" s="380"/>
      <c r="AS134" s="380"/>
      <c r="AT134" s="380"/>
      <c r="AU134" s="380"/>
      <c r="AV134" s="380"/>
      <c r="AW134" s="380"/>
      <c r="AX134" s="380"/>
      <c r="AY134" s="380"/>
      <c r="AZ134" s="380"/>
      <c r="BA134" s="380"/>
      <c r="BB134" s="380"/>
      <c r="BC134" s="380"/>
      <c r="BD134" s="380"/>
      <c r="BE134" s="380"/>
      <c r="BF134" s="380"/>
      <c r="BG134" s="380"/>
      <c r="BH134" s="380"/>
      <c r="BI134" s="380"/>
      <c r="BJ134" s="380"/>
      <c r="BK134" s="380"/>
      <c r="BL134" s="380"/>
      <c r="BM134" s="380"/>
      <c r="BN134" s="380"/>
      <c r="BO134" s="380"/>
      <c r="BP134" s="380"/>
      <c r="BQ134" s="380"/>
      <c r="BR134" s="380"/>
      <c r="BS134" s="380"/>
      <c r="BT134" s="380"/>
      <c r="BU134" s="380"/>
      <c r="BV134" s="380"/>
      <c r="BW134" s="380"/>
      <c r="BX134" s="380"/>
      <c r="BY134" s="380"/>
      <c r="BZ134" s="380"/>
      <c r="CA134" s="380"/>
      <c r="CB134" s="380"/>
      <c r="CC134" s="380"/>
      <c r="CD134" s="380"/>
      <c r="CE134" s="380"/>
      <c r="CF134" s="380"/>
    </row>
    <row r="135" spans="13:84">
      <c r="M135" s="543"/>
      <c r="O135" s="9"/>
      <c r="Q135" s="234"/>
      <c r="R135" s="380"/>
      <c r="S135" s="380"/>
      <c r="T135" s="380"/>
      <c r="U135" s="380"/>
      <c r="V135" s="380"/>
      <c r="W135" s="380"/>
      <c r="X135" s="380"/>
      <c r="Y135" s="380"/>
      <c r="Z135" s="380"/>
      <c r="AA135" s="380"/>
      <c r="AB135" s="380"/>
      <c r="AC135" s="380"/>
      <c r="AD135" s="380"/>
      <c r="AE135" s="380"/>
      <c r="AF135" s="380"/>
      <c r="AG135" s="380"/>
      <c r="AH135" s="380"/>
      <c r="AI135" s="380"/>
      <c r="AJ135" s="380"/>
      <c r="AK135" s="380"/>
      <c r="AL135" s="380"/>
      <c r="AM135" s="380"/>
      <c r="AN135" s="380"/>
      <c r="AO135" s="380"/>
      <c r="AP135" s="380"/>
      <c r="AQ135" s="380"/>
      <c r="AR135" s="380"/>
      <c r="AS135" s="380"/>
      <c r="AT135" s="380"/>
      <c r="AU135" s="380"/>
      <c r="AV135" s="380"/>
      <c r="AW135" s="380"/>
      <c r="AX135" s="380"/>
      <c r="AY135" s="380"/>
      <c r="AZ135" s="380"/>
      <c r="BA135" s="380"/>
      <c r="BB135" s="380"/>
      <c r="BC135" s="380"/>
      <c r="BD135" s="380"/>
      <c r="BE135" s="380"/>
      <c r="BF135" s="380"/>
      <c r="BG135" s="380"/>
      <c r="BH135" s="380"/>
      <c r="BI135" s="380"/>
      <c r="BJ135" s="380"/>
      <c r="BK135" s="380"/>
      <c r="BL135" s="380"/>
      <c r="BM135" s="380"/>
      <c r="BN135" s="380"/>
      <c r="BO135" s="380"/>
      <c r="BP135" s="380"/>
      <c r="BQ135" s="380"/>
      <c r="BR135" s="380"/>
      <c r="BS135" s="380"/>
      <c r="BT135" s="380"/>
      <c r="BU135" s="380"/>
      <c r="BV135" s="380"/>
      <c r="BW135" s="380"/>
      <c r="BX135" s="380"/>
      <c r="BY135" s="380"/>
      <c r="BZ135" s="380"/>
      <c r="CA135" s="380"/>
      <c r="CB135" s="380"/>
      <c r="CC135" s="380"/>
      <c r="CD135" s="380"/>
      <c r="CE135" s="380"/>
      <c r="CF135" s="380"/>
    </row>
    <row r="136" spans="13:84" ht="16.5" customHeight="1">
      <c r="M136" s="543"/>
      <c r="O136" s="9"/>
      <c r="Q136" s="234"/>
      <c r="R136" s="380"/>
      <c r="S136" s="380"/>
      <c r="T136" s="380"/>
      <c r="U136" s="380"/>
      <c r="V136" s="380"/>
      <c r="W136" s="380"/>
      <c r="X136" s="380"/>
      <c r="Y136" s="380"/>
      <c r="Z136" s="380"/>
      <c r="AA136" s="380"/>
      <c r="AB136" s="380"/>
      <c r="AC136" s="380"/>
      <c r="AD136" s="380"/>
      <c r="AE136" s="380"/>
      <c r="AF136" s="380"/>
      <c r="AG136" s="380"/>
      <c r="AH136" s="380"/>
      <c r="AI136" s="380"/>
      <c r="AJ136" s="380"/>
      <c r="AK136" s="380"/>
      <c r="AL136" s="380"/>
      <c r="AM136" s="380"/>
      <c r="AN136" s="380"/>
      <c r="AO136" s="380"/>
      <c r="AP136" s="380"/>
      <c r="AQ136" s="380"/>
      <c r="AR136" s="380"/>
      <c r="AS136" s="380"/>
      <c r="AT136" s="380"/>
      <c r="AU136" s="380"/>
      <c r="AV136" s="380"/>
      <c r="AW136" s="380"/>
      <c r="AX136" s="380"/>
      <c r="AY136" s="380"/>
      <c r="AZ136" s="380"/>
      <c r="BA136" s="380"/>
      <c r="BB136" s="380"/>
      <c r="BC136" s="380"/>
      <c r="BD136" s="380"/>
      <c r="BE136" s="380"/>
      <c r="BF136" s="380"/>
      <c r="BG136" s="380"/>
      <c r="BH136" s="380"/>
      <c r="BI136" s="380"/>
      <c r="BJ136" s="380"/>
      <c r="BK136" s="380"/>
      <c r="BL136" s="380"/>
      <c r="BM136" s="380"/>
      <c r="BN136" s="380"/>
      <c r="BO136" s="380"/>
      <c r="BP136" s="380"/>
      <c r="BQ136" s="380"/>
      <c r="BR136" s="380"/>
      <c r="BS136" s="380"/>
      <c r="BT136" s="380"/>
      <c r="BU136" s="380"/>
      <c r="BV136" s="380"/>
      <c r="BW136" s="380"/>
      <c r="BX136" s="380"/>
      <c r="BY136" s="380"/>
      <c r="BZ136" s="380"/>
      <c r="CA136" s="380"/>
      <c r="CB136" s="380"/>
      <c r="CC136" s="380"/>
      <c r="CD136" s="380"/>
      <c r="CE136" s="380"/>
      <c r="CF136" s="380"/>
    </row>
    <row r="137" spans="13:84">
      <c r="M137" s="543"/>
      <c r="O137" s="9"/>
      <c r="Q137" s="234"/>
      <c r="R137" s="380"/>
      <c r="S137" s="380"/>
      <c r="T137" s="380"/>
      <c r="U137" s="380"/>
      <c r="V137" s="380"/>
      <c r="W137" s="380"/>
      <c r="X137" s="380"/>
      <c r="Y137" s="380"/>
      <c r="Z137" s="380"/>
      <c r="AA137" s="380"/>
      <c r="AB137" s="380"/>
      <c r="AC137" s="380"/>
      <c r="AD137" s="380"/>
      <c r="AE137" s="380"/>
      <c r="AF137" s="380"/>
      <c r="AG137" s="380"/>
      <c r="AH137" s="380"/>
      <c r="AI137" s="380"/>
      <c r="AJ137" s="380"/>
      <c r="AK137" s="380"/>
      <c r="AL137" s="380"/>
      <c r="AM137" s="380"/>
      <c r="AN137" s="380"/>
      <c r="AO137" s="380"/>
      <c r="AP137" s="380"/>
      <c r="AQ137" s="380"/>
      <c r="AR137" s="380"/>
      <c r="AS137" s="380"/>
      <c r="AT137" s="380"/>
      <c r="AU137" s="380"/>
      <c r="AV137" s="380"/>
      <c r="AW137" s="380"/>
      <c r="AX137" s="380"/>
      <c r="AY137" s="380"/>
      <c r="AZ137" s="380"/>
      <c r="BA137" s="380"/>
      <c r="BB137" s="380"/>
      <c r="BC137" s="380"/>
      <c r="BD137" s="380"/>
      <c r="BE137" s="380"/>
      <c r="BF137" s="380"/>
      <c r="BG137" s="380"/>
      <c r="BH137" s="380"/>
      <c r="BI137" s="380"/>
      <c r="BJ137" s="380"/>
      <c r="BK137" s="380"/>
      <c r="BL137" s="380"/>
      <c r="BM137" s="380"/>
      <c r="BN137" s="380"/>
      <c r="BO137" s="380"/>
      <c r="BP137" s="380"/>
      <c r="BQ137" s="380"/>
      <c r="BR137" s="380"/>
      <c r="BS137" s="380"/>
      <c r="BT137" s="380"/>
      <c r="BU137" s="380"/>
      <c r="BV137" s="380"/>
      <c r="BW137" s="380"/>
      <c r="BX137" s="380"/>
      <c r="BY137" s="380"/>
      <c r="BZ137" s="380"/>
      <c r="CA137" s="380"/>
      <c r="CB137" s="380"/>
      <c r="CC137" s="380"/>
      <c r="CD137" s="380"/>
      <c r="CE137" s="380"/>
      <c r="CF137" s="380"/>
    </row>
    <row r="138" spans="13:84">
      <c r="M138" s="543"/>
      <c r="O138" s="9"/>
      <c r="Q138" s="234"/>
      <c r="R138" s="380"/>
      <c r="S138" s="380"/>
      <c r="T138" s="380"/>
      <c r="U138" s="380"/>
      <c r="V138" s="380"/>
      <c r="W138" s="380"/>
      <c r="X138" s="380"/>
      <c r="Y138" s="380"/>
      <c r="Z138" s="380"/>
      <c r="AA138" s="380"/>
      <c r="AB138" s="380"/>
      <c r="AC138" s="380"/>
      <c r="AD138" s="380"/>
      <c r="AE138" s="380"/>
      <c r="AF138" s="380"/>
      <c r="AG138" s="380"/>
      <c r="AH138" s="380"/>
      <c r="AI138" s="380"/>
      <c r="AJ138" s="380"/>
      <c r="AK138" s="380"/>
      <c r="AL138" s="380"/>
      <c r="AM138" s="380"/>
      <c r="AN138" s="380"/>
      <c r="AO138" s="380"/>
      <c r="AP138" s="380"/>
      <c r="AQ138" s="380"/>
      <c r="AR138" s="380"/>
      <c r="AS138" s="380"/>
      <c r="AT138" s="380"/>
      <c r="AU138" s="380"/>
      <c r="AV138" s="380"/>
      <c r="AW138" s="380"/>
      <c r="AX138" s="380"/>
      <c r="AY138" s="380"/>
      <c r="AZ138" s="380"/>
      <c r="BA138" s="380"/>
      <c r="BB138" s="380"/>
      <c r="BC138" s="380"/>
      <c r="BD138" s="380"/>
      <c r="BE138" s="380"/>
      <c r="BF138" s="380"/>
      <c r="BG138" s="380"/>
      <c r="BH138" s="380"/>
      <c r="BI138" s="380"/>
      <c r="BJ138" s="380"/>
      <c r="BK138" s="380"/>
      <c r="BL138" s="380"/>
      <c r="BM138" s="380"/>
      <c r="BN138" s="380"/>
      <c r="BO138" s="380"/>
      <c r="BP138" s="380"/>
      <c r="BQ138" s="380"/>
      <c r="BR138" s="380"/>
      <c r="BS138" s="380"/>
      <c r="BT138" s="380"/>
      <c r="BU138" s="380"/>
      <c r="BV138" s="380"/>
      <c r="BW138" s="380"/>
      <c r="BX138" s="380"/>
      <c r="BY138" s="380"/>
      <c r="BZ138" s="380"/>
      <c r="CA138" s="380"/>
      <c r="CB138" s="380"/>
      <c r="CC138" s="380"/>
      <c r="CD138" s="380"/>
      <c r="CE138" s="380"/>
      <c r="CF138" s="380"/>
    </row>
    <row r="139" spans="13:84">
      <c r="M139" s="543"/>
      <c r="O139" s="9"/>
      <c r="Q139" s="234"/>
      <c r="R139" s="380"/>
      <c r="S139" s="380"/>
      <c r="T139" s="380"/>
      <c r="U139" s="380"/>
      <c r="V139" s="380"/>
      <c r="W139" s="380"/>
      <c r="X139" s="380"/>
      <c r="Y139" s="380"/>
      <c r="Z139" s="380"/>
      <c r="AA139" s="380"/>
      <c r="AB139" s="380"/>
      <c r="AC139" s="380"/>
      <c r="AD139" s="380"/>
      <c r="AE139" s="380"/>
      <c r="AF139" s="380"/>
      <c r="AG139" s="380"/>
      <c r="AH139" s="380"/>
      <c r="AI139" s="380"/>
      <c r="AJ139" s="380"/>
      <c r="AK139" s="380"/>
      <c r="AL139" s="380"/>
      <c r="AM139" s="380"/>
      <c r="AN139" s="380"/>
      <c r="AO139" s="380"/>
      <c r="AP139" s="380"/>
      <c r="AQ139" s="380"/>
      <c r="AR139" s="380"/>
      <c r="AS139" s="380"/>
      <c r="AT139" s="380"/>
      <c r="AU139" s="380"/>
      <c r="AV139" s="380"/>
      <c r="AW139" s="380"/>
      <c r="AX139" s="380"/>
      <c r="AY139" s="380"/>
      <c r="AZ139" s="380"/>
      <c r="BA139" s="380"/>
      <c r="BB139" s="380"/>
      <c r="BC139" s="380"/>
      <c r="BD139" s="380"/>
      <c r="BE139" s="380"/>
      <c r="BF139" s="380"/>
      <c r="BG139" s="380"/>
      <c r="BH139" s="380"/>
      <c r="BI139" s="380"/>
      <c r="BJ139" s="380"/>
      <c r="BK139" s="380"/>
      <c r="BL139" s="380"/>
      <c r="BM139" s="380"/>
      <c r="BN139" s="380"/>
      <c r="BO139" s="380"/>
      <c r="BP139" s="380"/>
      <c r="BQ139" s="380"/>
      <c r="BR139" s="380"/>
      <c r="BS139" s="380"/>
      <c r="BT139" s="380"/>
      <c r="BU139" s="380"/>
      <c r="BV139" s="380"/>
      <c r="BW139" s="380"/>
      <c r="BX139" s="380"/>
      <c r="BY139" s="380"/>
      <c r="BZ139" s="380"/>
      <c r="CA139" s="380"/>
      <c r="CB139" s="380"/>
      <c r="CC139" s="380"/>
      <c r="CD139" s="380"/>
      <c r="CE139" s="380"/>
      <c r="CF139" s="380"/>
    </row>
    <row r="140" spans="13:84">
      <c r="M140" s="543"/>
      <c r="O140" s="9"/>
      <c r="Q140" s="234"/>
      <c r="R140" s="380"/>
      <c r="S140" s="380"/>
      <c r="T140" s="380"/>
      <c r="U140" s="380"/>
      <c r="V140" s="380"/>
      <c r="W140" s="380"/>
      <c r="X140" s="380"/>
      <c r="Y140" s="380"/>
      <c r="Z140" s="380"/>
      <c r="AA140" s="380"/>
      <c r="AB140" s="380"/>
      <c r="AC140" s="380"/>
      <c r="AD140" s="380"/>
      <c r="AE140" s="380"/>
      <c r="AF140" s="380"/>
      <c r="AG140" s="380"/>
      <c r="AH140" s="380"/>
      <c r="AI140" s="380"/>
      <c r="AJ140" s="380"/>
      <c r="AK140" s="380"/>
      <c r="AL140" s="380"/>
      <c r="AM140" s="380"/>
      <c r="AN140" s="380"/>
      <c r="AO140" s="380"/>
      <c r="AP140" s="380"/>
      <c r="AQ140" s="380"/>
      <c r="AR140" s="380"/>
      <c r="AS140" s="380"/>
      <c r="AT140" s="380"/>
      <c r="AU140" s="380"/>
      <c r="AV140" s="380"/>
      <c r="AW140" s="380"/>
      <c r="AX140" s="380"/>
      <c r="AY140" s="380"/>
      <c r="AZ140" s="380"/>
      <c r="BA140" s="380"/>
      <c r="BB140" s="380"/>
      <c r="BC140" s="380"/>
      <c r="BD140" s="380"/>
      <c r="BE140" s="380"/>
      <c r="BF140" s="380"/>
      <c r="BG140" s="380"/>
      <c r="BH140" s="380"/>
      <c r="BI140" s="380"/>
      <c r="BJ140" s="380"/>
      <c r="BK140" s="380"/>
      <c r="BL140" s="380"/>
      <c r="BM140" s="380"/>
      <c r="BN140" s="380"/>
      <c r="BO140" s="380"/>
      <c r="BP140" s="380"/>
      <c r="BQ140" s="380"/>
      <c r="BR140" s="380"/>
      <c r="BS140" s="380"/>
      <c r="BT140" s="380"/>
      <c r="BU140" s="380"/>
      <c r="BV140" s="380"/>
      <c r="BW140" s="380"/>
      <c r="BX140" s="380"/>
      <c r="BY140" s="380"/>
      <c r="BZ140" s="380"/>
      <c r="CA140" s="380"/>
      <c r="CB140" s="380"/>
      <c r="CC140" s="380"/>
      <c r="CD140" s="380"/>
      <c r="CE140" s="380"/>
      <c r="CF140" s="380"/>
    </row>
    <row r="141" spans="13:84">
      <c r="M141" s="543"/>
      <c r="O141" s="9"/>
      <c r="Q141" s="234"/>
      <c r="R141" s="380"/>
      <c r="S141" s="380"/>
      <c r="T141" s="380"/>
      <c r="U141" s="380"/>
      <c r="V141" s="380"/>
      <c r="W141" s="380"/>
      <c r="X141" s="380"/>
      <c r="Y141" s="380"/>
      <c r="Z141" s="380"/>
      <c r="AA141" s="380"/>
      <c r="AB141" s="380"/>
      <c r="AC141" s="380"/>
      <c r="AD141" s="380"/>
      <c r="AE141" s="380"/>
      <c r="AF141" s="380"/>
      <c r="AG141" s="380"/>
      <c r="AH141" s="380"/>
      <c r="AI141" s="380"/>
      <c r="AJ141" s="380"/>
      <c r="AK141" s="380"/>
      <c r="AL141" s="380"/>
      <c r="AM141" s="380"/>
      <c r="AN141" s="380"/>
      <c r="AO141" s="380"/>
      <c r="AP141" s="380"/>
      <c r="AQ141" s="380"/>
      <c r="AR141" s="380"/>
      <c r="AS141" s="380"/>
      <c r="AT141" s="380"/>
      <c r="AU141" s="380"/>
      <c r="AV141" s="380"/>
      <c r="AW141" s="380"/>
      <c r="AX141" s="380"/>
      <c r="AY141" s="380"/>
      <c r="AZ141" s="380"/>
      <c r="BA141" s="380"/>
      <c r="BB141" s="380"/>
      <c r="BC141" s="380"/>
      <c r="BD141" s="380"/>
      <c r="BE141" s="380"/>
      <c r="BF141" s="380"/>
      <c r="BG141" s="380"/>
      <c r="BH141" s="380"/>
      <c r="BI141" s="380"/>
      <c r="BJ141" s="380"/>
      <c r="BK141" s="380"/>
      <c r="BL141" s="380"/>
      <c r="BM141" s="380"/>
      <c r="BN141" s="380"/>
      <c r="BO141" s="380"/>
      <c r="BP141" s="380"/>
      <c r="BQ141" s="380"/>
      <c r="BR141" s="380"/>
      <c r="BS141" s="380"/>
      <c r="BT141" s="380"/>
      <c r="BU141" s="380"/>
      <c r="BV141" s="380"/>
      <c r="BW141" s="380"/>
      <c r="BX141" s="380"/>
      <c r="BY141" s="380"/>
      <c r="BZ141" s="380"/>
      <c r="CA141" s="380"/>
      <c r="CB141" s="380"/>
      <c r="CC141" s="380"/>
      <c r="CD141" s="380"/>
      <c r="CE141" s="380"/>
      <c r="CF141" s="380"/>
    </row>
    <row r="142" spans="13:84">
      <c r="M142" s="543"/>
      <c r="O142" s="9"/>
      <c r="Q142" s="234"/>
      <c r="R142" s="380"/>
      <c r="S142" s="380"/>
      <c r="T142" s="380"/>
      <c r="U142" s="380"/>
      <c r="V142" s="380"/>
      <c r="W142" s="380"/>
      <c r="X142" s="380"/>
      <c r="Y142" s="380"/>
      <c r="Z142" s="380"/>
      <c r="AA142" s="380"/>
      <c r="AB142" s="380"/>
      <c r="AC142" s="380"/>
      <c r="AD142" s="380"/>
      <c r="AE142" s="380"/>
      <c r="AF142" s="380"/>
      <c r="AG142" s="380"/>
      <c r="AH142" s="380"/>
      <c r="AI142" s="380"/>
      <c r="AJ142" s="380"/>
      <c r="AK142" s="380"/>
      <c r="AL142" s="380"/>
      <c r="AM142" s="380"/>
      <c r="AN142" s="380"/>
      <c r="AO142" s="380"/>
      <c r="AP142" s="380"/>
      <c r="AQ142" s="380"/>
      <c r="AR142" s="380"/>
      <c r="AS142" s="380"/>
      <c r="AT142" s="380"/>
      <c r="AU142" s="380"/>
      <c r="AV142" s="380"/>
      <c r="AW142" s="380"/>
      <c r="AX142" s="380"/>
      <c r="AY142" s="380"/>
      <c r="AZ142" s="380"/>
      <c r="BA142" s="380"/>
      <c r="BB142" s="380"/>
      <c r="BC142" s="380"/>
      <c r="BD142" s="380"/>
      <c r="BE142" s="380"/>
      <c r="BF142" s="380"/>
      <c r="BG142" s="380"/>
      <c r="BH142" s="380"/>
      <c r="BI142" s="380"/>
      <c r="BJ142" s="380"/>
      <c r="BK142" s="380"/>
      <c r="BL142" s="380"/>
      <c r="BM142" s="380"/>
      <c r="BN142" s="380"/>
      <c r="BO142" s="380"/>
      <c r="BP142" s="380"/>
      <c r="BQ142" s="380"/>
      <c r="BR142" s="380"/>
      <c r="BS142" s="380"/>
      <c r="BT142" s="380"/>
      <c r="BU142" s="380"/>
      <c r="BV142" s="380"/>
      <c r="BW142" s="380"/>
      <c r="BX142" s="380"/>
      <c r="BY142" s="380"/>
      <c r="BZ142" s="380"/>
      <c r="CA142" s="380"/>
      <c r="CB142" s="380"/>
      <c r="CC142" s="380"/>
      <c r="CD142" s="380"/>
      <c r="CE142" s="380"/>
      <c r="CF142" s="380"/>
    </row>
    <row r="143" spans="13:84">
      <c r="M143" s="543"/>
      <c r="O143" s="9"/>
      <c r="Q143" s="234"/>
      <c r="R143" s="380"/>
      <c r="S143" s="380"/>
      <c r="T143" s="380"/>
      <c r="U143" s="380"/>
      <c r="V143" s="380"/>
      <c r="W143" s="380"/>
      <c r="X143" s="380"/>
      <c r="Y143" s="380"/>
      <c r="Z143" s="380"/>
      <c r="AA143" s="380"/>
      <c r="AB143" s="380"/>
      <c r="AC143" s="380"/>
      <c r="AD143" s="380"/>
      <c r="AE143" s="380"/>
      <c r="AF143" s="380"/>
      <c r="AG143" s="380"/>
      <c r="AH143" s="380"/>
      <c r="AI143" s="380"/>
      <c r="AJ143" s="380"/>
      <c r="AK143" s="380"/>
      <c r="AL143" s="380"/>
      <c r="AM143" s="380"/>
      <c r="AN143" s="380"/>
      <c r="AO143" s="380"/>
      <c r="AP143" s="380"/>
      <c r="AQ143" s="380"/>
      <c r="AR143" s="380"/>
      <c r="AS143" s="380"/>
      <c r="AT143" s="380"/>
      <c r="AU143" s="380"/>
      <c r="AV143" s="380"/>
      <c r="AW143" s="380"/>
      <c r="AX143" s="380"/>
      <c r="AY143" s="380"/>
      <c r="AZ143" s="380"/>
      <c r="BA143" s="380"/>
      <c r="BB143" s="380"/>
      <c r="BC143" s="380"/>
      <c r="BD143" s="380"/>
      <c r="BE143" s="380"/>
      <c r="BF143" s="380"/>
      <c r="BG143" s="380"/>
      <c r="BH143" s="380"/>
      <c r="BI143" s="380"/>
      <c r="BJ143" s="380"/>
      <c r="BK143" s="380"/>
      <c r="BL143" s="380"/>
      <c r="BM143" s="380"/>
      <c r="BN143" s="380"/>
      <c r="BO143" s="380"/>
      <c r="BP143" s="380"/>
      <c r="BQ143" s="380"/>
      <c r="BR143" s="380"/>
      <c r="BS143" s="380"/>
      <c r="BT143" s="380"/>
      <c r="BU143" s="380"/>
      <c r="BV143" s="380"/>
      <c r="BW143" s="380"/>
      <c r="BX143" s="380"/>
      <c r="BY143" s="380"/>
      <c r="BZ143" s="380"/>
      <c r="CA143" s="380"/>
      <c r="CB143" s="380"/>
      <c r="CC143" s="380"/>
      <c r="CD143" s="380"/>
      <c r="CE143" s="380"/>
      <c r="CF143" s="380"/>
    </row>
    <row r="144" spans="13:84">
      <c r="M144" s="543"/>
      <c r="O144" s="9"/>
      <c r="Q144" s="234"/>
      <c r="R144" s="380"/>
      <c r="S144" s="380"/>
      <c r="T144" s="380"/>
      <c r="U144" s="380"/>
      <c r="V144" s="380"/>
      <c r="W144" s="380"/>
      <c r="X144" s="380"/>
      <c r="Y144" s="380"/>
      <c r="Z144" s="380"/>
      <c r="AA144" s="380"/>
      <c r="AB144" s="380"/>
      <c r="AC144" s="380"/>
      <c r="AD144" s="380"/>
      <c r="AE144" s="380"/>
      <c r="AF144" s="380"/>
      <c r="AG144" s="380"/>
      <c r="AH144" s="380"/>
      <c r="AI144" s="380"/>
      <c r="AJ144" s="380"/>
      <c r="AK144" s="380"/>
      <c r="AL144" s="380"/>
      <c r="AM144" s="380"/>
      <c r="AN144" s="380"/>
      <c r="AO144" s="380"/>
      <c r="AP144" s="380"/>
      <c r="AQ144" s="380"/>
      <c r="AR144" s="380"/>
      <c r="AS144" s="380"/>
      <c r="AT144" s="380"/>
      <c r="AU144" s="380"/>
      <c r="AV144" s="380"/>
      <c r="AW144" s="380"/>
      <c r="AX144" s="380"/>
      <c r="AY144" s="380"/>
      <c r="AZ144" s="380"/>
      <c r="BA144" s="380"/>
      <c r="BB144" s="380"/>
      <c r="BC144" s="380"/>
      <c r="BD144" s="380"/>
      <c r="BE144" s="380"/>
      <c r="BF144" s="380"/>
      <c r="BG144" s="380"/>
      <c r="BH144" s="380"/>
      <c r="BI144" s="380"/>
      <c r="BJ144" s="380"/>
      <c r="BK144" s="380"/>
      <c r="BL144" s="380"/>
      <c r="BM144" s="380"/>
      <c r="BN144" s="380"/>
      <c r="BO144" s="380"/>
      <c r="BP144" s="380"/>
      <c r="BQ144" s="380"/>
      <c r="BR144" s="380"/>
      <c r="BS144" s="380"/>
      <c r="BT144" s="380"/>
      <c r="BU144" s="380"/>
      <c r="BV144" s="380"/>
      <c r="BW144" s="380"/>
      <c r="BX144" s="380"/>
      <c r="BY144" s="380"/>
      <c r="BZ144" s="380"/>
      <c r="CA144" s="380"/>
      <c r="CB144" s="380"/>
      <c r="CC144" s="380"/>
      <c r="CD144" s="380"/>
      <c r="CE144" s="380"/>
      <c r="CF144" s="380"/>
    </row>
    <row r="145" spans="13:84">
      <c r="M145" s="543"/>
      <c r="O145" s="9"/>
      <c r="Q145" s="234"/>
      <c r="R145" s="380"/>
      <c r="S145" s="380"/>
      <c r="T145" s="380"/>
      <c r="U145" s="380"/>
      <c r="V145" s="380"/>
      <c r="W145" s="380"/>
      <c r="X145" s="380"/>
      <c r="Y145" s="380"/>
      <c r="Z145" s="380"/>
      <c r="AA145" s="380"/>
      <c r="AB145" s="380"/>
      <c r="AC145" s="380"/>
      <c r="AD145" s="380"/>
      <c r="AE145" s="380"/>
      <c r="AF145" s="380"/>
      <c r="AG145" s="380"/>
      <c r="AH145" s="380"/>
      <c r="AI145" s="380"/>
      <c r="AJ145" s="380"/>
      <c r="AK145" s="380"/>
      <c r="AL145" s="380"/>
      <c r="AM145" s="380"/>
      <c r="AN145" s="380"/>
      <c r="AO145" s="380"/>
      <c r="AP145" s="380"/>
      <c r="AQ145" s="380"/>
      <c r="AR145" s="380"/>
      <c r="AS145" s="380"/>
      <c r="AT145" s="380"/>
      <c r="AU145" s="380"/>
      <c r="AV145" s="380"/>
      <c r="AW145" s="380"/>
      <c r="AX145" s="380"/>
      <c r="AY145" s="380"/>
      <c r="AZ145" s="380"/>
      <c r="BA145" s="380"/>
      <c r="BB145" s="380"/>
      <c r="BC145" s="380"/>
      <c r="BD145" s="380"/>
      <c r="BE145" s="380"/>
      <c r="BF145" s="380"/>
      <c r="BG145" s="380"/>
      <c r="BH145" s="380"/>
      <c r="BI145" s="380"/>
      <c r="BJ145" s="380"/>
      <c r="BK145" s="380"/>
      <c r="BL145" s="380"/>
      <c r="BM145" s="380"/>
      <c r="BN145" s="380"/>
      <c r="BO145" s="380"/>
      <c r="BP145" s="380"/>
      <c r="BQ145" s="380"/>
      <c r="BR145" s="380"/>
      <c r="BS145" s="380"/>
      <c r="BT145" s="380"/>
      <c r="BU145" s="380"/>
      <c r="BV145" s="380"/>
      <c r="BW145" s="380"/>
      <c r="BX145" s="380"/>
      <c r="BY145" s="380"/>
      <c r="BZ145" s="380"/>
      <c r="CA145" s="380"/>
      <c r="CB145" s="380"/>
      <c r="CC145" s="380"/>
      <c r="CD145" s="380"/>
      <c r="CE145" s="380"/>
      <c r="CF145" s="380"/>
    </row>
    <row r="146" spans="13:84">
      <c r="M146" s="543"/>
      <c r="O146" s="9"/>
      <c r="Q146" s="234"/>
      <c r="R146" s="380"/>
      <c r="S146" s="380"/>
      <c r="T146" s="380"/>
      <c r="U146" s="380"/>
      <c r="V146" s="380"/>
      <c r="W146" s="380"/>
      <c r="X146" s="380"/>
      <c r="Y146" s="380"/>
      <c r="Z146" s="380"/>
      <c r="AA146" s="380"/>
      <c r="AB146" s="380"/>
      <c r="AC146" s="380"/>
      <c r="AD146" s="380"/>
      <c r="AE146" s="380"/>
      <c r="AF146" s="380"/>
      <c r="AG146" s="380"/>
      <c r="AH146" s="380"/>
      <c r="AI146" s="380"/>
      <c r="AJ146" s="380"/>
      <c r="AK146" s="380"/>
      <c r="AL146" s="380"/>
      <c r="AM146" s="380"/>
      <c r="AN146" s="380"/>
      <c r="AO146" s="380"/>
      <c r="AP146" s="380"/>
      <c r="AQ146" s="380"/>
      <c r="AR146" s="380"/>
      <c r="AS146" s="380"/>
      <c r="AT146" s="380"/>
      <c r="AU146" s="380"/>
      <c r="AV146" s="380"/>
      <c r="AW146" s="380"/>
      <c r="AX146" s="380"/>
      <c r="AY146" s="380"/>
      <c r="AZ146" s="380"/>
      <c r="BA146" s="380"/>
      <c r="BB146" s="380"/>
      <c r="BC146" s="380"/>
      <c r="BD146" s="380"/>
      <c r="BE146" s="380"/>
      <c r="BF146" s="380"/>
      <c r="BG146" s="380"/>
      <c r="BH146" s="380"/>
      <c r="BI146" s="380"/>
      <c r="BJ146" s="380"/>
      <c r="BK146" s="380"/>
      <c r="BL146" s="380"/>
      <c r="BM146" s="380"/>
      <c r="BN146" s="380"/>
      <c r="BO146" s="380"/>
      <c r="BP146" s="380"/>
      <c r="BQ146" s="380"/>
      <c r="BR146" s="380"/>
      <c r="BS146" s="380"/>
      <c r="BT146" s="380"/>
      <c r="BU146" s="380"/>
      <c r="BV146" s="380"/>
      <c r="BW146" s="380"/>
      <c r="BX146" s="380"/>
      <c r="BY146" s="380"/>
      <c r="BZ146" s="380"/>
      <c r="CA146" s="380"/>
      <c r="CB146" s="380"/>
      <c r="CC146" s="380"/>
      <c r="CD146" s="380"/>
      <c r="CE146" s="380"/>
      <c r="CF146" s="380"/>
    </row>
    <row r="147" spans="13:84">
      <c r="M147" s="543"/>
    </row>
    <row r="148" spans="13:84">
      <c r="M148" s="543"/>
    </row>
    <row r="149" spans="13:84">
      <c r="M149" s="543"/>
    </row>
    <row r="150" spans="13:84">
      <c r="M150" s="543"/>
    </row>
    <row r="151" spans="13:84">
      <c r="M151" s="543"/>
    </row>
    <row r="152" spans="13:84">
      <c r="M152" s="543"/>
    </row>
    <row r="153" spans="13:84">
      <c r="M153" s="543"/>
    </row>
    <row r="154" spans="13:84">
      <c r="M154" s="543"/>
    </row>
    <row r="155" spans="13:84">
      <c r="M155" s="543"/>
    </row>
    <row r="156" spans="13:84">
      <c r="M156" s="543"/>
    </row>
    <row r="157" spans="13:84">
      <c r="M157" s="543"/>
    </row>
    <row r="158" spans="13:84">
      <c r="M158" s="543"/>
    </row>
    <row r="159" spans="13:84">
      <c r="M159" s="543"/>
    </row>
    <row r="160" spans="13:84">
      <c r="M160" s="543"/>
    </row>
    <row r="161" spans="13:13">
      <c r="M161" s="543"/>
    </row>
    <row r="162" spans="13:13">
      <c r="M162" s="543"/>
    </row>
    <row r="163" spans="13:13">
      <c r="M163" s="543"/>
    </row>
    <row r="164" spans="13:13">
      <c r="M164" s="543"/>
    </row>
    <row r="165" spans="13:13">
      <c r="M165" s="543"/>
    </row>
    <row r="166" spans="13:13">
      <c r="M166" s="543"/>
    </row>
    <row r="167" spans="13:13">
      <c r="M167" s="543"/>
    </row>
    <row r="168" spans="13:13">
      <c r="M168" s="543"/>
    </row>
    <row r="169" spans="13:13">
      <c r="M169" s="543"/>
    </row>
    <row r="170" spans="13:13">
      <c r="M170" s="543"/>
    </row>
    <row r="171" spans="13:13">
      <c r="M171" s="543"/>
    </row>
    <row r="172" spans="13:13">
      <c r="M172" s="543"/>
    </row>
    <row r="173" spans="13:13">
      <c r="M173" s="543"/>
    </row>
    <row r="174" spans="13:13">
      <c r="M174" s="543"/>
    </row>
    <row r="175" spans="13:13">
      <c r="M175" s="543"/>
    </row>
    <row r="176" spans="13:13">
      <c r="M176" s="543"/>
    </row>
    <row r="177" spans="13:13">
      <c r="M177" s="543"/>
    </row>
    <row r="178" spans="13:13">
      <c r="M178" s="543"/>
    </row>
    <row r="179" spans="13:13">
      <c r="M179" s="543"/>
    </row>
    <row r="180" spans="13:13">
      <c r="M180" s="543"/>
    </row>
    <row r="181" spans="13:13">
      <c r="M181" s="543"/>
    </row>
    <row r="182" spans="13:13">
      <c r="M182" s="543"/>
    </row>
    <row r="183" spans="13:13">
      <c r="M183" s="543"/>
    </row>
    <row r="184" spans="13:13">
      <c r="M184" s="543"/>
    </row>
    <row r="185" spans="13:13">
      <c r="M185" s="543"/>
    </row>
    <row r="186" spans="13:13">
      <c r="M186" s="543"/>
    </row>
  </sheetData>
  <dataConsolidate function="product" link="1">
    <dataRefs count="1">
      <dataRef ref="H66:H69" sheet="CAPA"/>
    </dataRefs>
  </dataConsolidate>
  <mergeCells count="28">
    <mergeCell ref="AZ2:BF2"/>
    <mergeCell ref="E9:H9"/>
    <mergeCell ref="J40:K40"/>
    <mergeCell ref="F44:G44"/>
    <mergeCell ref="E66:F66"/>
    <mergeCell ref="F41:G41"/>
    <mergeCell ref="F42:G42"/>
    <mergeCell ref="F43:G43"/>
    <mergeCell ref="E63:F63"/>
    <mergeCell ref="E64:F64"/>
    <mergeCell ref="E65:F65"/>
    <mergeCell ref="F39:G39"/>
    <mergeCell ref="F40:G40"/>
    <mergeCell ref="E77:F77"/>
    <mergeCell ref="E71:F71"/>
    <mergeCell ref="E72:F72"/>
    <mergeCell ref="E73:F73"/>
    <mergeCell ref="E58:F58"/>
    <mergeCell ref="E67:F67"/>
    <mergeCell ref="E68:F68"/>
    <mergeCell ref="E75:F75"/>
    <mergeCell ref="E76:F76"/>
    <mergeCell ref="E69:F69"/>
    <mergeCell ref="C28:D28"/>
    <mergeCell ref="E62:F62"/>
    <mergeCell ref="E70:F70"/>
    <mergeCell ref="E74:F74"/>
    <mergeCell ref="B31:C31"/>
  </mergeCells>
  <conditionalFormatting sqref="I46">
    <cfRule type="containsText" dxfId="456" priority="116" operator="containsText" text="Cuidado">
      <formula>NOT(ISERROR(SEARCH("Cuidado",I46)))</formula>
    </cfRule>
  </conditionalFormatting>
  <conditionalFormatting sqref="B30:D34 F28:H34 J28:K31 J34:K36">
    <cfRule type="expression" dxfId="455" priority="58">
      <formula>$P$1="FALSO"</formula>
    </cfRule>
  </conditionalFormatting>
  <conditionalFormatting sqref="F41">
    <cfRule type="expression" dxfId="454" priority="52">
      <formula>$P$1="VERDADEIRO"</formula>
    </cfRule>
  </conditionalFormatting>
  <conditionalFormatting sqref="F42">
    <cfRule type="expression" dxfId="453" priority="48">
      <formula>$P$1="VERDADEIRO"</formula>
    </cfRule>
  </conditionalFormatting>
  <conditionalFormatting sqref="H41">
    <cfRule type="expression" dxfId="452" priority="39">
      <formula>$P$1="VERDADEIRO"</formula>
    </cfRule>
  </conditionalFormatting>
  <conditionalFormatting sqref="H42">
    <cfRule type="expression" dxfId="451" priority="38">
      <formula>$P$1="VERDADEIRO"</formula>
    </cfRule>
  </conditionalFormatting>
  <conditionalFormatting sqref="H40">
    <cfRule type="expression" dxfId="450" priority="37">
      <formula>$P$1="VERDADEIRO"</formula>
    </cfRule>
  </conditionalFormatting>
  <conditionalFormatting sqref="F43:F44">
    <cfRule type="expression" dxfId="449" priority="36">
      <formula>$P$1="VERDADEIRO"</formula>
    </cfRule>
  </conditionalFormatting>
  <conditionalFormatting sqref="H43:H44">
    <cfRule type="expression" dxfId="448" priority="33">
      <formula>$P$1="VERDADEIRO"</formula>
    </cfRule>
  </conditionalFormatting>
  <conditionalFormatting sqref="B26">
    <cfRule type="expression" dxfId="447" priority="32">
      <formula>$P$1="FALSO"</formula>
    </cfRule>
  </conditionalFormatting>
  <conditionalFormatting sqref="C26">
    <cfRule type="expression" dxfId="446" priority="31">
      <formula>$P$1="FALSO"</formula>
    </cfRule>
  </conditionalFormatting>
  <conditionalFormatting sqref="F39">
    <cfRule type="expression" dxfId="445" priority="29">
      <formula>$P$1="VERDADEIRO"</formula>
    </cfRule>
  </conditionalFormatting>
  <conditionalFormatting sqref="F40">
    <cfRule type="expression" dxfId="444" priority="28">
      <formula>$P$1="VERDADEIRO"</formula>
    </cfRule>
  </conditionalFormatting>
  <conditionalFormatting sqref="H63:H77">
    <cfRule type="expression" dxfId="443" priority="578">
      <formula>$B63&gt;=$J$73</formula>
    </cfRule>
  </conditionalFormatting>
  <dataValidations count="1">
    <dataValidation type="list" allowBlank="1" showInputMessage="1" showErrorMessage="1" sqref="C10" xr:uid="{00000000-0002-0000-0100-000000000000}">
      <formula1>"S/SE/CO,N/NE"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45170" r:id="rId4" name="CheckBoxCVA">
          <controlPr defaultSize="0" autoLine="0" r:id="rId5">
            <anchor moveWithCells="1">
              <from>
                <xdr:col>4</xdr:col>
                <xdr:colOff>38100</xdr:colOff>
                <xdr:row>17</xdr:row>
                <xdr:rowOff>28575</xdr:rowOff>
              </from>
              <to>
                <xdr:col>4</xdr:col>
                <xdr:colOff>190500</xdr:colOff>
                <xdr:row>17</xdr:row>
                <xdr:rowOff>180975</xdr:rowOff>
              </to>
            </anchor>
          </controlPr>
        </control>
      </mc:Choice>
      <mc:Fallback>
        <control shapeId="45170" r:id="rId4" name="CheckBoxCVA"/>
      </mc:Fallback>
    </mc:AlternateContent>
    <mc:AlternateContent xmlns:mc="http://schemas.openxmlformats.org/markup-compatibility/2006">
      <mc:Choice Requires="x14">
        <control shapeId="45169" r:id="rId6" name="CheckBoxEnergia">
          <controlPr defaultSize="0" autoLine="0" r:id="rId7">
            <anchor moveWithCells="1">
              <from>
                <xdr:col>4</xdr:col>
                <xdr:colOff>38100</xdr:colOff>
                <xdr:row>16</xdr:row>
                <xdr:rowOff>28575</xdr:rowOff>
              </from>
              <to>
                <xdr:col>4</xdr:col>
                <xdr:colOff>190500</xdr:colOff>
                <xdr:row>16</xdr:row>
                <xdr:rowOff>180975</xdr:rowOff>
              </to>
            </anchor>
          </controlPr>
        </control>
      </mc:Choice>
      <mc:Fallback>
        <control shapeId="45169" r:id="rId6" name="CheckBoxEnergia"/>
      </mc:Fallback>
    </mc:AlternateContent>
    <mc:AlternateContent xmlns:mc="http://schemas.openxmlformats.org/markup-compatibility/2006">
      <mc:Choice Requires="x14">
        <control shapeId="45167" r:id="rId8" name="CheckAtualizacaosupriment">
          <controlPr defaultSize="0" autoLine="0" r:id="rId9">
            <anchor moveWithCells="1">
              <from>
                <xdr:col>4</xdr:col>
                <xdr:colOff>38100</xdr:colOff>
                <xdr:row>12</xdr:row>
                <xdr:rowOff>19050</xdr:rowOff>
              </from>
              <to>
                <xdr:col>4</xdr:col>
                <xdr:colOff>209550</xdr:colOff>
                <xdr:row>13</xdr:row>
                <xdr:rowOff>0</xdr:rowOff>
              </to>
            </anchor>
          </controlPr>
        </control>
      </mc:Choice>
      <mc:Fallback>
        <control shapeId="45167" r:id="rId8" name="CheckAtualizacaosupriment"/>
      </mc:Fallback>
    </mc:AlternateContent>
    <mc:AlternateContent xmlns:mc="http://schemas.openxmlformats.org/markup-compatibility/2006">
      <mc:Choice Requires="x14">
        <control shapeId="45166" r:id="rId10" name="Checksuprimento">
          <controlPr defaultSize="0" autoLine="0" autoPict="0" r:id="rId11">
            <anchor moveWithCells="1">
              <from>
                <xdr:col>4</xdr:col>
                <xdr:colOff>38100</xdr:colOff>
                <xdr:row>13</xdr:row>
                <xdr:rowOff>9525</xdr:rowOff>
              </from>
              <to>
                <xdr:col>4</xdr:col>
                <xdr:colOff>200025</xdr:colOff>
                <xdr:row>13</xdr:row>
                <xdr:rowOff>190500</xdr:rowOff>
              </to>
            </anchor>
          </controlPr>
        </control>
      </mc:Choice>
      <mc:Fallback>
        <control shapeId="45166" r:id="rId10" name="Checksuprimento"/>
      </mc:Fallback>
    </mc:AlternateContent>
    <mc:AlternateContent xmlns:mc="http://schemas.openxmlformats.org/markup-compatibility/2006">
      <mc:Choice Requires="x14">
        <control shapeId="45145" r:id="rId12" name="Reset_Planilha">
          <controlPr defaultSize="0" autoLine="0" r:id="rId13">
            <anchor moveWithCells="1">
              <from>
                <xdr:col>9</xdr:col>
                <xdr:colOff>447675</xdr:colOff>
                <xdr:row>0</xdr:row>
                <xdr:rowOff>114300</xdr:rowOff>
              </from>
              <to>
                <xdr:col>10</xdr:col>
                <xdr:colOff>228600</xdr:colOff>
                <xdr:row>2</xdr:row>
                <xdr:rowOff>9525</xdr:rowOff>
              </to>
            </anchor>
          </controlPr>
        </control>
      </mc:Choice>
      <mc:Fallback>
        <control shapeId="45145" r:id="rId12" name="Reset_Planilha"/>
      </mc:Fallback>
    </mc:AlternateContent>
    <mc:AlternateContent xmlns:mc="http://schemas.openxmlformats.org/markup-compatibility/2006">
      <mc:Choice Requires="x14">
        <control shapeId="45143" r:id="rId14" name="RBCheckBox">
          <controlPr defaultSize="0" autoLine="0" r:id="rId15">
            <anchor moveWithCells="1">
              <from>
                <xdr:col>4</xdr:col>
                <xdr:colOff>38100</xdr:colOff>
                <xdr:row>15</xdr:row>
                <xdr:rowOff>28575</xdr:rowOff>
              </from>
              <to>
                <xdr:col>4</xdr:col>
                <xdr:colOff>190500</xdr:colOff>
                <xdr:row>15</xdr:row>
                <xdr:rowOff>180975</xdr:rowOff>
              </to>
            </anchor>
          </controlPr>
        </control>
      </mc:Choice>
      <mc:Fallback>
        <control shapeId="45143" r:id="rId14" name="RBCheckBox"/>
      </mc:Fallback>
    </mc:AlternateContent>
    <mc:AlternateContent xmlns:mc="http://schemas.openxmlformats.org/markup-compatibility/2006">
      <mc:Choice Requires="x14">
        <control shapeId="45084" r:id="rId16" name="CheckDemEn">
          <controlPr defaultSize="0" autoLine="0" r:id="rId17">
            <anchor moveWithCells="1">
              <from>
                <xdr:col>4</xdr:col>
                <xdr:colOff>38100</xdr:colOff>
                <xdr:row>11</xdr:row>
                <xdr:rowOff>38100</xdr:rowOff>
              </from>
              <to>
                <xdr:col>4</xdr:col>
                <xdr:colOff>200025</xdr:colOff>
                <xdr:row>11</xdr:row>
                <xdr:rowOff>190500</xdr:rowOff>
              </to>
            </anchor>
          </controlPr>
        </control>
      </mc:Choice>
      <mc:Fallback>
        <control shapeId="45084" r:id="rId16" name="CheckDemEn"/>
      </mc:Fallback>
    </mc:AlternateContent>
    <mc:AlternateContent xmlns:mc="http://schemas.openxmlformats.org/markup-compatibility/2006">
      <mc:Choice Requires="x14">
        <control shapeId="45083" r:id="rId18" name="CheckRA0">
          <controlPr defaultSize="0" autoLine="0" autoPict="0" r:id="rId19">
            <anchor moveWithCells="1">
              <from>
                <xdr:col>4</xdr:col>
                <xdr:colOff>38100</xdr:colOff>
                <xdr:row>14</xdr:row>
                <xdr:rowOff>9525</xdr:rowOff>
              </from>
              <to>
                <xdr:col>4</xdr:col>
                <xdr:colOff>190500</xdr:colOff>
                <xdr:row>15</xdr:row>
                <xdr:rowOff>0</xdr:rowOff>
              </to>
            </anchor>
          </controlPr>
        </control>
      </mc:Choice>
      <mc:Fallback>
        <control shapeId="45083" r:id="rId18" name="CheckRA0"/>
      </mc:Fallback>
    </mc:AlternateContent>
    <mc:AlternateContent xmlns:mc="http://schemas.openxmlformats.org/markup-compatibility/2006">
      <mc:Choice Requires="x14">
        <control shapeId="45081" r:id="rId20" name="Indice">
          <controlPr defaultSize="0" autoLine="0" r:id="rId21">
            <anchor moveWithCells="1">
              <from>
                <xdr:col>4</xdr:col>
                <xdr:colOff>38100</xdr:colOff>
                <xdr:row>10</xdr:row>
                <xdr:rowOff>9525</xdr:rowOff>
              </from>
              <to>
                <xdr:col>4</xdr:col>
                <xdr:colOff>200025</xdr:colOff>
                <xdr:row>10</xdr:row>
                <xdr:rowOff>180975</xdr:rowOff>
              </to>
            </anchor>
          </controlPr>
        </control>
      </mc:Choice>
      <mc:Fallback>
        <control shapeId="45081" r:id="rId20" name="Indice"/>
      </mc:Fallback>
    </mc:AlternateContent>
    <mc:AlternateContent xmlns:mc="http://schemas.openxmlformats.org/markup-compatibility/2006">
      <mc:Choice Requires="x14">
        <control shapeId="45080" r:id="rId22" name="InfoIniciais">
          <controlPr defaultSize="0" autoLine="0" r:id="rId23">
            <anchor moveWithCells="1">
              <from>
                <xdr:col>4</xdr:col>
                <xdr:colOff>38100</xdr:colOff>
                <xdr:row>9</xdr:row>
                <xdr:rowOff>38100</xdr:rowOff>
              </from>
              <to>
                <xdr:col>4</xdr:col>
                <xdr:colOff>180975</xdr:colOff>
                <xdr:row>9</xdr:row>
                <xdr:rowOff>171450</xdr:rowOff>
              </to>
            </anchor>
          </controlPr>
        </control>
      </mc:Choice>
      <mc:Fallback>
        <control shapeId="45080" r:id="rId22" name="InfoIniciais"/>
      </mc:Fallback>
    </mc:AlternateContent>
    <mc:AlternateContent xmlns:mc="http://schemas.openxmlformats.org/markup-compatibility/2006">
      <mc:Choice Requires="x14">
        <control shapeId="45066" r:id="rId24" name="CommandButton1">
          <controlPr defaultSize="0" autoLine="0" r:id="rId25">
            <anchor moveWithCells="1">
              <from>
                <xdr:col>7</xdr:col>
                <xdr:colOff>9525</xdr:colOff>
                <xdr:row>9</xdr:row>
                <xdr:rowOff>9525</xdr:rowOff>
              </from>
              <to>
                <xdr:col>8</xdr:col>
                <xdr:colOff>19050</xdr:colOff>
                <xdr:row>18</xdr:row>
                <xdr:rowOff>9525</xdr:rowOff>
              </to>
            </anchor>
          </controlPr>
        </control>
      </mc:Choice>
      <mc:Fallback>
        <control shapeId="45066" r:id="rId24" name="CommandButton1"/>
      </mc:Fallback>
    </mc:AlternateContent>
  </control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100-000001000000}">
          <x14:formula1>
            <xm:f>'Informações Gerais'!$AR$10:$AR$61</xm:f>
          </x14:formula1>
          <xm:sqref>C9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13">
    <tabColor rgb="FF92D050"/>
    <pageSetUpPr fitToPage="1"/>
  </sheetPr>
  <dimension ref="A1:O113"/>
  <sheetViews>
    <sheetView showGridLines="0" tabSelected="1" zoomScaleNormal="100" workbookViewId="0">
      <selection activeCell="I44" sqref="I44"/>
    </sheetView>
  </sheetViews>
  <sheetFormatPr defaultColWidth="9.140625" defaultRowHeight="15.75" customHeight="1"/>
  <cols>
    <col min="1" max="1" width="2.7109375" style="68" customWidth="1"/>
    <col min="2" max="2" width="52.7109375" style="68" customWidth="1"/>
    <col min="3" max="3" width="18.28515625" style="68" customWidth="1"/>
    <col min="4" max="4" width="20.42578125" style="68" customWidth="1"/>
    <col min="5" max="5" width="12.85546875" style="68" customWidth="1"/>
    <col min="6" max="6" width="15.5703125" style="68" bestFit="1" customWidth="1"/>
    <col min="7" max="7" width="12.42578125" style="68" customWidth="1"/>
    <col min="8" max="8" width="16.5703125" style="68" bestFit="1" customWidth="1"/>
    <col min="9" max="9" width="17" style="68" customWidth="1"/>
    <col min="10" max="10" width="27.140625" style="68" customWidth="1"/>
    <col min="11" max="11" width="47.7109375" style="68" customWidth="1"/>
    <col min="12" max="12" width="17.28515625" style="68" customWidth="1"/>
    <col min="13" max="13" width="17.42578125" style="68" customWidth="1"/>
    <col min="14" max="16384" width="9.140625" style="68"/>
  </cols>
  <sheetData>
    <row r="1" spans="1:15" ht="29.25" customHeight="1">
      <c r="A1" s="139"/>
      <c r="B1" s="1114" t="s">
        <v>814</v>
      </c>
      <c r="C1" s="1115"/>
      <c r="D1" s="70"/>
      <c r="E1" s="70"/>
      <c r="F1" s="70"/>
      <c r="G1" s="75"/>
    </row>
    <row r="2" spans="1:15" ht="16.5">
      <c r="A2" s="139"/>
      <c r="B2" s="633" t="str">
        <f ca="1">CAPA!C9&amp; " - " &amp;CAPA!C110&amp;" "&amp;AnoRefTar</f>
        <v>Ceris - REAJUSTE 2022</v>
      </c>
      <c r="C2" s="70"/>
      <c r="D2" s="70"/>
      <c r="E2" s="70"/>
      <c r="F2" s="70"/>
      <c r="G2" s="75"/>
      <c r="H2" s="380" t="s">
        <v>815</v>
      </c>
      <c r="I2" s="682">
        <v>44761.36990740741</v>
      </c>
      <c r="K2" s="713" t="s">
        <v>816</v>
      </c>
      <c r="L2" s="714"/>
    </row>
    <row r="3" spans="1:15" ht="16.5" customHeight="1">
      <c r="A3" s="139"/>
      <c r="B3" s="1023" t="s">
        <v>817</v>
      </c>
      <c r="C3" s="812"/>
      <c r="D3" s="75"/>
      <c r="E3" s="75"/>
      <c r="F3" s="75"/>
      <c r="G3" s="75"/>
      <c r="H3" s="683" t="s">
        <v>818</v>
      </c>
      <c r="I3" s="683">
        <v>22</v>
      </c>
      <c r="K3" s="715" t="s">
        <v>819</v>
      </c>
      <c r="L3" s="1691">
        <v>0.14591080814957702</v>
      </c>
    </row>
    <row r="4" spans="1:15" ht="16.5">
      <c r="A4" s="139"/>
      <c r="G4" s="75"/>
      <c r="J4" s="9"/>
      <c r="K4" s="715" t="s">
        <v>820</v>
      </c>
      <c r="L4" s="1691">
        <v>0.14418286668512681</v>
      </c>
    </row>
    <row r="5" spans="1:15" ht="16.5" customHeight="1">
      <c r="A5" s="139"/>
      <c r="B5" s="1116" t="s">
        <v>821</v>
      </c>
      <c r="C5" s="1117">
        <f ca="1">D39+D34</f>
        <v>15130110.44210289</v>
      </c>
      <c r="D5" s="143"/>
      <c r="E5" s="79"/>
      <c r="I5" s="141"/>
      <c r="J5" s="274"/>
      <c r="K5" s="716" t="s">
        <v>822</v>
      </c>
      <c r="L5" s="1692">
        <v>0.14427339894388092</v>
      </c>
    </row>
    <row r="6" spans="1:15" ht="16.5" customHeight="1">
      <c r="A6" s="139"/>
      <c r="B6" s="76" t="s">
        <v>823</v>
      </c>
      <c r="C6" s="77">
        <f ca="1">Mercado_RA0_Reais</f>
        <v>13038122.330799989</v>
      </c>
      <c r="D6" s="77"/>
      <c r="E6" s="483"/>
      <c r="I6" s="141"/>
      <c r="J6" s="274"/>
      <c r="K6" s="717" t="s">
        <v>824</v>
      </c>
      <c r="L6" s="1693">
        <v>786.51</v>
      </c>
      <c r="M6" s="79"/>
    </row>
    <row r="7" spans="1:15" ht="16.5" customHeight="1">
      <c r="A7" s="139"/>
      <c r="B7" s="1118" t="str">
        <f>IF(CAPA!P1="FALSO","IRT Economico","Variação econômica")</f>
        <v>Variação econômica</v>
      </c>
      <c r="C7" s="1119">
        <f ca="1">ROUND((C5/C6-1),4)</f>
        <v>0.1605</v>
      </c>
      <c r="D7" s="499"/>
      <c r="E7" s="75"/>
      <c r="I7" s="79"/>
      <c r="K7" s="49" t="s">
        <v>825</v>
      </c>
      <c r="L7" s="997">
        <f>L6/'Tabelas e Gráficos'!U39-1</f>
        <v>0.14200461732804803</v>
      </c>
    </row>
    <row r="8" spans="1:15" ht="16.5" customHeight="1">
      <c r="A8" s="139"/>
      <c r="B8" s="78" t="s">
        <v>826</v>
      </c>
      <c r="C8" s="256">
        <f ca="1">ROUND(Financeiros!E7,4)</f>
        <v>-0.221</v>
      </c>
      <c r="D8" s="500"/>
      <c r="E8" s="75"/>
      <c r="I8" s="79"/>
      <c r="K8" s="718" t="s">
        <v>827</v>
      </c>
      <c r="L8" s="719" t="s">
        <v>828</v>
      </c>
      <c r="M8" s="684" t="s">
        <v>829</v>
      </c>
    </row>
    <row r="9" spans="1:15" ht="16.5" customHeight="1">
      <c r="A9" s="139"/>
      <c r="B9" s="1120" t="str">
        <f>IF(CAPA!P1="FALSO","IRT Economico e Financeiro","Variação econômica e financeira")</f>
        <v>Variação econômica e financeira</v>
      </c>
      <c r="C9" s="1121">
        <f ca="1">ROUND((C7+C8),5)</f>
        <v>-6.0499999999999998E-2</v>
      </c>
      <c r="D9" s="499"/>
      <c r="E9" s="499"/>
      <c r="I9" s="79"/>
      <c r="K9" s="715" t="s">
        <v>101</v>
      </c>
      <c r="L9" s="720">
        <f>Aj.Subsídio!G28*12</f>
        <v>0</v>
      </c>
      <c r="M9" s="720">
        <v>0</v>
      </c>
    </row>
    <row r="10" spans="1:15" ht="16.5" customHeight="1">
      <c r="A10" s="139"/>
      <c r="B10" s="1120" t="s">
        <v>830</v>
      </c>
      <c r="C10" s="1121">
        <f ca="1">ROUND((LnkTXTEfeito-LnkTXTIRTTotal),4)</f>
        <v>0.20480000000000001</v>
      </c>
      <c r="D10" s="722">
        <f ca="1">LnKTxTRA1+Financeiros!D5</f>
        <v>12249283.880645134</v>
      </c>
      <c r="E10" s="75"/>
      <c r="I10" s="79"/>
      <c r="K10" s="715" t="s">
        <v>102</v>
      </c>
      <c r="L10" s="720">
        <f>Aj.Subsídio!G29*12</f>
        <v>0</v>
      </c>
      <c r="M10" s="720">
        <v>0</v>
      </c>
    </row>
    <row r="11" spans="1:15" ht="16.5" customHeight="1">
      <c r="A11" s="139"/>
      <c r="B11" s="1023" t="s">
        <v>831</v>
      </c>
      <c r="C11" s="812"/>
      <c r="D11" s="1122"/>
      <c r="E11" s="1122"/>
      <c r="F11" s="1122"/>
      <c r="G11" s="75"/>
      <c r="K11" s="715" t="s">
        <v>103</v>
      </c>
      <c r="L11" s="720">
        <f>Aj.Subsídio!G30*12</f>
        <v>0</v>
      </c>
      <c r="M11" s="720">
        <v>0</v>
      </c>
    </row>
    <row r="12" spans="1:15" ht="16.5" customHeight="1">
      <c r="E12" s="1123"/>
      <c r="F12" s="1123"/>
      <c r="K12" s="715" t="s">
        <v>104</v>
      </c>
      <c r="L12" s="720">
        <f>Aj.Subsídio!G31*12</f>
        <v>3553.7999999999997</v>
      </c>
      <c r="M12" s="720">
        <v>1989.0907910766045</v>
      </c>
      <c r="O12" s="881"/>
    </row>
    <row r="13" spans="1:15" ht="15" customHeight="1">
      <c r="B13" s="1124"/>
      <c r="C13" s="1125" t="s">
        <v>832</v>
      </c>
      <c r="D13" s="1126" t="s">
        <v>829</v>
      </c>
      <c r="E13" s="1125" t="s">
        <v>833</v>
      </c>
      <c r="F13" s="1124" t="s">
        <v>834</v>
      </c>
      <c r="K13" s="715" t="s">
        <v>105</v>
      </c>
      <c r="L13" s="720">
        <f>Aj.Subsídio!G32*12</f>
        <v>60922.92</v>
      </c>
      <c r="M13" s="720">
        <v>31840.742465441832</v>
      </c>
      <c r="O13" s="881"/>
    </row>
    <row r="14" spans="1:15" ht="14.25">
      <c r="B14" s="1127" t="s">
        <v>835</v>
      </c>
      <c r="C14" s="1128">
        <f ca="1">SUM(C15:C23)</f>
        <v>1121082.7350311058</v>
      </c>
      <c r="D14" s="1129">
        <f ca="1">SUM(D15:D23)</f>
        <v>1654665.1754460253</v>
      </c>
      <c r="E14" s="1130">
        <f t="shared" ref="E14:E34" ca="1" si="0">(D14-C14)/LnkTXTRA0</f>
        <v>4.0924791689861385E-2</v>
      </c>
      <c r="F14" s="1131">
        <f ca="1">IF(ISERROR(D14/C14-1),"-",D14/C14-1)</f>
        <v>0.47595277649166068</v>
      </c>
      <c r="G14" s="291"/>
      <c r="H14" s="101"/>
      <c r="K14" s="715" t="s">
        <v>106</v>
      </c>
      <c r="L14" s="720">
        <f>Aj.Subsídio!G33*12</f>
        <v>0</v>
      </c>
      <c r="M14" s="720">
        <v>0</v>
      </c>
      <c r="O14" s="881"/>
    </row>
    <row r="15" spans="1:15" ht="14.25">
      <c r="B15" s="78" t="s">
        <v>836</v>
      </c>
      <c r="C15" s="224"/>
      <c r="D15" s="133"/>
      <c r="E15" s="222">
        <f t="shared" ca="1" si="0"/>
        <v>0</v>
      </c>
      <c r="F15" s="257" t="str">
        <f t="shared" ref="F15:F32" si="1">IF(ISERROR(D15/C15-1),"-",D15/C15-1)</f>
        <v>-</v>
      </c>
      <c r="G15" s="291"/>
      <c r="K15" s="49"/>
      <c r="L15" s="842"/>
      <c r="M15" s="49"/>
    </row>
    <row r="16" spans="1:15" ht="14.25">
      <c r="B16" s="78" t="s">
        <v>837</v>
      </c>
      <c r="C16" s="224"/>
      <c r="D16" s="133"/>
      <c r="E16" s="222">
        <f t="shared" ca="1" si="0"/>
        <v>0</v>
      </c>
      <c r="F16" s="257" t="str">
        <f t="shared" si="1"/>
        <v>-</v>
      </c>
      <c r="G16" s="291"/>
      <c r="L16" s="842"/>
    </row>
    <row r="17" spans="2:14" ht="14.25">
      <c r="B17" s="78" t="s">
        <v>838</v>
      </c>
      <c r="C17" s="224">
        <f ca="1">Mercado_Faturado_Encargo_TFSEE_BRUTO</f>
        <v>35330.602821184402</v>
      </c>
      <c r="D17" s="133">
        <f ca="1">Encargos!C6</f>
        <v>42024.992316025076</v>
      </c>
      <c r="E17" s="222">
        <f t="shared" ca="1" si="0"/>
        <v>5.134473603631177E-4</v>
      </c>
      <c r="F17" s="257">
        <f t="shared" ca="1" si="1"/>
        <v>0.18947849626915181</v>
      </c>
      <c r="G17" s="291"/>
    </row>
    <row r="18" spans="2:14" ht="14.25">
      <c r="B18" s="78" t="s">
        <v>839</v>
      </c>
      <c r="C18" s="225">
        <f ca="1">Mercado_Faturado_Encargo_CDE_BRUTO</f>
        <v>938941.61184217362</v>
      </c>
      <c r="D18" s="226">
        <f ca="1">Encargos!C7</f>
        <v>1389890.3980500002</v>
      </c>
      <c r="E18" s="223">
        <f t="shared" ca="1" si="0"/>
        <v>3.4586942411373847E-2</v>
      </c>
      <c r="F18" s="257">
        <f t="shared" ca="1" si="1"/>
        <v>0.48027351277262009</v>
      </c>
      <c r="G18" s="291"/>
      <c r="H18" s="141"/>
      <c r="K18" s="49" t="s">
        <v>840</v>
      </c>
      <c r="L18" s="1707">
        <v>44761.399791666663</v>
      </c>
      <c r="M18" s="49"/>
      <c r="N18" s="627"/>
    </row>
    <row r="19" spans="2:14" ht="16.5" customHeight="1">
      <c r="B19" s="78" t="s">
        <v>841</v>
      </c>
      <c r="C19" s="224">
        <f ca="1">Calc_Mercado!S75</f>
        <v>0</v>
      </c>
      <c r="D19" s="133">
        <f>Encargos!C8</f>
        <v>0</v>
      </c>
      <c r="E19" s="222">
        <f t="shared" ca="1" si="0"/>
        <v>0</v>
      </c>
      <c r="F19" s="257" t="str">
        <f t="shared" ca="1" si="1"/>
        <v>-</v>
      </c>
      <c r="G19" s="291"/>
      <c r="K19" s="715" t="s">
        <v>842</v>
      </c>
      <c r="L19" s="715"/>
      <c r="M19" s="715"/>
      <c r="N19" s="294"/>
    </row>
    <row r="20" spans="2:14" ht="14.25">
      <c r="B20" s="78" t="s">
        <v>843</v>
      </c>
      <c r="C20" s="208">
        <f ca="1">Mercado_Faturado_Encargo_ESSERR_BRUTO</f>
        <v>0</v>
      </c>
      <c r="D20" s="133">
        <f>Encargos!C9</f>
        <v>0</v>
      </c>
      <c r="E20" s="222">
        <f t="shared" ca="1" si="0"/>
        <v>0</v>
      </c>
      <c r="F20" s="257" t="str">
        <f t="shared" ca="1" si="1"/>
        <v>-</v>
      </c>
      <c r="G20" s="291"/>
      <c r="K20" s="715" t="s">
        <v>844</v>
      </c>
      <c r="L20" s="721"/>
      <c r="M20" s="721"/>
    </row>
    <row r="21" spans="2:14" ht="14.25">
      <c r="B21" s="78" t="s">
        <v>52</v>
      </c>
      <c r="C21" s="224">
        <f ca="1">Mercado_Faturado_Encargo_PROINFA_BRUTO</f>
        <v>146810.52036774775</v>
      </c>
      <c r="D21" s="133">
        <f ca="1">Encargos!C10</f>
        <v>222749.78508000006</v>
      </c>
      <c r="E21" s="222">
        <f t="shared" ca="1" si="0"/>
        <v>5.824401918124421E-3</v>
      </c>
      <c r="F21" s="257">
        <f t="shared" ca="1" si="1"/>
        <v>0.51726037427039273</v>
      </c>
      <c r="G21" s="291"/>
      <c r="L21" s="197"/>
    </row>
    <row r="22" spans="2:14" ht="14.25">
      <c r="B22" s="78" t="s">
        <v>845</v>
      </c>
      <c r="C22" s="224">
        <f ca="1">Mercado_Faturado_Encargo_PeD_BRUTO*0</f>
        <v>0</v>
      </c>
      <c r="D22" s="403">
        <f>IFERROR(Encargos!C11,0)*0</f>
        <v>0</v>
      </c>
      <c r="E22" s="222">
        <f t="shared" ca="1" si="0"/>
        <v>0</v>
      </c>
      <c r="F22" s="257" t="str">
        <f t="shared" ca="1" si="1"/>
        <v>-</v>
      </c>
      <c r="G22" s="291"/>
      <c r="L22" s="197"/>
    </row>
    <row r="23" spans="2:14" ht="14.25">
      <c r="B23" s="78" t="s">
        <v>54</v>
      </c>
      <c r="C23" s="224">
        <f ca="1">Mercado_Faturado_Encargo_ONS_BRUTO*0</f>
        <v>0</v>
      </c>
      <c r="D23" s="133">
        <f>Encargos!C12</f>
        <v>0</v>
      </c>
      <c r="E23" s="222">
        <f t="shared" ca="1" si="0"/>
        <v>0</v>
      </c>
      <c r="F23" s="257" t="str">
        <f t="shared" ca="1" si="1"/>
        <v>-</v>
      </c>
      <c r="G23" s="291"/>
      <c r="L23" s="197"/>
    </row>
    <row r="24" spans="2:14" ht="16.5">
      <c r="B24" s="1132" t="s">
        <v>846</v>
      </c>
      <c r="C24" s="1128">
        <f ca="1">SUM(C25:C32)</f>
        <v>1746110.8875849585</v>
      </c>
      <c r="D24" s="1129">
        <f>SUM(D25:D32)</f>
        <v>2300281.9677699995</v>
      </c>
      <c r="E24" s="1130">
        <f t="shared" ca="1" si="0"/>
        <v>4.2503902488774885E-2</v>
      </c>
      <c r="F24" s="1131">
        <f t="shared" ca="1" si="1"/>
        <v>0.31737450589493421</v>
      </c>
      <c r="G24" s="291"/>
      <c r="J24"/>
      <c r="K24" s="23"/>
      <c r="L24" s="1694">
        <v>1159349.97</v>
      </c>
    </row>
    <row r="25" spans="2:14" ht="14.25">
      <c r="B25" s="81" t="s">
        <v>761</v>
      </c>
      <c r="C25" s="224">
        <f ca="1">IFERROR(Calc_Mercado!C91,0)</f>
        <v>0</v>
      </c>
      <c r="D25" s="133">
        <f>'Rede Básica + Ajuste'!D9+'Rede Básica + Ajuste'!D10</f>
        <v>0</v>
      </c>
      <c r="E25" s="222">
        <f t="shared" ref="E25:E32" ca="1" si="2">(D25-C25)/LnkTXTRA0</f>
        <v>0</v>
      </c>
      <c r="F25" s="258" t="str">
        <f t="shared" ca="1" si="1"/>
        <v>-</v>
      </c>
      <c r="G25" s="291"/>
      <c r="J25" s="197"/>
      <c r="K25" s="197"/>
      <c r="L25" s="1694">
        <v>263891.19</v>
      </c>
    </row>
    <row r="26" spans="2:14" ht="14.25">
      <c r="B26" s="81" t="s">
        <v>763</v>
      </c>
      <c r="C26" s="224">
        <f ca="1">IFERROR(Calc_Mercado!C89,0)</f>
        <v>0</v>
      </c>
      <c r="D26" s="133">
        <f>'Rede Básica + Ajuste'!E9+'Rede Básica + Ajuste'!E10</f>
        <v>0</v>
      </c>
      <c r="E26" s="222">
        <f t="shared" ca="1" si="2"/>
        <v>0</v>
      </c>
      <c r="F26" s="258" t="str">
        <f t="shared" ca="1" si="1"/>
        <v>-</v>
      </c>
      <c r="G26" s="291"/>
      <c r="J26" s="197"/>
      <c r="K26" s="197"/>
      <c r="L26" s="1694">
        <v>1103400</v>
      </c>
    </row>
    <row r="27" spans="2:14" ht="14.25">
      <c r="B27" s="81" t="s">
        <v>847</v>
      </c>
      <c r="D27" s="252">
        <v>0</v>
      </c>
      <c r="E27" s="222">
        <f t="shared" ca="1" si="2"/>
        <v>0</v>
      </c>
      <c r="F27" s="258" t="str">
        <f t="shared" si="1"/>
        <v>-</v>
      </c>
      <c r="G27" s="291"/>
      <c r="H27" s="261"/>
      <c r="L27" s="1694">
        <v>-289233.99</v>
      </c>
    </row>
    <row r="28" spans="2:14" ht="14.25">
      <c r="B28" s="81" t="s">
        <v>848</v>
      </c>
      <c r="D28" s="252">
        <v>0</v>
      </c>
      <c r="E28" s="222">
        <f t="shared" ca="1" si="2"/>
        <v>0</v>
      </c>
      <c r="F28" s="258" t="str">
        <f t="shared" si="1"/>
        <v>-</v>
      </c>
      <c r="G28" s="291"/>
      <c r="H28" s="261"/>
      <c r="L28" s="1694">
        <v>17912.060000000001</v>
      </c>
    </row>
    <row r="29" spans="2:14" ht="16.5" customHeight="1">
      <c r="B29" s="81" t="s">
        <v>849</v>
      </c>
      <c r="C29" s="224"/>
      <c r="D29" s="252">
        <v>0</v>
      </c>
      <c r="E29" s="222">
        <f t="shared" ca="1" si="2"/>
        <v>0</v>
      </c>
      <c r="F29" s="258" t="str">
        <f t="shared" si="1"/>
        <v>-</v>
      </c>
      <c r="G29" s="291"/>
      <c r="H29" s="261"/>
      <c r="L29" s="1694">
        <v>35824.129999999997</v>
      </c>
    </row>
    <row r="30" spans="2:14" ht="14.25">
      <c r="B30" s="81" t="s">
        <v>850</v>
      </c>
      <c r="C30" s="224"/>
      <c r="D30" s="252">
        <v>0</v>
      </c>
      <c r="E30" s="222">
        <f t="shared" ca="1" si="2"/>
        <v>0</v>
      </c>
      <c r="F30" s="258" t="str">
        <f t="shared" si="1"/>
        <v>-</v>
      </c>
      <c r="G30" s="291"/>
      <c r="H30" s="261"/>
      <c r="L30" s="1694">
        <v>17912.060000000001</v>
      </c>
    </row>
    <row r="31" spans="2:14" ht="14.25">
      <c r="B31" s="81" t="s">
        <v>764</v>
      </c>
      <c r="C31" s="224">
        <f ca="1">IFERROR(Calc_Mercado!C95,0)</f>
        <v>0</v>
      </c>
      <c r="D31" s="133">
        <f>'Conexão '!E21</f>
        <v>0</v>
      </c>
      <c r="E31" s="222">
        <f t="shared" ca="1" si="2"/>
        <v>0</v>
      </c>
      <c r="F31" s="258" t="str">
        <f t="shared" ca="1" si="1"/>
        <v>-</v>
      </c>
      <c r="G31" s="117"/>
      <c r="H31" s="117"/>
      <c r="L31" s="1694">
        <v>-806094.34</v>
      </c>
    </row>
    <row r="32" spans="2:14" ht="14.25">
      <c r="B32" s="81" t="s">
        <v>765</v>
      </c>
      <c r="C32" s="224">
        <f ca="1">Calc_Mercado!C96</f>
        <v>1746110.8875849585</v>
      </c>
      <c r="D32" s="133">
        <f>CUSD!C3</f>
        <v>2300281.9677699995</v>
      </c>
      <c r="E32" s="222">
        <f t="shared" ca="1" si="2"/>
        <v>4.2503902488774885E-2</v>
      </c>
      <c r="F32" s="258">
        <f t="shared" ca="1" si="1"/>
        <v>0.31737450589493421</v>
      </c>
      <c r="G32" s="291"/>
      <c r="L32" s="1694">
        <v>1092687.3400000001</v>
      </c>
    </row>
    <row r="33" spans="2:12" ht="14.25">
      <c r="B33" s="1132" t="s">
        <v>158</v>
      </c>
      <c r="C33" s="1128">
        <f ca="1">SUM(Calc_Mercado!C79:C84)</f>
        <v>2520744.7105923761</v>
      </c>
      <c r="D33" s="1129">
        <f ca="1">Energia!F23</f>
        <v>2288467.0436729463</v>
      </c>
      <c r="E33" s="1130">
        <f t="shared" ca="1" si="0"/>
        <v>-1.7815269793160299E-2</v>
      </c>
      <c r="F33" s="1131">
        <f ca="1">IF(ISERROR(D33/C33-1),"-",D33/C33-1)</f>
        <v>-9.2146446224157463E-2</v>
      </c>
      <c r="G33" s="291"/>
      <c r="L33" s="1694">
        <v>286593</v>
      </c>
    </row>
    <row r="34" spans="2:12" ht="14.25">
      <c r="B34" s="1133" t="s">
        <v>851</v>
      </c>
      <c r="C34" s="1651">
        <f ca="1">C14+C24+C33</f>
        <v>5387938.3332084399</v>
      </c>
      <c r="D34" s="1134">
        <f ca="1">D33+D24+D14</f>
        <v>6243414.1868889714</v>
      </c>
      <c r="E34" s="1652">
        <f t="shared" ca="1" si="0"/>
        <v>6.5613424385476016E-2</v>
      </c>
      <c r="F34" s="1135">
        <f ca="1">IF(ISERROR(D34/C34-1),"-",D34/C34-1)</f>
        <v>0.15877610335809234</v>
      </c>
      <c r="G34" s="291"/>
      <c r="L34" s="1695">
        <f>SUM(L24:L32)</f>
        <v>2595648.42</v>
      </c>
    </row>
    <row r="35" spans="2:12" ht="14.25">
      <c r="G35" s="69"/>
      <c r="H35" s="108"/>
      <c r="L35" s="69"/>
    </row>
    <row r="36" spans="2:12" ht="14.25">
      <c r="B36" s="1023" t="s">
        <v>84</v>
      </c>
      <c r="C36" s="812"/>
      <c r="D36" s="812"/>
      <c r="E36" s="1122"/>
      <c r="F36" s="1122"/>
      <c r="G36" s="69"/>
      <c r="L36" s="69"/>
    </row>
    <row r="37" spans="2:12" ht="8.25" customHeight="1">
      <c r="G37" s="69"/>
      <c r="H37" s="141"/>
      <c r="L37" s="69"/>
    </row>
    <row r="38" spans="2:12" ht="15.75" customHeight="1">
      <c r="B38" s="685"/>
      <c r="C38" s="685" t="s">
        <v>832</v>
      </c>
      <c r="D38" s="685" t="s">
        <v>829</v>
      </c>
      <c r="E38" s="1136" t="s">
        <v>833</v>
      </c>
      <c r="F38" s="685" t="s">
        <v>834</v>
      </c>
      <c r="G38" s="69"/>
      <c r="H38" s="142"/>
    </row>
    <row r="39" spans="2:12" ht="15.75" customHeight="1">
      <c r="B39" s="1137" t="s">
        <v>852</v>
      </c>
      <c r="C39" s="1138">
        <f ca="1">LnkTXTRA0-C34</f>
        <v>7650183.9975915495</v>
      </c>
      <c r="D39" s="1139">
        <f>IFERROR(IF(CAPA!P1="VERDADEIRO",SMALL(IF(LnkTXTPBReq=0,CAPA!K29,LnkTXTPBReq):LNKTXTLImPB,1),C39*(1+LnkTXTIPCA-CAPA!H42)),0)</f>
        <v>8886696.2552139182</v>
      </c>
      <c r="E39" s="1653">
        <f ca="1">(D39-C39)/LnkTXTRA0</f>
        <v>9.483821567629816E-2</v>
      </c>
      <c r="F39" s="1140">
        <f ca="1">IF(ISERROR(D39/C39-1),"-",D39/C39-1)</f>
        <v>0.16163170167039786</v>
      </c>
      <c r="G39" s="69"/>
      <c r="H39" s="141"/>
    </row>
    <row r="40" spans="2:12" ht="14.25">
      <c r="B40" s="724"/>
      <c r="C40" s="725"/>
      <c r="D40" s="726"/>
      <c r="E40" s="724"/>
      <c r="F40" s="724"/>
    </row>
    <row r="41" spans="2:12" ht="14.25">
      <c r="B41" s="1023" t="s">
        <v>853</v>
      </c>
      <c r="C41" s="812"/>
      <c r="D41" s="812"/>
      <c r="E41" s="1122"/>
      <c r="F41" s="1122"/>
    </row>
    <row r="42" spans="2:12" ht="9" customHeight="1">
      <c r="E42" s="75"/>
      <c r="F42" s="75"/>
    </row>
    <row r="43" spans="2:12" ht="15.75" customHeight="1">
      <c r="B43" s="724"/>
      <c r="C43" s="1124" t="s">
        <v>854</v>
      </c>
      <c r="D43" s="1124" t="s">
        <v>833</v>
      </c>
      <c r="E43" s="472" t="s">
        <v>855</v>
      </c>
      <c r="F43" s="472"/>
      <c r="G43" s="472"/>
    </row>
    <row r="44" spans="2:12" ht="15.75" customHeight="1">
      <c r="B44" s="1141" t="s">
        <v>856</v>
      </c>
      <c r="C44" s="1142">
        <f ca="1">SUM(C45:C100)</f>
        <v>-2880826.5614577578</v>
      </c>
      <c r="D44" s="1143">
        <f ca="1">C44/Financeiros!D4</f>
        <v>-0.22095409817197173</v>
      </c>
      <c r="E44" s="472">
        <f t="shared" ref="E44:E99" ca="1" si="3">IF(D44=0,0,1)</f>
        <v>1</v>
      </c>
      <c r="F44" s="472"/>
      <c r="G44" s="472"/>
    </row>
    <row r="45" spans="2:12" ht="15.75" customHeight="1">
      <c r="B45" s="82" t="str">
        <f>Financeiros!C9</f>
        <v>Repasse de PIS COFINS</v>
      </c>
      <c r="C45" s="458">
        <f>Financeiros!D9</f>
        <v>200363.99033587321</v>
      </c>
      <c r="D45" s="477">
        <f ca="1">C45/Financeiros!$D$4</f>
        <v>1.5367549502320043E-2</v>
      </c>
      <c r="E45" s="472">
        <f t="shared" ca="1" si="3"/>
        <v>1</v>
      </c>
      <c r="F45" s="472"/>
      <c r="G45" s="472"/>
    </row>
    <row r="46" spans="2:12" ht="15.75" customHeight="1">
      <c r="B46" s="82" t="s">
        <v>857</v>
      </c>
      <c r="C46" s="458">
        <f ca="1">LnkTXTNeutralidade</f>
        <v>50464.011495475403</v>
      </c>
      <c r="D46" s="477">
        <f ca="1">C46/Financeiros!$D$4</f>
        <v>3.8704968564579382E-3</v>
      </c>
      <c r="E46" s="472">
        <f t="shared" ca="1" si="3"/>
        <v>1</v>
      </c>
      <c r="F46" s="472"/>
      <c r="G46" s="472"/>
    </row>
    <row r="47" spans="2:12" ht="15.75" hidden="1" customHeight="1">
      <c r="B47" s="83" t="str">
        <f>Financeiros!C23</f>
        <v>Manual de Contabilidade do Setor Elétrico</v>
      </c>
      <c r="C47" s="459">
        <f>Financeiros!D23</f>
        <v>0</v>
      </c>
      <c r="D47" s="477">
        <f ca="1">C47/Financeiros!$D$4</f>
        <v>0</v>
      </c>
      <c r="E47" s="472">
        <f t="shared" ca="1" si="3"/>
        <v>0</v>
      </c>
      <c r="F47" s="472"/>
      <c r="G47" s="472"/>
    </row>
    <row r="48" spans="2:12" ht="15.75" hidden="1" customHeight="1">
      <c r="B48" s="68" t="str">
        <f>Financeiros!C25</f>
        <v>Ajustes Processos anteriores</v>
      </c>
      <c r="C48" s="458">
        <f>Financeiros!D25</f>
        <v>0</v>
      </c>
      <c r="D48" s="477">
        <f ca="1">C48/Financeiros!$D$4</f>
        <v>0</v>
      </c>
      <c r="E48" s="472">
        <f t="shared" ca="1" si="3"/>
        <v>0</v>
      </c>
      <c r="F48" s="472"/>
      <c r="G48" s="472"/>
    </row>
    <row r="49" spans="2:8" ht="15.75" hidden="1" customHeight="1">
      <c r="B49" s="83" t="str">
        <f>Financeiros!C26</f>
        <v>Ajuste CUST + PISCONFINS Transmissão</v>
      </c>
      <c r="C49" s="459">
        <f>Financeiros!D26</f>
        <v>0</v>
      </c>
      <c r="D49" s="477">
        <f ca="1">C49/Financeiros!$D$4</f>
        <v>0</v>
      </c>
      <c r="E49" s="472">
        <f t="shared" ca="1" si="3"/>
        <v>0</v>
      </c>
    </row>
    <row r="50" spans="2:8" ht="15.75" customHeight="1">
      <c r="B50" s="68" t="str">
        <f>Financeiros!C27</f>
        <v>Compensação DIC FIC</v>
      </c>
      <c r="C50" s="459">
        <f>Financeiros!D27</f>
        <v>-154215.46</v>
      </c>
      <c r="D50" s="477">
        <f ca="1">C50/Financeiros!$D$4</f>
        <v>-1.1828042112758555E-2</v>
      </c>
      <c r="E50" s="472">
        <f t="shared" ca="1" si="3"/>
        <v>1</v>
      </c>
      <c r="F50" s="1709">
        <v>-154215.46</v>
      </c>
      <c r="G50" s="1710" t="s">
        <v>2327</v>
      </c>
    </row>
    <row r="51" spans="2:8" ht="15.75" customHeight="1">
      <c r="B51" s="68" t="str">
        <f>Financeiros!C28</f>
        <v>Subvenção CDE</v>
      </c>
      <c r="C51" s="459">
        <f ca="1">Financeiros!D28</f>
        <v>-2630709.1586146285</v>
      </c>
      <c r="D51" s="477">
        <f ca="1">C51/Financeiros!$D$4</f>
        <v>-0.20177055344848988</v>
      </c>
      <c r="E51" s="472">
        <f t="shared" ca="1" si="3"/>
        <v>1</v>
      </c>
      <c r="F51" s="1710"/>
      <c r="G51" s="1710"/>
      <c r="H51" s="1708">
        <f ca="1">C51/12</f>
        <v>-219225.76321788572</v>
      </c>
    </row>
    <row r="52" spans="2:8" ht="15.75" customHeight="1">
      <c r="B52" s="68" t="str">
        <f>Financeiros!C29</f>
        <v>Retenção de Adicionais de Bandeiras Tarifárias</v>
      </c>
      <c r="C52" s="459">
        <f>Financeiros!D29</f>
        <v>-130410.99266452562</v>
      </c>
      <c r="D52" s="477">
        <f ca="1">C52/Financeiros!$D$4</f>
        <v>-1.0002283254886741E-2</v>
      </c>
      <c r="E52" s="472">
        <f t="shared" ca="1" si="3"/>
        <v>1</v>
      </c>
      <c r="F52" s="1710"/>
      <c r="G52" s="1710"/>
    </row>
    <row r="53" spans="2:8" ht="15.75" hidden="1" customHeight="1">
      <c r="B53" s="68" t="str">
        <f>Financeiros!C30</f>
        <v>Multa LPT</v>
      </c>
      <c r="C53" s="459">
        <f>Financeiros!D30</f>
        <v>0</v>
      </c>
      <c r="D53" s="477">
        <f ca="1">C53/Financeiros!$D$4</f>
        <v>0</v>
      </c>
      <c r="E53" s="472">
        <f t="shared" ca="1" si="3"/>
        <v>0</v>
      </c>
      <c r="F53" s="1710"/>
      <c r="G53" s="1710"/>
    </row>
    <row r="54" spans="2:8" ht="15.75" hidden="1" customHeight="1">
      <c r="B54" s="68" t="str">
        <f>Financeiros!C34</f>
        <v>Ressarcimento P&amp;D</v>
      </c>
      <c r="C54" s="459">
        <f>Financeiros!D34</f>
        <v>0</v>
      </c>
      <c r="D54" s="477">
        <f ca="1">C54/Financeiros!$D$4</f>
        <v>0</v>
      </c>
      <c r="E54" s="472">
        <f t="shared" ca="1" si="3"/>
        <v>0</v>
      </c>
      <c r="F54" s="1710"/>
      <c r="G54" s="1710"/>
    </row>
    <row r="55" spans="2:8" ht="15.75" hidden="1" customHeight="1">
      <c r="B55" s="68" t="str">
        <f>Financeiros!C31</f>
        <v>Repasse de ICMS</v>
      </c>
      <c r="C55" s="459">
        <f>Financeiros!D31</f>
        <v>0</v>
      </c>
      <c r="D55" s="758">
        <f ca="1">C55/Financeiros!$D$4</f>
        <v>0</v>
      </c>
      <c r="E55" s="472">
        <f t="shared" ca="1" si="3"/>
        <v>0</v>
      </c>
      <c r="F55" s="1710"/>
      <c r="G55" s="1710"/>
    </row>
    <row r="56" spans="2:8" ht="15.75" hidden="1" customHeight="1">
      <c r="B56" s="68" t="str">
        <f>Financeiros!C36</f>
        <v>Previsão de Risco Hidrologico</v>
      </c>
      <c r="C56" s="459">
        <f>Financeiros!D36</f>
        <v>0</v>
      </c>
      <c r="D56" s="477">
        <f ca="1">C56/Financeiros!$D$4</f>
        <v>0</v>
      </c>
      <c r="E56" s="472">
        <f t="shared" ca="1" si="3"/>
        <v>0</v>
      </c>
      <c r="F56" s="1710"/>
      <c r="G56" s="1710"/>
    </row>
    <row r="57" spans="2:8" ht="15.75" hidden="1" customHeight="1">
      <c r="B57" s="68" t="str">
        <f>Financeiros!C37</f>
        <v>Efeito COVID da Supridora</v>
      </c>
      <c r="C57" s="459">
        <f>Financeiros!D37</f>
        <v>0</v>
      </c>
      <c r="D57" s="477">
        <f ca="1">C57/Financeiros!$D$4</f>
        <v>0</v>
      </c>
      <c r="E57" s="472">
        <f t="shared" ca="1" si="3"/>
        <v>0</v>
      </c>
      <c r="F57" s="1710"/>
      <c r="G57" s="1710"/>
    </row>
    <row r="58" spans="2:8" ht="15.75" customHeight="1">
      <c r="B58" s="68" t="str">
        <f>Financeiros!C38</f>
        <v>Crédito de Pis Cofins sobre ICMS</v>
      </c>
      <c r="C58" s="459">
        <f>Financeiros!D38</f>
        <v>-216318.95200995237</v>
      </c>
      <c r="D58" s="477">
        <f ca="1">C58/Financeiros!$D$4</f>
        <v>-1.6591265714614563E-2</v>
      </c>
      <c r="E58" s="472">
        <f t="shared" ca="1" si="3"/>
        <v>1</v>
      </c>
      <c r="F58" s="1709">
        <v>-214103.32</v>
      </c>
      <c r="G58" s="1710" t="s">
        <v>2327</v>
      </c>
    </row>
    <row r="59" spans="2:8" ht="15.75" hidden="1" customHeight="1">
      <c r="B59" s="68" t="str">
        <f>Financeiros!C39</f>
        <v>Diferimento Pis Cofins TUSD</v>
      </c>
      <c r="C59" s="459">
        <f>Financeiros!D39</f>
        <v>0</v>
      </c>
      <c r="D59" s="477">
        <f ca="1">C59/Financeiros!$D$4</f>
        <v>0</v>
      </c>
      <c r="E59" s="472">
        <f t="shared" ca="1" si="3"/>
        <v>0</v>
      </c>
    </row>
    <row r="60" spans="2:8" ht="15.75" hidden="1" customHeight="1">
      <c r="B60" s="68" t="str">
        <f>Financeiros!C40</f>
        <v>Diferimento Pis Cofins TE</v>
      </c>
      <c r="C60" s="459">
        <f>Financeiros!D40</f>
        <v>0</v>
      </c>
      <c r="D60" s="477">
        <f ca="1">C60/Financeiros!$D$4</f>
        <v>0</v>
      </c>
      <c r="E60" s="472">
        <f t="shared" ca="1" si="3"/>
        <v>0</v>
      </c>
    </row>
    <row r="61" spans="2:8" ht="15.75" hidden="1" customHeight="1">
      <c r="B61" s="68" t="str">
        <f>Financeiros!C41</f>
        <v>Financeiros associados ao §7º do Art. 88 da Ren 414/2021</v>
      </c>
      <c r="C61" s="459">
        <f>Financeiros!D41</f>
        <v>0</v>
      </c>
      <c r="D61" s="477">
        <f ca="1">C61/Financeiros!$D$4</f>
        <v>0</v>
      </c>
      <c r="E61" s="472">
        <f t="shared" ca="1" si="3"/>
        <v>0</v>
      </c>
    </row>
    <row r="62" spans="2:8" ht="15.75" hidden="1" customHeight="1">
      <c r="B62" s="68">
        <f>Financeiros!C45</f>
        <v>0</v>
      </c>
      <c r="C62" s="459">
        <f>Financeiros!D45</f>
        <v>0</v>
      </c>
      <c r="D62" s="477">
        <f ca="1">C62/Financeiros!$D$4</f>
        <v>0</v>
      </c>
      <c r="E62" s="472">
        <f t="shared" ca="1" si="3"/>
        <v>0</v>
      </c>
    </row>
    <row r="63" spans="2:8" ht="15.75" hidden="1" customHeight="1">
      <c r="B63" s="68">
        <f>Financeiros!C46</f>
        <v>0</v>
      </c>
      <c r="C63" s="459">
        <f>Financeiros!D46</f>
        <v>0</v>
      </c>
      <c r="D63" s="477">
        <f ca="1">C63/Financeiros!$D$4</f>
        <v>0</v>
      </c>
      <c r="E63" s="472">
        <f t="shared" ca="1" si="3"/>
        <v>0</v>
      </c>
    </row>
    <row r="64" spans="2:8" ht="15.75" hidden="1" customHeight="1">
      <c r="B64" s="68">
        <f>Financeiros!C47</f>
        <v>0</v>
      </c>
      <c r="C64" s="459">
        <f>Financeiros!D47</f>
        <v>0</v>
      </c>
      <c r="D64" s="477">
        <f ca="1">C64/Financeiros!$D$4</f>
        <v>0</v>
      </c>
      <c r="E64" s="472">
        <f t="shared" ca="1" si="3"/>
        <v>0</v>
      </c>
    </row>
    <row r="65" spans="2:5" ht="15.75" hidden="1" customHeight="1">
      <c r="B65" s="68" t="str">
        <f>Financeiros!C48</f>
        <v>CVE ccc</v>
      </c>
      <c r="C65" s="459">
        <f>Financeiros!D48</f>
        <v>0</v>
      </c>
      <c r="D65" s="477">
        <f ca="1">C65/Financeiros!$D$4</f>
        <v>0</v>
      </c>
      <c r="E65" s="472">
        <f t="shared" ca="1" si="3"/>
        <v>0</v>
      </c>
    </row>
    <row r="66" spans="2:5" ht="15.75" hidden="1" customHeight="1">
      <c r="B66" s="68" t="str">
        <f>Financeiros!C49</f>
        <v>CVE cde</v>
      </c>
      <c r="C66" s="459">
        <f>Financeiros!D49</f>
        <v>0</v>
      </c>
      <c r="D66" s="477">
        <f ca="1">C66/Financeiros!$D$4</f>
        <v>0</v>
      </c>
      <c r="E66" s="472">
        <f t="shared" ca="1" si="3"/>
        <v>0</v>
      </c>
    </row>
    <row r="67" spans="2:5" ht="15.75" hidden="1" customHeight="1">
      <c r="B67" s="68" t="str">
        <f>Financeiros!C50</f>
        <v>CVE cde energia</v>
      </c>
      <c r="C67" s="459">
        <f>Financeiros!D50</f>
        <v>0</v>
      </c>
      <c r="D67" s="477">
        <f ca="1">C67/Financeiros!$D$4</f>
        <v>0</v>
      </c>
      <c r="E67" s="472">
        <f t="shared" ca="1" si="3"/>
        <v>0</v>
      </c>
    </row>
    <row r="68" spans="2:5" ht="15.75" hidden="1" customHeight="1">
      <c r="B68" s="68" t="str">
        <f>Financeiros!C51</f>
        <v>CVE RB - Nodal</v>
      </c>
      <c r="C68" s="459">
        <f>Financeiros!D51</f>
        <v>0</v>
      </c>
      <c r="D68" s="477">
        <f ca="1">C68/Financeiros!$D$4</f>
        <v>0</v>
      </c>
      <c r="E68" s="472">
        <f t="shared" ca="1" si="3"/>
        <v>0</v>
      </c>
    </row>
    <row r="69" spans="2:5" ht="15.75" hidden="1" customHeight="1">
      <c r="B69" s="68" t="str">
        <f>Financeiros!C52</f>
        <v>CVE RB - Fronteira</v>
      </c>
      <c r="C69" s="459">
        <f>Financeiros!D52</f>
        <v>0</v>
      </c>
      <c r="D69" s="477">
        <f ca="1">C69/Financeiros!$D$4</f>
        <v>0</v>
      </c>
      <c r="E69" s="472">
        <f t="shared" ca="1" si="3"/>
        <v>0</v>
      </c>
    </row>
    <row r="70" spans="2:5" ht="15.75" hidden="1" customHeight="1">
      <c r="B70" s="68" t="str">
        <f>Financeiros!C53</f>
        <v>CVE RB - TUSDg EXP</v>
      </c>
      <c r="C70" s="459">
        <f>Financeiros!D53</f>
        <v>0</v>
      </c>
      <c r="D70" s="477">
        <f ca="1">C70/Financeiros!$D$4</f>
        <v>0</v>
      </c>
      <c r="E70" s="472">
        <f t="shared" ca="1" si="3"/>
        <v>0</v>
      </c>
    </row>
    <row r="71" spans="2:5" ht="15.75" hidden="1" customHeight="1">
      <c r="B71" s="68" t="str">
        <f>Financeiros!C54</f>
        <v>CVE RB - TUSDg ONS</v>
      </c>
      <c r="C71" s="459">
        <f>Financeiros!D54</f>
        <v>0</v>
      </c>
      <c r="D71" s="477">
        <f ca="1">C71/Financeiros!$D$4</f>
        <v>0</v>
      </c>
      <c r="E71" s="472">
        <f t="shared" ca="1" si="3"/>
        <v>0</v>
      </c>
    </row>
    <row r="72" spans="2:5" ht="15.75" hidden="1" customHeight="1">
      <c r="B72" s="68" t="str">
        <f>Financeiros!C55</f>
        <v>CVE RB - EUST Itaipu</v>
      </c>
      <c r="C72" s="459">
        <f>Financeiros!D55</f>
        <v>0</v>
      </c>
      <c r="D72" s="477">
        <f ca="1">C72/Financeiros!$D$4</f>
        <v>0</v>
      </c>
      <c r="E72" s="472">
        <f t="shared" ca="1" si="3"/>
        <v>0</v>
      </c>
    </row>
    <row r="73" spans="2:5" ht="15.75" hidden="1" customHeight="1">
      <c r="B73" s="68" t="str">
        <f>Financeiros!C56</f>
        <v>CVE- Transporte Itaipu</v>
      </c>
      <c r="C73" s="459">
        <f>Financeiros!D56</f>
        <v>0</v>
      </c>
      <c r="D73" s="477">
        <f ca="1">C73/Financeiros!$D$4</f>
        <v>0</v>
      </c>
      <c r="E73" s="472">
        <f t="shared" ca="1" si="3"/>
        <v>0</v>
      </c>
    </row>
    <row r="74" spans="2:5" ht="15.75" hidden="1" customHeight="1">
      <c r="B74" s="68" t="str">
        <f>Financeiros!C57</f>
        <v>CVE - Energia - Energia de Revenda</v>
      </c>
      <c r="C74" s="459">
        <f ca="1">Financeiros!D57</f>
        <v>0</v>
      </c>
      <c r="D74" s="477">
        <f ca="1">C74/Financeiros!$D$4</f>
        <v>0</v>
      </c>
      <c r="E74" s="472">
        <f t="shared" ca="1" si="3"/>
        <v>0</v>
      </c>
    </row>
    <row r="75" spans="2:5" ht="15.75" hidden="1" customHeight="1">
      <c r="B75" s="68" t="str">
        <f>Financeiros!C58</f>
        <v>CVE - Energia - Perda Não Técnica</v>
      </c>
      <c r="C75" s="459">
        <f ca="1">Financeiros!D58</f>
        <v>0</v>
      </c>
      <c r="D75" s="477">
        <f ca="1">C75/Financeiros!$D$4</f>
        <v>0</v>
      </c>
      <c r="E75" s="472">
        <f t="shared" ca="1" si="3"/>
        <v>0</v>
      </c>
    </row>
    <row r="76" spans="2:5" ht="15.75" hidden="1" customHeight="1">
      <c r="B76" s="68" t="str">
        <f>Financeiros!C59</f>
        <v>CVE - Energia - Perda Técnica</v>
      </c>
      <c r="C76" s="459">
        <f ca="1">Financeiros!D59</f>
        <v>0</v>
      </c>
      <c r="D76" s="477">
        <f ca="1">C76/Financeiros!$D$4</f>
        <v>0</v>
      </c>
      <c r="E76" s="472">
        <f t="shared" ca="1" si="3"/>
        <v>0</v>
      </c>
    </row>
    <row r="77" spans="2:5" ht="15.75" hidden="1" customHeight="1">
      <c r="B77" s="68" t="str">
        <f>Financeiros!C60</f>
        <v>CVE - Energia -  Perda de RB sobre a distribuição</v>
      </c>
      <c r="C77" s="459">
        <f ca="1">Financeiros!D60</f>
        <v>0</v>
      </c>
      <c r="D77" s="477">
        <f ca="1">C77/Financeiros!$D$4</f>
        <v>0</v>
      </c>
      <c r="E77" s="472">
        <f t="shared" ca="1" si="3"/>
        <v>0</v>
      </c>
    </row>
    <row r="78" spans="2:5" ht="15.75" hidden="1" customHeight="1">
      <c r="B78" s="68" t="str">
        <f>Financeiros!C61</f>
        <v>CVE - Energia -  Perda de RB sobre o mercado cativo</v>
      </c>
      <c r="C78" s="459">
        <f ca="1">Financeiros!D61</f>
        <v>0</v>
      </c>
      <c r="D78" s="477">
        <f ca="1">C78/Financeiros!$D$4</f>
        <v>0</v>
      </c>
      <c r="E78" s="472">
        <f t="shared" ca="1" si="3"/>
        <v>0</v>
      </c>
    </row>
    <row r="79" spans="2:5" ht="15.75" hidden="1" customHeight="1">
      <c r="B79" s="68" t="str">
        <f>Financeiros!C62</f>
        <v>CVE - Encargos - PROINFA</v>
      </c>
      <c r="C79" s="459">
        <f ca="1">Financeiros!D62</f>
        <v>0</v>
      </c>
      <c r="D79" s="477">
        <f ca="1">C79/Financeiros!$D$4</f>
        <v>0</v>
      </c>
      <c r="E79" s="472">
        <f t="shared" ca="1" si="3"/>
        <v>0</v>
      </c>
    </row>
    <row r="80" spans="2:5" ht="15.75" hidden="1" customHeight="1">
      <c r="B80" s="68" t="str">
        <f>Financeiros!C63</f>
        <v>CVE - Encargos - CFURH</v>
      </c>
      <c r="C80" s="459">
        <f>Financeiros!D63</f>
        <v>0</v>
      </c>
      <c r="D80" s="477">
        <f ca="1">C80/Financeiros!$D$4</f>
        <v>0</v>
      </c>
      <c r="E80" s="472">
        <f t="shared" ca="1" si="3"/>
        <v>0</v>
      </c>
    </row>
    <row r="81" spans="2:5" ht="15.75" hidden="1" customHeight="1">
      <c r="B81" s="68" t="str">
        <f>Financeiros!C64</f>
        <v>CVE - Encargos - ESS/EER</v>
      </c>
      <c r="C81" s="459">
        <f>Financeiros!D64</f>
        <v>0</v>
      </c>
      <c r="D81" s="477">
        <f ca="1">C81/Financeiros!$D$4</f>
        <v>0</v>
      </c>
      <c r="E81" s="472">
        <f t="shared" ca="1" si="3"/>
        <v>0</v>
      </c>
    </row>
    <row r="82" spans="2:5" ht="15.75" hidden="1" customHeight="1">
      <c r="B82" s="68" t="str">
        <f>Financeiros!C65</f>
        <v>Conta Escassez H. - Importação julho- agosto/2021 - RTA 2022 - Energia de Revenda</v>
      </c>
      <c r="C82" s="459">
        <f ca="1">Financeiros!D65</f>
        <v>0</v>
      </c>
      <c r="D82" s="477">
        <f ca="1">C82/Financeiros!$D$4</f>
        <v>0</v>
      </c>
      <c r="E82" s="472">
        <f t="shared" ca="1" si="3"/>
        <v>0</v>
      </c>
    </row>
    <row r="83" spans="2:5" ht="15.75" hidden="1" customHeight="1">
      <c r="B83" s="68" t="str">
        <f>Financeiros!C66</f>
        <v>Conta Escassez H. - Importação julho- agosto/2021 - RTA 2022 - Perda Não Técnica</v>
      </c>
      <c r="C83" s="459">
        <f ca="1">Financeiros!D66</f>
        <v>0</v>
      </c>
      <c r="D83" s="477">
        <f ca="1">C83/Financeiros!$D$4</f>
        <v>0</v>
      </c>
      <c r="E83" s="472">
        <f t="shared" ca="1" si="3"/>
        <v>0</v>
      </c>
    </row>
    <row r="84" spans="2:5" ht="15.75" hidden="1" customHeight="1">
      <c r="B84" s="68" t="str">
        <f>Financeiros!C67</f>
        <v>Conta Escassez H. - Importação julho- agosto/2021 - RTA 2022 - Perda Técnica</v>
      </c>
      <c r="C84" s="459">
        <f ca="1">Financeiros!D67</f>
        <v>0</v>
      </c>
      <c r="D84" s="477">
        <f ca="1">C84/Financeiros!$D$4</f>
        <v>0</v>
      </c>
      <c r="E84" s="472">
        <f t="shared" ca="1" si="3"/>
        <v>0</v>
      </c>
    </row>
    <row r="85" spans="2:5" ht="15.75" hidden="1" customHeight="1">
      <c r="B85" s="68" t="str">
        <f>Financeiros!C68</f>
        <v>Conta Escassez H. - Importação julho- agosto/2021 - RTA 2022 - Perda RB Perda RB sobre Dist.</v>
      </c>
      <c r="C85" s="459">
        <f ca="1">Financeiros!D68</f>
        <v>0</v>
      </c>
      <c r="D85" s="477">
        <f ca="1">C85/Financeiros!$D$4</f>
        <v>0</v>
      </c>
      <c r="E85" s="472">
        <f t="shared" ca="1" si="3"/>
        <v>0</v>
      </c>
    </row>
    <row r="86" spans="2:5" ht="15.75" hidden="1" customHeight="1">
      <c r="B86" s="68" t="str">
        <f>Financeiros!C69</f>
        <v>Conta Escassez H. - Importação julho- agosto/2021 - RTA 2022 - Perda RB sobre Merc. Cat.</v>
      </c>
      <c r="C86" s="459">
        <f ca="1">Financeiros!D69</f>
        <v>0</v>
      </c>
      <c r="D86" s="477">
        <f ca="1">C86/Financeiros!$D$4</f>
        <v>0</v>
      </c>
      <c r="E86" s="472">
        <f t="shared" ca="1" si="3"/>
        <v>0</v>
      </c>
    </row>
    <row r="87" spans="2:5" ht="15.75" hidden="1" customHeight="1">
      <c r="B87" s="68" t="str">
        <f>Financeiros!C70</f>
        <v>Conta Escassez H. - Bônus Redução Voluntária</v>
      </c>
      <c r="C87" s="459">
        <f>Financeiros!D70</f>
        <v>0</v>
      </c>
      <c r="D87" s="477">
        <f ca="1">C87/Financeiros!$D$4</f>
        <v>0</v>
      </c>
      <c r="E87" s="472">
        <f t="shared" ca="1" si="3"/>
        <v>0</v>
      </c>
    </row>
    <row r="88" spans="2:5" ht="15.75" hidden="1" customHeight="1">
      <c r="B88" s="68" t="str">
        <f>Financeiros!C71</f>
        <v>Conta Escassez H. - Diferimento de energia - RTA 2022 - Energia de Revenda</v>
      </c>
      <c r="C88" s="459">
        <f ca="1">Financeiros!D71</f>
        <v>0</v>
      </c>
      <c r="D88" s="477">
        <f ca="1">C88/Financeiros!$D$4</f>
        <v>0</v>
      </c>
      <c r="E88" s="472">
        <f t="shared" ca="1" si="3"/>
        <v>0</v>
      </c>
    </row>
    <row r="89" spans="2:5" ht="15.75" hidden="1" customHeight="1">
      <c r="B89" s="68" t="str">
        <f>Financeiros!C72</f>
        <v>Conta Escassez H. - Diferimento de energia - RTA 2022 - Perda Não Técnica</v>
      </c>
      <c r="C89" s="459">
        <f ca="1">Financeiros!D72</f>
        <v>0</v>
      </c>
      <c r="D89" s="477">
        <f ca="1">C89/Financeiros!$D$4</f>
        <v>0</v>
      </c>
      <c r="E89" s="472">
        <f t="shared" ca="1" si="3"/>
        <v>0</v>
      </c>
    </row>
    <row r="90" spans="2:5" ht="15.75" hidden="1" customHeight="1">
      <c r="B90" s="68" t="str">
        <f>Financeiros!C73</f>
        <v>Conta Escassez H. - Diferimento de energia - RTA 2022 - Perda Técnica</v>
      </c>
      <c r="C90" s="459">
        <f ca="1">Financeiros!D73</f>
        <v>0</v>
      </c>
      <c r="D90" s="477">
        <f ca="1">C90/Financeiros!$D$4</f>
        <v>0</v>
      </c>
      <c r="E90" s="472">
        <f t="shared" ca="1" si="3"/>
        <v>0</v>
      </c>
    </row>
    <row r="91" spans="2:5" ht="15.75" hidden="1" customHeight="1">
      <c r="B91" s="68" t="str">
        <f>Financeiros!C74</f>
        <v>Conta Escassez H. - Diferimento de energia - RTA 2022 - Perda RB Perda RB sobre Dist.</v>
      </c>
      <c r="C91" s="459">
        <f ca="1">Financeiros!D74</f>
        <v>0</v>
      </c>
      <c r="D91" s="477">
        <f ca="1">C91/Financeiros!$D$4</f>
        <v>0</v>
      </c>
      <c r="E91" s="472">
        <f t="shared" ca="1" si="3"/>
        <v>0</v>
      </c>
    </row>
    <row r="92" spans="2:5" ht="15.75" hidden="1" customHeight="1">
      <c r="B92" s="68" t="str">
        <f>Financeiros!C75</f>
        <v>Conta Escassez H. - Diferimento de energia - RTA 2022 - Perda RB sobre Merc. Cat.</v>
      </c>
      <c r="C92" s="459">
        <f ca="1">Financeiros!D75</f>
        <v>0</v>
      </c>
      <c r="D92" s="477">
        <f ca="1">C92/Financeiros!$D$4</f>
        <v>0</v>
      </c>
      <c r="E92" s="472">
        <f t="shared" ca="1" si="3"/>
        <v>0</v>
      </c>
    </row>
    <row r="93" spans="2:5" ht="15.75" hidden="1" customHeight="1">
      <c r="B93" s="68">
        <f>Financeiros!C76</f>
        <v>0</v>
      </c>
      <c r="C93" s="459">
        <f>Financeiros!D76</f>
        <v>0</v>
      </c>
      <c r="D93" s="477">
        <f ca="1">C93/Financeiros!$D$4</f>
        <v>0</v>
      </c>
      <c r="E93" s="472">
        <f t="shared" ca="1" si="3"/>
        <v>0</v>
      </c>
    </row>
    <row r="94" spans="2:5" ht="15.75" hidden="1" customHeight="1">
      <c r="B94" s="68">
        <f>Financeiros!C77</f>
        <v>0</v>
      </c>
      <c r="C94" s="459">
        <f>Financeiros!D77</f>
        <v>0</v>
      </c>
      <c r="D94" s="477">
        <f ca="1">C94/Financeiros!$D$4</f>
        <v>0</v>
      </c>
      <c r="E94" s="472">
        <f t="shared" ca="1" si="3"/>
        <v>0</v>
      </c>
    </row>
    <row r="95" spans="2:5" ht="15.75" hidden="1" customHeight="1">
      <c r="B95" s="68">
        <f>Financeiros!C78</f>
        <v>0</v>
      </c>
      <c r="C95" s="459">
        <f>Financeiros!D78</f>
        <v>0</v>
      </c>
      <c r="D95" s="477">
        <f ca="1">C95/Financeiros!$D$4</f>
        <v>0</v>
      </c>
      <c r="E95" s="472">
        <f t="shared" ca="1" si="3"/>
        <v>0</v>
      </c>
    </row>
    <row r="96" spans="2:5" ht="15.75" hidden="1" customHeight="1">
      <c r="B96" s="68">
        <f>Financeiros!C79</f>
        <v>0</v>
      </c>
      <c r="C96" s="459">
        <f>Financeiros!D79</f>
        <v>0</v>
      </c>
      <c r="D96" s="477">
        <f ca="1">C96/Financeiros!$D$4</f>
        <v>0</v>
      </c>
      <c r="E96" s="472">
        <f t="shared" ca="1" si="3"/>
        <v>0</v>
      </c>
    </row>
    <row r="97" spans="1:5" ht="15.75" hidden="1" customHeight="1">
      <c r="B97" s="68">
        <f>Financeiros!C80</f>
        <v>0</v>
      </c>
      <c r="C97" s="459">
        <f>Financeiros!D80</f>
        <v>0</v>
      </c>
      <c r="D97" s="477">
        <f ca="1">C97/Financeiros!$D$4</f>
        <v>0</v>
      </c>
      <c r="E97" s="472">
        <f t="shared" ca="1" si="3"/>
        <v>0</v>
      </c>
    </row>
    <row r="98" spans="1:5" ht="15.75" hidden="1" customHeight="1">
      <c r="B98" s="68">
        <f>Financeiros!C81</f>
        <v>0</v>
      </c>
      <c r="C98" s="459">
        <f>Financeiros!D81</f>
        <v>0</v>
      </c>
      <c r="D98" s="477">
        <f ca="1">C98/Financeiros!$D$4</f>
        <v>0</v>
      </c>
      <c r="E98" s="472">
        <f t="shared" ca="1" si="3"/>
        <v>0</v>
      </c>
    </row>
    <row r="99" spans="1:5" ht="15.75" hidden="1" customHeight="1">
      <c r="A99" s="865"/>
      <c r="B99" s="812" t="str">
        <f>Financeiros!C82</f>
        <v>Reversão de Risco Hidrológico</v>
      </c>
      <c r="C99" s="998">
        <f ca="1">Financeiros!D82</f>
        <v>0</v>
      </c>
      <c r="D99" s="999">
        <f ca="1">C99/Financeiros!$D$4</f>
        <v>0</v>
      </c>
      <c r="E99" s="1696">
        <f t="shared" ca="1" si="3"/>
        <v>0</v>
      </c>
    </row>
    <row r="100" spans="1:5" ht="15.75" customHeight="1">
      <c r="B100" s="724"/>
      <c r="C100" s="1000"/>
      <c r="D100" s="1001"/>
    </row>
    <row r="101" spans="1:5" ht="15.75" customHeight="1">
      <c r="C101" s="459"/>
      <c r="D101" s="477"/>
    </row>
    <row r="102" spans="1:5" ht="15.75" customHeight="1">
      <c r="C102" s="459"/>
      <c r="D102" s="477"/>
    </row>
    <row r="103" spans="1:5" ht="15.75" customHeight="1">
      <c r="C103" s="459"/>
      <c r="D103" s="477"/>
    </row>
    <row r="104" spans="1:5" ht="15.75" customHeight="1">
      <c r="C104" s="459"/>
      <c r="D104" s="477"/>
    </row>
    <row r="105" spans="1:5" ht="15.75" customHeight="1">
      <c r="C105" s="459"/>
      <c r="D105" s="477"/>
    </row>
    <row r="106" spans="1:5" ht="15.75" customHeight="1">
      <c r="C106" s="459"/>
      <c r="D106" s="477"/>
    </row>
    <row r="107" spans="1:5" ht="15.75" customHeight="1">
      <c r="C107" s="459"/>
      <c r="D107" s="477"/>
    </row>
    <row r="108" spans="1:5" ht="15.75" customHeight="1">
      <c r="C108" s="459"/>
      <c r="D108" s="477"/>
    </row>
    <row r="109" spans="1:5" ht="15.75" customHeight="1">
      <c r="C109" s="459"/>
      <c r="D109" s="477"/>
    </row>
    <row r="110" spans="1:5" ht="15.75" customHeight="1">
      <c r="C110" s="459"/>
      <c r="D110" s="477"/>
    </row>
    <row r="111" spans="1:5" ht="15.75" customHeight="1">
      <c r="C111" s="459"/>
      <c r="D111" s="477"/>
    </row>
    <row r="112" spans="1:5" ht="15.75" customHeight="1">
      <c r="C112" s="459"/>
      <c r="D112" s="477"/>
    </row>
    <row r="113" spans="3:4" ht="15.75" customHeight="1">
      <c r="C113" s="459"/>
      <c r="D113" s="477"/>
    </row>
  </sheetData>
  <phoneticPr fontId="110" type="noConversion"/>
  <pageMargins left="0.51181102362204722" right="0.51181102362204722" top="0.78740157480314965" bottom="0.78740157480314965" header="0.31496062992125984" footer="0.31496062992125984"/>
  <pageSetup paperSize="8" scale="72" fitToHeight="0" orientation="landscape" r:id="rId1"/>
  <headerFooter>
    <oddFooter>&amp;R&amp;D / &amp;T
&amp;Z&amp;F</oddFooter>
  </headerFooter>
  <drawing r:id="rId2"/>
  <legacyDrawing r:id="rId3"/>
  <controls>
    <mc:AlternateContent xmlns:mc="http://schemas.openxmlformats.org/markup-compatibility/2006">
      <mc:Choice Requires="x14">
        <control shapeId="70752" r:id="rId4" name="AberturaButton">
          <controlPr defaultSize="0" autoLine="0" autoPict="0" r:id="rId5">
            <anchor moveWithCells="1">
              <from>
                <xdr:col>9</xdr:col>
                <xdr:colOff>390525</xdr:colOff>
                <xdr:row>0</xdr:row>
                <xdr:rowOff>180975</xdr:rowOff>
              </from>
              <to>
                <xdr:col>9</xdr:col>
                <xdr:colOff>1619250</xdr:colOff>
                <xdr:row>2</xdr:row>
                <xdr:rowOff>57150</xdr:rowOff>
              </to>
            </anchor>
          </controlPr>
        </control>
      </mc:Choice>
      <mc:Fallback>
        <control shapeId="70752" r:id="rId4" name="AberturaButton"/>
      </mc:Fallback>
    </mc:AlternateContent>
    <mc:AlternateContent xmlns:mc="http://schemas.openxmlformats.org/markup-compatibility/2006">
      <mc:Choice Requires="x14">
        <control shapeId="70751" r:id="rId6" name="CommandButton1">
          <controlPr defaultSize="0" autoLine="0" r:id="rId7">
            <anchor moveWithCells="1" sizeWithCells="1">
              <from>
                <xdr:col>4</xdr:col>
                <xdr:colOff>609600</xdr:colOff>
                <xdr:row>0</xdr:row>
                <xdr:rowOff>209550</xdr:rowOff>
              </from>
              <to>
                <xdr:col>6</xdr:col>
                <xdr:colOff>285750</xdr:colOff>
                <xdr:row>2</xdr:row>
                <xdr:rowOff>152400</xdr:rowOff>
              </to>
            </anchor>
          </controlPr>
        </control>
      </mc:Choice>
      <mc:Fallback>
        <control shapeId="70751" r:id="rId6" name="CommandButton1"/>
      </mc:Fallback>
    </mc:AlternateContent>
  </controls>
  <tableParts count="1">
    <tablePart r:id="rId8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24">
    <tabColor rgb="FF92D050"/>
  </sheetPr>
  <dimension ref="A2:CF392"/>
  <sheetViews>
    <sheetView showGridLines="0" topLeftCell="AO197" zoomScale="88" zoomScaleNormal="88" workbookViewId="0">
      <selection activeCell="AU213" sqref="AU213"/>
    </sheetView>
  </sheetViews>
  <sheetFormatPr defaultColWidth="9.140625" defaultRowHeight="15" customHeight="1"/>
  <cols>
    <col min="1" max="1" width="7.140625" style="23" customWidth="1"/>
    <col min="2" max="2" width="32.85546875" style="23" bestFit="1" customWidth="1"/>
    <col min="3" max="3" width="15.85546875" style="23" bestFit="1" customWidth="1"/>
    <col min="4" max="4" width="4.28515625" style="23" customWidth="1"/>
    <col min="5" max="5" width="22.85546875" style="23" customWidth="1"/>
    <col min="6" max="6" width="17.140625" style="23" bestFit="1" customWidth="1"/>
    <col min="7" max="7" width="17.28515625" style="23" bestFit="1" customWidth="1"/>
    <col min="8" max="8" width="4.140625" style="304" customWidth="1"/>
    <col min="9" max="9" width="35.140625" style="23" customWidth="1"/>
    <col min="10" max="10" width="16.42578125" style="23" customWidth="1"/>
    <col min="11" max="11" width="17.140625" style="23" bestFit="1" customWidth="1"/>
    <col min="12" max="12" width="12.7109375" style="23" bestFit="1" customWidth="1"/>
    <col min="13" max="13" width="35.140625" style="23" customWidth="1"/>
    <col min="14" max="14" width="16" style="23" bestFit="1" customWidth="1"/>
    <col min="15" max="15" width="7.42578125" style="23" customWidth="1"/>
    <col min="16" max="16" width="18" style="23" bestFit="1" customWidth="1"/>
    <col min="17" max="17" width="18" style="23" customWidth="1"/>
    <col min="18" max="18" width="7.7109375" style="23" customWidth="1"/>
    <col min="19" max="19" width="19.85546875" style="23" customWidth="1"/>
    <col min="20" max="20" width="12.140625" style="23" customWidth="1"/>
    <col min="21" max="21" width="18.140625" style="23" customWidth="1"/>
    <col min="22" max="22" width="25.140625" style="23" customWidth="1"/>
    <col min="23" max="23" width="23.140625" style="23" customWidth="1"/>
    <col min="24" max="24" width="16.7109375" style="23" customWidth="1"/>
    <col min="25" max="25" width="7.140625" style="23" customWidth="1"/>
    <col min="26" max="26" width="23.140625" style="23" bestFit="1" customWidth="1"/>
    <col min="27" max="27" width="14.42578125" style="23" bestFit="1" customWidth="1"/>
    <col min="28" max="28" width="15.85546875" style="23" bestFit="1" customWidth="1"/>
    <col min="29" max="29" width="13.140625" style="23" bestFit="1" customWidth="1"/>
    <col min="30" max="30" width="11.140625" style="23" bestFit="1" customWidth="1"/>
    <col min="31" max="31" width="40.28515625" style="23" bestFit="1" customWidth="1"/>
    <col min="32" max="32" width="13.28515625" style="23" customWidth="1"/>
    <col min="33" max="34" width="13.140625" style="23" customWidth="1"/>
    <col min="35" max="35" width="11.28515625" style="23" bestFit="1" customWidth="1"/>
    <col min="36" max="36" width="8.28515625" style="23" customWidth="1"/>
    <col min="37" max="37" width="12.140625" style="23" bestFit="1" customWidth="1"/>
    <col min="38" max="38" width="6.85546875" style="23" customWidth="1"/>
    <col min="39" max="39" width="45.85546875" style="23" customWidth="1"/>
    <col min="40" max="40" width="19.140625" style="23" customWidth="1"/>
    <col min="41" max="41" width="7.7109375" style="23" bestFit="1" customWidth="1"/>
    <col min="42" max="42" width="27.85546875" style="23" bestFit="1" customWidth="1"/>
    <col min="43" max="43" width="22" style="23" customWidth="1"/>
    <col min="44" max="44" width="10.42578125" style="23" customWidth="1"/>
    <col min="45" max="45" width="41.140625" style="23" customWidth="1"/>
    <col min="46" max="46" width="16.5703125" style="23" customWidth="1"/>
    <col min="47" max="47" width="17.28515625" style="23" customWidth="1"/>
    <col min="48" max="48" width="16" style="23" customWidth="1"/>
    <col min="49" max="49" width="14.5703125" style="23" customWidth="1"/>
    <col min="50" max="50" width="17.140625" style="23" customWidth="1"/>
    <col min="51" max="51" width="7.140625" style="23" customWidth="1"/>
    <col min="52" max="52" width="4.7109375" style="23" customWidth="1"/>
    <col min="53" max="53" width="28.140625" style="23" customWidth="1"/>
    <col min="54" max="54" width="13.7109375" style="23" hidden="1" customWidth="1"/>
    <col min="55" max="55" width="15" style="23" hidden="1" customWidth="1"/>
    <col min="56" max="56" width="13.7109375" style="23" hidden="1" customWidth="1"/>
    <col min="57" max="57" width="15.85546875" style="23" hidden="1" customWidth="1"/>
    <col min="58" max="60" width="13.7109375" style="23" customWidth="1"/>
    <col min="61" max="61" width="20.85546875" style="23" hidden="1" customWidth="1"/>
    <col min="62" max="62" width="13.7109375" style="23" customWidth="1"/>
    <col min="63" max="63" width="23.5703125" style="23" customWidth="1"/>
    <col min="64" max="64" width="14.7109375" style="23" customWidth="1"/>
    <col min="65" max="65" width="15.85546875" style="23" customWidth="1"/>
    <col min="66" max="66" width="13.7109375" style="23" customWidth="1"/>
    <col min="67" max="67" width="33" style="23" customWidth="1"/>
    <col min="68" max="68" width="20" style="23" customWidth="1"/>
    <col min="69" max="69" width="19.28515625" style="23" customWidth="1"/>
    <col min="70" max="70" width="20.42578125" style="23" customWidth="1"/>
    <col min="71" max="71" width="13.7109375" style="23" customWidth="1"/>
    <col min="72" max="72" width="24.7109375" style="23" customWidth="1"/>
    <col min="73" max="73" width="18" style="23" customWidth="1"/>
    <col min="74" max="74" width="15.140625" style="23" customWidth="1"/>
    <col min="75" max="75" width="14.5703125" style="23" customWidth="1"/>
    <col min="76" max="84" width="13.7109375" style="23" customWidth="1"/>
    <col min="85" max="16384" width="9.140625" style="23"/>
  </cols>
  <sheetData>
    <row r="2" spans="2:49" ht="15" customHeight="1" thickBot="1">
      <c r="B2" s="302" t="s">
        <v>858</v>
      </c>
      <c r="E2" s="302" t="s">
        <v>859</v>
      </c>
      <c r="F2" s="302"/>
      <c r="G2" s="302"/>
      <c r="H2" s="302"/>
      <c r="I2" s="302"/>
      <c r="J2" s="302"/>
      <c r="K2" s="302"/>
      <c r="L2" s="302"/>
      <c r="M2" s="302"/>
      <c r="N2" s="302"/>
      <c r="O2" s="302"/>
      <c r="P2" s="302"/>
    </row>
    <row r="4" spans="2:49" ht="15" customHeight="1">
      <c r="B4" s="303" t="s">
        <v>860</v>
      </c>
    </row>
    <row r="5" spans="2:49" ht="15" customHeight="1">
      <c r="B5" s="303" t="s">
        <v>861</v>
      </c>
      <c r="AC5" s="23" t="str">
        <f ca="1">IF(AW265&gt;AW262,"um aumento","uma redução")</f>
        <v>um aumento</v>
      </c>
      <c r="AD5" s="23" t="e">
        <f>IF(Q39&gt;#REF!,"maiores","menores")</f>
        <v>#REF!</v>
      </c>
      <c r="AE5" s="23" t="str">
        <f>IF(Q39&gt;AE6,"superior","inferior")</f>
        <v>superior</v>
      </c>
    </row>
    <row r="6" spans="2:49" ht="15" customHeight="1">
      <c r="B6" s="303" t="s">
        <v>862</v>
      </c>
      <c r="K6" s="357" t="s">
        <v>863</v>
      </c>
      <c r="L6" s="307"/>
      <c r="S6" s="357" t="s">
        <v>863</v>
      </c>
      <c r="T6" s="357"/>
      <c r="U6" s="357"/>
      <c r="V6" s="357"/>
      <c r="AC6" s="23" t="str">
        <f>IF(LnkTXTSuprid2="!vazio!","","s")</f>
        <v/>
      </c>
      <c r="AD6" s="23">
        <f>SMALL(N41:N42,1)</f>
        <v>343.38845701737392</v>
      </c>
      <c r="AE6" s="23">
        <f>SMALL(Q41:Q42,1)</f>
        <v>419.20454616891647</v>
      </c>
    </row>
    <row r="7" spans="2:49" ht="18.75" customHeight="1">
      <c r="B7" s="303" t="s">
        <v>864</v>
      </c>
      <c r="K7" s="1144" t="s">
        <v>865</v>
      </c>
      <c r="L7" s="1144" t="s">
        <v>866</v>
      </c>
      <c r="S7" s="1741" t="s">
        <v>867</v>
      </c>
      <c r="T7" s="1741"/>
      <c r="U7" s="1741"/>
      <c r="V7" s="300" t="s">
        <v>868</v>
      </c>
      <c r="W7" s="300" t="s">
        <v>869</v>
      </c>
      <c r="X7" s="60" t="s">
        <v>870</v>
      </c>
    </row>
    <row r="8" spans="2:49" ht="15" customHeight="1">
      <c r="B8" s="305" t="s">
        <v>871</v>
      </c>
      <c r="K8" s="357" t="s">
        <v>872</v>
      </c>
      <c r="L8" s="20">
        <f ca="1">Resultado!E14</f>
        <v>4.0924791689861385E-2</v>
      </c>
      <c r="S8" s="47" t="s">
        <v>873</v>
      </c>
      <c r="T8" s="368">
        <f ca="1">U8/$U$15</f>
        <v>0.45225486006935828</v>
      </c>
      <c r="U8" s="56">
        <f>AU228</f>
        <v>8886696.2552139182</v>
      </c>
      <c r="V8" s="61" t="s">
        <v>270</v>
      </c>
      <c r="W8" s="62">
        <f ca="1">T12</f>
        <v>0.20464807768586596</v>
      </c>
      <c r="X8" s="62">
        <f ca="1">W8/(1-$W$10)</f>
        <v>0.26578022523727868</v>
      </c>
    </row>
    <row r="9" spans="2:49" ht="15" customHeight="1">
      <c r="B9" s="305" t="s">
        <v>874</v>
      </c>
      <c r="K9" s="364" t="s">
        <v>846</v>
      </c>
      <c r="L9" s="365">
        <f ca="1">Resultado!E24</f>
        <v>4.2503902488774885E-2</v>
      </c>
      <c r="S9" s="47" t="s">
        <v>875</v>
      </c>
      <c r="T9" s="368">
        <f ca="1">U9/$U$15</f>
        <v>0.11646289159510975</v>
      </c>
      <c r="U9" s="56">
        <f ca="1">AU219</f>
        <v>2288467.0436729463</v>
      </c>
      <c r="V9" s="47" t="s">
        <v>876</v>
      </c>
      <c r="W9" s="57">
        <f ca="1">T13</f>
        <v>2.5362065080911513E-2</v>
      </c>
      <c r="X9" s="62">
        <f ca="1">W9/(1-$W$10)</f>
        <v>3.2938180734021778E-2</v>
      </c>
      <c r="AD9" s="424"/>
      <c r="AE9" s="424"/>
    </row>
    <row r="10" spans="2:49" ht="27.75" customHeight="1">
      <c r="B10" s="305" t="s">
        <v>712</v>
      </c>
      <c r="K10" s="357" t="s">
        <v>877</v>
      </c>
      <c r="L10" s="25">
        <f ca="1">Resultado!E33</f>
        <v>-1.7815269793160299E-2</v>
      </c>
      <c r="S10" s="47" t="s">
        <v>878</v>
      </c>
      <c r="T10" s="368">
        <f ca="1">U10/$U$15</f>
        <v>0.11706416755760345</v>
      </c>
      <c r="U10" s="56">
        <f>AU221</f>
        <v>2300281.9677699995</v>
      </c>
      <c r="V10" s="1145" t="s">
        <v>879</v>
      </c>
      <c r="W10" s="1146">
        <f ca="1">SUM(W8:W9)</f>
        <v>0.23001014276677748</v>
      </c>
      <c r="X10" s="1146">
        <f ca="1">SUM(X8:X9)</f>
        <v>0.29871840597130045</v>
      </c>
      <c r="AE10" s="424"/>
    </row>
    <row r="11" spans="2:49" ht="15" customHeight="1">
      <c r="B11" s="303" t="s">
        <v>875</v>
      </c>
      <c r="K11" s="357" t="s">
        <v>880</v>
      </c>
      <c r="L11" s="25">
        <f ca="1">Resultado!E39</f>
        <v>9.483821567629816E-2</v>
      </c>
      <c r="S11" s="1147" t="s">
        <v>872</v>
      </c>
      <c r="T11" s="1148">
        <f ca="1">U11/$U$15</f>
        <v>8.4207938011151104E-2</v>
      </c>
      <c r="U11" s="1149">
        <f ca="1">AU208</f>
        <v>1654665.1754460253</v>
      </c>
      <c r="V11" s="56"/>
      <c r="AE11" s="424"/>
      <c r="AK11" s="357"/>
      <c r="AL11" s="357"/>
      <c r="AP11" s="357"/>
      <c r="AQ11" s="357"/>
      <c r="AR11" s="357"/>
      <c r="AS11" s="357"/>
      <c r="AT11" s="357"/>
      <c r="AU11" s="357"/>
      <c r="AV11" s="357"/>
      <c r="AW11" s="357"/>
    </row>
    <row r="12" spans="2:49" ht="15" customHeight="1">
      <c r="B12" s="305" t="s">
        <v>881</v>
      </c>
      <c r="K12" s="23" t="s">
        <v>853</v>
      </c>
      <c r="L12" s="19">
        <f ca="1">LnkTXTIRTFin</f>
        <v>-0.221</v>
      </c>
      <c r="S12" s="47" t="s">
        <v>270</v>
      </c>
      <c r="T12" s="57">
        <f ca="1">Calc_Mercado!J8</f>
        <v>0.20464807768586596</v>
      </c>
      <c r="U12" s="56">
        <f ca="1">T12*U15</f>
        <v>4021284.1611670083</v>
      </c>
      <c r="V12" s="56"/>
      <c r="AD12" s="424"/>
      <c r="AE12" s="424"/>
      <c r="AM12" s="357"/>
      <c r="AP12" s="357"/>
      <c r="AQ12" s="357"/>
      <c r="AR12" s="357"/>
      <c r="AS12" s="357"/>
      <c r="AT12" s="357"/>
      <c r="AU12" s="357"/>
      <c r="AV12" s="357"/>
      <c r="AW12" s="357"/>
    </row>
    <row r="13" spans="2:49" ht="15" customHeight="1">
      <c r="B13" s="305" t="s">
        <v>853</v>
      </c>
      <c r="K13" s="23" t="s">
        <v>882</v>
      </c>
      <c r="L13" s="19">
        <f ca="1">LnkTXTERFIN</f>
        <v>0.20480000000000001</v>
      </c>
      <c r="S13" s="47" t="s">
        <v>883</v>
      </c>
      <c r="T13" s="58">
        <f ca="1">Calc_Mercado!J9</f>
        <v>2.5362065080911513E-2</v>
      </c>
      <c r="U13" s="56">
        <f ca="1">T13*U15</f>
        <v>498358.31226769515</v>
      </c>
      <c r="V13" s="56"/>
      <c r="AM13" s="357"/>
      <c r="AP13" s="357"/>
      <c r="AQ13" s="357"/>
      <c r="AR13" s="357"/>
      <c r="AS13" s="357"/>
      <c r="AT13" s="357"/>
      <c r="AU13" s="357"/>
      <c r="AV13" s="357"/>
      <c r="AW13" s="357"/>
    </row>
    <row r="14" spans="2:49" ht="15" customHeight="1">
      <c r="B14" s="305" t="s">
        <v>884</v>
      </c>
      <c r="K14" s="357" t="s">
        <v>885</v>
      </c>
      <c r="L14" s="365">
        <f>LnkTXTEfeito</f>
        <v>0.14427339894388092</v>
      </c>
      <c r="S14" s="47" t="s">
        <v>886</v>
      </c>
      <c r="T14" s="368">
        <f ca="1">SUM(T12:T13)</f>
        <v>0.23001014276677748</v>
      </c>
      <c r="U14" s="56">
        <f ca="1">SUM(U12:U13)</f>
        <v>4519642.4734347034</v>
      </c>
      <c r="V14" s="56"/>
      <c r="AD14" s="23" t="s">
        <v>84</v>
      </c>
      <c r="AE14" s="23" t="s">
        <v>158</v>
      </c>
      <c r="AF14" s="23" t="s">
        <v>846</v>
      </c>
      <c r="AG14" s="23" t="s">
        <v>835</v>
      </c>
      <c r="AM14" s="357"/>
      <c r="AP14" s="357"/>
      <c r="AQ14" s="357"/>
      <c r="AR14" s="357"/>
      <c r="AS14" s="357"/>
      <c r="AT14" s="357"/>
      <c r="AU14" s="357"/>
      <c r="AV14" s="357"/>
      <c r="AW14" s="357"/>
    </row>
    <row r="15" spans="2:49" ht="15" customHeight="1">
      <c r="B15" s="63" t="s">
        <v>887</v>
      </c>
      <c r="S15" s="1145" t="s">
        <v>888</v>
      </c>
      <c r="T15" s="1150">
        <f ca="1">SUM(T8:T11)+T14</f>
        <v>1</v>
      </c>
      <c r="U15" s="1151">
        <f ca="1">SUM(U8:U11)/(1-T14)</f>
        <v>19649752.915537592</v>
      </c>
      <c r="V15" s="661"/>
      <c r="AC15" s="23" t="s">
        <v>889</v>
      </c>
      <c r="AD15" s="424">
        <f ca="1">Resultado!C39</f>
        <v>7650183.9975915495</v>
      </c>
      <c r="AE15" s="424">
        <f ca="1">Resultado!C33</f>
        <v>2520744.7105923761</v>
      </c>
      <c r="AF15" s="424">
        <f ca="1">Resultado!C24</f>
        <v>1746110.8875849585</v>
      </c>
      <c r="AG15" s="424">
        <f ca="1">Resultado!C14</f>
        <v>1121082.7350311058</v>
      </c>
      <c r="AM15" s="357"/>
      <c r="AP15" s="357"/>
      <c r="AQ15" s="357"/>
      <c r="AR15" s="357"/>
      <c r="AS15" s="357"/>
      <c r="AT15" s="357"/>
    </row>
    <row r="16" spans="2:49" ht="15" customHeight="1">
      <c r="B16" s="305" t="s">
        <v>890</v>
      </c>
      <c r="AC16" s="23" t="s">
        <v>891</v>
      </c>
      <c r="AD16" s="424">
        <f>Resultado!D39</f>
        <v>8886696.2552139182</v>
      </c>
      <c r="AE16" s="424">
        <f ca="1">Resultado!D33</f>
        <v>2288467.0436729463</v>
      </c>
      <c r="AF16" s="424">
        <f>Resultado!D24</f>
        <v>2300281.9677699995</v>
      </c>
      <c r="AG16" s="424">
        <f ca="1">Resultado!D14</f>
        <v>1654665.1754460253</v>
      </c>
      <c r="AM16" s="357"/>
      <c r="AP16" s="357"/>
      <c r="AQ16" s="357"/>
      <c r="AR16" s="357"/>
      <c r="AS16" s="357"/>
      <c r="AT16" s="357"/>
    </row>
    <row r="17" spans="2:46" ht="15" customHeight="1">
      <c r="B17" s="305" t="s">
        <v>761</v>
      </c>
      <c r="AM17" s="357"/>
      <c r="AP17" s="357"/>
      <c r="AQ17" s="357"/>
      <c r="AR17" s="357"/>
      <c r="AS17" s="357"/>
      <c r="AT17" s="357"/>
    </row>
    <row r="18" spans="2:46" ht="15" customHeight="1">
      <c r="B18" s="305" t="s">
        <v>100</v>
      </c>
      <c r="AM18" s="357"/>
      <c r="AP18" s="357"/>
      <c r="AQ18" s="357"/>
      <c r="AR18" s="357"/>
      <c r="AS18" s="357"/>
      <c r="AT18" s="357"/>
    </row>
    <row r="19" spans="2:46" ht="15" customHeight="1">
      <c r="B19" s="305" t="s">
        <v>892</v>
      </c>
      <c r="S19" s="357" t="s">
        <v>863</v>
      </c>
      <c r="T19" s="357"/>
      <c r="AM19" s="357"/>
      <c r="AP19" s="357"/>
      <c r="AQ19" s="357"/>
      <c r="AR19" s="357"/>
      <c r="AS19" s="357"/>
      <c r="AT19" s="357"/>
    </row>
    <row r="20" spans="2:46" ht="15" customHeight="1">
      <c r="B20" s="305" t="s">
        <v>758</v>
      </c>
      <c r="S20" s="1745" t="s">
        <v>893</v>
      </c>
      <c r="T20" s="1745"/>
      <c r="AM20" s="357"/>
      <c r="AP20" s="357"/>
      <c r="AQ20" s="357"/>
      <c r="AR20" s="357"/>
      <c r="AS20" s="357"/>
      <c r="AT20" s="357"/>
    </row>
    <row r="21" spans="2:46" ht="15" customHeight="1">
      <c r="S21" s="47" t="s">
        <v>873</v>
      </c>
      <c r="T21" s="55">
        <f ca="1">AX228</f>
        <v>0.58735171096205052</v>
      </c>
      <c r="AL21" s="357"/>
      <c r="AO21" s="357"/>
      <c r="AP21" s="357"/>
      <c r="AQ21" s="357"/>
      <c r="AR21" s="357"/>
      <c r="AS21" s="357"/>
    </row>
    <row r="22" spans="2:46" ht="15" customHeight="1">
      <c r="S22" s="47" t="s">
        <v>875</v>
      </c>
      <c r="T22" s="55">
        <f ca="1">AX219</f>
        <v>0.15125250092720929</v>
      </c>
      <c r="AL22" s="357"/>
      <c r="AO22" s="357"/>
      <c r="AP22" s="357"/>
      <c r="AQ22" s="357"/>
      <c r="AR22" s="357"/>
      <c r="AS22" s="357"/>
    </row>
    <row r="23" spans="2:46" ht="15" customHeight="1">
      <c r="S23" s="47" t="s">
        <v>878</v>
      </c>
      <c r="T23" s="55">
        <f ca="1">AX221</f>
        <v>0.15203338908676797</v>
      </c>
      <c r="Z23" s="30" t="s">
        <v>894</v>
      </c>
      <c r="AL23" s="357"/>
      <c r="AO23" s="357"/>
      <c r="AP23" s="357"/>
      <c r="AQ23" s="357"/>
      <c r="AR23" s="357"/>
      <c r="AS23" s="357"/>
    </row>
    <row r="24" spans="2:46" ht="15" customHeight="1">
      <c r="C24" s="23" t="s">
        <v>895</v>
      </c>
      <c r="S24" s="47" t="s">
        <v>40</v>
      </c>
      <c r="T24" s="55">
        <f ca="1">AX209</f>
        <v>0</v>
      </c>
      <c r="AL24" s="357"/>
      <c r="AO24" s="357"/>
      <c r="AP24" s="357"/>
      <c r="AQ24" s="357"/>
      <c r="AR24" s="357"/>
      <c r="AS24" s="357"/>
    </row>
    <row r="25" spans="2:46" ht="15" customHeight="1">
      <c r="S25" s="47" t="s">
        <v>42</v>
      </c>
      <c r="T25" s="55">
        <f ca="1">AX210</f>
        <v>0</v>
      </c>
      <c r="AJ25" s="357"/>
      <c r="AK25" s="357"/>
      <c r="AL25" s="357"/>
      <c r="AO25" s="357"/>
      <c r="AP25" s="357"/>
      <c r="AQ25" s="357"/>
      <c r="AR25" s="357"/>
      <c r="AS25" s="357"/>
    </row>
    <row r="26" spans="2:46" ht="15" customHeight="1">
      <c r="S26" s="47" t="s">
        <v>52</v>
      </c>
      <c r="T26" s="55">
        <f ca="1">AX216</f>
        <v>1.4722284145405136E-2</v>
      </c>
      <c r="AL26" s="357"/>
    </row>
    <row r="27" spans="2:46" ht="15" customHeight="1">
      <c r="S27" s="47" t="s">
        <v>46</v>
      </c>
      <c r="T27" s="55">
        <f ca="1">AX212</f>
        <v>9.1862541477709364E-2</v>
      </c>
      <c r="AD27" s="47"/>
      <c r="AE27" s="396"/>
      <c r="AF27" s="56"/>
      <c r="AL27" s="357"/>
    </row>
    <row r="28" spans="2:46" ht="15" customHeight="1">
      <c r="S28" s="47" t="s">
        <v>44</v>
      </c>
      <c r="T28" s="55">
        <f ca="1">AX211+AX218+AX213</f>
        <v>2.77757340085775E-3</v>
      </c>
      <c r="AD28" s="47"/>
      <c r="AE28" s="396"/>
      <c r="AF28" s="56"/>
      <c r="AL28" s="357"/>
    </row>
    <row r="29" spans="2:46" ht="15" customHeight="1">
      <c r="S29" s="47" t="s">
        <v>109</v>
      </c>
      <c r="T29" s="55">
        <f ca="1">AX215</f>
        <v>0</v>
      </c>
      <c r="AD29" s="47"/>
      <c r="AE29" s="396"/>
      <c r="AF29" s="56"/>
      <c r="AL29" s="357"/>
    </row>
    <row r="30" spans="2:46" ht="15" customHeight="1">
      <c r="S30" s="47" t="s">
        <v>53</v>
      </c>
      <c r="T30" s="55">
        <f ca="1">AX217</f>
        <v>0</v>
      </c>
      <c r="AL30" s="357"/>
    </row>
    <row r="31" spans="2:46" ht="15" customHeight="1">
      <c r="S31" s="1152" t="s">
        <v>896</v>
      </c>
      <c r="T31" s="1153">
        <f ca="1">SUM(T21:T30)</f>
        <v>1</v>
      </c>
    </row>
    <row r="36" spans="1:36" ht="15" customHeight="1">
      <c r="N36" s="660" t="s">
        <v>897</v>
      </c>
      <c r="O36" s="660"/>
      <c r="P36" s="1154">
        <f>VLOOKUP(LnkTXTSigla,Informacoes[],35,FALSE)</f>
        <v>41472</v>
      </c>
      <c r="Q36" s="1155">
        <f>DATE(2013,MONTH(DataRevRea),1)</f>
        <v>41456</v>
      </c>
    </row>
    <row r="37" spans="1:36" ht="15" customHeight="1">
      <c r="L37" s="357" t="s">
        <v>863</v>
      </c>
      <c r="M37" s="23">
        <v>2013</v>
      </c>
      <c r="N37" s="23">
        <v>2014</v>
      </c>
      <c r="O37" s="23">
        <v>2015</v>
      </c>
      <c r="P37" s="23">
        <v>2016</v>
      </c>
      <c r="Q37" s="23">
        <v>2017</v>
      </c>
      <c r="R37" s="23">
        <v>2018</v>
      </c>
      <c r="S37" s="23">
        <v>2019</v>
      </c>
      <c r="T37" s="23">
        <v>2020</v>
      </c>
      <c r="U37" s="23">
        <v>2021</v>
      </c>
      <c r="V37" s="23">
        <v>2022</v>
      </c>
    </row>
    <row r="38" spans="1:36" ht="15" customHeight="1">
      <c r="L38" s="1156"/>
      <c r="M38" s="1157">
        <f t="shared" ref="M38:V38" si="0">DATE(M37,MONTH(DataRevRea),1)</f>
        <v>41456</v>
      </c>
      <c r="N38" s="1157">
        <f t="shared" si="0"/>
        <v>41821</v>
      </c>
      <c r="O38" s="1157">
        <f t="shared" si="0"/>
        <v>42186</v>
      </c>
      <c r="P38" s="1157">
        <f t="shared" si="0"/>
        <v>42552</v>
      </c>
      <c r="Q38" s="1157">
        <f t="shared" si="0"/>
        <v>42917</v>
      </c>
      <c r="R38" s="1157">
        <f t="shared" si="0"/>
        <v>43282</v>
      </c>
      <c r="S38" s="1157">
        <f t="shared" si="0"/>
        <v>43647</v>
      </c>
      <c r="T38" s="1157">
        <f t="shared" si="0"/>
        <v>44013</v>
      </c>
      <c r="U38" s="1157">
        <f t="shared" si="0"/>
        <v>44378</v>
      </c>
      <c r="V38" s="1157">
        <f t="shared" si="0"/>
        <v>44743</v>
      </c>
      <c r="W38" s="1157" t="s">
        <v>834</v>
      </c>
    </row>
    <row r="39" spans="1:36" ht="15" customHeight="1">
      <c r="L39" s="65" t="str">
        <f>CAPA!C9</f>
        <v>Ceris</v>
      </c>
      <c r="M39" s="409">
        <f>SUMIF(TAbtarifasb1[[#All],[Sigla]],LnkTXTSigla,TAbtarifasb1[[#All],[2013]])</f>
        <v>322.36</v>
      </c>
      <c r="N39" s="409">
        <f>SUMIF(TAbtarifasb1[[#All],[Sigla]],LnkTXTSigla,TAbtarifasb1[[#All],[2014]])</f>
        <v>278.05753790328487</v>
      </c>
      <c r="O39" s="409">
        <f>SUMIF(TAbtarifasb1[[#All],[Sigla]],LnkTXTSigla,TAbtarifasb1[[#All],[2015]])</f>
        <v>365.46000000000004</v>
      </c>
      <c r="P39" s="421">
        <f>SUMIF(TAbtarifasb1[[#All],[Sigla]],LnkTXTSigla,TAbtarifasb1[[#All],[2016]])</f>
        <v>365.46000000000004</v>
      </c>
      <c r="Q39" s="421">
        <f>SUMIF(TAbtarifasb1[[#All],[Sigla]],LnkTXTSigla,TAbtarifasb1[[#All],[2017]])</f>
        <v>441.3</v>
      </c>
      <c r="R39" s="778">
        <f>SUMIF(TAbtarifasb1[[#All],[Sigla]],LnkTXTSigla,TAbtarifasb1[[#All],[2018]])</f>
        <v>484.86</v>
      </c>
      <c r="S39" s="778">
        <f>SUMIF(TAbtarifasb1[[#All],[Sigla]],LnkTXTSigla,TAbtarifasb1[[#All],[2019]])</f>
        <v>531.81000000000006</v>
      </c>
      <c r="T39" s="424">
        <f>SUMIF(TAbtarifasb1[[#All],[Sigla]],LnkTXTSigla,TAbtarifasb1[[#All],[2020]])</f>
        <v>604.55999999999995</v>
      </c>
      <c r="U39" s="424">
        <f>SUMIF(TAbtarifasb1[[#All],[Sigla]],LnkTXTSigla,TAbtarifasb1[[#All],[2021]])</f>
        <v>688.71</v>
      </c>
      <c r="V39" s="424">
        <f>Resultado!L6</f>
        <v>786.51</v>
      </c>
      <c r="W39" s="765">
        <f>V39/M39-1</f>
        <v>1.4398498573023946</v>
      </c>
    </row>
    <row r="40" spans="1:36" ht="15" customHeight="1">
      <c r="L40" s="65" t="str">
        <f>LnkTXTSuprid1</f>
        <v>Eletropaulo</v>
      </c>
      <c r="M40" s="409">
        <f>SUMIF(TAbtarifasb1[[#All],[Sigla]],LnkTXTSuprid1,TAbtarifasb1[[#All],[2013]])</f>
        <v>238.44</v>
      </c>
      <c r="N40" s="409">
        <f>SUMIF(TAbtarifasb1[[#All],[Sigla]],LnkTXTSuprid1,TAbtarifasb1[[#All],[2014]])</f>
        <v>290.16000000000003</v>
      </c>
      <c r="O40" s="409">
        <f>SUMIF(TAbtarifasb1[[#All],[Sigla]],LnkTXTSuprid1,TAbtarifasb1[[#All],[2015]])</f>
        <v>436.11</v>
      </c>
      <c r="P40" s="409">
        <f>SUMIF(TAbtarifasb1[[#All],[Sigla]],LnkTXTSuprid1,TAbtarifasb1[[#All],[2016]])</f>
        <v>404.43</v>
      </c>
      <c r="Q40" s="409">
        <f>SUMIF(TAbtarifasb1[[#All],[Sigla]],LnkTXTSuprid1,TAbtarifasb1[[#All],[2017]])</f>
        <v>419.61</v>
      </c>
      <c r="R40" s="409">
        <f>SUMIF(TAbtarifasb1[[#All],[Sigla]],LnkTXTSuprid1,TAbtarifasb1[[#All],[2018]])</f>
        <v>483.63</v>
      </c>
      <c r="S40" s="409">
        <f>SUMIF(TAbtarifasb1[[#All],[Sigla]],LnkTXTSuprid1,TAbtarifasb1[[#All],[2019]])</f>
        <v>515.59</v>
      </c>
      <c r="T40" s="409">
        <f>SUMIF(TAbtarifasb1[[#All],[Sigla]],LnkTXTSuprid1,TAbtarifasb1[[#All],[2020]])</f>
        <v>534.19000000000005</v>
      </c>
      <c r="U40" s="409">
        <f>SUMIF(TAbtarifasb1[[#All],[Sigla]],LnkTXTSuprid1,TAbtarifasb1[[#All],[2021]])</f>
        <v>594.49</v>
      </c>
      <c r="V40" s="409">
        <f>SUMIF(TAbtarifasb1[[#All],[Sigla]],LnkTXTSuprid1,TAbtarifasb1[[#All],[2022]])</f>
        <v>0</v>
      </c>
      <c r="W40" s="765">
        <f>V40/M40-1</f>
        <v>-1</v>
      </c>
    </row>
    <row r="41" spans="1:36" ht="15" customHeight="1">
      <c r="L41" s="65" t="s">
        <v>898</v>
      </c>
      <c r="M41" s="410">
        <f>M39</f>
        <v>322.36</v>
      </c>
      <c r="N41" s="410">
        <f>VLOOKUP(DATE(YEAR(O38),MONTH(O38)-1,1),Índices!$B:$F,2,FALSE)/VLOOKUP(DATE(YEAR(Q36),MONTH(Q36)-1,1),Índices!$B:$F,2,FALSE)*M41</f>
        <v>361.63286422307101</v>
      </c>
      <c r="O41" s="410">
        <f>VLOOKUP(DATE(YEAR(O38),MONTH(O38)-1,1),Índices!$B:$F,2,FALSE)/VLOOKUP(DATE(YEAR(N38),MONTH(N38)-1,1),Índices!$B:$F,2,FALSE)*N41</f>
        <v>381.85806241343693</v>
      </c>
      <c r="P41" s="410">
        <f>VLOOKUP(DATE(YEAR(P38),MONTH(P38)-1,1),Índices!$B:$F,2,FALSE)/VLOOKUP(DATE(YEAR(O38),MONTH(O38)-1,1),Índices!$B:$F,2,FALSE)*O41</f>
        <v>428.47233496324935</v>
      </c>
      <c r="Q41" s="410">
        <f>VLOOKUP(DATE(YEAR(Q38),MONTH(Q38)-1,1),Índices!$B:$F,2,FALSE)/VLOOKUP(DATE(YEAR(P38),MONTH(P38)-1,1),Índices!$B:$F,2,FALSE)*P41</f>
        <v>425.13698360997705</v>
      </c>
      <c r="R41" s="367">
        <f>IF(R37=YEAR(CAPA!$C$114),'Tabelas e Gráficos'!R39,(VLOOKUP(DATE(YEAR(R38),MONTH(R38)-1,1),Índices!$B:$F,2,FALSE)/VLOOKUP(DATE(YEAR(Q38),MONTH(Q38)-1,1),Índices!$B:$F,2,FALSE)*Q41))</f>
        <v>454.56177190015899</v>
      </c>
      <c r="S41" s="367">
        <f>IF(S37=YEAR(CAPA!$C$114),'Tabelas e Gráficos'!S39,(VLOOKUP(DATE(YEAR(S38),MONTH(S38)-1,1),Índices!$B:$F,2,FALSE)/VLOOKUP(DATE(YEAR(R38),MONTH(R38)-1,1),Índices!$B:$F,2,FALSE)*R41))</f>
        <v>484.15440959990201</v>
      </c>
      <c r="T41" s="367">
        <f>IF(T37=YEAR(CAPA!$C$114),'Tabelas e Gráficos'!T39,(VLOOKUP(DATE(YEAR(T38),MONTH(T38)-1,1),Índices!$B:$F,2,FALSE)/VLOOKUP(DATE(YEAR(S38),MONTH(S38)-1,1),Índices!$B:$F,2,FALSE)*S41))</f>
        <v>519.56538972326177</v>
      </c>
      <c r="U41" s="410">
        <f>VLOOKUP(DATE(YEAR(U38),MONTH(U38)-1,1),Índices!$B:$F,2,FALSE)/VLOOKUP(DATE(YEAR(T38),MONTH(T38)-1,1),Índices!$B:$F,2,FALSE)*T41</f>
        <v>705.31698787294954</v>
      </c>
      <c r="V41" s="410">
        <f>VLOOKUP(DATE(YEAR(V38),MONTH(V38)-1,1),Índices!$B:$F,2,FALSE)/VLOOKUP(DATE(YEAR(U38),MONTH(U38)-1,1),Índices!$B:$F,2,FALSE)*U41</f>
        <v>780.81578342591888</v>
      </c>
      <c r="W41" s="765">
        <f>V41/M41-1</f>
        <v>1.4221857036416394</v>
      </c>
    </row>
    <row r="42" spans="1:36" ht="15" customHeight="1">
      <c r="L42" s="1158" t="s">
        <v>899</v>
      </c>
      <c r="M42" s="1160">
        <f>M39</f>
        <v>322.36</v>
      </c>
      <c r="N42" s="1160">
        <f>VLOOKUP(DATE(YEAR(N38),MONTH(N38)-1,1),Índices!$B:$F,3,FALSE)/VLOOKUP(DATE(YEAR(Q36),MONTH(Q36)-1,1),Índices!$B:$F,3,FALSE)*M42</f>
        <v>343.38845701737392</v>
      </c>
      <c r="O42" s="1160">
        <f>VLOOKUP(DATE(YEAR(O38),MONTH(O38)-1,1),Índices!$B:$F,3,FALSE)/VLOOKUP(DATE(YEAR(N38),MONTH(N38)-1,1),Índices!$B:$F,3,FALSE)*N42</f>
        <v>373.93090281814466</v>
      </c>
      <c r="P42" s="1160">
        <f>VLOOKUP(DATE(YEAR(P38),MONTH(P38)-1,1),Índices!$B:$F,3,FALSE)/VLOOKUP(DATE(YEAR(O38),MONTH(O38)-1,1),Índices!$B:$F,3,FALSE)*O42</f>
        <v>407.00040700553296</v>
      </c>
      <c r="Q42" s="1160">
        <f>VLOOKUP(DATE(YEAR(Q38),MONTH(Q38)-1,1),Índices!$B:$F,3,FALSE)/VLOOKUP(DATE(YEAR(P38),MONTH(P38)-1,1),Índices!$B:$F,3,FALSE)*P42</f>
        <v>419.20454616891647</v>
      </c>
      <c r="R42" s="1159">
        <f>IF(R37=YEAR(CAPA!$C$114),'Tabelas e Gráficos'!R39,(VLOOKUP(DATE(YEAR(R38),MONTH(R38)-1,1),Índices!$B:$F,3,FALSE)/VLOOKUP(DATE(YEAR(Q38),MONTH(Q38)-1,1),Índices!$B:$F,3,FALSE)*'Tabelas e Gráficos'!Q42))</f>
        <v>437.61225365454584</v>
      </c>
      <c r="S42" s="1159">
        <f>IF(S37=YEAR(CAPA!$C$114),'Tabelas e Gráficos'!S39,(VLOOKUP(DATE(YEAR(S38),MONTH(S38)-1,1),Índices!$B:$F,3,FALSE)/VLOOKUP(DATE(YEAR(R38),MONTH(R38)-1,1),Índices!$B:$F,3,FALSE)*'Tabelas e Gráficos'!R42))</f>
        <v>452.34345120454697</v>
      </c>
      <c r="T42" s="1159">
        <f>IF(T37=YEAR(CAPA!$C$114),'Tabelas e Gráficos'!T39,(VLOOKUP(DATE(YEAR(T38),MONTH(T38)-1,1),Índices!$B:$F,3,FALSE)/VLOOKUP(DATE(YEAR(S38),MONTH(S38)-1,1),Índices!$B:$F,3,FALSE)*'Tabelas e Gráficos'!S42))</f>
        <v>461.98930159960383</v>
      </c>
      <c r="U42" s="1160">
        <f>VLOOKUP(DATE(YEAR(U38),MONTH(U38)-1,1),Índices!$B:$F,3,FALSE)/VLOOKUP(DATE(YEAR(T38),MONTH(T38)-1,1),Índices!$B:$F,3,FALSE)*T42</f>
        <v>500.55188292535894</v>
      </c>
      <c r="V42" s="1160">
        <f>VLOOKUP(DATE(YEAR(V38),MONTH(V38)-1,1),Índices!$B:$F,3,FALSE)/VLOOKUP(DATE(YEAR(U38),MONTH(U38)-1,1),Índices!$B:$F,3,FALSE)*U42</f>
        <v>560.05183265517019</v>
      </c>
      <c r="W42" s="765">
        <f>V42/M42-1</f>
        <v>0.73734902796615631</v>
      </c>
    </row>
    <row r="43" spans="1:36" ht="15" customHeight="1">
      <c r="X43" s="23">
        <v>938.62</v>
      </c>
    </row>
    <row r="44" spans="1:36" ht="15" customHeight="1">
      <c r="X44" s="880">
        <f>X43/X45-1</f>
        <v>0.31378422260791661</v>
      </c>
    </row>
    <row r="45" spans="1:36" ht="15" customHeight="1">
      <c r="W45" s="19"/>
      <c r="X45" s="23">
        <v>714.44</v>
      </c>
    </row>
    <row r="46" spans="1:36" ht="15" customHeight="1">
      <c r="W46" s="19"/>
      <c r="X46" s="23">
        <f>X45*1.3138</f>
        <v>938.63127200000008</v>
      </c>
    </row>
    <row r="47" spans="1:36" ht="15" customHeight="1">
      <c r="X47" s="19"/>
    </row>
    <row r="48" spans="1:36" ht="15" customHeight="1" thickBot="1">
      <c r="A48" s="302" t="s">
        <v>858</v>
      </c>
      <c r="K48" s="49"/>
      <c r="L48" s="49"/>
      <c r="M48" s="49"/>
      <c r="N48" s="49"/>
      <c r="O48" s="49"/>
      <c r="P48" s="49"/>
      <c r="AH48" s="59"/>
      <c r="AI48" s="59"/>
      <c r="AJ48" s="59"/>
    </row>
    <row r="49" spans="1:47" ht="15" customHeight="1" thickBot="1">
      <c r="A49" s="671"/>
      <c r="B49" s="671"/>
      <c r="C49" s="671"/>
      <c r="D49" s="671"/>
      <c r="E49" s="671"/>
      <c r="F49" s="671"/>
      <c r="G49" s="671"/>
      <c r="H49" s="672"/>
      <c r="I49" s="671"/>
      <c r="J49" s="671"/>
      <c r="K49" s="673"/>
      <c r="L49" s="673"/>
      <c r="M49" s="673"/>
      <c r="N49" s="673"/>
      <c r="O49" s="673"/>
      <c r="P49" s="673"/>
      <c r="Q49" s="671"/>
      <c r="R49" s="671"/>
      <c r="S49" s="674"/>
      <c r="T49" s="671"/>
      <c r="U49" s="671"/>
      <c r="V49" s="671"/>
      <c r="W49" s="671"/>
      <c r="X49" s="671"/>
      <c r="Y49" s="671"/>
      <c r="Z49" s="671"/>
      <c r="AA49" s="671"/>
      <c r="AB49" s="671"/>
      <c r="AC49" s="671"/>
      <c r="AD49" s="671"/>
    </row>
    <row r="50" spans="1:47" ht="15" customHeight="1">
      <c r="B50" s="306" t="s">
        <v>860</v>
      </c>
      <c r="C50" s="307" t="s">
        <v>900</v>
      </c>
      <c r="H50" s="23"/>
      <c r="K50" s="49"/>
      <c r="L50" s="357"/>
      <c r="M50" s="357"/>
      <c r="N50" s="357"/>
      <c r="O50" s="49"/>
      <c r="P50" s="49"/>
      <c r="S50" s="314"/>
    </row>
    <row r="51" spans="1:47" ht="15" customHeight="1">
      <c r="B51" s="308" t="s">
        <v>901</v>
      </c>
      <c r="C51" s="308" t="s">
        <v>902</v>
      </c>
      <c r="H51" s="23"/>
      <c r="K51" s="49"/>
      <c r="L51" s="1746"/>
      <c r="M51" s="1746"/>
      <c r="N51" s="1746"/>
      <c r="O51" s="49"/>
      <c r="P51" s="49"/>
    </row>
    <row r="52" spans="1:47" ht="15" customHeight="1">
      <c r="B52" s="309" t="s">
        <v>903</v>
      </c>
      <c r="C52" s="310">
        <f ca="1">Resultado!C5</f>
        <v>15130110.44210289</v>
      </c>
      <c r="D52" s="29"/>
      <c r="E52" s="29"/>
      <c r="H52" s="23"/>
      <c r="K52" s="49"/>
      <c r="L52" s="49"/>
      <c r="M52" s="49"/>
      <c r="N52" s="49"/>
      <c r="O52" s="49"/>
      <c r="P52" s="49"/>
    </row>
    <row r="53" spans="1:47" ht="15" customHeight="1">
      <c r="B53" s="309" t="s">
        <v>904</v>
      </c>
      <c r="C53" s="310">
        <f ca="1">Resultado!C6</f>
        <v>13038122.330799989</v>
      </c>
      <c r="D53" s="311"/>
      <c r="E53" s="312" t="s">
        <v>175</v>
      </c>
      <c r="H53" s="23"/>
      <c r="K53" s="49"/>
      <c r="L53" s="49"/>
      <c r="M53" s="49"/>
      <c r="N53" s="49"/>
      <c r="O53" s="49"/>
      <c r="P53" s="49"/>
    </row>
    <row r="54" spans="1:47" ht="15" customHeight="1">
      <c r="B54" s="309" t="str">
        <f>Resultado!B7</f>
        <v>Variação econômica</v>
      </c>
      <c r="C54" s="313">
        <f ca="1">C52/C53-1</f>
        <v>0.16045164006177415</v>
      </c>
      <c r="D54" s="311"/>
      <c r="E54" s="28"/>
      <c r="H54" s="23"/>
      <c r="K54" s="49"/>
      <c r="L54" s="49"/>
      <c r="M54" s="49"/>
      <c r="N54" s="49"/>
      <c r="O54" s="49"/>
      <c r="P54" s="49"/>
    </row>
    <row r="55" spans="1:47" ht="15" customHeight="1">
      <c r="B55" s="309" t="s">
        <v>853</v>
      </c>
      <c r="C55" s="313">
        <f ca="1">Resultado!C8</f>
        <v>-0.221</v>
      </c>
      <c r="D55" s="311"/>
      <c r="E55" s="28"/>
      <c r="H55" s="23"/>
      <c r="K55" s="49"/>
      <c r="L55" s="670"/>
      <c r="M55" s="667"/>
      <c r="N55" s="668"/>
      <c r="O55" s="49"/>
      <c r="P55" s="49"/>
    </row>
    <row r="56" spans="1:47" ht="15" customHeight="1">
      <c r="B56" s="1161" t="str">
        <f>Resultado!B9</f>
        <v>Variação econômica e financeira</v>
      </c>
      <c r="C56" s="1162">
        <f ca="1">C54+C55</f>
        <v>-6.0548359938225854E-2</v>
      </c>
      <c r="D56" s="311"/>
      <c r="E56" s="28"/>
      <c r="H56" s="23"/>
    </row>
    <row r="57" spans="1:47" ht="15" customHeight="1">
      <c r="B57" s="311"/>
      <c r="C57" s="311"/>
      <c r="D57" s="311"/>
      <c r="H57" s="23"/>
      <c r="L57" s="526"/>
      <c r="M57" s="526"/>
      <c r="N57" s="526"/>
      <c r="O57" s="526"/>
      <c r="P57" s="526"/>
      <c r="Q57" s="526"/>
      <c r="R57" s="526"/>
      <c r="S57" s="49"/>
    </row>
    <row r="58" spans="1:47" ht="15" customHeight="1">
      <c r="C58" s="314"/>
      <c r="D58" s="311"/>
      <c r="E58" s="306" t="s">
        <v>861</v>
      </c>
      <c r="F58" s="315"/>
      <c r="G58" s="307" t="s">
        <v>900</v>
      </c>
      <c r="H58" s="23"/>
      <c r="L58" s="527"/>
      <c r="M58" s="528"/>
      <c r="N58" s="529"/>
      <c r="O58" s="523"/>
      <c r="P58" s="523"/>
      <c r="Q58" s="524"/>
      <c r="R58" s="525"/>
      <c r="S58" s="49"/>
      <c r="AT58" s="19"/>
      <c r="AU58" s="408"/>
    </row>
    <row r="59" spans="1:47" ht="15" customHeight="1">
      <c r="C59" s="314"/>
      <c r="D59" s="311"/>
      <c r="E59" s="308" t="s">
        <v>905</v>
      </c>
      <c r="F59" s="308" t="s">
        <v>906</v>
      </c>
      <c r="G59" s="308" t="s">
        <v>907</v>
      </c>
      <c r="H59" s="23"/>
      <c r="AT59" s="19"/>
      <c r="AU59" s="408"/>
    </row>
    <row r="60" spans="1:47" ht="15" customHeight="1">
      <c r="B60" s="30"/>
      <c r="C60" s="316"/>
      <c r="D60" s="316"/>
      <c r="E60" s="309" t="s">
        <v>908</v>
      </c>
      <c r="F60" s="310">
        <f ca="1">Calc_Mercado!C8</f>
        <v>16377.068000000003</v>
      </c>
      <c r="G60" s="310">
        <f ca="1">Calc_Mercado!D8</f>
        <v>13038122.330799989</v>
      </c>
      <c r="H60" s="317" t="s">
        <v>909</v>
      </c>
    </row>
    <row r="61" spans="1:47" ht="15" hidden="1" customHeight="1">
      <c r="E61" s="309" t="s">
        <v>910</v>
      </c>
      <c r="F61" s="310">
        <f ca="1">Calc_Mercado!C9</f>
        <v>0</v>
      </c>
      <c r="G61" s="310">
        <f ca="1">Calc_Mercado!D9</f>
        <v>0</v>
      </c>
      <c r="H61" s="317">
        <f t="shared" ref="H61:H69" ca="1" si="1">IF(G61=0,0,1)</f>
        <v>0</v>
      </c>
    </row>
    <row r="62" spans="1:47" ht="15" hidden="1" customHeight="1">
      <c r="B62" s="30"/>
      <c r="E62" s="309" t="s">
        <v>911</v>
      </c>
      <c r="F62" s="310">
        <f ca="1">Calc_Mercado!C10</f>
        <v>0</v>
      </c>
      <c r="G62" s="310">
        <f ca="1">Calc_Mercado!D10</f>
        <v>0</v>
      </c>
      <c r="H62" s="317">
        <f t="shared" ca="1" si="1"/>
        <v>0</v>
      </c>
    </row>
    <row r="63" spans="1:47" ht="15" hidden="1" customHeight="1">
      <c r="B63" s="29"/>
      <c r="C63" s="29"/>
      <c r="D63" s="29"/>
      <c r="E63" s="309" t="s">
        <v>912</v>
      </c>
      <c r="F63" s="310">
        <f ca="1">Calc_Mercado!C11</f>
        <v>0</v>
      </c>
      <c r="G63" s="310">
        <f ca="1">Calc_Mercado!D11</f>
        <v>0</v>
      </c>
      <c r="H63" s="317">
        <f t="shared" ca="1" si="1"/>
        <v>0</v>
      </c>
    </row>
    <row r="64" spans="1:47" ht="15" hidden="1" customHeight="1">
      <c r="C64" s="314"/>
      <c r="D64" s="311"/>
      <c r="E64" s="309" t="s">
        <v>913</v>
      </c>
      <c r="F64" s="310">
        <f ca="1">Calc_Mercado!C12</f>
        <v>0</v>
      </c>
      <c r="G64" s="310">
        <f ca="1">Calc_Mercado!D12</f>
        <v>0</v>
      </c>
      <c r="H64" s="317">
        <f t="shared" ca="1" si="1"/>
        <v>0</v>
      </c>
    </row>
    <row r="65" spans="2:43" ht="15" customHeight="1">
      <c r="C65" s="314"/>
      <c r="D65" s="311"/>
      <c r="E65" s="309" t="s">
        <v>914</v>
      </c>
      <c r="F65" s="310">
        <f ca="1">Calc_Mercado!C13</f>
        <v>1305.1950000000002</v>
      </c>
      <c r="G65" s="310">
        <f ca="1">Calc_Mercado!D13</f>
        <v>631038.86432999989</v>
      </c>
      <c r="H65" s="317">
        <f t="shared" ca="1" si="1"/>
        <v>1</v>
      </c>
    </row>
    <row r="66" spans="2:43" ht="15" hidden="1" customHeight="1">
      <c r="C66" s="314"/>
      <c r="D66" s="311"/>
      <c r="E66" s="309" t="s">
        <v>915</v>
      </c>
      <c r="F66" s="310">
        <f ca="1">Calc_Mercado!C14</f>
        <v>0</v>
      </c>
      <c r="G66" s="310">
        <f ca="1">Calc_Mercado!D14</f>
        <v>0</v>
      </c>
      <c r="H66" s="317">
        <f t="shared" ca="1" si="1"/>
        <v>0</v>
      </c>
    </row>
    <row r="67" spans="2:43" ht="15" customHeight="1">
      <c r="C67" s="314"/>
      <c r="D67" s="311"/>
      <c r="E67" s="309" t="s">
        <v>916</v>
      </c>
      <c r="F67" s="310">
        <f ca="1">Calc_Mercado!C15</f>
        <v>15071.873000000003</v>
      </c>
      <c r="G67" s="310">
        <f ca="1">Calc_Mercado!D15</f>
        <v>12407083.46646999</v>
      </c>
      <c r="H67" s="317">
        <f t="shared" ca="1" si="1"/>
        <v>1</v>
      </c>
    </row>
    <row r="68" spans="2:43" ht="15" hidden="1" customHeight="1">
      <c r="C68" s="314"/>
      <c r="D68" s="311"/>
      <c r="E68" s="309" t="s">
        <v>917</v>
      </c>
      <c r="F68" s="310">
        <f ca="1">Calc_Mercado!C17</f>
        <v>0</v>
      </c>
      <c r="G68" s="310">
        <f ca="1">Calc_Mercado!D17</f>
        <v>0</v>
      </c>
      <c r="H68" s="317">
        <f t="shared" ca="1" si="1"/>
        <v>0</v>
      </c>
    </row>
    <row r="69" spans="2:43" ht="15" hidden="1" customHeight="1">
      <c r="C69" s="314"/>
      <c r="D69" s="311"/>
      <c r="E69" s="309" t="s">
        <v>918</v>
      </c>
      <c r="F69" s="310">
        <f ca="1">Calc_Mercado!C18</f>
        <v>0</v>
      </c>
      <c r="G69" s="310">
        <f ca="1">Calc_Mercado!D18</f>
        <v>0</v>
      </c>
      <c r="H69" s="317">
        <f t="shared" ca="1" si="1"/>
        <v>0</v>
      </c>
    </row>
    <row r="70" spans="2:43" ht="15" customHeight="1">
      <c r="C70" s="314"/>
      <c r="D70" s="311"/>
      <c r="E70" s="1161" t="s">
        <v>896</v>
      </c>
      <c r="F70" s="1163">
        <f ca="1">Calc_Mercado!C25</f>
        <v>16377.068000000003</v>
      </c>
      <c r="G70" s="1163">
        <f ca="1">Calc_Mercado!D25</f>
        <v>13038122.330799989</v>
      </c>
      <c r="AG70" s="49"/>
    </row>
    <row r="71" spans="2:43" ht="15" customHeight="1">
      <c r="B71" s="30"/>
      <c r="C71" s="316"/>
      <c r="D71" s="316"/>
      <c r="E71" s="28"/>
      <c r="I71" s="31"/>
      <c r="J71" s="31"/>
      <c r="K71" s="31"/>
      <c r="AG71" s="49"/>
    </row>
    <row r="72" spans="2:43" ht="15" customHeight="1">
      <c r="I72" s="318" t="s">
        <v>862</v>
      </c>
      <c r="J72" s="315"/>
      <c r="K72" s="307" t="s">
        <v>900</v>
      </c>
      <c r="L72" s="299"/>
      <c r="N72" s="299"/>
      <c r="AG72" s="49"/>
      <c r="AH72" s="49"/>
      <c r="AI72" s="49"/>
      <c r="AJ72" s="49"/>
      <c r="AK72" s="49"/>
      <c r="AL72" s="49"/>
      <c r="AM72" s="49"/>
      <c r="AN72" s="49"/>
      <c r="AO72" s="49"/>
    </row>
    <row r="73" spans="2:43" ht="15" customHeight="1">
      <c r="B73" s="30"/>
      <c r="I73" s="300" t="s">
        <v>919</v>
      </c>
      <c r="J73" s="300" t="s">
        <v>920</v>
      </c>
      <c r="K73" s="300" t="s">
        <v>921</v>
      </c>
      <c r="L73" s="32"/>
      <c r="N73" s="33"/>
      <c r="AG73" s="49"/>
      <c r="AH73" s="49"/>
      <c r="AI73" s="49"/>
      <c r="AJ73" s="49"/>
      <c r="AK73" s="49"/>
      <c r="AL73" s="49"/>
      <c r="AM73" s="49"/>
      <c r="AN73" s="49"/>
      <c r="AO73" s="49"/>
    </row>
    <row r="74" spans="2:43" ht="15" customHeight="1">
      <c r="B74" s="29"/>
      <c r="C74" s="1743"/>
      <c r="D74" s="1743"/>
      <c r="E74" s="1743"/>
      <c r="I74" s="1164" t="s">
        <v>872</v>
      </c>
      <c r="J74" s="1165">
        <f ca="1">SUM(J75:J83)</f>
        <v>1121082.7350311058</v>
      </c>
      <c r="K74" s="1166">
        <f ca="1">SUM(K75:K83)</f>
        <v>8.5984983618597383E-2</v>
      </c>
      <c r="L74" s="317" t="s">
        <v>909</v>
      </c>
      <c r="N74" s="34"/>
      <c r="AG74" s="49"/>
      <c r="AH74" s="1750"/>
      <c r="AI74" s="1750"/>
      <c r="AJ74" s="1750"/>
      <c r="AK74" s="663"/>
      <c r="AL74" s="49"/>
      <c r="AM74" s="49"/>
      <c r="AN74" s="49"/>
      <c r="AO74" s="49"/>
    </row>
    <row r="75" spans="2:43" ht="15" hidden="1" customHeight="1">
      <c r="B75" s="30"/>
      <c r="C75" s="1742"/>
      <c r="D75" s="1742"/>
      <c r="E75" s="1742"/>
      <c r="I75" s="35" t="str">
        <f>Resultado!B15</f>
        <v>Reserva Global de Reversão – RGR</v>
      </c>
      <c r="J75" s="319">
        <f>0</f>
        <v>0</v>
      </c>
      <c r="K75" s="36">
        <f t="shared" ref="K75:K83" ca="1" si="2">J75/$J$97</f>
        <v>0</v>
      </c>
      <c r="L75" s="317">
        <f>IF(J75=0,0,1)</f>
        <v>0</v>
      </c>
      <c r="N75" s="36"/>
      <c r="AG75" s="49"/>
      <c r="AH75" s="1751"/>
      <c r="AI75" s="1751"/>
      <c r="AJ75" s="1751"/>
      <c r="AK75" s="664"/>
      <c r="AL75" s="428"/>
      <c r="AM75" s="49"/>
      <c r="AN75" s="49"/>
      <c r="AO75" s="49"/>
    </row>
    <row r="76" spans="2:43" ht="15" hidden="1" customHeight="1">
      <c r="B76" s="30"/>
      <c r="C76" s="1742"/>
      <c r="D76" s="1742"/>
      <c r="E76" s="1742"/>
      <c r="I76" s="35" t="str">
        <f>Resultado!B16</f>
        <v>Conta de Consumo de Combustíveis – CCC</v>
      </c>
      <c r="J76" s="319">
        <v>0</v>
      </c>
      <c r="K76" s="36">
        <f t="shared" ca="1" si="2"/>
        <v>0</v>
      </c>
      <c r="L76" s="317">
        <f>IF(J76=0,0,1)</f>
        <v>0</v>
      </c>
      <c r="N76" s="36"/>
      <c r="AG76" s="49"/>
      <c r="AH76" s="49"/>
      <c r="AI76" s="49"/>
      <c r="AJ76" s="49"/>
      <c r="AK76" s="665"/>
      <c r="AL76" s="49"/>
      <c r="AM76" s="49"/>
      <c r="AN76" s="49"/>
      <c r="AO76" s="49"/>
    </row>
    <row r="77" spans="2:43" ht="15" customHeight="1">
      <c r="B77" s="30"/>
      <c r="C77" s="1742"/>
      <c r="D77" s="1742"/>
      <c r="E77" s="1742"/>
      <c r="I77" s="35" t="str">
        <f>Resultado!B17</f>
        <v>Taxa de Fisc. de Serviços de E.E. – TFSEE</v>
      </c>
      <c r="J77" s="319">
        <f ca="1">Mercado_Faturado_Encargo_TFSEE_BRUTO</f>
        <v>35330.602821184402</v>
      </c>
      <c r="K77" s="36">
        <f t="shared" ca="1" si="2"/>
        <v>2.7097922480542177E-3</v>
      </c>
      <c r="L77" s="317">
        <f ca="1">IF(J77=0,0,1)</f>
        <v>1</v>
      </c>
      <c r="N77" s="36"/>
      <c r="AG77" s="49"/>
      <c r="AH77" s="49"/>
      <c r="AI77" s="49"/>
      <c r="AJ77" s="49"/>
      <c r="AK77" s="665"/>
      <c r="AL77" s="49"/>
      <c r="AM77" s="49"/>
      <c r="AN77" s="49"/>
      <c r="AO77" s="49"/>
    </row>
    <row r="78" spans="2:43" ht="15" customHeight="1">
      <c r="B78" s="30"/>
      <c r="C78" s="1742"/>
      <c r="D78" s="1742"/>
      <c r="E78" s="1742"/>
      <c r="I78" s="35" t="str">
        <f>Resultado!B18</f>
        <v>Conta de Desenvolvimento Energético – CDE</v>
      </c>
      <c r="J78" s="319">
        <f ca="1">Mercado_Faturado_Encargo_CDE_BRUTO</f>
        <v>938941.61184217362</v>
      </c>
      <c r="K78" s="36">
        <f t="shared" ca="1" si="2"/>
        <v>7.2015094506676744E-2</v>
      </c>
      <c r="L78" s="317">
        <f t="shared" ref="L78:L94" ca="1" si="3">IF(J78=0,0,1)</f>
        <v>1</v>
      </c>
      <c r="N78" s="36"/>
      <c r="AG78" s="49"/>
      <c r="AH78" s="1751"/>
      <c r="AI78" s="1751"/>
      <c r="AJ78" s="1751"/>
      <c r="AK78" s="664"/>
      <c r="AL78" s="428"/>
      <c r="AM78" s="49"/>
      <c r="AN78" s="49"/>
      <c r="AO78" s="49"/>
    </row>
    <row r="79" spans="2:43" ht="15" hidden="1" customHeight="1">
      <c r="B79" s="30"/>
      <c r="C79" s="1742"/>
      <c r="D79" s="1742"/>
      <c r="E79" s="1742"/>
      <c r="I79" s="35" t="str">
        <f>Resultado!B19</f>
        <v xml:space="preserve"> CDE Conta Covid</v>
      </c>
      <c r="J79" s="319">
        <f ca="1">Mercado_Faturado_Encargo_CFURH_BRUTO</f>
        <v>0</v>
      </c>
      <c r="K79" s="36">
        <f t="shared" ca="1" si="2"/>
        <v>0</v>
      </c>
      <c r="L79" s="317">
        <f t="shared" ca="1" si="3"/>
        <v>0</v>
      </c>
      <c r="N79" s="36"/>
      <c r="AG79" s="49"/>
      <c r="AH79" s="49"/>
      <c r="AI79" s="49"/>
      <c r="AJ79" s="49"/>
      <c r="AK79" s="665"/>
      <c r="AL79" s="49"/>
      <c r="AM79" s="49"/>
      <c r="AN79" s="425"/>
      <c r="AO79" s="425"/>
      <c r="AP79" s="425"/>
      <c r="AQ79" s="425"/>
    </row>
    <row r="80" spans="2:43" ht="15" hidden="1" customHeight="1">
      <c r="B80" s="30"/>
      <c r="C80" s="1742"/>
      <c r="D80" s="1742"/>
      <c r="E80" s="1742"/>
      <c r="I80" s="35" t="str">
        <f>Resultado!B20</f>
        <v>Encargos Serv. Sist. - ESS e Energ. Reserv. – EER</v>
      </c>
      <c r="J80" s="319">
        <f ca="1">Mercado_Faturado_Encargo_ESSERR_BRUTO</f>
        <v>0</v>
      </c>
      <c r="K80" s="36">
        <f t="shared" ca="1" si="2"/>
        <v>0</v>
      </c>
      <c r="L80" s="317">
        <v>0</v>
      </c>
      <c r="N80" s="36"/>
      <c r="AG80" s="49"/>
      <c r="AH80" s="49"/>
      <c r="AI80" s="49"/>
      <c r="AJ80" s="49"/>
      <c r="AK80" s="665"/>
      <c r="AL80" s="49"/>
      <c r="AM80" s="49"/>
      <c r="AN80" s="49"/>
      <c r="AO80" s="49"/>
    </row>
    <row r="81" spans="2:41" ht="15" customHeight="1">
      <c r="B81" s="30"/>
      <c r="C81" s="1742"/>
      <c r="D81" s="1742"/>
      <c r="E81" s="1742"/>
      <c r="I81" s="35" t="str">
        <f>Resultado!B21</f>
        <v>PROINFA</v>
      </c>
      <c r="J81" s="319">
        <f ca="1">Mercado_Faturado_Encargo_PROINFA_BRUTO</f>
        <v>146810.52036774775</v>
      </c>
      <c r="K81" s="36">
        <f t="shared" ca="1" si="2"/>
        <v>1.1260096863866424E-2</v>
      </c>
      <c r="L81" s="317">
        <f t="shared" ca="1" si="3"/>
        <v>1</v>
      </c>
      <c r="N81" s="34"/>
      <c r="AG81" s="49"/>
      <c r="AH81" s="49"/>
      <c r="AI81" s="49"/>
      <c r="AJ81" s="49"/>
      <c r="AK81" s="665"/>
      <c r="AL81" s="49"/>
      <c r="AM81" s="49"/>
      <c r="AN81" s="49"/>
      <c r="AO81" s="49"/>
    </row>
    <row r="82" spans="2:41" ht="15" hidden="1" customHeight="1">
      <c r="I82" s="35" t="str">
        <f>Resultado!B22</f>
        <v>P&amp;D e Eficiência Energética</v>
      </c>
      <c r="J82" s="319">
        <f ca="1">Mercado_Faturado_Encargo_PeD_BRUTO</f>
        <v>0</v>
      </c>
      <c r="K82" s="36">
        <f t="shared" ca="1" si="2"/>
        <v>0</v>
      </c>
      <c r="L82" s="317">
        <v>0</v>
      </c>
      <c r="N82" s="34"/>
      <c r="AG82" s="49"/>
      <c r="AH82" s="1751"/>
      <c r="AI82" s="1751"/>
      <c r="AJ82" s="1751"/>
      <c r="AK82" s="664"/>
      <c r="AL82" s="428"/>
      <c r="AM82" s="49"/>
      <c r="AN82" s="49"/>
      <c r="AO82" s="49"/>
    </row>
    <row r="83" spans="2:41" ht="15" hidden="1" customHeight="1">
      <c r="I83" s="35" t="str">
        <f>Resultado!B23</f>
        <v>ONS</v>
      </c>
      <c r="J83" s="319">
        <f ca="1">Mercado_Faturado_Encargo_ONS_BRUTO</f>
        <v>0</v>
      </c>
      <c r="K83" s="36">
        <f t="shared" ca="1" si="2"/>
        <v>0</v>
      </c>
      <c r="L83" s="317">
        <v>0</v>
      </c>
      <c r="N83" s="36"/>
      <c r="AG83" s="49"/>
      <c r="AH83" s="49"/>
      <c r="AI83" s="49"/>
      <c r="AJ83" s="49"/>
      <c r="AK83" s="665"/>
      <c r="AL83" s="49"/>
      <c r="AM83" s="49"/>
      <c r="AN83" s="49"/>
      <c r="AO83" s="49"/>
    </row>
    <row r="84" spans="2:41" ht="15" customHeight="1">
      <c r="I84" s="1164" t="s">
        <v>922</v>
      </c>
      <c r="J84" s="1165">
        <f ca="1">SUM(Calc_Mercado!C79:C85)</f>
        <v>2520744.7105923761</v>
      </c>
      <c r="K84" s="1166">
        <f ca="1">SUM(K85)</f>
        <v>0.19333648255758534</v>
      </c>
      <c r="L84" s="317">
        <f t="shared" ca="1" si="3"/>
        <v>1</v>
      </c>
      <c r="N84" s="36"/>
      <c r="AG84" s="49"/>
      <c r="AH84" s="49"/>
      <c r="AI84" s="49"/>
      <c r="AJ84" s="49"/>
      <c r="AK84" s="665"/>
      <c r="AL84" s="49"/>
      <c r="AM84" s="49"/>
      <c r="AN84" s="49"/>
      <c r="AO84" s="49"/>
    </row>
    <row r="85" spans="2:41" ht="15" customHeight="1">
      <c r="B85" s="30"/>
      <c r="I85" s="37" t="s">
        <v>923</v>
      </c>
      <c r="J85" s="319">
        <f ca="1">J84</f>
        <v>2520744.7105923761</v>
      </c>
      <c r="K85" s="36">
        <f t="shared" ref="K85:K96" ca="1" si="4">J85/$J$97</f>
        <v>0.19333648255758534</v>
      </c>
      <c r="L85" s="317">
        <f t="shared" ca="1" si="3"/>
        <v>1</v>
      </c>
      <c r="M85" s="38"/>
      <c r="N85" s="38"/>
      <c r="AG85" s="49"/>
      <c r="AH85" s="49"/>
      <c r="AI85" s="49"/>
      <c r="AJ85" s="49"/>
      <c r="AK85" s="559"/>
      <c r="AL85" s="49"/>
      <c r="AM85" s="49"/>
      <c r="AN85" s="49"/>
      <c r="AO85" s="49"/>
    </row>
    <row r="86" spans="2:41" ht="15" customHeight="1">
      <c r="B86" s="1749"/>
      <c r="C86" s="1749"/>
      <c r="D86" s="1749"/>
      <c r="E86" s="1749"/>
      <c r="F86" s="1749"/>
      <c r="G86" s="39"/>
      <c r="I86" s="1164" t="s">
        <v>924</v>
      </c>
      <c r="J86" s="1165">
        <f ca="1">Resultado!C24</f>
        <v>1746110.8875849585</v>
      </c>
      <c r="K86" s="1166">
        <f t="shared" ca="1" si="4"/>
        <v>0.13392349322111485</v>
      </c>
      <c r="L86" s="317">
        <f t="shared" ca="1" si="3"/>
        <v>1</v>
      </c>
      <c r="M86" s="40"/>
      <c r="N86" s="41"/>
      <c r="AG86" s="49"/>
      <c r="AH86" s="49"/>
      <c r="AI86" s="49"/>
      <c r="AJ86" s="49"/>
      <c r="AK86" s="559"/>
      <c r="AL86" s="49"/>
      <c r="AM86" s="49"/>
      <c r="AN86" s="49"/>
      <c r="AO86" s="49"/>
    </row>
    <row r="87" spans="2:41" ht="15" hidden="1" customHeight="1">
      <c r="B87" s="1748"/>
      <c r="C87" s="1748"/>
      <c r="D87" s="1748"/>
      <c r="E87" s="1748"/>
      <c r="F87" s="1748"/>
      <c r="G87" s="42"/>
      <c r="I87" s="37" t="s">
        <v>761</v>
      </c>
      <c r="J87" s="319">
        <f ca="1">Resultado!C25</f>
        <v>0</v>
      </c>
      <c r="K87" s="36">
        <f t="shared" ca="1" si="4"/>
        <v>0</v>
      </c>
      <c r="L87" s="317">
        <f t="shared" ca="1" si="3"/>
        <v>0</v>
      </c>
      <c r="M87" s="320"/>
      <c r="N87" s="41"/>
      <c r="AG87" s="49"/>
      <c r="AH87" s="666"/>
      <c r="AI87" s="667"/>
      <c r="AJ87" s="668"/>
      <c r="AK87" s="669"/>
      <c r="AL87" s="428"/>
      <c r="AM87" s="49"/>
      <c r="AN87" s="49"/>
      <c r="AO87" s="49"/>
    </row>
    <row r="88" spans="2:41" ht="15" hidden="1" customHeight="1">
      <c r="B88" s="301"/>
      <c r="C88" s="301"/>
      <c r="D88" s="301"/>
      <c r="E88" s="301"/>
      <c r="F88" s="301"/>
      <c r="G88" s="42"/>
      <c r="I88" s="37" t="s">
        <v>763</v>
      </c>
      <c r="J88" s="319">
        <f ca="1">Resultado!C26</f>
        <v>0</v>
      </c>
      <c r="K88" s="36">
        <f t="shared" ca="1" si="4"/>
        <v>0</v>
      </c>
      <c r="L88" s="317">
        <f t="shared" ca="1" si="3"/>
        <v>0</v>
      </c>
      <c r="M88" s="320"/>
      <c r="N88" s="41"/>
      <c r="AG88" s="49"/>
      <c r="AH88" s="49"/>
      <c r="AI88" s="49"/>
      <c r="AJ88" s="49"/>
      <c r="AK88" s="49"/>
      <c r="AL88" s="49"/>
      <c r="AM88" s="49"/>
      <c r="AN88" s="49"/>
      <c r="AO88" s="49"/>
    </row>
    <row r="89" spans="2:41" ht="14.25" hidden="1" customHeight="1">
      <c r="B89" s="1748"/>
      <c r="C89" s="1748"/>
      <c r="D89" s="1748"/>
      <c r="E89" s="1748"/>
      <c r="F89" s="1748"/>
      <c r="G89" s="42"/>
      <c r="I89" s="37" t="s">
        <v>847</v>
      </c>
      <c r="J89" s="319">
        <f ca="1">Resultado!C31</f>
        <v>0</v>
      </c>
      <c r="K89" s="36">
        <f t="shared" ca="1" si="4"/>
        <v>0</v>
      </c>
      <c r="L89" s="317">
        <f t="shared" ca="1" si="3"/>
        <v>0</v>
      </c>
      <c r="M89" s="321"/>
      <c r="N89" s="43"/>
      <c r="AG89" s="49"/>
      <c r="AH89" s="49"/>
      <c r="AI89" s="49"/>
      <c r="AJ89" s="49"/>
      <c r="AK89" s="49"/>
      <c r="AL89" s="49"/>
      <c r="AM89" s="49"/>
      <c r="AN89" s="49"/>
      <c r="AO89" s="49"/>
    </row>
    <row r="90" spans="2:41" ht="15.75" hidden="1">
      <c r="B90" s="301"/>
      <c r="C90" s="301"/>
      <c r="D90" s="301"/>
      <c r="E90" s="301"/>
      <c r="F90" s="301"/>
      <c r="G90" s="42"/>
      <c r="I90" s="37" t="s">
        <v>848</v>
      </c>
      <c r="J90" s="319">
        <f>Resultado!C28</f>
        <v>0</v>
      </c>
      <c r="K90" s="36">
        <f t="shared" ca="1" si="4"/>
        <v>0</v>
      </c>
      <c r="L90" s="317">
        <f t="shared" si="3"/>
        <v>0</v>
      </c>
      <c r="M90" s="321"/>
      <c r="N90" s="43"/>
      <c r="AG90" s="49"/>
      <c r="AH90" s="49"/>
      <c r="AI90" s="49"/>
      <c r="AJ90" s="49"/>
      <c r="AK90" s="49"/>
      <c r="AL90" s="49"/>
      <c r="AM90" s="49"/>
      <c r="AN90" s="49"/>
      <c r="AO90" s="49"/>
    </row>
    <row r="91" spans="2:41" ht="15" hidden="1" customHeight="1">
      <c r="B91" s="301"/>
      <c r="C91" s="301"/>
      <c r="D91" s="301"/>
      <c r="E91" s="301"/>
      <c r="F91" s="301"/>
      <c r="G91" s="42"/>
      <c r="I91" s="37" t="s">
        <v>849</v>
      </c>
      <c r="J91" s="319">
        <f>Resultado!C29</f>
        <v>0</v>
      </c>
      <c r="K91" s="36">
        <f t="shared" ca="1" si="4"/>
        <v>0</v>
      </c>
      <c r="L91" s="317">
        <f t="shared" si="3"/>
        <v>0</v>
      </c>
      <c r="M91" s="321"/>
      <c r="N91" s="43"/>
      <c r="AG91" s="49"/>
      <c r="AH91" s="49"/>
      <c r="AI91" s="49"/>
      <c r="AJ91" s="49"/>
      <c r="AK91" s="49"/>
      <c r="AL91" s="49"/>
      <c r="AM91" s="49"/>
      <c r="AN91" s="49"/>
      <c r="AO91" s="49"/>
    </row>
    <row r="92" spans="2:41" ht="15" hidden="1" customHeight="1">
      <c r="B92" s="301"/>
      <c r="C92" s="301"/>
      <c r="D92" s="301"/>
      <c r="E92" s="301"/>
      <c r="F92" s="301"/>
      <c r="G92" s="28"/>
      <c r="I92" s="37" t="s">
        <v>850</v>
      </c>
      <c r="J92" s="319">
        <f>Resultado!C30</f>
        <v>0</v>
      </c>
      <c r="K92" s="36">
        <f t="shared" ca="1" si="4"/>
        <v>0</v>
      </c>
      <c r="L92" s="317">
        <f t="shared" si="3"/>
        <v>0</v>
      </c>
      <c r="M92" s="321"/>
      <c r="N92" s="43"/>
      <c r="AG92" s="49"/>
      <c r="AH92" s="49"/>
      <c r="AI92" s="49"/>
      <c r="AJ92" s="49"/>
      <c r="AK92" s="49"/>
      <c r="AL92" s="49"/>
      <c r="AM92" s="49"/>
      <c r="AN92" s="49"/>
      <c r="AO92" s="49"/>
    </row>
    <row r="93" spans="2:41" ht="15" hidden="1" customHeight="1">
      <c r="B93" s="301"/>
      <c r="C93" s="301"/>
      <c r="D93" s="301"/>
      <c r="E93" s="301"/>
      <c r="F93" s="301"/>
      <c r="G93" s="42"/>
      <c r="I93" s="37" t="s">
        <v>764</v>
      </c>
      <c r="J93" s="319">
        <f ca="1">Resultado!C31</f>
        <v>0</v>
      </c>
      <c r="K93" s="36">
        <f t="shared" ca="1" si="4"/>
        <v>0</v>
      </c>
      <c r="L93" s="317">
        <f t="shared" ca="1" si="3"/>
        <v>0</v>
      </c>
      <c r="M93" s="321"/>
      <c r="N93" s="43"/>
      <c r="AG93" s="49"/>
      <c r="AH93" s="49"/>
      <c r="AI93" s="49"/>
      <c r="AJ93" s="49"/>
      <c r="AK93" s="49"/>
      <c r="AL93" s="49"/>
      <c r="AM93" s="49"/>
      <c r="AN93" s="49"/>
      <c r="AO93" s="49"/>
    </row>
    <row r="94" spans="2:41" ht="15" customHeight="1">
      <c r="B94" s="1749"/>
      <c r="C94" s="1749"/>
      <c r="D94" s="1749"/>
      <c r="E94" s="1749"/>
      <c r="F94" s="1749"/>
      <c r="G94" s="42"/>
      <c r="I94" s="37" t="s">
        <v>765</v>
      </c>
      <c r="J94" s="319">
        <f ca="1">Resultado!C32</f>
        <v>1746110.8875849585</v>
      </c>
      <c r="K94" s="36">
        <f t="shared" ca="1" si="4"/>
        <v>0.13392349322111485</v>
      </c>
      <c r="L94" s="317">
        <f t="shared" ca="1" si="3"/>
        <v>1</v>
      </c>
      <c r="M94" s="311"/>
      <c r="AG94" s="49"/>
      <c r="AH94" s="49"/>
      <c r="AI94" s="49"/>
      <c r="AJ94" s="49"/>
      <c r="AK94" s="49"/>
      <c r="AL94" s="49"/>
      <c r="AM94" s="49"/>
      <c r="AN94" s="49"/>
      <c r="AO94" s="49"/>
    </row>
    <row r="95" spans="2:41" ht="15" customHeight="1">
      <c r="B95" s="1748"/>
      <c r="C95" s="1748"/>
      <c r="D95" s="1748"/>
      <c r="E95" s="1748"/>
      <c r="F95" s="1748"/>
      <c r="I95" s="1164" t="s">
        <v>925</v>
      </c>
      <c r="J95" s="1165">
        <f ca="1">J86+J84+J74</f>
        <v>5387938.3332084399</v>
      </c>
      <c r="K95" s="1166">
        <f t="shared" ca="1" si="4"/>
        <v>0.41324495939729755</v>
      </c>
      <c r="L95" s="31"/>
      <c r="AG95" s="49"/>
      <c r="AH95" s="49"/>
      <c r="AI95" s="49"/>
      <c r="AJ95" s="49"/>
      <c r="AK95" s="49"/>
      <c r="AL95" s="49"/>
      <c r="AM95" s="49"/>
      <c r="AN95" s="49"/>
      <c r="AO95" s="49"/>
    </row>
    <row r="96" spans="2:41" ht="15" customHeight="1">
      <c r="B96" s="1748"/>
      <c r="C96" s="1748"/>
      <c r="D96" s="1748"/>
      <c r="E96" s="1748"/>
      <c r="F96" s="1748"/>
      <c r="I96" s="1164" t="s">
        <v>926</v>
      </c>
      <c r="J96" s="1165">
        <f ca="1">J97-J95</f>
        <v>7650183.9975915495</v>
      </c>
      <c r="K96" s="1166">
        <f t="shared" ca="1" si="4"/>
        <v>0.58675504060270245</v>
      </c>
      <c r="L96" s="31"/>
      <c r="AG96" s="49"/>
      <c r="AH96" s="49"/>
      <c r="AI96" s="49"/>
      <c r="AJ96" s="49"/>
      <c r="AK96" s="49"/>
      <c r="AL96" s="49"/>
      <c r="AM96" s="49"/>
      <c r="AN96" s="49"/>
      <c r="AO96" s="49"/>
    </row>
    <row r="97" spans="2:41" ht="15" customHeight="1">
      <c r="B97" s="1749"/>
      <c r="C97" s="1749"/>
      <c r="D97" s="1749"/>
      <c r="E97" s="1749"/>
      <c r="F97" s="1749"/>
      <c r="G97" s="28"/>
      <c r="I97" s="1161" t="s">
        <v>927</v>
      </c>
      <c r="J97" s="1163">
        <f ca="1">Mercado_RA0_Reais</f>
        <v>13038122.330799989</v>
      </c>
      <c r="K97" s="1167">
        <f ca="1">K95+K96</f>
        <v>1</v>
      </c>
      <c r="L97" s="31"/>
      <c r="AG97" s="49"/>
      <c r="AH97" s="662"/>
      <c r="AI97" s="662"/>
      <c r="AJ97" s="662"/>
      <c r="AK97" s="49"/>
      <c r="AL97" s="49"/>
      <c r="AM97" s="49"/>
      <c r="AN97" s="49"/>
      <c r="AO97" s="49"/>
    </row>
    <row r="98" spans="2:41" ht="15" customHeight="1">
      <c r="B98" s="1748"/>
      <c r="C98" s="1748"/>
      <c r="D98" s="1748"/>
      <c r="E98" s="1748"/>
      <c r="F98" s="1748"/>
      <c r="G98" s="42"/>
      <c r="M98" s="306" t="s">
        <v>864</v>
      </c>
      <c r="N98" s="307" t="s">
        <v>900</v>
      </c>
      <c r="AH98" s="429"/>
      <c r="AI98" s="430"/>
      <c r="AJ98" s="430"/>
      <c r="AL98" s="49"/>
      <c r="AM98" s="49"/>
      <c r="AN98" s="49"/>
    </row>
    <row r="99" spans="2:41" ht="15" customHeight="1">
      <c r="B99" s="1748"/>
      <c r="C99" s="1748"/>
      <c r="D99" s="1748"/>
      <c r="E99" s="1748"/>
      <c r="F99" s="1748"/>
      <c r="G99" s="42"/>
      <c r="M99" s="300" t="s">
        <v>872</v>
      </c>
      <c r="N99" s="300" t="s">
        <v>902</v>
      </c>
      <c r="O99" s="322" t="s">
        <v>909</v>
      </c>
      <c r="AH99" s="429"/>
      <c r="AI99" s="430"/>
      <c r="AJ99" s="430"/>
      <c r="AL99" s="49"/>
    </row>
    <row r="100" spans="2:41" ht="15" hidden="1" customHeight="1">
      <c r="B100" s="301"/>
      <c r="C100" s="301"/>
      <c r="D100" s="301"/>
      <c r="E100" s="301"/>
      <c r="F100" s="301"/>
      <c r="G100" s="42"/>
      <c r="M100" s="44" t="str">
        <f>Resultado!B15</f>
        <v>Reserva Global de Reversão – RGR</v>
      </c>
      <c r="N100" s="311">
        <f>Resultado!D15</f>
        <v>0</v>
      </c>
      <c r="O100" s="323">
        <f t="shared" ref="O100:O108" si="5">IF(N100=0,0,1)</f>
        <v>0</v>
      </c>
    </row>
    <row r="101" spans="2:41" ht="15" hidden="1" customHeight="1">
      <c r="B101" s="301"/>
      <c r="C101" s="301"/>
      <c r="D101" s="301"/>
      <c r="E101" s="301"/>
      <c r="F101" s="301"/>
      <c r="G101" s="42"/>
      <c r="M101" s="44" t="str">
        <f>Resultado!B16</f>
        <v>Conta de Consumo de Combustíveis – CCC</v>
      </c>
      <c r="N101" s="311">
        <f>Resultado!D16</f>
        <v>0</v>
      </c>
      <c r="O101" s="323">
        <f t="shared" si="5"/>
        <v>0</v>
      </c>
    </row>
    <row r="102" spans="2:41" ht="15" customHeight="1">
      <c r="B102" s="301"/>
      <c r="C102" s="301"/>
      <c r="D102" s="301"/>
      <c r="E102" s="301"/>
      <c r="F102" s="301"/>
      <c r="G102" s="42"/>
      <c r="M102" s="35" t="str">
        <f>Resultado!B17</f>
        <v>Taxa de Fisc. de Serviços de E.E. – TFSEE</v>
      </c>
      <c r="N102" s="319">
        <f ca="1">Resultado!D17</f>
        <v>42024.992316025076</v>
      </c>
      <c r="O102" s="323">
        <f t="shared" ca="1" si="5"/>
        <v>1</v>
      </c>
    </row>
    <row r="103" spans="2:41" ht="15" customHeight="1">
      <c r="B103" s="301"/>
      <c r="C103" s="301"/>
      <c r="D103" s="301"/>
      <c r="E103" s="301"/>
      <c r="F103" s="301"/>
      <c r="G103" s="42"/>
      <c r="M103" s="35" t="str">
        <f>Resultado!B18</f>
        <v>Conta de Desenvolvimento Energético – CDE</v>
      </c>
      <c r="N103" s="319">
        <f ca="1">Resultado!D18-Encargos!I20</f>
        <v>1389890.3980500002</v>
      </c>
      <c r="O103" s="323">
        <f t="shared" ca="1" si="5"/>
        <v>1</v>
      </c>
    </row>
    <row r="104" spans="2:41" ht="15" hidden="1" customHeight="1">
      <c r="B104" s="1748"/>
      <c r="C104" s="1748"/>
      <c r="D104" s="1748"/>
      <c r="E104" s="1748"/>
      <c r="F104" s="1748"/>
      <c r="G104" s="45"/>
      <c r="M104" s="35" t="s">
        <v>928</v>
      </c>
      <c r="N104" s="319">
        <f>Encargos!I20</f>
        <v>0</v>
      </c>
      <c r="O104" s="323">
        <f t="shared" si="5"/>
        <v>0</v>
      </c>
    </row>
    <row r="105" spans="2:41" ht="15" hidden="1" customHeight="1">
      <c r="B105" s="1748"/>
      <c r="C105" s="1748"/>
      <c r="D105" s="1748"/>
      <c r="E105" s="1748"/>
      <c r="F105" s="1748"/>
      <c r="G105" s="45"/>
      <c r="M105" s="35" t="str">
        <f>Resultado!B20</f>
        <v>Encargos Serv. Sist. - ESS e Energ. Reserv. – EER</v>
      </c>
      <c r="N105" s="319">
        <f>Resultado!D20</f>
        <v>0</v>
      </c>
      <c r="O105" s="323">
        <f t="shared" si="5"/>
        <v>0</v>
      </c>
    </row>
    <row r="106" spans="2:41" ht="15" customHeight="1">
      <c r="B106" s="1749"/>
      <c r="C106" s="1749"/>
      <c r="D106" s="1749"/>
      <c r="E106" s="1749"/>
      <c r="F106" s="1749"/>
      <c r="G106" s="39"/>
      <c r="M106" s="35" t="str">
        <f>Resultado!B21</f>
        <v>PROINFA</v>
      </c>
      <c r="N106" s="319">
        <f ca="1">Resultado!D21</f>
        <v>222749.78508000006</v>
      </c>
      <c r="O106" s="323">
        <f t="shared" ca="1" si="5"/>
        <v>1</v>
      </c>
    </row>
    <row r="107" spans="2:41" ht="15" hidden="1" customHeight="1">
      <c r="M107" s="35" t="str">
        <f>Resultado!B22</f>
        <v>P&amp;D e Eficiência Energética</v>
      </c>
      <c r="N107" s="319">
        <f>Resultado!D22</f>
        <v>0</v>
      </c>
      <c r="O107" s="323">
        <f t="shared" si="5"/>
        <v>0</v>
      </c>
    </row>
    <row r="108" spans="2:41" ht="15" hidden="1" customHeight="1">
      <c r="M108" s="44" t="str">
        <f>Resultado!B23</f>
        <v>ONS</v>
      </c>
      <c r="N108" s="311">
        <f>Resultado!D23</f>
        <v>0</v>
      </c>
      <c r="O108" s="324">
        <f t="shared" si="5"/>
        <v>0</v>
      </c>
    </row>
    <row r="109" spans="2:41" ht="15" customHeight="1">
      <c r="B109" s="30"/>
      <c r="M109" s="1161" t="s">
        <v>896</v>
      </c>
      <c r="N109" s="1163">
        <f ca="1">SUM(N100:N108)</f>
        <v>1654665.1754460253</v>
      </c>
    </row>
    <row r="110" spans="2:41" ht="15" customHeight="1">
      <c r="B110" s="29"/>
      <c r="C110" s="29"/>
      <c r="D110" s="29"/>
      <c r="P110" s="325" t="s">
        <v>871</v>
      </c>
      <c r="Q110" s="307" t="s">
        <v>900</v>
      </c>
    </row>
    <row r="111" spans="2:41" ht="15" customHeight="1">
      <c r="B111" s="46"/>
      <c r="C111" s="311"/>
      <c r="D111" s="311"/>
      <c r="P111" s="300" t="s">
        <v>905</v>
      </c>
      <c r="Q111" s="300" t="s">
        <v>929</v>
      </c>
    </row>
    <row r="112" spans="2:41" ht="15" customHeight="1">
      <c r="B112" s="46"/>
      <c r="C112" s="311"/>
      <c r="D112" s="311"/>
      <c r="P112" s="35" t="s">
        <v>930</v>
      </c>
      <c r="Q112" s="48">
        <f ca="1">Energia!M15</f>
        <v>0</v>
      </c>
    </row>
    <row r="113" spans="2:44" ht="15" customHeight="1">
      <c r="B113" s="46"/>
      <c r="C113" s="311"/>
      <c r="D113" s="311"/>
      <c r="P113" s="35" t="s">
        <v>800</v>
      </c>
      <c r="Q113" s="1168">
        <f ca="1">Energia!M14</f>
        <v>0.16164743597351994</v>
      </c>
    </row>
    <row r="114" spans="2:44" ht="15" customHeight="1">
      <c r="B114" s="46"/>
      <c r="C114" s="311"/>
      <c r="D114" s="311"/>
      <c r="P114" s="1161" t="s">
        <v>896</v>
      </c>
      <c r="Q114" s="1167">
        <f ca="1">SUM(Q112:Q113)</f>
        <v>0.16164743597351994</v>
      </c>
    </row>
    <row r="115" spans="2:44" ht="15" customHeight="1">
      <c r="B115" s="46"/>
      <c r="C115" s="311"/>
      <c r="D115" s="311"/>
      <c r="P115" s="44"/>
      <c r="Q115" s="311"/>
    </row>
    <row r="116" spans="2:44" ht="15" customHeight="1">
      <c r="B116" s="46"/>
      <c r="C116" s="311"/>
      <c r="D116" s="311"/>
      <c r="P116" s="44"/>
      <c r="Q116" s="311"/>
    </row>
    <row r="117" spans="2:44" ht="15" customHeight="1">
      <c r="B117" s="46"/>
      <c r="C117" s="311"/>
      <c r="D117" s="311"/>
      <c r="P117" s="44"/>
      <c r="Q117" s="311"/>
      <c r="S117" s="306" t="s">
        <v>931</v>
      </c>
      <c r="T117" s="307" t="s">
        <v>900</v>
      </c>
    </row>
    <row r="118" spans="2:44" ht="15" customHeight="1">
      <c r="B118" s="46"/>
      <c r="C118" s="311"/>
      <c r="D118" s="311"/>
      <c r="P118" s="44"/>
      <c r="Q118" s="311"/>
      <c r="S118" s="300" t="s">
        <v>905</v>
      </c>
      <c r="T118" s="300" t="s">
        <v>906</v>
      </c>
    </row>
    <row r="119" spans="2:44" ht="15" customHeight="1">
      <c r="B119" s="46"/>
      <c r="C119" s="311"/>
      <c r="D119" s="311"/>
      <c r="P119" s="44"/>
      <c r="Q119" s="311"/>
      <c r="S119" s="1169" t="s">
        <v>932</v>
      </c>
      <c r="T119" s="1170">
        <f ca="1">SUM(T120:T121)</f>
        <v>16377.068000000003</v>
      </c>
      <c r="U119" s="322" t="s">
        <v>909</v>
      </c>
    </row>
    <row r="120" spans="2:44" ht="15" customHeight="1">
      <c r="B120" s="46"/>
      <c r="C120" s="311"/>
      <c r="D120" s="311"/>
      <c r="P120" s="44"/>
      <c r="Q120" s="311"/>
      <c r="S120" s="47" t="s">
        <v>933</v>
      </c>
      <c r="T120" s="326">
        <f ca="1">Energia!C7</f>
        <v>16377.068000000003</v>
      </c>
      <c r="U120" s="322">
        <f ca="1">IF(T120=0,0,1)</f>
        <v>1</v>
      </c>
    </row>
    <row r="121" spans="2:44" ht="15" hidden="1" customHeight="1">
      <c r="B121" s="46"/>
      <c r="C121" s="311"/>
      <c r="D121" s="311"/>
      <c r="P121" s="44"/>
      <c r="Q121" s="311"/>
      <c r="S121" s="47" t="s">
        <v>934</v>
      </c>
      <c r="T121" s="326">
        <f ca="1">Energia!C8</f>
        <v>0</v>
      </c>
      <c r="U121" s="322">
        <f ca="1">IF(T121=0,0,1)</f>
        <v>0</v>
      </c>
    </row>
    <row r="122" spans="2:44" ht="15" customHeight="1">
      <c r="B122" s="46"/>
      <c r="C122" s="311"/>
      <c r="D122" s="311"/>
      <c r="P122" s="44"/>
      <c r="Q122" s="311"/>
      <c r="S122" s="1169" t="s">
        <v>935</v>
      </c>
      <c r="T122" s="1171">
        <f ca="1">SUM(T123:T124)</f>
        <v>3157.7538669999999</v>
      </c>
      <c r="U122" s="322">
        <v>1</v>
      </c>
    </row>
    <row r="123" spans="2:44" ht="15" hidden="1" customHeight="1">
      <c r="B123" s="46"/>
      <c r="C123" s="311"/>
      <c r="D123" s="311"/>
      <c r="P123" s="44"/>
      <c r="Q123" s="311"/>
      <c r="S123" s="47" t="s">
        <v>936</v>
      </c>
      <c r="T123" s="326">
        <f ca="1">SUM(Energia!C11:C12)</f>
        <v>0</v>
      </c>
      <c r="U123" s="322">
        <f ca="1">IF(T123=0,0,1)</f>
        <v>0</v>
      </c>
    </row>
    <row r="124" spans="2:44" ht="15" customHeight="1">
      <c r="B124" s="46"/>
      <c r="C124" s="311"/>
      <c r="D124" s="311"/>
      <c r="P124" s="44"/>
      <c r="Q124" s="311"/>
      <c r="S124" s="47" t="s">
        <v>937</v>
      </c>
      <c r="T124" s="326">
        <f ca="1">SUM(Energia!C10:C10)</f>
        <v>3157.7538669999999</v>
      </c>
      <c r="U124" s="322">
        <f ca="1">IF(T124=0,0,1)</f>
        <v>1</v>
      </c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</row>
    <row r="125" spans="2:44" ht="15" customHeight="1">
      <c r="B125" s="46"/>
      <c r="C125" s="311"/>
      <c r="D125" s="311"/>
      <c r="P125" s="44"/>
      <c r="Q125" s="311"/>
      <c r="S125" s="1161" t="s">
        <v>931</v>
      </c>
      <c r="T125" s="1172">
        <f ca="1">T119+T122</f>
        <v>19534.821867000002</v>
      </c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</row>
    <row r="126" spans="2:44" ht="15" customHeight="1">
      <c r="B126" s="46"/>
      <c r="C126" s="311"/>
      <c r="D126" s="311"/>
      <c r="P126" s="44"/>
      <c r="Q126" s="311"/>
      <c r="S126" s="37"/>
      <c r="T126" s="327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</row>
    <row r="127" spans="2:44" ht="15" customHeight="1">
      <c r="B127" s="46"/>
      <c r="C127" s="311"/>
      <c r="D127" s="311"/>
      <c r="P127" s="44"/>
      <c r="Q127" s="311"/>
      <c r="S127" s="37"/>
      <c r="T127" s="327"/>
      <c r="V127" s="1173" t="s">
        <v>938</v>
      </c>
      <c r="W127" s="1173"/>
      <c r="X127" s="307" t="s">
        <v>900</v>
      </c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</row>
    <row r="128" spans="2:44" ht="15" customHeight="1">
      <c r="B128" s="46"/>
      <c r="C128" s="311"/>
      <c r="D128" s="311"/>
      <c r="P128" s="44"/>
      <c r="Q128" s="311"/>
      <c r="S128" s="37"/>
      <c r="T128" s="327"/>
      <c r="V128" s="1156" t="s">
        <v>25</v>
      </c>
      <c r="W128" s="1174" t="s">
        <v>116</v>
      </c>
      <c r="X128" s="1156" t="s">
        <v>939</v>
      </c>
      <c r="Y128" s="322" t="s">
        <v>909</v>
      </c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</row>
    <row r="129" spans="2:44" ht="15" customHeight="1">
      <c r="B129" s="46"/>
      <c r="C129" s="311"/>
      <c r="D129" s="311"/>
      <c r="P129" s="44"/>
      <c r="Q129" s="311"/>
      <c r="S129" s="37"/>
      <c r="T129" s="327"/>
      <c r="V129" s="328" t="str">
        <f>Energia!B28</f>
        <v>ELETROPAULO METROPOLITANA ELETRICIDADE DE SAO PAULO S.A.</v>
      </c>
      <c r="W129" s="328" t="str">
        <f>Energia!C28</f>
        <v>A4 (2,3 a 25 kV)</v>
      </c>
      <c r="X129" s="329">
        <f>Energia!H28</f>
        <v>118.933515</v>
      </c>
      <c r="Y129" s="322">
        <f>IF(W129=0,0,1)</f>
        <v>1</v>
      </c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</row>
    <row r="130" spans="2:44" ht="15" hidden="1" customHeight="1">
      <c r="B130" s="46"/>
      <c r="C130" s="311"/>
      <c r="D130" s="311"/>
      <c r="P130" s="44"/>
      <c r="Q130" s="311"/>
      <c r="S130" s="37"/>
      <c r="T130" s="327"/>
      <c r="V130" s="328">
        <f>Energia!B29</f>
        <v>0</v>
      </c>
      <c r="W130" s="328">
        <f>Energia!C29</f>
        <v>0</v>
      </c>
      <c r="X130" s="329" t="str">
        <f>Energia!H29</f>
        <v/>
      </c>
      <c r="Y130" s="322">
        <f>IF(W130=0,0,1)</f>
        <v>0</v>
      </c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</row>
    <row r="131" spans="2:44" ht="15" hidden="1" customHeight="1">
      <c r="B131" s="46"/>
      <c r="C131" s="311"/>
      <c r="D131" s="311"/>
      <c r="P131" s="44"/>
      <c r="Q131" s="311"/>
      <c r="S131" s="37"/>
      <c r="T131" s="327"/>
      <c r="V131" s="328">
        <f>Energia!B30</f>
        <v>0</v>
      </c>
      <c r="W131" s="328">
        <f>Energia!C30</f>
        <v>0</v>
      </c>
      <c r="X131" s="329" t="str">
        <f>Energia!H30</f>
        <v/>
      </c>
      <c r="Y131" s="322">
        <f>IF(W131=0,0,1)</f>
        <v>0</v>
      </c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</row>
    <row r="132" spans="2:44" ht="15" hidden="1" customHeight="1">
      <c r="B132" s="46"/>
      <c r="C132" s="311"/>
      <c r="D132" s="311"/>
      <c r="P132" s="44"/>
      <c r="Q132" s="311"/>
      <c r="S132" s="37"/>
      <c r="T132" s="327"/>
      <c r="V132" s="328">
        <f>Energia!B31</f>
        <v>0</v>
      </c>
      <c r="W132" s="328">
        <f>Energia!C31</f>
        <v>0</v>
      </c>
      <c r="X132" s="329" t="str">
        <f>Energia!H31</f>
        <v/>
      </c>
      <c r="Y132" s="322">
        <f>IF(W132=0,0,1)</f>
        <v>0</v>
      </c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</row>
    <row r="133" spans="2:44" ht="15" hidden="1" customHeight="1">
      <c r="B133" s="46"/>
      <c r="C133" s="311"/>
      <c r="D133" s="311"/>
      <c r="P133" s="44"/>
      <c r="Q133" s="311"/>
      <c r="V133" s="1175">
        <f>Energia!B32</f>
        <v>0</v>
      </c>
      <c r="W133" s="1175">
        <f>Energia!C32</f>
        <v>0</v>
      </c>
      <c r="X133" s="329" t="str">
        <f>Energia!H32</f>
        <v/>
      </c>
      <c r="Y133" s="322">
        <f>IF(W133=0,0,1)</f>
        <v>0</v>
      </c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</row>
    <row r="134" spans="2:44" ht="15" customHeight="1">
      <c r="B134" s="46"/>
      <c r="C134" s="311"/>
      <c r="D134" s="311"/>
      <c r="P134" s="44"/>
      <c r="Q134" s="311"/>
      <c r="V134" s="1176"/>
      <c r="W134" s="1177"/>
      <c r="X134" s="1178"/>
      <c r="Y134" s="330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</row>
    <row r="135" spans="2:44" ht="15" customHeight="1">
      <c r="B135" s="46"/>
      <c r="C135" s="311"/>
      <c r="D135" s="311"/>
      <c r="P135" s="44"/>
      <c r="Q135" s="311"/>
      <c r="V135" s="331"/>
      <c r="W135" s="332"/>
      <c r="X135" s="329"/>
      <c r="Y135" s="330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</row>
    <row r="136" spans="2:44" ht="15" customHeight="1">
      <c r="B136" s="46"/>
      <c r="C136" s="311"/>
      <c r="D136" s="311"/>
      <c r="P136" s="44"/>
      <c r="Q136" s="311"/>
      <c r="Z136" s="1173" t="s">
        <v>940</v>
      </c>
      <c r="AA136" s="1173"/>
      <c r="AB136" s="1173"/>
      <c r="AC136" s="307" t="s">
        <v>900</v>
      </c>
      <c r="AD136" s="50"/>
      <c r="AE136" s="50"/>
      <c r="AF136" s="50"/>
      <c r="AG136" s="50"/>
      <c r="AH136" s="50"/>
      <c r="AI136" s="50"/>
      <c r="AJ136" s="50"/>
      <c r="AK136" s="50"/>
      <c r="AL136" s="50"/>
      <c r="AM136" s="50"/>
      <c r="AN136" s="50"/>
      <c r="AO136" s="50"/>
      <c r="AP136" s="50"/>
      <c r="AQ136" s="50"/>
      <c r="AR136" s="50"/>
    </row>
    <row r="137" spans="2:44" ht="15" customHeight="1">
      <c r="B137" s="46"/>
      <c r="C137" s="311"/>
      <c r="D137" s="311"/>
      <c r="P137" s="44"/>
      <c r="Q137" s="311"/>
      <c r="Z137" s="300" t="s">
        <v>905</v>
      </c>
      <c r="AA137" s="300" t="s">
        <v>906</v>
      </c>
      <c r="AB137" s="300" t="s">
        <v>939</v>
      </c>
      <c r="AC137" s="300" t="s">
        <v>941</v>
      </c>
      <c r="AD137" s="333" t="s">
        <v>909</v>
      </c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  <c r="AO137" s="51"/>
      <c r="AP137" s="51"/>
      <c r="AQ137" s="51"/>
      <c r="AR137" s="51"/>
    </row>
    <row r="138" spans="2:44" ht="15" customHeight="1">
      <c r="B138" s="46"/>
      <c r="C138" s="311"/>
      <c r="D138" s="311"/>
      <c r="P138" s="44"/>
      <c r="Q138" s="311"/>
      <c r="Z138" s="332" t="str">
        <f>Energia!B28</f>
        <v>ELETROPAULO METROPOLITANA ELETRICIDADE DE SAO PAULO S.A.</v>
      </c>
      <c r="AA138" s="334">
        <f>Energia!E35</f>
        <v>20300.485000000001</v>
      </c>
      <c r="AB138" s="335">
        <f>Energia!G35</f>
        <v>284.19</v>
      </c>
      <c r="AC138" s="336">
        <f>AA138*AB138</f>
        <v>5769194.8321500001</v>
      </c>
      <c r="AD138" s="337">
        <f>IF(AA138=0,0,1)</f>
        <v>1</v>
      </c>
      <c r="AE138" s="338"/>
      <c r="AF138" s="338"/>
      <c r="AG138" s="338"/>
      <c r="AH138" s="338"/>
      <c r="AI138" s="338"/>
      <c r="AJ138" s="338"/>
      <c r="AK138" s="338"/>
      <c r="AL138" s="338"/>
      <c r="AM138" s="338"/>
      <c r="AN138" s="338"/>
      <c r="AO138" s="338"/>
      <c r="AP138" s="338"/>
      <c r="AQ138" s="338"/>
      <c r="AR138" s="338"/>
    </row>
    <row r="139" spans="2:44" ht="15" hidden="1" customHeight="1">
      <c r="B139" s="46"/>
      <c r="C139" s="311"/>
      <c r="D139" s="311"/>
      <c r="P139" s="44"/>
      <c r="Q139" s="311"/>
      <c r="Z139" s="332" t="str">
        <f>Energia!B18</f>
        <v>Geração Própria</v>
      </c>
      <c r="AA139" s="334">
        <f ca="1">LnkTXTGPM</f>
        <v>0</v>
      </c>
      <c r="AB139" s="335">
        <f>Energia!E18</f>
        <v>0</v>
      </c>
      <c r="AC139" s="336">
        <f ca="1">AA139*AB139</f>
        <v>0</v>
      </c>
      <c r="AD139" s="339">
        <f ca="1">IF(AA139=0,0,1)</f>
        <v>0</v>
      </c>
      <c r="AE139" s="340"/>
      <c r="AF139" s="340"/>
      <c r="AG139" s="340"/>
      <c r="AH139" s="340"/>
      <c r="AI139" s="340"/>
      <c r="AJ139" s="340"/>
      <c r="AK139" s="340"/>
      <c r="AL139" s="340"/>
      <c r="AM139" s="340"/>
      <c r="AN139" s="340"/>
      <c r="AO139" s="340"/>
      <c r="AP139" s="340"/>
      <c r="AQ139" s="340"/>
      <c r="AR139" s="340"/>
    </row>
    <row r="140" spans="2:44" ht="15" customHeight="1">
      <c r="B140" s="46"/>
      <c r="C140" s="311"/>
      <c r="D140" s="311"/>
      <c r="P140" s="44"/>
      <c r="Q140" s="311"/>
      <c r="Z140" s="52" t="str">
        <f>Energia!B19</f>
        <v>PROINFA</v>
      </c>
      <c r="AA140" s="1179">
        <f>Energia!C19</f>
        <v>293.256159697513</v>
      </c>
      <c r="AB140" s="1180">
        <f>Energia!D19</f>
        <v>0</v>
      </c>
      <c r="AC140" s="1181">
        <f>AA140*AB140</f>
        <v>0</v>
      </c>
      <c r="AD140" s="337">
        <f>IF(AA140=0,0,1)</f>
        <v>1</v>
      </c>
      <c r="AE140" s="338"/>
      <c r="AF140" s="338"/>
      <c r="AG140" s="338"/>
      <c r="AH140" s="338"/>
      <c r="AI140" s="338"/>
      <c r="AJ140" s="338"/>
      <c r="AK140" s="338"/>
      <c r="AL140" s="338"/>
      <c r="AM140" s="338"/>
      <c r="AN140" s="338"/>
      <c r="AO140" s="338"/>
      <c r="AP140" s="338"/>
      <c r="AQ140" s="338"/>
      <c r="AR140" s="338"/>
    </row>
    <row r="141" spans="2:44" ht="15" customHeight="1">
      <c r="B141" s="46"/>
      <c r="C141" s="311"/>
      <c r="D141" s="311"/>
      <c r="P141" s="44"/>
      <c r="Q141" s="311"/>
      <c r="Z141" s="1169" t="s">
        <v>942</v>
      </c>
      <c r="AA141" s="1182">
        <f ca="1">Energia!M30-Energia!L30</f>
        <v>-1058.919292697512</v>
      </c>
      <c r="AB141" s="1183">
        <f>Energia!M34</f>
        <v>0</v>
      </c>
      <c r="AC141" s="1183">
        <f ca="1">AA141*AB141</f>
        <v>0</v>
      </c>
      <c r="AD141" s="339">
        <f ca="1">IF(AA141=0,0,1)</f>
        <v>1</v>
      </c>
      <c r="AE141" s="341"/>
      <c r="AF141" s="341"/>
      <c r="AG141" s="341"/>
      <c r="AH141" s="341"/>
      <c r="AI141" s="341"/>
      <c r="AJ141" s="341"/>
      <c r="AK141" s="341"/>
      <c r="AL141" s="341"/>
      <c r="AM141" s="341"/>
      <c r="AN141" s="341"/>
      <c r="AO141" s="341"/>
      <c r="AP141" s="341"/>
      <c r="AQ141" s="341"/>
      <c r="AR141" s="341"/>
    </row>
    <row r="142" spans="2:44" ht="15" customHeight="1">
      <c r="B142" s="46"/>
      <c r="C142" s="311"/>
      <c r="D142" s="311"/>
      <c r="P142" s="44"/>
      <c r="Q142" s="311"/>
      <c r="Z142" s="1161" t="s">
        <v>896</v>
      </c>
      <c r="AA142" s="1184">
        <f ca="1">SUM(AA138:AA141)</f>
        <v>19534.821867000002</v>
      </c>
      <c r="AB142" s="1185">
        <f ca="1">AC142/AA142</f>
        <v>295.32876580235671</v>
      </c>
      <c r="AC142" s="1185">
        <f ca="1">SUM(AC138:AC141)</f>
        <v>5769194.8321500001</v>
      </c>
      <c r="AD142" s="342"/>
      <c r="AE142" s="342"/>
      <c r="AF142" s="342"/>
      <c r="AG142" s="342"/>
      <c r="AH142" s="342"/>
      <c r="AI142" s="342"/>
      <c r="AJ142" s="342"/>
      <c r="AK142" s="342"/>
      <c r="AL142" s="342"/>
      <c r="AM142" s="342"/>
      <c r="AN142" s="342"/>
      <c r="AO142" s="342"/>
      <c r="AP142" s="342"/>
      <c r="AQ142" s="342"/>
      <c r="AR142" s="342"/>
    </row>
    <row r="143" spans="2:44" ht="15" customHeight="1">
      <c r="B143" s="46"/>
      <c r="C143" s="311"/>
      <c r="D143" s="311"/>
      <c r="P143" s="44"/>
      <c r="Q143" s="311"/>
      <c r="AD143" s="49"/>
      <c r="AE143" s="342"/>
      <c r="AF143" s="342"/>
      <c r="AG143" s="342"/>
      <c r="AH143" s="342"/>
      <c r="AI143" s="342"/>
      <c r="AJ143" s="342"/>
      <c r="AK143" s="342"/>
      <c r="AL143" s="342"/>
      <c r="AM143" s="342"/>
      <c r="AN143" s="342"/>
      <c r="AO143" s="342"/>
      <c r="AP143" s="49"/>
      <c r="AQ143" s="49"/>
      <c r="AR143" s="49"/>
    </row>
    <row r="144" spans="2:44" ht="15" customHeight="1">
      <c r="B144" s="46"/>
      <c r="C144" s="311"/>
      <c r="D144" s="311"/>
      <c r="P144" s="44"/>
      <c r="Q144" s="311"/>
      <c r="AC144" s="311"/>
      <c r="AD144" s="49"/>
      <c r="AE144" s="1186" t="s">
        <v>881</v>
      </c>
      <c r="AF144" s="1186"/>
      <c r="AG144" s="1186"/>
      <c r="AH144" s="1186"/>
      <c r="AI144" s="1186"/>
      <c r="AJ144" s="1186"/>
      <c r="AK144" s="307" t="s">
        <v>900</v>
      </c>
      <c r="AL144" s="49"/>
      <c r="AM144" s="49"/>
      <c r="AN144" s="49"/>
      <c r="AO144" s="49"/>
      <c r="AP144" s="49"/>
      <c r="AQ144" s="49"/>
      <c r="AR144" s="49"/>
    </row>
    <row r="145" spans="2:39" ht="30" customHeight="1">
      <c r="B145" s="46"/>
      <c r="C145" s="311"/>
      <c r="D145" s="311"/>
      <c r="P145" s="44"/>
      <c r="Q145" s="311"/>
      <c r="AE145" s="1156" t="s">
        <v>25</v>
      </c>
      <c r="AF145" s="1156" t="s">
        <v>116</v>
      </c>
      <c r="AG145" s="1156" t="s">
        <v>943</v>
      </c>
      <c r="AH145" s="1156" t="s">
        <v>944</v>
      </c>
      <c r="AI145" s="1156" t="s">
        <v>68</v>
      </c>
      <c r="AJ145" s="1156" t="s">
        <v>945</v>
      </c>
      <c r="AK145" s="1156" t="s">
        <v>941</v>
      </c>
      <c r="AL145" s="322" t="s">
        <v>909</v>
      </c>
    </row>
    <row r="146" spans="2:39" ht="15" customHeight="1">
      <c r="B146" s="46"/>
      <c r="C146" s="311"/>
      <c r="D146" s="311"/>
      <c r="P146" s="44"/>
      <c r="Q146" s="311"/>
      <c r="AC146" s="49"/>
      <c r="AD146" s="49"/>
      <c r="AE146" s="429" t="str">
        <f>CUSD!B6</f>
        <v>ELETROPAULO METROPOLITANA ELETRICIDADE DE SAO PAULO S.A.</v>
      </c>
      <c r="AF146" s="386" t="str">
        <f>CUSD!C6</f>
        <v>A4 (2,3 a 25 kV)</v>
      </c>
      <c r="AG146" s="338" t="str">
        <f>CUSD!F6</f>
        <v>Potência</v>
      </c>
      <c r="AH146" s="338" t="str">
        <f>CUSD!F6</f>
        <v>Potência</v>
      </c>
      <c r="AI146" s="404">
        <f>CUSD!H6</f>
        <v>60851.249999999985</v>
      </c>
      <c r="AJ146" s="405">
        <f>CUSD!J6</f>
        <v>14.85</v>
      </c>
      <c r="AK146" s="338">
        <f>IFERROR(AI146*AJ146,0)</f>
        <v>903641.06249999977</v>
      </c>
      <c r="AL146" s="406">
        <f t="shared" ref="AL146:AL160" si="6">IF(AE146=0,0,1)</f>
        <v>1</v>
      </c>
      <c r="AM146" s="49"/>
    </row>
    <row r="147" spans="2:39" ht="15" customHeight="1">
      <c r="B147" s="46"/>
      <c r="C147" s="311"/>
      <c r="D147" s="311"/>
      <c r="P147" s="44"/>
      <c r="Q147" s="311"/>
      <c r="AC147" s="49"/>
      <c r="AD147" s="49"/>
      <c r="AE147" s="429" t="str">
        <f>CUSD!B7</f>
        <v>ELETROPAULO METROPOLITANA ELETRICIDADE DE SAO PAULO S.A.</v>
      </c>
      <c r="AF147" s="386" t="str">
        <f>CUSD!C7</f>
        <v>A4 (2,3 a 25 kV)</v>
      </c>
      <c r="AG147" s="338" t="str">
        <f>CUSD!F7</f>
        <v>Potência</v>
      </c>
      <c r="AH147" s="338" t="str">
        <f>CUSD!F7</f>
        <v>Potência</v>
      </c>
      <c r="AI147" s="404">
        <f>CUSD!H7</f>
        <v>61026.789999999994</v>
      </c>
      <c r="AJ147" s="405">
        <f>CUSD!J7</f>
        <v>21.64</v>
      </c>
      <c r="AK147" s="338">
        <f t="shared" ref="AK147:AK153" si="7">IFERROR(AI147*AJ147,0)</f>
        <v>1320619.7355999998</v>
      </c>
      <c r="AL147" s="406">
        <f t="shared" si="6"/>
        <v>1</v>
      </c>
      <c r="AM147" s="49"/>
    </row>
    <row r="148" spans="2:39" ht="15" customHeight="1">
      <c r="B148" s="46"/>
      <c r="C148" s="311"/>
      <c r="D148" s="311"/>
      <c r="P148" s="44"/>
      <c r="Q148" s="311"/>
      <c r="AC148" s="49"/>
      <c r="AD148" s="49"/>
      <c r="AE148" s="429" t="str">
        <f>CUSD!B8</f>
        <v>ELETROPAULO METROPOLITANA ELETRICIDADE DE SAO PAULO S.A.</v>
      </c>
      <c r="AF148" s="386" t="str">
        <f>CUSD!C8</f>
        <v>A4 (2,3 a 25 kV)</v>
      </c>
      <c r="AG148" s="338" t="str">
        <f>CUSD!F8</f>
        <v>Energia</v>
      </c>
      <c r="AH148" s="338" t="str">
        <f>CUSD!F8</f>
        <v>Energia</v>
      </c>
      <c r="AI148" s="404">
        <f>CUSD!H8</f>
        <v>0</v>
      </c>
      <c r="AJ148" s="405">
        <f>CUSD!J8</f>
        <v>3.69</v>
      </c>
      <c r="AK148" s="338">
        <f t="shared" si="7"/>
        <v>0</v>
      </c>
      <c r="AL148" s="406">
        <f>IF(AE148=0,0,1)</f>
        <v>1</v>
      </c>
      <c r="AM148" s="405"/>
    </row>
    <row r="149" spans="2:39" ht="15" customHeight="1">
      <c r="B149" s="46"/>
      <c r="C149" s="311"/>
      <c r="D149" s="311"/>
      <c r="P149" s="44"/>
      <c r="Q149" s="311"/>
      <c r="AC149" s="49"/>
      <c r="AD149" s="49"/>
      <c r="AE149" s="429" t="str">
        <f>CUSD!B9</f>
        <v>ELETROPAULO METROPOLITANA ELETRICIDADE DE SAO PAULO S.A.</v>
      </c>
      <c r="AF149" s="386" t="str">
        <f>CUSD!C9</f>
        <v>A4 (2,3 a 25 kV)</v>
      </c>
      <c r="AG149" s="338" t="str">
        <f>CUSD!F9</f>
        <v>Energia</v>
      </c>
      <c r="AH149" s="338" t="str">
        <f>CUSD!F9</f>
        <v>Energia</v>
      </c>
      <c r="AI149" s="404">
        <f>CUSD!H9</f>
        <v>20601.942999999999</v>
      </c>
      <c r="AJ149" s="405">
        <f>CUSD!J9</f>
        <v>3.69</v>
      </c>
      <c r="AK149" s="338">
        <f t="shared" si="7"/>
        <v>76021.169670000003</v>
      </c>
      <c r="AL149" s="406">
        <f t="shared" si="6"/>
        <v>1</v>
      </c>
      <c r="AM149" s="405"/>
    </row>
    <row r="150" spans="2:39" ht="15" hidden="1" customHeight="1">
      <c r="B150" s="46"/>
      <c r="C150" s="311"/>
      <c r="D150" s="311"/>
      <c r="P150" s="44"/>
      <c r="Q150" s="311"/>
      <c r="AC150" s="49"/>
      <c r="AD150" s="49"/>
      <c r="AE150" s="386">
        <f>CUSD!B10</f>
        <v>0</v>
      </c>
      <c r="AF150" s="386">
        <f>CUSD!C10</f>
        <v>0</v>
      </c>
      <c r="AG150" s="338" t="str">
        <f>CUSD!F10</f>
        <v/>
      </c>
      <c r="AH150" s="338" t="str">
        <f>CUSD!F10</f>
        <v/>
      </c>
      <c r="AI150" s="404" t="str">
        <f>CUSD!H10</f>
        <v/>
      </c>
      <c r="AJ150" s="405" t="str">
        <f>CUSD!J10</f>
        <v/>
      </c>
      <c r="AK150" s="338">
        <f t="shared" si="7"/>
        <v>0</v>
      </c>
      <c r="AL150" s="406">
        <v>0</v>
      </c>
      <c r="AM150" s="405"/>
    </row>
    <row r="151" spans="2:39" ht="15" hidden="1" customHeight="1">
      <c r="B151" s="46"/>
      <c r="C151" s="311"/>
      <c r="D151" s="311"/>
      <c r="P151" s="44"/>
      <c r="Q151" s="311"/>
      <c r="AC151" s="49"/>
      <c r="AD151" s="49"/>
      <c r="AE151" s="386">
        <f>CUSD!B11</f>
        <v>0</v>
      </c>
      <c r="AF151" s="386">
        <f>CUSD!C11</f>
        <v>0</v>
      </c>
      <c r="AG151" s="338" t="str">
        <f>CUSD!F11</f>
        <v/>
      </c>
      <c r="AH151" s="338" t="str">
        <f>CUSD!F11</f>
        <v/>
      </c>
      <c r="AI151" s="404" t="str">
        <f>CUSD!H11</f>
        <v/>
      </c>
      <c r="AJ151" s="405" t="str">
        <f>CUSD!J11</f>
        <v/>
      </c>
      <c r="AK151" s="338">
        <f t="shared" si="7"/>
        <v>0</v>
      </c>
      <c r="AL151" s="406">
        <v>0</v>
      </c>
      <c r="AM151" s="405"/>
    </row>
    <row r="152" spans="2:39" ht="15" hidden="1" customHeight="1">
      <c r="B152" s="46"/>
      <c r="C152" s="311"/>
      <c r="D152" s="311"/>
      <c r="P152" s="44"/>
      <c r="Q152" s="311"/>
      <c r="AC152" s="49"/>
      <c r="AD152" s="49"/>
      <c r="AE152" s="386">
        <f>CUSD!B12</f>
        <v>0</v>
      </c>
      <c r="AF152" s="386">
        <f>CUSD!C12</f>
        <v>0</v>
      </c>
      <c r="AG152" s="338" t="str">
        <f>CUSD!F12</f>
        <v/>
      </c>
      <c r="AH152" s="338" t="str">
        <f>CUSD!F12</f>
        <v/>
      </c>
      <c r="AI152" s="404" t="str">
        <f>CUSD!H12</f>
        <v/>
      </c>
      <c r="AJ152" s="405" t="str">
        <f>CUSD!J12</f>
        <v/>
      </c>
      <c r="AK152" s="338">
        <f t="shared" si="7"/>
        <v>0</v>
      </c>
      <c r="AL152" s="406">
        <f t="shared" si="6"/>
        <v>0</v>
      </c>
      <c r="AM152" s="405"/>
    </row>
    <row r="153" spans="2:39" ht="15" hidden="1" customHeight="1">
      <c r="B153" s="46"/>
      <c r="C153" s="311"/>
      <c r="D153" s="311"/>
      <c r="P153" s="44"/>
      <c r="Q153" s="311"/>
      <c r="AC153" s="49"/>
      <c r="AD153" s="49"/>
      <c r="AE153" s="386">
        <f>CUSD!B13</f>
        <v>0</v>
      </c>
      <c r="AF153" s="386">
        <f>CUSD!C13</f>
        <v>0</v>
      </c>
      <c r="AG153" s="338" t="str">
        <f>CUSD!F13</f>
        <v/>
      </c>
      <c r="AH153" s="338" t="str">
        <f>CUSD!F13</f>
        <v/>
      </c>
      <c r="AI153" s="404" t="str">
        <f>CUSD!H13</f>
        <v/>
      </c>
      <c r="AJ153" s="405" t="str">
        <f>CUSD!J13</f>
        <v/>
      </c>
      <c r="AK153" s="338">
        <f t="shared" si="7"/>
        <v>0</v>
      </c>
      <c r="AL153" s="406">
        <f t="shared" si="6"/>
        <v>0</v>
      </c>
      <c r="AM153" s="405"/>
    </row>
    <row r="154" spans="2:39" ht="15" hidden="1" customHeight="1">
      <c r="B154" s="46"/>
      <c r="C154" s="311"/>
      <c r="D154" s="311"/>
      <c r="P154" s="44"/>
      <c r="Q154" s="311"/>
      <c r="AC154" s="49"/>
      <c r="AD154" s="49"/>
      <c r="AE154" s="386">
        <f>CUSD!B14</f>
        <v>0</v>
      </c>
      <c r="AF154" s="386">
        <f>CUSD!C14</f>
        <v>0</v>
      </c>
      <c r="AG154" s="338" t="str">
        <f>CUSD!F14</f>
        <v/>
      </c>
      <c r="AH154" s="338" t="str">
        <f>CUSD!F14</f>
        <v/>
      </c>
      <c r="AI154" s="404" t="str">
        <f>CUSD!H14</f>
        <v/>
      </c>
      <c r="AJ154" s="405" t="str">
        <f>CUSD!J14</f>
        <v/>
      </c>
      <c r="AK154" s="338">
        <f t="shared" ref="AK154:AK160" si="8">IFERROR(AI154*AJ154,0)</f>
        <v>0</v>
      </c>
      <c r="AL154" s="406">
        <f t="shared" si="6"/>
        <v>0</v>
      </c>
      <c r="AM154" s="405"/>
    </row>
    <row r="155" spans="2:39" ht="15" hidden="1" customHeight="1">
      <c r="B155" s="46"/>
      <c r="C155" s="311"/>
      <c r="D155" s="311"/>
      <c r="P155" s="44"/>
      <c r="Q155" s="311"/>
      <c r="AC155" s="49"/>
      <c r="AD155" s="49"/>
      <c r="AE155" s="386">
        <f>CUSD!B15</f>
        <v>0</v>
      </c>
      <c r="AF155" s="386">
        <f>CUSD!C15</f>
        <v>0</v>
      </c>
      <c r="AG155" s="338" t="str">
        <f>CUSD!F15</f>
        <v/>
      </c>
      <c r="AH155" s="338" t="str">
        <f>CUSD!F15</f>
        <v/>
      </c>
      <c r="AI155" s="404" t="str">
        <f>CUSD!H15</f>
        <v/>
      </c>
      <c r="AJ155" s="405" t="str">
        <f>CUSD!J15</f>
        <v/>
      </c>
      <c r="AK155" s="338">
        <f t="shared" si="8"/>
        <v>0</v>
      </c>
      <c r="AL155" s="406">
        <f t="shared" si="6"/>
        <v>0</v>
      </c>
      <c r="AM155" s="405"/>
    </row>
    <row r="156" spans="2:39" ht="15" hidden="1" customHeight="1">
      <c r="B156" s="46"/>
      <c r="C156" s="311"/>
      <c r="D156" s="311"/>
      <c r="P156" s="44"/>
      <c r="Q156" s="311"/>
      <c r="AC156" s="49"/>
      <c r="AD156" s="49"/>
      <c r="AE156" s="386">
        <f>CUSD!B16</f>
        <v>0</v>
      </c>
      <c r="AF156" s="386">
        <f>CUSD!C16</f>
        <v>0</v>
      </c>
      <c r="AG156" s="338" t="str">
        <f>CUSD!F16</f>
        <v/>
      </c>
      <c r="AH156" s="338" t="str">
        <f>CUSD!F16</f>
        <v/>
      </c>
      <c r="AI156" s="404" t="str">
        <f>CUSD!H16</f>
        <v/>
      </c>
      <c r="AJ156" s="405" t="str">
        <f>CUSD!J16</f>
        <v/>
      </c>
      <c r="AK156" s="338">
        <f t="shared" si="8"/>
        <v>0</v>
      </c>
      <c r="AL156" s="406">
        <f t="shared" si="6"/>
        <v>0</v>
      </c>
      <c r="AM156" s="405"/>
    </row>
    <row r="157" spans="2:39" ht="15" hidden="1" customHeight="1">
      <c r="B157" s="46"/>
      <c r="C157" s="311"/>
      <c r="D157" s="311"/>
      <c r="P157" s="44"/>
      <c r="Q157" s="311"/>
      <c r="AC157" s="49"/>
      <c r="AD157" s="49"/>
      <c r="AE157" s="386">
        <f>CUSD!B17</f>
        <v>0</v>
      </c>
      <c r="AF157" s="386">
        <f>CUSD!C17</f>
        <v>0</v>
      </c>
      <c r="AG157" s="338" t="str">
        <f>CUSD!F17</f>
        <v/>
      </c>
      <c r="AH157" s="338" t="str">
        <f>CUSD!F17</f>
        <v/>
      </c>
      <c r="AI157" s="404" t="str">
        <f>CUSD!H17</f>
        <v/>
      </c>
      <c r="AJ157" s="405" t="str">
        <f>CUSD!J17</f>
        <v/>
      </c>
      <c r="AK157" s="338">
        <f t="shared" si="8"/>
        <v>0</v>
      </c>
      <c r="AL157" s="406">
        <v>0</v>
      </c>
      <c r="AM157" s="405"/>
    </row>
    <row r="158" spans="2:39" ht="15" hidden="1" customHeight="1">
      <c r="B158" s="46"/>
      <c r="C158" s="311"/>
      <c r="D158" s="311"/>
      <c r="P158" s="44"/>
      <c r="Q158" s="311"/>
      <c r="AC158" s="49"/>
      <c r="AD158" s="49"/>
      <c r="AE158" s="386">
        <f>CUSD!B18</f>
        <v>0</v>
      </c>
      <c r="AF158" s="386">
        <f>CUSD!C18</f>
        <v>0</v>
      </c>
      <c r="AG158" s="338" t="str">
        <f>CUSD!F18</f>
        <v/>
      </c>
      <c r="AH158" s="338" t="str">
        <f>CUSD!F18</f>
        <v/>
      </c>
      <c r="AI158" s="404" t="str">
        <f>CUSD!H18</f>
        <v/>
      </c>
      <c r="AJ158" s="405" t="str">
        <f>CUSD!J18</f>
        <v/>
      </c>
      <c r="AK158" s="338">
        <f t="shared" si="8"/>
        <v>0</v>
      </c>
      <c r="AL158" s="406">
        <f t="shared" si="6"/>
        <v>0</v>
      </c>
      <c r="AM158" s="405"/>
    </row>
    <row r="159" spans="2:39" ht="15" hidden="1" customHeight="1">
      <c r="B159" s="46"/>
      <c r="C159" s="311"/>
      <c r="D159" s="311"/>
      <c r="P159" s="44"/>
      <c r="Q159" s="311"/>
      <c r="AC159" s="49"/>
      <c r="AD159" s="49"/>
      <c r="AE159" s="386">
        <f>CUSD!B19</f>
        <v>0</v>
      </c>
      <c r="AF159" s="386">
        <f>CUSD!C19</f>
        <v>0</v>
      </c>
      <c r="AG159" s="338" t="str">
        <f>CUSD!F19</f>
        <v/>
      </c>
      <c r="AH159" s="338" t="str">
        <f>CUSD!F19</f>
        <v/>
      </c>
      <c r="AI159" s="404" t="str">
        <f>CUSD!H19</f>
        <v/>
      </c>
      <c r="AJ159" s="405" t="str">
        <f>CUSD!J19</f>
        <v/>
      </c>
      <c r="AK159" s="338">
        <f t="shared" si="8"/>
        <v>0</v>
      </c>
      <c r="AL159" s="406">
        <f t="shared" si="6"/>
        <v>0</v>
      </c>
      <c r="AM159" s="405"/>
    </row>
    <row r="160" spans="2:39" ht="15" hidden="1" customHeight="1">
      <c r="B160" s="46"/>
      <c r="C160" s="311"/>
      <c r="D160" s="311"/>
      <c r="P160" s="44"/>
      <c r="Q160" s="311"/>
      <c r="AC160" s="49"/>
      <c r="AD160" s="49"/>
      <c r="AE160" s="386">
        <f>CUSD!B20</f>
        <v>0</v>
      </c>
      <c r="AF160" s="386">
        <f>CUSD!C20</f>
        <v>0</v>
      </c>
      <c r="AG160" s="338" t="str">
        <f>CUSD!F20</f>
        <v/>
      </c>
      <c r="AH160" s="338" t="str">
        <f>CUSD!F20</f>
        <v/>
      </c>
      <c r="AI160" s="404" t="str">
        <f>CUSD!H20</f>
        <v/>
      </c>
      <c r="AJ160" s="405" t="str">
        <f>CUSD!J20</f>
        <v/>
      </c>
      <c r="AK160" s="338">
        <f t="shared" si="8"/>
        <v>0</v>
      </c>
      <c r="AL160" s="406">
        <f t="shared" si="6"/>
        <v>0</v>
      </c>
      <c r="AM160" s="49"/>
    </row>
    <row r="161" spans="2:42" ht="15" customHeight="1">
      <c r="B161" s="46"/>
      <c r="C161" s="311"/>
      <c r="D161" s="311"/>
      <c r="P161" s="44"/>
      <c r="Q161" s="311"/>
      <c r="AE161" s="1161" t="s">
        <v>946</v>
      </c>
      <c r="AF161" s="1161"/>
      <c r="AG161" s="1161"/>
      <c r="AH161" s="1161"/>
      <c r="AI161" s="1187">
        <f>SUM(AI146:AI160)</f>
        <v>142479.98299999998</v>
      </c>
      <c r="AJ161" s="1163"/>
      <c r="AK161" s="1163">
        <f>SUM(AK146:AK160)</f>
        <v>2300281.9677699995</v>
      </c>
    </row>
    <row r="162" spans="2:42" ht="15" customHeight="1">
      <c r="B162" s="46"/>
      <c r="C162" s="311"/>
      <c r="D162" s="311"/>
      <c r="P162" s="44"/>
      <c r="Q162" s="311"/>
    </row>
    <row r="163" spans="2:42" ht="15" customHeight="1">
      <c r="B163" s="46"/>
      <c r="C163" s="311"/>
      <c r="D163" s="311"/>
      <c r="P163" s="44"/>
      <c r="Q163" s="311"/>
      <c r="AM163" s="1186" t="s">
        <v>947</v>
      </c>
      <c r="AN163" s="307" t="s">
        <v>900</v>
      </c>
    </row>
    <row r="164" spans="2:42" ht="15" customHeight="1">
      <c r="B164" s="46"/>
      <c r="C164" s="311"/>
      <c r="D164" s="311"/>
      <c r="P164" s="44"/>
      <c r="Q164" s="311"/>
      <c r="AM164" s="1188" t="s">
        <v>853</v>
      </c>
      <c r="AN164" s="1156" t="s">
        <v>902</v>
      </c>
      <c r="AO164" s="23" t="s">
        <v>909</v>
      </c>
      <c r="AP164" s="677" t="s">
        <v>948</v>
      </c>
    </row>
    <row r="165" spans="2:42" ht="15" customHeight="1">
      <c r="B165" s="46"/>
      <c r="C165" s="311"/>
      <c r="D165" s="311"/>
      <c r="P165" s="44"/>
      <c r="Q165" s="311"/>
      <c r="AM165" s="53" t="str">
        <f>Financeiros!C9</f>
        <v>Repasse de PIS COFINS</v>
      </c>
      <c r="AN165" s="875">
        <f>LnkTXTPISCOFINS</f>
        <v>200363.99033587321</v>
      </c>
      <c r="AO165" s="23">
        <f t="shared" ref="AO165:AO196" si="9">IF(AN165=0,0,1)</f>
        <v>1</v>
      </c>
      <c r="AP165" s="677"/>
    </row>
    <row r="166" spans="2:42" ht="15" customHeight="1">
      <c r="B166" s="46"/>
      <c r="C166" s="311"/>
      <c r="D166" s="311"/>
      <c r="P166" s="44"/>
      <c r="Q166" s="311"/>
      <c r="AM166" s="53" t="s">
        <v>857</v>
      </c>
      <c r="AN166" s="875">
        <f ca="1">SUM(Financeiros!D12:D17)</f>
        <v>50464.011495475403</v>
      </c>
      <c r="AO166" s="23">
        <f t="shared" ca="1" si="9"/>
        <v>1</v>
      </c>
      <c r="AP166" s="677"/>
    </row>
    <row r="167" spans="2:42" ht="15" hidden="1" customHeight="1">
      <c r="B167" s="46"/>
      <c r="C167" s="311"/>
      <c r="D167" s="311"/>
      <c r="P167" s="44"/>
      <c r="Q167" s="311"/>
      <c r="AM167" s="23" t="s">
        <v>949</v>
      </c>
      <c r="AN167" s="424">
        <f ca="1">Financeiros!D18+Financeiros!D19</f>
        <v>0</v>
      </c>
      <c r="AO167" s="23">
        <f t="shared" ca="1" si="9"/>
        <v>0</v>
      </c>
      <c r="AP167" s="677"/>
    </row>
    <row r="168" spans="2:42" ht="15" hidden="1" customHeight="1">
      <c r="B168" s="46"/>
      <c r="C168" s="311"/>
      <c r="D168" s="311"/>
      <c r="P168" s="44"/>
      <c r="Q168" s="311"/>
      <c r="AM168" s="23" t="s">
        <v>949</v>
      </c>
      <c r="AN168" s="424"/>
      <c r="AO168" s="677">
        <f>IF(AN168=0,0,1)</f>
        <v>0</v>
      </c>
      <c r="AP168" s="677"/>
    </row>
    <row r="169" spans="2:42" ht="15" hidden="1" customHeight="1">
      <c r="B169" s="46"/>
      <c r="C169" s="311"/>
      <c r="D169" s="311"/>
      <c r="P169" s="44"/>
      <c r="Q169" s="311"/>
      <c r="AM169" s="53" t="str">
        <f>Financeiros!C25</f>
        <v>Ajustes Processos anteriores</v>
      </c>
      <c r="AN169" s="875">
        <f>Financeiros!D25</f>
        <v>0</v>
      </c>
      <c r="AO169" s="23">
        <f t="shared" si="9"/>
        <v>0</v>
      </c>
      <c r="AP169" s="677"/>
    </row>
    <row r="170" spans="2:42" ht="15" hidden="1" customHeight="1">
      <c r="B170" s="46"/>
      <c r="C170" s="311"/>
      <c r="D170" s="311"/>
      <c r="P170" s="44"/>
      <c r="Q170" s="311"/>
      <c r="AM170" s="53" t="str">
        <f>Financeiros!C26</f>
        <v>Ajuste CUST + PISCONFINS Transmissão</v>
      </c>
      <c r="AN170" s="875">
        <f>Financeiros!D26</f>
        <v>0</v>
      </c>
      <c r="AO170" s="23">
        <f t="shared" si="9"/>
        <v>0</v>
      </c>
      <c r="AP170" s="677"/>
    </row>
    <row r="171" spans="2:42" ht="15" customHeight="1">
      <c r="B171" s="46"/>
      <c r="C171" s="311"/>
      <c r="D171" s="311"/>
      <c r="P171" s="44"/>
      <c r="Q171" s="311"/>
      <c r="AM171" s="53" t="str">
        <f>Financeiros!C27</f>
        <v>Compensação DIC FIC</v>
      </c>
      <c r="AN171" s="875">
        <f>LnkTXTDICFIC</f>
        <v>-154215.46</v>
      </c>
      <c r="AO171" s="23">
        <f t="shared" si="9"/>
        <v>1</v>
      </c>
      <c r="AP171" s="677"/>
    </row>
    <row r="172" spans="2:42" ht="15" customHeight="1">
      <c r="B172" s="46"/>
      <c r="C172" s="311"/>
      <c r="D172" s="311"/>
      <c r="P172" s="44"/>
      <c r="Q172" s="311"/>
      <c r="AM172" s="53" t="str">
        <f>Financeiros!C28</f>
        <v>Subvenção CDE</v>
      </c>
      <c r="AN172" s="875">
        <f ca="1">LnkTxTSubvencaoCDE</f>
        <v>-2630709.1586146285</v>
      </c>
      <c r="AO172" s="23">
        <f t="shared" ca="1" si="9"/>
        <v>1</v>
      </c>
      <c r="AP172" s="677"/>
    </row>
    <row r="173" spans="2:42" ht="15" customHeight="1">
      <c r="B173" s="46"/>
      <c r="C173" s="311"/>
      <c r="D173" s="311"/>
      <c r="P173" s="44"/>
      <c r="Q173" s="311"/>
      <c r="AM173" s="53" t="str">
        <f>Financeiros!C29</f>
        <v>Retenção de Adicionais de Bandeiras Tarifárias</v>
      </c>
      <c r="AN173" s="875">
        <f>Financeiros!D29</f>
        <v>-130410.99266452562</v>
      </c>
      <c r="AO173" s="23">
        <f t="shared" si="9"/>
        <v>1</v>
      </c>
      <c r="AP173" s="677"/>
    </row>
    <row r="174" spans="2:42" ht="15" hidden="1" customHeight="1">
      <c r="B174" s="46"/>
      <c r="C174" s="311"/>
      <c r="D174" s="311"/>
      <c r="P174" s="44"/>
      <c r="Q174" s="311"/>
      <c r="AM174" s="53" t="s">
        <v>950</v>
      </c>
      <c r="AN174" s="875">
        <f>Financeiros!D35</f>
        <v>0</v>
      </c>
      <c r="AO174" s="23">
        <f t="shared" si="9"/>
        <v>0</v>
      </c>
      <c r="AP174" s="677"/>
    </row>
    <row r="175" spans="2:42" ht="15" hidden="1" customHeight="1">
      <c r="B175" s="46"/>
      <c r="C175" s="311"/>
      <c r="D175" s="311"/>
      <c r="P175" s="44"/>
      <c r="Q175" s="311"/>
      <c r="AM175" s="53" t="str">
        <f>Financeiros!C31</f>
        <v>Repasse de ICMS</v>
      </c>
      <c r="AN175" s="875">
        <f>Financeiros!D31</f>
        <v>0</v>
      </c>
      <c r="AO175" s="677">
        <f>IF(AN175=0,0,1)</f>
        <v>0</v>
      </c>
      <c r="AP175" s="677"/>
    </row>
    <row r="176" spans="2:42" ht="15" customHeight="1">
      <c r="B176" s="46"/>
      <c r="C176" s="311"/>
      <c r="D176" s="311"/>
      <c r="P176" s="44"/>
      <c r="Q176" s="311"/>
      <c r="AM176" s="53" t="s">
        <v>951</v>
      </c>
      <c r="AN176" s="875">
        <f>Financeiros!D38</f>
        <v>-216318.95200995237</v>
      </c>
      <c r="AO176" s="23">
        <f t="shared" si="9"/>
        <v>1</v>
      </c>
      <c r="AP176" s="677"/>
    </row>
    <row r="177" spans="2:42" ht="15" hidden="1" customHeight="1">
      <c r="B177" s="46"/>
      <c r="C177" s="311"/>
      <c r="D177" s="311"/>
      <c r="P177" s="44"/>
      <c r="Q177" s="311"/>
      <c r="AM177" s="53" t="str">
        <f>Financeiros!C36</f>
        <v>Previsão de Risco Hidrologico</v>
      </c>
      <c r="AN177" s="876">
        <f>Financeiros!D36</f>
        <v>0</v>
      </c>
      <c r="AO177" s="23">
        <f t="shared" si="9"/>
        <v>0</v>
      </c>
      <c r="AP177" s="677"/>
    </row>
    <row r="178" spans="2:42" ht="15" hidden="1" customHeight="1">
      <c r="B178" s="46"/>
      <c r="C178" s="311"/>
      <c r="D178" s="311"/>
      <c r="P178" s="44"/>
      <c r="Q178" s="311"/>
      <c r="AM178" s="53" t="str">
        <f>Financeiros!C37</f>
        <v>Efeito COVID da Supridora</v>
      </c>
      <c r="AN178" s="875">
        <f>Financeiros!D37</f>
        <v>0</v>
      </c>
      <c r="AO178" s="23">
        <f t="shared" si="9"/>
        <v>0</v>
      </c>
      <c r="AP178" s="677"/>
    </row>
    <row r="179" spans="2:42" ht="15" hidden="1" customHeight="1">
      <c r="B179" s="46"/>
      <c r="C179" s="311"/>
      <c r="D179" s="311"/>
      <c r="P179" s="44"/>
      <c r="Q179" s="311"/>
      <c r="AM179" s="53" t="s">
        <v>952</v>
      </c>
      <c r="AN179" s="875">
        <f>Financeiros!D39+Financeiros!D40</f>
        <v>0</v>
      </c>
      <c r="AO179" s="23">
        <f t="shared" si="9"/>
        <v>0</v>
      </c>
      <c r="AP179" s="677"/>
    </row>
    <row r="180" spans="2:42" ht="15" hidden="1" customHeight="1">
      <c r="B180" s="46"/>
      <c r="C180" s="311"/>
      <c r="D180" s="311"/>
      <c r="P180" s="44"/>
      <c r="Q180" s="311"/>
      <c r="AM180" s="53" t="str">
        <f>Financeiros!C41</f>
        <v>Financeiros associados ao §7º do Art. 88 da Ren 414/2021</v>
      </c>
      <c r="AN180" s="875">
        <f>Financeiros!D41</f>
        <v>0</v>
      </c>
      <c r="AO180" s="23">
        <f t="shared" si="9"/>
        <v>0</v>
      </c>
      <c r="AP180" s="677"/>
    </row>
    <row r="181" spans="2:42" ht="15" hidden="1" customHeight="1">
      <c r="B181" s="46"/>
      <c r="C181" s="311"/>
      <c r="D181" s="311"/>
      <c r="P181" s="44"/>
      <c r="Q181" s="311"/>
      <c r="AM181" s="53">
        <f>Financeiros!C42</f>
        <v>0</v>
      </c>
      <c r="AN181" s="875">
        <f>Financeiros!D42</f>
        <v>0</v>
      </c>
      <c r="AO181" s="23">
        <f t="shared" ref="AO181:AO186" si="10">IF(AN181=0,0,1)</f>
        <v>0</v>
      </c>
      <c r="AP181" s="677"/>
    </row>
    <row r="182" spans="2:42" ht="15" hidden="1" customHeight="1">
      <c r="B182" s="46"/>
      <c r="C182" s="311"/>
      <c r="D182" s="311"/>
      <c r="P182" s="44"/>
      <c r="Q182" s="311"/>
      <c r="AM182" s="53">
        <f>Financeiros!C43</f>
        <v>0</v>
      </c>
      <c r="AN182" s="875">
        <f>Financeiros!D43</f>
        <v>0</v>
      </c>
      <c r="AO182" s="23">
        <f t="shared" si="10"/>
        <v>0</v>
      </c>
      <c r="AP182" s="677"/>
    </row>
    <row r="183" spans="2:42" ht="15" hidden="1" customHeight="1">
      <c r="B183" s="46"/>
      <c r="C183" s="311"/>
      <c r="D183" s="311"/>
      <c r="P183" s="44"/>
      <c r="Q183" s="311"/>
      <c r="AM183" s="53">
        <f>Financeiros!C44</f>
        <v>0</v>
      </c>
      <c r="AN183" s="875">
        <f>Financeiros!D44</f>
        <v>0</v>
      </c>
      <c r="AO183" s="23">
        <f t="shared" si="10"/>
        <v>0</v>
      </c>
      <c r="AP183" s="677"/>
    </row>
    <row r="184" spans="2:42" ht="15" hidden="1" customHeight="1">
      <c r="B184" s="46"/>
      <c r="C184" s="311"/>
      <c r="D184" s="311"/>
      <c r="P184" s="44"/>
      <c r="Q184" s="311"/>
      <c r="AM184" s="53">
        <f>Financeiros!C45</f>
        <v>0</v>
      </c>
      <c r="AN184" s="875">
        <f>Financeiros!D45</f>
        <v>0</v>
      </c>
      <c r="AO184" s="23">
        <f t="shared" si="10"/>
        <v>0</v>
      </c>
      <c r="AP184" s="677"/>
    </row>
    <row r="185" spans="2:42" ht="15" hidden="1" customHeight="1">
      <c r="B185" s="46"/>
      <c r="C185" s="311"/>
      <c r="D185" s="311"/>
      <c r="P185" s="44"/>
      <c r="Q185" s="311"/>
      <c r="AM185" s="53">
        <f>Financeiros!C46</f>
        <v>0</v>
      </c>
      <c r="AN185" s="875">
        <f>Financeiros!D46</f>
        <v>0</v>
      </c>
      <c r="AO185" s="23">
        <f t="shared" si="10"/>
        <v>0</v>
      </c>
      <c r="AP185" s="677"/>
    </row>
    <row r="186" spans="2:42" ht="15" hidden="1" customHeight="1">
      <c r="B186" s="46"/>
      <c r="C186" s="311"/>
      <c r="D186" s="311"/>
      <c r="P186" s="44"/>
      <c r="Q186" s="311"/>
      <c r="AM186" s="53">
        <f>Financeiros!C47</f>
        <v>0</v>
      </c>
      <c r="AN186" s="875">
        <f>Financeiros!D47</f>
        <v>0</v>
      </c>
      <c r="AO186" s="23">
        <f t="shared" si="10"/>
        <v>0</v>
      </c>
      <c r="AP186" s="677"/>
    </row>
    <row r="187" spans="2:42" ht="15" hidden="1" customHeight="1">
      <c r="B187" s="46"/>
      <c r="C187" s="311"/>
      <c r="D187" s="311"/>
      <c r="P187" s="44"/>
      <c r="Q187" s="311"/>
      <c r="AM187" s="53" t="s">
        <v>953</v>
      </c>
      <c r="AN187" s="875">
        <f ca="1">SUM(Financeiros!D57:D61)</f>
        <v>0</v>
      </c>
      <c r="AO187" s="23">
        <f t="shared" ca="1" si="9"/>
        <v>0</v>
      </c>
      <c r="AP187" s="677"/>
    </row>
    <row r="188" spans="2:42" ht="15" hidden="1" customHeight="1">
      <c r="B188" s="46"/>
      <c r="C188" s="311"/>
      <c r="D188" s="311"/>
      <c r="P188" s="44"/>
      <c r="Q188" s="311"/>
      <c r="AM188" s="53" t="s">
        <v>954</v>
      </c>
      <c r="AN188" s="875">
        <f>Financeiros!D64</f>
        <v>0</v>
      </c>
      <c r="AO188" s="23">
        <f t="shared" si="9"/>
        <v>0</v>
      </c>
      <c r="AP188" s="677"/>
    </row>
    <row r="189" spans="2:42" ht="15" hidden="1" customHeight="1">
      <c r="B189" s="46"/>
      <c r="C189" s="311"/>
      <c r="D189" s="311"/>
      <c r="P189" s="44"/>
      <c r="Q189" s="311"/>
      <c r="AM189" s="53" t="s">
        <v>955</v>
      </c>
      <c r="AN189" s="875">
        <f ca="1">SUM(Financeiros!D65:D75)</f>
        <v>0</v>
      </c>
      <c r="AO189" s="23">
        <f ca="1">IF(AN189=0,0,1)</f>
        <v>0</v>
      </c>
      <c r="AP189" s="677"/>
    </row>
    <row r="190" spans="2:42" ht="15" hidden="1" customHeight="1">
      <c r="B190" s="46"/>
      <c r="C190" s="311"/>
      <c r="D190" s="311"/>
      <c r="P190" s="44"/>
      <c r="Q190" s="311"/>
      <c r="AM190" s="53"/>
      <c r="AN190" s="875"/>
      <c r="AO190" s="23">
        <f t="shared" si="9"/>
        <v>0</v>
      </c>
      <c r="AP190" s="677"/>
    </row>
    <row r="191" spans="2:42" ht="15" hidden="1" customHeight="1">
      <c r="B191" s="46"/>
      <c r="C191" s="311"/>
      <c r="D191" s="311"/>
      <c r="P191" s="44"/>
      <c r="Q191" s="311"/>
      <c r="AM191" s="53"/>
      <c r="AN191" s="875"/>
      <c r="AO191" s="23">
        <f t="shared" si="9"/>
        <v>0</v>
      </c>
      <c r="AP191" s="677"/>
    </row>
    <row r="192" spans="2:42" ht="15" hidden="1" customHeight="1">
      <c r="B192" s="46"/>
      <c r="C192" s="311"/>
      <c r="D192" s="311"/>
      <c r="P192" s="44"/>
      <c r="Q192" s="311"/>
      <c r="AM192" s="53"/>
      <c r="AN192" s="875"/>
      <c r="AO192" s="23">
        <f t="shared" si="9"/>
        <v>0</v>
      </c>
      <c r="AP192" s="677"/>
    </row>
    <row r="193" spans="2:54" ht="15" hidden="1" customHeight="1">
      <c r="B193" s="46"/>
      <c r="C193" s="311"/>
      <c r="D193" s="311"/>
      <c r="P193" s="44"/>
      <c r="Q193" s="311"/>
      <c r="AM193" s="53"/>
      <c r="AN193" s="875"/>
      <c r="AO193" s="23">
        <f t="shared" si="9"/>
        <v>0</v>
      </c>
      <c r="AP193" s="677"/>
    </row>
    <row r="194" spans="2:54" ht="15" hidden="1" customHeight="1">
      <c r="B194" s="46"/>
      <c r="C194" s="311"/>
      <c r="D194" s="311"/>
      <c r="P194" s="44"/>
      <c r="Q194" s="311"/>
      <c r="AM194" s="53"/>
      <c r="AN194" s="875"/>
      <c r="AO194" s="23">
        <f t="shared" si="9"/>
        <v>0</v>
      </c>
      <c r="AP194" s="677"/>
    </row>
    <row r="195" spans="2:54" ht="15" hidden="1" customHeight="1">
      <c r="B195" s="46"/>
      <c r="C195" s="311"/>
      <c r="D195" s="311"/>
      <c r="P195" s="44"/>
      <c r="Q195" s="311"/>
      <c r="AM195" s="53"/>
      <c r="AN195" s="875"/>
      <c r="AO195" s="23">
        <f t="shared" si="9"/>
        <v>0</v>
      </c>
      <c r="AP195" s="677"/>
    </row>
    <row r="196" spans="2:54" ht="15" hidden="1" customHeight="1">
      <c r="B196" s="46"/>
      <c r="C196" s="311"/>
      <c r="D196" s="311"/>
      <c r="P196" s="44"/>
      <c r="Q196" s="311"/>
      <c r="AM196" s="53"/>
      <c r="AN196" s="875"/>
      <c r="AO196" s="23">
        <f t="shared" si="9"/>
        <v>0</v>
      </c>
      <c r="AP196" s="677"/>
    </row>
    <row r="197" spans="2:54" ht="15" customHeight="1">
      <c r="B197" s="46"/>
      <c r="C197" s="311"/>
      <c r="D197" s="311"/>
      <c r="P197" s="44"/>
      <c r="Q197" s="311"/>
      <c r="AM197" s="1161" t="s">
        <v>856</v>
      </c>
      <c r="AN197" s="1189">
        <f ca="1">SUM(AN165:AN186)</f>
        <v>-2880826.5614577578</v>
      </c>
      <c r="AP197" s="24"/>
    </row>
    <row r="198" spans="2:54" ht="15" customHeight="1">
      <c r="B198" s="46"/>
      <c r="C198" s="311"/>
      <c r="D198" s="311"/>
      <c r="P198" s="44"/>
      <c r="Q198" s="311"/>
    </row>
    <row r="199" spans="2:54" ht="15" customHeight="1">
      <c r="B199" s="46"/>
      <c r="C199" s="311"/>
      <c r="D199" s="311"/>
      <c r="P199" s="44"/>
      <c r="Q199" s="311"/>
    </row>
    <row r="200" spans="2:54" ht="15" customHeight="1">
      <c r="B200" s="46"/>
      <c r="C200" s="311"/>
      <c r="D200" s="311"/>
      <c r="P200" s="44"/>
      <c r="Q200" s="311"/>
      <c r="AM200" s="53"/>
      <c r="AN200" s="343"/>
      <c r="AP200" s="1186" t="s">
        <v>956</v>
      </c>
      <c r="AQ200" s="307" t="s">
        <v>900</v>
      </c>
    </row>
    <row r="201" spans="2:54" ht="15" customHeight="1">
      <c r="B201" s="46"/>
      <c r="C201" s="311"/>
      <c r="D201" s="311"/>
      <c r="P201" s="44"/>
      <c r="Q201" s="311"/>
      <c r="AM201" s="53"/>
      <c r="AN201" s="343"/>
      <c r="AP201" s="1174" t="s">
        <v>957</v>
      </c>
      <c r="AQ201" s="1156" t="s">
        <v>958</v>
      </c>
    </row>
    <row r="202" spans="2:54" ht="15" customHeight="1">
      <c r="B202" s="46"/>
      <c r="C202" s="311"/>
      <c r="D202" s="311"/>
      <c r="P202" s="44"/>
      <c r="Q202" s="311"/>
      <c r="AM202" s="53"/>
      <c r="AN202" s="343"/>
      <c r="AP202" s="304" t="s">
        <v>959</v>
      </c>
      <c r="AQ202" s="229">
        <f>LnkTXTEfeitoAT</f>
        <v>0.14591080814957702</v>
      </c>
    </row>
    <row r="203" spans="2:54" ht="15" customHeight="1">
      <c r="B203" s="46"/>
      <c r="C203" s="311"/>
      <c r="D203" s="311"/>
      <c r="P203" s="44"/>
      <c r="Q203" s="311"/>
      <c r="AM203" s="53"/>
      <c r="AN203" s="343"/>
      <c r="AP203" s="304" t="s">
        <v>960</v>
      </c>
      <c r="AQ203" s="229">
        <f>LnkTXTEfeitoBT</f>
        <v>0.14418286668512681</v>
      </c>
    </row>
    <row r="204" spans="2:54" ht="15" customHeight="1">
      <c r="B204" s="46"/>
      <c r="C204" s="311"/>
      <c r="D204" s="311"/>
      <c r="P204" s="44"/>
      <c r="Q204" s="311"/>
      <c r="AM204" s="53"/>
      <c r="AN204" s="343"/>
      <c r="AP204" s="1161" t="s">
        <v>961</v>
      </c>
      <c r="AQ204" s="1167">
        <f>LnkTXTEfeito</f>
        <v>0.14427339894388092</v>
      </c>
    </row>
    <row r="205" spans="2:54" ht="15" customHeight="1">
      <c r="B205" s="46"/>
      <c r="C205" s="311"/>
      <c r="D205" s="311"/>
      <c r="P205" s="44"/>
      <c r="Q205" s="311"/>
      <c r="AM205" s="53"/>
      <c r="AN205" s="343"/>
      <c r="AW205" s="424"/>
    </row>
    <row r="206" spans="2:54" ht="15" customHeight="1">
      <c r="B206" s="46"/>
      <c r="C206" s="311"/>
      <c r="D206" s="311"/>
      <c r="P206" s="44"/>
      <c r="Q206" s="311"/>
      <c r="AM206" s="53"/>
      <c r="AN206" s="343"/>
      <c r="AS206" s="1186" t="s">
        <v>962</v>
      </c>
      <c r="AT206" s="30"/>
      <c r="AU206" s="30"/>
      <c r="AV206" s="30"/>
      <c r="AW206" s="30"/>
      <c r="AX206" s="307" t="s">
        <v>900</v>
      </c>
    </row>
    <row r="207" spans="2:54" ht="39" customHeight="1" thickBot="1">
      <c r="B207" s="54"/>
      <c r="C207" s="321"/>
      <c r="D207" s="54"/>
      <c r="AS207" s="1002" t="s">
        <v>963</v>
      </c>
      <c r="AT207" s="1002" t="s">
        <v>920</v>
      </c>
      <c r="AU207" s="1002" t="s">
        <v>964</v>
      </c>
      <c r="AV207" s="1002" t="s">
        <v>965</v>
      </c>
      <c r="AW207" s="1002" t="s">
        <v>966</v>
      </c>
      <c r="AX207" s="1002" t="s">
        <v>967</v>
      </c>
      <c r="AY207" s="322" t="s">
        <v>909</v>
      </c>
      <c r="BB207" s="411"/>
    </row>
    <row r="208" spans="2:54" ht="15" customHeight="1" thickTop="1">
      <c r="B208" s="54"/>
      <c r="C208" s="321"/>
      <c r="D208" s="54"/>
      <c r="AS208" s="1190" t="s">
        <v>968</v>
      </c>
      <c r="AT208" s="1191">
        <f ca="1">SUM(AT209:AT218)</f>
        <v>1121082.7350311058</v>
      </c>
      <c r="AU208" s="1191">
        <f ca="1">SUM(AU209:AU218)</f>
        <v>1654665.1754460253</v>
      </c>
      <c r="AV208" s="1192">
        <f ca="1">IF(AU208=0,0,ROUND(AU208/AT208-1,4))</f>
        <v>0.47599999999999998</v>
      </c>
      <c r="AW208" s="1192">
        <f ca="1">SUM(AW209:AW218)</f>
        <v>4.0924791689861385E-2</v>
      </c>
      <c r="AX208" s="1192">
        <f t="shared" ref="AX208:AX214" ca="1" si="11">AU208/$AU$226</f>
        <v>0.10936239902397225</v>
      </c>
      <c r="AY208" s="322">
        <v>1</v>
      </c>
    </row>
    <row r="209" spans="2:51" ht="15" hidden="1" customHeight="1">
      <c r="AS209" s="1003" t="str">
        <f t="shared" ref="AS209:AT212" si="12">I75</f>
        <v>Reserva Global de Reversão – RGR</v>
      </c>
      <c r="AT209" s="1004">
        <f t="shared" si="12"/>
        <v>0</v>
      </c>
      <c r="AU209" s="1004">
        <f>Resultado!D15</f>
        <v>0</v>
      </c>
      <c r="AV209" s="1005">
        <f t="shared" ref="AV209:AV224" si="13">IF(AU209=0,0,ROUND(AU209/AT209-1,3))</f>
        <v>0</v>
      </c>
      <c r="AW209" s="1005">
        <f t="shared" ref="AW209:AW218" ca="1" si="14">(AU209-AT209)/$AT$226</f>
        <v>0</v>
      </c>
      <c r="AX209" s="1005">
        <f t="shared" ca="1" si="11"/>
        <v>0</v>
      </c>
      <c r="AY209" s="322">
        <f ca="1">IF(AW209=0,0,1)</f>
        <v>0</v>
      </c>
    </row>
    <row r="210" spans="2:51" ht="15" hidden="1" customHeight="1">
      <c r="H210" s="23"/>
      <c r="AS210" s="1003" t="str">
        <f t="shared" si="12"/>
        <v>Conta de Consumo de Combustíveis – CCC</v>
      </c>
      <c r="AT210" s="1004">
        <f t="shared" si="12"/>
        <v>0</v>
      </c>
      <c r="AU210" s="1004">
        <f>Resultado!D16</f>
        <v>0</v>
      </c>
      <c r="AV210" s="1005">
        <f t="shared" si="13"/>
        <v>0</v>
      </c>
      <c r="AW210" s="1005">
        <f t="shared" ca="1" si="14"/>
        <v>0</v>
      </c>
      <c r="AX210" s="1005">
        <f t="shared" ca="1" si="11"/>
        <v>0</v>
      </c>
      <c r="AY210" s="322">
        <f t="shared" ref="AY210:AY264" ca="1" si="15">IF(AW210=0,0,1)</f>
        <v>0</v>
      </c>
    </row>
    <row r="211" spans="2:51" ht="15" customHeight="1">
      <c r="B211" s="29"/>
      <c r="C211" s="39"/>
      <c r="H211" s="23"/>
      <c r="AS211" s="1003" t="str">
        <f t="shared" si="12"/>
        <v>Taxa de Fisc. de Serviços de E.E. – TFSEE</v>
      </c>
      <c r="AT211" s="1004">
        <f t="shared" ca="1" si="12"/>
        <v>35330.602821184402</v>
      </c>
      <c r="AU211" s="1004">
        <f ca="1">Resultado!D17</f>
        <v>42024.992316025076</v>
      </c>
      <c r="AV211" s="1005">
        <f ca="1">IF(AU211=0,0,ROUND(AU211/AT211-1,4))</f>
        <v>0.1895</v>
      </c>
      <c r="AW211" s="1005">
        <f t="shared" ca="1" si="14"/>
        <v>5.134473603631177E-4</v>
      </c>
      <c r="AX211" s="1005">
        <f t="shared" ca="1" si="11"/>
        <v>2.77757340085775E-3</v>
      </c>
      <c r="AY211" s="322">
        <f t="shared" ca="1" si="15"/>
        <v>1</v>
      </c>
    </row>
    <row r="212" spans="2:51" ht="15" customHeight="1">
      <c r="C212" s="28"/>
      <c r="H212" s="23"/>
      <c r="AS212" s="1003" t="str">
        <f t="shared" si="12"/>
        <v>Conta de Desenvolvimento Energético – CDE</v>
      </c>
      <c r="AT212" s="1004">
        <f t="shared" ca="1" si="12"/>
        <v>938941.61184217362</v>
      </c>
      <c r="AU212" s="1004">
        <f ca="1">Encargos!I19</f>
        <v>1389890.3980500002</v>
      </c>
      <c r="AV212" s="1005">
        <f ca="1">IF(AU212=0,0,ROUND(AU212/AT212-1,4))</f>
        <v>0.4803</v>
      </c>
      <c r="AW212" s="1005">
        <f t="shared" ca="1" si="14"/>
        <v>3.4586942411373847E-2</v>
      </c>
      <c r="AX212" s="1005">
        <f t="shared" ca="1" si="11"/>
        <v>9.1862541477709364E-2</v>
      </c>
      <c r="AY212" s="322">
        <f t="shared" ca="1" si="15"/>
        <v>1</v>
      </c>
    </row>
    <row r="213" spans="2:51" ht="15" hidden="1" customHeight="1">
      <c r="C213" s="28"/>
      <c r="H213" s="23"/>
      <c r="AS213" s="1003" t="s">
        <v>969</v>
      </c>
      <c r="AT213" s="1004">
        <f ca="1">Calc_Mercado!S75</f>
        <v>0</v>
      </c>
      <c r="AU213" s="1004">
        <f>Encargos!I20</f>
        <v>0</v>
      </c>
      <c r="AV213" s="1005">
        <f>IF(AU213=0,0,IF(AT213=0, 100%,ROUND(AU213/AT213-1,4)))</f>
        <v>0</v>
      </c>
      <c r="AW213" s="1005">
        <f t="shared" ca="1" si="14"/>
        <v>0</v>
      </c>
      <c r="AX213" s="1005">
        <f t="shared" ca="1" si="11"/>
        <v>0</v>
      </c>
      <c r="AY213" s="322">
        <f t="shared" ca="1" si="15"/>
        <v>0</v>
      </c>
    </row>
    <row r="214" spans="2:51" ht="15" hidden="1" customHeight="1">
      <c r="C214" s="28"/>
      <c r="H214" s="23"/>
      <c r="AS214" s="1003" t="s">
        <v>111</v>
      </c>
      <c r="AT214" s="1004"/>
      <c r="AU214" s="1004">
        <f>Encargos!I21</f>
        <v>0</v>
      </c>
      <c r="AV214" s="1005">
        <f>IF(AU214=0,0,IF(AT214=0, 100%,ROUND(AU214/AT214-1,4)))</f>
        <v>0</v>
      </c>
      <c r="AW214" s="1005">
        <f t="shared" ca="1" si="14"/>
        <v>0</v>
      </c>
      <c r="AX214" s="1005">
        <f t="shared" ca="1" si="11"/>
        <v>0</v>
      </c>
      <c r="AY214" s="996">
        <f ca="1">IF(AW214=0,0,1)</f>
        <v>0</v>
      </c>
    </row>
    <row r="215" spans="2:51" ht="12.75" hidden="1">
      <c r="C215" s="28"/>
      <c r="H215" s="23"/>
      <c r="AS215" s="1003" t="str">
        <f t="shared" ref="AS215:AT218" si="16">I80</f>
        <v>Encargos Serv. Sist. - ESS e Energ. Reserv. – EER</v>
      </c>
      <c r="AT215" s="1004">
        <f t="shared" ca="1" si="16"/>
        <v>0</v>
      </c>
      <c r="AU215" s="1004">
        <f>Resultado!D20</f>
        <v>0</v>
      </c>
      <c r="AV215" s="1005"/>
      <c r="AW215" s="1005">
        <f t="shared" ca="1" si="14"/>
        <v>0</v>
      </c>
      <c r="AX215" s="1005">
        <f t="shared" ref="AX215:AX228" ca="1" si="17">AU215/$AU$226</f>
        <v>0</v>
      </c>
      <c r="AY215" s="322">
        <f ca="1">IF(AW215=0,0,1)</f>
        <v>0</v>
      </c>
    </row>
    <row r="216" spans="2:51" ht="15" customHeight="1">
      <c r="C216" s="28"/>
      <c r="H216" s="23"/>
      <c r="AS216" s="1003" t="str">
        <f t="shared" si="16"/>
        <v>PROINFA</v>
      </c>
      <c r="AT216" s="1004">
        <f t="shared" ca="1" si="16"/>
        <v>146810.52036774775</v>
      </c>
      <c r="AU216" s="1004">
        <f ca="1">Resultado!D21</f>
        <v>222749.78508000006</v>
      </c>
      <c r="AV216" s="1005">
        <f ca="1">IF(AU216=0,0,ROUND(AU216/AT216-1,4))</f>
        <v>0.51729999999999998</v>
      </c>
      <c r="AW216" s="1005">
        <f t="shared" ca="1" si="14"/>
        <v>5.824401918124421E-3</v>
      </c>
      <c r="AX216" s="1005">
        <f t="shared" ca="1" si="17"/>
        <v>1.4722284145405136E-2</v>
      </c>
      <c r="AY216" s="322">
        <f t="shared" ca="1" si="15"/>
        <v>1</v>
      </c>
    </row>
    <row r="217" spans="2:51" ht="15" hidden="1" customHeight="1">
      <c r="B217" s="29"/>
      <c r="C217" s="39"/>
      <c r="H217" s="23"/>
      <c r="AS217" s="1003" t="str">
        <f t="shared" si="16"/>
        <v>P&amp;D e Eficiência Energética</v>
      </c>
      <c r="AT217" s="1004">
        <f t="shared" ca="1" si="16"/>
        <v>0</v>
      </c>
      <c r="AU217" s="1004">
        <f>Resultado!D22</f>
        <v>0</v>
      </c>
      <c r="AV217" s="1005">
        <f>IF(AU217=0,0,ROUND(AU217/AT217-1,4))</f>
        <v>0</v>
      </c>
      <c r="AW217" s="1005">
        <f t="shared" ca="1" si="14"/>
        <v>0</v>
      </c>
      <c r="AX217" s="1005">
        <f t="shared" ca="1" si="17"/>
        <v>0</v>
      </c>
      <c r="AY217" s="322">
        <v>0</v>
      </c>
    </row>
    <row r="218" spans="2:51" ht="15" hidden="1" customHeight="1">
      <c r="C218" s="344"/>
      <c r="H218" s="23"/>
      <c r="AS218" s="1003" t="str">
        <f t="shared" si="16"/>
        <v>ONS</v>
      </c>
      <c r="AT218" s="1004">
        <f t="shared" ca="1" si="16"/>
        <v>0</v>
      </c>
      <c r="AU218" s="1004">
        <f>Resultado!D23</f>
        <v>0</v>
      </c>
      <c r="AV218" s="1005">
        <f t="shared" si="13"/>
        <v>0</v>
      </c>
      <c r="AW218" s="1005">
        <f t="shared" ca="1" si="14"/>
        <v>0</v>
      </c>
      <c r="AX218" s="1005">
        <f t="shared" ca="1" si="17"/>
        <v>0</v>
      </c>
      <c r="AY218" s="322">
        <v>0</v>
      </c>
    </row>
    <row r="219" spans="2:51" ht="15" customHeight="1">
      <c r="C219" s="311"/>
      <c r="H219" s="23"/>
      <c r="AS219" s="1190" t="s">
        <v>970</v>
      </c>
      <c r="AT219" s="1191">
        <f ca="1">AT220</f>
        <v>2520744.7105923761</v>
      </c>
      <c r="AU219" s="1191">
        <f ca="1">AU220</f>
        <v>2288467.0436729463</v>
      </c>
      <c r="AV219" s="1192">
        <f ca="1">IF(AU219=0,0,ROUND(AU219/AT219-1,4))</f>
        <v>-9.2100000000000001E-2</v>
      </c>
      <c r="AW219" s="1192">
        <f ca="1">AW220</f>
        <v>-1.7815269793160299E-2</v>
      </c>
      <c r="AX219" s="1192">
        <f t="shared" ca="1" si="17"/>
        <v>0.15125250092720929</v>
      </c>
      <c r="AY219" s="322">
        <f t="shared" ca="1" si="15"/>
        <v>1</v>
      </c>
    </row>
    <row r="220" spans="2:51" ht="15" customHeight="1">
      <c r="C220" s="311"/>
      <c r="H220" s="23"/>
      <c r="AS220" s="1003" t="s">
        <v>923</v>
      </c>
      <c r="AT220" s="1004">
        <f ca="1">J85</f>
        <v>2520744.7105923761</v>
      </c>
      <c r="AU220" s="1004">
        <f ca="1">Resultado!D33</f>
        <v>2288467.0436729463</v>
      </c>
      <c r="AV220" s="1005">
        <f ca="1">IF(AU220=0,0,ROUND(AU220/AT220-1,4))</f>
        <v>-9.2100000000000001E-2</v>
      </c>
      <c r="AW220" s="1005">
        <f ca="1">(AU220-AT220)/$AT$226</f>
        <v>-1.7815269793160299E-2</v>
      </c>
      <c r="AX220" s="1005">
        <f t="shared" ca="1" si="17"/>
        <v>0.15125250092720929</v>
      </c>
      <c r="AY220" s="322">
        <f t="shared" ca="1" si="15"/>
        <v>1</v>
      </c>
    </row>
    <row r="221" spans="2:51" ht="15" customHeight="1">
      <c r="AS221" s="1190" t="s">
        <v>971</v>
      </c>
      <c r="AT221" s="1191">
        <f ca="1">SUM(AT222:AT225)</f>
        <v>1746110.8875849585</v>
      </c>
      <c r="AU221" s="1191">
        <f>SUM(AU222:AU225)</f>
        <v>2300281.9677699995</v>
      </c>
      <c r="AV221" s="1192">
        <f ca="1">IF(AU221=0,0,ROUND(AU221/AT221-1,4))</f>
        <v>0.31740000000000002</v>
      </c>
      <c r="AW221" s="1192">
        <f ca="1">SUM(AW222:AW225)</f>
        <v>4.2503902488774885E-2</v>
      </c>
      <c r="AX221" s="1192">
        <f t="shared" ca="1" si="17"/>
        <v>0.15203338908676797</v>
      </c>
      <c r="AY221" s="322">
        <f t="shared" ca="1" si="15"/>
        <v>1</v>
      </c>
    </row>
    <row r="222" spans="2:51" ht="15" hidden="1" customHeight="1">
      <c r="AS222" s="1003" t="str">
        <f>Resultado!B25</f>
        <v>Rede Básica</v>
      </c>
      <c r="AT222" s="1004">
        <f ca="1">J87</f>
        <v>0</v>
      </c>
      <c r="AU222" s="1004">
        <f>Resultado!D25</f>
        <v>0</v>
      </c>
      <c r="AV222" s="1005"/>
      <c r="AW222" s="1005">
        <f ca="1">(AU222-AT222)/$AT$226</f>
        <v>0</v>
      </c>
      <c r="AX222" s="1005">
        <f t="shared" ca="1" si="17"/>
        <v>0</v>
      </c>
      <c r="AY222" s="322">
        <f t="shared" ca="1" si="15"/>
        <v>0</v>
      </c>
    </row>
    <row r="223" spans="2:51" ht="15" hidden="1" customHeight="1">
      <c r="AS223" s="1003" t="str">
        <f>Resultado!B26</f>
        <v>Rede Básica Fronteira</v>
      </c>
      <c r="AT223" s="1004">
        <f ca="1">J88</f>
        <v>0</v>
      </c>
      <c r="AU223" s="1004">
        <f>Resultado!D26</f>
        <v>0</v>
      </c>
      <c r="AV223" s="1005"/>
      <c r="AW223" s="1005">
        <f ca="1">(AU223-AT223)/$AT$226</f>
        <v>0</v>
      </c>
      <c r="AX223" s="1005">
        <f t="shared" ca="1" si="17"/>
        <v>0</v>
      </c>
      <c r="AY223" s="322">
        <f t="shared" ca="1" si="15"/>
        <v>0</v>
      </c>
    </row>
    <row r="224" spans="2:51" ht="15" hidden="1" customHeight="1">
      <c r="H224" s="23"/>
      <c r="AS224" s="1003" t="str">
        <f>Resultado!B31</f>
        <v>Conexão</v>
      </c>
      <c r="AT224" s="1004">
        <f ca="1">J93</f>
        <v>0</v>
      </c>
      <c r="AU224" s="1004">
        <f>Resultado!D31</f>
        <v>0</v>
      </c>
      <c r="AV224" s="1005">
        <f t="shared" si="13"/>
        <v>0</v>
      </c>
      <c r="AW224" s="1005">
        <f ca="1">(AU224-AT224)/$AT$226</f>
        <v>0</v>
      </c>
      <c r="AX224" s="1005">
        <f t="shared" ca="1" si="17"/>
        <v>0</v>
      </c>
      <c r="AY224" s="322">
        <f t="shared" ca="1" si="15"/>
        <v>0</v>
      </c>
    </row>
    <row r="225" spans="2:51" ht="15" customHeight="1">
      <c r="H225" s="23"/>
      <c r="AS225" s="1003" t="str">
        <f>Resultado!B32</f>
        <v>Uso do sistema de distribuição</v>
      </c>
      <c r="AT225" s="1004">
        <f ca="1">J94</f>
        <v>1746110.8875849585</v>
      </c>
      <c r="AU225" s="1004">
        <f>Resultado!D32</f>
        <v>2300281.9677699995</v>
      </c>
      <c r="AV225" s="1005">
        <f ca="1">IF(AU225=0,0,ROUND(AU225/AT225-1,4))</f>
        <v>0.31740000000000002</v>
      </c>
      <c r="AW225" s="1005">
        <f ca="1">(AU225-AT225)/$AT$226</f>
        <v>4.2503902488774885E-2</v>
      </c>
      <c r="AX225" s="1005">
        <f t="shared" ca="1" si="17"/>
        <v>0.15203338908676797</v>
      </c>
      <c r="AY225" s="322">
        <f t="shared" ca="1" si="15"/>
        <v>1</v>
      </c>
    </row>
    <row r="226" spans="2:51" ht="15" hidden="1" customHeight="1">
      <c r="C226" s="19"/>
      <c r="AS226" s="1190" t="s">
        <v>972</v>
      </c>
      <c r="AT226" s="1191">
        <f ca="1">Mercado_RA0_Reais</f>
        <v>13038122.330799989</v>
      </c>
      <c r="AU226" s="1191">
        <f ca="1">AU208+AU219+AU221+AU228</f>
        <v>15130110.442102889</v>
      </c>
      <c r="AV226" s="1193"/>
      <c r="AW226" s="1193"/>
      <c r="AX226" s="1192">
        <f t="shared" ca="1" si="17"/>
        <v>1</v>
      </c>
      <c r="AY226" s="322">
        <f t="shared" si="15"/>
        <v>0</v>
      </c>
    </row>
    <row r="227" spans="2:51" ht="15" customHeight="1">
      <c r="C227" s="19"/>
      <c r="AS227" s="1194" t="s">
        <v>973</v>
      </c>
      <c r="AT227" s="1195">
        <f ca="1">AT208+AT219+AT221</f>
        <v>5387938.3332084399</v>
      </c>
      <c r="AU227" s="1195">
        <f ca="1">AU208+AU219+AU221</f>
        <v>6243414.1868889704</v>
      </c>
      <c r="AV227" s="1196">
        <f ca="1">IF(AU227=0,0,ROUND(AU227/AT227-1,4))</f>
        <v>0.1588</v>
      </c>
      <c r="AW227" s="1196">
        <f ca="1">(AU227-AT227)/AT226</f>
        <v>6.5613424385475946E-2</v>
      </c>
      <c r="AX227" s="1196">
        <f t="shared" ca="1" si="17"/>
        <v>0.41264828903794948</v>
      </c>
      <c r="AY227" s="322">
        <f t="shared" ca="1" si="15"/>
        <v>1</v>
      </c>
    </row>
    <row r="228" spans="2:51" ht="15" customHeight="1">
      <c r="B228" s="28"/>
      <c r="C228" s="19"/>
      <c r="AS228" s="1194" t="s">
        <v>974</v>
      </c>
      <c r="AT228" s="1195">
        <f ca="1">AT226-AT227</f>
        <v>7650183.9975915495</v>
      </c>
      <c r="AU228" s="1195">
        <f>Resultado!D39</f>
        <v>8886696.2552139182</v>
      </c>
      <c r="AV228" s="1196">
        <f ca="1">IF(AU228=0,0,ROUND(AU228/AT228-1,4))</f>
        <v>0.16159999999999999</v>
      </c>
      <c r="AW228" s="1196">
        <f ca="1">(AU228-AT228)/AT226</f>
        <v>9.483821567629816E-2</v>
      </c>
      <c r="AX228" s="1196">
        <f t="shared" ca="1" si="17"/>
        <v>0.58735171096205052</v>
      </c>
      <c r="AY228" s="322">
        <f t="shared" ca="1" si="15"/>
        <v>1</v>
      </c>
    </row>
    <row r="229" spans="2:51" ht="15" customHeight="1">
      <c r="AS229" s="1197" t="str">
        <f>Resultado!B7</f>
        <v>Variação econômica</v>
      </c>
      <c r="AT229" s="1197"/>
      <c r="AU229" s="1197"/>
      <c r="AV229" s="1198"/>
      <c r="AW229" s="1199">
        <f ca="1">ROUND((AU228+AU227)/(AT227+AT228)-1,4)</f>
        <v>0.1605</v>
      </c>
      <c r="AX229" s="1198"/>
      <c r="AY229" s="322">
        <v>1</v>
      </c>
    </row>
    <row r="230" spans="2:51" ht="15" hidden="1" customHeight="1">
      <c r="AS230" s="1006"/>
      <c r="AT230" s="1006"/>
      <c r="AU230" s="1006"/>
      <c r="AV230" s="1007"/>
      <c r="AW230" s="1008"/>
      <c r="AX230" s="1008"/>
      <c r="AY230" s="322">
        <f t="shared" si="15"/>
        <v>0</v>
      </c>
    </row>
    <row r="231" spans="2:51" ht="15" customHeight="1">
      <c r="AS231" s="1190" t="s">
        <v>975</v>
      </c>
      <c r="AT231" s="1200"/>
      <c r="AU231" s="1200"/>
      <c r="AV231" s="1201"/>
      <c r="AW231" s="1192" t="s">
        <v>976</v>
      </c>
      <c r="AX231" s="1192"/>
      <c r="AY231" s="322">
        <v>1</v>
      </c>
    </row>
    <row r="232" spans="2:51" ht="15" customHeight="1">
      <c r="AS232" s="1009" t="str">
        <f>Financeiros!C9</f>
        <v>Repasse de PIS COFINS</v>
      </c>
      <c r="AT232" s="1009"/>
      <c r="AU232" s="1010">
        <f>LnkTXTPISCOFINS</f>
        <v>200363.99033587321</v>
      </c>
      <c r="AV232" s="1011"/>
      <c r="AW232" s="1011">
        <f ca="1">LnkTXTPISCOFINSPer</f>
        <v>1.5367549502320043E-2</v>
      </c>
      <c r="AX232" s="1008"/>
      <c r="AY232" s="322">
        <f ca="1">IF(AW232=0,0,1)</f>
        <v>1</v>
      </c>
    </row>
    <row r="233" spans="2:51" ht="15" customHeight="1">
      <c r="B233" s="345"/>
      <c r="C233" s="346"/>
      <c r="D233" s="346"/>
      <c r="E233" s="346"/>
      <c r="F233" s="346"/>
      <c r="G233" s="346"/>
      <c r="H233" s="346"/>
      <c r="AS233" s="1009" t="str">
        <f>AM166</f>
        <v>Neutralidade Encargos Setoriais</v>
      </c>
      <c r="AT233" s="1009"/>
      <c r="AU233" s="1010">
        <f ca="1">LnkTXTNeutralidade</f>
        <v>50464.011495475403</v>
      </c>
      <c r="AV233" s="1011"/>
      <c r="AW233" s="1005">
        <f ca="1">AU233/Financeiros!$D$4</f>
        <v>3.8704968564579382E-3</v>
      </c>
      <c r="AX233" s="1008"/>
      <c r="AY233" s="322">
        <f t="shared" ref="AY233:AY241" ca="1" si="18">IF(AW233=0,0,1)</f>
        <v>1</v>
      </c>
    </row>
    <row r="234" spans="2:51" ht="15" hidden="1" customHeight="1">
      <c r="B234" s="347"/>
      <c r="C234" s="348"/>
      <c r="D234" s="348"/>
      <c r="E234" s="348"/>
      <c r="F234" s="349"/>
      <c r="G234" s="349"/>
      <c r="H234" s="349"/>
      <c r="AS234" s="1012" t="str">
        <f>AM167</f>
        <v>Neutralidade Financeiros e Encargos Conta Covid</v>
      </c>
      <c r="AT234" s="1012"/>
      <c r="AU234" s="1013">
        <f ca="1">AN167</f>
        <v>0</v>
      </c>
      <c r="AV234" s="1012"/>
      <c r="AW234" s="1005">
        <f ca="1">AU234/Financeiros!$D$4</f>
        <v>0</v>
      </c>
      <c r="AX234" s="1008"/>
      <c r="AY234" s="322">
        <f t="shared" ca="1" si="18"/>
        <v>0</v>
      </c>
    </row>
    <row r="235" spans="2:51" ht="15" hidden="1" customHeight="1">
      <c r="B235" s="347"/>
      <c r="C235" s="348"/>
      <c r="D235" s="348"/>
      <c r="E235" s="348"/>
      <c r="F235" s="349"/>
      <c r="G235" s="349"/>
      <c r="H235" s="349"/>
      <c r="AS235" s="1012" t="str">
        <f t="shared" ref="AS235:AS246" si="19">AM169</f>
        <v>Ajustes Processos anteriores</v>
      </c>
      <c r="AT235" s="1012"/>
      <c r="AU235" s="1013">
        <f t="shared" ref="AU235:AU246" si="20">AN169</f>
        <v>0</v>
      </c>
      <c r="AV235" s="1011"/>
      <c r="AW235" s="1005">
        <f ca="1">AU235/Financeiros!$D$4</f>
        <v>0</v>
      </c>
      <c r="AX235" s="1008"/>
      <c r="AY235" s="322">
        <f t="shared" ca="1" si="18"/>
        <v>0</v>
      </c>
    </row>
    <row r="236" spans="2:51" ht="15" hidden="1" customHeight="1">
      <c r="B236" s="347"/>
      <c r="C236" s="348"/>
      <c r="D236" s="348"/>
      <c r="E236" s="348"/>
      <c r="F236" s="349"/>
      <c r="G236" s="349"/>
      <c r="H236" s="349"/>
      <c r="AS236" s="1012" t="str">
        <f t="shared" si="19"/>
        <v>Ajuste CUST + PISCONFINS Transmissão</v>
      </c>
      <c r="AT236" s="1012"/>
      <c r="AU236" s="1013">
        <f t="shared" si="20"/>
        <v>0</v>
      </c>
      <c r="AV236" s="1011"/>
      <c r="AW236" s="1005">
        <f ca="1">AU236/Financeiros!$D$4</f>
        <v>0</v>
      </c>
      <c r="AX236" s="1008"/>
      <c r="AY236" s="322">
        <f t="shared" ca="1" si="18"/>
        <v>0</v>
      </c>
    </row>
    <row r="237" spans="2:51" ht="15" customHeight="1">
      <c r="B237" s="347"/>
      <c r="C237" s="348"/>
      <c r="D237" s="348"/>
      <c r="E237" s="348"/>
      <c r="F237" s="349"/>
      <c r="G237" s="349"/>
      <c r="H237" s="349"/>
      <c r="AS237" s="1012" t="str">
        <f t="shared" si="19"/>
        <v>Compensação DIC FIC</v>
      </c>
      <c r="AT237" s="1012"/>
      <c r="AU237" s="1013">
        <f t="shared" si="20"/>
        <v>-154215.46</v>
      </c>
      <c r="AV237" s="1011"/>
      <c r="AW237" s="1005">
        <f ca="1">AU237/Financeiros!$D$4</f>
        <v>-1.1828042112758555E-2</v>
      </c>
      <c r="AX237" s="1008"/>
      <c r="AY237" s="322">
        <f t="shared" ca="1" si="18"/>
        <v>1</v>
      </c>
    </row>
    <row r="238" spans="2:51" ht="15" customHeight="1">
      <c r="B238" s="347"/>
      <c r="C238" s="348"/>
      <c r="D238" s="348"/>
      <c r="E238" s="348"/>
      <c r="F238" s="349"/>
      <c r="G238" s="349"/>
      <c r="H238" s="349"/>
      <c r="AS238" s="1012" t="str">
        <f t="shared" si="19"/>
        <v>Subvenção CDE</v>
      </c>
      <c r="AT238" s="1012"/>
      <c r="AU238" s="1013">
        <f t="shared" ca="1" si="20"/>
        <v>-2630709.1586146285</v>
      </c>
      <c r="AV238" s="1011"/>
      <c r="AW238" s="1005">
        <f ca="1">AU238/Financeiros!$D$4</f>
        <v>-0.20177055344848988</v>
      </c>
      <c r="AX238" s="1008"/>
      <c r="AY238" s="322">
        <f t="shared" ca="1" si="18"/>
        <v>1</v>
      </c>
    </row>
    <row r="239" spans="2:51" ht="15" customHeight="1">
      <c r="B239" s="347"/>
      <c r="C239" s="348"/>
      <c r="D239" s="348"/>
      <c r="E239" s="348"/>
      <c r="F239" s="349"/>
      <c r="G239" s="349"/>
      <c r="H239" s="349"/>
      <c r="AS239" s="1012" t="str">
        <f t="shared" si="19"/>
        <v>Retenção de Adicionais de Bandeiras Tarifárias</v>
      </c>
      <c r="AT239" s="1012"/>
      <c r="AU239" s="1013">
        <f t="shared" si="20"/>
        <v>-130410.99266452562</v>
      </c>
      <c r="AV239" s="1011"/>
      <c r="AW239" s="1005">
        <f ca="1">AU239/Financeiros!$D$4</f>
        <v>-1.0002283254886741E-2</v>
      </c>
      <c r="AX239" s="1008"/>
      <c r="AY239" s="322">
        <f t="shared" ca="1" si="18"/>
        <v>1</v>
      </c>
    </row>
    <row r="240" spans="2:51" ht="15" hidden="1" customHeight="1">
      <c r="B240" s="347"/>
      <c r="C240" s="348"/>
      <c r="D240" s="348"/>
      <c r="E240" s="348"/>
      <c r="F240" s="349"/>
      <c r="G240" s="349"/>
      <c r="H240" s="349"/>
      <c r="AS240" s="1012" t="str">
        <f t="shared" si="19"/>
        <v>Conta Covid-19</v>
      </c>
      <c r="AT240" s="1012"/>
      <c r="AU240" s="1013">
        <f t="shared" si="20"/>
        <v>0</v>
      </c>
      <c r="AV240" s="1011"/>
      <c r="AW240" s="1005">
        <f ca="1">AU240/Financeiros!$D$4</f>
        <v>0</v>
      </c>
      <c r="AX240" s="1008"/>
      <c r="AY240" s="322">
        <f t="shared" ca="1" si="18"/>
        <v>0</v>
      </c>
    </row>
    <row r="241" spans="2:51" ht="15" hidden="1" customHeight="1">
      <c r="B241" s="347"/>
      <c r="C241" s="348"/>
      <c r="D241" s="348"/>
      <c r="E241" s="348"/>
      <c r="F241" s="349"/>
      <c r="G241" s="349"/>
      <c r="H241" s="349"/>
      <c r="AS241" s="1012" t="str">
        <f t="shared" si="19"/>
        <v>Repasse de ICMS</v>
      </c>
      <c r="AT241" s="1012"/>
      <c r="AU241" s="1013">
        <f t="shared" si="20"/>
        <v>0</v>
      </c>
      <c r="AV241" s="1011"/>
      <c r="AW241" s="1005">
        <f ca="1">AU241/Financeiros!$D$4</f>
        <v>0</v>
      </c>
      <c r="AX241" s="1008"/>
      <c r="AY241" s="322">
        <f t="shared" ca="1" si="18"/>
        <v>0</v>
      </c>
    </row>
    <row r="242" spans="2:51" ht="15" customHeight="1">
      <c r="B242" s="347"/>
      <c r="C242" s="348"/>
      <c r="D242" s="348"/>
      <c r="E242" s="348"/>
      <c r="F242" s="349"/>
      <c r="G242" s="349"/>
      <c r="H242" s="349"/>
      <c r="AS242" s="1012" t="str">
        <f t="shared" si="19"/>
        <v>Crédito Pis Cofins sobre ICMS</v>
      </c>
      <c r="AT242" s="1012"/>
      <c r="AU242" s="1013">
        <f t="shared" si="20"/>
        <v>-216318.95200995237</v>
      </c>
      <c r="AV242" s="1011"/>
      <c r="AW242" s="1005">
        <f ca="1">AU242/Financeiros!$D$4</f>
        <v>-1.6591265714614563E-2</v>
      </c>
      <c r="AX242" s="1008"/>
      <c r="AY242" s="996">
        <f ca="1">IF(AW242=0,0,1)</f>
        <v>1</v>
      </c>
    </row>
    <row r="243" spans="2:51" ht="15" hidden="1" customHeight="1">
      <c r="B243" s="347"/>
      <c r="C243" s="348"/>
      <c r="D243" s="348"/>
      <c r="E243" s="348"/>
      <c r="F243" s="349"/>
      <c r="G243" s="349"/>
      <c r="H243" s="349"/>
      <c r="AS243" s="1012" t="str">
        <f t="shared" si="19"/>
        <v>Previsão de Risco Hidrologico</v>
      </c>
      <c r="AT243" s="1012"/>
      <c r="AU243" s="1013">
        <f t="shared" si="20"/>
        <v>0</v>
      </c>
      <c r="AV243" s="1011"/>
      <c r="AW243" s="1005">
        <f ca="1">AU243/Financeiros!$D$4</f>
        <v>0</v>
      </c>
      <c r="AX243" s="1008"/>
      <c r="AY243" s="996">
        <f t="shared" ref="AY243:AY245" ca="1" si="21">IF(AW243=0,0,1)</f>
        <v>0</v>
      </c>
    </row>
    <row r="244" spans="2:51" ht="15" hidden="1" customHeight="1">
      <c r="B244" s="347"/>
      <c r="C244" s="348"/>
      <c r="D244" s="348"/>
      <c r="E244" s="348"/>
      <c r="F244" s="349"/>
      <c r="G244" s="349"/>
      <c r="H244" s="349"/>
      <c r="AS244" s="1012" t="str">
        <f t="shared" si="19"/>
        <v>Efeito COVID da Supridora</v>
      </c>
      <c r="AT244" s="1012"/>
      <c r="AU244" s="1013">
        <f t="shared" si="20"/>
        <v>0</v>
      </c>
      <c r="AV244" s="1011"/>
      <c r="AW244" s="1005">
        <f ca="1">AU244/Financeiros!$D$4</f>
        <v>0</v>
      </c>
      <c r="AX244" s="1008"/>
      <c r="AY244" s="996">
        <f t="shared" ca="1" si="21"/>
        <v>0</v>
      </c>
    </row>
    <row r="245" spans="2:51" ht="15" hidden="1" customHeight="1">
      <c r="B245" s="347"/>
      <c r="C245" s="348"/>
      <c r="D245" s="348"/>
      <c r="E245" s="348"/>
      <c r="F245" s="349"/>
      <c r="G245" s="349"/>
      <c r="H245" s="349"/>
      <c r="AS245" s="1012" t="str">
        <f t="shared" si="19"/>
        <v>Diferimento Pis Cofins</v>
      </c>
      <c r="AT245" s="1012"/>
      <c r="AU245" s="1013">
        <f t="shared" si="20"/>
        <v>0</v>
      </c>
      <c r="AV245" s="1011"/>
      <c r="AW245" s="1005">
        <f ca="1">AU245/Financeiros!$D$4</f>
        <v>0</v>
      </c>
      <c r="AX245" s="1008"/>
      <c r="AY245" s="996">
        <f t="shared" ca="1" si="21"/>
        <v>0</v>
      </c>
    </row>
    <row r="246" spans="2:51" ht="15" hidden="1" customHeight="1">
      <c r="B246" s="347"/>
      <c r="C246" s="348"/>
      <c r="D246" s="348"/>
      <c r="E246" s="348"/>
      <c r="F246" s="349"/>
      <c r="G246" s="349"/>
      <c r="H246" s="349"/>
      <c r="AS246" s="1012" t="str">
        <f t="shared" si="19"/>
        <v>Financeiros associados ao §7º do Art. 88 da Ren 414/2021</v>
      </c>
      <c r="AT246" s="1012"/>
      <c r="AU246" s="1013">
        <f t="shared" si="20"/>
        <v>0</v>
      </c>
      <c r="AV246" s="1011"/>
      <c r="AW246" s="1005">
        <f ca="1">AU246/Financeiros!$D$4</f>
        <v>0</v>
      </c>
      <c r="AX246" s="1008"/>
      <c r="AY246" s="996">
        <f t="shared" ref="AY246:AY250" ca="1" si="22">IF(AW246=0,0,1)</f>
        <v>0</v>
      </c>
    </row>
    <row r="247" spans="2:51" ht="15" hidden="1" customHeight="1">
      <c r="B247" s="347"/>
      <c r="C247" s="348"/>
      <c r="D247" s="348"/>
      <c r="E247" s="348"/>
      <c r="F247" s="349"/>
      <c r="G247" s="349"/>
      <c r="H247" s="349"/>
      <c r="AS247" s="1012">
        <f t="shared" ref="AS247:AS249" si="23">AM181</f>
        <v>0</v>
      </c>
      <c r="AT247" s="1012"/>
      <c r="AU247" s="1013">
        <f t="shared" ref="AU247:AU249" si="24">AN181</f>
        <v>0</v>
      </c>
      <c r="AV247" s="1011"/>
      <c r="AW247" s="1005">
        <f ca="1">AU247/Financeiros!$D$4</f>
        <v>0</v>
      </c>
      <c r="AX247" s="1008"/>
      <c r="AY247" s="996">
        <f t="shared" ref="AY247:AY249" ca="1" si="25">IF(AW247=0,0,1)</f>
        <v>0</v>
      </c>
    </row>
    <row r="248" spans="2:51" ht="15" hidden="1" customHeight="1">
      <c r="B248" s="347"/>
      <c r="C248" s="348"/>
      <c r="D248" s="348"/>
      <c r="E248" s="348"/>
      <c r="F248" s="349"/>
      <c r="G248" s="349"/>
      <c r="H248" s="349"/>
      <c r="AS248" s="1012">
        <f t="shared" si="23"/>
        <v>0</v>
      </c>
      <c r="AT248" s="1012"/>
      <c r="AU248" s="1013">
        <f t="shared" si="24"/>
        <v>0</v>
      </c>
      <c r="AV248" s="1011"/>
      <c r="AW248" s="1005">
        <f ca="1">AU248/Financeiros!$D$4</f>
        <v>0</v>
      </c>
      <c r="AX248" s="1008"/>
      <c r="AY248" s="996">
        <f t="shared" ca="1" si="25"/>
        <v>0</v>
      </c>
    </row>
    <row r="249" spans="2:51" ht="15" hidden="1" customHeight="1">
      <c r="B249" s="347"/>
      <c r="C249" s="348"/>
      <c r="D249" s="348"/>
      <c r="E249" s="348"/>
      <c r="F249" s="349"/>
      <c r="G249" s="349"/>
      <c r="H249" s="349"/>
      <c r="AS249" s="1012">
        <f t="shared" si="23"/>
        <v>0</v>
      </c>
      <c r="AT249" s="1012"/>
      <c r="AU249" s="1013">
        <f t="shared" si="24"/>
        <v>0</v>
      </c>
      <c r="AV249" s="1011"/>
      <c r="AW249" s="1005">
        <f ca="1">AU249/Financeiros!$D$4</f>
        <v>0</v>
      </c>
      <c r="AX249" s="1008"/>
      <c r="AY249" s="996">
        <f t="shared" ca="1" si="25"/>
        <v>0</v>
      </c>
    </row>
    <row r="250" spans="2:51" ht="15" hidden="1" customHeight="1">
      <c r="B250" s="347"/>
      <c r="C250" s="348"/>
      <c r="D250" s="348"/>
      <c r="E250" s="348"/>
      <c r="F250" s="349"/>
      <c r="G250" s="349"/>
      <c r="H250" s="349"/>
      <c r="AS250" s="1012">
        <f>AM184</f>
        <v>0</v>
      </c>
      <c r="AT250" s="1012"/>
      <c r="AU250" s="1013">
        <f>AN184</f>
        <v>0</v>
      </c>
      <c r="AV250" s="1011"/>
      <c r="AW250" s="1005">
        <f ca="1">AU250/Financeiros!$D$4</f>
        <v>0</v>
      </c>
      <c r="AX250" s="1008"/>
      <c r="AY250" s="996">
        <f t="shared" ca="1" si="22"/>
        <v>0</v>
      </c>
    </row>
    <row r="251" spans="2:51" ht="15" hidden="1" customHeight="1">
      <c r="B251" s="347"/>
      <c r="C251" s="348"/>
      <c r="D251" s="348"/>
      <c r="E251" s="348"/>
      <c r="F251" s="349"/>
      <c r="G251" s="349"/>
      <c r="H251" s="349"/>
      <c r="AS251" s="1012">
        <f>AM185</f>
        <v>0</v>
      </c>
      <c r="AT251" s="1012"/>
      <c r="AU251" s="1013">
        <f>AN185</f>
        <v>0</v>
      </c>
      <c r="AV251" s="1011"/>
      <c r="AW251" s="1005">
        <f ca="1">AU251/Financeiros!$D$4</f>
        <v>0</v>
      </c>
      <c r="AX251" s="1008"/>
      <c r="AY251" s="996">
        <f t="shared" ref="AY251:AY252" ca="1" si="26">IF(AW251=0,0,1)</f>
        <v>0</v>
      </c>
    </row>
    <row r="252" spans="2:51" ht="15" hidden="1" customHeight="1">
      <c r="B252" s="347"/>
      <c r="C252" s="348"/>
      <c r="D252" s="348"/>
      <c r="E252" s="348"/>
      <c r="F252" s="349"/>
      <c r="G252" s="349"/>
      <c r="H252" s="349"/>
      <c r="AS252" s="1012">
        <f>AM186</f>
        <v>0</v>
      </c>
      <c r="AT252" s="1012"/>
      <c r="AU252" s="1013">
        <f>AN186</f>
        <v>0</v>
      </c>
      <c r="AV252" s="1011"/>
      <c r="AW252" s="1005">
        <f ca="1">AU252/Financeiros!$D$4</f>
        <v>0</v>
      </c>
      <c r="AX252" s="1008"/>
      <c r="AY252" s="996">
        <f t="shared" ca="1" si="26"/>
        <v>0</v>
      </c>
    </row>
    <row r="253" spans="2:51" ht="15" hidden="1" customHeight="1">
      <c r="B253" s="347"/>
      <c r="C253" s="348"/>
      <c r="D253" s="348"/>
      <c r="E253" s="348"/>
      <c r="F253" s="349"/>
      <c r="G253" s="349"/>
      <c r="H253" s="349"/>
      <c r="AS253" s="1012" t="str">
        <f t="shared" ref="AS253:AS260" si="27">AM187</f>
        <v>CVE Energia</v>
      </c>
      <c r="AT253" s="1012"/>
      <c r="AU253" s="1013">
        <f t="shared" ref="AU253:AU260" ca="1" si="28">AN187</f>
        <v>0</v>
      </c>
      <c r="AV253" s="1011"/>
      <c r="AW253" s="1005">
        <f ca="1">AU253/Financeiros!$D$4</f>
        <v>0</v>
      </c>
      <c r="AX253" s="1008"/>
      <c r="AY253" s="996">
        <f t="shared" ref="AY253:AY260" ca="1" si="29">IF(AW253=0,0,1)</f>
        <v>0</v>
      </c>
    </row>
    <row r="254" spans="2:51" ht="15" hidden="1" customHeight="1">
      <c r="B254" s="347"/>
      <c r="C254" s="348"/>
      <c r="D254" s="348"/>
      <c r="E254" s="348"/>
      <c r="F254" s="349"/>
      <c r="G254" s="349"/>
      <c r="H254" s="349"/>
      <c r="AS254" s="1012" t="str">
        <f t="shared" si="27"/>
        <v>CVE Encargos</v>
      </c>
      <c r="AT254" s="1012"/>
      <c r="AU254" s="1013">
        <f t="shared" si="28"/>
        <v>0</v>
      </c>
      <c r="AV254" s="1011"/>
      <c r="AW254" s="1005">
        <f ca="1">AU254/Financeiros!$D$4</f>
        <v>0</v>
      </c>
      <c r="AX254" s="1008"/>
      <c r="AY254" s="996">
        <f t="shared" ca="1" si="29"/>
        <v>0</v>
      </c>
    </row>
    <row r="255" spans="2:51" ht="15" hidden="1" customHeight="1">
      <c r="B255" s="347"/>
      <c r="C255" s="348"/>
      <c r="D255" s="348"/>
      <c r="E255" s="348"/>
      <c r="F255" s="349"/>
      <c r="G255" s="349"/>
      <c r="H255" s="349"/>
      <c r="AS255" s="1012" t="str">
        <f t="shared" si="27"/>
        <v>Conta Escassez Hídrica</v>
      </c>
      <c r="AT255" s="1012"/>
      <c r="AU255" s="1013">
        <f t="shared" ca="1" si="28"/>
        <v>0</v>
      </c>
      <c r="AV255" s="1011"/>
      <c r="AW255" s="1005">
        <f ca="1">AU255/Financeiros!$D$4</f>
        <v>0</v>
      </c>
      <c r="AX255" s="1008"/>
      <c r="AY255" s="996">
        <f t="shared" ca="1" si="29"/>
        <v>0</v>
      </c>
    </row>
    <row r="256" spans="2:51" ht="15" hidden="1" customHeight="1">
      <c r="B256" s="347"/>
      <c r="C256" s="348"/>
      <c r="D256" s="348"/>
      <c r="E256" s="348"/>
      <c r="F256" s="349"/>
      <c r="G256" s="349"/>
      <c r="H256" s="349"/>
      <c r="AS256" s="1012">
        <f t="shared" si="27"/>
        <v>0</v>
      </c>
      <c r="AT256" s="1012"/>
      <c r="AU256" s="1013">
        <f t="shared" si="28"/>
        <v>0</v>
      </c>
      <c r="AV256" s="1011"/>
      <c r="AW256" s="1005">
        <f ca="1">AU256/Financeiros!$D$4</f>
        <v>0</v>
      </c>
      <c r="AX256" s="1008"/>
      <c r="AY256" s="996">
        <f t="shared" ca="1" si="29"/>
        <v>0</v>
      </c>
    </row>
    <row r="257" spans="2:84" ht="15" hidden="1" customHeight="1">
      <c r="B257" s="347"/>
      <c r="C257" s="348"/>
      <c r="D257" s="348"/>
      <c r="E257" s="348"/>
      <c r="F257" s="349"/>
      <c r="G257" s="349"/>
      <c r="H257" s="349"/>
      <c r="AS257" s="1012">
        <f t="shared" si="27"/>
        <v>0</v>
      </c>
      <c r="AT257" s="1012"/>
      <c r="AU257" s="1013">
        <f t="shared" si="28"/>
        <v>0</v>
      </c>
      <c r="AV257" s="1011"/>
      <c r="AW257" s="1005">
        <f ca="1">AU257/Financeiros!$D$4</f>
        <v>0</v>
      </c>
      <c r="AX257" s="1008"/>
      <c r="AY257" s="996">
        <f t="shared" ca="1" si="29"/>
        <v>0</v>
      </c>
    </row>
    <row r="258" spans="2:84" ht="15" hidden="1" customHeight="1">
      <c r="B258" s="347"/>
      <c r="C258" s="348"/>
      <c r="D258" s="348"/>
      <c r="E258" s="348"/>
      <c r="F258" s="349"/>
      <c r="G258" s="349"/>
      <c r="H258" s="349"/>
      <c r="AS258" s="1012">
        <f t="shared" si="27"/>
        <v>0</v>
      </c>
      <c r="AT258" s="1012"/>
      <c r="AU258" s="1013">
        <f t="shared" si="28"/>
        <v>0</v>
      </c>
      <c r="AV258" s="1011"/>
      <c r="AW258" s="1005">
        <f ca="1">AU258/Financeiros!$D$4</f>
        <v>0</v>
      </c>
      <c r="AX258" s="1008"/>
      <c r="AY258" s="996">
        <f t="shared" ca="1" si="29"/>
        <v>0</v>
      </c>
    </row>
    <row r="259" spans="2:84" ht="15" hidden="1" customHeight="1">
      <c r="B259" s="347"/>
      <c r="C259" s="348"/>
      <c r="D259" s="348"/>
      <c r="E259" s="348"/>
      <c r="F259" s="349"/>
      <c r="G259" s="349"/>
      <c r="H259" s="349"/>
      <c r="AS259" s="1012">
        <f t="shared" si="27"/>
        <v>0</v>
      </c>
      <c r="AT259" s="1012"/>
      <c r="AU259" s="1013">
        <f t="shared" si="28"/>
        <v>0</v>
      </c>
      <c r="AV259" s="1011"/>
      <c r="AW259" s="1005">
        <f ca="1">AU259/Financeiros!$D$4</f>
        <v>0</v>
      </c>
      <c r="AX259" s="1008"/>
      <c r="AY259" s="996">
        <f t="shared" ca="1" si="29"/>
        <v>0</v>
      </c>
    </row>
    <row r="260" spans="2:84" ht="15" hidden="1" customHeight="1">
      <c r="B260" s="347"/>
      <c r="C260" s="348"/>
      <c r="D260" s="348"/>
      <c r="E260" s="348"/>
      <c r="F260" s="349"/>
      <c r="G260" s="349"/>
      <c r="H260" s="349"/>
      <c r="AS260" s="1012">
        <f t="shared" si="27"/>
        <v>0</v>
      </c>
      <c r="AT260" s="1012"/>
      <c r="AU260" s="1013">
        <f t="shared" si="28"/>
        <v>0</v>
      </c>
      <c r="AV260" s="1011"/>
      <c r="AW260" s="1005">
        <f ca="1">AU260/Financeiros!$D$4</f>
        <v>0</v>
      </c>
      <c r="AX260" s="1008"/>
      <c r="AY260" s="996">
        <f t="shared" ca="1" si="29"/>
        <v>0</v>
      </c>
    </row>
    <row r="261" spans="2:84" ht="15" customHeight="1">
      <c r="B261" s="347"/>
      <c r="C261" s="350"/>
      <c r="D261" s="350"/>
      <c r="E261" s="348"/>
      <c r="F261" s="349"/>
      <c r="G261" s="349"/>
      <c r="H261" s="349"/>
      <c r="AS261" s="1197" t="s">
        <v>977</v>
      </c>
      <c r="AT261" s="1197"/>
      <c r="AU261" s="1202">
        <f ca="1">SUM(AU232:AU252)</f>
        <v>-2880826.5614577578</v>
      </c>
      <c r="AV261" s="1203"/>
      <c r="AW261" s="1203">
        <f ca="1">ROUND(SUM(AW232:AW252),4)</f>
        <v>-0.221</v>
      </c>
      <c r="AX261" s="1203"/>
      <c r="AY261" s="322">
        <v>1</v>
      </c>
    </row>
    <row r="262" spans="2:84" ht="15" customHeight="1">
      <c r="B262" s="347"/>
      <c r="C262" s="348"/>
      <c r="D262" s="348"/>
      <c r="E262" s="348"/>
      <c r="F262" s="349"/>
      <c r="G262" s="349"/>
      <c r="H262" s="349"/>
      <c r="AS262" s="1204" t="str">
        <f>Resultado!B9</f>
        <v>Variação econômica e financeira</v>
      </c>
      <c r="AT262" s="1204"/>
      <c r="AU262" s="1204"/>
      <c r="AV262" s="1205"/>
      <c r="AW262" s="1205">
        <f ca="1">ROUND(AW229+AW261,4)</f>
        <v>-6.0499999999999998E-2</v>
      </c>
      <c r="AX262" s="1205"/>
      <c r="AY262" s="322">
        <v>1</v>
      </c>
    </row>
    <row r="263" spans="2:84" ht="15" customHeight="1">
      <c r="B263" s="347"/>
      <c r="C263" s="351"/>
      <c r="D263" s="347"/>
      <c r="E263" s="348"/>
      <c r="F263" s="349"/>
      <c r="G263" s="349"/>
      <c r="H263" s="352"/>
      <c r="AS263" s="1197" t="s">
        <v>978</v>
      </c>
      <c r="AT263" s="1197"/>
      <c r="AU263" s="1197"/>
      <c r="AV263" s="1197"/>
      <c r="AW263" s="1206">
        <f ca="1">ROUND(AW265-AW262,4)</f>
        <v>0.20480000000000001</v>
      </c>
      <c r="AX263" s="1206"/>
      <c r="AY263" s="322">
        <v>1</v>
      </c>
    </row>
    <row r="264" spans="2:84" ht="26.25" hidden="1" customHeight="1">
      <c r="B264" s="347"/>
      <c r="C264" s="351"/>
      <c r="D264" s="347"/>
      <c r="E264" s="348"/>
      <c r="F264" s="349"/>
      <c r="G264" s="349"/>
      <c r="H264" s="352"/>
      <c r="AS264" s="1207" t="s">
        <v>979</v>
      </c>
      <c r="AT264" s="1207"/>
      <c r="AU264" s="1202"/>
      <c r="AV264" s="1202"/>
      <c r="AW264" s="1208">
        <v>0</v>
      </c>
      <c r="AX264" s="1209"/>
      <c r="AY264" s="322">
        <f t="shared" si="15"/>
        <v>0</v>
      </c>
      <c r="BA264" s="794"/>
    </row>
    <row r="265" spans="2:84" ht="15" customHeight="1">
      <c r="B265" s="347"/>
      <c r="C265" s="351"/>
      <c r="D265" s="351"/>
      <c r="E265" s="348"/>
      <c r="F265" s="349"/>
      <c r="G265" s="349"/>
      <c r="H265" s="353"/>
      <c r="AS265" s="1744" t="s">
        <v>980</v>
      </c>
      <c r="AT265" s="1744"/>
      <c r="AU265" s="1744"/>
      <c r="AV265" s="1744"/>
      <c r="AW265" s="1205">
        <f>Resultado!L5</f>
        <v>0.14427339894388092</v>
      </c>
      <c r="AX265" s="1205"/>
      <c r="AY265" s="322"/>
    </row>
    <row r="266" spans="2:84" ht="15" customHeight="1">
      <c r="AW266" s="796">
        <v>-0.1116</v>
      </c>
      <c r="BA266" s="1186" t="s">
        <v>981</v>
      </c>
      <c r="BB266" s="30" t="s">
        <v>982</v>
      </c>
      <c r="BC266" s="30"/>
      <c r="BD266" s="30"/>
      <c r="BE266" s="30"/>
      <c r="BF266" s="30"/>
      <c r="BG266" s="30"/>
      <c r="BH266" s="307" t="s">
        <v>900</v>
      </c>
      <c r="BI266" s="307" t="s">
        <v>900</v>
      </c>
    </row>
    <row r="267" spans="2:84" ht="45" customHeight="1">
      <c r="AU267" s="424"/>
      <c r="BA267" s="1014" t="s">
        <v>983</v>
      </c>
      <c r="BB267" s="1014" t="str">
        <f>"Cobertura "&amp;YEAR(CAPA!C14)&amp;"/"&amp;YEAR(CAPA!C14)+1</f>
        <v>Cobertura 2021/2022</v>
      </c>
      <c r="BC267" s="1014" t="str">
        <f>"Cobertura "&amp;YEAR(CAPA!C14)&amp;"/"&amp;YEAR(CAPA!C14)+1&amp;" Atualizada"</f>
        <v>Cobertura 2021/2022 Atualizada</v>
      </c>
      <c r="BD267" s="1014" t="s">
        <v>984</v>
      </c>
      <c r="BE267" s="1014" t="s">
        <v>985</v>
      </c>
      <c r="BF267" s="1014" t="s">
        <v>986</v>
      </c>
      <c r="BG267" s="1014" t="str">
        <f>"Previsão "&amp;YEAR(CAPA!C14)+1&amp;"/"&amp;YEAR(CAPA!C14)+2</f>
        <v>Previsão 2022/2023</v>
      </c>
      <c r="BH267" s="1014" t="str">
        <f>"Previsão "&amp;YEAR(CAPA!C14)+1&amp;"/"&amp;YEAR(CAPA!C14)+2&amp;" + Diferença"</f>
        <v>Previsão 2022/2023 + Diferença</v>
      </c>
      <c r="BI267" s="354" t="str">
        <f>"Previsão "&amp;YEAR(CAPA!C14)+1&amp;"/"&amp;YEAR(CAPA!C14)+2&amp;" Atualizada"&amp;" + Diferença (Mensal)"</f>
        <v>Previsão 2022/2023 Atualizada + Diferença (Mensal)</v>
      </c>
      <c r="BJ267" s="419" t="s">
        <v>855</v>
      </c>
    </row>
    <row r="268" spans="2:84" ht="15" hidden="1" customHeight="1">
      <c r="B268" s="355"/>
      <c r="C268" s="355"/>
      <c r="D268" s="355"/>
      <c r="E268" s="355"/>
      <c r="BA268" s="447" t="str">
        <f>BO288</f>
        <v>Subsidio Carga Fonte Incentivda</v>
      </c>
      <c r="BB268" s="1015" t="e">
        <f>Indexador!#REF!</f>
        <v>#REF!</v>
      </c>
      <c r="BC268" s="1015" t="e">
        <f>Indexador!#REF!</f>
        <v>#REF!</v>
      </c>
      <c r="BD268" s="1015" t="e">
        <f>Indexador!#REF!</f>
        <v>#REF!</v>
      </c>
      <c r="BE268" s="1015" t="e">
        <f>Indexador!#REF!</f>
        <v>#REF!</v>
      </c>
      <c r="BF268" s="1015">
        <f>BP288</f>
        <v>0</v>
      </c>
      <c r="BG268" s="1015">
        <f t="shared" ref="BG268:BH273" si="30">BQ288</f>
        <v>0</v>
      </c>
      <c r="BH268" s="1015">
        <f t="shared" si="30"/>
        <v>0</v>
      </c>
      <c r="BI268" s="356" t="e">
        <f>Indexador!#REF!</f>
        <v>#REF!</v>
      </c>
      <c r="BJ268" s="337">
        <f t="shared" ref="BJ268:BJ274" si="31">IF(BH268=0,0,1)</f>
        <v>0</v>
      </c>
    </row>
    <row r="269" spans="2:84" ht="15" hidden="1" customHeight="1">
      <c r="B269" s="347"/>
      <c r="C269" s="348"/>
      <c r="D269" s="348"/>
      <c r="E269" s="21"/>
      <c r="AZ269" s="357"/>
      <c r="BA269" s="447" t="str">
        <f t="shared" ref="BA269:BA273" si="32">BO289</f>
        <v>Subsidio Geração Fonte Incentivda</v>
      </c>
      <c r="BB269" s="1015" t="e">
        <f>Indexador!#REF!</f>
        <v>#REF!</v>
      </c>
      <c r="BC269" s="1015" t="e">
        <f>Indexador!#REF!</f>
        <v>#REF!</v>
      </c>
      <c r="BD269" s="1015" t="e">
        <f>Indexador!#REF!</f>
        <v>#REF!</v>
      </c>
      <c r="BE269" s="1015" t="e">
        <f>Indexador!#REF!</f>
        <v>#REF!</v>
      </c>
      <c r="BF269" s="1016">
        <f t="shared" ref="BF269:BF273" si="33">BP289</f>
        <v>0</v>
      </c>
      <c r="BG269" s="1016">
        <f t="shared" si="30"/>
        <v>0</v>
      </c>
      <c r="BH269" s="1016">
        <f t="shared" si="30"/>
        <v>0</v>
      </c>
      <c r="BI269" s="356" t="e">
        <f>Indexador!#REF!</f>
        <v>#REF!</v>
      </c>
      <c r="BJ269" s="337">
        <f t="shared" si="31"/>
        <v>0</v>
      </c>
      <c r="BK269" s="358"/>
      <c r="BL269" s="358"/>
      <c r="BM269" s="358"/>
      <c r="BN269" s="358"/>
      <c r="BO269" s="358"/>
      <c r="BP269" s="358"/>
      <c r="BQ269" s="358"/>
      <c r="BR269" s="358"/>
      <c r="BS269" s="358"/>
      <c r="BT269" s="358"/>
      <c r="BU269" s="357"/>
      <c r="BV269" s="357"/>
      <c r="BW269" s="357"/>
      <c r="BX269" s="357"/>
      <c r="BY269" s="357"/>
      <c r="BZ269" s="357"/>
      <c r="CA269" s="357"/>
      <c r="CB269" s="357"/>
      <c r="CC269" s="357"/>
      <c r="CD269" s="357"/>
      <c r="CE269" s="357"/>
      <c r="CF269" s="357"/>
    </row>
    <row r="270" spans="2:84" ht="15" hidden="1" customHeight="1">
      <c r="B270" s="347"/>
      <c r="C270" s="348"/>
      <c r="D270" s="348"/>
      <c r="E270" s="21"/>
      <c r="AZ270" s="357"/>
      <c r="BA270" s="447" t="str">
        <f t="shared" si="32"/>
        <v>Subsidio Distribuição</v>
      </c>
      <c r="BB270" s="1015" t="e">
        <f>Indexador!#REF!</f>
        <v>#REF!</v>
      </c>
      <c r="BC270" s="1015" t="e">
        <f>Indexador!#REF!</f>
        <v>#REF!</v>
      </c>
      <c r="BD270" s="1015" t="e">
        <f>Indexador!#REF!</f>
        <v>#REF!</v>
      </c>
      <c r="BE270" s="1015" t="e">
        <f>Indexador!#REF!</f>
        <v>#REF!</v>
      </c>
      <c r="BF270" s="1016">
        <f t="shared" si="33"/>
        <v>0</v>
      </c>
      <c r="BG270" s="1016">
        <f t="shared" si="30"/>
        <v>0</v>
      </c>
      <c r="BH270" s="1016">
        <f t="shared" si="30"/>
        <v>0</v>
      </c>
      <c r="BI270" s="356" t="e">
        <f>Indexador!#REF!</f>
        <v>#REF!</v>
      </c>
      <c r="BJ270" s="337">
        <f t="shared" si="31"/>
        <v>0</v>
      </c>
      <c r="BK270" s="357"/>
      <c r="BL270" s="357"/>
      <c r="BM270" s="357"/>
      <c r="BN270" s="357"/>
      <c r="BO270" s="357"/>
      <c r="BP270" s="357"/>
      <c r="BQ270" s="357"/>
      <c r="BR270" s="357"/>
      <c r="BS270" s="357"/>
      <c r="BT270" s="357"/>
      <c r="BU270" s="357"/>
      <c r="BV270" s="357"/>
      <c r="BW270" s="357"/>
      <c r="BX270" s="357"/>
      <c r="BY270" s="357"/>
      <c r="BZ270" s="357"/>
      <c r="CA270" s="357"/>
      <c r="CB270" s="357"/>
      <c r="CC270" s="357"/>
      <c r="CD270" s="357"/>
      <c r="CE270" s="357"/>
      <c r="CF270" s="357"/>
    </row>
    <row r="271" spans="2:84" ht="15" customHeight="1">
      <c r="B271" s="347"/>
      <c r="D271" s="22"/>
      <c r="AW271" s="25"/>
      <c r="AZ271" s="357"/>
      <c r="BA271" s="1698" t="str">
        <f t="shared" si="32"/>
        <v>Subsidio Água, Esgoto e Saneamento</v>
      </c>
      <c r="BB271" s="1699" t="e">
        <f>Indexador!#REF!</f>
        <v>#REF!</v>
      </c>
      <c r="BC271" s="1699" t="e">
        <f>Indexador!#REF!</f>
        <v>#REF!</v>
      </c>
      <c r="BD271" s="1699" t="e">
        <f>Indexador!#REF!</f>
        <v>#REF!</v>
      </c>
      <c r="BE271" s="1699" t="e">
        <f>Indexador!#REF!</f>
        <v>#REF!</v>
      </c>
      <c r="BF271" s="1700">
        <f t="shared" si="33"/>
        <v>-7.2822720478309293</v>
      </c>
      <c r="BG271" s="1700">
        <f t="shared" si="30"/>
        <v>165.75756592305038</v>
      </c>
      <c r="BH271" s="1700">
        <f t="shared" si="30"/>
        <v>158.47529387521945</v>
      </c>
      <c r="BI271" s="356" t="e">
        <f>Indexador!#REF!</f>
        <v>#REF!</v>
      </c>
      <c r="BJ271" s="337">
        <f t="shared" si="31"/>
        <v>1</v>
      </c>
      <c r="BK271" s="357"/>
      <c r="BL271" s="357"/>
      <c r="BM271" s="357"/>
      <c r="BN271" s="357"/>
      <c r="BO271" s="357"/>
      <c r="BP271" s="357"/>
      <c r="BQ271" s="357"/>
      <c r="BR271" s="357"/>
      <c r="BS271" s="357"/>
      <c r="BT271" s="357"/>
      <c r="BU271" s="357"/>
      <c r="BV271" s="357"/>
      <c r="BW271" s="357"/>
      <c r="BX271" s="357"/>
      <c r="BY271" s="357"/>
      <c r="BZ271" s="357"/>
      <c r="CA271" s="357"/>
      <c r="CB271" s="357"/>
      <c r="CC271" s="357"/>
      <c r="CD271" s="357"/>
      <c r="CE271" s="357"/>
      <c r="CF271" s="357"/>
    </row>
    <row r="272" spans="2:84" ht="15" customHeight="1">
      <c r="B272" s="347"/>
      <c r="C272" s="348"/>
      <c r="D272" s="348"/>
      <c r="E272" s="21"/>
      <c r="AU272" s="424"/>
      <c r="AZ272" s="357"/>
      <c r="BA272" s="1698" t="str">
        <f t="shared" si="32"/>
        <v>Subsidio Rural</v>
      </c>
      <c r="BB272" s="1699" t="e">
        <f>Indexador!#REF!</f>
        <v>#REF!</v>
      </c>
      <c r="BC272" s="1699" t="e">
        <f>Indexador!#REF!</f>
        <v>#REF!</v>
      </c>
      <c r="BD272" s="1699" t="e">
        <f>Indexador!#REF!</f>
        <v>#REF!</v>
      </c>
      <c r="BE272" s="1699" t="e">
        <f>Indexador!#REF!</f>
        <v>#REF!</v>
      </c>
      <c r="BF272" s="1700">
        <f t="shared" si="33"/>
        <v>-456.90181036743343</v>
      </c>
      <c r="BG272" s="1700">
        <f t="shared" si="30"/>
        <v>2653.3952054534861</v>
      </c>
      <c r="BH272" s="1700">
        <f t="shared" si="30"/>
        <v>2196.4933950860527</v>
      </c>
      <c r="BI272" s="356" t="e">
        <f>Indexador!#REF!</f>
        <v>#REF!</v>
      </c>
      <c r="BJ272" s="337">
        <f t="shared" si="31"/>
        <v>1</v>
      </c>
      <c r="BK272" s="357"/>
      <c r="BL272" s="357"/>
      <c r="BM272" s="357"/>
      <c r="BN272" s="357"/>
      <c r="BO272" s="357"/>
      <c r="BP272" s="357"/>
      <c r="BQ272" s="357"/>
      <c r="BR272" s="357"/>
      <c r="BS272" s="357"/>
      <c r="BT272" s="357"/>
      <c r="BU272" s="357"/>
      <c r="BV272" s="357"/>
      <c r="BW272" s="357"/>
      <c r="BX272" s="357"/>
      <c r="BY272" s="357"/>
      <c r="BZ272" s="357"/>
      <c r="CA272" s="357"/>
      <c r="CB272" s="357"/>
      <c r="CC272" s="357"/>
      <c r="CD272" s="357"/>
      <c r="CE272" s="357"/>
      <c r="CF272" s="357"/>
    </row>
    <row r="273" spans="2:84" ht="15" hidden="1" customHeight="1">
      <c r="AU273" s="424"/>
      <c r="AZ273" s="357"/>
      <c r="BA273" s="447" t="str">
        <f t="shared" si="32"/>
        <v>Subsidio - Irrigante/Aquicultor</v>
      </c>
      <c r="BB273" s="1015" t="e">
        <f>Indexador!#REF!</f>
        <v>#REF!</v>
      </c>
      <c r="BC273" s="1015" t="e">
        <f>Indexador!#REF!</f>
        <v>#REF!</v>
      </c>
      <c r="BD273" s="1015" t="e">
        <f>Indexador!#REF!</f>
        <v>#REF!</v>
      </c>
      <c r="BE273" s="1015" t="e">
        <f>Indexador!#REF!</f>
        <v>#REF!</v>
      </c>
      <c r="BF273" s="1016">
        <f t="shared" si="33"/>
        <v>0</v>
      </c>
      <c r="BG273" s="1016">
        <f t="shared" si="30"/>
        <v>0</v>
      </c>
      <c r="BH273" s="1016">
        <f t="shared" si="30"/>
        <v>0</v>
      </c>
      <c r="BI273" s="356" t="e">
        <f>Indexador!#REF!</f>
        <v>#REF!</v>
      </c>
      <c r="BJ273" s="337">
        <f t="shared" si="31"/>
        <v>0</v>
      </c>
      <c r="BK273" s="357"/>
      <c r="BL273" s="357"/>
      <c r="BM273" s="357"/>
      <c r="BN273" s="357"/>
      <c r="BO273" s="357"/>
      <c r="BP273" s="357"/>
      <c r="BQ273" s="357"/>
      <c r="BR273" s="357"/>
      <c r="BS273" s="357"/>
      <c r="BT273" s="357"/>
      <c r="BU273" s="357"/>
      <c r="BV273" s="357"/>
      <c r="BW273" s="357"/>
      <c r="BX273" s="357"/>
      <c r="BY273" s="357"/>
      <c r="BZ273" s="357"/>
      <c r="CA273" s="357"/>
      <c r="CB273" s="357"/>
      <c r="CC273" s="357"/>
      <c r="CD273" s="357"/>
      <c r="CE273" s="357"/>
      <c r="CF273" s="357"/>
    </row>
    <row r="274" spans="2:84" ht="15" customHeight="1">
      <c r="AU274" s="424"/>
      <c r="AW274" s="424"/>
      <c r="AZ274" s="357"/>
      <c r="BA274" s="1197" t="s">
        <v>888</v>
      </c>
      <c r="BB274" s="1210" t="e">
        <f t="shared" ref="BB274:BI274" si="34">SUM(BB268:BB273)</f>
        <v>#REF!</v>
      </c>
      <c r="BC274" s="1210" t="e">
        <f t="shared" si="34"/>
        <v>#REF!</v>
      </c>
      <c r="BD274" s="1210" t="e">
        <f t="shared" si="34"/>
        <v>#REF!</v>
      </c>
      <c r="BE274" s="1210" t="e">
        <f t="shared" si="34"/>
        <v>#REF!</v>
      </c>
      <c r="BF274" s="1211">
        <f t="shared" si="34"/>
        <v>-464.18408241526436</v>
      </c>
      <c r="BG274" s="1211">
        <f t="shared" si="34"/>
        <v>2819.1527713765363</v>
      </c>
      <c r="BH274" s="1211">
        <f t="shared" si="34"/>
        <v>2354.9686889612722</v>
      </c>
      <c r="BI274" s="1212" t="e">
        <f t="shared" si="34"/>
        <v>#REF!</v>
      </c>
      <c r="BJ274" s="339">
        <f t="shared" si="31"/>
        <v>1</v>
      </c>
      <c r="BK274" s="357"/>
      <c r="BL274" s="357"/>
      <c r="BM274" s="357"/>
      <c r="BN274" s="357"/>
      <c r="BO274" s="357"/>
      <c r="BP274" s="357"/>
      <c r="BQ274" s="357"/>
      <c r="BR274" s="357"/>
      <c r="BS274" s="357"/>
      <c r="BT274" s="357"/>
      <c r="BU274" s="357"/>
      <c r="BV274" s="357"/>
      <c r="BW274" s="357"/>
      <c r="BX274" s="357"/>
      <c r="BY274" s="357"/>
      <c r="BZ274" s="357"/>
      <c r="CA274" s="357"/>
      <c r="CB274" s="357"/>
      <c r="CC274" s="357"/>
      <c r="CD274" s="357"/>
      <c r="CE274" s="357"/>
      <c r="CF274" s="357"/>
    </row>
    <row r="275" spans="2:84" ht="15" customHeight="1">
      <c r="B275" s="355"/>
      <c r="C275" s="355"/>
      <c r="AZ275" s="357"/>
      <c r="BC275" s="357"/>
      <c r="BD275" s="357"/>
      <c r="BE275" s="357"/>
      <c r="BF275" s="357"/>
      <c r="BG275" s="357"/>
      <c r="BH275" s="357"/>
      <c r="BI275" s="357"/>
      <c r="BK275" s="1186" t="s">
        <v>761</v>
      </c>
      <c r="BL275" s="357"/>
      <c r="BM275" s="307" t="s">
        <v>900</v>
      </c>
      <c r="BN275" s="357"/>
      <c r="BO275" s="357"/>
      <c r="BP275" s="357"/>
      <c r="BQ275" s="357"/>
      <c r="BR275" s="357"/>
      <c r="BS275" s="357"/>
      <c r="BT275" s="357"/>
      <c r="BU275" s="357"/>
      <c r="BV275" s="357"/>
      <c r="BW275" s="357"/>
      <c r="BX275" s="357"/>
      <c r="BY275" s="357"/>
      <c r="BZ275" s="357"/>
      <c r="CA275" s="357"/>
      <c r="CB275" s="357"/>
      <c r="CC275" s="357"/>
      <c r="CD275" s="357"/>
      <c r="CE275" s="357"/>
      <c r="CF275" s="357"/>
    </row>
    <row r="276" spans="2:84" ht="15" customHeight="1">
      <c r="B276" s="311"/>
      <c r="C276" s="311"/>
      <c r="AZ276" s="357"/>
      <c r="BC276" s="357"/>
      <c r="BD276" s="357"/>
      <c r="BE276" s="357"/>
      <c r="BF276" s="357"/>
      <c r="BG276" s="357"/>
      <c r="BH276" s="357"/>
      <c r="BI276" s="357"/>
      <c r="BJ276" s="357"/>
      <c r="BK276" s="1213" t="s">
        <v>987</v>
      </c>
      <c r="BL276" s="1213" t="s">
        <v>920</v>
      </c>
      <c r="BM276" s="1213" t="s">
        <v>964</v>
      </c>
      <c r="BN276" s="473" t="s">
        <v>855</v>
      </c>
      <c r="BO276" s="357"/>
      <c r="BP276" s="357"/>
      <c r="BQ276" s="357"/>
      <c r="BR276" s="357"/>
      <c r="BS276" s="357"/>
      <c r="BT276" s="357"/>
      <c r="BU276" s="357"/>
      <c r="BV276" s="357"/>
      <c r="BW276" s="357"/>
      <c r="BX276" s="357"/>
      <c r="BY276" s="357"/>
      <c r="BZ276" s="357"/>
      <c r="CA276" s="357"/>
      <c r="CB276" s="357"/>
      <c r="CC276" s="357"/>
      <c r="CD276" s="357"/>
      <c r="CE276" s="357"/>
      <c r="CF276" s="357"/>
    </row>
    <row r="277" spans="2:84" ht="15" hidden="1" customHeight="1">
      <c r="B277" s="311"/>
      <c r="C277" s="311"/>
      <c r="AZ277" s="357"/>
      <c r="BC277" s="357"/>
      <c r="BD277" s="357"/>
      <c r="BE277" s="357"/>
      <c r="BF277" s="357"/>
      <c r="BG277" s="357"/>
      <c r="BH277" s="357"/>
      <c r="BI277" s="357"/>
      <c r="BJ277" s="357"/>
      <c r="BK277" s="65" t="s">
        <v>761</v>
      </c>
      <c r="BL277" s="359">
        <f ca="1">Resultado!C25</f>
        <v>0</v>
      </c>
      <c r="BM277" s="359">
        <f>Resultado!D25</f>
        <v>0</v>
      </c>
      <c r="BN277" s="337">
        <f t="shared" ref="BN277:BN284" si="35">IF(BM277=0,0,1)</f>
        <v>0</v>
      </c>
      <c r="BO277" s="357"/>
      <c r="BP277" s="357"/>
      <c r="BQ277" s="357"/>
      <c r="BR277" s="357"/>
      <c r="BS277" s="357"/>
      <c r="BT277" s="357"/>
      <c r="BU277" s="357"/>
      <c r="BV277" s="357"/>
      <c r="BW277" s="357"/>
      <c r="BX277" s="357"/>
      <c r="BY277" s="357"/>
      <c r="BZ277" s="357"/>
      <c r="CA277" s="357"/>
      <c r="CB277" s="357"/>
      <c r="CC277" s="357"/>
      <c r="CD277" s="357"/>
      <c r="CE277" s="357"/>
      <c r="CF277" s="357"/>
    </row>
    <row r="278" spans="2:84" ht="15" hidden="1" customHeight="1">
      <c r="B278" s="311"/>
      <c r="C278" s="311"/>
      <c r="AZ278" s="357"/>
      <c r="BC278" s="357"/>
      <c r="BD278" s="357"/>
      <c r="BE278" s="357"/>
      <c r="BF278" s="357"/>
      <c r="BG278" s="357"/>
      <c r="BH278" s="357"/>
      <c r="BI278" s="357"/>
      <c r="BJ278" s="357"/>
      <c r="BK278" s="65" t="s">
        <v>763</v>
      </c>
      <c r="BL278" s="359">
        <f ca="1">Resultado!C26</f>
        <v>0</v>
      </c>
      <c r="BM278" s="359">
        <f>Resultado!D26</f>
        <v>0</v>
      </c>
      <c r="BN278" s="337">
        <f t="shared" si="35"/>
        <v>0</v>
      </c>
      <c r="BO278" s="357"/>
      <c r="BP278" s="357"/>
      <c r="BQ278" s="357"/>
      <c r="BR278" s="357"/>
      <c r="BS278" s="357"/>
      <c r="BT278" s="357"/>
      <c r="BU278" s="357"/>
      <c r="BV278" s="357"/>
      <c r="BW278" s="357"/>
      <c r="BX278" s="357"/>
      <c r="BY278" s="357"/>
      <c r="BZ278" s="357"/>
      <c r="CA278" s="357"/>
      <c r="CB278" s="357"/>
      <c r="CC278" s="357"/>
      <c r="CD278" s="357"/>
      <c r="CE278" s="357"/>
      <c r="CF278" s="357"/>
    </row>
    <row r="279" spans="2:84" ht="15" hidden="1" customHeight="1">
      <c r="B279" s="311"/>
      <c r="C279" s="311"/>
      <c r="H279" s="23"/>
      <c r="AZ279" s="357"/>
      <c r="BC279" s="357"/>
      <c r="BD279" s="357"/>
      <c r="BE279" s="357"/>
      <c r="BF279" s="357"/>
      <c r="BG279" s="357"/>
      <c r="BH279" s="357"/>
      <c r="BI279" s="357"/>
      <c r="BJ279" s="357"/>
      <c r="BK279" s="65" t="s">
        <v>847</v>
      </c>
      <c r="BL279" s="359"/>
      <c r="BM279" s="359"/>
      <c r="BN279" s="337">
        <f t="shared" si="35"/>
        <v>0</v>
      </c>
      <c r="BO279" s="357"/>
      <c r="BP279" s="357"/>
      <c r="BQ279" s="357"/>
      <c r="BR279" s="357"/>
      <c r="BS279" s="357"/>
      <c r="BT279" s="357"/>
      <c r="BU279" s="357"/>
      <c r="BV279" s="357"/>
      <c r="BW279" s="357"/>
      <c r="BX279" s="357"/>
      <c r="BY279" s="357"/>
      <c r="BZ279" s="357"/>
      <c r="CA279" s="357"/>
      <c r="CB279" s="357"/>
      <c r="CC279" s="357"/>
      <c r="CD279" s="357"/>
      <c r="CE279" s="357"/>
      <c r="CF279" s="357"/>
    </row>
    <row r="280" spans="2:84" ht="15" hidden="1" customHeight="1">
      <c r="B280" s="311"/>
      <c r="C280" s="311"/>
      <c r="H280" s="23"/>
      <c r="AZ280" s="357"/>
      <c r="BC280" s="357"/>
      <c r="BD280" s="357"/>
      <c r="BE280" s="357"/>
      <c r="BF280" s="357"/>
      <c r="BG280" s="357"/>
      <c r="BH280" s="357"/>
      <c r="BI280" s="357"/>
      <c r="BJ280" s="357"/>
      <c r="BK280" s="65" t="s">
        <v>848</v>
      </c>
      <c r="BL280" s="359"/>
      <c r="BM280" s="359"/>
      <c r="BN280" s="337">
        <f t="shared" si="35"/>
        <v>0</v>
      </c>
      <c r="BO280" s="357"/>
      <c r="BP280" s="357"/>
      <c r="BQ280" s="357"/>
      <c r="BR280" s="357"/>
      <c r="BS280" s="357"/>
      <c r="BT280" s="357"/>
      <c r="BU280" s="357"/>
      <c r="BV280" s="357"/>
      <c r="BW280" s="357"/>
      <c r="BX280" s="357"/>
      <c r="BY280" s="357"/>
      <c r="BZ280" s="357"/>
      <c r="CA280" s="357"/>
      <c r="CB280" s="357"/>
      <c r="CC280" s="357"/>
      <c r="CD280" s="357"/>
      <c r="CE280" s="357"/>
      <c r="CF280" s="357"/>
    </row>
    <row r="281" spans="2:84" ht="15" hidden="1" customHeight="1">
      <c r="B281" s="311"/>
      <c r="C281" s="311"/>
      <c r="H281" s="23"/>
      <c r="AZ281" s="357"/>
      <c r="BC281" s="357"/>
      <c r="BD281" s="357"/>
      <c r="BE281" s="357"/>
      <c r="BF281" s="357"/>
      <c r="BG281" s="357"/>
      <c r="BH281" s="357"/>
      <c r="BI281" s="357"/>
      <c r="BJ281" s="357"/>
      <c r="BK281" s="65" t="s">
        <v>849</v>
      </c>
      <c r="BL281" s="359"/>
      <c r="BM281" s="359"/>
      <c r="BN281" s="337">
        <f t="shared" si="35"/>
        <v>0</v>
      </c>
      <c r="BO281" s="357"/>
      <c r="BP281" s="357"/>
      <c r="BQ281" s="357"/>
      <c r="BR281" s="357"/>
      <c r="BS281" s="357"/>
      <c r="BT281" s="357"/>
      <c r="BU281" s="357"/>
      <c r="BV281" s="357"/>
      <c r="BW281" s="357"/>
      <c r="BX281" s="357"/>
      <c r="BY281" s="357"/>
      <c r="BZ281" s="357"/>
      <c r="CA281" s="357"/>
      <c r="CB281" s="357"/>
      <c r="CC281" s="357"/>
      <c r="CD281" s="357"/>
      <c r="CE281" s="357"/>
      <c r="CF281" s="357"/>
    </row>
    <row r="282" spans="2:84" ht="15" hidden="1" customHeight="1">
      <c r="B282" s="311"/>
      <c r="C282" s="311"/>
      <c r="H282" s="23"/>
      <c r="AZ282" s="357"/>
      <c r="BC282" s="357"/>
      <c r="BD282" s="357"/>
      <c r="BE282" s="357"/>
      <c r="BF282" s="357"/>
      <c r="BG282" s="357"/>
      <c r="BH282" s="357"/>
      <c r="BI282" s="357"/>
      <c r="BJ282" s="357"/>
      <c r="BK282" s="65" t="s">
        <v>850</v>
      </c>
      <c r="BL282" s="359"/>
      <c r="BM282" s="359"/>
      <c r="BN282" s="337">
        <f t="shared" si="35"/>
        <v>0</v>
      </c>
      <c r="BO282" s="357"/>
      <c r="BP282" s="357"/>
      <c r="BQ282" s="357"/>
      <c r="BR282" s="357"/>
      <c r="BS282" s="357"/>
      <c r="BT282" s="357"/>
      <c r="BU282" s="357"/>
      <c r="BV282" s="357"/>
      <c r="BW282" s="357"/>
      <c r="BX282" s="357"/>
      <c r="BY282" s="357"/>
      <c r="BZ282" s="357"/>
      <c r="CA282" s="357"/>
      <c r="CB282" s="357"/>
      <c r="CC282" s="357"/>
      <c r="CD282" s="357"/>
      <c r="CE282" s="357"/>
      <c r="CF282" s="357"/>
    </row>
    <row r="283" spans="2:84" ht="15" hidden="1" customHeight="1">
      <c r="B283" s="311"/>
      <c r="C283" s="311"/>
      <c r="H283" s="23"/>
      <c r="AZ283" s="357"/>
      <c r="BC283" s="357"/>
      <c r="BD283" s="357"/>
      <c r="BE283" s="357"/>
      <c r="BF283" s="357"/>
      <c r="BG283" s="357"/>
      <c r="BH283" s="357"/>
      <c r="BI283" s="357"/>
      <c r="BJ283" s="357"/>
      <c r="BK283" s="65" t="s">
        <v>764</v>
      </c>
      <c r="BL283" s="359">
        <f ca="1">Resultado!C31</f>
        <v>0</v>
      </c>
      <c r="BM283" s="359">
        <f>Resultado!D31</f>
        <v>0</v>
      </c>
      <c r="BN283" s="337">
        <f t="shared" si="35"/>
        <v>0</v>
      </c>
      <c r="BO283" s="357"/>
      <c r="BP283" s="357"/>
      <c r="BQ283" s="357"/>
      <c r="BR283" s="357"/>
      <c r="BS283" s="357"/>
      <c r="BT283" s="357"/>
      <c r="BU283" s="357"/>
      <c r="BV283" s="357"/>
      <c r="BW283" s="357"/>
      <c r="BX283" s="357"/>
      <c r="BY283" s="357"/>
      <c r="BZ283" s="357"/>
      <c r="CA283" s="357"/>
      <c r="CB283" s="357"/>
      <c r="CC283" s="357"/>
      <c r="CD283" s="357"/>
      <c r="CE283" s="357"/>
      <c r="CF283" s="357"/>
    </row>
    <row r="284" spans="2:84" ht="15" hidden="1" customHeight="1">
      <c r="B284" s="311"/>
      <c r="C284" s="311"/>
      <c r="H284" s="23"/>
      <c r="AZ284" s="357"/>
      <c r="BC284" s="357"/>
      <c r="BD284" s="357"/>
      <c r="BE284" s="357"/>
      <c r="BF284" s="357"/>
      <c r="BG284" s="357"/>
      <c r="BH284" s="357"/>
      <c r="BI284" s="357"/>
      <c r="BJ284" s="357"/>
      <c r="BK284" s="65" t="s">
        <v>765</v>
      </c>
      <c r="BL284" s="359">
        <f>Resultado!DJ283</f>
        <v>0</v>
      </c>
      <c r="BM284" s="359">
        <f>Resultado!DK283</f>
        <v>0</v>
      </c>
      <c r="BN284" s="339">
        <f t="shared" si="35"/>
        <v>0</v>
      </c>
      <c r="BO284" s="357"/>
      <c r="BP284" s="357"/>
      <c r="BQ284" s="357"/>
      <c r="BR284" s="357"/>
      <c r="BS284" s="357"/>
      <c r="BT284" s="357"/>
      <c r="BU284" s="357"/>
      <c r="BV284" s="357"/>
      <c r="BW284" s="357"/>
      <c r="BX284" s="357"/>
      <c r="BY284" s="357"/>
      <c r="BZ284" s="357"/>
      <c r="CA284" s="357"/>
      <c r="CB284" s="357"/>
      <c r="CC284" s="357"/>
      <c r="CD284" s="357"/>
      <c r="CE284" s="357"/>
      <c r="CF284" s="357"/>
    </row>
    <row r="285" spans="2:84" ht="15" customHeight="1">
      <c r="B285" s="311"/>
      <c r="C285" s="311"/>
      <c r="H285" s="23"/>
      <c r="AU285" s="314"/>
      <c r="AZ285" s="357"/>
      <c r="BA285" s="357"/>
      <c r="BB285" s="357"/>
      <c r="BC285" s="357"/>
      <c r="BD285" s="357"/>
      <c r="BE285" s="357"/>
      <c r="BF285" s="357"/>
      <c r="BG285" s="357"/>
      <c r="BH285" s="357"/>
      <c r="BI285" s="357"/>
      <c r="BJ285" s="357"/>
      <c r="BK285" s="1594" t="s">
        <v>988</v>
      </c>
      <c r="BL285" s="1212">
        <f ca="1">SUM(BL277:BL284)</f>
        <v>0</v>
      </c>
      <c r="BM285" s="1212">
        <f>SUM(BM277:BM284)</f>
        <v>0</v>
      </c>
      <c r="BN285" s="337">
        <f ca="1">IF(BL285=0,0,1)</f>
        <v>0</v>
      </c>
      <c r="BO285" s="1186" t="s">
        <v>989</v>
      </c>
      <c r="BP285" s="357"/>
      <c r="BQ285" s="357"/>
      <c r="BR285" s="307" t="s">
        <v>900</v>
      </c>
      <c r="BS285" s="357"/>
      <c r="BT285" s="357"/>
      <c r="BU285" s="357"/>
      <c r="BV285" s="357"/>
      <c r="BW285" s="357"/>
      <c r="BX285" s="357"/>
      <c r="BY285" s="357"/>
      <c r="BZ285" s="357"/>
      <c r="CA285" s="357"/>
      <c r="CB285" s="357"/>
      <c r="CC285" s="357"/>
      <c r="CD285" s="357"/>
      <c r="CE285" s="357"/>
      <c r="CF285" s="357"/>
    </row>
    <row r="286" spans="2:84" ht="15" customHeight="1">
      <c r="B286" s="311"/>
      <c r="C286" s="311"/>
      <c r="H286" s="23"/>
      <c r="AZ286" s="357"/>
      <c r="BA286" s="357"/>
      <c r="BB286" s="357"/>
      <c r="BC286" s="357"/>
      <c r="BD286" s="357"/>
      <c r="BE286" s="357"/>
      <c r="BF286" s="357"/>
      <c r="BG286" s="357"/>
      <c r="BH286" s="357"/>
      <c r="BI286" s="357"/>
      <c r="BJ286" s="357"/>
      <c r="BN286" s="357"/>
      <c r="BO286" s="360" t="str">
        <f>"TABELA 9 – VALOR MENSAL DA SUBVENÇÃO DA CDE PARA CUSTEAR DESCONTOS TARIFÁRIOS ("&amp;LnkTXTSigla&amp;")."</f>
        <v>TABELA 9 – VALOR MENSAL DA SUBVENÇÃO DA CDE PARA CUSTEAR DESCONTOS TARIFÁRIOS (Ceris).</v>
      </c>
      <c r="BP286" s="361"/>
      <c r="BQ286" s="361"/>
      <c r="BR286" s="361"/>
      <c r="BS286" s="289"/>
      <c r="BU286" s="357"/>
      <c r="BV286" s="357"/>
      <c r="BW286" s="357"/>
      <c r="BX286" s="357"/>
      <c r="BY286" s="357"/>
      <c r="BZ286" s="357"/>
      <c r="CA286" s="357"/>
      <c r="CB286" s="357"/>
      <c r="CC286" s="357"/>
      <c r="CD286" s="357"/>
      <c r="CE286" s="357"/>
      <c r="CF286" s="357"/>
    </row>
    <row r="287" spans="2:84" ht="12.75">
      <c r="B287" s="311"/>
      <c r="C287" s="311"/>
      <c r="H287" s="23"/>
      <c r="AZ287" s="357"/>
      <c r="BA287" s="357"/>
      <c r="BB287" s="357"/>
      <c r="BC287" s="357"/>
      <c r="BD287" s="357"/>
      <c r="BE287" s="357"/>
      <c r="BF287" s="357"/>
      <c r="BG287" s="357"/>
      <c r="BH287" s="357"/>
      <c r="BI287" s="357"/>
      <c r="BJ287" s="357"/>
      <c r="BN287" s="357"/>
      <c r="BO287" s="1214" t="s">
        <v>990</v>
      </c>
      <c r="BP287" s="1214" t="s">
        <v>991</v>
      </c>
      <c r="BQ287" s="1214" t="s">
        <v>992</v>
      </c>
      <c r="BR287" s="1215" t="s">
        <v>993</v>
      </c>
      <c r="BS287" s="412" t="s">
        <v>855</v>
      </c>
      <c r="BU287" s="357"/>
      <c r="BV287" s="357"/>
      <c r="BW287" s="307" t="s">
        <v>900</v>
      </c>
      <c r="BX287" s="357"/>
      <c r="BY287" s="357"/>
      <c r="BZ287" s="357"/>
      <c r="CA287" s="357"/>
      <c r="CB287" s="357"/>
      <c r="CC287" s="357"/>
      <c r="CD287" s="357"/>
      <c r="CE287" s="357"/>
      <c r="CF287" s="357"/>
    </row>
    <row r="288" spans="2:84" ht="12.75">
      <c r="B288" s="311"/>
      <c r="C288" s="311"/>
      <c r="H288" s="23"/>
      <c r="AU288" s="424"/>
      <c r="AZ288" s="357"/>
      <c r="BA288" s="357"/>
      <c r="BB288" s="357"/>
      <c r="BC288" s="357"/>
      <c r="BD288" s="357"/>
      <c r="BE288" s="357"/>
      <c r="BF288" s="357"/>
      <c r="BG288" s="357"/>
      <c r="BH288" s="357"/>
      <c r="BI288" s="357"/>
      <c r="BJ288" s="357"/>
      <c r="BK288" s="357"/>
      <c r="BL288" s="357"/>
      <c r="BM288" s="357"/>
      <c r="BN288" s="357"/>
      <c r="BO288" s="1216" t="s">
        <v>994</v>
      </c>
      <c r="BP288" s="1217">
        <f>IFERROR(Aj.Subsídio!L5,0)</f>
        <v>0</v>
      </c>
      <c r="BQ288" s="1217">
        <f>IFERROR(Aj.Subsídio!M5,0)</f>
        <v>0</v>
      </c>
      <c r="BR288" s="1217">
        <f t="shared" ref="BR288:BR294" si="36">BP288+BQ288</f>
        <v>0</v>
      </c>
      <c r="BS288" s="413">
        <f t="shared" ref="BS288:BS294" si="37">IF(BR288=0,0,1)</f>
        <v>0</v>
      </c>
      <c r="BU288" s="357"/>
      <c r="BV288" s="357"/>
      <c r="BW288" s="357"/>
      <c r="BX288" s="357"/>
      <c r="BY288" s="357"/>
      <c r="BZ288" s="357"/>
      <c r="CA288" s="357"/>
      <c r="CB288" s="357"/>
      <c r="CC288" s="357"/>
      <c r="CD288" s="357"/>
      <c r="CE288" s="357"/>
      <c r="CF288" s="357"/>
    </row>
    <row r="289" spans="2:84" ht="12.75">
      <c r="B289" s="311"/>
      <c r="C289" s="311"/>
      <c r="H289" s="23"/>
      <c r="AZ289" s="357"/>
      <c r="BA289" s="357"/>
      <c r="BB289" s="357"/>
      <c r="BC289" s="357"/>
      <c r="BD289" s="357"/>
      <c r="BE289" s="357"/>
      <c r="BF289" s="357"/>
      <c r="BG289" s="357"/>
      <c r="BH289" s="357"/>
      <c r="BI289" s="357"/>
      <c r="BJ289" s="357"/>
      <c r="BK289" s="357"/>
      <c r="BL289" s="357"/>
      <c r="BM289" s="357"/>
      <c r="BN289" s="357"/>
      <c r="BO289" s="1216" t="s">
        <v>995</v>
      </c>
      <c r="BP289" s="1217">
        <f>IFERROR(Aj.Subsídio!L6,0)</f>
        <v>0</v>
      </c>
      <c r="BQ289" s="1217">
        <f>IFERROR(Aj.Subsídio!M6,0)</f>
        <v>0</v>
      </c>
      <c r="BR289" s="1218">
        <f t="shared" si="36"/>
        <v>0</v>
      </c>
      <c r="BS289" s="362">
        <f t="shared" si="37"/>
        <v>0</v>
      </c>
      <c r="BU289" s="357"/>
      <c r="BV289" s="357"/>
      <c r="BW289" s="357"/>
      <c r="BX289" s="357"/>
      <c r="BY289" s="357"/>
      <c r="BZ289" s="357"/>
      <c r="CA289" s="357"/>
      <c r="CB289" s="357"/>
      <c r="CC289" s="357"/>
      <c r="CD289" s="357"/>
      <c r="CE289" s="357"/>
      <c r="CF289" s="357"/>
    </row>
    <row r="290" spans="2:84" ht="12.75">
      <c r="B290" s="311"/>
      <c r="C290" s="311"/>
      <c r="H290" s="23"/>
      <c r="AZ290" s="357"/>
      <c r="BB290" s="357"/>
      <c r="BC290" s="357"/>
      <c r="BD290" s="357"/>
      <c r="BE290" s="357"/>
      <c r="BF290" s="357"/>
      <c r="BG290" s="357"/>
      <c r="BH290" s="357"/>
      <c r="BI290" s="357"/>
      <c r="BJ290" s="357"/>
      <c r="BK290" s="357"/>
      <c r="BL290" s="357"/>
      <c r="BM290" s="357"/>
      <c r="BN290" s="357"/>
      <c r="BO290" s="1216" t="s">
        <v>996</v>
      </c>
      <c r="BP290" s="1217">
        <f>IFERROR(Aj.Subsídio!L7,0)</f>
        <v>0</v>
      </c>
      <c r="BQ290" s="1217">
        <f>IFERROR(Aj.Subsídio!M7,0)</f>
        <v>0</v>
      </c>
      <c r="BR290" s="1218">
        <f t="shared" si="36"/>
        <v>0</v>
      </c>
      <c r="BS290" s="362">
        <f t="shared" si="37"/>
        <v>0</v>
      </c>
      <c r="BU290" s="357"/>
      <c r="BV290" s="357"/>
      <c r="BW290" s="357"/>
      <c r="BX290" s="357"/>
      <c r="BY290" s="357"/>
      <c r="BZ290" s="357"/>
      <c r="CA290" s="357"/>
      <c r="CB290" s="357"/>
      <c r="CC290" s="357"/>
      <c r="CD290" s="357"/>
      <c r="CE290" s="357"/>
      <c r="CF290" s="357"/>
    </row>
    <row r="291" spans="2:84" ht="12.75">
      <c r="B291" s="311"/>
      <c r="C291" s="311"/>
      <c r="H291" s="23"/>
      <c r="AZ291" s="357"/>
      <c r="BA291" s="357"/>
      <c r="BB291" s="357"/>
      <c r="BC291" s="357"/>
      <c r="BD291" s="357"/>
      <c r="BE291" s="357"/>
      <c r="BF291" s="357"/>
      <c r="BG291" s="357"/>
      <c r="BH291" s="357"/>
      <c r="BI291" s="357"/>
      <c r="BJ291" s="357"/>
      <c r="BK291" s="357"/>
      <c r="BL291" s="357"/>
      <c r="BM291" s="357"/>
      <c r="BN291" s="357"/>
      <c r="BO291" s="1216" t="s">
        <v>997</v>
      </c>
      <c r="BP291" s="1217">
        <f>IFERROR(Aj.Subsídio!L8,0)</f>
        <v>-7.2822720478309293</v>
      </c>
      <c r="BQ291" s="1217">
        <f>IFERROR(Aj.Subsídio!M8,0)</f>
        <v>165.75756592305038</v>
      </c>
      <c r="BR291" s="1218">
        <f t="shared" si="36"/>
        <v>158.47529387521945</v>
      </c>
      <c r="BS291" s="362">
        <f t="shared" si="37"/>
        <v>1</v>
      </c>
      <c r="BU291" s="357"/>
      <c r="BV291" s="357"/>
      <c r="BW291" s="357"/>
      <c r="BX291" s="357"/>
      <c r="BY291" s="357"/>
      <c r="BZ291" s="357"/>
      <c r="CA291" s="357"/>
      <c r="CB291" s="357"/>
      <c r="CC291" s="357"/>
      <c r="CD291" s="357"/>
      <c r="CE291" s="357"/>
      <c r="CF291" s="357"/>
    </row>
    <row r="292" spans="2:84" ht="12.75">
      <c r="B292" s="311"/>
      <c r="C292" s="311"/>
      <c r="H292" s="23"/>
      <c r="AZ292" s="357"/>
      <c r="BA292" s="357"/>
      <c r="BB292" s="357"/>
      <c r="BC292" s="357"/>
      <c r="BD292" s="357"/>
      <c r="BE292" s="357"/>
      <c r="BF292" s="357"/>
      <c r="BG292" s="357"/>
      <c r="BH292" s="357"/>
      <c r="BI292" s="357"/>
      <c r="BJ292" s="357"/>
      <c r="BK292" s="357"/>
      <c r="BL292" s="357"/>
      <c r="BM292" s="357"/>
      <c r="BN292" s="357"/>
      <c r="BO292" s="1216" t="s">
        <v>998</v>
      </c>
      <c r="BP292" s="1217">
        <f>IFERROR(Aj.Subsídio!L9,0)</f>
        <v>-456.90181036743343</v>
      </c>
      <c r="BQ292" s="1217">
        <f>IFERROR(Aj.Subsídio!M9,0)</f>
        <v>2653.3952054534861</v>
      </c>
      <c r="BR292" s="1218">
        <f t="shared" si="36"/>
        <v>2196.4933950860527</v>
      </c>
      <c r="BS292" s="362">
        <f t="shared" si="37"/>
        <v>1</v>
      </c>
      <c r="BU292" s="357"/>
      <c r="BV292" s="357"/>
      <c r="BW292" s="357"/>
      <c r="BX292" s="357"/>
      <c r="BY292" s="358"/>
      <c r="BZ292" s="358"/>
      <c r="CA292" s="358"/>
      <c r="CB292" s="358"/>
      <c r="CC292" s="358"/>
      <c r="CD292" s="358"/>
      <c r="CE292" s="358"/>
      <c r="CF292" s="357"/>
    </row>
    <row r="293" spans="2:84" ht="12.75">
      <c r="B293" s="311"/>
      <c r="C293" s="311"/>
      <c r="H293" s="23"/>
      <c r="AZ293" s="357"/>
      <c r="BA293" s="357"/>
      <c r="BB293" s="357"/>
      <c r="BC293" s="357"/>
      <c r="BD293" s="357"/>
      <c r="BE293" s="357"/>
      <c r="BF293" s="357"/>
      <c r="BG293" s="357"/>
      <c r="BH293" s="357"/>
      <c r="BI293" s="357"/>
      <c r="BJ293" s="357"/>
      <c r="BK293" s="357"/>
      <c r="BL293" s="357"/>
      <c r="BM293" s="357"/>
      <c r="BN293" s="357"/>
      <c r="BO293" s="1216" t="s">
        <v>999</v>
      </c>
      <c r="BP293" s="1217">
        <f>IFERROR(Aj.Subsídio!L10,0)</f>
        <v>0</v>
      </c>
      <c r="BQ293" s="1217">
        <f>IFERROR(Aj.Subsídio!M10,0)</f>
        <v>0</v>
      </c>
      <c r="BR293" s="1218">
        <f t="shared" si="36"/>
        <v>0</v>
      </c>
      <c r="BS293" s="362">
        <f t="shared" si="37"/>
        <v>0</v>
      </c>
      <c r="BU293" s="357"/>
      <c r="BV293" s="357"/>
      <c r="BW293" s="357"/>
      <c r="BX293" s="357"/>
      <c r="BY293" s="357"/>
      <c r="BZ293" s="357"/>
      <c r="CA293" s="357"/>
      <c r="CB293" s="357"/>
      <c r="CC293" s="357"/>
      <c r="CD293" s="357"/>
      <c r="CE293" s="357"/>
      <c r="CF293" s="357"/>
    </row>
    <row r="294" spans="2:84" ht="12.75">
      <c r="B294" s="311"/>
      <c r="C294" s="311"/>
      <c r="H294" s="23"/>
      <c r="AZ294" s="357"/>
      <c r="BA294" s="357"/>
      <c r="BB294" s="357"/>
      <c r="BC294" s="357"/>
      <c r="BD294" s="357"/>
      <c r="BE294" s="357"/>
      <c r="BF294" s="357"/>
      <c r="BG294" s="357"/>
      <c r="BH294" s="357"/>
      <c r="BI294" s="357"/>
      <c r="BJ294" s="357"/>
      <c r="BK294" s="357"/>
      <c r="BL294" s="357"/>
      <c r="BM294" s="357"/>
      <c r="BN294" s="357"/>
      <c r="BO294" s="1219" t="s">
        <v>896</v>
      </c>
      <c r="BP294" s="1217">
        <f>SUM(BP288:BP293)</f>
        <v>-464.18408241526436</v>
      </c>
      <c r="BQ294" s="1217">
        <f>SUM(BQ288:BQ293)</f>
        <v>2819.1527713765363</v>
      </c>
      <c r="BR294" s="1218">
        <f t="shared" si="36"/>
        <v>2354.9686889612722</v>
      </c>
      <c r="BS294" s="413">
        <f t="shared" si="37"/>
        <v>1</v>
      </c>
      <c r="BU294" s="357"/>
      <c r="BY294" s="357"/>
      <c r="BZ294" s="357"/>
      <c r="CA294" s="357"/>
      <c r="CB294" s="357"/>
      <c r="CC294" s="357"/>
      <c r="CD294" s="357"/>
      <c r="CE294" s="357"/>
      <c r="CF294" s="357"/>
    </row>
    <row r="295" spans="2:84" ht="12.75">
      <c r="B295" s="311"/>
      <c r="C295" s="311"/>
      <c r="H295" s="23"/>
      <c r="AZ295" s="357"/>
      <c r="BA295" s="357"/>
      <c r="BB295" s="357"/>
      <c r="BC295" s="357"/>
      <c r="BD295" s="357"/>
      <c r="BE295" s="357"/>
      <c r="BF295" s="357"/>
      <c r="BG295" s="357"/>
      <c r="BH295" s="357"/>
      <c r="BI295" s="357"/>
      <c r="BJ295" s="357"/>
      <c r="BK295" s="357"/>
      <c r="BL295" s="357"/>
      <c r="BM295" s="357"/>
      <c r="BN295" s="357"/>
      <c r="BO295" s="357"/>
      <c r="BP295" s="357"/>
      <c r="BQ295" s="357"/>
      <c r="BR295" s="357"/>
      <c r="BS295" s="414"/>
      <c r="BT295" s="675" t="s">
        <v>1000</v>
      </c>
      <c r="BU295" s="357"/>
      <c r="BY295" s="357"/>
      <c r="BZ295" s="357"/>
      <c r="CA295" s="357"/>
      <c r="CB295" s="357"/>
      <c r="CC295" s="357"/>
      <c r="CD295" s="357"/>
      <c r="CE295" s="357"/>
      <c r="CF295" s="357"/>
    </row>
    <row r="296" spans="2:84" ht="25.5">
      <c r="B296" s="311"/>
      <c r="C296" s="311"/>
      <c r="H296" s="23"/>
      <c r="AZ296" s="357"/>
      <c r="BA296" s="357"/>
      <c r="BB296" s="357"/>
      <c r="BC296" s="357"/>
      <c r="BD296" s="357"/>
      <c r="BE296" s="357"/>
      <c r="BF296" s="357"/>
      <c r="BG296" s="357"/>
      <c r="BH296" s="357"/>
      <c r="BI296" s="357"/>
      <c r="BJ296" s="357"/>
      <c r="BK296" s="357"/>
      <c r="BL296" s="357"/>
      <c r="BM296" s="357"/>
      <c r="BN296" s="357"/>
      <c r="BO296" s="357"/>
      <c r="BP296" s="357"/>
      <c r="BQ296" s="357"/>
      <c r="BR296" s="49"/>
      <c r="BS296" s="357"/>
      <c r="BT296" s="60" t="s">
        <v>25</v>
      </c>
      <c r="BU296" s="60" t="s">
        <v>19</v>
      </c>
      <c r="BV296" s="60" t="s">
        <v>1001</v>
      </c>
      <c r="BW296" s="60" t="s">
        <v>1002</v>
      </c>
      <c r="BY296" s="23" t="s">
        <v>855</v>
      </c>
      <c r="BZ296" s="677" t="s">
        <v>1003</v>
      </c>
      <c r="CA296" s="357"/>
      <c r="CB296" s="357"/>
      <c r="CC296" s="357"/>
      <c r="CD296" s="357"/>
      <c r="CE296" s="357"/>
      <c r="CF296" s="357"/>
    </row>
    <row r="297" spans="2:84" ht="15" customHeight="1">
      <c r="B297" s="311"/>
      <c r="C297" s="311"/>
      <c r="H297" s="23"/>
      <c r="AZ297" s="357"/>
      <c r="BA297" s="357"/>
      <c r="BB297" s="357"/>
      <c r="BC297" s="357"/>
      <c r="BD297" s="357"/>
      <c r="BE297" s="357"/>
      <c r="BF297" s="357"/>
      <c r="BG297" s="357"/>
      <c r="BH297" s="357"/>
      <c r="BI297" s="357"/>
      <c r="BJ297" s="357"/>
      <c r="BK297" s="357"/>
      <c r="BL297" s="357"/>
      <c r="BM297" s="357"/>
      <c r="BN297" s="357"/>
      <c r="BO297" s="357"/>
      <c r="BP297" s="357"/>
      <c r="BQ297" s="357"/>
      <c r="BR297" s="357"/>
      <c r="BS297" s="357"/>
      <c r="BT297" s="309" t="str">
        <f>Energia!B28</f>
        <v>ELETROPAULO METROPOLITANA ELETRICIDADE DE SAO PAULO S.A.</v>
      </c>
      <c r="BU297" s="310" t="str">
        <f>Energia!C28</f>
        <v>A4 (2,3 a 25 kV)</v>
      </c>
      <c r="BV297" s="431">
        <f>Energia!I28</f>
        <v>0.58150000000000002</v>
      </c>
      <c r="BW297" s="431">
        <f>Energia!F28</f>
        <v>0.58150000000000002</v>
      </c>
      <c r="BY297" s="23">
        <f t="shared" ref="BY297:BY303" si="38">IF(BU297=0,0,1)</f>
        <v>1</v>
      </c>
      <c r="BZ297" s="676"/>
      <c r="CA297" s="357"/>
      <c r="CB297" s="357"/>
      <c r="CC297" s="357"/>
      <c r="CD297" s="357"/>
      <c r="CE297" s="357"/>
      <c r="CF297" s="357"/>
    </row>
    <row r="298" spans="2:84" ht="15" hidden="1" customHeight="1">
      <c r="B298" s="311"/>
      <c r="C298" s="311"/>
      <c r="H298" s="23"/>
      <c r="AZ298" s="357"/>
      <c r="BA298" s="357"/>
      <c r="BB298" s="357"/>
      <c r="BC298" s="357"/>
      <c r="BD298" s="357"/>
      <c r="BE298" s="357"/>
      <c r="BF298" s="357"/>
      <c r="BG298" s="357"/>
      <c r="BH298" s="357"/>
      <c r="BI298" s="357"/>
      <c r="BJ298" s="357"/>
      <c r="BK298" s="357"/>
      <c r="BL298" s="357"/>
      <c r="BM298" s="357"/>
      <c r="BN298" s="357"/>
      <c r="BO298" s="357"/>
      <c r="BP298" s="357"/>
      <c r="BQ298" s="357"/>
      <c r="BR298" s="357"/>
      <c r="BS298" s="357"/>
      <c r="BT298" s="309">
        <f>Energia!B29</f>
        <v>0</v>
      </c>
      <c r="BU298" s="310">
        <f>Energia!C29</f>
        <v>0</v>
      </c>
      <c r="BV298" s="431" t="str">
        <f>Energia!I29</f>
        <v/>
      </c>
      <c r="BW298" s="431">
        <f>Energia!F29</f>
        <v>0</v>
      </c>
      <c r="BY298" s="23">
        <f t="shared" si="38"/>
        <v>0</v>
      </c>
      <c r="BZ298" s="676"/>
    </row>
    <row r="299" spans="2:84" ht="15" hidden="1" customHeight="1">
      <c r="B299" s="311"/>
      <c r="C299" s="311"/>
      <c r="H299" s="23"/>
      <c r="AZ299" s="357"/>
      <c r="BA299" s="357"/>
      <c r="BB299" s="357"/>
      <c r="BC299" s="357"/>
      <c r="BD299" s="357"/>
      <c r="BE299" s="357"/>
      <c r="BF299" s="357"/>
      <c r="BG299" s="357"/>
      <c r="BH299" s="357"/>
      <c r="BI299" s="357"/>
      <c r="BJ299" s="357"/>
      <c r="BK299" s="357"/>
      <c r="BL299" s="357"/>
      <c r="BM299" s="357"/>
      <c r="BN299" s="357"/>
      <c r="BO299" s="357"/>
      <c r="BP299" s="357"/>
      <c r="BQ299" s="357"/>
      <c r="BR299" s="357"/>
      <c r="BS299" s="357"/>
      <c r="BT299" s="309">
        <f>Energia!B30</f>
        <v>0</v>
      </c>
      <c r="BU299" s="310">
        <f>Energia!C30</f>
        <v>0</v>
      </c>
      <c r="BV299" s="431" t="str">
        <f>Energia!I30</f>
        <v/>
      </c>
      <c r="BW299" s="431" t="str">
        <f>Energia!F30</f>
        <v/>
      </c>
      <c r="BY299" s="23">
        <f t="shared" si="38"/>
        <v>0</v>
      </c>
      <c r="BZ299" s="676"/>
    </row>
    <row r="300" spans="2:84" ht="15" hidden="1" customHeight="1">
      <c r="B300" s="311"/>
      <c r="C300" s="311"/>
      <c r="H300" s="23"/>
      <c r="AZ300" s="357"/>
      <c r="BA300" s="357"/>
      <c r="BB300" s="357"/>
      <c r="BC300" s="357"/>
      <c r="BD300" s="357"/>
      <c r="BE300" s="357"/>
      <c r="BF300" s="357"/>
      <c r="BG300" s="357"/>
      <c r="BH300" s="357"/>
      <c r="BI300" s="357"/>
      <c r="BJ300" s="357"/>
      <c r="BK300" s="357"/>
      <c r="BL300" s="357"/>
      <c r="BM300" s="357"/>
      <c r="BN300" s="357"/>
      <c r="BO300" s="357"/>
      <c r="BP300" s="357"/>
      <c r="BQ300" s="357"/>
      <c r="BR300" s="357"/>
      <c r="BS300" s="357"/>
      <c r="BT300" s="309">
        <f>Energia!B31</f>
        <v>0</v>
      </c>
      <c r="BU300" s="310">
        <f>Energia!C31</f>
        <v>0</v>
      </c>
      <c r="BV300" s="431" t="str">
        <f>Energia!I31</f>
        <v/>
      </c>
      <c r="BW300" s="431" t="str">
        <f>Energia!F31</f>
        <v/>
      </c>
      <c r="BY300" s="23">
        <f t="shared" si="38"/>
        <v>0</v>
      </c>
      <c r="BZ300" s="676"/>
    </row>
    <row r="301" spans="2:84" ht="15" hidden="1" customHeight="1">
      <c r="B301" s="311"/>
      <c r="C301" s="311"/>
      <c r="H301" s="23"/>
      <c r="AZ301" s="357"/>
      <c r="BA301" s="357"/>
      <c r="BB301" s="357"/>
      <c r="BC301" s="357"/>
      <c r="BD301" s="357"/>
      <c r="BE301" s="357"/>
      <c r="BF301" s="357"/>
      <c r="BG301" s="357"/>
      <c r="BH301" s="357"/>
      <c r="BI301" s="357"/>
      <c r="BJ301" s="357"/>
      <c r="BK301" s="357"/>
      <c r="BL301" s="357"/>
      <c r="BM301" s="357"/>
      <c r="BN301" s="357"/>
      <c r="BO301" s="357"/>
      <c r="BP301" s="357"/>
      <c r="BQ301" s="357"/>
      <c r="BR301" s="357"/>
      <c r="BS301" s="357"/>
      <c r="BT301" s="309">
        <f>Energia!B32</f>
        <v>0</v>
      </c>
      <c r="BU301" s="310">
        <f>Energia!C32</f>
        <v>0</v>
      </c>
      <c r="BV301" s="431" t="str">
        <f>Energia!I32</f>
        <v/>
      </c>
      <c r="BW301" s="431" t="str">
        <f>Energia!F32</f>
        <v/>
      </c>
      <c r="BY301" s="23">
        <f t="shared" si="38"/>
        <v>0</v>
      </c>
      <c r="BZ301" s="676"/>
    </row>
    <row r="302" spans="2:84" ht="15" hidden="1" customHeight="1">
      <c r="B302" s="311"/>
      <c r="C302" s="311"/>
      <c r="H302" s="23"/>
      <c r="AZ302" s="357"/>
      <c r="BA302" s="357"/>
      <c r="BB302" s="357"/>
      <c r="BC302" s="357"/>
      <c r="BD302" s="357"/>
      <c r="BE302" s="357"/>
      <c r="BF302" s="357"/>
      <c r="BG302" s="357"/>
      <c r="BH302" s="357"/>
      <c r="BI302" s="357"/>
      <c r="BJ302" s="357"/>
      <c r="BK302" s="357"/>
      <c r="BL302" s="357"/>
      <c r="BM302" s="357"/>
      <c r="BN302" s="357"/>
      <c r="BO302" s="357"/>
      <c r="BP302" s="357"/>
      <c r="BQ302" s="357"/>
      <c r="BR302" s="357"/>
      <c r="BS302" s="357"/>
      <c r="BT302" s="309">
        <f>Energia!B34</f>
        <v>0</v>
      </c>
      <c r="BU302" s="310">
        <f>Energia!C34</f>
        <v>0</v>
      </c>
      <c r="BV302" s="431" t="str">
        <f>Energia!I34</f>
        <v/>
      </c>
      <c r="BW302" s="431" t="str">
        <f>Energia!F34</f>
        <v/>
      </c>
      <c r="BY302" s="23">
        <f t="shared" si="38"/>
        <v>0</v>
      </c>
      <c r="BZ302" s="676"/>
    </row>
    <row r="303" spans="2:84" ht="15" hidden="1" customHeight="1">
      <c r="B303" s="311"/>
      <c r="C303" s="311"/>
      <c r="H303" s="23"/>
      <c r="AZ303" s="357"/>
      <c r="BA303" s="357"/>
      <c r="BB303" s="357"/>
      <c r="BC303" s="357"/>
      <c r="BD303" s="357"/>
      <c r="BE303" s="357"/>
      <c r="BF303" s="357"/>
      <c r="BG303" s="357"/>
      <c r="BH303" s="357"/>
      <c r="BI303" s="357"/>
      <c r="BJ303" s="357"/>
      <c r="BK303" s="357"/>
      <c r="BL303" s="357"/>
      <c r="BM303" s="357"/>
      <c r="BN303" s="357"/>
      <c r="BO303" s="357"/>
      <c r="BP303" s="357"/>
      <c r="BQ303" s="357"/>
      <c r="BR303" s="357"/>
      <c r="BS303" s="357"/>
      <c r="BT303" s="309" t="e">
        <f>Energia!#REF!</f>
        <v>#REF!</v>
      </c>
      <c r="BU303" s="310" t="e">
        <f>Energia!#REF!</f>
        <v>#REF!</v>
      </c>
      <c r="BV303" s="431" t="e">
        <f>Energia!#REF!</f>
        <v>#REF!</v>
      </c>
      <c r="BW303" s="431" t="e">
        <f>Energia!#REF!</f>
        <v>#REF!</v>
      </c>
      <c r="BY303" s="23" t="e">
        <f t="shared" si="38"/>
        <v>#REF!</v>
      </c>
      <c r="BZ303" s="678" t="s">
        <v>758</v>
      </c>
      <c r="CB303" s="307" t="s">
        <v>900</v>
      </c>
    </row>
    <row r="304" spans="2:84" ht="15" customHeight="1">
      <c r="B304" s="311"/>
      <c r="C304" s="311"/>
      <c r="H304" s="23"/>
      <c r="AZ304" s="357"/>
      <c r="BA304" s="357"/>
      <c r="BB304" s="357"/>
      <c r="BC304" s="357"/>
      <c r="BD304" s="357"/>
      <c r="BE304" s="357"/>
      <c r="BF304" s="357"/>
      <c r="BG304" s="357"/>
      <c r="BH304" s="357"/>
      <c r="BI304" s="357"/>
      <c r="BJ304" s="357"/>
      <c r="BK304" s="357"/>
      <c r="BL304" s="357"/>
      <c r="BM304" s="357"/>
      <c r="BN304" s="357"/>
      <c r="BO304" s="357"/>
      <c r="BP304" s="357"/>
      <c r="BQ304" s="357"/>
      <c r="BR304" s="357"/>
      <c r="BS304" s="357"/>
      <c r="BZ304" s="1220" t="s">
        <v>758</v>
      </c>
      <c r="CA304" s="1221">
        <f>SUM(CA305:CA306)</f>
        <v>1.15E-2</v>
      </c>
    </row>
    <row r="305" spans="2:79" ht="15" customHeight="1">
      <c r="B305" s="311"/>
      <c r="C305" s="311"/>
      <c r="H305" s="23"/>
      <c r="AZ305" s="357"/>
      <c r="BA305" s="357"/>
      <c r="BB305" s="357"/>
      <c r="BC305" s="357"/>
      <c r="BD305" s="357"/>
      <c r="BE305" s="357"/>
      <c r="BF305" s="357"/>
      <c r="BG305" s="357"/>
      <c r="BH305" s="357"/>
      <c r="BI305" s="357"/>
      <c r="BJ305" s="357"/>
      <c r="BK305" s="357"/>
      <c r="BL305" s="357"/>
      <c r="BM305" s="357"/>
      <c r="BN305" s="357"/>
      <c r="BO305" s="357"/>
      <c r="BP305" s="357"/>
      <c r="BQ305" s="357"/>
      <c r="BR305" s="357"/>
      <c r="BS305" s="357"/>
      <c r="BZ305" s="432" t="s">
        <v>1004</v>
      </c>
      <c r="CA305" s="433">
        <f>CAPA!H42</f>
        <v>1.15E-2</v>
      </c>
    </row>
    <row r="306" spans="2:79" ht="15" customHeight="1">
      <c r="B306" s="311"/>
      <c r="C306" s="311"/>
      <c r="H306" s="23"/>
      <c r="AZ306" s="357"/>
      <c r="BA306" s="357"/>
      <c r="BB306" s="357"/>
      <c r="BC306" s="357"/>
      <c r="BD306" s="357"/>
      <c r="BE306" s="357"/>
      <c r="BF306" s="357"/>
      <c r="BG306" s="357"/>
      <c r="BH306" s="357"/>
      <c r="BI306" s="357"/>
      <c r="BJ306" s="357"/>
      <c r="BK306" s="357"/>
      <c r="BL306" s="357"/>
      <c r="BM306" s="357"/>
      <c r="BN306" s="357"/>
      <c r="BO306" s="357"/>
      <c r="BP306" s="357"/>
      <c r="BQ306" s="357"/>
      <c r="BR306" s="357"/>
      <c r="BS306" s="357"/>
      <c r="BZ306" s="1222" t="s">
        <v>1005</v>
      </c>
      <c r="CA306" s="1223">
        <f>CAPA!H44</f>
        <v>0</v>
      </c>
    </row>
    <row r="307" spans="2:79" ht="15" customHeight="1">
      <c r="B307" s="311"/>
      <c r="C307" s="311"/>
      <c r="H307" s="23"/>
      <c r="AZ307" s="357"/>
      <c r="BA307" s="357"/>
      <c r="BB307" s="357"/>
      <c r="BC307" s="357"/>
      <c r="BD307" s="357"/>
      <c r="BE307" s="357"/>
      <c r="BF307" s="357"/>
      <c r="BG307" s="357"/>
      <c r="BH307" s="357"/>
      <c r="BI307" s="357"/>
      <c r="BJ307" s="357"/>
      <c r="BK307" s="357"/>
      <c r="BL307" s="357"/>
      <c r="BM307" s="357"/>
      <c r="BN307" s="357"/>
      <c r="BO307" s="357"/>
      <c r="BP307" s="357"/>
      <c r="BQ307" s="357"/>
      <c r="BR307" s="357"/>
      <c r="BS307" s="357"/>
      <c r="BW307" s="310">
        <v>0</v>
      </c>
    </row>
    <row r="308" spans="2:79" ht="15" customHeight="1">
      <c r="B308" s="311"/>
      <c r="C308" s="311"/>
      <c r="H308" s="23"/>
      <c r="AZ308" s="357"/>
      <c r="BA308" s="357"/>
      <c r="BB308" s="357"/>
      <c r="BC308" s="357"/>
      <c r="BD308" s="357"/>
      <c r="BE308" s="357"/>
      <c r="BF308" s="357"/>
      <c r="BG308" s="357"/>
      <c r="BH308" s="357"/>
      <c r="BI308" s="357"/>
      <c r="BJ308" s="357"/>
      <c r="BK308" s="357"/>
      <c r="BL308" s="357"/>
      <c r="BM308" s="357"/>
      <c r="BN308" s="357"/>
      <c r="BO308" s="357"/>
      <c r="BP308" s="357"/>
      <c r="BQ308" s="357"/>
      <c r="BR308" s="357"/>
      <c r="BS308" s="357"/>
    </row>
    <row r="309" spans="2:79" ht="15" customHeight="1">
      <c r="B309" s="311"/>
      <c r="C309" s="311"/>
      <c r="H309" s="23"/>
      <c r="AZ309" s="357"/>
      <c r="BA309" s="357"/>
      <c r="BB309" s="357"/>
      <c r="BC309" s="357"/>
      <c r="BD309" s="357"/>
      <c r="BE309" s="357"/>
      <c r="BF309" s="357"/>
      <c r="BG309" s="357"/>
      <c r="BH309" s="357"/>
      <c r="BI309" s="357"/>
      <c r="BJ309" s="357"/>
      <c r="BK309" s="357"/>
      <c r="BL309" s="357"/>
      <c r="BM309" s="357"/>
      <c r="BN309" s="357"/>
      <c r="BO309" s="357"/>
      <c r="BP309" s="357"/>
      <c r="BQ309" s="357"/>
      <c r="BR309" s="357"/>
      <c r="BS309" s="357"/>
    </row>
    <row r="310" spans="2:79" ht="15" customHeight="1">
      <c r="B310" s="311"/>
      <c r="C310" s="311"/>
      <c r="H310" s="23"/>
      <c r="AZ310" s="357"/>
      <c r="BA310" s="357"/>
      <c r="BB310" s="357"/>
      <c r="BC310" s="357"/>
      <c r="BD310" s="357"/>
      <c r="BE310" s="357"/>
      <c r="BF310" s="357"/>
      <c r="BG310" s="357"/>
      <c r="BH310" s="357"/>
      <c r="BI310" s="357"/>
      <c r="BJ310" s="357"/>
      <c r="BK310" s="357"/>
      <c r="BL310" s="357"/>
      <c r="BM310" s="357"/>
      <c r="BN310" s="357"/>
      <c r="BO310" s="357"/>
      <c r="BP310" s="357"/>
      <c r="BQ310" s="357"/>
      <c r="BR310" s="357"/>
      <c r="BS310" s="357"/>
    </row>
    <row r="311" spans="2:79" ht="15" customHeight="1">
      <c r="B311" s="355"/>
      <c r="C311" s="363"/>
      <c r="H311" s="23"/>
    </row>
    <row r="312" spans="2:79" ht="15" customHeight="1">
      <c r="H312" s="23"/>
    </row>
    <row r="313" spans="2:79" ht="15" customHeight="1">
      <c r="H313" s="23"/>
    </row>
    <row r="314" spans="2:79" ht="15" customHeight="1">
      <c r="H314" s="23"/>
    </row>
    <row r="315" spans="2:79" ht="15" customHeight="1">
      <c r="B315" s="1747"/>
      <c r="C315" s="1747"/>
      <c r="H315" s="23"/>
    </row>
    <row r="316" spans="2:79" ht="15" customHeight="1">
      <c r="C316" s="24"/>
      <c r="H316" s="23"/>
    </row>
    <row r="317" spans="2:79" ht="15" customHeight="1">
      <c r="C317" s="311"/>
      <c r="H317" s="23"/>
    </row>
    <row r="318" spans="2:79" ht="15" customHeight="1">
      <c r="C318" s="25"/>
      <c r="H318" s="23"/>
    </row>
    <row r="319" spans="2:79" ht="15" customHeight="1">
      <c r="C319" s="25"/>
      <c r="H319" s="23"/>
    </row>
    <row r="320" spans="2:79" ht="15" customHeight="1">
      <c r="C320" s="25"/>
      <c r="H320" s="23"/>
    </row>
    <row r="321" spans="2:8" ht="15" customHeight="1">
      <c r="B321" s="1747"/>
      <c r="C321" s="1747"/>
      <c r="H321" s="23"/>
    </row>
    <row r="322" spans="2:8" ht="15" customHeight="1">
      <c r="B322" s="366"/>
      <c r="C322" s="367"/>
      <c r="H322" s="23"/>
    </row>
    <row r="323" spans="2:8" ht="15" customHeight="1">
      <c r="C323" s="311"/>
      <c r="H323" s="23"/>
    </row>
    <row r="324" spans="2:8" ht="15" customHeight="1">
      <c r="C324" s="311"/>
      <c r="H324" s="23"/>
    </row>
    <row r="325" spans="2:8" ht="15" customHeight="1">
      <c r="C325" s="311"/>
      <c r="H325" s="23"/>
    </row>
    <row r="326" spans="2:8" ht="15" customHeight="1">
      <c r="C326" s="311"/>
      <c r="H326" s="23"/>
    </row>
    <row r="327" spans="2:8" ht="15" customHeight="1">
      <c r="B327" s="366"/>
      <c r="C327" s="26"/>
      <c r="H327" s="23"/>
    </row>
    <row r="328" spans="2:8" ht="15" customHeight="1">
      <c r="B328" s="366"/>
      <c r="C328" s="26"/>
      <c r="H328" s="23"/>
    </row>
    <row r="329" spans="2:8" ht="15" customHeight="1">
      <c r="B329" s="366"/>
      <c r="C329" s="367"/>
      <c r="H329" s="23"/>
    </row>
    <row r="330" spans="2:8" ht="15" customHeight="1">
      <c r="B330" s="1747"/>
      <c r="C330" s="1747"/>
      <c r="H330" s="23"/>
    </row>
    <row r="331" spans="2:8" ht="15" customHeight="1">
      <c r="C331" s="26"/>
      <c r="H331" s="23"/>
    </row>
    <row r="332" spans="2:8" ht="15" customHeight="1">
      <c r="C332" s="26"/>
      <c r="H332" s="23"/>
    </row>
    <row r="333" spans="2:8" ht="15" customHeight="1">
      <c r="C333" s="314"/>
      <c r="H333" s="23"/>
    </row>
    <row r="334" spans="2:8" ht="15" customHeight="1">
      <c r="C334" s="26"/>
      <c r="H334" s="23"/>
    </row>
    <row r="335" spans="2:8" ht="15" customHeight="1">
      <c r="C335" s="26"/>
      <c r="H335" s="23"/>
    </row>
    <row r="336" spans="2:8" ht="15" customHeight="1">
      <c r="C336" s="26"/>
      <c r="H336" s="23"/>
    </row>
    <row r="337" spans="2:8" ht="15" customHeight="1">
      <c r="B337" s="366"/>
      <c r="C337" s="26"/>
      <c r="H337" s="23"/>
    </row>
    <row r="338" spans="2:8" ht="15" customHeight="1">
      <c r="B338" s="366"/>
      <c r="C338" s="26"/>
      <c r="H338" s="23"/>
    </row>
    <row r="339" spans="2:8" ht="15" customHeight="1">
      <c r="H339" s="23"/>
    </row>
    <row r="340" spans="2:8" ht="15" customHeight="1">
      <c r="H340" s="23"/>
    </row>
    <row r="341" spans="2:8" ht="15" customHeight="1">
      <c r="H341" s="23"/>
    </row>
    <row r="342" spans="2:8" ht="15" customHeight="1">
      <c r="H342" s="23"/>
    </row>
    <row r="343" spans="2:8" ht="30" customHeight="1">
      <c r="B343" s="369"/>
      <c r="C343" s="370"/>
      <c r="H343" s="23"/>
    </row>
    <row r="344" spans="2:8" ht="15" customHeight="1">
      <c r="B344" s="371"/>
      <c r="C344" s="27"/>
      <c r="H344" s="23"/>
    </row>
    <row r="345" spans="2:8" ht="15" customHeight="1">
      <c r="B345" s="371"/>
      <c r="C345" s="27"/>
      <c r="H345" s="23"/>
    </row>
    <row r="346" spans="2:8" ht="15" customHeight="1">
      <c r="B346" s="371"/>
      <c r="C346" s="27"/>
      <c r="H346" s="23"/>
    </row>
    <row r="347" spans="2:8" ht="15" customHeight="1">
      <c r="B347" s="371"/>
      <c r="C347" s="27"/>
      <c r="H347" s="23"/>
    </row>
    <row r="348" spans="2:8" ht="15" customHeight="1">
      <c r="B348" s="371"/>
      <c r="C348" s="372"/>
      <c r="H348" s="23"/>
    </row>
    <row r="349" spans="2:8" ht="15" customHeight="1">
      <c r="B349" s="371"/>
      <c r="C349" s="27"/>
      <c r="H349" s="23"/>
    </row>
    <row r="350" spans="2:8" ht="15" customHeight="1">
      <c r="B350" s="371"/>
      <c r="C350" s="372"/>
      <c r="H350" s="23"/>
    </row>
    <row r="376" ht="31.5" customHeight="1"/>
    <row r="377" ht="15.75" customHeight="1"/>
    <row r="387" spans="72:74" ht="15" customHeight="1">
      <c r="BT387" s="429"/>
      <c r="BU387" s="430"/>
      <c r="BV387" s="430"/>
    </row>
    <row r="388" spans="72:74" ht="15" customHeight="1">
      <c r="BT388" s="429"/>
      <c r="BU388" s="430"/>
      <c r="BV388" s="430"/>
    </row>
    <row r="389" spans="72:74" ht="15" customHeight="1">
      <c r="BT389" s="429"/>
      <c r="BU389" s="430"/>
      <c r="BV389" s="430"/>
    </row>
    <row r="390" spans="72:74" ht="15" customHeight="1">
      <c r="BT390" s="429"/>
      <c r="BU390" s="430"/>
      <c r="BV390" s="430"/>
    </row>
    <row r="391" spans="72:74" ht="15" customHeight="1">
      <c r="BT391" s="429"/>
      <c r="BU391" s="430"/>
      <c r="BV391" s="430"/>
    </row>
    <row r="392" spans="72:74" ht="15" customHeight="1">
      <c r="BT392" s="429"/>
      <c r="BU392" s="430"/>
      <c r="BV392" s="430"/>
    </row>
  </sheetData>
  <mergeCells count="31">
    <mergeCell ref="B330:C330"/>
    <mergeCell ref="B315:C315"/>
    <mergeCell ref="AH74:AJ74"/>
    <mergeCell ref="AH78:AJ78"/>
    <mergeCell ref="AH82:AJ82"/>
    <mergeCell ref="AH75:AJ75"/>
    <mergeCell ref="B96:F96"/>
    <mergeCell ref="B97:F97"/>
    <mergeCell ref="B98:F98"/>
    <mergeCell ref="B99:F99"/>
    <mergeCell ref="B105:F105"/>
    <mergeCell ref="B106:F106"/>
    <mergeCell ref="B104:F104"/>
    <mergeCell ref="C79:E79"/>
    <mergeCell ref="AS265:AV265"/>
    <mergeCell ref="S20:T20"/>
    <mergeCell ref="L51:N51"/>
    <mergeCell ref="B321:C321"/>
    <mergeCell ref="B89:F89"/>
    <mergeCell ref="B94:F94"/>
    <mergeCell ref="B95:F95"/>
    <mergeCell ref="C80:E80"/>
    <mergeCell ref="C81:E81"/>
    <mergeCell ref="B86:F86"/>
    <mergeCell ref="B87:F87"/>
    <mergeCell ref="S7:U7"/>
    <mergeCell ref="C75:E75"/>
    <mergeCell ref="C76:E76"/>
    <mergeCell ref="C77:E77"/>
    <mergeCell ref="C78:E78"/>
    <mergeCell ref="C74:E74"/>
  </mergeCells>
  <conditionalFormatting sqref="AN178:AN196">
    <cfRule type="cellIs" dxfId="439" priority="1" operator="greaterThan">
      <formula>0</formula>
    </cfRule>
  </conditionalFormatting>
  <hyperlinks>
    <hyperlink ref="C50" location="'Tabelas e Gráficos'!A1" display="Voltar" xr:uid="{00000000-0004-0000-0300-000000000000}"/>
    <hyperlink ref="G58" location="'Tabelas e Gráficos'!A1" display="Voltar" xr:uid="{00000000-0004-0000-0300-000001000000}"/>
    <hyperlink ref="K72" location="'Tabelas e Gráficos'!A1" display="Voltar" xr:uid="{00000000-0004-0000-0300-000002000000}"/>
    <hyperlink ref="N98" location="'Tabelas e Gráficos'!A1" display="Voltar" xr:uid="{00000000-0004-0000-0300-000003000000}"/>
    <hyperlink ref="Q110" location="'Tabelas e Gráficos'!A1" display="Voltar" xr:uid="{00000000-0004-0000-0300-000004000000}"/>
    <hyperlink ref="T117" location="'Tabelas e Gráficos'!A1" display="Voltar" xr:uid="{00000000-0004-0000-0300-000005000000}"/>
    <hyperlink ref="X127" location="'Tabelas e Gráficos'!A1" display="Voltar" xr:uid="{00000000-0004-0000-0300-000006000000}"/>
    <hyperlink ref="AC136" location="'Tabelas e Gráficos'!A1" display="Voltar" xr:uid="{00000000-0004-0000-0300-000007000000}"/>
    <hyperlink ref="AK144" location="'Tabelas e Gráficos'!A1" display="Voltar" xr:uid="{00000000-0004-0000-0300-000008000000}"/>
    <hyperlink ref="AN163" location="'Tabelas e Gráficos'!A1" display="Voltar" xr:uid="{00000000-0004-0000-0300-000009000000}"/>
    <hyperlink ref="AQ200" location="'Tabelas e Gráficos'!A1" display="Voltar" xr:uid="{00000000-0004-0000-0300-00000A000000}"/>
    <hyperlink ref="AX206" location="'Tabelas e Gráficos'!A1" display="Voltar" xr:uid="{00000000-0004-0000-0300-00000B000000}"/>
    <hyperlink ref="BI266" location="'Tabelas e Gráficos '!A1" display="Voltar" xr:uid="{00000000-0004-0000-0300-00000C000000}"/>
    <hyperlink ref="BM275" location="'Tabelas e Gráficos'!A1" display="Voltar" xr:uid="{00000000-0004-0000-0300-00000D000000}"/>
    <hyperlink ref="B5" location="TabRA0" display="Receita Anual - RA0" xr:uid="{00000000-0004-0000-0300-00000E000000}"/>
    <hyperlink ref="B6" location="TabDRA" display="Receita em DRA" xr:uid="{00000000-0004-0000-0300-00000F000000}"/>
    <hyperlink ref="B7" location="TabEncargos" display="Encargos Setoriais em DRP" xr:uid="{00000000-0004-0000-0300-000010000000}"/>
    <hyperlink ref="B8" location="TabPerdas" display="Perdas" xr:uid="{00000000-0004-0000-0300-000011000000}"/>
    <hyperlink ref="B9" location="TabER" display="Energia Requerida" xr:uid="{00000000-0004-0000-0300-000012000000}"/>
    <hyperlink ref="B11" location="TabCustoEnergia" display="Custo de Energia" xr:uid="{00000000-0004-0000-0300-000013000000}"/>
    <hyperlink ref="B12" location="TabCUSD" display="TUSD" xr:uid="{00000000-0004-0000-0300-000014000000}"/>
    <hyperlink ref="B14" location="TabEM" display="Efeito Médio" xr:uid="{00000000-0004-0000-0300-000015000000}"/>
    <hyperlink ref="B13" location="TabCF" display="Componentes Financeiros" xr:uid="{00000000-0004-0000-0300-000016000000}"/>
    <hyperlink ref="B15" location="TabResultadosNT" display="Participação no Resultado" xr:uid="{00000000-0004-0000-0300-000017000000}"/>
    <hyperlink ref="B17" location="TabRB" display="Rede Básica" xr:uid="{00000000-0004-0000-0300-000018000000}"/>
    <hyperlink ref="B18" location="TabSubsidios" display="Subsídios" xr:uid="{00000000-0004-0000-0300-000019000000}"/>
    <hyperlink ref="B16" location="GraphRepasse" display="Subusídio para repasse" xr:uid="{00000000-0004-0000-0300-00001A000000}"/>
    <hyperlink ref="B4" location="TabResumoIRT" display="Índice de Reposicionamento Tarifário" xr:uid="{00000000-0004-0000-0300-00001B000000}"/>
    <hyperlink ref="B10" location="'Tabelas e Gráficos'!V127" display="Tarifas de Suprimento" xr:uid="{00000000-0004-0000-0300-00001C000000}"/>
    <hyperlink ref="BH266" location="'Tabelas e Gráficos'!A1" display="Voltar" xr:uid="{00000000-0004-0000-0300-00001D000000}"/>
    <hyperlink ref="B19" location="'Tabelas e Gráficos'!BT256" display="Descontos na TE" xr:uid="{00000000-0004-0000-0300-00001E000000}"/>
    <hyperlink ref="BR285" location="'Tabelas e Gráficos'!A1" display="Voltar" xr:uid="{00000000-0004-0000-0300-00001F000000}"/>
    <hyperlink ref="BW287" location="'Tabelas e Gráficos'!A1" display="Voltar" xr:uid="{00000000-0004-0000-0300-000020000000}"/>
    <hyperlink ref="CB303" location="'Tabelas e Gráficos'!A1" display="Voltar" xr:uid="{00000000-0004-0000-0300-000021000000}"/>
    <hyperlink ref="B20" location="'Tabelas e Gráficos'!BZ264" display="Fator X" xr:uid="{00000000-0004-0000-0300-000022000000}"/>
  </hyperlinks>
  <pageMargins left="0.511811024" right="0.511811024" top="0.78740157499999996" bottom="0.78740157499999996" header="0.31496062000000002" footer="0.31496062000000002"/>
  <pageSetup paperSize="9" orientation="portrait" r:id="rId1"/>
  <ignoredErrors>
    <ignoredError sqref="AS209:AX210 AX235:AX237 AS233:AT233 AV233 AX233 AS263:AV263 AX238 AX234 AB142 AS232:AT232 AV232:AX232 AX239 AX240:AX241 AS261:AT261 AX261 AV261 AS224:AX224 AS222:AU222 AW222:AX222 AS223:AU223 AW223:AX223 AS267 AS265:AV265 AT264 AX264 AS215:AU215 AS212:AT212 AX212 AS208 AU208:AV208 AS229:AX231 AS228 AU228:AX228 AS227:AV227 AS226:AT226 AV226:AX226 AX227 AX208 AS262:AV262 AX262 AX263 AS211:AV211 AX211 AS217:AX218 AS216:AV216 AX216 AS221:AV221 AS219:AV219 AX219 AS220:AV220 AX220 AX221 AS225:AV225 AX225 K84 AW213:AX213 AV212 AW219:AW221 AW215:AX215 AX265" formula="1"/>
    <ignoredError sqref="L80:L83" calculatedColumn="1"/>
  </ignoredErrors>
  <drawing r:id="rId2"/>
  <tableParts count="13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Plan18">
    <tabColor theme="0"/>
  </sheetPr>
  <dimension ref="A1:X120"/>
  <sheetViews>
    <sheetView showGridLines="0" topLeftCell="A21" zoomScale="90" zoomScaleNormal="90" workbookViewId="0">
      <selection activeCell="M21" sqref="M21"/>
    </sheetView>
  </sheetViews>
  <sheetFormatPr defaultColWidth="9.140625" defaultRowHeight="12.75" customHeight="1"/>
  <cols>
    <col min="1" max="1" width="4.7109375" style="95" customWidth="1"/>
    <col min="2" max="2" width="18.28515625" style="95" bestFit="1" customWidth="1"/>
    <col min="3" max="3" width="16.140625" style="95" customWidth="1"/>
    <col min="4" max="4" width="21.7109375" style="95" customWidth="1"/>
    <col min="5" max="5" width="10.28515625" style="95" customWidth="1"/>
    <col min="6" max="6" width="29" style="95" customWidth="1"/>
    <col min="7" max="7" width="21" style="95" bestFit="1" customWidth="1"/>
    <col min="8" max="8" width="17.5703125" style="95" customWidth="1"/>
    <col min="9" max="9" width="23.42578125" style="95" customWidth="1"/>
    <col min="10" max="10" width="16.42578125" style="95" customWidth="1"/>
    <col min="11" max="13" width="16.7109375" style="95" customWidth="1"/>
    <col min="14" max="14" width="18.85546875" style="95" bestFit="1" customWidth="1"/>
    <col min="15" max="15" width="15.5703125" style="95" bestFit="1" customWidth="1"/>
    <col min="16" max="16" width="14" style="95" bestFit="1" customWidth="1"/>
    <col min="17" max="17" width="18.28515625" style="95" bestFit="1" customWidth="1"/>
    <col min="18" max="18" width="18.42578125" style="95" bestFit="1" customWidth="1"/>
    <col min="19" max="19" width="27.7109375" style="95" bestFit="1" customWidth="1"/>
    <col min="20" max="20" width="18.5703125" style="95" customWidth="1"/>
    <col min="21" max="21" width="17.28515625" style="95" bestFit="1" customWidth="1"/>
    <col min="22" max="22" width="13.85546875" style="95" customWidth="1"/>
    <col min="23" max="23" width="9.140625" style="95" customWidth="1"/>
    <col min="24" max="16384" width="9.140625" style="95"/>
  </cols>
  <sheetData>
    <row r="1" spans="2:24" ht="26.25" customHeight="1">
      <c r="B1" s="1019" t="s">
        <v>1006</v>
      </c>
      <c r="C1" s="1115"/>
      <c r="D1" s="1020"/>
      <c r="E1" s="1020"/>
      <c r="F1" s="1020"/>
      <c r="G1" s="1224" t="s">
        <v>1007</v>
      </c>
      <c r="H1" s="1225">
        <f ca="1">LnkTXTIRTEco</f>
        <v>0.1605</v>
      </c>
      <c r="I1" s="70"/>
      <c r="J1" s="70"/>
      <c r="P1" s="1226" t="s">
        <v>1008</v>
      </c>
      <c r="Q1" s="1227"/>
      <c r="S1" s="1228" t="s">
        <v>1009</v>
      </c>
      <c r="T1" s="1227" t="s">
        <v>1010</v>
      </c>
      <c r="W1" s="1226" t="s">
        <v>1009</v>
      </c>
      <c r="X1" s="1227" t="s">
        <v>1010</v>
      </c>
    </row>
    <row r="2" spans="2:24" ht="14.25">
      <c r="B2" s="138" t="str">
        <f>CAPA!C9</f>
        <v>Ceris</v>
      </c>
      <c r="C2" s="70"/>
      <c r="D2" s="70"/>
      <c r="G2" s="121" t="s">
        <v>1011</v>
      </c>
      <c r="H2" s="122">
        <f ca="1">LnkTXTIRTTotal</f>
        <v>-6.0499999999999998E-2</v>
      </c>
      <c r="P2" s="1654">
        <f>DATE(YEAR(P4),MONTH(P4)-1,1)</f>
        <v>44378</v>
      </c>
      <c r="Q2" s="686"/>
      <c r="S2" s="1655" t="s">
        <v>1012</v>
      </c>
      <c r="T2" s="686" t="s">
        <v>1013</v>
      </c>
      <c r="W2" s="1655" t="s">
        <v>1014</v>
      </c>
      <c r="X2" s="686" t="s">
        <v>1013</v>
      </c>
    </row>
    <row r="3" spans="2:24" ht="14.25">
      <c r="P3" s="1226" t="s">
        <v>1008</v>
      </c>
      <c r="Q3" s="1227"/>
      <c r="S3" s="1228" t="s">
        <v>1009</v>
      </c>
      <c r="T3" s="1227" t="s">
        <v>1010</v>
      </c>
      <c r="W3" s="1226" t="s">
        <v>1009</v>
      </c>
      <c r="X3" s="1227" t="s">
        <v>1010</v>
      </c>
    </row>
    <row r="4" spans="2:24" ht="14.25">
      <c r="P4" s="1654">
        <f>DATE(YEAR(P6),MONTH(P6)-1,1)</f>
        <v>44409</v>
      </c>
      <c r="Q4" s="686"/>
      <c r="S4" s="1655" t="s">
        <v>653</v>
      </c>
      <c r="T4" s="686" t="s">
        <v>1013</v>
      </c>
      <c r="W4" s="1655" t="s">
        <v>1014</v>
      </c>
      <c r="X4" s="686" t="s">
        <v>1013</v>
      </c>
    </row>
    <row r="5" spans="2:24" ht="14.25">
      <c r="P5" s="1226" t="s">
        <v>1008</v>
      </c>
      <c r="Q5" s="1227"/>
      <c r="S5" s="1226" t="s">
        <v>1009</v>
      </c>
      <c r="T5" s="1227" t="s">
        <v>1010</v>
      </c>
      <c r="V5" s="96"/>
      <c r="W5" s="1226" t="s">
        <v>1009</v>
      </c>
      <c r="X5" s="1227" t="s">
        <v>1010</v>
      </c>
    </row>
    <row r="6" spans="2:24" ht="14.25">
      <c r="B6" s="112" t="s">
        <v>1015</v>
      </c>
      <c r="F6" s="112" t="s">
        <v>1016</v>
      </c>
      <c r="I6" s="112" t="s">
        <v>1017</v>
      </c>
      <c r="P6" s="1654">
        <f>DATE(YEAR(P8),MONTH(P8)-1,1)</f>
        <v>44440</v>
      </c>
      <c r="Q6" s="686"/>
      <c r="S6" s="1655" t="str">
        <f>"=A3"</f>
        <v>=A3</v>
      </c>
      <c r="T6" s="686" t="s">
        <v>1013</v>
      </c>
      <c r="W6" s="1655" t="s">
        <v>1014</v>
      </c>
      <c r="X6" s="686" t="s">
        <v>1013</v>
      </c>
    </row>
    <row r="7" spans="2:24" ht="14.25">
      <c r="B7" s="1229" t="s">
        <v>905</v>
      </c>
      <c r="C7" s="1229" t="s">
        <v>158</v>
      </c>
      <c r="D7" s="1229" t="s">
        <v>1018</v>
      </c>
      <c r="E7" s="97"/>
      <c r="F7" s="1229" t="s">
        <v>905</v>
      </c>
      <c r="G7" s="1229" t="s">
        <v>1018</v>
      </c>
      <c r="I7" s="1124" t="s">
        <v>905</v>
      </c>
      <c r="J7" s="1124" t="s">
        <v>1019</v>
      </c>
      <c r="L7" s="427" t="s">
        <v>1020</v>
      </c>
      <c r="M7" s="427"/>
      <c r="N7" s="427" t="s">
        <v>854</v>
      </c>
      <c r="P7" s="1226" t="s">
        <v>1008</v>
      </c>
      <c r="Q7" s="1227"/>
      <c r="S7" s="1226" t="s">
        <v>1009</v>
      </c>
      <c r="T7" s="1227" t="s">
        <v>1010</v>
      </c>
      <c r="W7" s="1226" t="s">
        <v>1009</v>
      </c>
      <c r="X7" s="1227" t="s">
        <v>1010</v>
      </c>
    </row>
    <row r="8" spans="2:24" ht="14.25">
      <c r="B8" s="1230" t="s">
        <v>1021</v>
      </c>
      <c r="C8" s="1231">
        <f ca="1">SUM(C9:C15)</f>
        <v>16377.068000000003</v>
      </c>
      <c r="D8" s="1232">
        <f ca="1">SUM(D9:D15)</f>
        <v>13038122.330799989</v>
      </c>
      <c r="E8" s="97"/>
      <c r="F8" s="97" t="s">
        <v>1022</v>
      </c>
      <c r="G8" s="116">
        <f t="shared" ref="G8:G14" ca="1" si="0">SUM(INDIRECT("dados_Mercadobase["&amp;F8&amp;"]"))</f>
        <v>0</v>
      </c>
      <c r="I8" s="228" t="s">
        <v>270</v>
      </c>
      <c r="J8" s="117">
        <f ca="1">SUM(INDIRECT("dados_MercadoBase[ICMS]"))/SUM(INDIRECT("dados_MercadoBase[[PisPasep]:[ICMS]]"),INDIRECT("dados_MercadoBase[FinTotAj]"))</f>
        <v>0.20464807768586596</v>
      </c>
      <c r="L8" s="1595" t="s">
        <v>1023</v>
      </c>
      <c r="M8" s="1596"/>
      <c r="N8" s="1521">
        <f>DSUM('BD MERCADO'!A2:AAA999998,"Total",S27:S28)</f>
        <v>10387381.089179996</v>
      </c>
      <c r="P8" s="1654">
        <f>DATE(YEAR(P10),MONTH(P10)-1,1)</f>
        <v>44470</v>
      </c>
      <c r="Q8" s="686"/>
      <c r="S8" s="1655" t="str">
        <f>"=A3a"</f>
        <v>=A3a</v>
      </c>
      <c r="T8" s="686" t="s">
        <v>1013</v>
      </c>
      <c r="W8" s="1655" t="s">
        <v>1014</v>
      </c>
      <c r="X8" s="686" t="s">
        <v>1013</v>
      </c>
    </row>
    <row r="9" spans="2:24" ht="14.25">
      <c r="B9" s="113" t="s">
        <v>1012</v>
      </c>
      <c r="C9" s="99">
        <f ca="1">DSUM(MercadoBase,"TUSD_E",INDIRECT("Mercado_Criterio"&amp;$B9))</f>
        <v>0</v>
      </c>
      <c r="D9" s="114">
        <f t="shared" ref="D9:D15" ca="1" si="1">DSUM(MercadoBase,"Total",INDIRECT("Mercado_Criterio"&amp;$B9))</f>
        <v>0</v>
      </c>
      <c r="E9" s="97"/>
      <c r="F9" s="97" t="s">
        <v>54</v>
      </c>
      <c r="G9" s="116">
        <f t="shared" ca="1" si="0"/>
        <v>0</v>
      </c>
      <c r="I9" s="1233" t="s">
        <v>883</v>
      </c>
      <c r="J9" s="1234">
        <f ca="1">SUM(INDIRECT("dados_MercadoBase[[PisPasep]:[Cofins]]"))/SUM(INDIRECT("dados_MercadoBase[[PisPasep]:[ICMS]]"),INDIRECT("dados_MercadoBase[FinTotAj]"))</f>
        <v>2.5362065080911513E-2</v>
      </c>
      <c r="L9" s="97" t="s">
        <v>1024</v>
      </c>
      <c r="M9" s="426"/>
      <c r="N9" s="116">
        <f>DSUM('BD MERCADO'!A2:AAA999998,"Total",S29:S30)</f>
        <v>331345.38211000006</v>
      </c>
      <c r="P9" s="1226" t="s">
        <v>1008</v>
      </c>
      <c r="Q9" s="1227"/>
      <c r="S9" s="1226" t="s">
        <v>1009</v>
      </c>
      <c r="T9" s="1227" t="s">
        <v>1010</v>
      </c>
      <c r="X9" s="98"/>
    </row>
    <row r="10" spans="2:24" ht="14.25">
      <c r="B10" s="113" t="s">
        <v>653</v>
      </c>
      <c r="C10" s="99">
        <f ca="1">DSUM(MercadoBase,"TUSD_E",INDIRECT("Mercado_Criterio"&amp;$B10))</f>
        <v>0</v>
      </c>
      <c r="D10" s="114">
        <f t="shared" ca="1" si="1"/>
        <v>0</v>
      </c>
      <c r="E10" s="97"/>
      <c r="F10" s="97" t="s">
        <v>1025</v>
      </c>
      <c r="G10" s="116">
        <f t="shared" ca="1" si="0"/>
        <v>0</v>
      </c>
      <c r="L10" s="97" t="s">
        <v>1026</v>
      </c>
      <c r="M10" s="426"/>
      <c r="N10" s="116">
        <f>DSUM('BD MERCADO'!A2:AAA999998,"Total",S31:S32)</f>
        <v>1362562.2008199999</v>
      </c>
      <c r="P10" s="1654">
        <f>DATE(YEAR(P12),MONTH(P12)-1,1)</f>
        <v>44501</v>
      </c>
      <c r="Q10" s="686"/>
      <c r="S10" s="1655" t="s">
        <v>648</v>
      </c>
      <c r="T10" s="686" t="s">
        <v>1013</v>
      </c>
      <c r="U10" s="95" t="s">
        <v>1027</v>
      </c>
      <c r="X10" s="98"/>
    </row>
    <row r="11" spans="2:24" ht="14.25">
      <c r="B11" s="113" t="s">
        <v>650</v>
      </c>
      <c r="C11" s="99">
        <f t="shared" ref="C11:C15" ca="1" si="2">DSUM(MercadoBase,"TUSD_E",INDIRECT("Mercado_Criterio"&amp;$B11))</f>
        <v>0</v>
      </c>
      <c r="D11" s="114">
        <f t="shared" ca="1" si="1"/>
        <v>0</v>
      </c>
      <c r="E11" s="97"/>
      <c r="F11" s="97" t="s">
        <v>52</v>
      </c>
      <c r="G11" s="116">
        <f t="shared" ca="1" si="0"/>
        <v>146810.52036774775</v>
      </c>
      <c r="L11" s="97" t="s">
        <v>1028</v>
      </c>
      <c r="M11" s="426"/>
      <c r="N11" s="116">
        <f>DSUM('BD MERCADO'!A2:AAA999998,"Total",S33:S34)</f>
        <v>565668.35988</v>
      </c>
      <c r="P11" s="1226" t="s">
        <v>1008</v>
      </c>
      <c r="Q11" s="1227"/>
      <c r="S11" s="1226" t="s">
        <v>1009</v>
      </c>
      <c r="T11" s="1227" t="s">
        <v>1010</v>
      </c>
      <c r="X11" s="98"/>
    </row>
    <row r="12" spans="2:24" ht="14.25">
      <c r="B12" s="113" t="s">
        <v>652</v>
      </c>
      <c r="C12" s="99">
        <f t="shared" ca="1" si="2"/>
        <v>0</v>
      </c>
      <c r="D12" s="114">
        <f t="shared" ca="1" si="1"/>
        <v>0</v>
      </c>
      <c r="E12" s="97"/>
      <c r="F12" s="97" t="s">
        <v>46</v>
      </c>
      <c r="G12" s="116">
        <f t="shared" ca="1" si="0"/>
        <v>938941.61184217315</v>
      </c>
      <c r="I12" s="112" t="s">
        <v>1029</v>
      </c>
      <c r="L12" s="97" t="s">
        <v>1030</v>
      </c>
      <c r="M12" s="426"/>
      <c r="N12" s="116">
        <f>DSUM('BD MERCADO'!A2:AAA999998,"Total",S35:S36)</f>
        <v>226534.58190999998</v>
      </c>
      <c r="P12" s="1654">
        <f>DATE(YEAR(P14),MONTH(P14)-1,1)</f>
        <v>44531</v>
      </c>
      <c r="Q12" s="686"/>
      <c r="S12" s="1655" t="s">
        <v>1031</v>
      </c>
      <c r="T12" s="686" t="s">
        <v>1013</v>
      </c>
      <c r="X12" s="98"/>
    </row>
    <row r="13" spans="2:24" ht="14.25">
      <c r="B13" s="113" t="s">
        <v>648</v>
      </c>
      <c r="C13" s="99">
        <f t="shared" ca="1" si="2"/>
        <v>1305.1950000000002</v>
      </c>
      <c r="D13" s="114">
        <f t="shared" ca="1" si="1"/>
        <v>631038.86432999989</v>
      </c>
      <c r="E13" s="97"/>
      <c r="F13" s="97" t="s">
        <v>44</v>
      </c>
      <c r="G13" s="116">
        <f t="shared" ca="1" si="0"/>
        <v>35330.60282118441</v>
      </c>
      <c r="I13" s="1124" t="s">
        <v>905</v>
      </c>
      <c r="J13" s="1124" t="s">
        <v>57</v>
      </c>
      <c r="L13" s="97" t="s">
        <v>1032</v>
      </c>
      <c r="M13" s="426"/>
      <c r="N13" s="116">
        <f>DSUM('BD MERCADO'!A2:AAA999998,"Total",S37:S38)</f>
        <v>93956.125899999999</v>
      </c>
      <c r="P13" s="1226" t="s">
        <v>1008</v>
      </c>
      <c r="Q13" s="1227"/>
      <c r="S13" s="1226" t="s">
        <v>1009</v>
      </c>
      <c r="T13" s="1227" t="s">
        <v>1010</v>
      </c>
      <c r="X13" s="98"/>
    </row>
    <row r="14" spans="2:24" ht="14.25">
      <c r="B14" s="113" t="s">
        <v>1033</v>
      </c>
      <c r="C14" s="99">
        <f t="shared" ca="1" si="2"/>
        <v>0</v>
      </c>
      <c r="D14" s="114">
        <f t="shared" ca="1" si="1"/>
        <v>0</v>
      </c>
      <c r="E14" s="97"/>
      <c r="F14" s="97" t="s">
        <v>163</v>
      </c>
      <c r="G14" s="116">
        <f t="shared" ca="1" si="0"/>
        <v>0</v>
      </c>
      <c r="I14" s="1597" t="s">
        <v>1034</v>
      </c>
      <c r="J14" s="1598">
        <f>CAPA!D41</f>
        <v>16632.745999999999</v>
      </c>
      <c r="L14" s="97" t="s">
        <v>1035</v>
      </c>
      <c r="M14" s="426"/>
      <c r="N14" s="116">
        <f>DSUM('BD MERCADO'!A2:AAA999998,"Total",S39:S40)</f>
        <v>70674.591</v>
      </c>
      <c r="P14" s="1654">
        <f>DATE(YEAR(P16),MONTH(P16)-1,1)</f>
        <v>44562</v>
      </c>
      <c r="Q14" s="686"/>
      <c r="S14" s="1655" t="s">
        <v>1014</v>
      </c>
      <c r="T14" s="686" t="s">
        <v>1013</v>
      </c>
      <c r="X14" s="98"/>
    </row>
    <row r="15" spans="2:24" ht="14.25">
      <c r="B15" s="113" t="s">
        <v>655</v>
      </c>
      <c r="C15" s="99">
        <f t="shared" ca="1" si="2"/>
        <v>15071.873000000003</v>
      </c>
      <c r="D15" s="114">
        <f t="shared" ca="1" si="1"/>
        <v>12407083.46646999</v>
      </c>
      <c r="E15" s="97"/>
      <c r="F15" s="97" t="s">
        <v>158</v>
      </c>
      <c r="G15" s="116">
        <f ca="1">SUM(C79:C84)</f>
        <v>2520744.7105923761</v>
      </c>
      <c r="I15" s="1235" t="s">
        <v>965</v>
      </c>
      <c r="J15" s="1236">
        <f ca="1">IFERROR(Mercado_RA0_MWh/J14-1,0)</f>
        <v>-1.5371965639347618E-2</v>
      </c>
      <c r="L15" s="1237" t="s">
        <v>1036</v>
      </c>
      <c r="M15" s="1238"/>
      <c r="N15" s="1239">
        <f ca="1">D25-SUM(N8:N14)</f>
        <v>0</v>
      </c>
      <c r="P15" s="1226" t="s">
        <v>1008</v>
      </c>
      <c r="Q15" s="1227"/>
      <c r="S15" s="1226" t="s">
        <v>1037</v>
      </c>
      <c r="T15" s="1227" t="s">
        <v>1010</v>
      </c>
      <c r="X15" s="98"/>
    </row>
    <row r="16" spans="2:24" ht="14.25">
      <c r="B16" s="1230" t="s">
        <v>1038</v>
      </c>
      <c r="C16" s="1240">
        <f ca="1">DSUM(MercadoBase,"TUSD_E",INDIRECT("Mercado_CriterioResBr"))</f>
        <v>612.75199999999984</v>
      </c>
      <c r="D16" s="1241">
        <f ca="1">DSUM(MercadoBase,"Total",INDIRECT("Mercado_CriterioResBr"))</f>
        <v>470501.62319999997</v>
      </c>
      <c r="E16" s="97"/>
      <c r="F16" s="97" t="s">
        <v>1039</v>
      </c>
      <c r="G16" s="116">
        <f ca="1">SUM(C87:C97)</f>
        <v>9396200.8518413529</v>
      </c>
      <c r="P16" s="1654">
        <f>DATE(YEAR(P18),MONTH(P18)-1,1)</f>
        <v>44593</v>
      </c>
      <c r="Q16" s="686"/>
      <c r="S16" s="1655" t="s">
        <v>1040</v>
      </c>
      <c r="T16" s="686" t="s">
        <v>1013</v>
      </c>
      <c r="X16" s="98"/>
    </row>
    <row r="17" spans="2:24" ht="14.25">
      <c r="B17" s="1230" t="s">
        <v>1041</v>
      </c>
      <c r="C17" s="1240">
        <f ca="1">DSUM(MercadoBase,"TUSD_E",INDIRECT("Mercado_Criterio"&amp;$B17))</f>
        <v>0</v>
      </c>
      <c r="D17" s="1241">
        <f ca="1">DSUM(MercadoBase,"Total",INDIRECT("Mercado_Criterio"&amp;$B17))</f>
        <v>0</v>
      </c>
      <c r="E17" s="97"/>
      <c r="F17" s="1242" t="s">
        <v>888</v>
      </c>
      <c r="G17" s="1243">
        <f ca="1">SUM(G8:G16)</f>
        <v>13038028.297464835</v>
      </c>
      <c r="I17" s="227" t="str">
        <f>"Dado referente à "&amp;TEXT(P20,"mmmm/aaaa")</f>
        <v>Dado referente à abril/2022</v>
      </c>
      <c r="L17" s="79"/>
      <c r="P17" s="1226" t="s">
        <v>1008</v>
      </c>
      <c r="Q17" s="1227"/>
      <c r="S17" s="1226" t="s">
        <v>1010</v>
      </c>
      <c r="T17" s="1227"/>
      <c r="X17" s="98"/>
    </row>
    <row r="18" spans="2:24" ht="14.25">
      <c r="B18" s="1230" t="s">
        <v>1042</v>
      </c>
      <c r="C18" s="1240">
        <f ca="1">DSUM(MercadoBase,"TUSD_E",INDIRECT("Mercado_Criterio"&amp;$B18))</f>
        <v>0</v>
      </c>
      <c r="D18" s="1241">
        <f ca="1">DSUM(MercadoBase,"Total",INDIRECT("Mercado_Criterio"&amp;$B18))</f>
        <v>0</v>
      </c>
      <c r="E18" s="97"/>
      <c r="I18" s="1244" t="s">
        <v>1043</v>
      </c>
      <c r="J18" s="1245">
        <f>DSUM('BD MERCADO'!B2:BU724,"UC",C101:C102)</f>
        <v>6494</v>
      </c>
      <c r="L18" s="79"/>
      <c r="P18" s="1654">
        <f>DATE(YEAR(P20),MONTH(P20)-1,1)</f>
        <v>44621</v>
      </c>
      <c r="Q18" s="686"/>
      <c r="S18" s="1655" t="s">
        <v>917</v>
      </c>
      <c r="T18" s="686"/>
      <c r="X18" s="98"/>
    </row>
    <row r="19" spans="2:24" ht="14.25">
      <c r="B19" s="115" t="s">
        <v>1044</v>
      </c>
      <c r="C19" s="99">
        <f ca="1">DSUM(MercadoBase,"TUSD_E",INDIRECT("Mercado_Criterio"&amp;$B19))</f>
        <v>0</v>
      </c>
      <c r="D19" s="114">
        <f ca="1">DSUM(MercadoBase,"Total",INDIRECT("Mercado_Criterio"&amp;$B19))</f>
        <v>0</v>
      </c>
      <c r="E19" s="97"/>
      <c r="L19" s="79"/>
      <c r="P19" s="1226" t="s">
        <v>1008</v>
      </c>
      <c r="Q19" s="1227"/>
      <c r="S19" s="1226" t="s">
        <v>1010</v>
      </c>
      <c r="T19" s="1227" t="s">
        <v>1009</v>
      </c>
      <c r="X19" s="98"/>
    </row>
    <row r="20" spans="2:24" ht="14.25">
      <c r="B20" s="115" t="s">
        <v>1045</v>
      </c>
      <c r="C20" s="99">
        <f ca="1">DSUM(MercadoBase,"TUSD_E",INDIRECT("Mercado_Criterio"&amp;$B20))</f>
        <v>0</v>
      </c>
      <c r="D20" s="114">
        <f ca="1">DSUM(MercadoBase,"Total",INDIRECT("Mercado_Criterio"&amp;$B20))</f>
        <v>0</v>
      </c>
      <c r="L20" s="79"/>
      <c r="P20" s="1654">
        <f>DATE(YEAR(P22),MONTH(P22)-1,1)</f>
        <v>44652</v>
      </c>
      <c r="Q20" s="686"/>
      <c r="S20" s="1655" t="s">
        <v>1042</v>
      </c>
      <c r="T20" s="686" t="s">
        <v>1012</v>
      </c>
    </row>
    <row r="21" spans="2:24" ht="14.25">
      <c r="B21" s="115" t="s">
        <v>1046</v>
      </c>
      <c r="C21" s="99"/>
      <c r="D21" s="114">
        <f ca="1">DSUM(MercadoBase,"Total",INDIRECT("Mercado_Criterio"&amp;$B21))</f>
        <v>0</v>
      </c>
      <c r="E21" s="628"/>
      <c r="F21" s="629"/>
      <c r="G21" s="627"/>
      <c r="L21" s="79"/>
      <c r="P21" s="1226" t="s">
        <v>1008</v>
      </c>
      <c r="Q21" s="1227"/>
      <c r="S21" s="1226" t="s">
        <v>1010</v>
      </c>
      <c r="T21" s="1227"/>
    </row>
    <row r="22" spans="2:24" ht="14.25">
      <c r="B22" s="115" t="s">
        <v>1047</v>
      </c>
      <c r="C22" s="99">
        <f ca="1">C18-C19</f>
        <v>0</v>
      </c>
      <c r="D22" s="114">
        <f ca="1">D18-D19</f>
        <v>0</v>
      </c>
      <c r="F22" s="630"/>
      <c r="G22" s="631"/>
      <c r="L22" s="79"/>
      <c r="M22" s="101"/>
      <c r="N22" s="98"/>
      <c r="O22" s="98"/>
      <c r="P22" s="1654">
        <f>DATE(YEAR(P24),MONTH(P24)-1,1)</f>
        <v>44682</v>
      </c>
      <c r="Q22" s="686"/>
      <c r="S22" s="1655" t="s">
        <v>880</v>
      </c>
      <c r="T22" s="686"/>
      <c r="X22" s="98"/>
    </row>
    <row r="23" spans="2:24" ht="14.25">
      <c r="B23" s="1230" t="s">
        <v>1048</v>
      </c>
      <c r="C23" s="1240">
        <v>0</v>
      </c>
      <c r="D23" s="1241">
        <v>0</v>
      </c>
      <c r="E23" s="628"/>
      <c r="F23" s="630"/>
      <c r="G23" s="631"/>
      <c r="L23" s="79"/>
      <c r="M23" s="101"/>
      <c r="N23" s="98"/>
      <c r="O23" s="98"/>
      <c r="P23" s="1226" t="s">
        <v>1008</v>
      </c>
      <c r="Q23" s="1227"/>
      <c r="S23" s="1226" t="s">
        <v>1010</v>
      </c>
      <c r="T23" s="1227"/>
      <c r="X23" s="98"/>
    </row>
    <row r="24" spans="2:24" ht="14.25">
      <c r="B24" s="1230" t="s">
        <v>1049</v>
      </c>
      <c r="C24" s="1246"/>
      <c r="D24" s="1247"/>
      <c r="E24" s="628"/>
      <c r="F24" s="630"/>
      <c r="G24" s="631"/>
      <c r="L24" s="79"/>
      <c r="P24" s="1654">
        <f>SAS_RA0_DataFim</f>
        <v>44713</v>
      </c>
      <c r="Q24" s="686"/>
      <c r="S24" s="1655" t="s">
        <v>1046</v>
      </c>
      <c r="T24" s="686"/>
      <c r="X24" s="98"/>
    </row>
    <row r="25" spans="2:24" ht="14.25">
      <c r="B25" s="1248" t="s">
        <v>888</v>
      </c>
      <c r="C25" s="1249">
        <f ca="1">C18+C8+C24+C20+C21+SuprimentoE</f>
        <v>16377.068000000003</v>
      </c>
      <c r="D25" s="1250">
        <f ca="1">D18+D8+D24+D20+D21+D17</f>
        <v>13038122.330799989</v>
      </c>
      <c r="E25" s="628"/>
      <c r="N25" s="69">
        <f>SUMIFS('BD MERCADO'!$P$3:$P$6000,'BD MERCADO'!$D$3:$D$6000,"A4",'BD MERCADO'!$I$3:$I$6000,U10)</f>
        <v>60.843999999999994</v>
      </c>
      <c r="S25" s="102" t="s">
        <v>1010</v>
      </c>
      <c r="T25" s="103"/>
      <c r="X25" s="98"/>
    </row>
    <row r="26" spans="2:24" ht="14.25">
      <c r="F26" s="630"/>
      <c r="G26" s="631"/>
      <c r="S26" s="1655" t="s">
        <v>1050</v>
      </c>
      <c r="T26" s="686"/>
      <c r="X26" s="98"/>
    </row>
    <row r="27" spans="2:24" ht="14.25">
      <c r="F27" s="630"/>
      <c r="G27" s="631"/>
      <c r="I27" s="98"/>
      <c r="S27" s="1251" t="s">
        <v>638</v>
      </c>
      <c r="T27" s="1252"/>
      <c r="X27" s="98"/>
    </row>
    <row r="28" spans="2:24" ht="14.25">
      <c r="F28" s="227"/>
      <c r="G28" s="632"/>
      <c r="I28" s="98"/>
      <c r="S28" s="1253" t="s">
        <v>1023</v>
      </c>
      <c r="T28" s="1254"/>
      <c r="X28" s="98"/>
    </row>
    <row r="29" spans="2:24" ht="14.25">
      <c r="I29" s="98"/>
      <c r="S29" s="1251" t="s">
        <v>638</v>
      </c>
      <c r="T29" s="1252"/>
    </row>
    <row r="30" spans="2:24" ht="14.25">
      <c r="I30" s="98"/>
      <c r="S30" s="1253" t="s">
        <v>1024</v>
      </c>
      <c r="T30" s="1254"/>
    </row>
    <row r="31" spans="2:24" ht="16.5">
      <c r="B31"/>
      <c r="C31"/>
      <c r="H31" s="98"/>
      <c r="I31" s="98"/>
      <c r="S31" s="1251" t="s">
        <v>638</v>
      </c>
      <c r="T31" s="1252"/>
      <c r="X31" s="98"/>
    </row>
    <row r="32" spans="2:24" ht="14.25">
      <c r="H32" s="98"/>
      <c r="I32" s="98"/>
      <c r="S32" s="1253" t="s">
        <v>1051</v>
      </c>
      <c r="T32" s="1254"/>
      <c r="X32" s="98"/>
    </row>
    <row r="33" spans="2:24" ht="16.5">
      <c r="B33" s="1686" t="s">
        <v>1052</v>
      </c>
      <c r="C33" s="1687" t="s">
        <v>1053</v>
      </c>
      <c r="D33"/>
      <c r="S33" s="1251" t="s">
        <v>638</v>
      </c>
      <c r="T33" s="1252"/>
      <c r="X33" s="98"/>
    </row>
    <row r="34" spans="2:24" ht="16.5">
      <c r="B34" s="1688">
        <v>44378</v>
      </c>
      <c r="C34" s="1689">
        <v>1269.4320000000002</v>
      </c>
      <c r="D34"/>
      <c r="S34" s="1253" t="s">
        <v>1028</v>
      </c>
      <c r="T34" s="1254"/>
      <c r="X34" s="98"/>
    </row>
    <row r="35" spans="2:24" ht="16.5">
      <c r="B35" s="1688">
        <v>44409</v>
      </c>
      <c r="C35" s="1689">
        <v>1382.6890000000001</v>
      </c>
      <c r="D35"/>
      <c r="S35" s="1251" t="s">
        <v>638</v>
      </c>
      <c r="T35" s="1252"/>
    </row>
    <row r="36" spans="2:24" ht="16.5">
      <c r="B36" s="1688">
        <v>44440</v>
      </c>
      <c r="C36" s="1689">
        <v>1380.69</v>
      </c>
      <c r="D36"/>
      <c r="M36" s="98"/>
      <c r="S36" s="1253" t="s">
        <v>1030</v>
      </c>
      <c r="T36" s="1254"/>
    </row>
    <row r="37" spans="2:24" ht="16.5">
      <c r="B37" s="1688">
        <v>44470</v>
      </c>
      <c r="C37" s="1689">
        <v>1343.3440000000001</v>
      </c>
      <c r="D37"/>
      <c r="M37" s="98"/>
      <c r="S37" s="1251" t="s">
        <v>638</v>
      </c>
      <c r="T37" s="1252"/>
    </row>
    <row r="38" spans="2:24" ht="16.5">
      <c r="B38" s="1688">
        <v>44501</v>
      </c>
      <c r="C38" s="1689">
        <v>1323.627</v>
      </c>
      <c r="D38"/>
      <c r="M38" s="98"/>
      <c r="S38" s="1253" t="s">
        <v>1032</v>
      </c>
      <c r="T38" s="1254"/>
    </row>
    <row r="39" spans="2:24" ht="16.5">
      <c r="B39" s="1688">
        <v>44531</v>
      </c>
      <c r="C39" s="1689">
        <v>1274.8820000000001</v>
      </c>
      <c r="D39"/>
      <c r="S39" s="1251" t="s">
        <v>638</v>
      </c>
      <c r="T39" s="1252"/>
    </row>
    <row r="40" spans="2:24" ht="16.5">
      <c r="B40" s="1688">
        <v>44562</v>
      </c>
      <c r="C40" s="1689">
        <v>1426.9339999999997</v>
      </c>
      <c r="D40"/>
      <c r="S40" s="1253" t="s">
        <v>1054</v>
      </c>
      <c r="T40" s="1254"/>
    </row>
    <row r="41" spans="2:24" ht="16.5">
      <c r="B41" s="1688">
        <v>44593</v>
      </c>
      <c r="C41" s="1689">
        <v>1395.3579999999997</v>
      </c>
      <c r="D41"/>
      <c r="N41" s="98"/>
      <c r="O41" s="98"/>
      <c r="P41" s="98"/>
      <c r="Q41" s="98"/>
      <c r="R41" s="98"/>
      <c r="S41" s="1251" t="s">
        <v>638</v>
      </c>
      <c r="T41" s="1252"/>
    </row>
    <row r="42" spans="2:24" ht="16.5">
      <c r="B42" s="1688">
        <v>44621</v>
      </c>
      <c r="C42" s="1689">
        <v>1408.3359999999998</v>
      </c>
      <c r="D42"/>
      <c r="N42" s="98"/>
      <c r="O42" s="98"/>
      <c r="P42" s="98"/>
      <c r="Q42" s="98"/>
      <c r="R42" s="98"/>
      <c r="S42" s="1253" t="s">
        <v>1055</v>
      </c>
      <c r="T42" s="1254"/>
    </row>
    <row r="43" spans="2:24" ht="16.5">
      <c r="B43" s="1688">
        <v>44652</v>
      </c>
      <c r="C43" s="1689">
        <v>1428.7950000000001</v>
      </c>
      <c r="D43"/>
      <c r="N43" s="98"/>
      <c r="O43" s="98"/>
      <c r="P43" s="98"/>
      <c r="Q43" s="98"/>
      <c r="R43" s="98"/>
      <c r="S43" s="1226" t="s">
        <v>1009</v>
      </c>
      <c r="T43" s="1227" t="s">
        <v>1010</v>
      </c>
    </row>
    <row r="44" spans="2:24" ht="16.5">
      <c r="B44" s="1688">
        <v>44682</v>
      </c>
      <c r="C44" s="1689">
        <v>1346.4159999999999</v>
      </c>
      <c r="D44"/>
      <c r="S44" s="1655" t="s">
        <v>653</v>
      </c>
      <c r="T44" s="686" t="s">
        <v>1042</v>
      </c>
    </row>
    <row r="45" spans="2:24" ht="16.5">
      <c r="B45" s="1688">
        <v>44713</v>
      </c>
      <c r="C45" s="1689">
        <v>1396.5650000000001</v>
      </c>
      <c r="D45"/>
      <c r="S45" s="1226" t="s">
        <v>1009</v>
      </c>
      <c r="T45" s="1227" t="s">
        <v>1010</v>
      </c>
    </row>
    <row r="46" spans="2:24" ht="16.5">
      <c r="B46" s="1688" t="s">
        <v>1056</v>
      </c>
      <c r="C46" s="1689">
        <v>16377.067999999999</v>
      </c>
      <c r="D46"/>
      <c r="S46" s="1655" t="s">
        <v>650</v>
      </c>
      <c r="T46" s="686" t="s">
        <v>1042</v>
      </c>
    </row>
    <row r="47" spans="2:24" ht="16.5">
      <c r="B47"/>
      <c r="C47"/>
      <c r="D47"/>
      <c r="S47" s="1226" t="s">
        <v>1009</v>
      </c>
      <c r="T47" s="1227" t="s">
        <v>1010</v>
      </c>
    </row>
    <row r="48" spans="2:24" ht="16.5">
      <c r="B48"/>
      <c r="C48"/>
      <c r="D48"/>
      <c r="S48" s="1655" t="s">
        <v>652</v>
      </c>
      <c r="T48" s="686" t="s">
        <v>1042</v>
      </c>
    </row>
    <row r="49" spans="2:21" ht="16.5">
      <c r="B49"/>
      <c r="C49"/>
      <c r="D49"/>
      <c r="S49" s="1226" t="s">
        <v>1009</v>
      </c>
      <c r="T49" s="1227" t="s">
        <v>1010</v>
      </c>
    </row>
    <row r="50" spans="2:21" ht="16.5">
      <c r="B50"/>
      <c r="C50"/>
      <c r="D50"/>
      <c r="S50" s="1655" t="s">
        <v>648</v>
      </c>
      <c r="T50" s="686" t="s">
        <v>1042</v>
      </c>
    </row>
    <row r="51" spans="2:21" ht="16.5">
      <c r="B51"/>
      <c r="C51"/>
      <c r="S51" s="1226" t="s">
        <v>1009</v>
      </c>
      <c r="T51" s="1227" t="s">
        <v>1010</v>
      </c>
    </row>
    <row r="52" spans="2:21" ht="16.5">
      <c r="B52"/>
      <c r="C52"/>
      <c r="S52" s="1655" t="s">
        <v>1014</v>
      </c>
      <c r="T52" s="686" t="s">
        <v>1042</v>
      </c>
    </row>
    <row r="53" spans="2:21" ht="16.5">
      <c r="B53"/>
      <c r="C53"/>
      <c r="S53" s="1226" t="s">
        <v>1009</v>
      </c>
      <c r="T53" s="1227" t="s">
        <v>1010</v>
      </c>
    </row>
    <row r="54" spans="2:21" ht="14.25">
      <c r="S54" s="1655" t="s">
        <v>1031</v>
      </c>
      <c r="T54" s="686" t="s">
        <v>1042</v>
      </c>
    </row>
    <row r="55" spans="2:21" ht="14.25"/>
    <row r="56" spans="2:21" ht="14.25"/>
    <row r="57" spans="2:21" ht="14.25"/>
    <row r="58" spans="2:21" ht="14.25">
      <c r="B58" s="112"/>
      <c r="C58" s="70"/>
      <c r="D58" s="70"/>
      <c r="E58" s="70"/>
      <c r="F58" s="70"/>
      <c r="G58" s="70"/>
      <c r="H58" s="70"/>
      <c r="I58" s="70"/>
      <c r="J58" s="70"/>
    </row>
    <row r="59" spans="2:21" ht="14.25"/>
    <row r="60" spans="2:21" ht="14.25"/>
    <row r="61" spans="2:21" ht="14.25">
      <c r="B61" s="95" t="s">
        <v>1057</v>
      </c>
      <c r="K61" s="68"/>
    </row>
    <row r="62" spans="2:21" ht="14.25">
      <c r="B62" s="1599" t="s">
        <v>1058</v>
      </c>
      <c r="C62" s="1599"/>
      <c r="D62" s="1599" t="s">
        <v>1022</v>
      </c>
      <c r="E62" s="1599" t="s">
        <v>54</v>
      </c>
      <c r="F62" s="1599" t="s">
        <v>1025</v>
      </c>
      <c r="G62" s="1599" t="s">
        <v>52</v>
      </c>
      <c r="H62" s="1599" t="s">
        <v>46</v>
      </c>
      <c r="I62" s="1599" t="s">
        <v>44</v>
      </c>
      <c r="J62" s="1599" t="s">
        <v>163</v>
      </c>
      <c r="K62" s="1599" t="s">
        <v>1059</v>
      </c>
      <c r="L62" s="1599" t="s">
        <v>1060</v>
      </c>
      <c r="M62" s="1599" t="s">
        <v>1061</v>
      </c>
      <c r="N62" s="1599" t="s">
        <v>1062</v>
      </c>
      <c r="O62" s="1599" t="s">
        <v>1063</v>
      </c>
      <c r="P62" s="1599" t="s">
        <v>1064</v>
      </c>
      <c r="Q62" s="1599" t="s">
        <v>1065</v>
      </c>
      <c r="R62" s="1599" t="s">
        <v>1066</v>
      </c>
      <c r="S62" s="1599" t="s">
        <v>1067</v>
      </c>
      <c r="T62" s="1599" t="s">
        <v>1068</v>
      </c>
      <c r="U62" s="1599" t="s">
        <v>1069</v>
      </c>
    </row>
    <row r="63" spans="2:21" ht="14.25">
      <c r="B63" s="119">
        <f t="shared" ref="B63:B73" si="3">DATE(YEAR(B64),MONTH(B64)-1,1)</f>
        <v>44378</v>
      </c>
      <c r="C63" s="104"/>
      <c r="D63" s="104">
        <f t="shared" ref="D63:U74" ca="1" si="4">DSUM(MercadoBase,D$62,INDIRECT("P"&amp;5+2*(ROW()-65)&amp;":P"&amp;6+2*(ROW()-65)))</f>
        <v>0</v>
      </c>
      <c r="E63" s="104">
        <f t="shared" ca="1" si="4"/>
        <v>0</v>
      </c>
      <c r="F63" s="104">
        <f t="shared" ca="1" si="4"/>
        <v>0</v>
      </c>
      <c r="G63" s="104">
        <f t="shared" ca="1" si="4"/>
        <v>11600.304833467606</v>
      </c>
      <c r="H63" s="104">
        <f t="shared" ca="1" si="4"/>
        <v>74602.38832820773</v>
      </c>
      <c r="I63" s="104">
        <f t="shared" ca="1" si="4"/>
        <v>2800.6484114159525</v>
      </c>
      <c r="J63" s="104">
        <f t="shared" ca="1" si="4"/>
        <v>0</v>
      </c>
      <c r="K63" s="104">
        <f t="shared" ca="1" si="4"/>
        <v>0</v>
      </c>
      <c r="L63" s="104">
        <f t="shared" ca="1" si="4"/>
        <v>0</v>
      </c>
      <c r="M63" s="104">
        <f t="shared" ca="1" si="4"/>
        <v>0</v>
      </c>
      <c r="N63" s="104">
        <f t="shared" ca="1" si="4"/>
        <v>225.20816999999997</v>
      </c>
      <c r="O63" s="104">
        <f t="shared" ca="1" si="4"/>
        <v>4479.7491200000031</v>
      </c>
      <c r="P63" s="104">
        <f t="shared" ca="1" si="4"/>
        <v>0</v>
      </c>
      <c r="Q63" s="104">
        <f t="shared" ca="1" si="4"/>
        <v>4069.2436399999997</v>
      </c>
      <c r="R63" s="104">
        <f t="shared" ca="1" si="4"/>
        <v>607507.1662001611</v>
      </c>
      <c r="S63" s="104">
        <f ca="1">DSUM(MercadoBase,S$62,INDIRECT("P"&amp;5+2*(ROW()-65)&amp;":P"&amp;6+2*(ROW()-65)))</f>
        <v>0</v>
      </c>
      <c r="T63" s="104">
        <f t="shared" ca="1" si="4"/>
        <v>-179588.7080084832</v>
      </c>
      <c r="U63" s="104">
        <f t="shared" ca="1" si="4"/>
        <v>0</v>
      </c>
    </row>
    <row r="64" spans="2:21" ht="14.25">
      <c r="B64" s="119">
        <f t="shared" si="3"/>
        <v>44409</v>
      </c>
      <c r="C64" s="104"/>
      <c r="D64" s="104">
        <f t="shared" ca="1" si="4"/>
        <v>0</v>
      </c>
      <c r="E64" s="104">
        <f t="shared" ca="1" si="4"/>
        <v>0</v>
      </c>
      <c r="F64" s="104">
        <f t="shared" ca="1" si="4"/>
        <v>0</v>
      </c>
      <c r="G64" s="104">
        <f t="shared" ca="1" si="4"/>
        <v>12643.395309143909</v>
      </c>
      <c r="H64" s="104">
        <f t="shared" ca="1" si="4"/>
        <v>81262.403733961095</v>
      </c>
      <c r="I64" s="104">
        <f t="shared" ca="1" si="4"/>
        <v>3044.9745186158016</v>
      </c>
      <c r="J64" s="104">
        <f t="shared" ca="1" si="4"/>
        <v>0</v>
      </c>
      <c r="K64" s="104">
        <f t="shared" ca="1" si="4"/>
        <v>0</v>
      </c>
      <c r="L64" s="104">
        <f t="shared" ca="1" si="4"/>
        <v>0</v>
      </c>
      <c r="M64" s="104">
        <f t="shared" ca="1" si="4"/>
        <v>0</v>
      </c>
      <c r="N64" s="104">
        <f t="shared" ca="1" si="4"/>
        <v>270.6630300000005</v>
      </c>
      <c r="O64" s="104">
        <f t="shared" ca="1" si="4"/>
        <v>4917.5758400000032</v>
      </c>
      <c r="P64" s="104">
        <f t="shared" ca="1" si="4"/>
        <v>0</v>
      </c>
      <c r="Q64" s="104">
        <f t="shared" ca="1" si="4"/>
        <v>4288.9516199999989</v>
      </c>
      <c r="R64" s="104">
        <f t="shared" ca="1" si="4"/>
        <v>660215.71879023872</v>
      </c>
      <c r="S64" s="104">
        <f t="shared" ca="1" si="4"/>
        <v>0</v>
      </c>
      <c r="T64" s="104">
        <f t="shared" ca="1" si="4"/>
        <v>-195170.18817415152</v>
      </c>
      <c r="U64" s="104">
        <f t="shared" ca="1" si="4"/>
        <v>0</v>
      </c>
    </row>
    <row r="65" spans="2:21" ht="14.25">
      <c r="B65" s="119">
        <f t="shared" si="3"/>
        <v>44440</v>
      </c>
      <c r="C65" s="104"/>
      <c r="D65" s="104">
        <f t="shared" ca="1" si="4"/>
        <v>0</v>
      </c>
      <c r="E65" s="104">
        <f t="shared" ca="1" si="4"/>
        <v>0</v>
      </c>
      <c r="F65" s="104">
        <f t="shared" ca="1" si="4"/>
        <v>0</v>
      </c>
      <c r="G65" s="104">
        <f t="shared" ca="1" si="4"/>
        <v>12637.340401234973</v>
      </c>
      <c r="H65" s="104">
        <f t="shared" ca="1" si="4"/>
        <v>81012.046001274008</v>
      </c>
      <c r="I65" s="104">
        <f t="shared" ca="1" si="4"/>
        <v>3005.8376947406741</v>
      </c>
      <c r="J65" s="104">
        <f t="shared" ca="1" si="4"/>
        <v>0</v>
      </c>
      <c r="K65" s="104">
        <f t="shared" ca="1" si="4"/>
        <v>0</v>
      </c>
      <c r="L65" s="104">
        <f t="shared" ca="1" si="4"/>
        <v>0</v>
      </c>
      <c r="M65" s="104">
        <f t="shared" ca="1" si="4"/>
        <v>0</v>
      </c>
      <c r="N65" s="104">
        <f t="shared" ca="1" si="4"/>
        <v>262.39850999999953</v>
      </c>
      <c r="O65" s="104">
        <f t="shared" ca="1" si="4"/>
        <v>4648.5826400000033</v>
      </c>
      <c r="P65" s="104">
        <f t="shared" ca="1" si="4"/>
        <v>0</v>
      </c>
      <c r="Q65" s="104">
        <f t="shared" ca="1" si="4"/>
        <v>4142.6246599999995</v>
      </c>
      <c r="R65" s="104">
        <f t="shared" ca="1" si="4"/>
        <v>650697.63519166608</v>
      </c>
      <c r="S65" s="104">
        <f t="shared" ca="1" si="4"/>
        <v>0</v>
      </c>
      <c r="T65" s="104">
        <f t="shared" ca="1" si="4"/>
        <v>-192356.49241665794</v>
      </c>
      <c r="U65" s="104">
        <f t="shared" ca="1" si="4"/>
        <v>0</v>
      </c>
    </row>
    <row r="66" spans="2:21" ht="14.25">
      <c r="B66" s="119">
        <f t="shared" si="3"/>
        <v>44470</v>
      </c>
      <c r="C66" s="104"/>
      <c r="D66" s="104">
        <f ca="1">DSUM(MercadoBase,D$62,INDIRECT("P"&amp;5+2*(ROW()-65)&amp;":P"&amp;6+2*(ROW()-65)))</f>
        <v>0</v>
      </c>
      <c r="E66" s="104">
        <f t="shared" ca="1" si="4"/>
        <v>0</v>
      </c>
      <c r="F66" s="104">
        <f t="shared" ca="1" si="4"/>
        <v>0</v>
      </c>
      <c r="G66" s="104">
        <f t="shared" ca="1" si="4"/>
        <v>12263.991879863821</v>
      </c>
      <c r="H66" s="104">
        <f t="shared" ca="1" si="4"/>
        <v>79073.19387385658</v>
      </c>
      <c r="I66" s="104">
        <f t="shared" ca="1" si="4"/>
        <v>2998.4443959239734</v>
      </c>
      <c r="J66" s="104">
        <f t="shared" ca="1" si="4"/>
        <v>0</v>
      </c>
      <c r="K66" s="104">
        <f t="shared" ca="1" si="4"/>
        <v>0</v>
      </c>
      <c r="L66" s="104">
        <f t="shared" ca="1" si="4"/>
        <v>0</v>
      </c>
      <c r="M66" s="104">
        <f t="shared" ca="1" si="4"/>
        <v>0</v>
      </c>
      <c r="N66" s="104">
        <f t="shared" ca="1" si="4"/>
        <v>299.58884999999975</v>
      </c>
      <c r="O66" s="104">
        <f t="shared" ca="1" si="4"/>
        <v>4677.0934400000024</v>
      </c>
      <c r="P66" s="104">
        <f t="shared" ca="1" si="4"/>
        <v>0</v>
      </c>
      <c r="Q66" s="104">
        <f t="shared" ca="1" si="4"/>
        <v>4458.5819199999996</v>
      </c>
      <c r="R66" s="104">
        <f t="shared" ca="1" si="4"/>
        <v>658203.04660506954</v>
      </c>
      <c r="S66" s="104">
        <f t="shared" ca="1" si="4"/>
        <v>0</v>
      </c>
      <c r="T66" s="104">
        <f t="shared" ca="1" si="4"/>
        <v>-194575.21050559188</v>
      </c>
      <c r="U66" s="104">
        <f t="shared" ca="1" si="4"/>
        <v>0</v>
      </c>
    </row>
    <row r="67" spans="2:21" ht="14.25">
      <c r="B67" s="119">
        <f t="shared" si="3"/>
        <v>44501</v>
      </c>
      <c r="C67" s="104"/>
      <c r="D67" s="104">
        <f ca="1">DSUM(MercadoBase,D$62,INDIRECT("P"&amp;5+2*(ROW()-65)&amp;":P"&amp;6+2*(ROW()-65)))</f>
        <v>0</v>
      </c>
      <c r="E67" s="104">
        <f ca="1">DSUM(MercadoBase,E$62,INDIRECT("P"&amp;5+2*(ROW()-65)&amp;":P"&amp;6+2*(ROW()-65)))</f>
        <v>0</v>
      </c>
      <c r="F67" s="104">
        <f t="shared" ca="1" si="4"/>
        <v>0</v>
      </c>
      <c r="G67" s="104">
        <f t="shared" ca="1" si="4"/>
        <v>12062.451429441762</v>
      </c>
      <c r="H67" s="104">
        <f t="shared" ca="1" si="4"/>
        <v>77361.891602503412</v>
      </c>
      <c r="I67" s="104">
        <f t="shared" ca="1" si="4"/>
        <v>2885.7596996331577</v>
      </c>
      <c r="J67" s="104">
        <f t="shared" ca="1" si="4"/>
        <v>0</v>
      </c>
      <c r="K67" s="104">
        <f t="shared" ca="1" si="4"/>
        <v>0</v>
      </c>
      <c r="L67" s="104">
        <f t="shared" ca="1" si="4"/>
        <v>0</v>
      </c>
      <c r="M67" s="104">
        <f t="shared" ca="1" si="4"/>
        <v>0</v>
      </c>
      <c r="N67" s="104">
        <f t="shared" ca="1" si="4"/>
        <v>297.52272000000028</v>
      </c>
      <c r="O67" s="104">
        <f t="shared" ca="1" si="4"/>
        <v>4433.5533600000035</v>
      </c>
      <c r="P67" s="104">
        <f t="shared" ca="1" si="4"/>
        <v>0</v>
      </c>
      <c r="Q67" s="104">
        <f t="shared" ca="1" si="4"/>
        <v>4845.1265800000001</v>
      </c>
      <c r="R67" s="104">
        <f t="shared" ca="1" si="4"/>
        <v>627295.56325550762</v>
      </c>
      <c r="S67" s="104">
        <f t="shared" ca="1" si="4"/>
        <v>0</v>
      </c>
      <c r="T67" s="104">
        <f t="shared" ca="1" si="4"/>
        <v>-185438.47054372483</v>
      </c>
      <c r="U67" s="104">
        <f t="shared" ca="1" si="4"/>
        <v>0</v>
      </c>
    </row>
    <row r="68" spans="2:21" ht="14.25">
      <c r="B68" s="119">
        <f t="shared" si="3"/>
        <v>44531</v>
      </c>
      <c r="C68" s="104"/>
      <c r="D68" s="104">
        <f t="shared" ca="1" si="4"/>
        <v>0</v>
      </c>
      <c r="E68" s="104">
        <f t="shared" ca="1" si="4"/>
        <v>0</v>
      </c>
      <c r="F68" s="104">
        <f t="shared" ca="1" si="4"/>
        <v>0</v>
      </c>
      <c r="G68" s="104">
        <f t="shared" ca="1" si="4"/>
        <v>11619.792371097608</v>
      </c>
      <c r="H68" s="104">
        <f t="shared" ca="1" si="4"/>
        <v>74556.518502643274</v>
      </c>
      <c r="I68" s="104">
        <f t="shared" ca="1" si="4"/>
        <v>2785.0138251492472</v>
      </c>
      <c r="J68" s="104">
        <f t="shared" ca="1" si="4"/>
        <v>0</v>
      </c>
      <c r="K68" s="104">
        <f t="shared" ca="1" si="4"/>
        <v>0</v>
      </c>
      <c r="L68" s="104">
        <f t="shared" ca="1" si="4"/>
        <v>0</v>
      </c>
      <c r="M68" s="104">
        <f t="shared" ca="1" si="4"/>
        <v>0</v>
      </c>
      <c r="N68" s="104">
        <f t="shared" ca="1" si="4"/>
        <v>258.26625000000001</v>
      </c>
      <c r="O68" s="104">
        <f t="shared" ca="1" si="4"/>
        <v>4702.9597600000034</v>
      </c>
      <c r="P68" s="104">
        <f t="shared" ca="1" si="4"/>
        <v>0</v>
      </c>
      <c r="Q68" s="104">
        <f t="shared" ca="1" si="4"/>
        <v>4926.3740799999996</v>
      </c>
      <c r="R68" s="104">
        <f t="shared" ca="1" si="4"/>
        <v>612574.51349110133</v>
      </c>
      <c r="S68" s="104">
        <f t="shared" ca="1" si="4"/>
        <v>0</v>
      </c>
      <c r="T68" s="104">
        <f t="shared" ca="1" si="4"/>
        <v>-181086.69585725601</v>
      </c>
      <c r="U68" s="104">
        <f t="shared" ca="1" si="4"/>
        <v>0</v>
      </c>
    </row>
    <row r="69" spans="2:21" ht="14.25">
      <c r="B69" s="119">
        <f t="shared" si="3"/>
        <v>44562</v>
      </c>
      <c r="C69" s="104"/>
      <c r="D69" s="104">
        <f t="shared" ca="1" si="4"/>
        <v>0</v>
      </c>
      <c r="E69" s="104">
        <f t="shared" ca="1" si="4"/>
        <v>0</v>
      </c>
      <c r="F69" s="104">
        <f t="shared" ca="1" si="4"/>
        <v>0</v>
      </c>
      <c r="G69" s="104">
        <f t="shared" ca="1" si="4"/>
        <v>13011.873835167042</v>
      </c>
      <c r="H69" s="104">
        <f t="shared" ca="1" si="4"/>
        <v>83371.006707907785</v>
      </c>
      <c r="I69" s="104">
        <f t="shared" ca="1" si="4"/>
        <v>3101.3448787646134</v>
      </c>
      <c r="J69" s="104">
        <f t="shared" ca="1" si="4"/>
        <v>0</v>
      </c>
      <c r="K69" s="104">
        <f t="shared" ca="1" si="4"/>
        <v>0</v>
      </c>
      <c r="L69" s="104">
        <f t="shared" ca="1" si="4"/>
        <v>0</v>
      </c>
      <c r="M69" s="104">
        <f t="shared" ca="1" si="4"/>
        <v>0</v>
      </c>
      <c r="N69" s="104">
        <f t="shared" ca="1" si="4"/>
        <v>314.05175999999966</v>
      </c>
      <c r="O69" s="104">
        <f t="shared" ca="1" si="4"/>
        <v>4878.569760000004</v>
      </c>
      <c r="P69" s="104">
        <f t="shared" ca="1" si="4"/>
        <v>0</v>
      </c>
      <c r="Q69" s="104">
        <f t="shared" ca="1" si="4"/>
        <v>5204.8390799999988</v>
      </c>
      <c r="R69" s="104">
        <f t="shared" ca="1" si="4"/>
        <v>670392.94403378095</v>
      </c>
      <c r="S69" s="104">
        <f t="shared" ca="1" si="4"/>
        <v>0</v>
      </c>
      <c r="T69" s="104">
        <f t="shared" ca="1" si="4"/>
        <v>-198178.73660664348</v>
      </c>
      <c r="U69" s="104">
        <f t="shared" ca="1" si="4"/>
        <v>0</v>
      </c>
    </row>
    <row r="70" spans="2:21" ht="14.25">
      <c r="B70" s="119">
        <f t="shared" si="3"/>
        <v>44593</v>
      </c>
      <c r="C70" s="104"/>
      <c r="D70" s="104">
        <f t="shared" ca="1" si="4"/>
        <v>0</v>
      </c>
      <c r="E70" s="104">
        <f t="shared" ca="1" si="4"/>
        <v>0</v>
      </c>
      <c r="F70" s="104">
        <f t="shared" ca="1" si="4"/>
        <v>0</v>
      </c>
      <c r="G70" s="104">
        <f t="shared" ca="1" si="4"/>
        <v>12620.2713320085</v>
      </c>
      <c r="H70" s="104">
        <f t="shared" ca="1" si="4"/>
        <v>80445.455568979902</v>
      </c>
      <c r="I70" s="104">
        <f t="shared" ca="1" si="4"/>
        <v>2965.5996637981652</v>
      </c>
      <c r="J70" s="104">
        <f t="shared" ca="1" si="4"/>
        <v>0</v>
      </c>
      <c r="K70" s="104">
        <f t="shared" ca="1" si="4"/>
        <v>0</v>
      </c>
      <c r="L70" s="104">
        <f t="shared" ca="1" si="4"/>
        <v>0</v>
      </c>
      <c r="M70" s="104">
        <f t="shared" ca="1" si="4"/>
        <v>0</v>
      </c>
      <c r="N70" s="104">
        <f t="shared" ca="1" si="4"/>
        <v>301.6549799999998</v>
      </c>
      <c r="O70" s="104">
        <f t="shared" ca="1" si="4"/>
        <v>5100.1276000000043</v>
      </c>
      <c r="P70" s="104">
        <f t="shared" ca="1" si="4"/>
        <v>0</v>
      </c>
      <c r="Q70" s="104">
        <f t="shared" ca="1" si="4"/>
        <v>7227.2463600000001</v>
      </c>
      <c r="R70" s="104">
        <f t="shared" ca="1" si="4"/>
        <v>640598.56892507302</v>
      </c>
      <c r="S70" s="104">
        <f t="shared" ca="1" si="4"/>
        <v>0</v>
      </c>
      <c r="T70" s="104">
        <f t="shared" ca="1" si="4"/>
        <v>-189371.04901151467</v>
      </c>
      <c r="U70" s="104">
        <f t="shared" ca="1" si="4"/>
        <v>0</v>
      </c>
    </row>
    <row r="71" spans="2:21" ht="14.25">
      <c r="B71" s="119">
        <f t="shared" si="3"/>
        <v>44621</v>
      </c>
      <c r="C71" s="104"/>
      <c r="D71" s="104">
        <f t="shared" ca="1" si="4"/>
        <v>0</v>
      </c>
      <c r="E71" s="104">
        <f t="shared" ca="1" si="4"/>
        <v>0</v>
      </c>
      <c r="F71" s="104">
        <f t="shared" ca="1" si="4"/>
        <v>0</v>
      </c>
      <c r="G71" s="104">
        <f t="shared" ca="1" si="4"/>
        <v>12495.390804479335</v>
      </c>
      <c r="H71" s="104">
        <f t="shared" ca="1" si="4"/>
        <v>79144.307860851259</v>
      </c>
      <c r="I71" s="104">
        <f t="shared" ca="1" si="4"/>
        <v>2919.4940540950056</v>
      </c>
      <c r="J71" s="104">
        <f t="shared" ca="1" si="4"/>
        <v>0</v>
      </c>
      <c r="K71" s="104">
        <f t="shared" ca="1" si="4"/>
        <v>0</v>
      </c>
      <c r="L71" s="104">
        <f t="shared" ca="1" si="4"/>
        <v>0</v>
      </c>
      <c r="M71" s="104">
        <f t="shared" ca="1" si="4"/>
        <v>0</v>
      </c>
      <c r="N71" s="104">
        <f t="shared" ca="1" si="4"/>
        <v>169.42265999999969</v>
      </c>
      <c r="O71" s="104">
        <f t="shared" ca="1" si="4"/>
        <v>4421.1573600000029</v>
      </c>
      <c r="P71" s="104">
        <f t="shared" ca="1" si="4"/>
        <v>0</v>
      </c>
      <c r="Q71" s="104">
        <f t="shared" ca="1" si="4"/>
        <v>13285.051379999997</v>
      </c>
      <c r="R71" s="104">
        <f t="shared" ca="1" si="4"/>
        <v>626372.88414274482</v>
      </c>
      <c r="S71" s="104">
        <f t="shared" ca="1" si="4"/>
        <v>0</v>
      </c>
      <c r="T71" s="104">
        <f t="shared" ca="1" si="4"/>
        <v>-185165.7120332304</v>
      </c>
      <c r="U71" s="104">
        <f t="shared" ca="1" si="4"/>
        <v>0</v>
      </c>
    </row>
    <row r="72" spans="2:21" ht="14.25">
      <c r="B72" s="119">
        <f t="shared" si="3"/>
        <v>44652</v>
      </c>
      <c r="C72" s="104"/>
      <c r="D72" s="104">
        <f t="shared" ca="1" si="4"/>
        <v>0</v>
      </c>
      <c r="E72" s="104">
        <f t="shared" ca="1" si="4"/>
        <v>0</v>
      </c>
      <c r="F72" s="104">
        <f t="shared" ca="1" si="4"/>
        <v>0</v>
      </c>
      <c r="G72" s="104">
        <f t="shared" ca="1" si="4"/>
        <v>12347.792447603684</v>
      </c>
      <c r="H72" s="104">
        <f t="shared" ca="1" si="4"/>
        <v>78535.796717448669</v>
      </c>
      <c r="I72" s="104">
        <f t="shared" ca="1" si="4"/>
        <v>3018.2382164746168</v>
      </c>
      <c r="J72" s="104">
        <f t="shared" ca="1" si="4"/>
        <v>0</v>
      </c>
      <c r="K72" s="104">
        <f t="shared" ca="1" si="4"/>
        <v>0</v>
      </c>
      <c r="L72" s="104">
        <f t="shared" ca="1" si="4"/>
        <v>0</v>
      </c>
      <c r="M72" s="104">
        <f t="shared" ca="1" si="4"/>
        <v>0</v>
      </c>
      <c r="N72" s="104">
        <f t="shared" ca="1" si="4"/>
        <v>359.50661999999897</v>
      </c>
      <c r="O72" s="104">
        <f t="shared" ca="1" si="4"/>
        <v>4454.6265600000033</v>
      </c>
      <c r="P72" s="104">
        <f t="shared" ca="1" si="4"/>
        <v>0</v>
      </c>
      <c r="Q72" s="104">
        <f t="shared" ca="1" si="4"/>
        <v>18935.442639999994</v>
      </c>
      <c r="R72" s="104">
        <f t="shared" ca="1" si="4"/>
        <v>648833.78304966656</v>
      </c>
      <c r="S72" s="104">
        <f t="shared" ca="1" si="4"/>
        <v>0</v>
      </c>
      <c r="T72" s="104">
        <f t="shared" ca="1" si="4"/>
        <v>-191805.50830202727</v>
      </c>
      <c r="U72" s="104">
        <f t="shared" ca="1" si="4"/>
        <v>0</v>
      </c>
    </row>
    <row r="73" spans="2:21" ht="14.25">
      <c r="B73" s="119">
        <f t="shared" si="3"/>
        <v>44682</v>
      </c>
      <c r="C73" s="104"/>
      <c r="D73" s="104">
        <f t="shared" ca="1" si="4"/>
        <v>0</v>
      </c>
      <c r="E73" s="104">
        <f t="shared" ca="1" si="4"/>
        <v>0</v>
      </c>
      <c r="F73" s="104">
        <f t="shared" ca="1" si="4"/>
        <v>0</v>
      </c>
      <c r="G73" s="104">
        <f t="shared" ca="1" si="4"/>
        <v>11568.094007952526</v>
      </c>
      <c r="H73" s="104">
        <f t="shared" ca="1" si="4"/>
        <v>73529.189296393859</v>
      </c>
      <c r="I73" s="104">
        <f t="shared" ca="1" si="4"/>
        <v>2836.5978218975638</v>
      </c>
      <c r="J73" s="104">
        <f t="shared" ca="1" si="4"/>
        <v>0</v>
      </c>
      <c r="K73" s="104">
        <f t="shared" ca="1" si="4"/>
        <v>0</v>
      </c>
      <c r="L73" s="104">
        <f t="shared" ca="1" si="4"/>
        <v>0</v>
      </c>
      <c r="M73" s="104">
        <f t="shared" ca="1" si="4"/>
        <v>0</v>
      </c>
      <c r="N73" s="104">
        <f t="shared" ca="1" si="4"/>
        <v>367.77114000000046</v>
      </c>
      <c r="O73" s="104">
        <f t="shared" ca="1" si="4"/>
        <v>4513.3836000000028</v>
      </c>
      <c r="P73" s="104">
        <f t="shared" ca="1" si="4"/>
        <v>0</v>
      </c>
      <c r="Q73" s="104">
        <f t="shared" ca="1" si="4"/>
        <v>19933.813079999996</v>
      </c>
      <c r="R73" s="104">
        <f t="shared" ca="1" si="4"/>
        <v>607477.2618911959</v>
      </c>
      <c r="S73" s="104">
        <f t="shared" ca="1" si="4"/>
        <v>0</v>
      </c>
      <c r="T73" s="104">
        <f t="shared" ca="1" si="4"/>
        <v>-179579.86782270478</v>
      </c>
      <c r="U73" s="104">
        <f t="shared" ca="1" si="4"/>
        <v>0</v>
      </c>
    </row>
    <row r="74" spans="2:21" ht="14.25">
      <c r="B74" s="119">
        <f>SAS_RA0_DataFim</f>
        <v>44713</v>
      </c>
      <c r="C74" s="104"/>
      <c r="D74" s="104">
        <f t="shared" ca="1" si="4"/>
        <v>0</v>
      </c>
      <c r="E74" s="104">
        <f t="shared" ca="1" si="4"/>
        <v>0</v>
      </c>
      <c r="F74" s="104">
        <f t="shared" ca="1" si="4"/>
        <v>0</v>
      </c>
      <c r="G74" s="104">
        <f t="shared" ca="1" si="4"/>
        <v>11939.821716286986</v>
      </c>
      <c r="H74" s="104">
        <f t="shared" ca="1" si="4"/>
        <v>76047.413648145972</v>
      </c>
      <c r="I74" s="104">
        <f t="shared" ca="1" si="4"/>
        <v>2968.6496406756291</v>
      </c>
      <c r="J74" s="104">
        <f t="shared" ca="1" si="4"/>
        <v>0</v>
      </c>
      <c r="K74" s="104">
        <f t="shared" ca="1" si="4"/>
        <v>0</v>
      </c>
      <c r="L74" s="104">
        <f t="shared" ca="1" si="4"/>
        <v>0</v>
      </c>
      <c r="M74" s="104">
        <f t="shared" ca="1" si="4"/>
        <v>0</v>
      </c>
      <c r="N74" s="104">
        <f t="shared" ca="1" si="4"/>
        <v>357.44049000000012</v>
      </c>
      <c r="O74" s="104">
        <f t="shared" ca="1" si="4"/>
        <v>4531.8123200000036</v>
      </c>
      <c r="P74" s="104">
        <f t="shared" ca="1" si="4"/>
        <v>0</v>
      </c>
      <c r="Q74" s="104">
        <f t="shared" ca="1" si="4"/>
        <v>21041.895919999999</v>
      </c>
      <c r="R74" s="104">
        <f t="shared" ca="1" si="4"/>
        <v>639920.87868019193</v>
      </c>
      <c r="S74" s="104">
        <f t="shared" ca="1" si="4"/>
        <v>0</v>
      </c>
      <c r="T74" s="104">
        <f t="shared" ca="1" si="4"/>
        <v>-189170.71307758757</v>
      </c>
      <c r="U74" s="104">
        <f t="shared" ca="1" si="4"/>
        <v>0</v>
      </c>
    </row>
    <row r="75" spans="2:21" ht="14.25">
      <c r="B75" s="1255" t="s">
        <v>1070</v>
      </c>
      <c r="C75" s="1256"/>
      <c r="D75" s="1256">
        <f t="shared" ref="D75:Q75" ca="1" si="5">SUM(D63:D74)</f>
        <v>0</v>
      </c>
      <c r="E75" s="1256">
        <f t="shared" ca="1" si="5"/>
        <v>0</v>
      </c>
      <c r="F75" s="1256">
        <f t="shared" ca="1" si="5"/>
        <v>0</v>
      </c>
      <c r="G75" s="1256">
        <f t="shared" ca="1" si="5"/>
        <v>146810.52036774775</v>
      </c>
      <c r="H75" s="1256">
        <f t="shared" ca="1" si="5"/>
        <v>938941.61184217362</v>
      </c>
      <c r="I75" s="1256">
        <f t="shared" ca="1" si="5"/>
        <v>35330.602821184402</v>
      </c>
      <c r="J75" s="1256">
        <f t="shared" ca="1" si="5"/>
        <v>0</v>
      </c>
      <c r="K75" s="1256">
        <f t="shared" ca="1" si="5"/>
        <v>0</v>
      </c>
      <c r="L75" s="1256">
        <f t="shared" ca="1" si="5"/>
        <v>0</v>
      </c>
      <c r="M75" s="1256">
        <f t="shared" ca="1" si="5"/>
        <v>0</v>
      </c>
      <c r="N75" s="1256">
        <f t="shared" ca="1" si="5"/>
        <v>3483.4951799999985</v>
      </c>
      <c r="O75" s="1256">
        <f t="shared" ca="1" si="5"/>
        <v>55759.191360000048</v>
      </c>
      <c r="P75" s="1256">
        <f t="shared" ca="1" si="5"/>
        <v>0</v>
      </c>
      <c r="Q75" s="1256">
        <f t="shared" ca="1" si="5"/>
        <v>112359.19095999996</v>
      </c>
      <c r="R75" s="1256">
        <f t="shared" ref="R75:S75" ca="1" si="6">SUM(R63:R74)</f>
        <v>7650089.9642563974</v>
      </c>
      <c r="S75" s="1256">
        <f t="shared" ca="1" si="6"/>
        <v>0</v>
      </c>
      <c r="T75" s="1256">
        <f t="shared" ref="T75:U75" ca="1" si="7">SUM(T63:T74)</f>
        <v>-2261487.3523595738</v>
      </c>
      <c r="U75" s="1256">
        <f t="shared" ca="1" si="7"/>
        <v>0</v>
      </c>
    </row>
    <row r="76" spans="2:21" ht="14.25">
      <c r="B76" s="68"/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</row>
    <row r="77" spans="2:21" ht="14.25">
      <c r="B77" s="95" t="s">
        <v>1071</v>
      </c>
    </row>
    <row r="78" spans="2:21" ht="14.25">
      <c r="J78" s="95" t="s">
        <v>1072</v>
      </c>
      <c r="K78" s="1257">
        <f>SUMIFS(M63:M74,$B$63:$B$74,42826)+SUMIFS(N63:N74,$B$63:$B$74,42826)+SUMIFS(O63:O74,$B$63:$B$74,42826)+SUMIFS(P63:P74,$B$63:$B$74,42826)+SUMIFS(Q63:Q74,$B$63:$B$74,42826)</f>
        <v>0</v>
      </c>
      <c r="L78" s="69"/>
      <c r="M78" s="69"/>
      <c r="N78" s="69"/>
      <c r="O78" s="69"/>
      <c r="P78" s="69"/>
      <c r="Q78" s="69"/>
    </row>
    <row r="79" spans="2:21" ht="14.25">
      <c r="B79" s="1600" t="s">
        <v>1073</v>
      </c>
      <c r="C79" s="1601">
        <f t="shared" ref="C79:C84" ca="1" si="8">SUM(INDIRECT("dados_MercadoBase["&amp;B79&amp;"]"))</f>
        <v>2065501.4526801736</v>
      </c>
      <c r="J79" s="95" t="s">
        <v>1074</v>
      </c>
      <c r="K79" s="1258"/>
      <c r="L79" s="1258"/>
      <c r="M79" s="1258">
        <f>SUMIFS(M63:M74,$B$63:$B$74,42826)</f>
        <v>0</v>
      </c>
      <c r="N79" s="1258">
        <f>SUMIFS(N63:N74,$B$63:$B$74,42826)</f>
        <v>0</v>
      </c>
      <c r="O79" s="1258">
        <f>SUMIFS(O63:O74,$B$63:$B$74,42826)</f>
        <v>0</v>
      </c>
      <c r="P79" s="1258">
        <f>SUMIFS(P63:P74,$B$63:$B$74,42826)</f>
        <v>0</v>
      </c>
      <c r="Q79" s="1258">
        <f>SUMIFS(Q63:Q74,$B$63:$B$74,42826)</f>
        <v>0</v>
      </c>
    </row>
    <row r="80" spans="2:21" ht="14.25">
      <c r="B80" s="118" t="s">
        <v>1075</v>
      </c>
      <c r="C80" s="104">
        <f t="shared" ca="1" si="8"/>
        <v>0</v>
      </c>
      <c r="K80" s="69"/>
      <c r="L80" s="69"/>
      <c r="M80" s="69"/>
      <c r="N80" s="69"/>
      <c r="O80" s="69"/>
      <c r="P80" s="69"/>
      <c r="Q80" s="69"/>
    </row>
    <row r="81" spans="2:13" s="68" customFormat="1" ht="14.25">
      <c r="B81" s="118" t="s">
        <v>1076</v>
      </c>
      <c r="C81" s="104">
        <f t="shared" ca="1" si="8"/>
        <v>0</v>
      </c>
      <c r="D81" s="95"/>
      <c r="E81" s="95"/>
      <c r="F81" s="95"/>
      <c r="G81" s="95"/>
      <c r="H81" s="95"/>
      <c r="I81" s="95"/>
      <c r="J81" s="95"/>
      <c r="K81" s="95"/>
      <c r="L81" s="95"/>
      <c r="M81" s="95"/>
    </row>
    <row r="82" spans="2:13" ht="14.25">
      <c r="B82" s="118" t="s">
        <v>1077</v>
      </c>
      <c r="C82" s="104">
        <f t="shared" ca="1" si="8"/>
        <v>0</v>
      </c>
    </row>
    <row r="83" spans="2:13" ht="14.25">
      <c r="B83" s="118" t="s">
        <v>1078</v>
      </c>
      <c r="C83" s="104">
        <f t="shared" ca="1" si="8"/>
        <v>455243.25791220239</v>
      </c>
    </row>
    <row r="84" spans="2:13" ht="14.25">
      <c r="B84" s="118" t="s">
        <v>1077</v>
      </c>
      <c r="C84" s="104">
        <f t="shared" ca="1" si="8"/>
        <v>0</v>
      </c>
    </row>
    <row r="85" spans="2:13" ht="14.25">
      <c r="B85" s="1259"/>
      <c r="C85" s="1260"/>
    </row>
    <row r="86" spans="2:13" ht="14.25"/>
    <row r="87" spans="2:13" ht="14.25">
      <c r="B87" s="1600" t="s">
        <v>1079</v>
      </c>
      <c r="C87" s="1601">
        <f t="shared" ref="C87:C97" ca="1" si="9">SUM(INDIRECT("dados_MercadoBase["&amp;B87&amp;"]"))</f>
        <v>0</v>
      </c>
    </row>
    <row r="88" spans="2:13" ht="14.25">
      <c r="B88" s="118" t="s">
        <v>1080</v>
      </c>
      <c r="C88" s="104">
        <f t="shared" ca="1" si="9"/>
        <v>0</v>
      </c>
    </row>
    <row r="89" spans="2:13" ht="14.25">
      <c r="B89" s="118" t="s">
        <v>1081</v>
      </c>
      <c r="C89" s="104">
        <f t="shared" ca="1" si="9"/>
        <v>0</v>
      </c>
    </row>
    <row r="90" spans="2:13" ht="14.25">
      <c r="B90" s="118" t="s">
        <v>1082</v>
      </c>
      <c r="C90" s="104">
        <f t="shared" ca="1" si="9"/>
        <v>0</v>
      </c>
    </row>
    <row r="91" spans="2:13" ht="14.25">
      <c r="B91" s="118" t="s">
        <v>1083</v>
      </c>
      <c r="C91" s="104">
        <f t="shared" ca="1" si="9"/>
        <v>0</v>
      </c>
    </row>
    <row r="92" spans="2:13" ht="14.25">
      <c r="B92" s="118" t="s">
        <v>1084</v>
      </c>
      <c r="C92" s="104">
        <f t="shared" ca="1" si="9"/>
        <v>0</v>
      </c>
      <c r="G92" s="105"/>
    </row>
    <row r="93" spans="2:13" ht="14.25">
      <c r="B93" s="118" t="s">
        <v>1085</v>
      </c>
      <c r="C93" s="104">
        <f t="shared" ca="1" si="9"/>
        <v>0</v>
      </c>
      <c r="E93" s="106"/>
      <c r="G93" s="79"/>
    </row>
    <row r="94" spans="2:13" ht="14.25">
      <c r="B94" s="118" t="s">
        <v>1086</v>
      </c>
      <c r="C94" s="104">
        <f t="shared" ca="1" si="9"/>
        <v>0</v>
      </c>
      <c r="E94" s="106"/>
      <c r="G94" s="106"/>
    </row>
    <row r="95" spans="2:13" ht="14.25">
      <c r="B95" s="118" t="s">
        <v>1087</v>
      </c>
      <c r="C95" s="104">
        <f t="shared" ca="1" si="9"/>
        <v>0</v>
      </c>
      <c r="E95" s="106"/>
      <c r="G95" s="106"/>
    </row>
    <row r="96" spans="2:13" ht="14.25">
      <c r="B96" s="118" t="s">
        <v>1088</v>
      </c>
      <c r="C96" s="104">
        <f ca="1">SUM(INDIRECT("dados_MercadoBase["&amp;B96&amp;"]"))</f>
        <v>1746110.8875849585</v>
      </c>
      <c r="E96" s="106"/>
      <c r="G96" s="106"/>
    </row>
    <row r="97" spans="1:7" ht="14.25">
      <c r="B97" s="1259" t="s">
        <v>1089</v>
      </c>
      <c r="C97" s="1260">
        <f t="shared" ca="1" si="9"/>
        <v>7650089.9642563947</v>
      </c>
      <c r="E97" s="106"/>
      <c r="G97" s="107"/>
    </row>
    <row r="98" spans="1:7" ht="12.75" customHeight="1">
      <c r="E98" s="106"/>
      <c r="G98" s="106"/>
    </row>
    <row r="99" spans="1:7" ht="12.75" customHeight="1">
      <c r="A99" s="231"/>
      <c r="B99" s="231"/>
      <c r="C99" s="231"/>
      <c r="D99" s="232"/>
      <c r="E99" s="106"/>
      <c r="G99" s="251"/>
    </row>
    <row r="100" spans="1:7" ht="12.75" customHeight="1">
      <c r="A100" s="231"/>
      <c r="B100" s="230" t="s">
        <v>1090</v>
      </c>
      <c r="C100" s="230"/>
      <c r="D100" s="231"/>
      <c r="E100" s="106"/>
      <c r="G100" s="251"/>
    </row>
    <row r="101" spans="1:7" ht="12.75" customHeight="1">
      <c r="A101" s="231"/>
      <c r="B101" s="1251" t="s">
        <v>1091</v>
      </c>
      <c r="C101" s="1252" t="s">
        <v>1008</v>
      </c>
      <c r="D101" s="231"/>
    </row>
    <row r="102" spans="1:7" ht="12.75" customHeight="1">
      <c r="A102" s="231"/>
      <c r="B102" s="1253" t="s">
        <v>1092</v>
      </c>
      <c r="C102" s="1261">
        <f>SAS_RA0_DataFim</f>
        <v>44713</v>
      </c>
      <c r="D102" s="231"/>
    </row>
    <row r="103" spans="1:7" ht="12.75" customHeight="1">
      <c r="A103" s="231"/>
      <c r="B103" s="231"/>
      <c r="C103" s="231"/>
      <c r="D103" s="231"/>
      <c r="G103" s="249"/>
    </row>
    <row r="104" spans="1:7" ht="12.75" customHeight="1">
      <c r="G104" s="250"/>
    </row>
    <row r="105" spans="1:7" ht="12.75" customHeight="1">
      <c r="E105" s="108"/>
      <c r="G105" s="109"/>
    </row>
    <row r="106" spans="1:7" ht="12.75" customHeight="1">
      <c r="E106" s="108"/>
      <c r="G106" s="110"/>
    </row>
    <row r="107" spans="1:7" ht="12.75" customHeight="1">
      <c r="E107" s="108"/>
    </row>
    <row r="108" spans="1:7" ht="12.75" customHeight="1">
      <c r="E108" s="108"/>
    </row>
    <row r="109" spans="1:7" ht="12.75" customHeight="1">
      <c r="B109" s="95" t="s">
        <v>1093</v>
      </c>
      <c r="E109" s="111"/>
    </row>
    <row r="111" spans="1:7" ht="12.75" customHeight="1">
      <c r="B111" s="1229" t="s">
        <v>905</v>
      </c>
      <c r="C111" s="1229" t="s">
        <v>158</v>
      </c>
      <c r="D111" s="1229" t="s">
        <v>1018</v>
      </c>
    </row>
    <row r="112" spans="1:7" ht="12.75" customHeight="1">
      <c r="B112" s="1230" t="s">
        <v>1042</v>
      </c>
      <c r="C112" s="1231"/>
      <c r="D112" s="1232"/>
    </row>
    <row r="113" spans="2:4" ht="12.75" customHeight="1">
      <c r="B113" s="113"/>
      <c r="C113" s="99"/>
      <c r="D113" s="114"/>
    </row>
    <row r="114" spans="2:4" ht="12.75" customHeight="1">
      <c r="B114" s="113" t="s">
        <v>653</v>
      </c>
      <c r="C114" s="99">
        <f t="shared" ref="C114" ca="1" si="10">DSUM(MercadoBase,"TUSD_E",INDIRECT("Mercado_Criterio"&amp;$B114))</f>
        <v>0</v>
      </c>
      <c r="D114" s="114">
        <f t="shared" ref="D114:D119" ca="1" si="11">DSUM(MercadoBase,"Total",INDIRECT("Mercado_Livre"&amp;$B114))</f>
        <v>0</v>
      </c>
    </row>
    <row r="115" spans="2:4" ht="12.75" customHeight="1">
      <c r="B115" s="113" t="s">
        <v>650</v>
      </c>
      <c r="C115" s="99">
        <f ca="1">DSUM(MercadoBase,"TUSD_E",INDIRECT("Mercado_Livre"&amp;$B115))</f>
        <v>0</v>
      </c>
      <c r="D115" s="114">
        <f t="shared" ca="1" si="11"/>
        <v>0</v>
      </c>
    </row>
    <row r="116" spans="2:4" ht="12.75" customHeight="1">
      <c r="B116" s="113" t="s">
        <v>652</v>
      </c>
      <c r="C116" s="99">
        <f ca="1">DSUM(MercadoBase,"TUSD_E",INDIRECT("Mercado_Livre"&amp;$B116))</f>
        <v>0</v>
      </c>
      <c r="D116" s="114">
        <f t="shared" ca="1" si="11"/>
        <v>0</v>
      </c>
    </row>
    <row r="117" spans="2:4" ht="12.75" customHeight="1">
      <c r="B117" s="113" t="s">
        <v>648</v>
      </c>
      <c r="C117" s="99">
        <f ca="1">DSUM(MercadoBase,"TUSD_E",INDIRECT("Mercado_Livre"&amp;$B117))</f>
        <v>0</v>
      </c>
      <c r="D117" s="114">
        <f t="shared" ca="1" si="11"/>
        <v>0</v>
      </c>
    </row>
    <row r="118" spans="2:4" ht="12.75" customHeight="1">
      <c r="B118" s="113" t="s">
        <v>1031</v>
      </c>
      <c r="C118" s="99">
        <f ca="1">DSUM(MercadoBase,"TUSD_E",INDIRECT("Mercado_Livre"&amp;$B118))</f>
        <v>0</v>
      </c>
      <c r="D118" s="114">
        <f t="shared" ca="1" si="11"/>
        <v>0</v>
      </c>
    </row>
    <row r="119" spans="2:4" ht="12.75" customHeight="1">
      <c r="B119" s="95" t="s">
        <v>655</v>
      </c>
      <c r="C119" s="99">
        <f ca="1">DSUM(MercadoBase,"TUSD_E",INDIRECT("Mercado_Livre"&amp;$B119))</f>
        <v>0</v>
      </c>
      <c r="D119" s="114">
        <f t="shared" ca="1" si="11"/>
        <v>0</v>
      </c>
    </row>
    <row r="120" spans="2:4" ht="12.75" customHeight="1">
      <c r="B120" s="1248" t="s">
        <v>896</v>
      </c>
      <c r="C120" s="1249">
        <f ca="1">SUM(C114:C119)</f>
        <v>0</v>
      </c>
      <c r="D120" s="1250">
        <f ca="1">SUM(D114:D119)</f>
        <v>0</v>
      </c>
    </row>
  </sheetData>
  <pageMargins left="0.511811024" right="0.511811024" top="0.78740157499999996" bottom="0.78740157499999996" header="0.31496062000000002" footer="0.31496062000000002"/>
  <pageSetup paperSize="9" orientation="portrait" r:id="rId2"/>
  <ignoredErrors>
    <ignoredError sqref="C11:D15 C17:D23 D9 D10 C9:C10" unlockedFormula="1"/>
    <ignoredError sqref="C16:D16" formula="1" unlockedFormula="1"/>
  </ignoredErrors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Plan26">
    <tabColor theme="6" tint="-0.249977111117893"/>
  </sheetPr>
  <dimension ref="A1:FI4694"/>
  <sheetViews>
    <sheetView topLeftCell="M1" zoomScaleNormal="100" workbookViewId="0">
      <pane ySplit="2" topLeftCell="A3" activePane="bottomLeft" state="frozen"/>
      <selection pane="bottomLeft" activeCell="M15" sqref="M15"/>
    </sheetView>
  </sheetViews>
  <sheetFormatPr defaultColWidth="9.140625" defaultRowHeight="15.75"/>
  <cols>
    <col min="1" max="1" width="11.140625" style="265" customWidth="1"/>
    <col min="2" max="2" width="23" style="265" bestFit="1" customWidth="1"/>
    <col min="3" max="3" width="15.42578125" style="265" bestFit="1" customWidth="1"/>
    <col min="4" max="4" width="9.28515625" style="265" customWidth="1"/>
    <col min="5" max="5" width="16.85546875" style="265" bestFit="1" customWidth="1"/>
    <col min="6" max="6" width="16.85546875" style="265" customWidth="1"/>
    <col min="7" max="7" width="17.7109375" style="265" customWidth="1"/>
    <col min="8" max="8" width="14.140625" style="265" customWidth="1"/>
    <col min="9" max="9" width="12.7109375" style="265" bestFit="1" customWidth="1"/>
    <col min="10" max="10" width="14.5703125" style="265" bestFit="1" customWidth="1"/>
    <col min="11" max="11" width="15.5703125" style="497" bestFit="1" customWidth="1"/>
    <col min="12" max="12" width="14.7109375" style="290" customWidth="1"/>
    <col min="13" max="13" width="19.28515625" style="290" customWidth="1"/>
    <col min="14" max="14" width="20.7109375" style="290" customWidth="1"/>
    <col min="15" max="15" width="21.85546875" style="290" bestFit="1" customWidth="1"/>
    <col min="16" max="16" width="20.28515625" style="290" customWidth="1"/>
    <col min="17" max="17" width="18" style="290" bestFit="1" customWidth="1"/>
    <col min="18" max="18" width="21.28515625" style="265" bestFit="1" customWidth="1"/>
    <col min="19" max="19" width="23.7109375" style="265" bestFit="1" customWidth="1"/>
    <col min="20" max="20" width="23.5703125" style="265" bestFit="1" customWidth="1"/>
    <col min="21" max="21" width="20.7109375" style="265" bestFit="1" customWidth="1"/>
    <col min="22" max="22" width="20.5703125" style="265" bestFit="1" customWidth="1"/>
    <col min="23" max="23" width="19.5703125" style="265" bestFit="1" customWidth="1"/>
    <col min="24" max="24" width="16.42578125" style="265" bestFit="1" customWidth="1"/>
    <col min="25" max="25" width="13.42578125" style="265" bestFit="1" customWidth="1"/>
    <col min="26" max="26" width="21.85546875" style="265" bestFit="1" customWidth="1"/>
    <col min="27" max="28" width="11.85546875" style="265" bestFit="1" customWidth="1"/>
    <col min="29" max="29" width="15.5703125" style="265" bestFit="1" customWidth="1"/>
    <col min="30" max="30" width="14.42578125" style="265" bestFit="1" customWidth="1"/>
    <col min="31" max="31" width="17.85546875" style="265" bestFit="1" customWidth="1"/>
    <col min="32" max="32" width="32.28515625" style="265" bestFit="1" customWidth="1"/>
    <col min="33" max="33" width="15.5703125" style="265" bestFit="1" customWidth="1"/>
    <col min="34" max="34" width="14" style="265" bestFit="1" customWidth="1"/>
    <col min="35" max="36" width="13.42578125" style="265" bestFit="1" customWidth="1"/>
    <col min="37" max="37" width="15" style="265" bestFit="1" customWidth="1"/>
    <col min="38" max="38" width="17.85546875" style="265" bestFit="1" customWidth="1"/>
    <col min="39" max="39" width="13.42578125" style="265" bestFit="1" customWidth="1"/>
    <col min="40" max="40" width="14.85546875" style="265" bestFit="1" customWidth="1"/>
    <col min="41" max="42" width="15.5703125" style="265" bestFit="1" customWidth="1"/>
    <col min="43" max="43" width="14" style="265" bestFit="1" customWidth="1"/>
    <col min="44" max="45" width="11.85546875" style="265" bestFit="1" customWidth="1"/>
    <col min="46" max="46" width="14" style="265" bestFit="1" customWidth="1"/>
    <col min="47" max="47" width="11.85546875" style="265" bestFit="1" customWidth="1"/>
    <col min="48" max="48" width="15.5703125" style="265" bestFit="1" customWidth="1"/>
    <col min="49" max="49" width="15" style="265" bestFit="1" customWidth="1"/>
    <col min="50" max="50" width="13.42578125" style="265" bestFit="1" customWidth="1"/>
    <col min="51" max="51" width="16.42578125" style="265" bestFit="1" customWidth="1"/>
    <col min="52" max="52" width="14.42578125" style="265" bestFit="1" customWidth="1"/>
    <col min="53" max="53" width="13.7109375" style="265" bestFit="1" customWidth="1"/>
    <col min="54" max="54" width="16.140625" style="265" bestFit="1" customWidth="1"/>
    <col min="55" max="55" width="18" style="265" bestFit="1" customWidth="1"/>
    <col min="56" max="56" width="17.7109375" style="265" bestFit="1" customWidth="1"/>
    <col min="57" max="57" width="18.140625" style="265" bestFit="1" customWidth="1"/>
    <col min="58" max="58" width="14" style="265" bestFit="1" customWidth="1"/>
    <col min="59" max="59" width="26.28515625" style="265" bestFit="1" customWidth="1"/>
    <col min="60" max="60" width="9.85546875" style="265" bestFit="1" customWidth="1"/>
    <col min="61" max="61" width="17.85546875" style="265" bestFit="1" customWidth="1"/>
    <col min="62" max="62" width="15" style="265" bestFit="1" customWidth="1"/>
    <col min="63" max="63" width="17.85546875" style="265" bestFit="1" customWidth="1"/>
    <col min="64" max="64" width="14.28515625" style="265" bestFit="1" customWidth="1"/>
    <col min="65" max="65" width="19" style="265" bestFit="1" customWidth="1"/>
    <col min="66" max="67" width="22.7109375" style="265" bestFit="1" customWidth="1"/>
    <col min="68" max="68" width="20.140625" style="265" bestFit="1" customWidth="1"/>
    <col min="69" max="69" width="32.5703125" style="265" bestFit="1" customWidth="1"/>
    <col min="70" max="70" width="35.140625" style="290" bestFit="1" customWidth="1"/>
    <col min="71" max="71" width="24.85546875" style="290" bestFit="1" customWidth="1"/>
    <col min="72" max="72" width="29.42578125" style="290" bestFit="1" customWidth="1"/>
    <col min="73" max="73" width="34.42578125" style="290" bestFit="1" customWidth="1"/>
    <col min="74" max="74" width="19.85546875" style="290" bestFit="1" customWidth="1"/>
    <col min="75" max="75" width="10.28515625" style="265" bestFit="1" customWidth="1"/>
    <col min="76" max="76" width="9.28515625" style="265" bestFit="1" customWidth="1"/>
    <col min="77" max="77" width="10.28515625" style="265" bestFit="1" customWidth="1"/>
    <col min="78" max="86" width="9.28515625" style="265" bestFit="1" customWidth="1"/>
    <col min="87" max="87" width="19.5703125" style="265" bestFit="1" customWidth="1"/>
    <col min="88" max="88" width="15.5703125" style="290" bestFit="1" customWidth="1"/>
    <col min="89" max="90" width="9.28515625" style="265" bestFit="1" customWidth="1"/>
    <col min="91" max="91" width="10.7109375" style="265" bestFit="1" customWidth="1"/>
    <col min="92" max="92" width="15.5703125" style="265" bestFit="1" customWidth="1"/>
    <col min="93" max="94" width="15.7109375" style="290" bestFit="1" customWidth="1"/>
    <col min="95" max="95" width="11.140625" style="290" bestFit="1" customWidth="1"/>
    <col min="96" max="96" width="13.42578125" style="290" bestFit="1" customWidth="1"/>
    <col min="97" max="102" width="10.42578125" style="290" bestFit="1" customWidth="1"/>
    <col min="103" max="103" width="11" style="290" bestFit="1" customWidth="1"/>
    <col min="104" max="104" width="10.42578125" style="290" bestFit="1" customWidth="1"/>
    <col min="105" max="105" width="10.28515625" style="290" bestFit="1" customWidth="1"/>
    <col min="106" max="106" width="11.42578125" style="290" bestFit="1" customWidth="1"/>
    <col min="107" max="107" width="13.42578125" style="290" bestFit="1" customWidth="1"/>
    <col min="108" max="108" width="11" style="290" bestFit="1" customWidth="1"/>
    <col min="109" max="109" width="10.28515625" style="290" bestFit="1" customWidth="1"/>
    <col min="110" max="110" width="10.5703125" style="290" bestFit="1" customWidth="1"/>
    <col min="111" max="111" width="11.5703125" style="290" bestFit="1" customWidth="1"/>
    <col min="112" max="113" width="14.5703125" style="290" bestFit="1" customWidth="1"/>
    <col min="114" max="116" width="10.28515625" style="290" bestFit="1" customWidth="1"/>
    <col min="117" max="117" width="11.5703125" style="290" bestFit="1" customWidth="1"/>
    <col min="118" max="118" width="11.28515625" style="290" bestFit="1" customWidth="1"/>
    <col min="119" max="119" width="12.28515625" style="290" bestFit="1" customWidth="1"/>
    <col min="120" max="120" width="16.42578125" style="290" bestFit="1" customWidth="1"/>
    <col min="121" max="121" width="10" style="290" bestFit="1" customWidth="1"/>
    <col min="122" max="122" width="11.140625" style="290" bestFit="1" customWidth="1"/>
    <col min="123" max="123" width="11.28515625" style="290" bestFit="1" customWidth="1"/>
    <col min="124" max="124" width="11.85546875" style="265" bestFit="1" customWidth="1"/>
    <col min="125" max="125" width="11.7109375" style="265" bestFit="1" customWidth="1"/>
    <col min="126" max="126" width="12.7109375" style="265" bestFit="1" customWidth="1"/>
    <col min="127" max="127" width="9.7109375" style="265" bestFit="1" customWidth="1"/>
    <col min="128" max="128" width="9.42578125" style="265" bestFit="1" customWidth="1"/>
    <col min="129" max="129" width="13.5703125" style="290" bestFit="1" customWidth="1"/>
    <col min="130" max="130" width="10.140625" style="265" bestFit="1" customWidth="1"/>
    <col min="131" max="132" width="9.42578125" style="265" bestFit="1" customWidth="1"/>
    <col min="133" max="133" width="31.7109375" style="290" customWidth="1"/>
    <col min="134" max="134" width="9.42578125" style="265" bestFit="1" customWidth="1"/>
    <col min="135" max="135" width="9.5703125" style="265" bestFit="1" customWidth="1"/>
    <col min="136" max="136" width="9.42578125" style="265" bestFit="1" customWidth="1"/>
    <col min="137" max="137" width="9.5703125" style="265" bestFit="1" customWidth="1"/>
    <col min="138" max="138" width="10.85546875" style="265" bestFit="1" customWidth="1"/>
    <col min="139" max="140" width="9.5703125" style="265" bestFit="1" customWidth="1"/>
    <col min="141" max="142" width="9.28515625" style="265" bestFit="1" customWidth="1"/>
    <col min="143" max="145" width="9.42578125" style="265" bestFit="1" customWidth="1"/>
    <col min="146" max="146" width="17.28515625" style="290" bestFit="1" customWidth="1"/>
    <col min="147" max="149" width="9.28515625" style="265" bestFit="1" customWidth="1"/>
    <col min="150" max="150" width="9.140625" style="265"/>
    <col min="151" max="151" width="9.28515625" style="265" bestFit="1" customWidth="1"/>
    <col min="152" max="155" width="9.140625" style="265"/>
    <col min="156" max="158" width="9.28515625" style="265" bestFit="1" customWidth="1"/>
    <col min="159" max="159" width="18.140625" style="265" customWidth="1"/>
    <col min="160" max="16384" width="9.140625" style="265"/>
  </cols>
  <sheetData>
    <row r="1" spans="1:165" s="9" customFormat="1">
      <c r="K1" s="17"/>
      <c r="L1" s="234"/>
      <c r="M1" s="234"/>
      <c r="N1" s="234"/>
      <c r="O1" s="234"/>
      <c r="P1" s="234"/>
      <c r="Q1" s="234"/>
      <c r="R1" s="501"/>
      <c r="S1" s="501"/>
      <c r="T1" s="501"/>
      <c r="BR1" s="234"/>
      <c r="BS1" s="234"/>
      <c r="BT1" s="234"/>
      <c r="BU1" s="234"/>
      <c r="BV1" s="234"/>
      <c r="CJ1" s="234"/>
      <c r="CO1" s="234"/>
      <c r="CP1" s="234"/>
      <c r="CQ1" s="234"/>
      <c r="CR1" s="234"/>
      <c r="CS1" s="234"/>
      <c r="CT1" s="234"/>
      <c r="CU1" s="234"/>
      <c r="CV1" s="234"/>
      <c r="CW1" s="234"/>
      <c r="CX1" s="234"/>
      <c r="CY1" s="234"/>
      <c r="CZ1" s="234"/>
      <c r="DA1" s="234"/>
      <c r="DB1" s="234"/>
      <c r="DC1" s="234"/>
      <c r="DD1" s="234"/>
      <c r="DE1" s="234"/>
      <c r="DF1" s="234"/>
      <c r="DG1" s="234"/>
      <c r="DH1" s="234"/>
      <c r="DI1" s="234"/>
      <c r="DJ1" s="234"/>
      <c r="DK1" s="234"/>
      <c r="DL1" s="234"/>
      <c r="DM1" s="234"/>
      <c r="DN1" s="234"/>
      <c r="DO1" s="234"/>
      <c r="DP1" s="234"/>
      <c r="DQ1" s="234"/>
      <c r="DR1" s="234"/>
      <c r="DS1" s="234"/>
      <c r="DY1" s="234"/>
      <c r="EC1" s="234"/>
      <c r="EP1" s="234"/>
    </row>
    <row r="2" spans="1:165">
      <c r="A2" s="265" t="s">
        <v>1094</v>
      </c>
      <c r="B2" s="263" t="s">
        <v>1091</v>
      </c>
      <c r="C2" s="264" t="s">
        <v>66</v>
      </c>
      <c r="D2" s="263" t="s">
        <v>1009</v>
      </c>
      <c r="E2" s="264" t="s">
        <v>638</v>
      </c>
      <c r="F2" s="264" t="s">
        <v>1037</v>
      </c>
      <c r="G2" s="264" t="s">
        <v>1095</v>
      </c>
      <c r="H2" s="264" t="s">
        <v>1096</v>
      </c>
      <c r="I2" s="264" t="s">
        <v>1097</v>
      </c>
      <c r="J2" s="264" t="s">
        <v>1098</v>
      </c>
      <c r="K2" s="497" t="s">
        <v>1008</v>
      </c>
      <c r="L2" s="290" t="s">
        <v>1099</v>
      </c>
      <c r="M2" s="290" t="s">
        <v>1100</v>
      </c>
      <c r="N2" s="290" t="s">
        <v>1101</v>
      </c>
      <c r="O2" s="290" t="s">
        <v>1102</v>
      </c>
      <c r="P2" s="290" t="s">
        <v>1103</v>
      </c>
      <c r="Q2" s="290" t="s">
        <v>1104</v>
      </c>
      <c r="R2" s="264" t="s">
        <v>1105</v>
      </c>
      <c r="S2" s="264" t="s">
        <v>1106</v>
      </c>
      <c r="T2" s="264" t="s">
        <v>1107</v>
      </c>
      <c r="U2" s="264" t="s">
        <v>1108</v>
      </c>
      <c r="V2" s="264" t="s">
        <v>1109</v>
      </c>
      <c r="W2" s="264" t="s">
        <v>896</v>
      </c>
      <c r="X2" s="264" t="s">
        <v>1110</v>
      </c>
      <c r="Y2" s="264" t="s">
        <v>42</v>
      </c>
      <c r="Z2" s="264" t="s">
        <v>46</v>
      </c>
      <c r="AA2" s="264" t="s">
        <v>163</v>
      </c>
      <c r="AB2" s="264" t="s">
        <v>1086</v>
      </c>
      <c r="AC2" s="264" t="s">
        <v>1087</v>
      </c>
      <c r="AD2" s="264" t="s">
        <v>1088</v>
      </c>
      <c r="AE2" s="264" t="s">
        <v>1089</v>
      </c>
      <c r="AF2" s="264" t="s">
        <v>1073</v>
      </c>
      <c r="AG2" s="264" t="s">
        <v>1025</v>
      </c>
      <c r="AH2" s="264" t="s">
        <v>1111</v>
      </c>
      <c r="AI2" s="264" t="s">
        <v>54</v>
      </c>
      <c r="AJ2" s="264" t="s">
        <v>1085</v>
      </c>
      <c r="AK2" s="264" t="s">
        <v>1022</v>
      </c>
      <c r="AL2" s="264" t="s">
        <v>52</v>
      </c>
      <c r="AM2" s="264" t="s">
        <v>40</v>
      </c>
      <c r="AN2" s="264" t="s">
        <v>44</v>
      </c>
      <c r="AO2" s="264" t="s">
        <v>1081</v>
      </c>
      <c r="AP2" s="264" t="s">
        <v>1083</v>
      </c>
      <c r="AQ2" s="264" t="s">
        <v>1082</v>
      </c>
      <c r="AR2" s="264" t="s">
        <v>1079</v>
      </c>
      <c r="AS2" s="264" t="s">
        <v>1080</v>
      </c>
      <c r="AT2" s="264" t="s">
        <v>1084</v>
      </c>
      <c r="AU2" s="264" t="s">
        <v>1112</v>
      </c>
      <c r="AV2" s="264" t="s">
        <v>1113</v>
      </c>
      <c r="AW2" s="264" t="s">
        <v>1114</v>
      </c>
      <c r="AX2" s="264" t="s">
        <v>1115</v>
      </c>
      <c r="AY2" s="264" t="s">
        <v>1116</v>
      </c>
      <c r="AZ2" s="264" t="s">
        <v>1117</v>
      </c>
      <c r="BA2" s="264" t="s">
        <v>1118</v>
      </c>
      <c r="BB2" s="264" t="s">
        <v>1119</v>
      </c>
      <c r="BC2" s="264" t="s">
        <v>1120</v>
      </c>
      <c r="BD2" s="264" t="s">
        <v>1121</v>
      </c>
      <c r="BE2" s="264" t="s">
        <v>1122</v>
      </c>
      <c r="BF2" s="264" t="s">
        <v>1123</v>
      </c>
      <c r="BG2" s="264" t="s">
        <v>1124</v>
      </c>
      <c r="BH2" s="264" t="s">
        <v>1125</v>
      </c>
      <c r="BI2" s="264" t="s">
        <v>1126</v>
      </c>
      <c r="BJ2" s="264" t="s">
        <v>1127</v>
      </c>
      <c r="BK2" s="264" t="s">
        <v>270</v>
      </c>
      <c r="BL2" s="264" t="s">
        <v>1128</v>
      </c>
      <c r="BM2" s="264" t="s">
        <v>1129</v>
      </c>
      <c r="BN2" s="264" t="s">
        <v>1059</v>
      </c>
      <c r="BO2" s="264" t="s">
        <v>1060</v>
      </c>
      <c r="BP2" s="264" t="s">
        <v>1061</v>
      </c>
      <c r="BQ2" s="264" t="s">
        <v>1062</v>
      </c>
      <c r="BR2" s="290" t="s">
        <v>1063</v>
      </c>
      <c r="BS2" s="290" t="s">
        <v>1064</v>
      </c>
      <c r="BT2" s="290" t="s">
        <v>1065</v>
      </c>
      <c r="BU2" s="290" t="s">
        <v>1130</v>
      </c>
      <c r="BV2" s="290" t="s">
        <v>1131</v>
      </c>
      <c r="BW2" s="265" t="s">
        <v>1132</v>
      </c>
      <c r="BX2" s="265" t="s">
        <v>1133</v>
      </c>
      <c r="BY2" s="265" t="s">
        <v>1134</v>
      </c>
      <c r="BZ2" s="265" t="s">
        <v>1135</v>
      </c>
      <c r="CA2" s="265" t="s">
        <v>1136</v>
      </c>
      <c r="CB2" s="265" t="s">
        <v>1137</v>
      </c>
      <c r="CC2" s="265" t="s">
        <v>1138</v>
      </c>
      <c r="CD2" s="265" t="s">
        <v>1139</v>
      </c>
      <c r="CE2" s="265" t="s">
        <v>1140</v>
      </c>
      <c r="CF2" s="265" t="s">
        <v>1141</v>
      </c>
      <c r="CG2" s="265" t="s">
        <v>1142</v>
      </c>
      <c r="CH2" s="265" t="s">
        <v>1143</v>
      </c>
      <c r="CI2" s="265" t="s">
        <v>1144</v>
      </c>
      <c r="CJ2" s="290" t="s">
        <v>1145</v>
      </c>
      <c r="CK2" s="265" t="s">
        <v>1146</v>
      </c>
      <c r="CL2" s="265" t="s">
        <v>1147</v>
      </c>
      <c r="CM2" s="265" t="s">
        <v>1148</v>
      </c>
      <c r="CN2" s="265" t="s">
        <v>1149</v>
      </c>
      <c r="CO2" s="290" t="s">
        <v>1150</v>
      </c>
      <c r="CP2" s="290" t="s">
        <v>1151</v>
      </c>
      <c r="CQ2" s="290" t="s">
        <v>1152</v>
      </c>
      <c r="CR2" s="290" t="s">
        <v>1153</v>
      </c>
      <c r="CS2" s="290" t="s">
        <v>1154</v>
      </c>
      <c r="CT2" s="290" t="s">
        <v>1155</v>
      </c>
      <c r="CU2" s="290" t="s">
        <v>1156</v>
      </c>
      <c r="CV2" s="290" t="s">
        <v>1157</v>
      </c>
      <c r="CW2" s="290" t="s">
        <v>1158</v>
      </c>
      <c r="CX2" s="290" t="s">
        <v>1159</v>
      </c>
      <c r="CY2" s="290" t="s">
        <v>1160</v>
      </c>
      <c r="CZ2" s="290" t="s">
        <v>1161</v>
      </c>
      <c r="DA2" s="290" t="s">
        <v>1162</v>
      </c>
      <c r="DB2" s="290" t="s">
        <v>1163</v>
      </c>
      <c r="DC2" s="290" t="s">
        <v>1164</v>
      </c>
      <c r="DD2" s="290" t="s">
        <v>1165</v>
      </c>
      <c r="DE2" s="290" t="s">
        <v>1166</v>
      </c>
      <c r="DF2" s="290" t="s">
        <v>1167</v>
      </c>
      <c r="DG2" s="290" t="s">
        <v>1168</v>
      </c>
      <c r="DH2" s="290" t="s">
        <v>1169</v>
      </c>
      <c r="DI2" s="290" t="s">
        <v>1170</v>
      </c>
      <c r="DJ2" s="290" t="s">
        <v>1171</v>
      </c>
      <c r="DK2" s="290" t="s">
        <v>1172</v>
      </c>
      <c r="DL2" s="290" t="s">
        <v>1173</v>
      </c>
      <c r="DM2" s="290" t="s">
        <v>1174</v>
      </c>
      <c r="DN2" s="290" t="s">
        <v>1175</v>
      </c>
      <c r="DO2" s="290" t="s">
        <v>1176</v>
      </c>
      <c r="DP2" s="290" t="s">
        <v>1177</v>
      </c>
      <c r="DQ2" s="290" t="s">
        <v>1178</v>
      </c>
      <c r="DR2" s="290" t="s">
        <v>1069</v>
      </c>
      <c r="DS2" s="290" t="s">
        <v>1179</v>
      </c>
      <c r="DT2" s="265" t="s">
        <v>1180</v>
      </c>
      <c r="DU2" s="265" t="s">
        <v>1181</v>
      </c>
      <c r="DV2" s="265" t="s">
        <v>1182</v>
      </c>
      <c r="DW2" s="265" t="s">
        <v>1183</v>
      </c>
      <c r="DX2" s="265" t="s">
        <v>1184</v>
      </c>
      <c r="DY2" s="290" t="s">
        <v>1185</v>
      </c>
      <c r="DZ2" s="265" t="s">
        <v>1186</v>
      </c>
      <c r="EA2" s="265" t="s">
        <v>1187</v>
      </c>
      <c r="EB2" s="265" t="s">
        <v>1188</v>
      </c>
      <c r="EC2" s="290" t="s">
        <v>1068</v>
      </c>
      <c r="ED2" s="265" t="s">
        <v>1189</v>
      </c>
      <c r="EE2" s="265" t="s">
        <v>1190</v>
      </c>
      <c r="EF2" s="265" t="s">
        <v>1191</v>
      </c>
      <c r="EG2" s="265" t="s">
        <v>1192</v>
      </c>
      <c r="EH2" s="265" t="s">
        <v>1193</v>
      </c>
      <c r="EI2" s="265" t="s">
        <v>1194</v>
      </c>
      <c r="EJ2" s="265" t="s">
        <v>1195</v>
      </c>
      <c r="EK2" s="265" t="s">
        <v>1196</v>
      </c>
      <c r="EL2" s="265" t="s">
        <v>1197</v>
      </c>
      <c r="EM2" s="265" t="s">
        <v>1198</v>
      </c>
      <c r="EN2" s="265" t="s">
        <v>1199</v>
      </c>
      <c r="EO2" s="265" t="s">
        <v>1200</v>
      </c>
      <c r="EP2" s="290" t="s">
        <v>1067</v>
      </c>
      <c r="EQ2" s="265" t="s">
        <v>1201</v>
      </c>
      <c r="ER2" s="265" t="s">
        <v>1202</v>
      </c>
      <c r="ES2" s="265" t="s">
        <v>1203</v>
      </c>
      <c r="ET2" s="265" t="s">
        <v>1204</v>
      </c>
      <c r="EU2" s="265" t="s">
        <v>1205</v>
      </c>
      <c r="EV2" s="265" t="s">
        <v>1206</v>
      </c>
      <c r="EW2" s="265" t="s">
        <v>1207</v>
      </c>
      <c r="EX2" s="265" t="s">
        <v>1208</v>
      </c>
      <c r="EY2" s="265" t="s">
        <v>1209</v>
      </c>
      <c r="EZ2" s="265" t="s">
        <v>1210</v>
      </c>
      <c r="FA2" s="265" t="s">
        <v>1211</v>
      </c>
      <c r="FB2" s="265" t="s">
        <v>1212</v>
      </c>
      <c r="FC2" s="265" t="s">
        <v>1213</v>
      </c>
      <c r="FD2" s="265" t="s">
        <v>1214</v>
      </c>
      <c r="FE2" s="265" t="s">
        <v>1215</v>
      </c>
      <c r="FF2" s="265" t="s">
        <v>1216</v>
      </c>
      <c r="FG2" s="265" t="s">
        <v>1217</v>
      </c>
      <c r="FH2" s="265" t="s">
        <v>1218</v>
      </c>
      <c r="FI2" s="265" t="s">
        <v>1219</v>
      </c>
    </row>
    <row r="3" spans="1:165" customFormat="1">
      <c r="A3" s="407">
        <v>1</v>
      </c>
      <c r="B3" s="407" t="s">
        <v>1092</v>
      </c>
      <c r="C3" s="407" t="s">
        <v>2305</v>
      </c>
      <c r="D3" s="407" t="s">
        <v>1220</v>
      </c>
      <c r="E3" s="407" t="s">
        <v>1023</v>
      </c>
      <c r="F3" s="407" t="s">
        <v>1023</v>
      </c>
      <c r="G3" s="407" t="s">
        <v>96</v>
      </c>
      <c r="H3" s="407" t="s">
        <v>96</v>
      </c>
      <c r="I3" s="407" t="s">
        <v>96</v>
      </c>
      <c r="J3" s="407" t="s">
        <v>2306</v>
      </c>
      <c r="K3" s="815">
        <v>44378</v>
      </c>
      <c r="L3" s="407">
        <v>0</v>
      </c>
      <c r="M3" s="407">
        <v>0</v>
      </c>
      <c r="N3" s="407">
        <v>990.41099999999994</v>
      </c>
      <c r="O3" s="407">
        <v>990.41099999999994</v>
      </c>
      <c r="P3" s="407">
        <v>990.41099999999994</v>
      </c>
      <c r="Q3" s="407">
        <v>990.41099999999994</v>
      </c>
      <c r="R3" s="407"/>
      <c r="S3" s="407">
        <v>710.52</v>
      </c>
      <c r="T3" s="407">
        <v>127.85</v>
      </c>
      <c r="U3" s="407"/>
      <c r="V3" s="407">
        <v>830330.87006999995</v>
      </c>
      <c r="W3" s="407">
        <v>830330.87006999995</v>
      </c>
      <c r="X3" s="407">
        <v>682105.95980999991</v>
      </c>
      <c r="Y3" s="407">
        <v>0</v>
      </c>
      <c r="Z3" s="407">
        <v>60489.427736361802</v>
      </c>
      <c r="AA3" s="407">
        <v>0</v>
      </c>
      <c r="AB3" s="407">
        <v>0</v>
      </c>
      <c r="AC3" s="407">
        <v>0</v>
      </c>
      <c r="AD3" s="407">
        <v>108293.96978931752</v>
      </c>
      <c r="AE3" s="407">
        <v>493390.36215450737</v>
      </c>
      <c r="AF3" s="407">
        <v>126621.467516825</v>
      </c>
      <c r="AG3" s="407">
        <v>0</v>
      </c>
      <c r="AH3" s="407">
        <v>0</v>
      </c>
      <c r="AI3" s="407">
        <v>0</v>
      </c>
      <c r="AJ3" s="407">
        <v>0</v>
      </c>
      <c r="AK3" s="407">
        <v>0</v>
      </c>
      <c r="AL3" s="407">
        <v>9354.7264597064914</v>
      </c>
      <c r="AM3" s="407"/>
      <c r="AN3" s="407">
        <v>2268.7971629521908</v>
      </c>
      <c r="AO3" s="407">
        <v>0</v>
      </c>
      <c r="AP3" s="407">
        <v>0</v>
      </c>
      <c r="AQ3" s="407">
        <v>0</v>
      </c>
      <c r="AR3" s="407">
        <v>0</v>
      </c>
      <c r="AS3" s="407">
        <v>0</v>
      </c>
      <c r="AT3" s="407">
        <v>0</v>
      </c>
      <c r="AU3" s="407">
        <v>0</v>
      </c>
      <c r="AV3" s="407">
        <v>0</v>
      </c>
      <c r="AW3" s="407">
        <v>0</v>
      </c>
      <c r="AX3" s="407">
        <v>0</v>
      </c>
      <c r="AY3" s="407">
        <v>0</v>
      </c>
      <c r="AZ3" s="407">
        <v>0</v>
      </c>
      <c r="BA3" s="407"/>
      <c r="BB3" s="407">
        <v>0</v>
      </c>
      <c r="BC3" s="407">
        <v>0</v>
      </c>
      <c r="BD3" s="407">
        <v>0</v>
      </c>
      <c r="BE3" s="407">
        <v>0</v>
      </c>
      <c r="BF3" s="407">
        <v>0</v>
      </c>
      <c r="BG3" s="407">
        <v>29908.623194359854</v>
      </c>
      <c r="BH3" s="407">
        <v>0</v>
      </c>
      <c r="BI3" s="407">
        <v>3048.93</v>
      </c>
      <c r="BJ3" s="407">
        <v>14214.95</v>
      </c>
      <c r="BK3" s="407">
        <v>162376.45000000001</v>
      </c>
      <c r="BL3" s="407">
        <v>6042</v>
      </c>
      <c r="BM3" s="407"/>
      <c r="BN3" s="407"/>
      <c r="BO3" s="407"/>
      <c r="BP3" s="407"/>
      <c r="BQ3" s="407"/>
      <c r="BR3" s="407"/>
      <c r="BS3" s="407"/>
      <c r="BT3" s="407"/>
      <c r="BU3" s="407"/>
      <c r="BV3" s="407">
        <v>156530.09071118484</v>
      </c>
      <c r="BW3" s="407"/>
      <c r="BX3" s="407"/>
      <c r="BY3" s="407"/>
      <c r="BZ3" s="407"/>
      <c r="CA3" s="407"/>
      <c r="CB3" s="407"/>
      <c r="CC3" s="407"/>
      <c r="CD3" s="407"/>
      <c r="CE3" s="407"/>
      <c r="CF3" s="407"/>
      <c r="CG3" s="407"/>
      <c r="CH3" s="407"/>
      <c r="CI3" s="407">
        <v>682105.27110000001</v>
      </c>
      <c r="CJ3" s="407">
        <v>-148225.62896999996</v>
      </c>
      <c r="CK3" s="407"/>
      <c r="CL3" s="407"/>
      <c r="CM3" s="407"/>
      <c r="CN3" s="407"/>
      <c r="CO3" s="407">
        <v>-152206.36247999995</v>
      </c>
      <c r="CP3" s="407">
        <v>3981.4522200000101</v>
      </c>
      <c r="CQ3" s="407">
        <v>31</v>
      </c>
      <c r="CR3" s="407">
        <v>-2364.1331203501322</v>
      </c>
      <c r="CS3" s="407">
        <v>0</v>
      </c>
      <c r="CT3" s="407">
        <v>0</v>
      </c>
      <c r="CU3" s="407">
        <v>0</v>
      </c>
      <c r="CV3" s="407">
        <v>0</v>
      </c>
      <c r="CW3" s="407">
        <v>0</v>
      </c>
      <c r="CX3" s="407">
        <v>0</v>
      </c>
      <c r="CY3" s="407">
        <v>0</v>
      </c>
      <c r="CZ3" s="407">
        <v>-5681.1791122803697</v>
      </c>
      <c r="DA3" s="407">
        <v>0</v>
      </c>
      <c r="DB3" s="407">
        <v>0</v>
      </c>
      <c r="DC3" s="407">
        <v>3984.2979567604198</v>
      </c>
      <c r="DD3" s="407">
        <v>0</v>
      </c>
      <c r="DE3" s="407">
        <v>0</v>
      </c>
      <c r="DF3" s="407">
        <v>0</v>
      </c>
      <c r="DG3" s="407">
        <v>941.11108187061473</v>
      </c>
      <c r="DH3" s="407">
        <v>0</v>
      </c>
      <c r="DI3" s="407">
        <v>-1377.553156895854</v>
      </c>
      <c r="DJ3" s="407"/>
      <c r="DK3" s="407">
        <v>0</v>
      </c>
      <c r="DL3" s="407">
        <v>0</v>
      </c>
      <c r="DM3" s="407">
        <v>0</v>
      </c>
      <c r="DN3" s="407">
        <v>0</v>
      </c>
      <c r="DO3" s="407">
        <v>-178.50719383041542</v>
      </c>
      <c r="DP3" s="407">
        <v>-52.302695974477956</v>
      </c>
      <c r="DQ3" s="407">
        <v>0</v>
      </c>
      <c r="DR3" s="407">
        <v>0</v>
      </c>
      <c r="DS3" s="407"/>
      <c r="DT3" s="407"/>
      <c r="DU3" s="407"/>
      <c r="DV3" s="407">
        <v>493390.36215450737</v>
      </c>
      <c r="DW3" s="407">
        <v>0</v>
      </c>
      <c r="DX3" s="407">
        <v>0</v>
      </c>
      <c r="DY3" s="407">
        <v>-152206.36248000001</v>
      </c>
      <c r="DZ3" s="407">
        <v>3981.4522200000065</v>
      </c>
      <c r="EA3" s="407">
        <v>0</v>
      </c>
      <c r="EB3" s="407">
        <v>0</v>
      </c>
      <c r="EC3" s="407">
        <v>-145853.97936519369</v>
      </c>
      <c r="ED3" s="407">
        <v>0</v>
      </c>
      <c r="EE3" s="407">
        <v>0</v>
      </c>
      <c r="EF3" s="407">
        <v>0</v>
      </c>
      <c r="EG3" s="407">
        <v>0</v>
      </c>
      <c r="EH3" s="407">
        <v>0</v>
      </c>
      <c r="EI3" s="407">
        <v>0</v>
      </c>
      <c r="EJ3" s="407">
        <v>0</v>
      </c>
      <c r="EK3" s="407">
        <v>0</v>
      </c>
      <c r="EL3" s="407">
        <v>0</v>
      </c>
      <c r="EM3" s="407">
        <v>0</v>
      </c>
      <c r="EN3" s="407">
        <v>0</v>
      </c>
      <c r="EO3" s="407">
        <v>0</v>
      </c>
      <c r="EP3" s="407">
        <v>0</v>
      </c>
      <c r="EQ3" s="407">
        <v>0</v>
      </c>
      <c r="ER3" s="407">
        <v>0</v>
      </c>
      <c r="ES3" s="407">
        <v>0</v>
      </c>
      <c r="ET3" s="407">
        <v>0</v>
      </c>
      <c r="EU3" s="407">
        <v>0</v>
      </c>
      <c r="EV3" s="407">
        <v>207</v>
      </c>
      <c r="EW3" s="407">
        <v>0</v>
      </c>
      <c r="EX3" s="407">
        <v>0</v>
      </c>
      <c r="EY3" s="407">
        <v>0</v>
      </c>
      <c r="EZ3" s="407"/>
      <c r="FA3" s="407">
        <v>0</v>
      </c>
      <c r="FB3" s="407"/>
      <c r="FC3" s="407"/>
      <c r="FD3" s="407"/>
      <c r="FE3" s="407"/>
      <c r="FF3" s="407">
        <v>0</v>
      </c>
      <c r="FG3" s="407">
        <v>0</v>
      </c>
      <c r="FH3" s="407">
        <v>0</v>
      </c>
      <c r="FI3" s="407">
        <v>0</v>
      </c>
    </row>
    <row r="4" spans="1:165" customFormat="1">
      <c r="A4" s="407">
        <v>2</v>
      </c>
      <c r="B4" s="407" t="s">
        <v>2307</v>
      </c>
      <c r="C4" s="407" t="s">
        <v>2305</v>
      </c>
      <c r="D4" s="407" t="s">
        <v>1220</v>
      </c>
      <c r="E4" s="407" t="s">
        <v>1023</v>
      </c>
      <c r="F4" s="407" t="s">
        <v>1023</v>
      </c>
      <c r="G4" s="407" t="s">
        <v>96</v>
      </c>
      <c r="H4" s="407" t="s">
        <v>96</v>
      </c>
      <c r="I4" s="407" t="s">
        <v>96</v>
      </c>
      <c r="J4" s="407" t="s">
        <v>2306</v>
      </c>
      <c r="K4" s="815">
        <v>44378</v>
      </c>
      <c r="L4" s="407">
        <v>0</v>
      </c>
      <c r="M4" s="407">
        <v>0</v>
      </c>
      <c r="N4" s="407">
        <v>-1.371</v>
      </c>
      <c r="O4" s="407">
        <v>-1.371</v>
      </c>
      <c r="P4" s="407">
        <v>-1.371</v>
      </c>
      <c r="Q4" s="407">
        <v>-1.371</v>
      </c>
      <c r="R4" s="407"/>
      <c r="S4" s="407">
        <v>710.52</v>
      </c>
      <c r="T4" s="407">
        <v>127.85</v>
      </c>
      <c r="U4" s="407"/>
      <c r="V4" s="407">
        <v>-1149.40527</v>
      </c>
      <c r="W4" s="407">
        <v>-1149.40527</v>
      </c>
      <c r="X4" s="407">
        <v>-944.22140999999999</v>
      </c>
      <c r="Y4" s="407">
        <v>0</v>
      </c>
      <c r="Z4" s="407">
        <v>-83.733930082109381</v>
      </c>
      <c r="AA4" s="407">
        <v>0</v>
      </c>
      <c r="AB4" s="407">
        <v>0</v>
      </c>
      <c r="AC4" s="407">
        <v>0</v>
      </c>
      <c r="AD4" s="407">
        <v>-149.90850523788035</v>
      </c>
      <c r="AE4" s="407">
        <v>-682.98735223440542</v>
      </c>
      <c r="AF4" s="407">
        <v>-175.27878018879747</v>
      </c>
      <c r="AG4" s="407">
        <v>0</v>
      </c>
      <c r="AH4" s="407">
        <v>0</v>
      </c>
      <c r="AI4" s="407">
        <v>0</v>
      </c>
      <c r="AJ4" s="407">
        <v>0</v>
      </c>
      <c r="AK4" s="407">
        <v>0</v>
      </c>
      <c r="AL4" s="407">
        <v>-12.949502758206037</v>
      </c>
      <c r="AM4" s="407"/>
      <c r="AN4" s="407">
        <v>-3.1406364735523473</v>
      </c>
      <c r="AO4" s="407">
        <v>0</v>
      </c>
      <c r="AP4" s="407">
        <v>0</v>
      </c>
      <c r="AQ4" s="407">
        <v>0</v>
      </c>
      <c r="AR4" s="407">
        <v>0</v>
      </c>
      <c r="AS4" s="407">
        <v>0</v>
      </c>
      <c r="AT4" s="407">
        <v>0</v>
      </c>
      <c r="AU4" s="407">
        <v>0</v>
      </c>
      <c r="AV4" s="407">
        <v>0</v>
      </c>
      <c r="AW4" s="407">
        <v>0</v>
      </c>
      <c r="AX4" s="407">
        <v>0</v>
      </c>
      <c r="AY4" s="407">
        <v>0</v>
      </c>
      <c r="AZ4" s="407">
        <v>0</v>
      </c>
      <c r="BA4" s="407"/>
      <c r="BB4" s="407">
        <v>0</v>
      </c>
      <c r="BC4" s="407">
        <v>0</v>
      </c>
      <c r="BD4" s="407">
        <v>0</v>
      </c>
      <c r="BE4" s="407">
        <v>0</v>
      </c>
      <c r="BF4" s="407">
        <v>0</v>
      </c>
      <c r="BG4" s="407">
        <v>-41.401723526361643</v>
      </c>
      <c r="BH4" s="407">
        <v>0</v>
      </c>
      <c r="BI4" s="407">
        <v>-5.04</v>
      </c>
      <c r="BJ4" s="407">
        <v>-23.27</v>
      </c>
      <c r="BK4" s="407">
        <v>-328.8</v>
      </c>
      <c r="BL4" s="407">
        <v>0</v>
      </c>
      <c r="BM4" s="407"/>
      <c r="BN4" s="407"/>
      <c r="BO4" s="407"/>
      <c r="BP4" s="407"/>
      <c r="BQ4" s="407"/>
      <c r="BR4" s="407"/>
      <c r="BS4" s="407"/>
      <c r="BT4" s="407"/>
      <c r="BU4" s="407"/>
      <c r="BV4" s="407">
        <v>-216.68050371515912</v>
      </c>
      <c r="BW4" s="407"/>
      <c r="BX4" s="407"/>
      <c r="BY4" s="407"/>
      <c r="BZ4" s="407"/>
      <c r="CA4" s="407"/>
      <c r="CB4" s="407"/>
      <c r="CC4" s="407"/>
      <c r="CD4" s="407"/>
      <c r="CE4" s="407"/>
      <c r="CF4" s="407"/>
      <c r="CG4" s="407"/>
      <c r="CH4" s="407"/>
      <c r="CI4" s="407">
        <v>-943.5327000000002</v>
      </c>
      <c r="CJ4" s="407">
        <v>205.8425699999998</v>
      </c>
      <c r="CK4" s="407"/>
      <c r="CL4" s="407"/>
      <c r="CM4" s="407"/>
      <c r="CN4" s="407"/>
      <c r="CO4" s="407">
        <v>210.69527999999994</v>
      </c>
      <c r="CP4" s="407">
        <v>-5.5114200000000144</v>
      </c>
      <c r="CQ4" s="407">
        <v>31</v>
      </c>
      <c r="CR4" s="407">
        <v>3.2726075417174911</v>
      </c>
      <c r="CS4" s="407">
        <v>0</v>
      </c>
      <c r="CT4" s="407">
        <v>0</v>
      </c>
      <c r="CU4" s="407">
        <v>0</v>
      </c>
      <c r="CV4" s="407">
        <v>0</v>
      </c>
      <c r="CW4" s="407">
        <v>0</v>
      </c>
      <c r="CX4" s="407">
        <v>0</v>
      </c>
      <c r="CY4" s="407">
        <v>0</v>
      </c>
      <c r="CZ4" s="407">
        <v>7.8643074066588383</v>
      </c>
      <c r="DA4" s="407">
        <v>0</v>
      </c>
      <c r="DB4" s="407">
        <v>0</v>
      </c>
      <c r="DC4" s="407">
        <v>-5.5153592788433627</v>
      </c>
      <c r="DD4" s="407">
        <v>0</v>
      </c>
      <c r="DE4" s="407">
        <v>0</v>
      </c>
      <c r="DF4" s="407">
        <v>0</v>
      </c>
      <c r="DG4" s="407">
        <v>-1.3027554149182663</v>
      </c>
      <c r="DH4" s="407">
        <v>0</v>
      </c>
      <c r="DI4" s="407">
        <v>1.9069107452403244</v>
      </c>
      <c r="DJ4" s="407"/>
      <c r="DK4" s="407">
        <v>0</v>
      </c>
      <c r="DL4" s="407">
        <v>0</v>
      </c>
      <c r="DM4" s="407">
        <v>0</v>
      </c>
      <c r="DN4" s="407">
        <v>0</v>
      </c>
      <c r="DO4" s="407">
        <v>0.24710283179558701</v>
      </c>
      <c r="DP4" s="407">
        <v>7.2401251784369514E-2</v>
      </c>
      <c r="DQ4" s="407">
        <v>0</v>
      </c>
      <c r="DR4" s="407">
        <v>0</v>
      </c>
      <c r="DS4" s="407"/>
      <c r="DT4" s="407"/>
      <c r="DU4" s="407"/>
      <c r="DV4" s="407">
        <v>-682.98735223440542</v>
      </c>
      <c r="DW4" s="407">
        <v>0</v>
      </c>
      <c r="DX4" s="407">
        <v>0</v>
      </c>
      <c r="DY4" s="407">
        <v>210.69528000000003</v>
      </c>
      <c r="DZ4" s="407">
        <v>-5.5114200000000153</v>
      </c>
      <c r="EA4" s="407">
        <v>0</v>
      </c>
      <c r="EB4" s="407">
        <v>0</v>
      </c>
      <c r="EC4" s="407">
        <v>201.90184247719441</v>
      </c>
      <c r="ED4" s="407">
        <v>0</v>
      </c>
      <c r="EE4" s="407">
        <v>0</v>
      </c>
      <c r="EF4" s="407">
        <v>0</v>
      </c>
      <c r="EG4" s="407">
        <v>0</v>
      </c>
      <c r="EH4" s="407">
        <v>0</v>
      </c>
      <c r="EI4" s="407">
        <v>0</v>
      </c>
      <c r="EJ4" s="407">
        <v>0</v>
      </c>
      <c r="EK4" s="407">
        <v>0</v>
      </c>
      <c r="EL4" s="407">
        <v>0</v>
      </c>
      <c r="EM4" s="407">
        <v>0</v>
      </c>
      <c r="EN4" s="407">
        <v>0</v>
      </c>
      <c r="EO4" s="407">
        <v>0</v>
      </c>
      <c r="EP4" s="407">
        <v>0</v>
      </c>
      <c r="EQ4" s="407">
        <v>0</v>
      </c>
      <c r="ER4" s="407">
        <v>0</v>
      </c>
      <c r="ES4" s="407">
        <v>0</v>
      </c>
      <c r="ET4" s="407">
        <v>0</v>
      </c>
      <c r="EU4" s="407">
        <v>0</v>
      </c>
      <c r="EV4" s="407">
        <v>207</v>
      </c>
      <c r="EW4" s="407">
        <v>0</v>
      </c>
      <c r="EX4" s="407">
        <v>0</v>
      </c>
      <c r="EY4" s="407">
        <v>0</v>
      </c>
      <c r="EZ4" s="407"/>
      <c r="FA4" s="407">
        <v>0</v>
      </c>
      <c r="FB4" s="407"/>
      <c r="FC4" s="407"/>
      <c r="FD4" s="407"/>
      <c r="FE4" s="407"/>
      <c r="FF4" s="407">
        <v>0</v>
      </c>
      <c r="FG4" s="407">
        <v>0</v>
      </c>
      <c r="FH4" s="407">
        <v>0</v>
      </c>
      <c r="FI4" s="407">
        <v>0</v>
      </c>
    </row>
    <row r="5" spans="1:165" customFormat="1">
      <c r="A5" s="407">
        <v>3</v>
      </c>
      <c r="B5" s="407" t="s">
        <v>2308</v>
      </c>
      <c r="C5" s="407" t="s">
        <v>2305</v>
      </c>
      <c r="D5" s="407" t="s">
        <v>1220</v>
      </c>
      <c r="E5" s="407" t="s">
        <v>1023</v>
      </c>
      <c r="F5" s="407" t="s">
        <v>1023</v>
      </c>
      <c r="G5" s="407" t="s">
        <v>96</v>
      </c>
      <c r="H5" s="407" t="s">
        <v>96</v>
      </c>
      <c r="I5" s="407" t="s">
        <v>96</v>
      </c>
      <c r="J5" s="407" t="s">
        <v>2306</v>
      </c>
      <c r="K5" s="815">
        <v>44378</v>
      </c>
      <c r="L5" s="407">
        <v>0</v>
      </c>
      <c r="M5" s="407">
        <v>0</v>
      </c>
      <c r="N5" s="407">
        <v>1.0529999999999999</v>
      </c>
      <c r="O5" s="407">
        <v>1.0529999999999999</v>
      </c>
      <c r="P5" s="407">
        <v>1.0529999999999999</v>
      </c>
      <c r="Q5" s="407">
        <v>1.0529999999999999</v>
      </c>
      <c r="R5" s="407"/>
      <c r="S5" s="407">
        <v>710.52</v>
      </c>
      <c r="T5" s="407">
        <v>127.85</v>
      </c>
      <c r="U5" s="407"/>
      <c r="V5" s="407">
        <v>882.80360999999994</v>
      </c>
      <c r="W5" s="407">
        <v>882.80360999999994</v>
      </c>
      <c r="X5" s="407">
        <v>725.21163000000001</v>
      </c>
      <c r="Y5" s="407">
        <v>0</v>
      </c>
      <c r="Z5" s="407">
        <v>64.312055708578541</v>
      </c>
      <c r="AA5" s="407">
        <v>0</v>
      </c>
      <c r="AB5" s="407">
        <v>0</v>
      </c>
      <c r="AC5" s="407">
        <v>0</v>
      </c>
      <c r="AD5" s="407">
        <v>115.13760467942232</v>
      </c>
      <c r="AE5" s="407">
        <v>524.57015456077954</v>
      </c>
      <c r="AF5" s="407">
        <v>134.62330819752276</v>
      </c>
      <c r="AG5" s="407">
        <v>0</v>
      </c>
      <c r="AH5" s="407">
        <v>0</v>
      </c>
      <c r="AI5" s="407">
        <v>0</v>
      </c>
      <c r="AJ5" s="407">
        <v>0</v>
      </c>
      <c r="AK5" s="407">
        <v>0</v>
      </c>
      <c r="AL5" s="407">
        <v>9.9458981797162345</v>
      </c>
      <c r="AM5" s="407"/>
      <c r="AN5" s="407">
        <v>2.4121737466452382</v>
      </c>
      <c r="AO5" s="407">
        <v>0</v>
      </c>
      <c r="AP5" s="407">
        <v>0</v>
      </c>
      <c r="AQ5" s="407">
        <v>0</v>
      </c>
      <c r="AR5" s="407">
        <v>0</v>
      </c>
      <c r="AS5" s="407">
        <v>0</v>
      </c>
      <c r="AT5" s="407">
        <v>0</v>
      </c>
      <c r="AU5" s="407">
        <v>0</v>
      </c>
      <c r="AV5" s="407">
        <v>0</v>
      </c>
      <c r="AW5" s="407">
        <v>0</v>
      </c>
      <c r="AX5" s="407">
        <v>0</v>
      </c>
      <c r="AY5" s="407">
        <v>0</v>
      </c>
      <c r="AZ5" s="407">
        <v>0</v>
      </c>
      <c r="BA5" s="407"/>
      <c r="BB5" s="407">
        <v>0</v>
      </c>
      <c r="BC5" s="407">
        <v>0</v>
      </c>
      <c r="BD5" s="407">
        <v>0</v>
      </c>
      <c r="BE5" s="407">
        <v>0</v>
      </c>
      <c r="BF5" s="407">
        <v>0</v>
      </c>
      <c r="BG5" s="407">
        <v>31.79869793819023</v>
      </c>
      <c r="BH5" s="407">
        <v>0</v>
      </c>
      <c r="BI5" s="407">
        <v>2.57</v>
      </c>
      <c r="BJ5" s="407">
        <v>12.15</v>
      </c>
      <c r="BK5" s="407">
        <v>391.48</v>
      </c>
      <c r="BL5" s="407">
        <v>9</v>
      </c>
      <c r="BM5" s="407"/>
      <c r="BN5" s="407"/>
      <c r="BO5" s="407"/>
      <c r="BP5" s="407"/>
      <c r="BQ5" s="407"/>
      <c r="BR5" s="407"/>
      <c r="BS5" s="407"/>
      <c r="BT5" s="407"/>
      <c r="BU5" s="407"/>
      <c r="BV5" s="407">
        <v>166.42200613571299</v>
      </c>
      <c r="BW5" s="407"/>
      <c r="BX5" s="407"/>
      <c r="BY5" s="407"/>
      <c r="BZ5" s="407"/>
      <c r="CA5" s="407"/>
      <c r="CB5" s="407"/>
      <c r="CC5" s="407"/>
      <c r="CD5" s="407"/>
      <c r="CE5" s="407"/>
      <c r="CF5" s="407"/>
      <c r="CG5" s="407"/>
      <c r="CH5" s="407"/>
      <c r="CI5" s="407">
        <v>723.14550000000008</v>
      </c>
      <c r="CJ5" s="407">
        <v>-159.68810999999982</v>
      </c>
      <c r="CK5" s="407"/>
      <c r="CL5" s="407"/>
      <c r="CM5" s="407"/>
      <c r="CN5" s="407"/>
      <c r="CO5" s="407">
        <v>-161.82503999999994</v>
      </c>
      <c r="CP5" s="407">
        <v>4.2330600000000107</v>
      </c>
      <c r="CQ5" s="407">
        <v>31</v>
      </c>
      <c r="CR5" s="407">
        <v>-2.5135344576429475</v>
      </c>
      <c r="CS5" s="407">
        <v>0</v>
      </c>
      <c r="CT5" s="407">
        <v>0</v>
      </c>
      <c r="CU5" s="407">
        <v>0</v>
      </c>
      <c r="CV5" s="407">
        <v>0</v>
      </c>
      <c r="CW5" s="407">
        <v>0</v>
      </c>
      <c r="CX5" s="407">
        <v>0</v>
      </c>
      <c r="CY5" s="407">
        <v>0</v>
      </c>
      <c r="CZ5" s="407">
        <v>-6.0402010935169699</v>
      </c>
      <c r="DA5" s="407">
        <v>0</v>
      </c>
      <c r="DB5" s="407">
        <v>0</v>
      </c>
      <c r="DC5" s="407">
        <v>4.2360855730285039</v>
      </c>
      <c r="DD5" s="407">
        <v>0</v>
      </c>
      <c r="DE5" s="407">
        <v>0</v>
      </c>
      <c r="DF5" s="407">
        <v>0</v>
      </c>
      <c r="DG5" s="407">
        <v>1.000584574696525</v>
      </c>
      <c r="DH5" s="407">
        <v>0</v>
      </c>
      <c r="DI5" s="407">
        <v>-1.4646075964537317</v>
      </c>
      <c r="DJ5" s="407"/>
      <c r="DK5" s="407">
        <v>0</v>
      </c>
      <c r="DL5" s="407">
        <v>0</v>
      </c>
      <c r="DM5" s="407">
        <v>0</v>
      </c>
      <c r="DN5" s="407">
        <v>0</v>
      </c>
      <c r="DO5" s="407">
        <v>-0.18978795177297947</v>
      </c>
      <c r="DP5" s="407">
        <v>-5.5607963624318746E-2</v>
      </c>
      <c r="DQ5" s="407">
        <v>0</v>
      </c>
      <c r="DR5" s="407">
        <v>0</v>
      </c>
      <c r="DS5" s="407"/>
      <c r="DT5" s="407"/>
      <c r="DU5" s="407"/>
      <c r="DV5" s="407">
        <v>524.57015456077954</v>
      </c>
      <c r="DW5" s="407">
        <v>0</v>
      </c>
      <c r="DX5" s="407">
        <v>0</v>
      </c>
      <c r="DY5" s="407">
        <v>-161.82503999999994</v>
      </c>
      <c r="DZ5" s="407">
        <v>4.2330599999999947</v>
      </c>
      <c r="EA5" s="407">
        <v>0</v>
      </c>
      <c r="EB5" s="407">
        <v>0</v>
      </c>
      <c r="EC5" s="407">
        <v>-155.07121818270286</v>
      </c>
      <c r="ED5" s="407">
        <v>0</v>
      </c>
      <c r="EE5" s="407">
        <v>0</v>
      </c>
      <c r="EF5" s="407">
        <v>0</v>
      </c>
      <c r="EG5" s="407">
        <v>0</v>
      </c>
      <c r="EH5" s="407">
        <v>0</v>
      </c>
      <c r="EI5" s="407">
        <v>0</v>
      </c>
      <c r="EJ5" s="407">
        <v>0</v>
      </c>
      <c r="EK5" s="407">
        <v>0</v>
      </c>
      <c r="EL5" s="407">
        <v>0</v>
      </c>
      <c r="EM5" s="407">
        <v>0</v>
      </c>
      <c r="EN5" s="407">
        <v>0</v>
      </c>
      <c r="EO5" s="407">
        <v>0</v>
      </c>
      <c r="EP5" s="407">
        <v>0</v>
      </c>
      <c r="EQ5" s="407">
        <v>0</v>
      </c>
      <c r="ER5" s="407">
        <v>0</v>
      </c>
      <c r="ES5" s="407">
        <v>0</v>
      </c>
      <c r="ET5" s="407">
        <v>0</v>
      </c>
      <c r="EU5" s="407">
        <v>0</v>
      </c>
      <c r="EV5" s="407">
        <v>207</v>
      </c>
      <c r="EW5" s="407">
        <v>0</v>
      </c>
      <c r="EX5" s="407">
        <v>0</v>
      </c>
      <c r="EY5" s="407">
        <v>0</v>
      </c>
      <c r="EZ5" s="407"/>
      <c r="FA5" s="407">
        <v>0</v>
      </c>
      <c r="FB5" s="407"/>
      <c r="FC5" s="407"/>
      <c r="FD5" s="407"/>
      <c r="FE5" s="407"/>
      <c r="FF5" s="407">
        <v>0</v>
      </c>
      <c r="FG5" s="407">
        <v>0</v>
      </c>
      <c r="FH5" s="407">
        <v>0</v>
      </c>
      <c r="FI5" s="407">
        <v>0</v>
      </c>
    </row>
    <row r="6" spans="1:165" customFormat="1">
      <c r="A6" s="407">
        <v>4</v>
      </c>
      <c r="B6" s="407" t="s">
        <v>1092</v>
      </c>
      <c r="C6" s="407" t="s">
        <v>2305</v>
      </c>
      <c r="D6" s="407" t="s">
        <v>1220</v>
      </c>
      <c r="E6" s="407" t="s">
        <v>1023</v>
      </c>
      <c r="F6" s="407" t="s">
        <v>2309</v>
      </c>
      <c r="G6" s="407" t="s">
        <v>96</v>
      </c>
      <c r="H6" s="407" t="s">
        <v>96</v>
      </c>
      <c r="I6" s="407" t="s">
        <v>96</v>
      </c>
      <c r="J6" s="407" t="s">
        <v>2306</v>
      </c>
      <c r="K6" s="815">
        <v>44378</v>
      </c>
      <c r="L6" s="407">
        <v>0</v>
      </c>
      <c r="M6" s="407">
        <v>0</v>
      </c>
      <c r="N6" s="407">
        <v>3.75</v>
      </c>
      <c r="O6" s="407">
        <v>3.75</v>
      </c>
      <c r="P6" s="407">
        <v>3.75</v>
      </c>
      <c r="Q6" s="407">
        <v>3.75</v>
      </c>
      <c r="R6" s="407"/>
      <c r="S6" s="407">
        <v>640</v>
      </c>
      <c r="T6" s="407">
        <v>127.85</v>
      </c>
      <c r="U6" s="407"/>
      <c r="V6" s="407">
        <v>2879.4375</v>
      </c>
      <c r="W6" s="407">
        <v>2879.4375</v>
      </c>
      <c r="X6" s="407">
        <v>2324.1</v>
      </c>
      <c r="Y6" s="407">
        <v>0</v>
      </c>
      <c r="Z6" s="407">
        <v>0</v>
      </c>
      <c r="AA6" s="407">
        <v>0</v>
      </c>
      <c r="AB6" s="407">
        <v>0</v>
      </c>
      <c r="AC6" s="407">
        <v>0</v>
      </c>
      <c r="AD6" s="407">
        <v>410.03420469879745</v>
      </c>
      <c r="AE6" s="407">
        <v>1868.1273310569075</v>
      </c>
      <c r="AF6" s="407">
        <v>479.42773574616371</v>
      </c>
      <c r="AG6" s="407">
        <v>0</v>
      </c>
      <c r="AH6" s="407">
        <v>0</v>
      </c>
      <c r="AI6" s="407">
        <v>0</v>
      </c>
      <c r="AJ6" s="407">
        <v>0</v>
      </c>
      <c r="AK6" s="407">
        <v>0</v>
      </c>
      <c r="AL6" s="407">
        <v>0</v>
      </c>
      <c r="AM6" s="407"/>
      <c r="AN6" s="407">
        <v>8.590362345602701</v>
      </c>
      <c r="AO6" s="407">
        <v>0</v>
      </c>
      <c r="AP6" s="407">
        <v>0</v>
      </c>
      <c r="AQ6" s="407">
        <v>0</v>
      </c>
      <c r="AR6" s="407">
        <v>0</v>
      </c>
      <c r="AS6" s="407">
        <v>0</v>
      </c>
      <c r="AT6" s="407">
        <v>0</v>
      </c>
      <c r="AU6" s="407">
        <v>0</v>
      </c>
      <c r="AV6" s="407">
        <v>0</v>
      </c>
      <c r="AW6" s="407">
        <v>0</v>
      </c>
      <c r="AX6" s="407">
        <v>0</v>
      </c>
      <c r="AY6" s="407">
        <v>0</v>
      </c>
      <c r="AZ6" s="407">
        <v>0</v>
      </c>
      <c r="BA6" s="407"/>
      <c r="BB6" s="407">
        <v>0</v>
      </c>
      <c r="BC6" s="407">
        <v>0</v>
      </c>
      <c r="BD6" s="407">
        <v>0</v>
      </c>
      <c r="BE6" s="407">
        <v>0</v>
      </c>
      <c r="BF6" s="407">
        <v>0</v>
      </c>
      <c r="BG6" s="407">
        <v>113.24322627560625</v>
      </c>
      <c r="BH6" s="407">
        <v>0</v>
      </c>
      <c r="BI6" s="407">
        <v>9.67</v>
      </c>
      <c r="BJ6" s="407">
        <v>46.2</v>
      </c>
      <c r="BK6" s="407">
        <v>461.88</v>
      </c>
      <c r="BL6" s="407">
        <v>3</v>
      </c>
      <c r="BM6" s="407"/>
      <c r="BN6" s="407"/>
      <c r="BO6" s="407"/>
      <c r="BP6" s="407"/>
      <c r="BQ6" s="407"/>
      <c r="BR6" s="407"/>
      <c r="BS6" s="407"/>
      <c r="BT6" s="407">
        <v>1510.6875</v>
      </c>
      <c r="BU6" s="407"/>
      <c r="BV6" s="407">
        <v>592.67096202176992</v>
      </c>
      <c r="BW6" s="407"/>
      <c r="BX6" s="407"/>
      <c r="BY6" s="407"/>
      <c r="BZ6" s="407"/>
      <c r="CA6" s="407"/>
      <c r="CB6" s="407"/>
      <c r="CC6" s="407"/>
      <c r="CD6" s="407"/>
      <c r="CE6" s="407"/>
      <c r="CF6" s="407"/>
      <c r="CG6" s="407"/>
      <c r="CH6" s="407"/>
      <c r="CI6" s="407">
        <v>813.41249999999991</v>
      </c>
      <c r="CJ6" s="407">
        <v>-194.43000000000006</v>
      </c>
      <c r="CK6" s="407"/>
      <c r="CL6" s="407"/>
      <c r="CM6" s="407"/>
      <c r="CN6" s="407"/>
      <c r="CO6" s="407">
        <v>-570.41250000000002</v>
      </c>
      <c r="CP6" s="407">
        <v>15.075000000000038</v>
      </c>
      <c r="CQ6" s="407">
        <v>31</v>
      </c>
      <c r="CR6" s="407">
        <v>-3.0596115007700746</v>
      </c>
      <c r="CS6" s="407">
        <v>0</v>
      </c>
      <c r="CT6" s="407">
        <v>0</v>
      </c>
      <c r="CU6" s="407">
        <v>0</v>
      </c>
      <c r="CV6" s="407">
        <v>0</v>
      </c>
      <c r="CW6" s="407">
        <v>0</v>
      </c>
      <c r="CX6" s="407">
        <v>0</v>
      </c>
      <c r="CY6" s="407">
        <v>0</v>
      </c>
      <c r="CZ6" s="407">
        <v>-21.510687654974902</v>
      </c>
      <c r="DA6" s="407">
        <v>0</v>
      </c>
      <c r="DB6" s="407">
        <v>0</v>
      </c>
      <c r="DC6" s="407">
        <v>15.08577483272262</v>
      </c>
      <c r="DD6" s="407">
        <v>0</v>
      </c>
      <c r="DE6" s="407">
        <v>0</v>
      </c>
      <c r="DF6" s="407">
        <v>0</v>
      </c>
      <c r="DG6" s="407">
        <v>3.5633353799733811</v>
      </c>
      <c r="DH6" s="407">
        <v>0</v>
      </c>
      <c r="DI6" s="407">
        <v>0</v>
      </c>
      <c r="DJ6" s="407"/>
      <c r="DK6" s="407">
        <v>0</v>
      </c>
      <c r="DL6" s="407">
        <v>0</v>
      </c>
      <c r="DM6" s="407">
        <v>0</v>
      </c>
      <c r="DN6" s="407">
        <v>0</v>
      </c>
      <c r="DO6" s="407">
        <v>0</v>
      </c>
      <c r="DP6" s="407">
        <v>-0.19803405849116373</v>
      </c>
      <c r="DQ6" s="407">
        <v>0</v>
      </c>
      <c r="DR6" s="407">
        <v>0</v>
      </c>
      <c r="DS6" s="407"/>
      <c r="DT6" s="407"/>
      <c r="DU6" s="407"/>
      <c r="DV6" s="407">
        <v>1868.1273310569075</v>
      </c>
      <c r="DW6" s="407">
        <v>0</v>
      </c>
      <c r="DX6" s="407">
        <v>0</v>
      </c>
      <c r="DY6" s="407">
        <v>-570.41250000000014</v>
      </c>
      <c r="DZ6" s="407">
        <v>15.075000000000045</v>
      </c>
      <c r="EA6" s="407">
        <v>0</v>
      </c>
      <c r="EB6" s="407">
        <v>0</v>
      </c>
      <c r="EC6" s="407">
        <v>-552.24792800107866</v>
      </c>
      <c r="ED6" s="407">
        <v>0</v>
      </c>
      <c r="EE6" s="407">
        <v>0</v>
      </c>
      <c r="EF6" s="407">
        <v>0</v>
      </c>
      <c r="EG6" s="407">
        <v>0</v>
      </c>
      <c r="EH6" s="407">
        <v>0</v>
      </c>
      <c r="EI6" s="407">
        <v>0</v>
      </c>
      <c r="EJ6" s="407">
        <v>0</v>
      </c>
      <c r="EK6" s="407">
        <v>0</v>
      </c>
      <c r="EL6" s="407">
        <v>0</v>
      </c>
      <c r="EM6" s="407">
        <v>0</v>
      </c>
      <c r="EN6" s="407">
        <v>0</v>
      </c>
      <c r="EO6" s="407">
        <v>0</v>
      </c>
      <c r="EP6" s="407">
        <v>0</v>
      </c>
      <c r="EQ6" s="407">
        <v>0</v>
      </c>
      <c r="ER6" s="407">
        <v>0</v>
      </c>
      <c r="ES6" s="407">
        <v>0</v>
      </c>
      <c r="ET6" s="407">
        <v>0</v>
      </c>
      <c r="EU6" s="407">
        <v>0</v>
      </c>
      <c r="EV6" s="407">
        <v>207</v>
      </c>
      <c r="EW6" s="407">
        <v>0</v>
      </c>
      <c r="EX6" s="407">
        <v>0</v>
      </c>
      <c r="EY6" s="407">
        <v>0</v>
      </c>
      <c r="EZ6" s="407"/>
      <c r="FA6" s="407">
        <v>0</v>
      </c>
      <c r="FB6" s="407"/>
      <c r="FC6" s="407"/>
      <c r="FD6" s="407"/>
      <c r="FE6" s="407"/>
      <c r="FF6" s="407">
        <v>0</v>
      </c>
      <c r="FG6" s="407">
        <v>0</v>
      </c>
      <c r="FH6" s="407">
        <v>0</v>
      </c>
      <c r="FI6" s="407">
        <v>0</v>
      </c>
    </row>
    <row r="7" spans="1:165" customFormat="1">
      <c r="A7" s="407">
        <v>5</v>
      </c>
      <c r="B7" s="407" t="s">
        <v>1092</v>
      </c>
      <c r="C7" s="407" t="s">
        <v>2305</v>
      </c>
      <c r="D7" s="407" t="s">
        <v>1220</v>
      </c>
      <c r="E7" s="407" t="s">
        <v>1023</v>
      </c>
      <c r="F7" s="407" t="s">
        <v>2310</v>
      </c>
      <c r="G7" s="407" t="s">
        <v>96</v>
      </c>
      <c r="H7" s="407" t="s">
        <v>96</v>
      </c>
      <c r="I7" s="407" t="s">
        <v>96</v>
      </c>
      <c r="J7" s="407" t="s">
        <v>2306</v>
      </c>
      <c r="K7" s="815">
        <v>44378</v>
      </c>
      <c r="L7" s="407">
        <v>0</v>
      </c>
      <c r="M7" s="407">
        <v>0</v>
      </c>
      <c r="N7" s="407">
        <v>8.2100000000000009</v>
      </c>
      <c r="O7" s="407">
        <v>8.2100000000000009</v>
      </c>
      <c r="P7" s="407">
        <v>8.2100000000000009</v>
      </c>
      <c r="Q7" s="407">
        <v>8.2100000000000009</v>
      </c>
      <c r="R7" s="407"/>
      <c r="S7" s="407">
        <v>640</v>
      </c>
      <c r="T7" s="407">
        <v>127.85</v>
      </c>
      <c r="U7" s="407"/>
      <c r="V7" s="407">
        <v>6304.0485000000008</v>
      </c>
      <c r="W7" s="407">
        <v>6304.0485000000008</v>
      </c>
      <c r="X7" s="407">
        <v>5088.2296000000006</v>
      </c>
      <c r="Y7" s="407">
        <v>0</v>
      </c>
      <c r="Z7" s="407">
        <v>0</v>
      </c>
      <c r="AA7" s="407">
        <v>0</v>
      </c>
      <c r="AB7" s="407">
        <v>0</v>
      </c>
      <c r="AC7" s="407">
        <v>0</v>
      </c>
      <c r="AD7" s="407">
        <v>897.70155215390071</v>
      </c>
      <c r="AE7" s="407">
        <v>4089.9534367939232</v>
      </c>
      <c r="AF7" s="407">
        <v>1049.6271227936013</v>
      </c>
      <c r="AG7" s="407">
        <v>0</v>
      </c>
      <c r="AH7" s="407">
        <v>0</v>
      </c>
      <c r="AI7" s="407">
        <v>0</v>
      </c>
      <c r="AJ7" s="407">
        <v>0</v>
      </c>
      <c r="AK7" s="407">
        <v>0</v>
      </c>
      <c r="AL7" s="407">
        <v>0</v>
      </c>
      <c r="AM7" s="407"/>
      <c r="AN7" s="407">
        <v>18.807166628639514</v>
      </c>
      <c r="AO7" s="407">
        <v>0</v>
      </c>
      <c r="AP7" s="407">
        <v>0</v>
      </c>
      <c r="AQ7" s="407">
        <v>0</v>
      </c>
      <c r="AR7" s="407">
        <v>0</v>
      </c>
      <c r="AS7" s="407">
        <v>0</v>
      </c>
      <c r="AT7" s="407">
        <v>0</v>
      </c>
      <c r="AU7" s="407">
        <v>0</v>
      </c>
      <c r="AV7" s="407">
        <v>0</v>
      </c>
      <c r="AW7" s="407">
        <v>0</v>
      </c>
      <c r="AX7" s="407">
        <v>0</v>
      </c>
      <c r="AY7" s="407">
        <v>0</v>
      </c>
      <c r="AZ7" s="407">
        <v>0</v>
      </c>
      <c r="BA7" s="407"/>
      <c r="BB7" s="407">
        <v>0</v>
      </c>
      <c r="BC7" s="407">
        <v>0</v>
      </c>
      <c r="BD7" s="407">
        <v>0</v>
      </c>
      <c r="BE7" s="407">
        <v>0</v>
      </c>
      <c r="BF7" s="407">
        <v>0</v>
      </c>
      <c r="BG7" s="407">
        <v>247.92717005939397</v>
      </c>
      <c r="BH7" s="407">
        <v>0</v>
      </c>
      <c r="BI7" s="407">
        <v>22.36</v>
      </c>
      <c r="BJ7" s="407">
        <v>103.42</v>
      </c>
      <c r="BK7" s="407">
        <v>1082.48</v>
      </c>
      <c r="BL7" s="407">
        <v>13</v>
      </c>
      <c r="BM7" s="407"/>
      <c r="BN7" s="407"/>
      <c r="BO7" s="407"/>
      <c r="BP7" s="407"/>
      <c r="BQ7" s="407"/>
      <c r="BR7" s="407"/>
      <c r="BS7" s="407"/>
      <c r="BT7" s="407">
        <v>2035.259</v>
      </c>
      <c r="BU7" s="407"/>
      <c r="BV7" s="407">
        <v>1297.5542928529953</v>
      </c>
      <c r="BW7" s="407"/>
      <c r="BX7" s="407"/>
      <c r="BY7" s="407"/>
      <c r="BZ7" s="407"/>
      <c r="CA7" s="407"/>
      <c r="CB7" s="407"/>
      <c r="CC7" s="407"/>
      <c r="CD7" s="407"/>
      <c r="CE7" s="407"/>
      <c r="CF7" s="407"/>
      <c r="CG7" s="407"/>
      <c r="CH7" s="407"/>
      <c r="CI7" s="407">
        <v>3052.9706000000006</v>
      </c>
      <c r="CJ7" s="407">
        <v>-729.48850000000039</v>
      </c>
      <c r="CK7" s="407"/>
      <c r="CL7" s="407"/>
      <c r="CM7" s="407"/>
      <c r="CN7" s="407"/>
      <c r="CO7" s="407">
        <v>-1248.8231000000003</v>
      </c>
      <c r="CP7" s="407">
        <v>33.00420000000009</v>
      </c>
      <c r="CQ7" s="407">
        <v>31</v>
      </c>
      <c r="CR7" s="407">
        <v>-6.6985094456863408</v>
      </c>
      <c r="CS7" s="407">
        <v>0</v>
      </c>
      <c r="CT7" s="407">
        <v>0</v>
      </c>
      <c r="CU7" s="407">
        <v>0</v>
      </c>
      <c r="CV7" s="407">
        <v>0</v>
      </c>
      <c r="CW7" s="407">
        <v>0</v>
      </c>
      <c r="CX7" s="407">
        <v>0</v>
      </c>
      <c r="CY7" s="407">
        <v>0</v>
      </c>
      <c r="CZ7" s="407">
        <v>-47.094065505958497</v>
      </c>
      <c r="DA7" s="407">
        <v>0</v>
      </c>
      <c r="DB7" s="407">
        <v>0</v>
      </c>
      <c r="DC7" s="407">
        <v>33.027789700440508</v>
      </c>
      <c r="DD7" s="407">
        <v>0</v>
      </c>
      <c r="DE7" s="407">
        <v>0</v>
      </c>
      <c r="DF7" s="407">
        <v>0</v>
      </c>
      <c r="DG7" s="407">
        <v>7.8013289252216964</v>
      </c>
      <c r="DH7" s="407">
        <v>0</v>
      </c>
      <c r="DI7" s="407">
        <v>0</v>
      </c>
      <c r="DJ7" s="407"/>
      <c r="DK7" s="407">
        <v>0</v>
      </c>
      <c r="DL7" s="407">
        <v>0</v>
      </c>
      <c r="DM7" s="407">
        <v>0</v>
      </c>
      <c r="DN7" s="407">
        <v>0</v>
      </c>
      <c r="DO7" s="407">
        <v>0</v>
      </c>
      <c r="DP7" s="407">
        <v>-0.4335625653899875</v>
      </c>
      <c r="DQ7" s="407">
        <v>0</v>
      </c>
      <c r="DR7" s="407">
        <v>0</v>
      </c>
      <c r="DS7" s="407"/>
      <c r="DT7" s="407"/>
      <c r="DU7" s="407"/>
      <c r="DV7" s="407">
        <v>4089.9534367939232</v>
      </c>
      <c r="DW7" s="407">
        <v>0</v>
      </c>
      <c r="DX7" s="407">
        <v>0</v>
      </c>
      <c r="DY7" s="407">
        <v>-1248.8231000000001</v>
      </c>
      <c r="DZ7" s="407">
        <v>33.004200000000083</v>
      </c>
      <c r="EA7" s="407">
        <v>0</v>
      </c>
      <c r="EB7" s="407">
        <v>0</v>
      </c>
      <c r="EC7" s="407">
        <v>-1209.0547970370285</v>
      </c>
      <c r="ED7" s="407">
        <v>0</v>
      </c>
      <c r="EE7" s="407">
        <v>0</v>
      </c>
      <c r="EF7" s="407">
        <v>0</v>
      </c>
      <c r="EG7" s="407">
        <v>0</v>
      </c>
      <c r="EH7" s="407">
        <v>0</v>
      </c>
      <c r="EI7" s="407">
        <v>0</v>
      </c>
      <c r="EJ7" s="407">
        <v>0</v>
      </c>
      <c r="EK7" s="407">
        <v>0</v>
      </c>
      <c r="EL7" s="407">
        <v>0</v>
      </c>
      <c r="EM7" s="407">
        <v>0</v>
      </c>
      <c r="EN7" s="407">
        <v>0</v>
      </c>
      <c r="EO7" s="407">
        <v>0</v>
      </c>
      <c r="EP7" s="407">
        <v>0</v>
      </c>
      <c r="EQ7" s="407">
        <v>0</v>
      </c>
      <c r="ER7" s="407">
        <v>0</v>
      </c>
      <c r="ES7" s="407">
        <v>0</v>
      </c>
      <c r="ET7" s="407">
        <v>0</v>
      </c>
      <c r="EU7" s="407">
        <v>0</v>
      </c>
      <c r="EV7" s="407">
        <v>207</v>
      </c>
      <c r="EW7" s="407">
        <v>0</v>
      </c>
      <c r="EX7" s="407">
        <v>0</v>
      </c>
      <c r="EY7" s="407">
        <v>0</v>
      </c>
      <c r="EZ7" s="407"/>
      <c r="FA7" s="407">
        <v>0</v>
      </c>
      <c r="FB7" s="407"/>
      <c r="FC7" s="407"/>
      <c r="FD7" s="407"/>
      <c r="FE7" s="407"/>
      <c r="FF7" s="407">
        <v>0</v>
      </c>
      <c r="FG7" s="407">
        <v>0</v>
      </c>
      <c r="FH7" s="407">
        <v>0</v>
      </c>
      <c r="FI7" s="407">
        <v>0</v>
      </c>
    </row>
    <row r="8" spans="1:165" customFormat="1">
      <c r="A8" s="407">
        <v>6</v>
      </c>
      <c r="B8" s="407" t="s">
        <v>1092</v>
      </c>
      <c r="C8" s="407" t="s">
        <v>2305</v>
      </c>
      <c r="D8" s="407" t="s">
        <v>1220</v>
      </c>
      <c r="E8" s="407" t="s">
        <v>1023</v>
      </c>
      <c r="F8" s="407" t="s">
        <v>2311</v>
      </c>
      <c r="G8" s="407" t="s">
        <v>96</v>
      </c>
      <c r="H8" s="407" t="s">
        <v>96</v>
      </c>
      <c r="I8" s="407" t="s">
        <v>96</v>
      </c>
      <c r="J8" s="407" t="s">
        <v>2306</v>
      </c>
      <c r="K8" s="815">
        <v>44378</v>
      </c>
      <c r="L8" s="407">
        <v>0</v>
      </c>
      <c r="M8" s="407">
        <v>0</v>
      </c>
      <c r="N8" s="407">
        <v>8.4429999999999996</v>
      </c>
      <c r="O8" s="407">
        <v>8.4429999999999996</v>
      </c>
      <c r="P8" s="407">
        <v>8.4429999999999996</v>
      </c>
      <c r="Q8" s="407">
        <v>8.4429999999999996</v>
      </c>
      <c r="R8" s="407"/>
      <c r="S8" s="407">
        <v>640</v>
      </c>
      <c r="T8" s="407">
        <v>127.85</v>
      </c>
      <c r="U8" s="407"/>
      <c r="V8" s="407">
        <v>6482.9575499999992</v>
      </c>
      <c r="W8" s="407">
        <v>6482.9575499999992</v>
      </c>
      <c r="X8" s="407">
        <v>5232.6336799999999</v>
      </c>
      <c r="Y8" s="407">
        <v>0</v>
      </c>
      <c r="Z8" s="407">
        <v>0</v>
      </c>
      <c r="AA8" s="407">
        <v>0</v>
      </c>
      <c r="AB8" s="407">
        <v>0</v>
      </c>
      <c r="AC8" s="407">
        <v>0</v>
      </c>
      <c r="AD8" s="407">
        <v>923.17834407251917</v>
      </c>
      <c r="AE8" s="407">
        <v>4206.0264149635914</v>
      </c>
      <c r="AF8" s="407">
        <v>1079.4155661079626</v>
      </c>
      <c r="AG8" s="407">
        <v>0</v>
      </c>
      <c r="AH8" s="407">
        <v>0</v>
      </c>
      <c r="AI8" s="407">
        <v>0</v>
      </c>
      <c r="AJ8" s="407">
        <v>0</v>
      </c>
      <c r="AK8" s="407">
        <v>0</v>
      </c>
      <c r="AL8" s="407">
        <v>0</v>
      </c>
      <c r="AM8" s="407"/>
      <c r="AN8" s="407">
        <v>19.34091447571296</v>
      </c>
      <c r="AO8" s="407">
        <v>0</v>
      </c>
      <c r="AP8" s="407">
        <v>0</v>
      </c>
      <c r="AQ8" s="407">
        <v>0</v>
      </c>
      <c r="AR8" s="407">
        <v>0</v>
      </c>
      <c r="AS8" s="407">
        <v>0</v>
      </c>
      <c r="AT8" s="407">
        <v>0</v>
      </c>
      <c r="AU8" s="407">
        <v>0</v>
      </c>
      <c r="AV8" s="407">
        <v>0</v>
      </c>
      <c r="AW8" s="407">
        <v>0</v>
      </c>
      <c r="AX8" s="407">
        <v>0</v>
      </c>
      <c r="AY8" s="407">
        <v>0</v>
      </c>
      <c r="AZ8" s="407">
        <v>0</v>
      </c>
      <c r="BA8" s="407"/>
      <c r="BB8" s="407">
        <v>0</v>
      </c>
      <c r="BC8" s="407">
        <v>0</v>
      </c>
      <c r="BD8" s="407">
        <v>0</v>
      </c>
      <c r="BE8" s="407">
        <v>0</v>
      </c>
      <c r="BF8" s="407">
        <v>0</v>
      </c>
      <c r="BG8" s="407">
        <v>254.96334918531826</v>
      </c>
      <c r="BH8" s="407">
        <v>0</v>
      </c>
      <c r="BI8" s="407">
        <v>27.34</v>
      </c>
      <c r="BJ8" s="407">
        <v>126.48</v>
      </c>
      <c r="BK8" s="407">
        <v>1554.96</v>
      </c>
      <c r="BL8" s="407">
        <v>70</v>
      </c>
      <c r="BM8" s="407"/>
      <c r="BN8" s="407"/>
      <c r="BO8" s="407"/>
      <c r="BP8" s="407"/>
      <c r="BQ8" s="407"/>
      <c r="BR8" s="407"/>
      <c r="BS8" s="407"/>
      <c r="BT8" s="407">
        <v>523.29713999999967</v>
      </c>
      <c r="BU8" s="407"/>
      <c r="BV8" s="407">
        <v>1334.3789152932809</v>
      </c>
      <c r="BW8" s="407"/>
      <c r="BX8" s="407"/>
      <c r="BY8" s="407"/>
      <c r="BZ8" s="407"/>
      <c r="CA8" s="407"/>
      <c r="CB8" s="407"/>
      <c r="CC8" s="407"/>
      <c r="CD8" s="407"/>
      <c r="CE8" s="407"/>
      <c r="CF8" s="407"/>
      <c r="CG8" s="407"/>
      <c r="CH8" s="407"/>
      <c r="CI8" s="407">
        <v>4707.6632</v>
      </c>
      <c r="CJ8" s="407">
        <v>-1126.9863800000003</v>
      </c>
      <c r="CK8" s="407"/>
      <c r="CL8" s="407"/>
      <c r="CM8" s="407"/>
      <c r="CN8" s="407"/>
      <c r="CO8" s="407">
        <v>-1284.2647300000001</v>
      </c>
      <c r="CP8" s="407">
        <v>33.940860000000086</v>
      </c>
      <c r="CQ8" s="407">
        <v>31</v>
      </c>
      <c r="CR8" s="407">
        <v>-6.8886133069336211</v>
      </c>
      <c r="CS8" s="407">
        <v>0</v>
      </c>
      <c r="CT8" s="407">
        <v>0</v>
      </c>
      <c r="CU8" s="407">
        <v>0</v>
      </c>
      <c r="CV8" s="407">
        <v>0</v>
      </c>
      <c r="CW8" s="407">
        <v>0</v>
      </c>
      <c r="CX8" s="407">
        <v>0</v>
      </c>
      <c r="CY8" s="407">
        <v>0</v>
      </c>
      <c r="CZ8" s="407">
        <v>-48.430596232254288</v>
      </c>
      <c r="DA8" s="407">
        <v>0</v>
      </c>
      <c r="DB8" s="407">
        <v>0</v>
      </c>
      <c r="DC8" s="407">
        <v>33.96511917671387</v>
      </c>
      <c r="DD8" s="407">
        <v>0</v>
      </c>
      <c r="DE8" s="407">
        <v>0</v>
      </c>
      <c r="DF8" s="407">
        <v>0</v>
      </c>
      <c r="DG8" s="407">
        <v>8.022730830164079</v>
      </c>
      <c r="DH8" s="407">
        <v>0</v>
      </c>
      <c r="DI8" s="407">
        <v>0</v>
      </c>
      <c r="DJ8" s="407"/>
      <c r="DK8" s="407">
        <v>0</v>
      </c>
      <c r="DL8" s="407">
        <v>0</v>
      </c>
      <c r="DM8" s="407">
        <v>0</v>
      </c>
      <c r="DN8" s="407">
        <v>0</v>
      </c>
      <c r="DO8" s="407">
        <v>0</v>
      </c>
      <c r="DP8" s="407">
        <v>-0.44586708155757293</v>
      </c>
      <c r="DQ8" s="407">
        <v>0</v>
      </c>
      <c r="DR8" s="407">
        <v>0</v>
      </c>
      <c r="DS8" s="407"/>
      <c r="DT8" s="407"/>
      <c r="DU8" s="407"/>
      <c r="DV8" s="407">
        <v>4206.0264149635914</v>
      </c>
      <c r="DW8" s="407">
        <v>0</v>
      </c>
      <c r="DX8" s="407">
        <v>0</v>
      </c>
      <c r="DY8" s="407">
        <v>-1284.2647299999999</v>
      </c>
      <c r="DZ8" s="407">
        <v>33.940860000000157</v>
      </c>
      <c r="EA8" s="407">
        <v>0</v>
      </c>
      <c r="EB8" s="407">
        <v>0</v>
      </c>
      <c r="EC8" s="407">
        <v>-1243.3678016301615</v>
      </c>
      <c r="ED8" s="407">
        <v>0</v>
      </c>
      <c r="EE8" s="407">
        <v>0</v>
      </c>
      <c r="EF8" s="407">
        <v>0</v>
      </c>
      <c r="EG8" s="407">
        <v>0</v>
      </c>
      <c r="EH8" s="407">
        <v>0</v>
      </c>
      <c r="EI8" s="407">
        <v>0</v>
      </c>
      <c r="EJ8" s="407">
        <v>0</v>
      </c>
      <c r="EK8" s="407">
        <v>0</v>
      </c>
      <c r="EL8" s="407">
        <v>0</v>
      </c>
      <c r="EM8" s="407">
        <v>0</v>
      </c>
      <c r="EN8" s="407">
        <v>0</v>
      </c>
      <c r="EO8" s="407">
        <v>0</v>
      </c>
      <c r="EP8" s="407">
        <v>0</v>
      </c>
      <c r="EQ8" s="407">
        <v>0</v>
      </c>
      <c r="ER8" s="407">
        <v>0</v>
      </c>
      <c r="ES8" s="407">
        <v>0</v>
      </c>
      <c r="ET8" s="407">
        <v>0</v>
      </c>
      <c r="EU8" s="407">
        <v>0</v>
      </c>
      <c r="EV8" s="407">
        <v>207</v>
      </c>
      <c r="EW8" s="407">
        <v>0</v>
      </c>
      <c r="EX8" s="407">
        <v>0</v>
      </c>
      <c r="EY8" s="407">
        <v>0</v>
      </c>
      <c r="EZ8" s="407"/>
      <c r="FA8" s="407">
        <v>0</v>
      </c>
      <c r="FB8" s="407"/>
      <c r="FC8" s="407"/>
      <c r="FD8" s="407"/>
      <c r="FE8" s="407"/>
      <c r="FF8" s="407">
        <v>0</v>
      </c>
      <c r="FG8" s="407">
        <v>0</v>
      </c>
      <c r="FH8" s="407">
        <v>0</v>
      </c>
      <c r="FI8" s="407">
        <v>0</v>
      </c>
    </row>
    <row r="9" spans="1:165" customFormat="1">
      <c r="A9" s="407">
        <v>7</v>
      </c>
      <c r="B9" s="407" t="s">
        <v>1092</v>
      </c>
      <c r="C9" s="407" t="s">
        <v>2305</v>
      </c>
      <c r="D9" s="407" t="s">
        <v>1220</v>
      </c>
      <c r="E9" s="407" t="s">
        <v>1023</v>
      </c>
      <c r="F9" s="407" t="s">
        <v>2312</v>
      </c>
      <c r="G9" s="407" t="s">
        <v>96</v>
      </c>
      <c r="H9" s="407" t="s">
        <v>96</v>
      </c>
      <c r="I9" s="407" t="s">
        <v>96</v>
      </c>
      <c r="J9" s="407" t="s">
        <v>2306</v>
      </c>
      <c r="K9" s="815">
        <v>44378</v>
      </c>
      <c r="L9" s="407">
        <v>0</v>
      </c>
      <c r="M9" s="407">
        <v>0</v>
      </c>
      <c r="N9" s="407">
        <v>2.835</v>
      </c>
      <c r="O9" s="407">
        <v>2.835</v>
      </c>
      <c r="P9" s="407">
        <v>2.835</v>
      </c>
      <c r="Q9" s="407">
        <v>2.835</v>
      </c>
      <c r="R9" s="407"/>
      <c r="S9" s="407">
        <v>640</v>
      </c>
      <c r="T9" s="407">
        <v>127.85</v>
      </c>
      <c r="U9" s="407"/>
      <c r="V9" s="407">
        <v>2176.85475</v>
      </c>
      <c r="W9" s="407">
        <v>2176.85475</v>
      </c>
      <c r="X9" s="407">
        <v>1757.0196000000001</v>
      </c>
      <c r="Y9" s="407">
        <v>0</v>
      </c>
      <c r="Z9" s="407">
        <v>0</v>
      </c>
      <c r="AA9" s="407">
        <v>0</v>
      </c>
      <c r="AB9" s="407">
        <v>0</v>
      </c>
      <c r="AC9" s="407">
        <v>0</v>
      </c>
      <c r="AD9" s="407">
        <v>309.98585875229088</v>
      </c>
      <c r="AE9" s="407">
        <v>1412.3042622790219</v>
      </c>
      <c r="AF9" s="407">
        <v>362.44736822409976</v>
      </c>
      <c r="AG9" s="407">
        <v>0</v>
      </c>
      <c r="AH9" s="407">
        <v>0</v>
      </c>
      <c r="AI9" s="407">
        <v>0</v>
      </c>
      <c r="AJ9" s="407">
        <v>0</v>
      </c>
      <c r="AK9" s="407">
        <v>0</v>
      </c>
      <c r="AL9" s="407">
        <v>0</v>
      </c>
      <c r="AM9" s="407"/>
      <c r="AN9" s="407">
        <v>6.4943139332756417</v>
      </c>
      <c r="AO9" s="407">
        <v>0</v>
      </c>
      <c r="AP9" s="407">
        <v>0</v>
      </c>
      <c r="AQ9" s="407">
        <v>0</v>
      </c>
      <c r="AR9" s="407">
        <v>0</v>
      </c>
      <c r="AS9" s="407">
        <v>0</v>
      </c>
      <c r="AT9" s="407">
        <v>0</v>
      </c>
      <c r="AU9" s="407">
        <v>0</v>
      </c>
      <c r="AV9" s="407">
        <v>0</v>
      </c>
      <c r="AW9" s="407">
        <v>0</v>
      </c>
      <c r="AX9" s="407">
        <v>0</v>
      </c>
      <c r="AY9" s="407">
        <v>0</v>
      </c>
      <c r="AZ9" s="407">
        <v>0</v>
      </c>
      <c r="BA9" s="407"/>
      <c r="BB9" s="407">
        <v>0</v>
      </c>
      <c r="BC9" s="407">
        <v>0</v>
      </c>
      <c r="BD9" s="407">
        <v>0</v>
      </c>
      <c r="BE9" s="407">
        <v>0</v>
      </c>
      <c r="BF9" s="407">
        <v>0</v>
      </c>
      <c r="BG9" s="407">
        <v>85.61187906435832</v>
      </c>
      <c r="BH9" s="407">
        <v>0</v>
      </c>
      <c r="BI9" s="407">
        <v>12.68</v>
      </c>
      <c r="BJ9" s="407">
        <v>59.49</v>
      </c>
      <c r="BK9" s="407">
        <v>893.44</v>
      </c>
      <c r="BL9" s="407">
        <v>39</v>
      </c>
      <c r="BM9" s="407"/>
      <c r="BN9" s="407"/>
      <c r="BO9" s="407"/>
      <c r="BP9" s="407"/>
      <c r="BQ9" s="407"/>
      <c r="BR9" s="407"/>
      <c r="BS9" s="407"/>
      <c r="BT9" s="407"/>
      <c r="BU9" s="407"/>
      <c r="BV9" s="407">
        <v>448.0592472884581</v>
      </c>
      <c r="BW9" s="407"/>
      <c r="BX9" s="407"/>
      <c r="BY9" s="407"/>
      <c r="BZ9" s="407"/>
      <c r="CA9" s="407"/>
      <c r="CB9" s="407"/>
      <c r="CC9" s="407"/>
      <c r="CD9" s="407"/>
      <c r="CE9" s="407"/>
      <c r="CF9" s="407"/>
      <c r="CG9" s="407"/>
      <c r="CH9" s="407"/>
      <c r="CI9" s="407">
        <v>1760.1183999999998</v>
      </c>
      <c r="CJ9" s="407">
        <v>-416.76635000000033</v>
      </c>
      <c r="CK9" s="407"/>
      <c r="CL9" s="407"/>
      <c r="CM9" s="407"/>
      <c r="CN9" s="407"/>
      <c r="CO9" s="407">
        <v>-431.23185000000001</v>
      </c>
      <c r="CP9" s="407">
        <v>11.396700000000029</v>
      </c>
      <c r="CQ9" s="407">
        <v>31</v>
      </c>
      <c r="CR9" s="407">
        <v>-2.3130662945823133</v>
      </c>
      <c r="CS9" s="407">
        <v>0</v>
      </c>
      <c r="CT9" s="407">
        <v>0</v>
      </c>
      <c r="CU9" s="407">
        <v>0</v>
      </c>
      <c r="CV9" s="407">
        <v>0</v>
      </c>
      <c r="CW9" s="407">
        <v>0</v>
      </c>
      <c r="CX9" s="407">
        <v>0</v>
      </c>
      <c r="CY9" s="407">
        <v>0</v>
      </c>
      <c r="CZ9" s="407">
        <v>-16.262079867161049</v>
      </c>
      <c r="DA9" s="407">
        <v>0</v>
      </c>
      <c r="DB9" s="407">
        <v>0</v>
      </c>
      <c r="DC9" s="407">
        <v>11.404845773538284</v>
      </c>
      <c r="DD9" s="407">
        <v>0</v>
      </c>
      <c r="DE9" s="407">
        <v>0</v>
      </c>
      <c r="DF9" s="407">
        <v>0</v>
      </c>
      <c r="DG9" s="407">
        <v>2.6938815472598776</v>
      </c>
      <c r="DH9" s="407">
        <v>0</v>
      </c>
      <c r="DI9" s="407">
        <v>0</v>
      </c>
      <c r="DJ9" s="407"/>
      <c r="DK9" s="407">
        <v>0</v>
      </c>
      <c r="DL9" s="407">
        <v>0</v>
      </c>
      <c r="DM9" s="407">
        <v>0</v>
      </c>
      <c r="DN9" s="407">
        <v>0</v>
      </c>
      <c r="DO9" s="407">
        <v>0</v>
      </c>
      <c r="DP9" s="407">
        <v>-0.1497137482193196</v>
      </c>
      <c r="DQ9" s="407">
        <v>0</v>
      </c>
      <c r="DR9" s="407">
        <v>0</v>
      </c>
      <c r="DS9" s="407"/>
      <c r="DT9" s="407"/>
      <c r="DU9" s="407"/>
      <c r="DV9" s="407">
        <v>1412.3042622790219</v>
      </c>
      <c r="DW9" s="407">
        <v>0</v>
      </c>
      <c r="DX9" s="407">
        <v>0</v>
      </c>
      <c r="DY9" s="407">
        <v>-431.23185000000012</v>
      </c>
      <c r="DZ9" s="407">
        <v>11.39670000000001</v>
      </c>
      <c r="EA9" s="407">
        <v>0</v>
      </c>
      <c r="EB9" s="407">
        <v>0</v>
      </c>
      <c r="EC9" s="407">
        <v>-417.49943356881545</v>
      </c>
      <c r="ED9" s="407">
        <v>0</v>
      </c>
      <c r="EE9" s="407">
        <v>0</v>
      </c>
      <c r="EF9" s="407">
        <v>0</v>
      </c>
      <c r="EG9" s="407">
        <v>0</v>
      </c>
      <c r="EH9" s="407">
        <v>0</v>
      </c>
      <c r="EI9" s="407">
        <v>0</v>
      </c>
      <c r="EJ9" s="407">
        <v>0</v>
      </c>
      <c r="EK9" s="407">
        <v>0</v>
      </c>
      <c r="EL9" s="407">
        <v>0</v>
      </c>
      <c r="EM9" s="407">
        <v>0</v>
      </c>
      <c r="EN9" s="407">
        <v>0</v>
      </c>
      <c r="EO9" s="407">
        <v>0</v>
      </c>
      <c r="EP9" s="407">
        <v>0</v>
      </c>
      <c r="EQ9" s="407">
        <v>0</v>
      </c>
      <c r="ER9" s="407">
        <v>0</v>
      </c>
      <c r="ES9" s="407">
        <v>0</v>
      </c>
      <c r="ET9" s="407">
        <v>0</v>
      </c>
      <c r="EU9" s="407">
        <v>0</v>
      </c>
      <c r="EV9" s="407">
        <v>207</v>
      </c>
      <c r="EW9" s="407">
        <v>0</v>
      </c>
      <c r="EX9" s="407">
        <v>0</v>
      </c>
      <c r="EY9" s="407">
        <v>0</v>
      </c>
      <c r="EZ9" s="407"/>
      <c r="FA9" s="407">
        <v>0</v>
      </c>
      <c r="FB9" s="407"/>
      <c r="FC9" s="407"/>
      <c r="FD9" s="407"/>
      <c r="FE9" s="407"/>
      <c r="FF9" s="407">
        <v>0</v>
      </c>
      <c r="FG9" s="407">
        <v>0</v>
      </c>
      <c r="FH9" s="407">
        <v>0</v>
      </c>
      <c r="FI9" s="407">
        <v>0</v>
      </c>
    </row>
    <row r="10" spans="1:165" customFormat="1">
      <c r="A10" s="407">
        <v>8</v>
      </c>
      <c r="B10" s="407" t="s">
        <v>1092</v>
      </c>
      <c r="C10" s="407" t="s">
        <v>2313</v>
      </c>
      <c r="D10" s="407" t="s">
        <v>1220</v>
      </c>
      <c r="E10" s="407" t="s">
        <v>1023</v>
      </c>
      <c r="F10" s="407" t="s">
        <v>1023</v>
      </c>
      <c r="G10" s="407" t="s">
        <v>96</v>
      </c>
      <c r="H10" s="407" t="s">
        <v>96</v>
      </c>
      <c r="I10" s="407" t="s">
        <v>1027</v>
      </c>
      <c r="J10" s="407" t="s">
        <v>2306</v>
      </c>
      <c r="K10" s="815">
        <v>44378</v>
      </c>
      <c r="L10" s="407">
        <v>0</v>
      </c>
      <c r="M10" s="407">
        <v>0</v>
      </c>
      <c r="N10" s="407">
        <v>2.1999999999999999E-2</v>
      </c>
      <c r="O10" s="407">
        <v>2.1999999999999999E-2</v>
      </c>
      <c r="P10" s="407">
        <v>2.1999999999999999E-2</v>
      </c>
      <c r="Q10" s="407">
        <v>2.1999999999999999E-2</v>
      </c>
      <c r="R10" s="407"/>
      <c r="S10" s="407">
        <v>1864.71</v>
      </c>
      <c r="T10" s="407">
        <v>127.85</v>
      </c>
      <c r="U10" s="407"/>
      <c r="V10" s="407">
        <v>43.836320000000001</v>
      </c>
      <c r="W10" s="407">
        <v>43.836320000000001</v>
      </c>
      <c r="X10" s="407">
        <v>34.148619999999994</v>
      </c>
      <c r="Y10" s="407">
        <v>0</v>
      </c>
      <c r="Z10" s="407">
        <v>1.3436516862191148</v>
      </c>
      <c r="AA10" s="407">
        <v>0</v>
      </c>
      <c r="AB10" s="407">
        <v>0</v>
      </c>
      <c r="AC10" s="407">
        <v>0</v>
      </c>
      <c r="AD10" s="407">
        <v>6.9744251972657452</v>
      </c>
      <c r="AE10" s="407">
        <v>31.783078159800656</v>
      </c>
      <c r="AF10" s="407">
        <v>2.8126427163774936</v>
      </c>
      <c r="AG10" s="407">
        <v>0</v>
      </c>
      <c r="AH10" s="407">
        <v>0</v>
      </c>
      <c r="AI10" s="407">
        <v>0</v>
      </c>
      <c r="AJ10" s="407">
        <v>0</v>
      </c>
      <c r="AK10" s="407">
        <v>0</v>
      </c>
      <c r="AL10" s="407">
        <v>0.20779654316596119</v>
      </c>
      <c r="AM10" s="407"/>
      <c r="AN10" s="407">
        <v>5.0396792427535843E-2</v>
      </c>
      <c r="AO10" s="407">
        <v>0</v>
      </c>
      <c r="AP10" s="407">
        <v>0</v>
      </c>
      <c r="AQ10" s="407">
        <v>0</v>
      </c>
      <c r="AR10" s="407">
        <v>0</v>
      </c>
      <c r="AS10" s="407">
        <v>0</v>
      </c>
      <c r="AT10" s="407">
        <v>0</v>
      </c>
      <c r="AU10" s="407">
        <v>0</v>
      </c>
      <c r="AV10" s="407">
        <v>0</v>
      </c>
      <c r="AW10" s="407">
        <v>0</v>
      </c>
      <c r="AX10" s="407">
        <v>0</v>
      </c>
      <c r="AY10" s="407">
        <v>0</v>
      </c>
      <c r="AZ10" s="407">
        <v>0</v>
      </c>
      <c r="BA10" s="407"/>
      <c r="BB10" s="407">
        <v>0</v>
      </c>
      <c r="BC10" s="407">
        <v>0</v>
      </c>
      <c r="BD10" s="407">
        <v>0</v>
      </c>
      <c r="BE10" s="407">
        <v>0</v>
      </c>
      <c r="BF10" s="407">
        <v>0</v>
      </c>
      <c r="BG10" s="407">
        <v>0.66436026081688992</v>
      </c>
      <c r="BH10" s="407">
        <v>0</v>
      </c>
      <c r="BI10" s="407">
        <v>0</v>
      </c>
      <c r="BJ10" s="407">
        <v>0</v>
      </c>
      <c r="BK10" s="407">
        <v>0</v>
      </c>
      <c r="BL10" s="407">
        <v>0</v>
      </c>
      <c r="BM10" s="407"/>
      <c r="BN10" s="407"/>
      <c r="BO10" s="407"/>
      <c r="BP10" s="407"/>
      <c r="BQ10" s="407"/>
      <c r="BR10" s="407"/>
      <c r="BS10" s="407"/>
      <c r="BT10" s="407"/>
      <c r="BU10" s="407"/>
      <c r="BV10" s="407">
        <v>3.4770029771943838</v>
      </c>
      <c r="BW10" s="407"/>
      <c r="BX10" s="407"/>
      <c r="BY10" s="407"/>
      <c r="BZ10" s="407"/>
      <c r="CA10" s="407"/>
      <c r="CB10" s="407"/>
      <c r="CC10" s="407"/>
      <c r="CD10" s="407"/>
      <c r="CE10" s="407"/>
      <c r="CF10" s="407"/>
      <c r="CG10" s="407"/>
      <c r="CH10" s="407"/>
      <c r="CI10" s="407">
        <v>31.0442</v>
      </c>
      <c r="CJ10" s="407">
        <v>-12.822119999999995</v>
      </c>
      <c r="CK10" s="407"/>
      <c r="CL10" s="407"/>
      <c r="CM10" s="407"/>
      <c r="CN10" s="407"/>
      <c r="CO10" s="407">
        <v>-9.7761400000000016</v>
      </c>
      <c r="CP10" s="407">
        <v>8.8440000000000227E-2</v>
      </c>
      <c r="CQ10" s="407">
        <v>31</v>
      </c>
      <c r="CR10" s="407">
        <v>-0.29220179014855141</v>
      </c>
      <c r="CS10" s="407">
        <v>0</v>
      </c>
      <c r="CT10" s="407">
        <v>0</v>
      </c>
      <c r="CU10" s="407">
        <v>0</v>
      </c>
      <c r="CV10" s="407">
        <v>0</v>
      </c>
      <c r="CW10" s="407">
        <v>0</v>
      </c>
      <c r="CX10" s="407">
        <v>0</v>
      </c>
      <c r="CY10" s="407">
        <v>0</v>
      </c>
      <c r="CZ10" s="407">
        <v>-0.36588333429786513</v>
      </c>
      <c r="DA10" s="407">
        <v>0</v>
      </c>
      <c r="DB10" s="407">
        <v>0</v>
      </c>
      <c r="DC10" s="407">
        <v>8.8503212351972671E-2</v>
      </c>
      <c r="DD10" s="407">
        <v>0</v>
      </c>
      <c r="DE10" s="407">
        <v>0</v>
      </c>
      <c r="DF10" s="407">
        <v>0</v>
      </c>
      <c r="DG10" s="407">
        <v>2.0904900895843848E-2</v>
      </c>
      <c r="DH10" s="407">
        <v>0</v>
      </c>
      <c r="DI10" s="407">
        <v>-3.0599588909764552E-2</v>
      </c>
      <c r="DJ10" s="407"/>
      <c r="DK10" s="407">
        <v>0</v>
      </c>
      <c r="DL10" s="407">
        <v>0</v>
      </c>
      <c r="DM10" s="407">
        <v>0</v>
      </c>
      <c r="DN10" s="407">
        <v>0</v>
      </c>
      <c r="DO10" s="407">
        <v>-3.9651803789226003E-3</v>
      </c>
      <c r="DP10" s="407">
        <v>-1.1617998098148313E-3</v>
      </c>
      <c r="DQ10" s="407">
        <v>0</v>
      </c>
      <c r="DR10" s="407">
        <v>0</v>
      </c>
      <c r="DS10" s="407"/>
      <c r="DT10" s="407"/>
      <c r="DU10" s="407"/>
      <c r="DV10" s="407">
        <v>31.783078159800656</v>
      </c>
      <c r="DW10" s="407">
        <v>0</v>
      </c>
      <c r="DX10" s="407">
        <v>0</v>
      </c>
      <c r="DY10" s="407">
        <v>-9.7761400000000052</v>
      </c>
      <c r="DZ10" s="407">
        <v>8.8440000000000296E-2</v>
      </c>
      <c r="EA10" s="407">
        <v>0</v>
      </c>
      <c r="EB10" s="407">
        <v>0</v>
      </c>
      <c r="EC10" s="407">
        <v>-9.3955796092956554</v>
      </c>
      <c r="ED10" s="407">
        <v>0</v>
      </c>
      <c r="EE10" s="407">
        <v>0</v>
      </c>
      <c r="EF10" s="407">
        <v>0</v>
      </c>
      <c r="EG10" s="407">
        <v>0</v>
      </c>
      <c r="EH10" s="407">
        <v>0</v>
      </c>
      <c r="EI10" s="407">
        <v>0</v>
      </c>
      <c r="EJ10" s="407">
        <v>0</v>
      </c>
      <c r="EK10" s="407">
        <v>0</v>
      </c>
      <c r="EL10" s="407">
        <v>0</v>
      </c>
      <c r="EM10" s="407">
        <v>0</v>
      </c>
      <c r="EN10" s="407">
        <v>0</v>
      </c>
      <c r="EO10" s="407">
        <v>0</v>
      </c>
      <c r="EP10" s="407">
        <v>0</v>
      </c>
      <c r="EQ10" s="407">
        <v>0</v>
      </c>
      <c r="ER10" s="407">
        <v>0</v>
      </c>
      <c r="ES10" s="407">
        <v>0</v>
      </c>
      <c r="ET10" s="407">
        <v>0</v>
      </c>
      <c r="EU10" s="407">
        <v>0</v>
      </c>
      <c r="EV10" s="407">
        <v>207</v>
      </c>
      <c r="EW10" s="407">
        <v>0</v>
      </c>
      <c r="EX10" s="407">
        <v>0</v>
      </c>
      <c r="EY10" s="407">
        <v>0</v>
      </c>
      <c r="EZ10" s="407"/>
      <c r="FA10" s="407">
        <v>0</v>
      </c>
      <c r="FB10" s="407"/>
      <c r="FC10" s="407"/>
      <c r="FD10" s="407"/>
      <c r="FE10" s="407"/>
      <c r="FF10" s="407">
        <v>0</v>
      </c>
      <c r="FG10" s="407">
        <v>0</v>
      </c>
      <c r="FH10" s="407">
        <v>0</v>
      </c>
      <c r="FI10" s="407">
        <v>0</v>
      </c>
    </row>
    <row r="11" spans="1:165" customFormat="1">
      <c r="A11" s="407">
        <v>9</v>
      </c>
      <c r="B11" s="407" t="s">
        <v>1092</v>
      </c>
      <c r="C11" s="407" t="s">
        <v>2313</v>
      </c>
      <c r="D11" s="407" t="s">
        <v>1220</v>
      </c>
      <c r="E11" s="407" t="s">
        <v>1023</v>
      </c>
      <c r="F11" s="407" t="s">
        <v>1023</v>
      </c>
      <c r="G11" s="407" t="s">
        <v>96</v>
      </c>
      <c r="H11" s="407" t="s">
        <v>96</v>
      </c>
      <c r="I11" s="407" t="s">
        <v>2290</v>
      </c>
      <c r="J11" s="407" t="s">
        <v>2306</v>
      </c>
      <c r="K11" s="815">
        <v>44378</v>
      </c>
      <c r="L11" s="407">
        <v>0</v>
      </c>
      <c r="M11" s="407">
        <v>0</v>
      </c>
      <c r="N11" s="407">
        <v>0.20899999999999999</v>
      </c>
      <c r="O11" s="407">
        <v>0.20899999999999999</v>
      </c>
      <c r="P11" s="407">
        <v>0.20899999999999999</v>
      </c>
      <c r="Q11" s="407">
        <v>0.20899999999999999</v>
      </c>
      <c r="R11" s="407"/>
      <c r="S11" s="407">
        <v>455.34</v>
      </c>
      <c r="T11" s="407">
        <v>127.85</v>
      </c>
      <c r="U11" s="407"/>
      <c r="V11" s="407">
        <v>121.88670999999999</v>
      </c>
      <c r="W11" s="407">
        <v>121.88670999999999</v>
      </c>
      <c r="X11" s="407">
        <v>104.0402</v>
      </c>
      <c r="Y11" s="407">
        <v>0</v>
      </c>
      <c r="Z11" s="407">
        <v>12.764691019081591</v>
      </c>
      <c r="AA11" s="407">
        <v>0</v>
      </c>
      <c r="AB11" s="407">
        <v>0</v>
      </c>
      <c r="AC11" s="407">
        <v>0</v>
      </c>
      <c r="AD11" s="407">
        <v>13.249345833477745</v>
      </c>
      <c r="AE11" s="407">
        <v>60.387815776632905</v>
      </c>
      <c r="AF11" s="407">
        <v>26.72010580558619</v>
      </c>
      <c r="AG11" s="407">
        <v>0</v>
      </c>
      <c r="AH11" s="407">
        <v>0</v>
      </c>
      <c r="AI11" s="407">
        <v>0</v>
      </c>
      <c r="AJ11" s="407">
        <v>0</v>
      </c>
      <c r="AK11" s="407">
        <v>0</v>
      </c>
      <c r="AL11" s="407">
        <v>1.9740671600766315</v>
      </c>
      <c r="AM11" s="407"/>
      <c r="AN11" s="407">
        <v>0.47876952806159051</v>
      </c>
      <c r="AO11" s="407">
        <v>0</v>
      </c>
      <c r="AP11" s="407">
        <v>0</v>
      </c>
      <c r="AQ11" s="407">
        <v>0</v>
      </c>
      <c r="AR11" s="407">
        <v>0</v>
      </c>
      <c r="AS11" s="407">
        <v>0</v>
      </c>
      <c r="AT11" s="407">
        <v>0</v>
      </c>
      <c r="AU11" s="407">
        <v>0</v>
      </c>
      <c r="AV11" s="407">
        <v>0</v>
      </c>
      <c r="AW11" s="407">
        <v>0</v>
      </c>
      <c r="AX11" s="407">
        <v>0</v>
      </c>
      <c r="AY11" s="407">
        <v>0</v>
      </c>
      <c r="AZ11" s="407">
        <v>0</v>
      </c>
      <c r="BA11" s="407"/>
      <c r="BB11" s="407">
        <v>0</v>
      </c>
      <c r="BC11" s="407">
        <v>0</v>
      </c>
      <c r="BD11" s="407">
        <v>0</v>
      </c>
      <c r="BE11" s="407">
        <v>0</v>
      </c>
      <c r="BF11" s="407">
        <v>0</v>
      </c>
      <c r="BG11" s="407">
        <v>6.3114224777604546</v>
      </c>
      <c r="BH11" s="407">
        <v>0</v>
      </c>
      <c r="BI11" s="407">
        <v>0</v>
      </c>
      <c r="BJ11" s="407">
        <v>0</v>
      </c>
      <c r="BK11" s="407">
        <v>0</v>
      </c>
      <c r="BL11" s="407">
        <v>0</v>
      </c>
      <c r="BM11" s="407"/>
      <c r="BN11" s="407"/>
      <c r="BO11" s="407"/>
      <c r="BP11" s="407"/>
      <c r="BQ11" s="407"/>
      <c r="BR11" s="407"/>
      <c r="BS11" s="407"/>
      <c r="BT11" s="407"/>
      <c r="BU11" s="407"/>
      <c r="BV11" s="407">
        <v>33.031528283346645</v>
      </c>
      <c r="BW11" s="407"/>
      <c r="BX11" s="407"/>
      <c r="BY11" s="407"/>
      <c r="BZ11" s="407"/>
      <c r="CA11" s="407"/>
      <c r="CB11" s="407"/>
      <c r="CC11" s="407"/>
      <c r="CD11" s="407"/>
      <c r="CE11" s="407"/>
      <c r="CF11" s="407"/>
      <c r="CG11" s="407"/>
      <c r="CH11" s="407"/>
      <c r="CI11" s="407">
        <v>104.538</v>
      </c>
      <c r="CJ11" s="407">
        <v>-17.378710000000012</v>
      </c>
      <c r="CK11" s="407"/>
      <c r="CL11" s="407"/>
      <c r="CM11" s="407"/>
      <c r="CN11" s="407"/>
      <c r="CO11" s="407">
        <v>-18.686689999999992</v>
      </c>
      <c r="CP11" s="407">
        <v>0.84018000000000215</v>
      </c>
      <c r="CQ11" s="407">
        <v>31</v>
      </c>
      <c r="CR11" s="407">
        <v>4.9045104154004093E-3</v>
      </c>
      <c r="CS11" s="407">
        <v>0</v>
      </c>
      <c r="CT11" s="407">
        <v>0</v>
      </c>
      <c r="CU11" s="407">
        <v>0</v>
      </c>
      <c r="CV11" s="407">
        <v>0</v>
      </c>
      <c r="CW11" s="407">
        <v>0</v>
      </c>
      <c r="CX11" s="407">
        <v>0</v>
      </c>
      <c r="CY11" s="407">
        <v>0</v>
      </c>
      <c r="CZ11" s="407">
        <v>-0.69507015900308211</v>
      </c>
      <c r="DA11" s="407">
        <v>0</v>
      </c>
      <c r="DB11" s="407">
        <v>0</v>
      </c>
      <c r="DC11" s="407">
        <v>0.84078051734373815</v>
      </c>
      <c r="DD11" s="407">
        <v>0</v>
      </c>
      <c r="DE11" s="407">
        <v>0</v>
      </c>
      <c r="DF11" s="407">
        <v>0</v>
      </c>
      <c r="DG11" s="407">
        <v>0.19859655851051627</v>
      </c>
      <c r="DH11" s="407">
        <v>0</v>
      </c>
      <c r="DI11" s="407">
        <v>-0.29069609464276347</v>
      </c>
      <c r="DJ11" s="407"/>
      <c r="DK11" s="407">
        <v>0</v>
      </c>
      <c r="DL11" s="407">
        <v>0</v>
      </c>
      <c r="DM11" s="407">
        <v>0</v>
      </c>
      <c r="DN11" s="407">
        <v>0</v>
      </c>
      <c r="DO11" s="407">
        <v>-3.7669213599764939E-2</v>
      </c>
      <c r="DP11" s="407">
        <v>-1.1037098193240891E-2</v>
      </c>
      <c r="DQ11" s="407">
        <v>0</v>
      </c>
      <c r="DR11" s="407">
        <v>0</v>
      </c>
      <c r="DS11" s="407"/>
      <c r="DT11" s="407"/>
      <c r="DU11" s="407"/>
      <c r="DV11" s="407">
        <v>60.387815776632905</v>
      </c>
      <c r="DW11" s="407">
        <v>0</v>
      </c>
      <c r="DX11" s="407">
        <v>0</v>
      </c>
      <c r="DY11" s="407">
        <v>-18.686689999999984</v>
      </c>
      <c r="DZ11" s="407">
        <v>0.84018000000000015</v>
      </c>
      <c r="EA11" s="407">
        <v>0</v>
      </c>
      <c r="EB11" s="407">
        <v>0</v>
      </c>
      <c r="EC11" s="407">
        <v>-17.851591583047373</v>
      </c>
      <c r="ED11" s="407">
        <v>0</v>
      </c>
      <c r="EE11" s="407">
        <v>0</v>
      </c>
      <c r="EF11" s="407">
        <v>0</v>
      </c>
      <c r="EG11" s="407">
        <v>0</v>
      </c>
      <c r="EH11" s="407">
        <v>0</v>
      </c>
      <c r="EI11" s="407">
        <v>0</v>
      </c>
      <c r="EJ11" s="407">
        <v>0</v>
      </c>
      <c r="EK11" s="407">
        <v>0</v>
      </c>
      <c r="EL11" s="407">
        <v>0</v>
      </c>
      <c r="EM11" s="407">
        <v>0</v>
      </c>
      <c r="EN11" s="407">
        <v>0</v>
      </c>
      <c r="EO11" s="407">
        <v>0</v>
      </c>
      <c r="EP11" s="407">
        <v>0</v>
      </c>
      <c r="EQ11" s="407">
        <v>0</v>
      </c>
      <c r="ER11" s="407">
        <v>0</v>
      </c>
      <c r="ES11" s="407">
        <v>0</v>
      </c>
      <c r="ET11" s="407">
        <v>0</v>
      </c>
      <c r="EU11" s="407">
        <v>0</v>
      </c>
      <c r="EV11" s="407">
        <v>207</v>
      </c>
      <c r="EW11" s="407">
        <v>0</v>
      </c>
      <c r="EX11" s="407">
        <v>0</v>
      </c>
      <c r="EY11" s="407">
        <v>0</v>
      </c>
      <c r="EZ11" s="407"/>
      <c r="FA11" s="407">
        <v>0</v>
      </c>
      <c r="FB11" s="407"/>
      <c r="FC11" s="407"/>
      <c r="FD11" s="407"/>
      <c r="FE11" s="407"/>
      <c r="FF11" s="407">
        <v>0</v>
      </c>
      <c r="FG11" s="407">
        <v>0</v>
      </c>
      <c r="FH11" s="407">
        <v>0</v>
      </c>
      <c r="FI11" s="407">
        <v>0</v>
      </c>
    </row>
    <row r="12" spans="1:165" customFormat="1">
      <c r="A12" s="407">
        <v>10</v>
      </c>
      <c r="B12" s="407" t="s">
        <v>1092</v>
      </c>
      <c r="C12" s="407" t="s">
        <v>2313</v>
      </c>
      <c r="D12" s="407" t="s">
        <v>1220</v>
      </c>
      <c r="E12" s="407" t="s">
        <v>1023</v>
      </c>
      <c r="F12" s="407" t="s">
        <v>1023</v>
      </c>
      <c r="G12" s="407" t="s">
        <v>96</v>
      </c>
      <c r="H12" s="407" t="s">
        <v>96</v>
      </c>
      <c r="I12" s="407" t="s">
        <v>96</v>
      </c>
      <c r="J12" s="407" t="s">
        <v>2306</v>
      </c>
      <c r="K12" s="815">
        <v>44378</v>
      </c>
      <c r="L12" s="407">
        <v>0</v>
      </c>
      <c r="M12" s="407">
        <v>0</v>
      </c>
      <c r="N12" s="407">
        <v>0</v>
      </c>
      <c r="O12" s="407">
        <v>0</v>
      </c>
      <c r="P12" s="407">
        <v>0</v>
      </c>
      <c r="Q12" s="407">
        <v>0</v>
      </c>
      <c r="R12" s="407"/>
      <c r="S12" s="407"/>
      <c r="T12" s="407"/>
      <c r="U12" s="407"/>
      <c r="V12" s="407"/>
      <c r="W12" s="407"/>
      <c r="X12" s="407"/>
      <c r="Y12" s="407"/>
      <c r="Z12" s="407"/>
      <c r="AA12" s="407">
        <v>0</v>
      </c>
      <c r="AB12" s="407"/>
      <c r="AC12" s="407"/>
      <c r="AD12" s="407"/>
      <c r="AE12" s="407"/>
      <c r="AF12" s="407"/>
      <c r="AG12" s="407"/>
      <c r="AH12" s="407"/>
      <c r="AI12" s="407"/>
      <c r="AJ12" s="407"/>
      <c r="AK12" s="407"/>
      <c r="AL12" s="407"/>
      <c r="AM12" s="407"/>
      <c r="AN12" s="407"/>
      <c r="AO12" s="407"/>
      <c r="AP12" s="407"/>
      <c r="AQ12" s="407"/>
      <c r="AR12" s="407"/>
      <c r="AS12" s="407"/>
      <c r="AT12" s="407"/>
      <c r="AU12" s="407"/>
      <c r="AV12" s="407"/>
      <c r="AW12" s="407"/>
      <c r="AX12" s="407"/>
      <c r="AY12" s="407"/>
      <c r="AZ12" s="407">
        <v>0</v>
      </c>
      <c r="BA12" s="407"/>
      <c r="BB12" s="407"/>
      <c r="BC12" s="407"/>
      <c r="BD12" s="407"/>
      <c r="BE12" s="407"/>
      <c r="BF12" s="407"/>
      <c r="BG12" s="407"/>
      <c r="BH12" s="407"/>
      <c r="BI12" s="407">
        <v>0.76</v>
      </c>
      <c r="BJ12" s="407">
        <v>3.5</v>
      </c>
      <c r="BK12" s="407">
        <v>52.92</v>
      </c>
      <c r="BL12" s="407">
        <v>1</v>
      </c>
      <c r="BM12" s="407"/>
      <c r="BN12" s="407"/>
      <c r="BO12" s="407"/>
      <c r="BP12" s="407"/>
      <c r="BQ12" s="407"/>
      <c r="BR12" s="407"/>
      <c r="BS12" s="407"/>
      <c r="BT12" s="407"/>
      <c r="BU12" s="407"/>
      <c r="BV12" s="407"/>
      <c r="BW12" s="407"/>
      <c r="BX12" s="407"/>
      <c r="BY12" s="407"/>
      <c r="BZ12" s="407"/>
      <c r="CA12" s="407"/>
      <c r="CB12" s="407"/>
      <c r="CC12" s="407"/>
      <c r="CD12" s="407"/>
      <c r="CE12" s="407"/>
      <c r="CF12" s="407"/>
      <c r="CG12" s="407"/>
      <c r="CH12" s="407"/>
      <c r="CI12" s="407"/>
      <c r="CJ12" s="407">
        <v>-0.03</v>
      </c>
      <c r="CK12" s="407"/>
      <c r="CL12" s="407"/>
      <c r="CM12" s="407"/>
      <c r="CN12" s="407"/>
      <c r="CO12" s="407">
        <v>0</v>
      </c>
      <c r="CP12" s="407">
        <v>0</v>
      </c>
      <c r="CQ12" s="407">
        <v>31</v>
      </c>
      <c r="CR12" s="407"/>
      <c r="CS12" s="407"/>
      <c r="CT12" s="407"/>
      <c r="CU12" s="407"/>
      <c r="CV12" s="407"/>
      <c r="CW12" s="407"/>
      <c r="CX12" s="407"/>
      <c r="CY12" s="407"/>
      <c r="CZ12" s="407"/>
      <c r="DA12" s="407"/>
      <c r="DB12" s="407"/>
      <c r="DC12" s="407"/>
      <c r="DD12" s="407"/>
      <c r="DE12" s="407"/>
      <c r="DF12" s="407"/>
      <c r="DG12" s="407"/>
      <c r="DH12" s="407"/>
      <c r="DI12" s="407"/>
      <c r="DJ12" s="407"/>
      <c r="DK12" s="407">
        <v>0</v>
      </c>
      <c r="DL12" s="407"/>
      <c r="DM12" s="407"/>
      <c r="DN12" s="407"/>
      <c r="DO12" s="407"/>
      <c r="DP12" s="407"/>
      <c r="DQ12" s="407"/>
      <c r="DR12" s="407"/>
      <c r="DS12" s="407"/>
      <c r="DT12" s="407"/>
      <c r="DU12" s="407"/>
      <c r="DV12" s="407"/>
      <c r="DW12" s="407"/>
      <c r="DX12" s="407"/>
      <c r="DY12" s="407"/>
      <c r="DZ12" s="407"/>
      <c r="EA12" s="407"/>
      <c r="EB12" s="407"/>
      <c r="EC12" s="407"/>
      <c r="ED12" s="407"/>
      <c r="EE12" s="407"/>
      <c r="EF12" s="407"/>
      <c r="EG12" s="407"/>
      <c r="EH12" s="407"/>
      <c r="EI12" s="407"/>
      <c r="EJ12" s="407"/>
      <c r="EK12" s="407"/>
      <c r="EL12" s="407"/>
      <c r="EM12" s="407"/>
      <c r="EN12" s="407"/>
      <c r="EO12" s="407"/>
      <c r="EP12" s="407"/>
      <c r="EQ12" s="407"/>
      <c r="ER12" s="407"/>
      <c r="ES12" s="407"/>
      <c r="ET12" s="407"/>
      <c r="EU12" s="407"/>
      <c r="EV12" s="407">
        <v>207</v>
      </c>
      <c r="EW12" s="407"/>
      <c r="EX12" s="407"/>
      <c r="EY12" s="407"/>
      <c r="EZ12" s="407"/>
      <c r="FA12" s="407">
        <v>0</v>
      </c>
      <c r="FB12" s="407"/>
      <c r="FC12" s="407"/>
      <c r="FD12" s="407"/>
      <c r="FE12" s="407"/>
      <c r="FF12" s="407">
        <v>0</v>
      </c>
      <c r="FG12" s="407">
        <v>0</v>
      </c>
      <c r="FH12" s="407">
        <v>0</v>
      </c>
      <c r="FI12" s="407">
        <v>0</v>
      </c>
    </row>
    <row r="13" spans="1:165" customFormat="1">
      <c r="A13" s="407">
        <v>11</v>
      </c>
      <c r="B13" s="407" t="s">
        <v>1092</v>
      </c>
      <c r="C13" s="407" t="s">
        <v>2313</v>
      </c>
      <c r="D13" s="407" t="s">
        <v>1220</v>
      </c>
      <c r="E13" s="407" t="s">
        <v>1023</v>
      </c>
      <c r="F13" s="407" t="s">
        <v>1023</v>
      </c>
      <c r="G13" s="407" t="s">
        <v>96</v>
      </c>
      <c r="H13" s="407" t="s">
        <v>96</v>
      </c>
      <c r="I13" s="407" t="s">
        <v>2314</v>
      </c>
      <c r="J13" s="407" t="s">
        <v>2306</v>
      </c>
      <c r="K13" s="815">
        <v>44378</v>
      </c>
      <c r="L13" s="407">
        <v>0</v>
      </c>
      <c r="M13" s="407">
        <v>0</v>
      </c>
      <c r="N13" s="407">
        <v>1.4999999999999999E-2</v>
      </c>
      <c r="O13" s="407">
        <v>1.4999999999999999E-2</v>
      </c>
      <c r="P13" s="407">
        <v>1.4999999999999999E-2</v>
      </c>
      <c r="Q13" s="407">
        <v>1.4999999999999999E-2</v>
      </c>
      <c r="R13" s="407"/>
      <c r="S13" s="407">
        <v>1160</v>
      </c>
      <c r="T13" s="407">
        <v>127.85</v>
      </c>
      <c r="U13" s="407"/>
      <c r="V13" s="407">
        <v>19.317749999999997</v>
      </c>
      <c r="W13" s="407">
        <v>19.317749999999997</v>
      </c>
      <c r="X13" s="407">
        <v>15.374699999999999</v>
      </c>
      <c r="Y13" s="407">
        <v>0</v>
      </c>
      <c r="Z13" s="407">
        <v>0.91612614969485096</v>
      </c>
      <c r="AA13" s="407">
        <v>0</v>
      </c>
      <c r="AB13" s="407">
        <v>0</v>
      </c>
      <c r="AC13" s="407">
        <v>0</v>
      </c>
      <c r="AD13" s="407">
        <v>2.8527315057438147</v>
      </c>
      <c r="AE13" s="407">
        <v>13.002166324820084</v>
      </c>
      <c r="AF13" s="407">
        <v>1.9177109429846548</v>
      </c>
      <c r="AG13" s="407">
        <v>0</v>
      </c>
      <c r="AH13" s="407">
        <v>0</v>
      </c>
      <c r="AI13" s="407">
        <v>0</v>
      </c>
      <c r="AJ13" s="407">
        <v>0</v>
      </c>
      <c r="AK13" s="407">
        <v>0</v>
      </c>
      <c r="AL13" s="407">
        <v>0.141679461249519</v>
      </c>
      <c r="AM13" s="407"/>
      <c r="AN13" s="407">
        <v>3.43614493824108E-2</v>
      </c>
      <c r="AO13" s="407">
        <v>0</v>
      </c>
      <c r="AP13" s="407">
        <v>0</v>
      </c>
      <c r="AQ13" s="407">
        <v>0</v>
      </c>
      <c r="AR13" s="407">
        <v>0</v>
      </c>
      <c r="AS13" s="407">
        <v>0</v>
      </c>
      <c r="AT13" s="407">
        <v>0</v>
      </c>
      <c r="AU13" s="407">
        <v>0</v>
      </c>
      <c r="AV13" s="407">
        <v>0</v>
      </c>
      <c r="AW13" s="407">
        <v>0</v>
      </c>
      <c r="AX13" s="407">
        <v>0</v>
      </c>
      <c r="AY13" s="407">
        <v>0</v>
      </c>
      <c r="AZ13" s="407">
        <v>0</v>
      </c>
      <c r="BA13" s="407"/>
      <c r="BB13" s="407">
        <v>0</v>
      </c>
      <c r="BC13" s="407">
        <v>0</v>
      </c>
      <c r="BD13" s="407">
        <v>0</v>
      </c>
      <c r="BE13" s="407">
        <v>0</v>
      </c>
      <c r="BF13" s="407">
        <v>0</v>
      </c>
      <c r="BG13" s="407">
        <v>0.45297290510242494</v>
      </c>
      <c r="BH13" s="407">
        <v>0</v>
      </c>
      <c r="BI13" s="407">
        <v>0</v>
      </c>
      <c r="BJ13" s="407">
        <v>0</v>
      </c>
      <c r="BK13" s="407">
        <v>0</v>
      </c>
      <c r="BL13" s="407">
        <v>0</v>
      </c>
      <c r="BM13" s="407"/>
      <c r="BN13" s="407"/>
      <c r="BO13" s="407"/>
      <c r="BP13" s="407"/>
      <c r="BQ13" s="407"/>
      <c r="BR13" s="407"/>
      <c r="BS13" s="407"/>
      <c r="BT13" s="407"/>
      <c r="BU13" s="407"/>
      <c r="BV13" s="407">
        <v>2.3706838480870798</v>
      </c>
      <c r="BW13" s="407"/>
      <c r="BX13" s="407"/>
      <c r="BY13" s="407"/>
      <c r="BZ13" s="407"/>
      <c r="CA13" s="407"/>
      <c r="CB13" s="407"/>
      <c r="CC13" s="407"/>
      <c r="CD13" s="407"/>
      <c r="CE13" s="407"/>
      <c r="CF13" s="407"/>
      <c r="CG13" s="407"/>
      <c r="CH13" s="407"/>
      <c r="CI13" s="407">
        <v>20.499600000000001</v>
      </c>
      <c r="CJ13" s="407">
        <v>1.1518499999999996</v>
      </c>
      <c r="CK13" s="407"/>
      <c r="CL13" s="407"/>
      <c r="CM13" s="407"/>
      <c r="CN13" s="407"/>
      <c r="CO13" s="407">
        <v>-4.0033499999999993</v>
      </c>
      <c r="CP13" s="407">
        <v>6.0300000000000152E-2</v>
      </c>
      <c r="CQ13" s="407">
        <v>31</v>
      </c>
      <c r="CR13" s="407">
        <v>-9.9418918738694906E-2</v>
      </c>
      <c r="CS13" s="407">
        <v>0</v>
      </c>
      <c r="CT13" s="407">
        <v>0</v>
      </c>
      <c r="CU13" s="407">
        <v>0</v>
      </c>
      <c r="CV13" s="407">
        <v>0</v>
      </c>
      <c r="CW13" s="407">
        <v>0</v>
      </c>
      <c r="CX13" s="407">
        <v>0</v>
      </c>
      <c r="CY13" s="407">
        <v>0</v>
      </c>
      <c r="CZ13" s="407">
        <v>-0.1496563352041349</v>
      </c>
      <c r="DA13" s="407">
        <v>0</v>
      </c>
      <c r="DB13" s="407">
        <v>0</v>
      </c>
      <c r="DC13" s="407">
        <v>6.0343099330890215E-2</v>
      </c>
      <c r="DD13" s="407">
        <v>0</v>
      </c>
      <c r="DE13" s="407">
        <v>0</v>
      </c>
      <c r="DF13" s="407">
        <v>0</v>
      </c>
      <c r="DG13" s="407">
        <v>1.4253341519893548E-2</v>
      </c>
      <c r="DH13" s="407">
        <v>0</v>
      </c>
      <c r="DI13" s="407">
        <v>-2.0863356074839468E-2</v>
      </c>
      <c r="DJ13" s="407"/>
      <c r="DK13" s="407">
        <v>0</v>
      </c>
      <c r="DL13" s="407">
        <v>0</v>
      </c>
      <c r="DM13" s="407">
        <v>0</v>
      </c>
      <c r="DN13" s="407">
        <v>0</v>
      </c>
      <c r="DO13" s="407">
        <v>-2.7035320765381454E-3</v>
      </c>
      <c r="DP13" s="407">
        <v>-7.9213623396465205E-4</v>
      </c>
      <c r="DQ13" s="407">
        <v>0</v>
      </c>
      <c r="DR13" s="407">
        <v>0</v>
      </c>
      <c r="DS13" s="407"/>
      <c r="DT13" s="407"/>
      <c r="DU13" s="407"/>
      <c r="DV13" s="407">
        <v>13.002166324820084</v>
      </c>
      <c r="DW13" s="407">
        <v>0</v>
      </c>
      <c r="DX13" s="407">
        <v>0</v>
      </c>
      <c r="DY13" s="407">
        <v>-4.0033499999999993</v>
      </c>
      <c r="DZ13" s="407">
        <v>6.0300000000000242E-2</v>
      </c>
      <c r="EA13" s="407">
        <v>0</v>
      </c>
      <c r="EB13" s="407">
        <v>0</v>
      </c>
      <c r="EC13" s="407">
        <v>-3.8436456086453834</v>
      </c>
      <c r="ED13" s="407">
        <v>0</v>
      </c>
      <c r="EE13" s="407">
        <v>0</v>
      </c>
      <c r="EF13" s="407">
        <v>0</v>
      </c>
      <c r="EG13" s="407">
        <v>0</v>
      </c>
      <c r="EH13" s="407">
        <v>0</v>
      </c>
      <c r="EI13" s="407">
        <v>0</v>
      </c>
      <c r="EJ13" s="407">
        <v>0</v>
      </c>
      <c r="EK13" s="407">
        <v>0</v>
      </c>
      <c r="EL13" s="407">
        <v>0</v>
      </c>
      <c r="EM13" s="407">
        <v>0</v>
      </c>
      <c r="EN13" s="407">
        <v>0</v>
      </c>
      <c r="EO13" s="407">
        <v>0</v>
      </c>
      <c r="EP13" s="407">
        <v>0</v>
      </c>
      <c r="EQ13" s="407">
        <v>0</v>
      </c>
      <c r="ER13" s="407">
        <v>0</v>
      </c>
      <c r="ES13" s="407">
        <v>0</v>
      </c>
      <c r="ET13" s="407">
        <v>0</v>
      </c>
      <c r="EU13" s="407">
        <v>0</v>
      </c>
      <c r="EV13" s="407">
        <v>207</v>
      </c>
      <c r="EW13" s="407">
        <v>0</v>
      </c>
      <c r="EX13" s="407">
        <v>0</v>
      </c>
      <c r="EY13" s="407">
        <v>0</v>
      </c>
      <c r="EZ13" s="407"/>
      <c r="FA13" s="407">
        <v>0</v>
      </c>
      <c r="FB13" s="407"/>
      <c r="FC13" s="407"/>
      <c r="FD13" s="407"/>
      <c r="FE13" s="407"/>
      <c r="FF13" s="407">
        <v>0</v>
      </c>
      <c r="FG13" s="407">
        <v>0</v>
      </c>
      <c r="FH13" s="407">
        <v>0</v>
      </c>
      <c r="FI13" s="407">
        <v>0</v>
      </c>
    </row>
    <row r="14" spans="1:165" customFormat="1">
      <c r="A14" s="407">
        <v>12</v>
      </c>
      <c r="B14" s="407" t="s">
        <v>1092</v>
      </c>
      <c r="C14" s="407" t="s">
        <v>2305</v>
      </c>
      <c r="D14" s="407" t="s">
        <v>1221</v>
      </c>
      <c r="E14" s="407" t="s">
        <v>1051</v>
      </c>
      <c r="F14" s="407" t="s">
        <v>96</v>
      </c>
      <c r="G14" s="407" t="s">
        <v>96</v>
      </c>
      <c r="H14" s="407" t="s">
        <v>96</v>
      </c>
      <c r="I14" s="407" t="s">
        <v>96</v>
      </c>
      <c r="J14" s="407" t="s">
        <v>2306</v>
      </c>
      <c r="K14" s="815">
        <v>44378</v>
      </c>
      <c r="L14" s="407">
        <v>0</v>
      </c>
      <c r="M14" s="407">
        <v>0</v>
      </c>
      <c r="N14" s="407">
        <v>99.745999999999995</v>
      </c>
      <c r="O14" s="407">
        <v>99.745999999999995</v>
      </c>
      <c r="P14" s="407">
        <v>99.745999999999995</v>
      </c>
      <c r="Q14" s="407">
        <v>99.745999999999995</v>
      </c>
      <c r="R14" s="407"/>
      <c r="S14" s="407">
        <v>710.52</v>
      </c>
      <c r="T14" s="407">
        <v>127.85</v>
      </c>
      <c r="U14" s="407"/>
      <c r="V14" s="407">
        <v>83624.054019999996</v>
      </c>
      <c r="W14" s="407">
        <v>83624.054019999996</v>
      </c>
      <c r="X14" s="407">
        <v>68696.067660000001</v>
      </c>
      <c r="Y14" s="407">
        <v>0</v>
      </c>
      <c r="Z14" s="407">
        <v>6091.9945951641739</v>
      </c>
      <c r="AA14" s="407">
        <v>0</v>
      </c>
      <c r="AB14" s="407">
        <v>0</v>
      </c>
      <c r="AC14" s="407">
        <v>0</v>
      </c>
      <c r="AD14" s="407">
        <v>10906.472475169667</v>
      </c>
      <c r="AE14" s="407">
        <v>49690.194336960609</v>
      </c>
      <c r="AF14" s="407">
        <v>12752.266381263158</v>
      </c>
      <c r="AG14" s="407">
        <v>0</v>
      </c>
      <c r="AH14" s="407">
        <v>0</v>
      </c>
      <c r="AI14" s="407">
        <v>0</v>
      </c>
      <c r="AJ14" s="407">
        <v>0</v>
      </c>
      <c r="AK14" s="407">
        <v>0</v>
      </c>
      <c r="AL14" s="407">
        <v>942.1306361196348</v>
      </c>
      <c r="AM14" s="407"/>
      <c r="AN14" s="407">
        <v>228.49447533986319</v>
      </c>
      <c r="AO14" s="407">
        <v>0</v>
      </c>
      <c r="AP14" s="407">
        <v>0</v>
      </c>
      <c r="AQ14" s="407">
        <v>0</v>
      </c>
      <c r="AR14" s="407">
        <v>0</v>
      </c>
      <c r="AS14" s="407">
        <v>0</v>
      </c>
      <c r="AT14" s="407">
        <v>0</v>
      </c>
      <c r="AU14" s="407">
        <v>0</v>
      </c>
      <c r="AV14" s="407">
        <v>0</v>
      </c>
      <c r="AW14" s="407">
        <v>0</v>
      </c>
      <c r="AX14" s="407">
        <v>0</v>
      </c>
      <c r="AY14" s="407">
        <v>0</v>
      </c>
      <c r="AZ14" s="407">
        <v>0</v>
      </c>
      <c r="BA14" s="407"/>
      <c r="BB14" s="407">
        <v>0</v>
      </c>
      <c r="BC14" s="407">
        <v>0</v>
      </c>
      <c r="BD14" s="407">
        <v>0</v>
      </c>
      <c r="BE14" s="407">
        <v>0</v>
      </c>
      <c r="BF14" s="407">
        <v>0</v>
      </c>
      <c r="BG14" s="407">
        <v>3012.1490261564318</v>
      </c>
      <c r="BH14" s="407">
        <v>0</v>
      </c>
      <c r="BI14" s="407">
        <v>306.14</v>
      </c>
      <c r="BJ14" s="407">
        <v>1414.82</v>
      </c>
      <c r="BK14" s="407">
        <v>15358.06</v>
      </c>
      <c r="BL14" s="407">
        <v>88</v>
      </c>
      <c r="BM14" s="407"/>
      <c r="BN14" s="407"/>
      <c r="BO14" s="407"/>
      <c r="BP14" s="407"/>
      <c r="BQ14" s="407"/>
      <c r="BR14" s="407"/>
      <c r="BS14" s="407"/>
      <c r="BT14" s="407"/>
      <c r="BU14" s="407"/>
      <c r="BV14" s="407">
        <v>15764.41540741959</v>
      </c>
      <c r="BW14" s="407"/>
      <c r="BX14" s="407"/>
      <c r="BY14" s="407"/>
      <c r="BZ14" s="407"/>
      <c r="CA14" s="407"/>
      <c r="CB14" s="407"/>
      <c r="CC14" s="407"/>
      <c r="CD14" s="407"/>
      <c r="CE14" s="407"/>
      <c r="CF14" s="407"/>
      <c r="CG14" s="407"/>
      <c r="CH14" s="407"/>
      <c r="CI14" s="407">
        <v>68698.822500000009</v>
      </c>
      <c r="CJ14" s="407">
        <v>-14925.261519999971</v>
      </c>
      <c r="CK14" s="407"/>
      <c r="CL14" s="407"/>
      <c r="CM14" s="407"/>
      <c r="CN14" s="407"/>
      <c r="CO14" s="407">
        <v>-15328.965279999995</v>
      </c>
      <c r="CP14" s="407">
        <v>400.97892000000098</v>
      </c>
      <c r="CQ14" s="407">
        <v>31</v>
      </c>
      <c r="CR14" s="407">
        <v>-238.09592403803981</v>
      </c>
      <c r="CS14" s="407">
        <v>0</v>
      </c>
      <c r="CT14" s="407">
        <v>0</v>
      </c>
      <c r="CU14" s="407">
        <v>0</v>
      </c>
      <c r="CV14" s="407">
        <v>0</v>
      </c>
      <c r="CW14" s="407">
        <v>0</v>
      </c>
      <c r="CX14" s="407">
        <v>0</v>
      </c>
      <c r="CY14" s="407">
        <v>0</v>
      </c>
      <c r="CZ14" s="407">
        <v>-572.1613468888354</v>
      </c>
      <c r="DA14" s="407">
        <v>0</v>
      </c>
      <c r="DB14" s="407">
        <v>0</v>
      </c>
      <c r="DC14" s="407">
        <v>401.26551905726592</v>
      </c>
      <c r="DD14" s="407">
        <v>0</v>
      </c>
      <c r="DE14" s="407">
        <v>0</v>
      </c>
      <c r="DF14" s="407">
        <v>0</v>
      </c>
      <c r="DG14" s="407">
        <v>94.780920216220238</v>
      </c>
      <c r="DH14" s="407">
        <v>0</v>
      </c>
      <c r="DI14" s="407">
        <v>-138.73575433606311</v>
      </c>
      <c r="DJ14" s="407"/>
      <c r="DK14" s="407">
        <v>0</v>
      </c>
      <c r="DL14" s="407">
        <v>0</v>
      </c>
      <c r="DM14" s="407">
        <v>0</v>
      </c>
      <c r="DN14" s="407">
        <v>0</v>
      </c>
      <c r="DO14" s="407">
        <v>-17.977767367091587</v>
      </c>
      <c r="DP14" s="407">
        <v>-5.2674947195359039</v>
      </c>
      <c r="DQ14" s="407">
        <v>0</v>
      </c>
      <c r="DR14" s="407">
        <v>0</v>
      </c>
      <c r="DS14" s="407"/>
      <c r="DT14" s="407"/>
      <c r="DU14" s="407"/>
      <c r="DV14" s="407">
        <v>49690.194336960609</v>
      </c>
      <c r="DW14" s="407">
        <v>0</v>
      </c>
      <c r="DX14" s="407">
        <v>0</v>
      </c>
      <c r="DY14" s="407">
        <v>-15328.965279999989</v>
      </c>
      <c r="DZ14" s="407">
        <v>400.97892000000138</v>
      </c>
      <c r="EA14" s="407">
        <v>0</v>
      </c>
      <c r="EB14" s="407">
        <v>0</v>
      </c>
      <c r="EC14" s="407">
        <v>-14689.205820372161</v>
      </c>
      <c r="ED14" s="407">
        <v>0</v>
      </c>
      <c r="EE14" s="407">
        <v>0</v>
      </c>
      <c r="EF14" s="407">
        <v>0</v>
      </c>
      <c r="EG14" s="407">
        <v>0</v>
      </c>
      <c r="EH14" s="407">
        <v>0</v>
      </c>
      <c r="EI14" s="407">
        <v>0</v>
      </c>
      <c r="EJ14" s="407">
        <v>0</v>
      </c>
      <c r="EK14" s="407">
        <v>0</v>
      </c>
      <c r="EL14" s="407">
        <v>0</v>
      </c>
      <c r="EM14" s="407">
        <v>0</v>
      </c>
      <c r="EN14" s="407">
        <v>0</v>
      </c>
      <c r="EO14" s="407">
        <v>0</v>
      </c>
      <c r="EP14" s="407">
        <v>0</v>
      </c>
      <c r="EQ14" s="407">
        <v>0</v>
      </c>
      <c r="ER14" s="407">
        <v>0</v>
      </c>
      <c r="ES14" s="407">
        <v>0</v>
      </c>
      <c r="ET14" s="407">
        <v>0</v>
      </c>
      <c r="EU14" s="407">
        <v>0</v>
      </c>
      <c r="EV14" s="407">
        <v>207</v>
      </c>
      <c r="EW14" s="407">
        <v>0</v>
      </c>
      <c r="EX14" s="407">
        <v>0</v>
      </c>
      <c r="EY14" s="407">
        <v>0</v>
      </c>
      <c r="EZ14" s="407"/>
      <c r="FA14" s="407">
        <v>0</v>
      </c>
      <c r="FB14" s="407"/>
      <c r="FC14" s="407"/>
      <c r="FD14" s="407"/>
      <c r="FE14" s="407"/>
      <c r="FF14" s="407">
        <v>0</v>
      </c>
      <c r="FG14" s="407">
        <v>0</v>
      </c>
      <c r="FH14" s="407">
        <v>0</v>
      </c>
      <c r="FI14" s="407">
        <v>0</v>
      </c>
    </row>
    <row r="15" spans="1:165" customFormat="1">
      <c r="A15" s="407">
        <v>13</v>
      </c>
      <c r="B15" s="407" t="s">
        <v>1092</v>
      </c>
      <c r="C15" s="407" t="s">
        <v>2315</v>
      </c>
      <c r="D15" s="407" t="s">
        <v>648</v>
      </c>
      <c r="E15" s="407" t="s">
        <v>1051</v>
      </c>
      <c r="F15" s="407" t="s">
        <v>96</v>
      </c>
      <c r="G15" s="407" t="s">
        <v>96</v>
      </c>
      <c r="H15" s="407" t="s">
        <v>96</v>
      </c>
      <c r="I15" s="407" t="s">
        <v>1027</v>
      </c>
      <c r="J15" s="407" t="s">
        <v>2306</v>
      </c>
      <c r="K15" s="815">
        <v>44378</v>
      </c>
      <c r="L15" s="407">
        <v>0</v>
      </c>
      <c r="M15" s="407">
        <v>0</v>
      </c>
      <c r="N15" s="407">
        <v>1.4350000000000001</v>
      </c>
      <c r="O15" s="407">
        <v>1.4350000000000001</v>
      </c>
      <c r="P15" s="407">
        <v>1.4350000000000001</v>
      </c>
      <c r="Q15" s="407">
        <v>1.4350000000000001</v>
      </c>
      <c r="R15" s="407"/>
      <c r="S15" s="407">
        <v>2075.9499999999998</v>
      </c>
      <c r="T15" s="407">
        <v>127.85</v>
      </c>
      <c r="U15" s="407"/>
      <c r="V15" s="407">
        <v>3162.453</v>
      </c>
      <c r="W15" s="407">
        <v>3162.453</v>
      </c>
      <c r="X15" s="407">
        <v>2534.79835</v>
      </c>
      <c r="Y15" s="407">
        <v>0</v>
      </c>
      <c r="Z15" s="407">
        <v>76.249179439102519</v>
      </c>
      <c r="AA15" s="407">
        <v>0</v>
      </c>
      <c r="AB15" s="407">
        <v>0</v>
      </c>
      <c r="AC15" s="407">
        <v>0</v>
      </c>
      <c r="AD15" s="407">
        <v>904.06279651621435</v>
      </c>
      <c r="AE15" s="407">
        <v>1976.2299886291146</v>
      </c>
      <c r="AF15" s="407">
        <v>183.46101354553198</v>
      </c>
      <c r="AG15" s="407">
        <v>0</v>
      </c>
      <c r="AH15" s="407">
        <v>0</v>
      </c>
      <c r="AI15" s="407">
        <v>0</v>
      </c>
      <c r="AJ15" s="407">
        <v>0</v>
      </c>
      <c r="AK15" s="407">
        <v>0</v>
      </c>
      <c r="AL15" s="407">
        <v>13.554001792870652</v>
      </c>
      <c r="AM15" s="407"/>
      <c r="AN15" s="407">
        <v>1.4413199008689674</v>
      </c>
      <c r="AO15" s="407">
        <v>0</v>
      </c>
      <c r="AP15" s="407">
        <v>0</v>
      </c>
      <c r="AQ15" s="407">
        <v>0</v>
      </c>
      <c r="AR15" s="407">
        <v>0</v>
      </c>
      <c r="AS15" s="407">
        <v>0</v>
      </c>
      <c r="AT15" s="407">
        <v>0</v>
      </c>
      <c r="AU15" s="407">
        <v>0</v>
      </c>
      <c r="AV15" s="407">
        <v>0</v>
      </c>
      <c r="AW15" s="407">
        <v>0</v>
      </c>
      <c r="AX15" s="407">
        <v>0</v>
      </c>
      <c r="AY15" s="407">
        <v>0</v>
      </c>
      <c r="AZ15" s="407">
        <v>0</v>
      </c>
      <c r="BA15" s="407"/>
      <c r="BB15" s="407">
        <v>0</v>
      </c>
      <c r="BC15" s="407">
        <v>0</v>
      </c>
      <c r="BD15" s="407">
        <v>0</v>
      </c>
      <c r="BE15" s="407">
        <v>0</v>
      </c>
      <c r="BF15" s="407">
        <v>0</v>
      </c>
      <c r="BG15" s="407">
        <v>7.4499208529150511</v>
      </c>
      <c r="BH15" s="407">
        <v>0</v>
      </c>
      <c r="BI15" s="407">
        <v>0</v>
      </c>
      <c r="BJ15" s="407">
        <v>0</v>
      </c>
      <c r="BK15" s="407">
        <v>0</v>
      </c>
      <c r="BL15" s="407">
        <v>0</v>
      </c>
      <c r="BM15" s="407"/>
      <c r="BN15" s="407"/>
      <c r="BO15" s="407"/>
      <c r="BP15" s="407"/>
      <c r="BQ15" s="407"/>
      <c r="BR15" s="407"/>
      <c r="BS15" s="407"/>
      <c r="BT15" s="407"/>
      <c r="BU15" s="407"/>
      <c r="BV15" s="407">
        <v>190.91093439844704</v>
      </c>
      <c r="BW15" s="407"/>
      <c r="BX15" s="407"/>
      <c r="BY15" s="407"/>
      <c r="BZ15" s="407"/>
      <c r="CA15" s="407"/>
      <c r="CB15" s="407"/>
      <c r="CC15" s="407"/>
      <c r="CD15" s="407"/>
      <c r="CE15" s="407"/>
      <c r="CF15" s="407"/>
      <c r="CG15" s="407"/>
      <c r="CH15" s="407"/>
      <c r="CI15" s="407">
        <v>2543.6304</v>
      </c>
      <c r="CJ15" s="407">
        <v>-618.85260000000062</v>
      </c>
      <c r="CK15" s="407"/>
      <c r="CL15" s="407"/>
      <c r="CM15" s="407"/>
      <c r="CN15" s="407"/>
      <c r="CO15" s="407">
        <v>-633.4233499999998</v>
      </c>
      <c r="CP15" s="407">
        <v>5.768700000000015</v>
      </c>
      <c r="CQ15" s="407">
        <v>31</v>
      </c>
      <c r="CR15" s="407">
        <v>-43.448858824682702</v>
      </c>
      <c r="CS15" s="407">
        <v>0</v>
      </c>
      <c r="CT15" s="407">
        <v>0</v>
      </c>
      <c r="CU15" s="407">
        <v>0</v>
      </c>
      <c r="CV15" s="407">
        <v>0</v>
      </c>
      <c r="CW15" s="407">
        <v>0</v>
      </c>
      <c r="CX15" s="407">
        <v>0</v>
      </c>
      <c r="CY15" s="407">
        <v>0</v>
      </c>
      <c r="CZ15" s="407">
        <v>-47.427780935079113</v>
      </c>
      <c r="DA15" s="407">
        <v>0</v>
      </c>
      <c r="DB15" s="407">
        <v>0</v>
      </c>
      <c r="DC15" s="407">
        <v>5.772823169321839</v>
      </c>
      <c r="DD15" s="407">
        <v>0</v>
      </c>
      <c r="DE15" s="407">
        <v>0</v>
      </c>
      <c r="DF15" s="407">
        <v>0</v>
      </c>
      <c r="DG15" s="407">
        <v>0.23442078988976345</v>
      </c>
      <c r="DH15" s="407">
        <v>0</v>
      </c>
      <c r="DI15" s="407">
        <v>-1.7364571261090589</v>
      </c>
      <c r="DJ15" s="407"/>
      <c r="DK15" s="407">
        <v>0</v>
      </c>
      <c r="DL15" s="407">
        <v>0</v>
      </c>
      <c r="DM15" s="407">
        <v>0</v>
      </c>
      <c r="DN15" s="407">
        <v>0</v>
      </c>
      <c r="DO15" s="407">
        <v>-0.25863790198881631</v>
      </c>
      <c r="DP15" s="407">
        <v>-3.3226820717205063E-2</v>
      </c>
      <c r="DQ15" s="407">
        <v>0</v>
      </c>
      <c r="DR15" s="407">
        <v>0</v>
      </c>
      <c r="DS15" s="407"/>
      <c r="DT15" s="407"/>
      <c r="DU15" s="407"/>
      <c r="DV15" s="407">
        <v>1976.2299886291146</v>
      </c>
      <c r="DW15" s="407">
        <v>0</v>
      </c>
      <c r="DX15" s="407">
        <v>0</v>
      </c>
      <c r="DY15" s="407">
        <v>-633.42335000000003</v>
      </c>
      <c r="DZ15" s="407">
        <v>5.7686999999999955</v>
      </c>
      <c r="EA15" s="407">
        <v>0</v>
      </c>
      <c r="EB15" s="407">
        <v>0</v>
      </c>
      <c r="EC15" s="407">
        <v>-584.20478001173956</v>
      </c>
      <c r="ED15" s="407">
        <v>0</v>
      </c>
      <c r="EE15" s="407">
        <v>0</v>
      </c>
      <c r="EF15" s="407">
        <v>0</v>
      </c>
      <c r="EG15" s="407">
        <v>0</v>
      </c>
      <c r="EH15" s="407">
        <v>0</v>
      </c>
      <c r="EI15" s="407">
        <v>0</v>
      </c>
      <c r="EJ15" s="407">
        <v>0</v>
      </c>
      <c r="EK15" s="407">
        <v>0</v>
      </c>
      <c r="EL15" s="407">
        <v>0</v>
      </c>
      <c r="EM15" s="407">
        <v>0</v>
      </c>
      <c r="EN15" s="407">
        <v>0</v>
      </c>
      <c r="EO15" s="407">
        <v>0</v>
      </c>
      <c r="EP15" s="407">
        <v>0</v>
      </c>
      <c r="EQ15" s="407">
        <v>0</v>
      </c>
      <c r="ER15" s="407">
        <v>0</v>
      </c>
      <c r="ES15" s="407">
        <v>0</v>
      </c>
      <c r="ET15" s="407">
        <v>0</v>
      </c>
      <c r="EU15" s="407">
        <v>0</v>
      </c>
      <c r="EV15" s="407">
        <v>207</v>
      </c>
      <c r="EW15" s="407">
        <v>0</v>
      </c>
      <c r="EX15" s="407">
        <v>0</v>
      </c>
      <c r="EY15" s="407">
        <v>0</v>
      </c>
      <c r="EZ15" s="407"/>
      <c r="FA15" s="407">
        <v>0</v>
      </c>
      <c r="FB15" s="407"/>
      <c r="FC15" s="407"/>
      <c r="FD15" s="407"/>
      <c r="FE15" s="407"/>
      <c r="FF15" s="407">
        <v>0</v>
      </c>
      <c r="FG15" s="407">
        <v>0</v>
      </c>
      <c r="FH15" s="407">
        <v>0</v>
      </c>
      <c r="FI15" s="407">
        <v>0</v>
      </c>
    </row>
    <row r="16" spans="1:165" customFormat="1">
      <c r="A16" s="407">
        <v>14</v>
      </c>
      <c r="B16" s="407" t="s">
        <v>1092</v>
      </c>
      <c r="C16" s="407" t="s">
        <v>2315</v>
      </c>
      <c r="D16" s="407" t="s">
        <v>648</v>
      </c>
      <c r="E16" s="407" t="s">
        <v>1051</v>
      </c>
      <c r="F16" s="407" t="s">
        <v>96</v>
      </c>
      <c r="G16" s="407" t="s">
        <v>96</v>
      </c>
      <c r="H16" s="407" t="s">
        <v>96</v>
      </c>
      <c r="I16" s="407" t="s">
        <v>2290</v>
      </c>
      <c r="J16" s="407" t="s">
        <v>2306</v>
      </c>
      <c r="K16" s="815">
        <v>44378</v>
      </c>
      <c r="L16" s="407">
        <v>0</v>
      </c>
      <c r="M16" s="407">
        <v>0</v>
      </c>
      <c r="N16" s="407">
        <v>49.872999999999998</v>
      </c>
      <c r="O16" s="407">
        <v>49.872999999999998</v>
      </c>
      <c r="P16" s="407">
        <v>49.872999999999998</v>
      </c>
      <c r="Q16" s="407">
        <v>49.872999999999998</v>
      </c>
      <c r="R16" s="407"/>
      <c r="S16" s="407">
        <v>68.78</v>
      </c>
      <c r="T16" s="407">
        <v>127.85</v>
      </c>
      <c r="U16" s="407"/>
      <c r="V16" s="407">
        <v>9806.5279899999987</v>
      </c>
      <c r="W16" s="407">
        <v>9806.5279899999987</v>
      </c>
      <c r="X16" s="407">
        <v>9944.6761999999999</v>
      </c>
      <c r="Y16" s="407">
        <v>0</v>
      </c>
      <c r="Z16" s="407">
        <v>2650.0176488964175</v>
      </c>
      <c r="AA16" s="407">
        <v>0</v>
      </c>
      <c r="AB16" s="407">
        <v>0</v>
      </c>
      <c r="AC16" s="407">
        <v>0</v>
      </c>
      <c r="AD16" s="407">
        <v>0</v>
      </c>
      <c r="AE16" s="407">
        <v>0</v>
      </c>
      <c r="AF16" s="407">
        <v>6376.1331906315791</v>
      </c>
      <c r="AG16" s="407">
        <v>0</v>
      </c>
      <c r="AH16" s="407">
        <v>0</v>
      </c>
      <c r="AI16" s="407">
        <v>0</v>
      </c>
      <c r="AJ16" s="407">
        <v>0</v>
      </c>
      <c r="AK16" s="407">
        <v>0</v>
      </c>
      <c r="AL16" s="407">
        <v>471.0653180598174</v>
      </c>
      <c r="AM16" s="407"/>
      <c r="AN16" s="407">
        <v>50.092646282953318</v>
      </c>
      <c r="AO16" s="407">
        <v>0</v>
      </c>
      <c r="AP16" s="407">
        <v>0</v>
      </c>
      <c r="AQ16" s="407">
        <v>0</v>
      </c>
      <c r="AR16" s="407">
        <v>0</v>
      </c>
      <c r="AS16" s="407">
        <v>0</v>
      </c>
      <c r="AT16" s="407">
        <v>0</v>
      </c>
      <c r="AU16" s="407">
        <v>0</v>
      </c>
      <c r="AV16" s="407">
        <v>0</v>
      </c>
      <c r="AW16" s="407">
        <v>0</v>
      </c>
      <c r="AX16" s="407">
        <v>0</v>
      </c>
      <c r="AY16" s="407">
        <v>0</v>
      </c>
      <c r="AZ16" s="407">
        <v>0</v>
      </c>
      <c r="BA16" s="407"/>
      <c r="BB16" s="407">
        <v>0</v>
      </c>
      <c r="BC16" s="407">
        <v>0</v>
      </c>
      <c r="BD16" s="407">
        <v>0</v>
      </c>
      <c r="BE16" s="407">
        <v>0</v>
      </c>
      <c r="BF16" s="407">
        <v>0</v>
      </c>
      <c r="BG16" s="407">
        <v>258.91979282051034</v>
      </c>
      <c r="BH16" s="407">
        <v>0</v>
      </c>
      <c r="BI16" s="407">
        <v>0</v>
      </c>
      <c r="BJ16" s="407">
        <v>0</v>
      </c>
      <c r="BK16" s="407">
        <v>0</v>
      </c>
      <c r="BL16" s="407">
        <v>0</v>
      </c>
      <c r="BM16" s="407"/>
      <c r="BN16" s="407"/>
      <c r="BO16" s="407"/>
      <c r="BP16" s="407"/>
      <c r="BQ16" s="407"/>
      <c r="BR16" s="407"/>
      <c r="BS16" s="407"/>
      <c r="BT16" s="407"/>
      <c r="BU16" s="407"/>
      <c r="BV16" s="407">
        <v>6635.0529834520894</v>
      </c>
      <c r="BW16" s="407"/>
      <c r="BX16" s="407"/>
      <c r="BY16" s="407"/>
      <c r="BZ16" s="407"/>
      <c r="CA16" s="407"/>
      <c r="CB16" s="407"/>
      <c r="CC16" s="407"/>
      <c r="CD16" s="407"/>
      <c r="CE16" s="407"/>
      <c r="CF16" s="407"/>
      <c r="CG16" s="407"/>
      <c r="CH16" s="407"/>
      <c r="CI16" s="407">
        <v>9944.0779999999995</v>
      </c>
      <c r="CJ16" s="407">
        <v>137.52001000000018</v>
      </c>
      <c r="CK16" s="407"/>
      <c r="CL16" s="407"/>
      <c r="CM16" s="407"/>
      <c r="CN16" s="407"/>
      <c r="CO16" s="407">
        <v>-62.341249999999995</v>
      </c>
      <c r="CP16" s="407">
        <v>200.48946000000049</v>
      </c>
      <c r="CQ16" s="407">
        <v>31</v>
      </c>
      <c r="CR16" s="407">
        <v>138.28625952042239</v>
      </c>
      <c r="CS16" s="407">
        <v>0</v>
      </c>
      <c r="CT16" s="407">
        <v>0</v>
      </c>
      <c r="CU16" s="407">
        <v>0</v>
      </c>
      <c r="CV16" s="407">
        <v>0</v>
      </c>
      <c r="CW16" s="407">
        <v>0</v>
      </c>
      <c r="CX16" s="407">
        <v>0</v>
      </c>
      <c r="CY16" s="407">
        <v>0</v>
      </c>
      <c r="CZ16" s="407">
        <v>0</v>
      </c>
      <c r="DA16" s="407">
        <v>0</v>
      </c>
      <c r="DB16" s="407">
        <v>0</v>
      </c>
      <c r="DC16" s="407">
        <v>200.63275952863296</v>
      </c>
      <c r="DD16" s="407">
        <v>0</v>
      </c>
      <c r="DE16" s="407">
        <v>0</v>
      </c>
      <c r="DF16" s="407">
        <v>0</v>
      </c>
      <c r="DG16" s="407">
        <v>8.1472251248586645</v>
      </c>
      <c r="DH16" s="407">
        <v>0</v>
      </c>
      <c r="DI16" s="407">
        <v>-60.350053136192855</v>
      </c>
      <c r="DJ16" s="407"/>
      <c r="DK16" s="407">
        <v>0</v>
      </c>
      <c r="DL16" s="407">
        <v>0</v>
      </c>
      <c r="DM16" s="407">
        <v>0</v>
      </c>
      <c r="DN16" s="407">
        <v>0</v>
      </c>
      <c r="DO16" s="407">
        <v>-8.9888836835457937</v>
      </c>
      <c r="DP16" s="407">
        <v>-1.1547883133304353</v>
      </c>
      <c r="DQ16" s="407">
        <v>0</v>
      </c>
      <c r="DR16" s="407">
        <v>0</v>
      </c>
      <c r="DS16" s="407"/>
      <c r="DT16" s="407"/>
      <c r="DU16" s="407"/>
      <c r="DV16" s="407">
        <v>0</v>
      </c>
      <c r="DW16" s="407">
        <v>0</v>
      </c>
      <c r="DX16" s="407">
        <v>0</v>
      </c>
      <c r="DY16" s="407">
        <v>-62.341249999999945</v>
      </c>
      <c r="DZ16" s="407">
        <v>200.48946000000069</v>
      </c>
      <c r="EA16" s="407">
        <v>0</v>
      </c>
      <c r="EB16" s="407">
        <v>0</v>
      </c>
      <c r="EC16" s="407">
        <v>0</v>
      </c>
      <c r="ED16" s="407">
        <v>0</v>
      </c>
      <c r="EE16" s="407">
        <v>0</v>
      </c>
      <c r="EF16" s="407">
        <v>0</v>
      </c>
      <c r="EG16" s="407">
        <v>0</v>
      </c>
      <c r="EH16" s="407">
        <v>0</v>
      </c>
      <c r="EI16" s="407">
        <v>0</v>
      </c>
      <c r="EJ16" s="407">
        <v>0</v>
      </c>
      <c r="EK16" s="407">
        <v>0</v>
      </c>
      <c r="EL16" s="407">
        <v>0</v>
      </c>
      <c r="EM16" s="407">
        <v>0</v>
      </c>
      <c r="EN16" s="407">
        <v>0</v>
      </c>
      <c r="EO16" s="407">
        <v>0</v>
      </c>
      <c r="EP16" s="407">
        <v>0</v>
      </c>
      <c r="EQ16" s="407">
        <v>0</v>
      </c>
      <c r="ER16" s="407">
        <v>0</v>
      </c>
      <c r="ES16" s="407">
        <v>0</v>
      </c>
      <c r="ET16" s="407">
        <v>0</v>
      </c>
      <c r="EU16" s="407">
        <v>0</v>
      </c>
      <c r="EV16" s="407">
        <v>207</v>
      </c>
      <c r="EW16" s="407">
        <v>0</v>
      </c>
      <c r="EX16" s="407">
        <v>0</v>
      </c>
      <c r="EY16" s="407">
        <v>0</v>
      </c>
      <c r="EZ16" s="407"/>
      <c r="FA16" s="407">
        <v>0</v>
      </c>
      <c r="FB16" s="407"/>
      <c r="FC16" s="407"/>
      <c r="FD16" s="407"/>
      <c r="FE16" s="407"/>
      <c r="FF16" s="407">
        <v>0</v>
      </c>
      <c r="FG16" s="407">
        <v>0</v>
      </c>
      <c r="FH16" s="407">
        <v>0</v>
      </c>
      <c r="FI16" s="407">
        <v>0</v>
      </c>
    </row>
    <row r="17" spans="1:165" customFormat="1">
      <c r="A17" s="407">
        <v>15</v>
      </c>
      <c r="B17" s="407" t="s">
        <v>1092</v>
      </c>
      <c r="C17" s="407" t="s">
        <v>2315</v>
      </c>
      <c r="D17" s="407" t="s">
        <v>648</v>
      </c>
      <c r="E17" s="407" t="s">
        <v>1051</v>
      </c>
      <c r="F17" s="407" t="s">
        <v>96</v>
      </c>
      <c r="G17" s="407" t="s">
        <v>96</v>
      </c>
      <c r="H17" s="407" t="s">
        <v>96</v>
      </c>
      <c r="I17" s="407" t="s">
        <v>96</v>
      </c>
      <c r="J17" s="407" t="s">
        <v>2306</v>
      </c>
      <c r="K17" s="815">
        <v>44378</v>
      </c>
      <c r="L17" s="407">
        <v>292</v>
      </c>
      <c r="M17" s="407">
        <v>292</v>
      </c>
      <c r="N17" s="407">
        <v>0</v>
      </c>
      <c r="O17" s="407">
        <v>0</v>
      </c>
      <c r="P17" s="407">
        <v>0</v>
      </c>
      <c r="Q17" s="407">
        <v>0</v>
      </c>
      <c r="R17" s="407">
        <v>39.56</v>
      </c>
      <c r="S17" s="407"/>
      <c r="T17" s="407"/>
      <c r="U17" s="407">
        <v>11551.52</v>
      </c>
      <c r="V17" s="407"/>
      <c r="W17" s="407">
        <v>11551.52</v>
      </c>
      <c r="X17" s="407">
        <v>9069.52</v>
      </c>
      <c r="Y17" s="407">
        <v>0</v>
      </c>
      <c r="Z17" s="407">
        <v>0</v>
      </c>
      <c r="AA17" s="407">
        <v>0</v>
      </c>
      <c r="AB17" s="407">
        <v>0</v>
      </c>
      <c r="AC17" s="407">
        <v>0</v>
      </c>
      <c r="AD17" s="407">
        <v>3845.7222856355652</v>
      </c>
      <c r="AE17" s="407">
        <v>7704.4001704481043</v>
      </c>
      <c r="AF17" s="407"/>
      <c r="AG17" s="407"/>
      <c r="AH17" s="407"/>
      <c r="AI17" s="407">
        <v>0</v>
      </c>
      <c r="AJ17" s="407">
        <v>0</v>
      </c>
      <c r="AK17" s="407">
        <v>0</v>
      </c>
      <c r="AL17" s="407">
        <v>0</v>
      </c>
      <c r="AM17" s="407"/>
      <c r="AN17" s="407">
        <v>0</v>
      </c>
      <c r="AO17" s="407">
        <v>0</v>
      </c>
      <c r="AP17" s="407">
        <v>0</v>
      </c>
      <c r="AQ17" s="407">
        <v>0</v>
      </c>
      <c r="AR17" s="407">
        <v>0</v>
      </c>
      <c r="AS17" s="407"/>
      <c r="AT17" s="407"/>
      <c r="AU17" s="407">
        <v>0</v>
      </c>
      <c r="AV17" s="407">
        <v>0</v>
      </c>
      <c r="AW17" s="407">
        <v>0</v>
      </c>
      <c r="AX17" s="407"/>
      <c r="AY17" s="407"/>
      <c r="AZ17" s="407">
        <v>0</v>
      </c>
      <c r="BA17" s="407"/>
      <c r="BB17" s="407">
        <v>0</v>
      </c>
      <c r="BC17" s="407">
        <v>0</v>
      </c>
      <c r="BD17" s="407">
        <v>0</v>
      </c>
      <c r="BE17" s="407">
        <v>0</v>
      </c>
      <c r="BF17" s="407"/>
      <c r="BG17" s="407">
        <v>0</v>
      </c>
      <c r="BH17" s="407">
        <v>0</v>
      </c>
      <c r="BI17" s="407">
        <v>107.3</v>
      </c>
      <c r="BJ17" s="407">
        <v>495.26</v>
      </c>
      <c r="BK17" s="407">
        <v>5248.05</v>
      </c>
      <c r="BL17" s="407">
        <v>2</v>
      </c>
      <c r="BM17" s="407"/>
      <c r="BN17" s="407"/>
      <c r="BO17" s="407"/>
      <c r="BP17" s="407"/>
      <c r="BQ17" s="407"/>
      <c r="BR17" s="407"/>
      <c r="BS17" s="407"/>
      <c r="BT17" s="407"/>
      <c r="BU17" s="407"/>
      <c r="BV17" s="407">
        <v>0</v>
      </c>
      <c r="BW17" s="407"/>
      <c r="BX17" s="407"/>
      <c r="BY17" s="407"/>
      <c r="BZ17" s="407"/>
      <c r="CA17" s="407"/>
      <c r="CB17" s="407"/>
      <c r="CC17" s="407"/>
      <c r="CD17" s="407"/>
      <c r="CE17" s="407"/>
      <c r="CF17" s="407"/>
      <c r="CG17" s="407"/>
      <c r="CH17" s="407"/>
      <c r="CI17" s="407">
        <v>9069.52</v>
      </c>
      <c r="CJ17" s="407">
        <v>-2482.0300000000007</v>
      </c>
      <c r="CK17" s="407"/>
      <c r="CL17" s="407"/>
      <c r="CM17" s="407"/>
      <c r="CN17" s="407"/>
      <c r="CO17" s="407">
        <v>-2482.0000000000009</v>
      </c>
      <c r="CP17" s="407">
        <v>0</v>
      </c>
      <c r="CQ17" s="407">
        <v>31</v>
      </c>
      <c r="CR17" s="407">
        <v>-201.74934175270755</v>
      </c>
      <c r="CS17" s="407">
        <v>0</v>
      </c>
      <c r="CT17" s="407">
        <v>0</v>
      </c>
      <c r="CU17" s="407">
        <v>0</v>
      </c>
      <c r="CV17" s="407">
        <v>0</v>
      </c>
      <c r="CW17" s="407"/>
      <c r="CX17" s="407"/>
      <c r="CY17" s="407"/>
      <c r="CZ17" s="407">
        <v>-201.74934175270755</v>
      </c>
      <c r="DA17" s="407">
        <v>0</v>
      </c>
      <c r="DB17" s="407">
        <v>0</v>
      </c>
      <c r="DC17" s="407"/>
      <c r="DD17" s="407"/>
      <c r="DE17" s="407">
        <v>0</v>
      </c>
      <c r="DF17" s="407">
        <v>0</v>
      </c>
      <c r="DG17" s="407">
        <v>0</v>
      </c>
      <c r="DH17" s="407">
        <v>0</v>
      </c>
      <c r="DI17" s="407">
        <v>0</v>
      </c>
      <c r="DJ17" s="407"/>
      <c r="DK17" s="407">
        <v>0</v>
      </c>
      <c r="DL17" s="407">
        <v>0</v>
      </c>
      <c r="DM17" s="407"/>
      <c r="DN17" s="407">
        <v>0</v>
      </c>
      <c r="DO17" s="407">
        <v>0</v>
      </c>
      <c r="DP17" s="407">
        <v>0</v>
      </c>
      <c r="DQ17" s="407">
        <v>0</v>
      </c>
      <c r="DR17" s="407">
        <v>0</v>
      </c>
      <c r="DS17" s="407"/>
      <c r="DT17" s="407"/>
      <c r="DU17" s="407">
        <v>7704.4001704481043</v>
      </c>
      <c r="DV17" s="407"/>
      <c r="DW17" s="407">
        <v>0</v>
      </c>
      <c r="DX17" s="407">
        <v>0</v>
      </c>
      <c r="DY17" s="407">
        <v>-2482</v>
      </c>
      <c r="DZ17" s="407"/>
      <c r="EA17" s="407">
        <v>0</v>
      </c>
      <c r="EB17" s="407"/>
      <c r="EC17" s="407">
        <v>-2277.542306612464</v>
      </c>
      <c r="ED17" s="407"/>
      <c r="EE17" s="407">
        <v>0</v>
      </c>
      <c r="EF17" s="407">
        <v>0</v>
      </c>
      <c r="EG17" s="407"/>
      <c r="EH17" s="407">
        <v>0</v>
      </c>
      <c r="EI17" s="407">
        <v>0</v>
      </c>
      <c r="EJ17" s="407">
        <v>0</v>
      </c>
      <c r="EK17" s="407">
        <v>0</v>
      </c>
      <c r="EL17" s="407">
        <v>0</v>
      </c>
      <c r="EM17" s="407"/>
      <c r="EN17" s="407"/>
      <c r="EO17" s="407">
        <v>0</v>
      </c>
      <c r="EP17" s="407">
        <v>0</v>
      </c>
      <c r="EQ17" s="407"/>
      <c r="ER17" s="407">
        <v>0</v>
      </c>
      <c r="ES17" s="407"/>
      <c r="ET17" s="407">
        <v>0</v>
      </c>
      <c r="EU17" s="407"/>
      <c r="EV17" s="407">
        <v>207</v>
      </c>
      <c r="EW17" s="407"/>
      <c r="EX17" s="407"/>
      <c r="EY17" s="407"/>
      <c r="EZ17" s="407"/>
      <c r="FA17" s="407">
        <v>0</v>
      </c>
      <c r="FB17" s="407"/>
      <c r="FC17" s="407"/>
      <c r="FD17" s="407"/>
      <c r="FE17" s="407"/>
      <c r="FF17" s="407">
        <v>0</v>
      </c>
      <c r="FG17" s="407">
        <v>0</v>
      </c>
      <c r="FH17" s="407">
        <v>0</v>
      </c>
      <c r="FI17" s="407">
        <v>0</v>
      </c>
    </row>
    <row r="18" spans="1:165" customFormat="1">
      <c r="A18" s="407">
        <v>16</v>
      </c>
      <c r="B18" s="407" t="s">
        <v>1092</v>
      </c>
      <c r="C18" s="407" t="s">
        <v>2305</v>
      </c>
      <c r="D18" s="407" t="s">
        <v>2316</v>
      </c>
      <c r="E18" s="407" t="s">
        <v>1028</v>
      </c>
      <c r="F18" s="407" t="s">
        <v>96</v>
      </c>
      <c r="G18" s="407" t="s">
        <v>96</v>
      </c>
      <c r="H18" s="407" t="s">
        <v>96</v>
      </c>
      <c r="I18" s="407" t="s">
        <v>96</v>
      </c>
      <c r="J18" s="407" t="s">
        <v>2306</v>
      </c>
      <c r="K18" s="815">
        <v>44378</v>
      </c>
      <c r="L18" s="407">
        <v>0</v>
      </c>
      <c r="M18" s="407">
        <v>0</v>
      </c>
      <c r="N18" s="407">
        <v>54.207999999999998</v>
      </c>
      <c r="O18" s="407">
        <v>54.207999999999998</v>
      </c>
      <c r="P18" s="407">
        <v>54.207999999999998</v>
      </c>
      <c r="Q18" s="407">
        <v>54.207999999999998</v>
      </c>
      <c r="R18" s="407"/>
      <c r="S18" s="407">
        <v>710.52</v>
      </c>
      <c r="T18" s="407">
        <v>127.85</v>
      </c>
      <c r="U18" s="407"/>
      <c r="V18" s="407">
        <v>45446.360959999998</v>
      </c>
      <c r="W18" s="407">
        <v>45446.360959999998</v>
      </c>
      <c r="X18" s="407">
        <v>37333.591679999998</v>
      </c>
      <c r="Y18" s="407">
        <v>0</v>
      </c>
      <c r="Z18" s="407">
        <v>3310.757754843899</v>
      </c>
      <c r="AA18" s="407">
        <v>0</v>
      </c>
      <c r="AB18" s="407">
        <v>0</v>
      </c>
      <c r="AC18" s="407">
        <v>0</v>
      </c>
      <c r="AD18" s="407">
        <v>5927.2357782166437</v>
      </c>
      <c r="AE18" s="407">
        <v>27004.652363182089</v>
      </c>
      <c r="AF18" s="407">
        <v>6930.3516531541445</v>
      </c>
      <c r="AG18" s="407">
        <v>0</v>
      </c>
      <c r="AH18" s="407">
        <v>0</v>
      </c>
      <c r="AI18" s="407">
        <v>0</v>
      </c>
      <c r="AJ18" s="407">
        <v>0</v>
      </c>
      <c r="AK18" s="407">
        <v>0</v>
      </c>
      <c r="AL18" s="407">
        <v>512.0106823609284</v>
      </c>
      <c r="AM18" s="407"/>
      <c r="AN18" s="407">
        <v>124.17769654144831</v>
      </c>
      <c r="AO18" s="407">
        <v>0</v>
      </c>
      <c r="AP18" s="407">
        <v>0</v>
      </c>
      <c r="AQ18" s="407">
        <v>0</v>
      </c>
      <c r="AR18" s="407">
        <v>0</v>
      </c>
      <c r="AS18" s="407">
        <v>0</v>
      </c>
      <c r="AT18" s="407">
        <v>0</v>
      </c>
      <c r="AU18" s="407">
        <v>0</v>
      </c>
      <c r="AV18" s="407">
        <v>0</v>
      </c>
      <c r="AW18" s="407">
        <v>0</v>
      </c>
      <c r="AX18" s="407">
        <v>0</v>
      </c>
      <c r="AY18" s="407">
        <v>0</v>
      </c>
      <c r="AZ18" s="407">
        <v>0</v>
      </c>
      <c r="BA18" s="407"/>
      <c r="BB18" s="407">
        <v>0</v>
      </c>
      <c r="BC18" s="407">
        <v>0</v>
      </c>
      <c r="BD18" s="407">
        <v>0</v>
      </c>
      <c r="BE18" s="407">
        <v>0</v>
      </c>
      <c r="BF18" s="407">
        <v>0</v>
      </c>
      <c r="BG18" s="407">
        <v>1636.9836826528169</v>
      </c>
      <c r="BH18" s="407">
        <v>0</v>
      </c>
      <c r="BI18" s="407">
        <v>136.03</v>
      </c>
      <c r="BJ18" s="407">
        <v>628.67999999999995</v>
      </c>
      <c r="BK18" s="407">
        <v>0</v>
      </c>
      <c r="BL18" s="407">
        <v>41</v>
      </c>
      <c r="BM18" s="407"/>
      <c r="BN18" s="407"/>
      <c r="BO18" s="407"/>
      <c r="BP18" s="407"/>
      <c r="BQ18" s="407"/>
      <c r="BR18" s="407">
        <v>4479.7491200000031</v>
      </c>
      <c r="BS18" s="407"/>
      <c r="BT18" s="407"/>
      <c r="BU18" s="407"/>
      <c r="BV18" s="407">
        <v>8567.3353358069617</v>
      </c>
      <c r="BW18" s="407"/>
      <c r="BX18" s="407"/>
      <c r="BY18" s="407"/>
      <c r="BZ18" s="407"/>
      <c r="CA18" s="407"/>
      <c r="CB18" s="407"/>
      <c r="CC18" s="407"/>
      <c r="CD18" s="407"/>
      <c r="CE18" s="407"/>
      <c r="CF18" s="407"/>
      <c r="CG18" s="407"/>
      <c r="CH18" s="407"/>
      <c r="CI18" s="407">
        <v>32855.054700000001</v>
      </c>
      <c r="CJ18" s="407">
        <v>-7138.0114600000015</v>
      </c>
      <c r="CK18" s="407"/>
      <c r="CL18" s="407"/>
      <c r="CM18" s="407"/>
      <c r="CN18" s="407"/>
      <c r="CO18" s="407">
        <v>-8330.6854399999975</v>
      </c>
      <c r="CP18" s="407">
        <v>217.91616000000056</v>
      </c>
      <c r="CQ18" s="407">
        <v>31</v>
      </c>
      <c r="CR18" s="407">
        <v>-129.39570358965648</v>
      </c>
      <c r="CS18" s="407">
        <v>0</v>
      </c>
      <c r="CT18" s="407">
        <v>0</v>
      </c>
      <c r="CU18" s="407">
        <v>0</v>
      </c>
      <c r="CV18" s="407">
        <v>0</v>
      </c>
      <c r="CW18" s="407">
        <v>0</v>
      </c>
      <c r="CX18" s="407">
        <v>0</v>
      </c>
      <c r="CY18" s="407">
        <v>0</v>
      </c>
      <c r="CZ18" s="407">
        <v>-310.94702837356908</v>
      </c>
      <c r="DA18" s="407">
        <v>0</v>
      </c>
      <c r="DB18" s="407">
        <v>0</v>
      </c>
      <c r="DC18" s="407">
        <v>218.07191523526035</v>
      </c>
      <c r="DD18" s="407">
        <v>0</v>
      </c>
      <c r="DE18" s="407">
        <v>0</v>
      </c>
      <c r="DF18" s="407">
        <v>0</v>
      </c>
      <c r="DG18" s="407">
        <v>51.509675807359145</v>
      </c>
      <c r="DH18" s="407">
        <v>0</v>
      </c>
      <c r="DI18" s="407">
        <v>-75.397387073659957</v>
      </c>
      <c r="DJ18" s="407"/>
      <c r="DK18" s="407">
        <v>0</v>
      </c>
      <c r="DL18" s="407">
        <v>0</v>
      </c>
      <c r="DM18" s="407">
        <v>0</v>
      </c>
      <c r="DN18" s="407">
        <v>0</v>
      </c>
      <c r="DO18" s="407">
        <v>-9.7702044536653148</v>
      </c>
      <c r="DP18" s="407">
        <v>-2.8626747313837342</v>
      </c>
      <c r="DQ18" s="407">
        <v>0</v>
      </c>
      <c r="DR18" s="407">
        <v>0</v>
      </c>
      <c r="DS18" s="407"/>
      <c r="DT18" s="407"/>
      <c r="DU18" s="407"/>
      <c r="DV18" s="407">
        <v>27004.652363182089</v>
      </c>
      <c r="DW18" s="407">
        <v>0</v>
      </c>
      <c r="DX18" s="407">
        <v>0</v>
      </c>
      <c r="DY18" s="407">
        <v>-8330.6854399999975</v>
      </c>
      <c r="DZ18" s="407">
        <v>217.91616000000067</v>
      </c>
      <c r="EA18" s="407">
        <v>0</v>
      </c>
      <c r="EB18" s="407">
        <v>0</v>
      </c>
      <c r="EC18" s="407">
        <v>-7983.0015149553255</v>
      </c>
      <c r="ED18" s="407">
        <v>0</v>
      </c>
      <c r="EE18" s="407">
        <v>0</v>
      </c>
      <c r="EF18" s="407">
        <v>0</v>
      </c>
      <c r="EG18" s="407">
        <v>0</v>
      </c>
      <c r="EH18" s="407">
        <v>0</v>
      </c>
      <c r="EI18" s="407">
        <v>0</v>
      </c>
      <c r="EJ18" s="407">
        <v>0</v>
      </c>
      <c r="EK18" s="407">
        <v>0</v>
      </c>
      <c r="EL18" s="407">
        <v>0</v>
      </c>
      <c r="EM18" s="407">
        <v>0</v>
      </c>
      <c r="EN18" s="407">
        <v>0</v>
      </c>
      <c r="EO18" s="407">
        <v>0</v>
      </c>
      <c r="EP18" s="407">
        <v>0</v>
      </c>
      <c r="EQ18" s="407">
        <v>0</v>
      </c>
      <c r="ER18" s="407">
        <v>0</v>
      </c>
      <c r="ES18" s="407">
        <v>0</v>
      </c>
      <c r="ET18" s="407">
        <v>0</v>
      </c>
      <c r="EU18" s="407">
        <v>0</v>
      </c>
      <c r="EV18" s="407">
        <v>207</v>
      </c>
      <c r="EW18" s="407">
        <v>0</v>
      </c>
      <c r="EX18" s="407">
        <v>0</v>
      </c>
      <c r="EY18" s="407">
        <v>0</v>
      </c>
      <c r="EZ18" s="407"/>
      <c r="FA18" s="407">
        <v>0</v>
      </c>
      <c r="FB18" s="407"/>
      <c r="FC18" s="407"/>
      <c r="FD18" s="407"/>
      <c r="FE18" s="407"/>
      <c r="FF18" s="407">
        <v>0</v>
      </c>
      <c r="FG18" s="407">
        <v>0</v>
      </c>
      <c r="FH18" s="407">
        <v>0</v>
      </c>
      <c r="FI18" s="407">
        <v>0</v>
      </c>
    </row>
    <row r="19" spans="1:165" customFormat="1">
      <c r="A19" s="407">
        <v>17</v>
      </c>
      <c r="B19" s="407" t="s">
        <v>1092</v>
      </c>
      <c r="C19" s="407" t="s">
        <v>2305</v>
      </c>
      <c r="D19" s="407" t="s">
        <v>1221</v>
      </c>
      <c r="E19" s="407" t="s">
        <v>2317</v>
      </c>
      <c r="F19" s="407" t="s">
        <v>96</v>
      </c>
      <c r="G19" s="407" t="s">
        <v>96</v>
      </c>
      <c r="H19" s="407" t="s">
        <v>96</v>
      </c>
      <c r="I19" s="407" t="s">
        <v>96</v>
      </c>
      <c r="J19" s="407" t="s">
        <v>2306</v>
      </c>
      <c r="K19" s="815">
        <v>44378</v>
      </c>
      <c r="L19" s="407">
        <v>0</v>
      </c>
      <c r="M19" s="407">
        <v>0</v>
      </c>
      <c r="N19" s="407">
        <v>5.0599999999999996</v>
      </c>
      <c r="O19" s="407">
        <v>5.0599999999999996</v>
      </c>
      <c r="P19" s="407">
        <v>5.0599999999999996</v>
      </c>
      <c r="Q19" s="407">
        <v>5.0599999999999996</v>
      </c>
      <c r="R19" s="407"/>
      <c r="S19" s="407">
        <v>710.52</v>
      </c>
      <c r="T19" s="407">
        <v>127.85</v>
      </c>
      <c r="U19" s="407"/>
      <c r="V19" s="407">
        <v>4242.1521999999995</v>
      </c>
      <c r="W19" s="407">
        <v>4242.1521999999995</v>
      </c>
      <c r="X19" s="407">
        <v>3484.8726000000001</v>
      </c>
      <c r="Y19" s="407">
        <v>0</v>
      </c>
      <c r="Z19" s="407">
        <v>309.03988783039637</v>
      </c>
      <c r="AA19" s="407">
        <v>0</v>
      </c>
      <c r="AB19" s="407">
        <v>0</v>
      </c>
      <c r="AC19" s="407">
        <v>0</v>
      </c>
      <c r="AD19" s="407">
        <v>553.27282020691064</v>
      </c>
      <c r="AE19" s="407">
        <v>2520.7264787061204</v>
      </c>
      <c r="AF19" s="407">
        <v>646.90782476682352</v>
      </c>
      <c r="AG19" s="407">
        <v>0</v>
      </c>
      <c r="AH19" s="407">
        <v>0</v>
      </c>
      <c r="AI19" s="407">
        <v>0</v>
      </c>
      <c r="AJ19" s="407">
        <v>0</v>
      </c>
      <c r="AK19" s="407">
        <v>0</v>
      </c>
      <c r="AL19" s="407">
        <v>47.793204928171079</v>
      </c>
      <c r="AM19" s="407"/>
      <c r="AN19" s="407">
        <v>11.591262258333243</v>
      </c>
      <c r="AO19" s="407">
        <v>0</v>
      </c>
      <c r="AP19" s="407">
        <v>0</v>
      </c>
      <c r="AQ19" s="407">
        <v>0</v>
      </c>
      <c r="AR19" s="407">
        <v>0</v>
      </c>
      <c r="AS19" s="407">
        <v>0</v>
      </c>
      <c r="AT19" s="407">
        <v>0</v>
      </c>
      <c r="AU19" s="407">
        <v>0</v>
      </c>
      <c r="AV19" s="407">
        <v>0</v>
      </c>
      <c r="AW19" s="407">
        <v>0</v>
      </c>
      <c r="AX19" s="407">
        <v>0</v>
      </c>
      <c r="AY19" s="407">
        <v>0</v>
      </c>
      <c r="AZ19" s="407">
        <v>0</v>
      </c>
      <c r="BA19" s="407"/>
      <c r="BB19" s="407">
        <v>0</v>
      </c>
      <c r="BC19" s="407">
        <v>0</v>
      </c>
      <c r="BD19" s="407">
        <v>0</v>
      </c>
      <c r="BE19" s="407">
        <v>0</v>
      </c>
      <c r="BF19" s="407">
        <v>0</v>
      </c>
      <c r="BG19" s="407">
        <v>152.80285998788469</v>
      </c>
      <c r="BH19" s="407">
        <v>0</v>
      </c>
      <c r="BI19" s="407">
        <v>15.39</v>
      </c>
      <c r="BJ19" s="407">
        <v>71.33</v>
      </c>
      <c r="BK19" s="407">
        <v>774.66</v>
      </c>
      <c r="BL19" s="407">
        <v>18</v>
      </c>
      <c r="BM19" s="407"/>
      <c r="BN19" s="407"/>
      <c r="BO19" s="407"/>
      <c r="BP19" s="407"/>
      <c r="BQ19" s="407"/>
      <c r="BR19" s="407"/>
      <c r="BS19" s="407"/>
      <c r="BT19" s="407"/>
      <c r="BU19" s="407"/>
      <c r="BV19" s="407">
        <v>799.71068475470815</v>
      </c>
      <c r="BW19" s="407"/>
      <c r="BX19" s="407"/>
      <c r="BY19" s="407"/>
      <c r="BZ19" s="407"/>
      <c r="CA19" s="407"/>
      <c r="CB19" s="407"/>
      <c r="CC19" s="407"/>
      <c r="CD19" s="407"/>
      <c r="CE19" s="407"/>
      <c r="CF19" s="407"/>
      <c r="CG19" s="407"/>
      <c r="CH19" s="407"/>
      <c r="CI19" s="407">
        <v>3484.8726000000001</v>
      </c>
      <c r="CJ19" s="407">
        <v>-757.30960000000005</v>
      </c>
      <c r="CK19" s="407"/>
      <c r="CL19" s="407"/>
      <c r="CM19" s="407"/>
      <c r="CN19" s="407"/>
      <c r="CO19" s="407">
        <v>-777.62079999999969</v>
      </c>
      <c r="CP19" s="407">
        <v>20.34120000000005</v>
      </c>
      <c r="CQ19" s="407">
        <v>31</v>
      </c>
      <c r="CR19" s="407">
        <v>-12.078332721436936</v>
      </c>
      <c r="CS19" s="407">
        <v>0</v>
      </c>
      <c r="CT19" s="407">
        <v>0</v>
      </c>
      <c r="CU19" s="407">
        <v>0</v>
      </c>
      <c r="CV19" s="407">
        <v>0</v>
      </c>
      <c r="CW19" s="407">
        <v>0</v>
      </c>
      <c r="CX19" s="407">
        <v>0</v>
      </c>
      <c r="CY19" s="407">
        <v>0</v>
      </c>
      <c r="CZ19" s="407">
        <v>-29.025087875779491</v>
      </c>
      <c r="DA19" s="407">
        <v>0</v>
      </c>
      <c r="DB19" s="407">
        <v>0</v>
      </c>
      <c r="DC19" s="407">
        <v>20.355738840953677</v>
      </c>
      <c r="DD19" s="407">
        <v>0</v>
      </c>
      <c r="DE19" s="407">
        <v>0</v>
      </c>
      <c r="DF19" s="407">
        <v>0</v>
      </c>
      <c r="DG19" s="407">
        <v>4.8081272060440767</v>
      </c>
      <c r="DH19" s="407">
        <v>0</v>
      </c>
      <c r="DI19" s="407">
        <v>-7.0379054492458408</v>
      </c>
      <c r="DJ19" s="407"/>
      <c r="DK19" s="407">
        <v>0</v>
      </c>
      <c r="DL19" s="407">
        <v>0</v>
      </c>
      <c r="DM19" s="407">
        <v>0</v>
      </c>
      <c r="DN19" s="407">
        <v>0</v>
      </c>
      <c r="DO19" s="407">
        <v>-0.91199148715220701</v>
      </c>
      <c r="DP19" s="407">
        <v>-0.26721395625741096</v>
      </c>
      <c r="DQ19" s="407">
        <v>0</v>
      </c>
      <c r="DR19" s="407">
        <v>0</v>
      </c>
      <c r="DS19" s="407"/>
      <c r="DT19" s="407"/>
      <c r="DU19" s="407"/>
      <c r="DV19" s="407">
        <v>2520.7264787061204</v>
      </c>
      <c r="DW19" s="407">
        <v>0</v>
      </c>
      <c r="DX19" s="407">
        <v>0</v>
      </c>
      <c r="DY19" s="407">
        <v>-777.62079999999969</v>
      </c>
      <c r="DZ19" s="407">
        <v>20.341200000000072</v>
      </c>
      <c r="EA19" s="407">
        <v>0</v>
      </c>
      <c r="EB19" s="407">
        <v>0</v>
      </c>
      <c r="EC19" s="407">
        <v>-745.16653751612216</v>
      </c>
      <c r="ED19" s="407">
        <v>0</v>
      </c>
      <c r="EE19" s="407">
        <v>0</v>
      </c>
      <c r="EF19" s="407">
        <v>0</v>
      </c>
      <c r="EG19" s="407">
        <v>0</v>
      </c>
      <c r="EH19" s="407">
        <v>0</v>
      </c>
      <c r="EI19" s="407">
        <v>0</v>
      </c>
      <c r="EJ19" s="407">
        <v>0</v>
      </c>
      <c r="EK19" s="407">
        <v>0</v>
      </c>
      <c r="EL19" s="407">
        <v>0</v>
      </c>
      <c r="EM19" s="407">
        <v>0</v>
      </c>
      <c r="EN19" s="407">
        <v>0</v>
      </c>
      <c r="EO19" s="407">
        <v>0</v>
      </c>
      <c r="EP19" s="407">
        <v>0</v>
      </c>
      <c r="EQ19" s="407">
        <v>0</v>
      </c>
      <c r="ER19" s="407">
        <v>0</v>
      </c>
      <c r="ES19" s="407">
        <v>0</v>
      </c>
      <c r="ET19" s="407">
        <v>0</v>
      </c>
      <c r="EU19" s="407">
        <v>0</v>
      </c>
      <c r="EV19" s="407">
        <v>207</v>
      </c>
      <c r="EW19" s="407">
        <v>0</v>
      </c>
      <c r="EX19" s="407">
        <v>0</v>
      </c>
      <c r="EY19" s="407">
        <v>0</v>
      </c>
      <c r="EZ19" s="407"/>
      <c r="FA19" s="407">
        <v>0</v>
      </c>
      <c r="FB19" s="407"/>
      <c r="FC19" s="407"/>
      <c r="FD19" s="407"/>
      <c r="FE19" s="407"/>
      <c r="FF19" s="407">
        <v>0</v>
      </c>
      <c r="FG19" s="407">
        <v>0</v>
      </c>
      <c r="FH19" s="407">
        <v>0</v>
      </c>
      <c r="FI19" s="407">
        <v>0</v>
      </c>
    </row>
    <row r="20" spans="1:165" customFormat="1">
      <c r="A20" s="407">
        <v>18</v>
      </c>
      <c r="B20" s="407" t="s">
        <v>1092</v>
      </c>
      <c r="C20" s="407" t="s">
        <v>2305</v>
      </c>
      <c r="D20" s="407" t="s">
        <v>2318</v>
      </c>
      <c r="E20" s="407" t="s">
        <v>2319</v>
      </c>
      <c r="F20" s="407" t="s">
        <v>2320</v>
      </c>
      <c r="G20" s="407" t="s">
        <v>96</v>
      </c>
      <c r="H20" s="407" t="s">
        <v>96</v>
      </c>
      <c r="I20" s="407" t="s">
        <v>96</v>
      </c>
      <c r="J20" s="407" t="s">
        <v>2306</v>
      </c>
      <c r="K20" s="815">
        <v>44378</v>
      </c>
      <c r="L20" s="407">
        <v>0</v>
      </c>
      <c r="M20" s="407">
        <v>0</v>
      </c>
      <c r="N20" s="407">
        <v>40.082999999999998</v>
      </c>
      <c r="O20" s="407">
        <v>40.082999999999998</v>
      </c>
      <c r="P20" s="407">
        <v>40.082999999999998</v>
      </c>
      <c r="Q20" s="407">
        <v>40.082999999999998</v>
      </c>
      <c r="R20" s="407"/>
      <c r="S20" s="407">
        <v>390.79</v>
      </c>
      <c r="T20" s="407">
        <v>70.319999999999993</v>
      </c>
      <c r="U20" s="407"/>
      <c r="V20" s="407">
        <v>18482.672129999999</v>
      </c>
      <c r="W20" s="407">
        <v>18482.672129999999</v>
      </c>
      <c r="X20" s="407">
        <v>15183.039569999999</v>
      </c>
      <c r="Y20" s="407">
        <v>0</v>
      </c>
      <c r="Z20" s="407">
        <v>1346.4397634680206</v>
      </c>
      <c r="AA20" s="407">
        <v>0</v>
      </c>
      <c r="AB20" s="407">
        <v>0</v>
      </c>
      <c r="AC20" s="407">
        <v>0</v>
      </c>
      <c r="AD20" s="407">
        <v>2410.5254839514746</v>
      </c>
      <c r="AE20" s="407">
        <v>10982.421678910585</v>
      </c>
      <c r="AF20" s="407">
        <v>2818.4789500139791</v>
      </c>
      <c r="AG20" s="407">
        <v>0</v>
      </c>
      <c r="AH20" s="407">
        <v>0</v>
      </c>
      <c r="AI20" s="407">
        <v>0</v>
      </c>
      <c r="AJ20" s="407">
        <v>0</v>
      </c>
      <c r="AK20" s="407">
        <v>0</v>
      </c>
      <c r="AL20" s="407">
        <v>208.22772099303054</v>
      </c>
      <c r="AM20" s="407"/>
      <c r="AN20" s="407">
        <v>50.501365771823131</v>
      </c>
      <c r="AO20" s="407">
        <v>0</v>
      </c>
      <c r="AP20" s="407">
        <v>0</v>
      </c>
      <c r="AQ20" s="407">
        <v>0</v>
      </c>
      <c r="AR20" s="407">
        <v>0</v>
      </c>
      <c r="AS20" s="407">
        <v>0</v>
      </c>
      <c r="AT20" s="407">
        <v>0</v>
      </c>
      <c r="AU20" s="407">
        <v>0</v>
      </c>
      <c r="AV20" s="407">
        <v>0</v>
      </c>
      <c r="AW20" s="407">
        <v>0</v>
      </c>
      <c r="AX20" s="407">
        <v>0</v>
      </c>
      <c r="AY20" s="407">
        <v>0</v>
      </c>
      <c r="AZ20" s="407">
        <v>0</v>
      </c>
      <c r="BA20" s="407"/>
      <c r="BB20" s="407">
        <v>0</v>
      </c>
      <c r="BC20" s="407">
        <v>0</v>
      </c>
      <c r="BD20" s="407">
        <v>0</v>
      </c>
      <c r="BE20" s="407">
        <v>0</v>
      </c>
      <c r="BF20" s="407">
        <v>0</v>
      </c>
      <c r="BG20" s="407">
        <v>665.73880835808711</v>
      </c>
      <c r="BH20" s="407">
        <v>0</v>
      </c>
      <c r="BI20" s="407">
        <v>73.290000000000006</v>
      </c>
      <c r="BJ20" s="407">
        <v>338.98</v>
      </c>
      <c r="BK20" s="407">
        <v>3679.49</v>
      </c>
      <c r="BL20" s="407">
        <v>35</v>
      </c>
      <c r="BM20" s="407"/>
      <c r="BN20" s="407"/>
      <c r="BO20" s="407"/>
      <c r="BP20" s="407"/>
      <c r="BQ20" s="407"/>
      <c r="BR20" s="407"/>
      <c r="BS20" s="407"/>
      <c r="BT20" s="407"/>
      <c r="BU20" s="407"/>
      <c r="BV20" s="407">
        <v>3484.2177583720663</v>
      </c>
      <c r="BW20" s="407"/>
      <c r="BX20" s="407"/>
      <c r="BY20" s="407"/>
      <c r="BZ20" s="407"/>
      <c r="CA20" s="407"/>
      <c r="CB20" s="407"/>
      <c r="CC20" s="407"/>
      <c r="CD20" s="407"/>
      <c r="CE20" s="407"/>
      <c r="CF20" s="407"/>
      <c r="CG20" s="407"/>
      <c r="CH20" s="407"/>
      <c r="CI20" s="407">
        <v>15181.903199999999</v>
      </c>
      <c r="CJ20" s="407">
        <v>-3300.798929999999</v>
      </c>
      <c r="CK20" s="407"/>
      <c r="CL20" s="407"/>
      <c r="CM20" s="407"/>
      <c r="CN20" s="407"/>
      <c r="CO20" s="407">
        <v>-3388.2159900000011</v>
      </c>
      <c r="CP20" s="407">
        <v>88.58343000000032</v>
      </c>
      <c r="CQ20" s="407">
        <v>31</v>
      </c>
      <c r="CR20" s="407">
        <v>-52.623457660157328</v>
      </c>
      <c r="CS20" s="407">
        <v>0</v>
      </c>
      <c r="CT20" s="407">
        <v>0</v>
      </c>
      <c r="CU20" s="407">
        <v>0</v>
      </c>
      <c r="CV20" s="407">
        <v>0</v>
      </c>
      <c r="CW20" s="407">
        <v>0</v>
      </c>
      <c r="CX20" s="407">
        <v>0</v>
      </c>
      <c r="CY20" s="407">
        <v>0</v>
      </c>
      <c r="CZ20" s="407">
        <v>-126.45789101357332</v>
      </c>
      <c r="DA20" s="407">
        <v>0</v>
      </c>
      <c r="DB20" s="407">
        <v>0</v>
      </c>
      <c r="DC20" s="407">
        <v>88.686856517602337</v>
      </c>
      <c r="DD20" s="407">
        <v>0</v>
      </c>
      <c r="DE20" s="407">
        <v>0</v>
      </c>
      <c r="DF20" s="407">
        <v>0</v>
      </c>
      <c r="DG20" s="407">
        <v>20.948278565198734</v>
      </c>
      <c r="DH20" s="407">
        <v>0</v>
      </c>
      <c r="DI20" s="407">
        <v>-30.663083056755795</v>
      </c>
      <c r="DJ20" s="407"/>
      <c r="DK20" s="407">
        <v>0</v>
      </c>
      <c r="DL20" s="407">
        <v>0</v>
      </c>
      <c r="DM20" s="407">
        <v>0</v>
      </c>
      <c r="DN20" s="407">
        <v>0</v>
      </c>
      <c r="DO20" s="407">
        <v>-3.9734081282090301</v>
      </c>
      <c r="DP20" s="407">
        <v>-1.1642105444201647</v>
      </c>
      <c r="DQ20" s="407">
        <v>0</v>
      </c>
      <c r="DR20" s="407">
        <v>0</v>
      </c>
      <c r="DS20" s="407"/>
      <c r="DT20" s="407"/>
      <c r="DU20" s="407"/>
      <c r="DV20" s="407">
        <v>10982.421678910585</v>
      </c>
      <c r="DW20" s="407">
        <v>0</v>
      </c>
      <c r="DX20" s="407">
        <v>0</v>
      </c>
      <c r="DY20" s="407">
        <v>-3388.2159900000006</v>
      </c>
      <c r="DZ20" s="407">
        <v>88.58343000000059</v>
      </c>
      <c r="EA20" s="407">
        <v>0</v>
      </c>
      <c r="EB20" s="407">
        <v>0</v>
      </c>
      <c r="EC20" s="407">
        <v>-3246.5772090498785</v>
      </c>
      <c r="ED20" s="407">
        <v>0</v>
      </c>
      <c r="EE20" s="407">
        <v>0</v>
      </c>
      <c r="EF20" s="407">
        <v>0</v>
      </c>
      <c r="EG20" s="407">
        <v>0</v>
      </c>
      <c r="EH20" s="407">
        <v>0</v>
      </c>
      <c r="EI20" s="407">
        <v>0</v>
      </c>
      <c r="EJ20" s="407">
        <v>0</v>
      </c>
      <c r="EK20" s="407">
        <v>0</v>
      </c>
      <c r="EL20" s="407">
        <v>0</v>
      </c>
      <c r="EM20" s="407">
        <v>0</v>
      </c>
      <c r="EN20" s="407">
        <v>0</v>
      </c>
      <c r="EO20" s="407">
        <v>0</v>
      </c>
      <c r="EP20" s="407">
        <v>0</v>
      </c>
      <c r="EQ20" s="407">
        <v>0</v>
      </c>
      <c r="ER20" s="407">
        <v>0</v>
      </c>
      <c r="ES20" s="407">
        <v>0</v>
      </c>
      <c r="ET20" s="407">
        <v>0</v>
      </c>
      <c r="EU20" s="407">
        <v>0</v>
      </c>
      <c r="EV20" s="407">
        <v>207</v>
      </c>
      <c r="EW20" s="407">
        <v>0</v>
      </c>
      <c r="EX20" s="407">
        <v>0</v>
      </c>
      <c r="EY20" s="407">
        <v>0</v>
      </c>
      <c r="EZ20" s="407"/>
      <c r="FA20" s="407">
        <v>0</v>
      </c>
      <c r="FB20" s="407"/>
      <c r="FC20" s="407"/>
      <c r="FD20" s="407"/>
      <c r="FE20" s="407"/>
      <c r="FF20" s="407">
        <v>0</v>
      </c>
      <c r="FG20" s="407">
        <v>0</v>
      </c>
      <c r="FH20" s="407">
        <v>0</v>
      </c>
      <c r="FI20" s="407">
        <v>0</v>
      </c>
    </row>
    <row r="21" spans="1:165" customFormat="1">
      <c r="A21" s="407">
        <v>19</v>
      </c>
      <c r="B21" s="407" t="s">
        <v>1092</v>
      </c>
      <c r="C21" s="407" t="s">
        <v>2305</v>
      </c>
      <c r="D21" s="407" t="s">
        <v>1221</v>
      </c>
      <c r="E21" s="407" t="s">
        <v>1054</v>
      </c>
      <c r="F21" s="407" t="s">
        <v>2321</v>
      </c>
      <c r="G21" s="407" t="s">
        <v>96</v>
      </c>
      <c r="H21" s="407" t="s">
        <v>96</v>
      </c>
      <c r="I21" s="407" t="s">
        <v>96</v>
      </c>
      <c r="J21" s="407" t="s">
        <v>2306</v>
      </c>
      <c r="K21" s="815">
        <v>44378</v>
      </c>
      <c r="L21" s="407">
        <v>0</v>
      </c>
      <c r="M21" s="407">
        <v>0</v>
      </c>
      <c r="N21" s="407">
        <v>5.45</v>
      </c>
      <c r="O21" s="407">
        <v>5.1230000000000002</v>
      </c>
      <c r="P21" s="407">
        <v>5.45</v>
      </c>
      <c r="Q21" s="407">
        <v>5.1230000000000002</v>
      </c>
      <c r="R21" s="407"/>
      <c r="S21" s="407">
        <v>710.52</v>
      </c>
      <c r="T21" s="407">
        <v>127.85</v>
      </c>
      <c r="U21" s="407"/>
      <c r="V21" s="407">
        <v>4569.1165000000001</v>
      </c>
      <c r="W21" s="407">
        <v>4569.1165000000001</v>
      </c>
      <c r="X21" s="407">
        <v>3753.4695000000002</v>
      </c>
      <c r="Y21" s="407">
        <v>0</v>
      </c>
      <c r="Z21" s="407">
        <v>332.85916772246253</v>
      </c>
      <c r="AA21" s="407">
        <v>0</v>
      </c>
      <c r="AB21" s="407">
        <v>0</v>
      </c>
      <c r="AC21" s="407">
        <v>0</v>
      </c>
      <c r="AD21" s="407">
        <v>595.91637749558572</v>
      </c>
      <c r="AE21" s="407">
        <v>2715.0117211360389</v>
      </c>
      <c r="AF21" s="407">
        <v>696.76830928442462</v>
      </c>
      <c r="AG21" s="407">
        <v>0</v>
      </c>
      <c r="AH21" s="407">
        <v>0</v>
      </c>
      <c r="AI21" s="407">
        <v>0</v>
      </c>
      <c r="AJ21" s="407">
        <v>0</v>
      </c>
      <c r="AK21" s="407">
        <v>0</v>
      </c>
      <c r="AL21" s="407">
        <v>51.476870920658577</v>
      </c>
      <c r="AM21" s="407"/>
      <c r="AN21" s="407">
        <v>12.484659942275925</v>
      </c>
      <c r="AO21" s="407">
        <v>0</v>
      </c>
      <c r="AP21" s="407">
        <v>0</v>
      </c>
      <c r="AQ21" s="407">
        <v>0</v>
      </c>
      <c r="AR21" s="407">
        <v>0</v>
      </c>
      <c r="AS21" s="407">
        <v>0</v>
      </c>
      <c r="AT21" s="407">
        <v>0</v>
      </c>
      <c r="AU21" s="407">
        <v>0</v>
      </c>
      <c r="AV21" s="407">
        <v>0</v>
      </c>
      <c r="AW21" s="407">
        <v>0</v>
      </c>
      <c r="AX21" s="407">
        <v>0</v>
      </c>
      <c r="AY21" s="407">
        <v>0</v>
      </c>
      <c r="AZ21" s="407">
        <v>0</v>
      </c>
      <c r="BA21" s="407"/>
      <c r="BB21" s="407">
        <v>0</v>
      </c>
      <c r="BC21" s="407">
        <v>0</v>
      </c>
      <c r="BD21" s="407">
        <v>0</v>
      </c>
      <c r="BE21" s="407">
        <v>0</v>
      </c>
      <c r="BF21" s="407">
        <v>0</v>
      </c>
      <c r="BG21" s="407">
        <v>164.58015552054775</v>
      </c>
      <c r="BH21" s="407">
        <v>0</v>
      </c>
      <c r="BI21" s="407">
        <v>16.38</v>
      </c>
      <c r="BJ21" s="407">
        <v>75.599999999999994</v>
      </c>
      <c r="BK21" s="407">
        <v>755.62</v>
      </c>
      <c r="BL21" s="407">
        <v>1</v>
      </c>
      <c r="BM21" s="407"/>
      <c r="BN21" s="407"/>
      <c r="BO21" s="407"/>
      <c r="BP21" s="407"/>
      <c r="BQ21" s="407">
        <v>225.20816999999997</v>
      </c>
      <c r="BR21" s="407"/>
      <c r="BS21" s="407"/>
      <c r="BT21" s="407"/>
      <c r="BU21" s="407"/>
      <c r="BV21" s="407">
        <v>861.34846480497231</v>
      </c>
      <c r="BW21" s="407"/>
      <c r="BX21" s="407"/>
      <c r="BY21" s="407"/>
      <c r="BZ21" s="407"/>
      <c r="CA21" s="407"/>
      <c r="CB21" s="407"/>
      <c r="CC21" s="407"/>
      <c r="CD21" s="407"/>
      <c r="CE21" s="407"/>
      <c r="CF21" s="407"/>
      <c r="CG21" s="407"/>
      <c r="CH21" s="407"/>
      <c r="CI21" s="407">
        <v>3526.1952000000001</v>
      </c>
      <c r="CJ21" s="407">
        <v>-768.80431000000044</v>
      </c>
      <c r="CK21" s="407"/>
      <c r="CL21" s="407"/>
      <c r="CM21" s="407"/>
      <c r="CN21" s="407"/>
      <c r="CO21" s="407">
        <v>-837.5559999999997</v>
      </c>
      <c r="CP21" s="407">
        <v>21.909000000000056</v>
      </c>
      <c r="CQ21" s="407">
        <v>31</v>
      </c>
      <c r="CR21" s="407">
        <v>-13.009271409453049</v>
      </c>
      <c r="CS21" s="407">
        <v>0</v>
      </c>
      <c r="CT21" s="407">
        <v>0</v>
      </c>
      <c r="CU21" s="407">
        <v>0</v>
      </c>
      <c r="CV21" s="407">
        <v>0</v>
      </c>
      <c r="CW21" s="407">
        <v>0</v>
      </c>
      <c r="CX21" s="407">
        <v>0</v>
      </c>
      <c r="CY21" s="407">
        <v>0</v>
      </c>
      <c r="CZ21" s="407">
        <v>-31.262199391896957</v>
      </c>
      <c r="DA21" s="407">
        <v>0</v>
      </c>
      <c r="DB21" s="407">
        <v>0</v>
      </c>
      <c r="DC21" s="407">
        <v>21.924659423556818</v>
      </c>
      <c r="DD21" s="407">
        <v>0</v>
      </c>
      <c r="DE21" s="407">
        <v>0</v>
      </c>
      <c r="DF21" s="407">
        <v>0</v>
      </c>
      <c r="DG21" s="407">
        <v>5.1787140855613245</v>
      </c>
      <c r="DH21" s="407">
        <v>0</v>
      </c>
      <c r="DI21" s="407">
        <v>-7.5803527071916506</v>
      </c>
      <c r="DJ21" s="407"/>
      <c r="DK21" s="407">
        <v>0</v>
      </c>
      <c r="DL21" s="407">
        <v>0</v>
      </c>
      <c r="DM21" s="407">
        <v>0</v>
      </c>
      <c r="DN21" s="407">
        <v>0</v>
      </c>
      <c r="DO21" s="407">
        <v>-0.98228332114219796</v>
      </c>
      <c r="DP21" s="407">
        <v>-0.28780949834049174</v>
      </c>
      <c r="DQ21" s="407">
        <v>0</v>
      </c>
      <c r="DR21" s="407">
        <v>0</v>
      </c>
      <c r="DS21" s="407"/>
      <c r="DT21" s="407"/>
      <c r="DU21" s="407"/>
      <c r="DV21" s="407">
        <v>2715.0117211360389</v>
      </c>
      <c r="DW21" s="407">
        <v>0</v>
      </c>
      <c r="DX21" s="407">
        <v>0</v>
      </c>
      <c r="DY21" s="407">
        <v>-837.55599999999959</v>
      </c>
      <c r="DZ21" s="407">
        <v>21.908999999999992</v>
      </c>
      <c r="EA21" s="407">
        <v>0</v>
      </c>
      <c r="EB21" s="407">
        <v>0</v>
      </c>
      <c r="EC21" s="407">
        <v>-802.60032202823436</v>
      </c>
      <c r="ED21" s="407">
        <v>0</v>
      </c>
      <c r="EE21" s="407">
        <v>0</v>
      </c>
      <c r="EF21" s="407">
        <v>0</v>
      </c>
      <c r="EG21" s="407">
        <v>0</v>
      </c>
      <c r="EH21" s="407">
        <v>0</v>
      </c>
      <c r="EI21" s="407">
        <v>0</v>
      </c>
      <c r="EJ21" s="407">
        <v>0</v>
      </c>
      <c r="EK21" s="407">
        <v>0</v>
      </c>
      <c r="EL21" s="407">
        <v>0</v>
      </c>
      <c r="EM21" s="407">
        <v>0</v>
      </c>
      <c r="EN21" s="407">
        <v>0</v>
      </c>
      <c r="EO21" s="407">
        <v>0</v>
      </c>
      <c r="EP21" s="407">
        <v>0</v>
      </c>
      <c r="EQ21" s="407">
        <v>0</v>
      </c>
      <c r="ER21" s="407">
        <v>0</v>
      </c>
      <c r="ES21" s="407">
        <v>0</v>
      </c>
      <c r="ET21" s="407">
        <v>0</v>
      </c>
      <c r="EU21" s="407">
        <v>0</v>
      </c>
      <c r="EV21" s="407">
        <v>207</v>
      </c>
      <c r="EW21" s="407">
        <v>0</v>
      </c>
      <c r="EX21" s="407">
        <v>0</v>
      </c>
      <c r="EY21" s="407">
        <v>0</v>
      </c>
      <c r="EZ21" s="407"/>
      <c r="FA21" s="407">
        <v>0</v>
      </c>
      <c r="FB21" s="407"/>
      <c r="FC21" s="407"/>
      <c r="FD21" s="407"/>
      <c r="FE21" s="407"/>
      <c r="FF21" s="407">
        <v>0</v>
      </c>
      <c r="FG21" s="407">
        <v>0</v>
      </c>
      <c r="FH21" s="407">
        <v>0</v>
      </c>
      <c r="FI21" s="407">
        <v>0</v>
      </c>
    </row>
    <row r="22" spans="1:165" customFormat="1">
      <c r="A22" s="407">
        <v>20</v>
      </c>
      <c r="B22" s="407" t="s">
        <v>1092</v>
      </c>
      <c r="C22" s="407" t="s">
        <v>2305</v>
      </c>
      <c r="D22" s="407" t="s">
        <v>1220</v>
      </c>
      <c r="E22" s="407" t="s">
        <v>1023</v>
      </c>
      <c r="F22" s="407" t="s">
        <v>1023</v>
      </c>
      <c r="G22" s="407" t="s">
        <v>96</v>
      </c>
      <c r="H22" s="407" t="s">
        <v>96</v>
      </c>
      <c r="I22" s="407" t="s">
        <v>96</v>
      </c>
      <c r="J22" s="407" t="s">
        <v>2306</v>
      </c>
      <c r="K22" s="815">
        <v>44409</v>
      </c>
      <c r="L22" s="407">
        <v>0</v>
      </c>
      <c r="M22" s="407">
        <v>0</v>
      </c>
      <c r="N22" s="407">
        <v>1058.614</v>
      </c>
      <c r="O22" s="407">
        <v>1058.614</v>
      </c>
      <c r="P22" s="407">
        <v>1058.614</v>
      </c>
      <c r="Q22" s="407">
        <v>1058.614</v>
      </c>
      <c r="R22" s="407"/>
      <c r="S22" s="407">
        <v>710.52</v>
      </c>
      <c r="T22" s="407">
        <v>127.85</v>
      </c>
      <c r="U22" s="407"/>
      <c r="V22" s="407">
        <v>887510.21918000001</v>
      </c>
      <c r="W22" s="407">
        <v>887510.21918000001</v>
      </c>
      <c r="X22" s="407">
        <v>729078.04794000008</v>
      </c>
      <c r="Y22" s="407">
        <v>0</v>
      </c>
      <c r="Z22" s="407">
        <v>64654.931188871007</v>
      </c>
      <c r="AA22" s="407">
        <v>0</v>
      </c>
      <c r="AB22" s="407">
        <v>0</v>
      </c>
      <c r="AC22" s="407">
        <v>0</v>
      </c>
      <c r="AD22" s="407">
        <v>115751.45321947009</v>
      </c>
      <c r="AE22" s="407">
        <v>527366.86571719393</v>
      </c>
      <c r="AF22" s="407">
        <v>135341.04347978384</v>
      </c>
      <c r="AG22" s="407">
        <v>0</v>
      </c>
      <c r="AH22" s="407">
        <v>0</v>
      </c>
      <c r="AI22" s="407">
        <v>0</v>
      </c>
      <c r="AJ22" s="407">
        <v>0</v>
      </c>
      <c r="AK22" s="407">
        <v>0</v>
      </c>
      <c r="AL22" s="407">
        <v>9998.924079413222</v>
      </c>
      <c r="AM22" s="407"/>
      <c r="AN22" s="407">
        <v>2425.0340917674289</v>
      </c>
      <c r="AO22" s="407">
        <v>0</v>
      </c>
      <c r="AP22" s="407">
        <v>0</v>
      </c>
      <c r="AQ22" s="407">
        <v>0</v>
      </c>
      <c r="AR22" s="407">
        <v>0</v>
      </c>
      <c r="AS22" s="407">
        <v>0</v>
      </c>
      <c r="AT22" s="407">
        <v>0</v>
      </c>
      <c r="AU22" s="407">
        <v>0</v>
      </c>
      <c r="AV22" s="407">
        <v>0</v>
      </c>
      <c r="AW22" s="407">
        <v>0</v>
      </c>
      <c r="AX22" s="407">
        <v>0</v>
      </c>
      <c r="AY22" s="407">
        <v>0</v>
      </c>
      <c r="AZ22" s="407">
        <v>0</v>
      </c>
      <c r="BA22" s="407"/>
      <c r="BB22" s="407">
        <v>0</v>
      </c>
      <c r="BC22" s="407">
        <v>0</v>
      </c>
      <c r="BD22" s="407">
        <v>0</v>
      </c>
      <c r="BE22" s="407">
        <v>0</v>
      </c>
      <c r="BF22" s="407">
        <v>0</v>
      </c>
      <c r="BG22" s="407">
        <v>31968.230597473234</v>
      </c>
      <c r="BH22" s="407">
        <v>0</v>
      </c>
      <c r="BI22" s="407">
        <v>5241.2700000000004</v>
      </c>
      <c r="BJ22" s="407">
        <v>24318.92</v>
      </c>
      <c r="BK22" s="407">
        <v>200493.48</v>
      </c>
      <c r="BL22" s="407">
        <v>6049</v>
      </c>
      <c r="BM22" s="407"/>
      <c r="BN22" s="407"/>
      <c r="BO22" s="407"/>
      <c r="BP22" s="407"/>
      <c r="BQ22" s="407"/>
      <c r="BR22" s="407"/>
      <c r="BS22" s="407"/>
      <c r="BT22" s="407"/>
      <c r="BU22" s="407"/>
      <c r="BV22" s="407">
        <v>167309.27407725708</v>
      </c>
      <c r="BW22" s="407"/>
      <c r="BX22" s="407"/>
      <c r="BY22" s="407"/>
      <c r="BZ22" s="407"/>
      <c r="CA22" s="407"/>
      <c r="CB22" s="407"/>
      <c r="CC22" s="407"/>
      <c r="CD22" s="407"/>
      <c r="CE22" s="407"/>
      <c r="CF22" s="407"/>
      <c r="CG22" s="407"/>
      <c r="CH22" s="407"/>
      <c r="CI22" s="407">
        <v>729075.29310000001</v>
      </c>
      <c r="CJ22" s="407">
        <v>-158434.95608000003</v>
      </c>
      <c r="CK22" s="407"/>
      <c r="CL22" s="407"/>
      <c r="CM22" s="407"/>
      <c r="CN22" s="407"/>
      <c r="CO22" s="407">
        <v>-162687.79951999994</v>
      </c>
      <c r="CP22" s="407">
        <v>4255.6282800000108</v>
      </c>
      <c r="CQ22" s="407">
        <v>31</v>
      </c>
      <c r="CR22" s="407">
        <v>-2526.9352007059497</v>
      </c>
      <c r="CS22" s="407">
        <v>0</v>
      </c>
      <c r="CT22" s="407">
        <v>0</v>
      </c>
      <c r="CU22" s="407">
        <v>0</v>
      </c>
      <c r="CV22" s="407">
        <v>0</v>
      </c>
      <c r="CW22" s="407">
        <v>0</v>
      </c>
      <c r="CX22" s="407">
        <v>0</v>
      </c>
      <c r="CY22" s="407">
        <v>0</v>
      </c>
      <c r="CZ22" s="407">
        <v>-6072.4040269823163</v>
      </c>
      <c r="DA22" s="407">
        <v>0</v>
      </c>
      <c r="DB22" s="407">
        <v>0</v>
      </c>
      <c r="DC22" s="407">
        <v>4258.669983671396</v>
      </c>
      <c r="DD22" s="407">
        <v>0</v>
      </c>
      <c r="DE22" s="407">
        <v>0</v>
      </c>
      <c r="DF22" s="407">
        <v>0</v>
      </c>
      <c r="DG22" s="407">
        <v>1005.9191253160425</v>
      </c>
      <c r="DH22" s="407">
        <v>0</v>
      </c>
      <c r="DI22" s="407">
        <v>-1472.4160551873429</v>
      </c>
      <c r="DJ22" s="407"/>
      <c r="DK22" s="407">
        <v>0</v>
      </c>
      <c r="DL22" s="407">
        <v>0</v>
      </c>
      <c r="DM22" s="407">
        <v>0</v>
      </c>
      <c r="DN22" s="407">
        <v>0</v>
      </c>
      <c r="DO22" s="407">
        <v>-190.79979371149057</v>
      </c>
      <c r="DP22" s="407">
        <v>-55.904433812150728</v>
      </c>
      <c r="DQ22" s="407">
        <v>0</v>
      </c>
      <c r="DR22" s="407">
        <v>0</v>
      </c>
      <c r="DS22" s="407"/>
      <c r="DT22" s="407"/>
      <c r="DU22" s="407"/>
      <c r="DV22" s="407">
        <v>527366.86571719393</v>
      </c>
      <c r="DW22" s="407">
        <v>0</v>
      </c>
      <c r="DX22" s="407">
        <v>0</v>
      </c>
      <c r="DY22" s="407">
        <v>-162687.79952</v>
      </c>
      <c r="DZ22" s="407">
        <v>4255.6282800000045</v>
      </c>
      <c r="EA22" s="407">
        <v>0</v>
      </c>
      <c r="EB22" s="407">
        <v>0</v>
      </c>
      <c r="EC22" s="407">
        <v>-155897.97014744906</v>
      </c>
      <c r="ED22" s="407">
        <v>0</v>
      </c>
      <c r="EE22" s="407">
        <v>0</v>
      </c>
      <c r="EF22" s="407">
        <v>0</v>
      </c>
      <c r="EG22" s="407">
        <v>0</v>
      </c>
      <c r="EH22" s="407">
        <v>0</v>
      </c>
      <c r="EI22" s="407">
        <v>0</v>
      </c>
      <c r="EJ22" s="407">
        <v>0</v>
      </c>
      <c r="EK22" s="407">
        <v>0</v>
      </c>
      <c r="EL22" s="407">
        <v>0</v>
      </c>
      <c r="EM22" s="407">
        <v>0</v>
      </c>
      <c r="EN22" s="407">
        <v>0</v>
      </c>
      <c r="EO22" s="407">
        <v>0</v>
      </c>
      <c r="EP22" s="407">
        <v>0</v>
      </c>
      <c r="EQ22" s="407">
        <v>0</v>
      </c>
      <c r="ER22" s="407">
        <v>0</v>
      </c>
      <c r="ES22" s="407">
        <v>0</v>
      </c>
      <c r="ET22" s="407">
        <v>0</v>
      </c>
      <c r="EU22" s="407">
        <v>0</v>
      </c>
      <c r="EV22" s="407">
        <v>207</v>
      </c>
      <c r="EW22" s="407">
        <v>0</v>
      </c>
      <c r="EX22" s="407">
        <v>0</v>
      </c>
      <c r="EY22" s="407">
        <v>0</v>
      </c>
      <c r="EZ22" s="407"/>
      <c r="FA22" s="407">
        <v>0</v>
      </c>
      <c r="FB22" s="407"/>
      <c r="FC22" s="407"/>
      <c r="FD22" s="407"/>
      <c r="FE22" s="407"/>
      <c r="FF22" s="407">
        <v>0</v>
      </c>
      <c r="FG22" s="407">
        <v>0</v>
      </c>
      <c r="FH22" s="407">
        <v>0</v>
      </c>
      <c r="FI22" s="407">
        <v>0</v>
      </c>
    </row>
    <row r="23" spans="1:165" customFormat="1">
      <c r="A23" s="407">
        <v>21</v>
      </c>
      <c r="B23" s="407" t="s">
        <v>2308</v>
      </c>
      <c r="C23" s="407" t="s">
        <v>2305</v>
      </c>
      <c r="D23" s="407" t="s">
        <v>1220</v>
      </c>
      <c r="E23" s="407" t="s">
        <v>1023</v>
      </c>
      <c r="F23" s="407" t="s">
        <v>1023</v>
      </c>
      <c r="G23" s="407" t="s">
        <v>96</v>
      </c>
      <c r="H23" s="407" t="s">
        <v>96</v>
      </c>
      <c r="I23" s="407" t="s">
        <v>96</v>
      </c>
      <c r="J23" s="407" t="s">
        <v>2306</v>
      </c>
      <c r="K23" s="815">
        <v>44409</v>
      </c>
      <c r="L23" s="407">
        <v>0</v>
      </c>
      <c r="M23" s="407">
        <v>0</v>
      </c>
      <c r="N23" s="407">
        <v>1.0389999999999999</v>
      </c>
      <c r="O23" s="407">
        <v>1.0389999999999999</v>
      </c>
      <c r="P23" s="407">
        <v>1.0389999999999999</v>
      </c>
      <c r="Q23" s="407">
        <v>1.0389999999999999</v>
      </c>
      <c r="R23" s="407"/>
      <c r="S23" s="407">
        <v>710.52</v>
      </c>
      <c r="T23" s="407">
        <v>127.85</v>
      </c>
      <c r="U23" s="407"/>
      <c r="V23" s="407">
        <v>871.06642999999985</v>
      </c>
      <c r="W23" s="407">
        <v>871.06642999999985</v>
      </c>
      <c r="X23" s="407">
        <v>715.56968999999992</v>
      </c>
      <c r="Y23" s="407">
        <v>0</v>
      </c>
      <c r="Z23" s="407">
        <v>63.457004635530012</v>
      </c>
      <c r="AA23" s="407">
        <v>0</v>
      </c>
      <c r="AB23" s="407">
        <v>0</v>
      </c>
      <c r="AC23" s="407">
        <v>0</v>
      </c>
      <c r="AD23" s="407">
        <v>113.60681031521348</v>
      </c>
      <c r="AE23" s="407">
        <v>517.59581252483383</v>
      </c>
      <c r="AF23" s="407">
        <v>132.83344465073708</v>
      </c>
      <c r="AG23" s="407">
        <v>0</v>
      </c>
      <c r="AH23" s="407">
        <v>0</v>
      </c>
      <c r="AI23" s="407">
        <v>0</v>
      </c>
      <c r="AJ23" s="407">
        <v>0</v>
      </c>
      <c r="AK23" s="407">
        <v>0</v>
      </c>
      <c r="AL23" s="407">
        <v>9.813664015883349</v>
      </c>
      <c r="AM23" s="407"/>
      <c r="AN23" s="407">
        <v>2.3801030605549882</v>
      </c>
      <c r="AO23" s="407">
        <v>0</v>
      </c>
      <c r="AP23" s="407">
        <v>0</v>
      </c>
      <c r="AQ23" s="407">
        <v>0</v>
      </c>
      <c r="AR23" s="407">
        <v>0</v>
      </c>
      <c r="AS23" s="407">
        <v>0</v>
      </c>
      <c r="AT23" s="407">
        <v>0</v>
      </c>
      <c r="AU23" s="407">
        <v>0</v>
      </c>
      <c r="AV23" s="407">
        <v>0</v>
      </c>
      <c r="AW23" s="407">
        <v>0</v>
      </c>
      <c r="AX23" s="407">
        <v>0</v>
      </c>
      <c r="AY23" s="407">
        <v>0</v>
      </c>
      <c r="AZ23" s="407">
        <v>0</v>
      </c>
      <c r="BA23" s="407"/>
      <c r="BB23" s="407">
        <v>0</v>
      </c>
      <c r="BC23" s="407">
        <v>0</v>
      </c>
      <c r="BD23" s="407">
        <v>0</v>
      </c>
      <c r="BE23" s="407">
        <v>0</v>
      </c>
      <c r="BF23" s="407">
        <v>0</v>
      </c>
      <c r="BG23" s="407">
        <v>31.375923226761302</v>
      </c>
      <c r="BH23" s="407">
        <v>0</v>
      </c>
      <c r="BI23" s="407">
        <v>3.67</v>
      </c>
      <c r="BJ23" s="407">
        <v>17.170000000000002</v>
      </c>
      <c r="BK23" s="407">
        <v>503.34</v>
      </c>
      <c r="BL23" s="407">
        <v>9</v>
      </c>
      <c r="BM23" s="407"/>
      <c r="BN23" s="407"/>
      <c r="BO23" s="407"/>
      <c r="BP23" s="407"/>
      <c r="BQ23" s="407"/>
      <c r="BR23" s="407"/>
      <c r="BS23" s="407"/>
      <c r="BT23" s="407"/>
      <c r="BU23" s="407"/>
      <c r="BV23" s="407">
        <v>164.20936787749838</v>
      </c>
      <c r="BW23" s="407"/>
      <c r="BX23" s="407"/>
      <c r="BY23" s="407"/>
      <c r="BZ23" s="407"/>
      <c r="CA23" s="407"/>
      <c r="CB23" s="407"/>
      <c r="CC23" s="407"/>
      <c r="CD23" s="407"/>
      <c r="CE23" s="407"/>
      <c r="CF23" s="407"/>
      <c r="CG23" s="407"/>
      <c r="CH23" s="407"/>
      <c r="CI23" s="407">
        <v>716.25840000000005</v>
      </c>
      <c r="CJ23" s="407">
        <v>-154.83802999999978</v>
      </c>
      <c r="CK23" s="407"/>
      <c r="CL23" s="407"/>
      <c r="CM23" s="407"/>
      <c r="CN23" s="407"/>
      <c r="CO23" s="407">
        <v>-159.67351999999994</v>
      </c>
      <c r="CP23" s="407">
        <v>4.1767800000000106</v>
      </c>
      <c r="CQ23" s="407">
        <v>31</v>
      </c>
      <c r="CR23" s="407">
        <v>-2.4801161457655212</v>
      </c>
      <c r="CS23" s="407">
        <v>0</v>
      </c>
      <c r="CT23" s="407">
        <v>0</v>
      </c>
      <c r="CU23" s="407">
        <v>0</v>
      </c>
      <c r="CV23" s="407">
        <v>0</v>
      </c>
      <c r="CW23" s="407">
        <v>0</v>
      </c>
      <c r="CX23" s="407">
        <v>0</v>
      </c>
      <c r="CY23" s="407">
        <v>0</v>
      </c>
      <c r="CZ23" s="407">
        <v>-5.9598945262717251</v>
      </c>
      <c r="DA23" s="407">
        <v>0</v>
      </c>
      <c r="DB23" s="407">
        <v>0</v>
      </c>
      <c r="DC23" s="407">
        <v>4.1797653469863292</v>
      </c>
      <c r="DD23" s="407">
        <v>0</v>
      </c>
      <c r="DE23" s="407">
        <v>0</v>
      </c>
      <c r="DF23" s="407">
        <v>0</v>
      </c>
      <c r="DG23" s="407">
        <v>0.98728145594462546</v>
      </c>
      <c r="DH23" s="407">
        <v>0</v>
      </c>
      <c r="DI23" s="407">
        <v>-1.445135130783882</v>
      </c>
      <c r="DJ23" s="407"/>
      <c r="DK23" s="407">
        <v>0</v>
      </c>
      <c r="DL23" s="407">
        <v>0</v>
      </c>
      <c r="DM23" s="407">
        <v>0</v>
      </c>
      <c r="DN23" s="407">
        <v>0</v>
      </c>
      <c r="DO23" s="407">
        <v>-0.18726465516820845</v>
      </c>
      <c r="DP23" s="407">
        <v>-5.4868636472618526E-2</v>
      </c>
      <c r="DQ23" s="407">
        <v>0</v>
      </c>
      <c r="DR23" s="407">
        <v>0</v>
      </c>
      <c r="DS23" s="407"/>
      <c r="DT23" s="407"/>
      <c r="DU23" s="407"/>
      <c r="DV23" s="407">
        <v>517.59581252483383</v>
      </c>
      <c r="DW23" s="407">
        <v>0</v>
      </c>
      <c r="DX23" s="407">
        <v>0</v>
      </c>
      <c r="DY23" s="407">
        <v>-159.67351999999994</v>
      </c>
      <c r="DZ23" s="407">
        <v>4.1767800000000079</v>
      </c>
      <c r="EA23" s="407">
        <v>0</v>
      </c>
      <c r="EB23" s="407">
        <v>0</v>
      </c>
      <c r="EC23" s="407">
        <v>-153.00949258483223</v>
      </c>
      <c r="ED23" s="407">
        <v>0</v>
      </c>
      <c r="EE23" s="407">
        <v>0</v>
      </c>
      <c r="EF23" s="407">
        <v>0</v>
      </c>
      <c r="EG23" s="407">
        <v>0</v>
      </c>
      <c r="EH23" s="407">
        <v>0</v>
      </c>
      <c r="EI23" s="407">
        <v>0</v>
      </c>
      <c r="EJ23" s="407">
        <v>0</v>
      </c>
      <c r="EK23" s="407">
        <v>0</v>
      </c>
      <c r="EL23" s="407">
        <v>0</v>
      </c>
      <c r="EM23" s="407">
        <v>0</v>
      </c>
      <c r="EN23" s="407">
        <v>0</v>
      </c>
      <c r="EO23" s="407">
        <v>0</v>
      </c>
      <c r="EP23" s="407">
        <v>0</v>
      </c>
      <c r="EQ23" s="407">
        <v>0</v>
      </c>
      <c r="ER23" s="407">
        <v>0</v>
      </c>
      <c r="ES23" s="407">
        <v>0</v>
      </c>
      <c r="ET23" s="407">
        <v>0</v>
      </c>
      <c r="EU23" s="407">
        <v>0</v>
      </c>
      <c r="EV23" s="407">
        <v>207</v>
      </c>
      <c r="EW23" s="407">
        <v>0</v>
      </c>
      <c r="EX23" s="407">
        <v>0</v>
      </c>
      <c r="EY23" s="407">
        <v>0</v>
      </c>
      <c r="EZ23" s="407"/>
      <c r="FA23" s="407">
        <v>0</v>
      </c>
      <c r="FB23" s="407"/>
      <c r="FC23" s="407"/>
      <c r="FD23" s="407"/>
      <c r="FE23" s="407"/>
      <c r="FF23" s="407">
        <v>0</v>
      </c>
      <c r="FG23" s="407">
        <v>0</v>
      </c>
      <c r="FH23" s="407">
        <v>0</v>
      </c>
      <c r="FI23" s="407">
        <v>0</v>
      </c>
    </row>
    <row r="24" spans="1:165" customFormat="1">
      <c r="A24" s="407">
        <v>22</v>
      </c>
      <c r="B24" s="407" t="s">
        <v>1092</v>
      </c>
      <c r="C24" s="407" t="s">
        <v>2305</v>
      </c>
      <c r="D24" s="407" t="s">
        <v>1220</v>
      </c>
      <c r="E24" s="407" t="s">
        <v>1023</v>
      </c>
      <c r="F24" s="407" t="s">
        <v>2309</v>
      </c>
      <c r="G24" s="407" t="s">
        <v>96</v>
      </c>
      <c r="H24" s="407" t="s">
        <v>96</v>
      </c>
      <c r="I24" s="407" t="s">
        <v>96</v>
      </c>
      <c r="J24" s="407" t="s">
        <v>2306</v>
      </c>
      <c r="K24" s="815">
        <v>44409</v>
      </c>
      <c r="L24" s="407">
        <v>0</v>
      </c>
      <c r="M24" s="407">
        <v>0</v>
      </c>
      <c r="N24" s="407">
        <v>3.9</v>
      </c>
      <c r="O24" s="407">
        <v>3.9</v>
      </c>
      <c r="P24" s="407">
        <v>3.9</v>
      </c>
      <c r="Q24" s="407">
        <v>3.9</v>
      </c>
      <c r="R24" s="407"/>
      <c r="S24" s="407">
        <v>640</v>
      </c>
      <c r="T24" s="407">
        <v>127.85</v>
      </c>
      <c r="U24" s="407"/>
      <c r="V24" s="407">
        <v>2994.6149999999998</v>
      </c>
      <c r="W24" s="407">
        <v>2994.6149999999998</v>
      </c>
      <c r="X24" s="407">
        <v>2417.0639999999999</v>
      </c>
      <c r="Y24" s="407">
        <v>0</v>
      </c>
      <c r="Z24" s="407">
        <v>0</v>
      </c>
      <c r="AA24" s="407">
        <v>0</v>
      </c>
      <c r="AB24" s="407">
        <v>0</v>
      </c>
      <c r="AC24" s="407">
        <v>0</v>
      </c>
      <c r="AD24" s="407">
        <v>426.43557288674936</v>
      </c>
      <c r="AE24" s="407">
        <v>1942.8524242991837</v>
      </c>
      <c r="AF24" s="407">
        <v>498.60484517601026</v>
      </c>
      <c r="AG24" s="407">
        <v>0</v>
      </c>
      <c r="AH24" s="407">
        <v>0</v>
      </c>
      <c r="AI24" s="407">
        <v>0</v>
      </c>
      <c r="AJ24" s="407">
        <v>0</v>
      </c>
      <c r="AK24" s="407">
        <v>0</v>
      </c>
      <c r="AL24" s="407">
        <v>0</v>
      </c>
      <c r="AM24" s="407"/>
      <c r="AN24" s="407">
        <v>8.9339768394268084</v>
      </c>
      <c r="AO24" s="407">
        <v>0</v>
      </c>
      <c r="AP24" s="407">
        <v>0</v>
      </c>
      <c r="AQ24" s="407">
        <v>0</v>
      </c>
      <c r="AR24" s="407">
        <v>0</v>
      </c>
      <c r="AS24" s="407">
        <v>0</v>
      </c>
      <c r="AT24" s="407">
        <v>0</v>
      </c>
      <c r="AU24" s="407">
        <v>0</v>
      </c>
      <c r="AV24" s="407">
        <v>0</v>
      </c>
      <c r="AW24" s="407">
        <v>0</v>
      </c>
      <c r="AX24" s="407">
        <v>0</v>
      </c>
      <c r="AY24" s="407">
        <v>0</v>
      </c>
      <c r="AZ24" s="407">
        <v>0</v>
      </c>
      <c r="BA24" s="407"/>
      <c r="BB24" s="407">
        <v>0</v>
      </c>
      <c r="BC24" s="407">
        <v>0</v>
      </c>
      <c r="BD24" s="407">
        <v>0</v>
      </c>
      <c r="BE24" s="407">
        <v>0</v>
      </c>
      <c r="BF24" s="407">
        <v>0</v>
      </c>
      <c r="BG24" s="407">
        <v>117.77295532663049</v>
      </c>
      <c r="BH24" s="407">
        <v>0</v>
      </c>
      <c r="BI24" s="407">
        <v>17.899999999999999</v>
      </c>
      <c r="BJ24" s="407">
        <v>83.21</v>
      </c>
      <c r="BK24" s="407">
        <v>523.91</v>
      </c>
      <c r="BL24" s="407">
        <v>1</v>
      </c>
      <c r="BM24" s="407"/>
      <c r="BN24" s="407"/>
      <c r="BO24" s="407"/>
      <c r="BP24" s="407"/>
      <c r="BQ24" s="407"/>
      <c r="BR24" s="407"/>
      <c r="BS24" s="407"/>
      <c r="BT24" s="407">
        <v>1571.115</v>
      </c>
      <c r="BU24" s="407"/>
      <c r="BV24" s="407">
        <v>616.37780050264075</v>
      </c>
      <c r="BW24" s="407"/>
      <c r="BX24" s="407"/>
      <c r="BY24" s="407"/>
      <c r="BZ24" s="407"/>
      <c r="CA24" s="407"/>
      <c r="CB24" s="407"/>
      <c r="CC24" s="407"/>
      <c r="CD24" s="407"/>
      <c r="CE24" s="407"/>
      <c r="CF24" s="407"/>
      <c r="CG24" s="407"/>
      <c r="CH24" s="407"/>
      <c r="CI24" s="407">
        <v>845.94899999999996</v>
      </c>
      <c r="CJ24" s="407">
        <v>-202.20600000000002</v>
      </c>
      <c r="CK24" s="407"/>
      <c r="CL24" s="407"/>
      <c r="CM24" s="407"/>
      <c r="CN24" s="407"/>
      <c r="CO24" s="407">
        <v>-593.22900000000004</v>
      </c>
      <c r="CP24" s="407">
        <v>15.67800000000004</v>
      </c>
      <c r="CQ24" s="407">
        <v>31</v>
      </c>
      <c r="CR24" s="407">
        <v>-3.1819959608008048</v>
      </c>
      <c r="CS24" s="407">
        <v>0</v>
      </c>
      <c r="CT24" s="407">
        <v>0</v>
      </c>
      <c r="CU24" s="407">
        <v>0</v>
      </c>
      <c r="CV24" s="407">
        <v>0</v>
      </c>
      <c r="CW24" s="407">
        <v>0</v>
      </c>
      <c r="CX24" s="407">
        <v>0</v>
      </c>
      <c r="CY24" s="407">
        <v>0</v>
      </c>
      <c r="CZ24" s="407">
        <v>-22.371115161173918</v>
      </c>
      <c r="DA24" s="407">
        <v>0</v>
      </c>
      <c r="DB24" s="407">
        <v>0</v>
      </c>
      <c r="DC24" s="407">
        <v>15.689205826031525</v>
      </c>
      <c r="DD24" s="407">
        <v>0</v>
      </c>
      <c r="DE24" s="407">
        <v>0</v>
      </c>
      <c r="DF24" s="407">
        <v>0</v>
      </c>
      <c r="DG24" s="407">
        <v>3.7058687951723073</v>
      </c>
      <c r="DH24" s="407">
        <v>0</v>
      </c>
      <c r="DI24" s="407">
        <v>0</v>
      </c>
      <c r="DJ24" s="407"/>
      <c r="DK24" s="407">
        <v>0</v>
      </c>
      <c r="DL24" s="407">
        <v>0</v>
      </c>
      <c r="DM24" s="407">
        <v>0</v>
      </c>
      <c r="DN24" s="407">
        <v>0</v>
      </c>
      <c r="DO24" s="407">
        <v>0</v>
      </c>
      <c r="DP24" s="407">
        <v>-0.20595542083080964</v>
      </c>
      <c r="DQ24" s="407">
        <v>0</v>
      </c>
      <c r="DR24" s="407">
        <v>0</v>
      </c>
      <c r="DS24" s="407"/>
      <c r="DT24" s="407"/>
      <c r="DU24" s="407"/>
      <c r="DV24" s="407">
        <v>1942.8524242991837</v>
      </c>
      <c r="DW24" s="407">
        <v>0</v>
      </c>
      <c r="DX24" s="407">
        <v>0</v>
      </c>
      <c r="DY24" s="407">
        <v>-593.22900000000004</v>
      </c>
      <c r="DZ24" s="407">
        <v>15.678000000000054</v>
      </c>
      <c r="EA24" s="407">
        <v>0</v>
      </c>
      <c r="EB24" s="407">
        <v>0</v>
      </c>
      <c r="EC24" s="407">
        <v>-574.33784512112175</v>
      </c>
      <c r="ED24" s="407">
        <v>0</v>
      </c>
      <c r="EE24" s="407">
        <v>0</v>
      </c>
      <c r="EF24" s="407">
        <v>0</v>
      </c>
      <c r="EG24" s="407">
        <v>0</v>
      </c>
      <c r="EH24" s="407">
        <v>0</v>
      </c>
      <c r="EI24" s="407">
        <v>0</v>
      </c>
      <c r="EJ24" s="407">
        <v>0</v>
      </c>
      <c r="EK24" s="407">
        <v>0</v>
      </c>
      <c r="EL24" s="407">
        <v>0</v>
      </c>
      <c r="EM24" s="407">
        <v>0</v>
      </c>
      <c r="EN24" s="407">
        <v>0</v>
      </c>
      <c r="EO24" s="407">
        <v>0</v>
      </c>
      <c r="EP24" s="407">
        <v>0</v>
      </c>
      <c r="EQ24" s="407">
        <v>0</v>
      </c>
      <c r="ER24" s="407">
        <v>0</v>
      </c>
      <c r="ES24" s="407">
        <v>0</v>
      </c>
      <c r="ET24" s="407">
        <v>0</v>
      </c>
      <c r="EU24" s="407">
        <v>0</v>
      </c>
      <c r="EV24" s="407">
        <v>207</v>
      </c>
      <c r="EW24" s="407">
        <v>0</v>
      </c>
      <c r="EX24" s="407">
        <v>0</v>
      </c>
      <c r="EY24" s="407">
        <v>0</v>
      </c>
      <c r="EZ24" s="407"/>
      <c r="FA24" s="407">
        <v>0</v>
      </c>
      <c r="FB24" s="407"/>
      <c r="FC24" s="407"/>
      <c r="FD24" s="407"/>
      <c r="FE24" s="407"/>
      <c r="FF24" s="407">
        <v>0</v>
      </c>
      <c r="FG24" s="407">
        <v>0</v>
      </c>
      <c r="FH24" s="407">
        <v>0</v>
      </c>
      <c r="FI24" s="407">
        <v>0</v>
      </c>
    </row>
    <row r="25" spans="1:165" customFormat="1">
      <c r="A25" s="407">
        <v>23</v>
      </c>
      <c r="B25" s="407" t="s">
        <v>1092</v>
      </c>
      <c r="C25" s="407" t="s">
        <v>2305</v>
      </c>
      <c r="D25" s="407" t="s">
        <v>1220</v>
      </c>
      <c r="E25" s="407" t="s">
        <v>1023</v>
      </c>
      <c r="F25" s="407" t="s">
        <v>2310</v>
      </c>
      <c r="G25" s="407" t="s">
        <v>96</v>
      </c>
      <c r="H25" s="407" t="s">
        <v>96</v>
      </c>
      <c r="I25" s="407" t="s">
        <v>96</v>
      </c>
      <c r="J25" s="407" t="s">
        <v>2306</v>
      </c>
      <c r="K25" s="815">
        <v>44409</v>
      </c>
      <c r="L25" s="407">
        <v>0</v>
      </c>
      <c r="M25" s="407">
        <v>0</v>
      </c>
      <c r="N25" s="407">
        <v>8.6159999999999997</v>
      </c>
      <c r="O25" s="407">
        <v>8.6159999999999997</v>
      </c>
      <c r="P25" s="407">
        <v>8.6159999999999997</v>
      </c>
      <c r="Q25" s="407">
        <v>8.6159999999999997</v>
      </c>
      <c r="R25" s="407"/>
      <c r="S25" s="407">
        <v>640</v>
      </c>
      <c r="T25" s="407">
        <v>127.85</v>
      </c>
      <c r="U25" s="407"/>
      <c r="V25" s="407">
        <v>6615.7955999999995</v>
      </c>
      <c r="W25" s="407">
        <v>6615.7955999999995</v>
      </c>
      <c r="X25" s="407">
        <v>5339.8521600000004</v>
      </c>
      <c r="Y25" s="407">
        <v>0</v>
      </c>
      <c r="Z25" s="407">
        <v>0</v>
      </c>
      <c r="AA25" s="407">
        <v>0</v>
      </c>
      <c r="AB25" s="407">
        <v>0</v>
      </c>
      <c r="AC25" s="407">
        <v>0</v>
      </c>
      <c r="AD25" s="407">
        <v>942.094588715957</v>
      </c>
      <c r="AE25" s="407">
        <v>4292.2093558363504</v>
      </c>
      <c r="AF25" s="407">
        <v>1101.5331656503859</v>
      </c>
      <c r="AG25" s="407">
        <v>0</v>
      </c>
      <c r="AH25" s="407">
        <v>0</v>
      </c>
      <c r="AI25" s="407">
        <v>0</v>
      </c>
      <c r="AJ25" s="407">
        <v>0</v>
      </c>
      <c r="AK25" s="407">
        <v>0</v>
      </c>
      <c r="AL25" s="407">
        <v>0</v>
      </c>
      <c r="AM25" s="407"/>
      <c r="AN25" s="407">
        <v>19.737216525256763</v>
      </c>
      <c r="AO25" s="407">
        <v>0</v>
      </c>
      <c r="AP25" s="407">
        <v>0</v>
      </c>
      <c r="AQ25" s="407">
        <v>0</v>
      </c>
      <c r="AR25" s="407">
        <v>0</v>
      </c>
      <c r="AS25" s="407">
        <v>0</v>
      </c>
      <c r="AT25" s="407">
        <v>0</v>
      </c>
      <c r="AU25" s="407">
        <v>0</v>
      </c>
      <c r="AV25" s="407">
        <v>0</v>
      </c>
      <c r="AW25" s="407">
        <v>0</v>
      </c>
      <c r="AX25" s="407">
        <v>0</v>
      </c>
      <c r="AY25" s="407">
        <v>0</v>
      </c>
      <c r="AZ25" s="407">
        <v>0</v>
      </c>
      <c r="BA25" s="407"/>
      <c r="BB25" s="407">
        <v>0</v>
      </c>
      <c r="BC25" s="407">
        <v>0</v>
      </c>
      <c r="BD25" s="407">
        <v>0</v>
      </c>
      <c r="BE25" s="407">
        <v>0</v>
      </c>
      <c r="BF25" s="407">
        <v>0</v>
      </c>
      <c r="BG25" s="407">
        <v>260.1876366908329</v>
      </c>
      <c r="BH25" s="407">
        <v>0</v>
      </c>
      <c r="BI25" s="407">
        <v>40.69</v>
      </c>
      <c r="BJ25" s="407">
        <v>189.21</v>
      </c>
      <c r="BK25" s="407">
        <v>1225.49</v>
      </c>
      <c r="BL25" s="407">
        <v>13</v>
      </c>
      <c r="BM25" s="407"/>
      <c r="BN25" s="407"/>
      <c r="BO25" s="407"/>
      <c r="BP25" s="407"/>
      <c r="BQ25" s="407"/>
      <c r="BR25" s="407"/>
      <c r="BS25" s="407"/>
      <c r="BT25" s="407">
        <v>2135.9063999999998</v>
      </c>
      <c r="BU25" s="407"/>
      <c r="BV25" s="407">
        <v>1361.7208023412188</v>
      </c>
      <c r="BW25" s="407"/>
      <c r="BX25" s="407"/>
      <c r="BY25" s="407"/>
      <c r="BZ25" s="407"/>
      <c r="CA25" s="407"/>
      <c r="CB25" s="407"/>
      <c r="CC25" s="407"/>
      <c r="CD25" s="407"/>
      <c r="CE25" s="407"/>
      <c r="CF25" s="407"/>
      <c r="CG25" s="407"/>
      <c r="CH25" s="407"/>
      <c r="CI25" s="407">
        <v>3205.4331999999999</v>
      </c>
      <c r="CJ25" s="407">
        <v>-764.07416000000057</v>
      </c>
      <c r="CK25" s="407"/>
      <c r="CL25" s="407"/>
      <c r="CM25" s="407"/>
      <c r="CN25" s="407"/>
      <c r="CO25" s="407">
        <v>-1310.5797600000001</v>
      </c>
      <c r="CP25" s="407">
        <v>34.63632000000009</v>
      </c>
      <c r="CQ25" s="407">
        <v>31</v>
      </c>
      <c r="CR25" s="407">
        <v>-7.0297633841701099</v>
      </c>
      <c r="CS25" s="407">
        <v>0</v>
      </c>
      <c r="CT25" s="407">
        <v>0</v>
      </c>
      <c r="CU25" s="407">
        <v>0</v>
      </c>
      <c r="CV25" s="407">
        <v>0</v>
      </c>
      <c r="CW25" s="407">
        <v>0</v>
      </c>
      <c r="CX25" s="407">
        <v>0</v>
      </c>
      <c r="CY25" s="407">
        <v>0</v>
      </c>
      <c r="CZ25" s="407">
        <v>-49.422955956070382</v>
      </c>
      <c r="DA25" s="407">
        <v>0</v>
      </c>
      <c r="DB25" s="407">
        <v>0</v>
      </c>
      <c r="DC25" s="407">
        <v>34.661076255663147</v>
      </c>
      <c r="DD25" s="407">
        <v>0</v>
      </c>
      <c r="DE25" s="407">
        <v>0</v>
      </c>
      <c r="DF25" s="407">
        <v>0</v>
      </c>
      <c r="DG25" s="407">
        <v>8.1871193690268456</v>
      </c>
      <c r="DH25" s="407">
        <v>0</v>
      </c>
      <c r="DI25" s="407">
        <v>0</v>
      </c>
      <c r="DJ25" s="407"/>
      <c r="DK25" s="407">
        <v>0</v>
      </c>
      <c r="DL25" s="407">
        <v>0</v>
      </c>
      <c r="DM25" s="407">
        <v>0</v>
      </c>
      <c r="DN25" s="407">
        <v>0</v>
      </c>
      <c r="DO25" s="407">
        <v>0</v>
      </c>
      <c r="DP25" s="407">
        <v>-0.45500305278929787</v>
      </c>
      <c r="DQ25" s="407">
        <v>0</v>
      </c>
      <c r="DR25" s="407">
        <v>0</v>
      </c>
      <c r="DS25" s="407"/>
      <c r="DT25" s="407"/>
      <c r="DU25" s="407"/>
      <c r="DV25" s="407">
        <v>4292.2093558363504</v>
      </c>
      <c r="DW25" s="407">
        <v>0</v>
      </c>
      <c r="DX25" s="407">
        <v>0</v>
      </c>
      <c r="DY25" s="407">
        <v>-1310.5797599999996</v>
      </c>
      <c r="DZ25" s="407">
        <v>34.636320000000069</v>
      </c>
      <c r="EA25" s="407">
        <v>0</v>
      </c>
      <c r="EB25" s="407">
        <v>0</v>
      </c>
      <c r="EC25" s="407">
        <v>-1268.8448393752783</v>
      </c>
      <c r="ED25" s="407">
        <v>0</v>
      </c>
      <c r="EE25" s="407">
        <v>0</v>
      </c>
      <c r="EF25" s="407">
        <v>0</v>
      </c>
      <c r="EG25" s="407">
        <v>0</v>
      </c>
      <c r="EH25" s="407">
        <v>0</v>
      </c>
      <c r="EI25" s="407">
        <v>0</v>
      </c>
      <c r="EJ25" s="407">
        <v>0</v>
      </c>
      <c r="EK25" s="407">
        <v>0</v>
      </c>
      <c r="EL25" s="407">
        <v>0</v>
      </c>
      <c r="EM25" s="407">
        <v>0</v>
      </c>
      <c r="EN25" s="407">
        <v>0</v>
      </c>
      <c r="EO25" s="407">
        <v>0</v>
      </c>
      <c r="EP25" s="407">
        <v>0</v>
      </c>
      <c r="EQ25" s="407">
        <v>0</v>
      </c>
      <c r="ER25" s="407">
        <v>0</v>
      </c>
      <c r="ES25" s="407">
        <v>0</v>
      </c>
      <c r="ET25" s="407">
        <v>0</v>
      </c>
      <c r="EU25" s="407">
        <v>0</v>
      </c>
      <c r="EV25" s="407">
        <v>207</v>
      </c>
      <c r="EW25" s="407">
        <v>0</v>
      </c>
      <c r="EX25" s="407">
        <v>0</v>
      </c>
      <c r="EY25" s="407">
        <v>0</v>
      </c>
      <c r="EZ25" s="407"/>
      <c r="FA25" s="407">
        <v>0</v>
      </c>
      <c r="FB25" s="407"/>
      <c r="FC25" s="407"/>
      <c r="FD25" s="407"/>
      <c r="FE25" s="407"/>
      <c r="FF25" s="407">
        <v>0</v>
      </c>
      <c r="FG25" s="407">
        <v>0</v>
      </c>
      <c r="FH25" s="407">
        <v>0</v>
      </c>
      <c r="FI25" s="407">
        <v>0</v>
      </c>
    </row>
    <row r="26" spans="1:165" customFormat="1">
      <c r="A26" s="407">
        <v>24</v>
      </c>
      <c r="B26" s="407" t="s">
        <v>1092</v>
      </c>
      <c r="C26" s="407" t="s">
        <v>2305</v>
      </c>
      <c r="D26" s="407" t="s">
        <v>1220</v>
      </c>
      <c r="E26" s="407" t="s">
        <v>1023</v>
      </c>
      <c r="F26" s="407" t="s">
        <v>2311</v>
      </c>
      <c r="G26" s="407" t="s">
        <v>96</v>
      </c>
      <c r="H26" s="407" t="s">
        <v>96</v>
      </c>
      <c r="I26" s="407" t="s">
        <v>96</v>
      </c>
      <c r="J26" s="407" t="s">
        <v>2306</v>
      </c>
      <c r="K26" s="815">
        <v>44409</v>
      </c>
      <c r="L26" s="407">
        <v>0</v>
      </c>
      <c r="M26" s="407">
        <v>0</v>
      </c>
      <c r="N26" s="407">
        <v>9.3889999999999993</v>
      </c>
      <c r="O26" s="407">
        <v>9.3889999999999993</v>
      </c>
      <c r="P26" s="407">
        <v>9.3889999999999993</v>
      </c>
      <c r="Q26" s="407">
        <v>9.3889999999999993</v>
      </c>
      <c r="R26" s="407"/>
      <c r="S26" s="407">
        <v>640</v>
      </c>
      <c r="T26" s="407">
        <v>127.85</v>
      </c>
      <c r="U26" s="407"/>
      <c r="V26" s="407">
        <v>7209.3436499999989</v>
      </c>
      <c r="W26" s="407">
        <v>7209.3436499999989</v>
      </c>
      <c r="X26" s="407">
        <v>5818.9266399999997</v>
      </c>
      <c r="Y26" s="407">
        <v>0</v>
      </c>
      <c r="Z26" s="407">
        <v>0</v>
      </c>
      <c r="AA26" s="407">
        <v>0</v>
      </c>
      <c r="AB26" s="407">
        <v>0</v>
      </c>
      <c r="AC26" s="407">
        <v>0</v>
      </c>
      <c r="AD26" s="407">
        <v>1026.6163061112024</v>
      </c>
      <c r="AE26" s="407">
        <v>4677.2926696782142</v>
      </c>
      <c r="AF26" s="407">
        <v>1200.3592029121949</v>
      </c>
      <c r="AG26" s="407">
        <v>0</v>
      </c>
      <c r="AH26" s="407">
        <v>0</v>
      </c>
      <c r="AI26" s="407">
        <v>0</v>
      </c>
      <c r="AJ26" s="407">
        <v>0</v>
      </c>
      <c r="AK26" s="407">
        <v>0</v>
      </c>
      <c r="AL26" s="407">
        <v>0</v>
      </c>
      <c r="AM26" s="407"/>
      <c r="AN26" s="407">
        <v>21.507976550096998</v>
      </c>
      <c r="AO26" s="407">
        <v>0</v>
      </c>
      <c r="AP26" s="407">
        <v>0</v>
      </c>
      <c r="AQ26" s="407">
        <v>0</v>
      </c>
      <c r="AR26" s="407">
        <v>0</v>
      </c>
      <c r="AS26" s="407">
        <v>0</v>
      </c>
      <c r="AT26" s="407">
        <v>0</v>
      </c>
      <c r="AU26" s="407">
        <v>0</v>
      </c>
      <c r="AV26" s="407">
        <v>0</v>
      </c>
      <c r="AW26" s="407">
        <v>0</v>
      </c>
      <c r="AX26" s="407">
        <v>0</v>
      </c>
      <c r="AY26" s="407">
        <v>0</v>
      </c>
      <c r="AZ26" s="407">
        <v>0</v>
      </c>
      <c r="BA26" s="407"/>
      <c r="BB26" s="407">
        <v>0</v>
      </c>
      <c r="BC26" s="407">
        <v>0</v>
      </c>
      <c r="BD26" s="407">
        <v>0</v>
      </c>
      <c r="BE26" s="407">
        <v>0</v>
      </c>
      <c r="BF26" s="407">
        <v>0</v>
      </c>
      <c r="BG26" s="407">
        <v>283.5308404004445</v>
      </c>
      <c r="BH26" s="407">
        <v>0</v>
      </c>
      <c r="BI26" s="407">
        <v>53.11</v>
      </c>
      <c r="BJ26" s="407">
        <v>245.22</v>
      </c>
      <c r="BK26" s="407">
        <v>1832.38</v>
      </c>
      <c r="BL26" s="407">
        <v>72</v>
      </c>
      <c r="BM26" s="407"/>
      <c r="BN26" s="407"/>
      <c r="BO26" s="407"/>
      <c r="BP26" s="407"/>
      <c r="BQ26" s="407"/>
      <c r="BR26" s="407"/>
      <c r="BS26" s="407"/>
      <c r="BT26" s="407">
        <v>581.93021999999962</v>
      </c>
      <c r="BU26" s="407"/>
      <c r="BV26" s="407">
        <v>1483.8900433126394</v>
      </c>
      <c r="BW26" s="407"/>
      <c r="BX26" s="407"/>
      <c r="BY26" s="407"/>
      <c r="BZ26" s="407"/>
      <c r="CA26" s="407"/>
      <c r="CB26" s="407"/>
      <c r="CC26" s="407"/>
      <c r="CD26" s="407"/>
      <c r="CE26" s="407"/>
      <c r="CF26" s="407"/>
      <c r="CG26" s="407"/>
      <c r="CH26" s="407"/>
      <c r="CI26" s="407">
        <v>5237.5542000000005</v>
      </c>
      <c r="CJ26" s="407">
        <v>-1250.8381399999998</v>
      </c>
      <c r="CK26" s="407"/>
      <c r="CL26" s="407"/>
      <c r="CM26" s="407"/>
      <c r="CN26" s="407"/>
      <c r="CO26" s="407">
        <v>-1428.1607900000001</v>
      </c>
      <c r="CP26" s="407">
        <v>37.743780000000093</v>
      </c>
      <c r="CQ26" s="407">
        <v>31</v>
      </c>
      <c r="CR26" s="407">
        <v>-7.6604513015281555</v>
      </c>
      <c r="CS26" s="407">
        <v>0</v>
      </c>
      <c r="CT26" s="407">
        <v>0</v>
      </c>
      <c r="CU26" s="407">
        <v>0</v>
      </c>
      <c r="CV26" s="407">
        <v>0</v>
      </c>
      <c r="CW26" s="407">
        <v>0</v>
      </c>
      <c r="CX26" s="407">
        <v>0</v>
      </c>
      <c r="CY26" s="407">
        <v>0</v>
      </c>
      <c r="CZ26" s="407">
        <v>-53.857025704682542</v>
      </c>
      <c r="DA26" s="407">
        <v>0</v>
      </c>
      <c r="DB26" s="407">
        <v>0</v>
      </c>
      <c r="DC26" s="407">
        <v>37.770757307848726</v>
      </c>
      <c r="DD26" s="407">
        <v>0</v>
      </c>
      <c r="DE26" s="407">
        <v>0</v>
      </c>
      <c r="DF26" s="407">
        <v>0</v>
      </c>
      <c r="DG26" s="407">
        <v>8.9216415686853452</v>
      </c>
      <c r="DH26" s="407">
        <v>0</v>
      </c>
      <c r="DI26" s="407">
        <v>0</v>
      </c>
      <c r="DJ26" s="407"/>
      <c r="DK26" s="407">
        <v>0</v>
      </c>
      <c r="DL26" s="407">
        <v>0</v>
      </c>
      <c r="DM26" s="407">
        <v>0</v>
      </c>
      <c r="DN26" s="407">
        <v>0</v>
      </c>
      <c r="DO26" s="407">
        <v>0</v>
      </c>
      <c r="DP26" s="407">
        <v>-0.49582447337960645</v>
      </c>
      <c r="DQ26" s="407">
        <v>0</v>
      </c>
      <c r="DR26" s="407">
        <v>0</v>
      </c>
      <c r="DS26" s="407"/>
      <c r="DT26" s="407"/>
      <c r="DU26" s="407"/>
      <c r="DV26" s="407">
        <v>4677.2926696782142</v>
      </c>
      <c r="DW26" s="407">
        <v>0</v>
      </c>
      <c r="DX26" s="407">
        <v>0</v>
      </c>
      <c r="DY26" s="407">
        <v>-1428.1607899999999</v>
      </c>
      <c r="DZ26" s="407">
        <v>37.743780000000243</v>
      </c>
      <c r="EA26" s="407">
        <v>0</v>
      </c>
      <c r="EB26" s="407">
        <v>0</v>
      </c>
      <c r="EC26" s="407">
        <v>-1382.6815456005675</v>
      </c>
      <c r="ED26" s="407">
        <v>0</v>
      </c>
      <c r="EE26" s="407">
        <v>0</v>
      </c>
      <c r="EF26" s="407">
        <v>0</v>
      </c>
      <c r="EG26" s="407">
        <v>0</v>
      </c>
      <c r="EH26" s="407">
        <v>0</v>
      </c>
      <c r="EI26" s="407">
        <v>0</v>
      </c>
      <c r="EJ26" s="407">
        <v>0</v>
      </c>
      <c r="EK26" s="407">
        <v>0</v>
      </c>
      <c r="EL26" s="407">
        <v>0</v>
      </c>
      <c r="EM26" s="407">
        <v>0</v>
      </c>
      <c r="EN26" s="407">
        <v>0</v>
      </c>
      <c r="EO26" s="407">
        <v>0</v>
      </c>
      <c r="EP26" s="407">
        <v>0</v>
      </c>
      <c r="EQ26" s="407">
        <v>0</v>
      </c>
      <c r="ER26" s="407">
        <v>0</v>
      </c>
      <c r="ES26" s="407">
        <v>0</v>
      </c>
      <c r="ET26" s="407">
        <v>0</v>
      </c>
      <c r="EU26" s="407">
        <v>0</v>
      </c>
      <c r="EV26" s="407">
        <v>207</v>
      </c>
      <c r="EW26" s="407">
        <v>0</v>
      </c>
      <c r="EX26" s="407">
        <v>0</v>
      </c>
      <c r="EY26" s="407">
        <v>0</v>
      </c>
      <c r="EZ26" s="407"/>
      <c r="FA26" s="407">
        <v>0</v>
      </c>
      <c r="FB26" s="407"/>
      <c r="FC26" s="407"/>
      <c r="FD26" s="407"/>
      <c r="FE26" s="407"/>
      <c r="FF26" s="407">
        <v>0</v>
      </c>
      <c r="FG26" s="407">
        <v>0</v>
      </c>
      <c r="FH26" s="407">
        <v>0</v>
      </c>
      <c r="FI26" s="407">
        <v>0</v>
      </c>
    </row>
    <row r="27" spans="1:165" customFormat="1">
      <c r="A27" s="407">
        <v>25</v>
      </c>
      <c r="B27" s="407" t="s">
        <v>1092</v>
      </c>
      <c r="C27" s="407" t="s">
        <v>2305</v>
      </c>
      <c r="D27" s="407" t="s">
        <v>1220</v>
      </c>
      <c r="E27" s="407" t="s">
        <v>1023</v>
      </c>
      <c r="F27" s="407" t="s">
        <v>2312</v>
      </c>
      <c r="G27" s="407" t="s">
        <v>96</v>
      </c>
      <c r="H27" s="407" t="s">
        <v>96</v>
      </c>
      <c r="I27" s="407" t="s">
        <v>96</v>
      </c>
      <c r="J27" s="407" t="s">
        <v>2306</v>
      </c>
      <c r="K27" s="815">
        <v>44409</v>
      </c>
      <c r="L27" s="407">
        <v>0</v>
      </c>
      <c r="M27" s="407">
        <v>0</v>
      </c>
      <c r="N27" s="407">
        <v>3.5529999999999999</v>
      </c>
      <c r="O27" s="407">
        <v>3.5529999999999999</v>
      </c>
      <c r="P27" s="407">
        <v>3.5529999999999999</v>
      </c>
      <c r="Q27" s="407">
        <v>3.5529999999999999</v>
      </c>
      <c r="R27" s="407"/>
      <c r="S27" s="407">
        <v>640</v>
      </c>
      <c r="T27" s="407">
        <v>127.85</v>
      </c>
      <c r="U27" s="407"/>
      <c r="V27" s="407">
        <v>2728.1710499999999</v>
      </c>
      <c r="W27" s="407">
        <v>2728.1710499999999</v>
      </c>
      <c r="X27" s="407">
        <v>2202.0072799999998</v>
      </c>
      <c r="Y27" s="407">
        <v>0</v>
      </c>
      <c r="Z27" s="407">
        <v>0</v>
      </c>
      <c r="AA27" s="407">
        <v>0</v>
      </c>
      <c r="AB27" s="407">
        <v>0</v>
      </c>
      <c r="AC27" s="407">
        <v>0</v>
      </c>
      <c r="AD27" s="407">
        <v>388.49374114528729</v>
      </c>
      <c r="AE27" s="407">
        <v>1769.9883752653845</v>
      </c>
      <c r="AF27" s="407">
        <v>454.24179869496527</v>
      </c>
      <c r="AG27" s="407">
        <v>0</v>
      </c>
      <c r="AH27" s="407">
        <v>0</v>
      </c>
      <c r="AI27" s="407">
        <v>0</v>
      </c>
      <c r="AJ27" s="407">
        <v>0</v>
      </c>
      <c r="AK27" s="407">
        <v>0</v>
      </c>
      <c r="AL27" s="407">
        <v>0</v>
      </c>
      <c r="AM27" s="407"/>
      <c r="AN27" s="407">
        <v>8.139081977047038</v>
      </c>
      <c r="AO27" s="407">
        <v>0</v>
      </c>
      <c r="AP27" s="407">
        <v>0</v>
      </c>
      <c r="AQ27" s="407">
        <v>0</v>
      </c>
      <c r="AR27" s="407">
        <v>0</v>
      </c>
      <c r="AS27" s="407">
        <v>0</v>
      </c>
      <c r="AT27" s="407">
        <v>0</v>
      </c>
      <c r="AU27" s="407">
        <v>0</v>
      </c>
      <c r="AV27" s="407">
        <v>0</v>
      </c>
      <c r="AW27" s="407">
        <v>0</v>
      </c>
      <c r="AX27" s="407">
        <v>0</v>
      </c>
      <c r="AY27" s="407">
        <v>0</v>
      </c>
      <c r="AZ27" s="407">
        <v>0</v>
      </c>
      <c r="BA27" s="407"/>
      <c r="BB27" s="407">
        <v>0</v>
      </c>
      <c r="BC27" s="407">
        <v>0</v>
      </c>
      <c r="BD27" s="407">
        <v>0</v>
      </c>
      <c r="BE27" s="407">
        <v>0</v>
      </c>
      <c r="BF27" s="407">
        <v>0</v>
      </c>
      <c r="BG27" s="407">
        <v>107.29418212192773</v>
      </c>
      <c r="BH27" s="407">
        <v>0</v>
      </c>
      <c r="BI27" s="407">
        <v>28.57</v>
      </c>
      <c r="BJ27" s="407">
        <v>132.52000000000001</v>
      </c>
      <c r="BK27" s="407">
        <v>1244.1400000000001</v>
      </c>
      <c r="BL27" s="407">
        <v>44</v>
      </c>
      <c r="BM27" s="407"/>
      <c r="BN27" s="407"/>
      <c r="BO27" s="407"/>
      <c r="BP27" s="407"/>
      <c r="BQ27" s="407"/>
      <c r="BR27" s="407"/>
      <c r="BS27" s="407"/>
      <c r="BT27" s="407"/>
      <c r="BU27" s="407"/>
      <c r="BV27" s="407">
        <v>561.53598081689302</v>
      </c>
      <c r="BW27" s="407"/>
      <c r="BX27" s="407"/>
      <c r="BY27" s="407"/>
      <c r="BZ27" s="407"/>
      <c r="CA27" s="407"/>
      <c r="CB27" s="407"/>
      <c r="CC27" s="407"/>
      <c r="CD27" s="407"/>
      <c r="CE27" s="407"/>
      <c r="CF27" s="407"/>
      <c r="CG27" s="407"/>
      <c r="CH27" s="407"/>
      <c r="CI27" s="407">
        <v>2200.1479999999997</v>
      </c>
      <c r="CJ27" s="407">
        <v>-528.05305000000089</v>
      </c>
      <c r="CK27" s="407"/>
      <c r="CL27" s="407"/>
      <c r="CM27" s="407"/>
      <c r="CN27" s="407"/>
      <c r="CO27" s="407">
        <v>-540.44683000000009</v>
      </c>
      <c r="CP27" s="407">
        <v>14.283060000000036</v>
      </c>
      <c r="CQ27" s="407">
        <v>31</v>
      </c>
      <c r="CR27" s="407">
        <v>-2.8988799099295193</v>
      </c>
      <c r="CS27" s="407">
        <v>0</v>
      </c>
      <c r="CT27" s="407">
        <v>0</v>
      </c>
      <c r="CU27" s="407">
        <v>0</v>
      </c>
      <c r="CV27" s="407">
        <v>0</v>
      </c>
      <c r="CW27" s="407">
        <v>0</v>
      </c>
      <c r="CX27" s="407">
        <v>0</v>
      </c>
      <c r="CY27" s="407">
        <v>0</v>
      </c>
      <c r="CZ27" s="407">
        <v>-20.380659530166895</v>
      </c>
      <c r="DA27" s="407">
        <v>0</v>
      </c>
      <c r="DB27" s="407">
        <v>0</v>
      </c>
      <c r="DC27" s="407">
        <v>14.293268794843527</v>
      </c>
      <c r="DD27" s="407">
        <v>0</v>
      </c>
      <c r="DE27" s="407">
        <v>0</v>
      </c>
      <c r="DF27" s="407">
        <v>0</v>
      </c>
      <c r="DG27" s="407">
        <v>3.3761414946787767</v>
      </c>
      <c r="DH27" s="407">
        <v>0</v>
      </c>
      <c r="DI27" s="407">
        <v>0</v>
      </c>
      <c r="DJ27" s="407"/>
      <c r="DK27" s="407">
        <v>0</v>
      </c>
      <c r="DL27" s="407">
        <v>0</v>
      </c>
      <c r="DM27" s="407">
        <v>0</v>
      </c>
      <c r="DN27" s="407">
        <v>0</v>
      </c>
      <c r="DO27" s="407">
        <v>0</v>
      </c>
      <c r="DP27" s="407">
        <v>-0.18763066928509442</v>
      </c>
      <c r="DQ27" s="407">
        <v>0</v>
      </c>
      <c r="DR27" s="407">
        <v>0</v>
      </c>
      <c r="DS27" s="407"/>
      <c r="DT27" s="407"/>
      <c r="DU27" s="407"/>
      <c r="DV27" s="407">
        <v>1769.9883752653845</v>
      </c>
      <c r="DW27" s="407">
        <v>0</v>
      </c>
      <c r="DX27" s="407">
        <v>0</v>
      </c>
      <c r="DY27" s="407">
        <v>-540.44683000000009</v>
      </c>
      <c r="DZ27" s="407">
        <v>14.283060000000035</v>
      </c>
      <c r="EA27" s="407">
        <v>0</v>
      </c>
      <c r="EB27" s="407">
        <v>0</v>
      </c>
      <c r="EC27" s="407">
        <v>-523.23650351675542</v>
      </c>
      <c r="ED27" s="407">
        <v>0</v>
      </c>
      <c r="EE27" s="407">
        <v>0</v>
      </c>
      <c r="EF27" s="407">
        <v>0</v>
      </c>
      <c r="EG27" s="407">
        <v>0</v>
      </c>
      <c r="EH27" s="407">
        <v>0</v>
      </c>
      <c r="EI27" s="407">
        <v>0</v>
      </c>
      <c r="EJ27" s="407">
        <v>0</v>
      </c>
      <c r="EK27" s="407">
        <v>0</v>
      </c>
      <c r="EL27" s="407">
        <v>0</v>
      </c>
      <c r="EM27" s="407">
        <v>0</v>
      </c>
      <c r="EN27" s="407">
        <v>0</v>
      </c>
      <c r="EO27" s="407">
        <v>0</v>
      </c>
      <c r="EP27" s="407">
        <v>0</v>
      </c>
      <c r="EQ27" s="407">
        <v>0</v>
      </c>
      <c r="ER27" s="407">
        <v>0</v>
      </c>
      <c r="ES27" s="407">
        <v>0</v>
      </c>
      <c r="ET27" s="407">
        <v>0</v>
      </c>
      <c r="EU27" s="407">
        <v>0</v>
      </c>
      <c r="EV27" s="407">
        <v>207</v>
      </c>
      <c r="EW27" s="407">
        <v>0</v>
      </c>
      <c r="EX27" s="407">
        <v>0</v>
      </c>
      <c r="EY27" s="407">
        <v>0</v>
      </c>
      <c r="EZ27" s="407"/>
      <c r="FA27" s="407">
        <v>0</v>
      </c>
      <c r="FB27" s="407"/>
      <c r="FC27" s="407"/>
      <c r="FD27" s="407"/>
      <c r="FE27" s="407"/>
      <c r="FF27" s="407">
        <v>0</v>
      </c>
      <c r="FG27" s="407">
        <v>0</v>
      </c>
      <c r="FH27" s="407">
        <v>0</v>
      </c>
      <c r="FI27" s="407">
        <v>0</v>
      </c>
    </row>
    <row r="28" spans="1:165" customFormat="1">
      <c r="A28" s="407">
        <v>26</v>
      </c>
      <c r="B28" s="407" t="s">
        <v>1092</v>
      </c>
      <c r="C28" s="407" t="s">
        <v>2313</v>
      </c>
      <c r="D28" s="407" t="s">
        <v>1220</v>
      </c>
      <c r="E28" s="407" t="s">
        <v>1023</v>
      </c>
      <c r="F28" s="407" t="s">
        <v>1023</v>
      </c>
      <c r="G28" s="407" t="s">
        <v>96</v>
      </c>
      <c r="H28" s="407" t="s">
        <v>96</v>
      </c>
      <c r="I28" s="407" t="s">
        <v>1027</v>
      </c>
      <c r="J28" s="407" t="s">
        <v>2306</v>
      </c>
      <c r="K28" s="815">
        <v>44409</v>
      </c>
      <c r="L28" s="407">
        <v>0</v>
      </c>
      <c r="M28" s="407">
        <v>0</v>
      </c>
      <c r="N28" s="407">
        <v>2.3E-2</v>
      </c>
      <c r="O28" s="407">
        <v>2.3E-2</v>
      </c>
      <c r="P28" s="407">
        <v>2.3E-2</v>
      </c>
      <c r="Q28" s="407">
        <v>2.3E-2</v>
      </c>
      <c r="R28" s="407"/>
      <c r="S28" s="407">
        <v>1864.71</v>
      </c>
      <c r="T28" s="407">
        <v>127.85</v>
      </c>
      <c r="U28" s="407"/>
      <c r="V28" s="407">
        <v>45.828880000000005</v>
      </c>
      <c r="W28" s="407">
        <v>45.828880000000005</v>
      </c>
      <c r="X28" s="407">
        <v>35.700829999999996</v>
      </c>
      <c r="Y28" s="407">
        <v>0</v>
      </c>
      <c r="Z28" s="407">
        <v>1.4047267628654383</v>
      </c>
      <c r="AA28" s="407">
        <v>0</v>
      </c>
      <c r="AB28" s="407">
        <v>0</v>
      </c>
      <c r="AC28" s="407">
        <v>0</v>
      </c>
      <c r="AD28" s="407">
        <v>7.2914445244141888</v>
      </c>
      <c r="AE28" s="407">
        <v>33.227763530700692</v>
      </c>
      <c r="AF28" s="407">
        <v>2.9404901125764709</v>
      </c>
      <c r="AG28" s="407">
        <v>0</v>
      </c>
      <c r="AH28" s="407">
        <v>0</v>
      </c>
      <c r="AI28" s="407">
        <v>0</v>
      </c>
      <c r="AJ28" s="407">
        <v>0</v>
      </c>
      <c r="AK28" s="407">
        <v>0</v>
      </c>
      <c r="AL28" s="407">
        <v>0.21724184058259582</v>
      </c>
      <c r="AM28" s="407"/>
      <c r="AN28" s="407">
        <v>5.2687555719696563E-2</v>
      </c>
      <c r="AO28" s="407">
        <v>0</v>
      </c>
      <c r="AP28" s="407">
        <v>0</v>
      </c>
      <c r="AQ28" s="407">
        <v>0</v>
      </c>
      <c r="AR28" s="407">
        <v>0</v>
      </c>
      <c r="AS28" s="407">
        <v>0</v>
      </c>
      <c r="AT28" s="407">
        <v>0</v>
      </c>
      <c r="AU28" s="407">
        <v>0</v>
      </c>
      <c r="AV28" s="407">
        <v>0</v>
      </c>
      <c r="AW28" s="407">
        <v>0</v>
      </c>
      <c r="AX28" s="407">
        <v>0</v>
      </c>
      <c r="AY28" s="407">
        <v>0</v>
      </c>
      <c r="AZ28" s="407">
        <v>0</v>
      </c>
      <c r="BA28" s="407"/>
      <c r="BB28" s="407">
        <v>0</v>
      </c>
      <c r="BC28" s="407">
        <v>0</v>
      </c>
      <c r="BD28" s="407">
        <v>0</v>
      </c>
      <c r="BE28" s="407">
        <v>0</v>
      </c>
      <c r="BF28" s="407">
        <v>0</v>
      </c>
      <c r="BG28" s="407">
        <v>0.694558454490385</v>
      </c>
      <c r="BH28" s="407">
        <v>0</v>
      </c>
      <c r="BI28" s="407">
        <v>0</v>
      </c>
      <c r="BJ28" s="407">
        <v>0</v>
      </c>
      <c r="BK28" s="407">
        <v>0</v>
      </c>
      <c r="BL28" s="407">
        <v>0</v>
      </c>
      <c r="BM28" s="407"/>
      <c r="BN28" s="407"/>
      <c r="BO28" s="407"/>
      <c r="BP28" s="407"/>
      <c r="BQ28" s="407"/>
      <c r="BR28" s="407"/>
      <c r="BS28" s="407"/>
      <c r="BT28" s="407"/>
      <c r="BU28" s="407"/>
      <c r="BV28" s="407">
        <v>3.635048567066856</v>
      </c>
      <c r="BW28" s="407"/>
      <c r="BX28" s="407"/>
      <c r="BY28" s="407"/>
      <c r="BZ28" s="407"/>
      <c r="CA28" s="407"/>
      <c r="CB28" s="407"/>
      <c r="CC28" s="407"/>
      <c r="CD28" s="407"/>
      <c r="CE28" s="407"/>
      <c r="CF28" s="407"/>
      <c r="CG28" s="407"/>
      <c r="CH28" s="407"/>
      <c r="CI28" s="407">
        <v>31.0442</v>
      </c>
      <c r="CJ28" s="407">
        <v>-14.814679999999999</v>
      </c>
      <c r="CK28" s="407"/>
      <c r="CL28" s="407"/>
      <c r="CM28" s="407"/>
      <c r="CN28" s="407"/>
      <c r="CO28" s="407">
        <v>-10.220510000000003</v>
      </c>
      <c r="CP28" s="407">
        <v>9.2460000000000236E-2</v>
      </c>
      <c r="CQ28" s="407">
        <v>31</v>
      </c>
      <c r="CR28" s="407">
        <v>-0.30548368970075757</v>
      </c>
      <c r="CS28" s="407">
        <v>0</v>
      </c>
      <c r="CT28" s="407">
        <v>0</v>
      </c>
      <c r="CU28" s="407">
        <v>0</v>
      </c>
      <c r="CV28" s="407">
        <v>0</v>
      </c>
      <c r="CW28" s="407">
        <v>0</v>
      </c>
      <c r="CX28" s="407">
        <v>0</v>
      </c>
      <c r="CY28" s="407">
        <v>0</v>
      </c>
      <c r="CZ28" s="407">
        <v>-0.38251439494776829</v>
      </c>
      <c r="DA28" s="407">
        <v>0</v>
      </c>
      <c r="DB28" s="407">
        <v>0</v>
      </c>
      <c r="DC28" s="407">
        <v>9.2526085640698419E-2</v>
      </c>
      <c r="DD28" s="407">
        <v>0</v>
      </c>
      <c r="DE28" s="407">
        <v>0</v>
      </c>
      <c r="DF28" s="407">
        <v>0</v>
      </c>
      <c r="DG28" s="407">
        <v>2.1855123663836684E-2</v>
      </c>
      <c r="DH28" s="407">
        <v>0</v>
      </c>
      <c r="DI28" s="407">
        <v>-3.199047931475385E-2</v>
      </c>
      <c r="DJ28" s="407"/>
      <c r="DK28" s="407">
        <v>0</v>
      </c>
      <c r="DL28" s="407">
        <v>0</v>
      </c>
      <c r="DM28" s="407">
        <v>0</v>
      </c>
      <c r="DN28" s="407">
        <v>0</v>
      </c>
      <c r="DO28" s="407">
        <v>-4.1454158506918359E-3</v>
      </c>
      <c r="DP28" s="407">
        <v>-1.2146088920791387E-3</v>
      </c>
      <c r="DQ28" s="407">
        <v>0</v>
      </c>
      <c r="DR28" s="407">
        <v>0</v>
      </c>
      <c r="DS28" s="407"/>
      <c r="DT28" s="407"/>
      <c r="DU28" s="407"/>
      <c r="DV28" s="407">
        <v>33.227763530700692</v>
      </c>
      <c r="DW28" s="407">
        <v>0</v>
      </c>
      <c r="DX28" s="407">
        <v>0</v>
      </c>
      <c r="DY28" s="407">
        <v>-10.220510000000004</v>
      </c>
      <c r="DZ28" s="407">
        <v>9.2459999999999987E-2</v>
      </c>
      <c r="EA28" s="407">
        <v>0</v>
      </c>
      <c r="EB28" s="407">
        <v>0</v>
      </c>
      <c r="EC28" s="407">
        <v>-9.8226514097181905</v>
      </c>
      <c r="ED28" s="407">
        <v>0</v>
      </c>
      <c r="EE28" s="407">
        <v>0</v>
      </c>
      <c r="EF28" s="407">
        <v>0</v>
      </c>
      <c r="EG28" s="407">
        <v>0</v>
      </c>
      <c r="EH28" s="407">
        <v>0</v>
      </c>
      <c r="EI28" s="407">
        <v>0</v>
      </c>
      <c r="EJ28" s="407">
        <v>0</v>
      </c>
      <c r="EK28" s="407">
        <v>0</v>
      </c>
      <c r="EL28" s="407">
        <v>0</v>
      </c>
      <c r="EM28" s="407">
        <v>0</v>
      </c>
      <c r="EN28" s="407">
        <v>0</v>
      </c>
      <c r="EO28" s="407">
        <v>0</v>
      </c>
      <c r="EP28" s="407">
        <v>0</v>
      </c>
      <c r="EQ28" s="407">
        <v>0</v>
      </c>
      <c r="ER28" s="407">
        <v>0</v>
      </c>
      <c r="ES28" s="407">
        <v>0</v>
      </c>
      <c r="ET28" s="407">
        <v>0</v>
      </c>
      <c r="EU28" s="407">
        <v>0</v>
      </c>
      <c r="EV28" s="407">
        <v>207</v>
      </c>
      <c r="EW28" s="407">
        <v>0</v>
      </c>
      <c r="EX28" s="407">
        <v>0</v>
      </c>
      <c r="EY28" s="407">
        <v>0</v>
      </c>
      <c r="EZ28" s="407"/>
      <c r="FA28" s="407">
        <v>0</v>
      </c>
      <c r="FB28" s="407"/>
      <c r="FC28" s="407"/>
      <c r="FD28" s="407"/>
      <c r="FE28" s="407"/>
      <c r="FF28" s="407">
        <v>0</v>
      </c>
      <c r="FG28" s="407">
        <v>0</v>
      </c>
      <c r="FH28" s="407">
        <v>0</v>
      </c>
      <c r="FI28" s="407">
        <v>0</v>
      </c>
    </row>
    <row r="29" spans="1:165" customFormat="1">
      <c r="A29" s="407">
        <v>27</v>
      </c>
      <c r="B29" s="407" t="s">
        <v>1092</v>
      </c>
      <c r="C29" s="407" t="s">
        <v>2313</v>
      </c>
      <c r="D29" s="407" t="s">
        <v>1220</v>
      </c>
      <c r="E29" s="407" t="s">
        <v>1023</v>
      </c>
      <c r="F29" s="407" t="s">
        <v>1023</v>
      </c>
      <c r="G29" s="407" t="s">
        <v>96</v>
      </c>
      <c r="H29" s="407" t="s">
        <v>96</v>
      </c>
      <c r="I29" s="407" t="s">
        <v>2290</v>
      </c>
      <c r="J29" s="407" t="s">
        <v>2306</v>
      </c>
      <c r="K29" s="815">
        <v>44409</v>
      </c>
      <c r="L29" s="407">
        <v>0</v>
      </c>
      <c r="M29" s="407">
        <v>0</v>
      </c>
      <c r="N29" s="407">
        <v>0.20200000000000001</v>
      </c>
      <c r="O29" s="407">
        <v>0.20200000000000001</v>
      </c>
      <c r="P29" s="407">
        <v>0.20200000000000001</v>
      </c>
      <c r="Q29" s="407">
        <v>0.20200000000000001</v>
      </c>
      <c r="R29" s="407"/>
      <c r="S29" s="407">
        <v>455.34</v>
      </c>
      <c r="T29" s="407">
        <v>127.85</v>
      </c>
      <c r="U29" s="407"/>
      <c r="V29" s="407">
        <v>117.80437999999999</v>
      </c>
      <c r="W29" s="407">
        <v>117.80437999999999</v>
      </c>
      <c r="X29" s="407">
        <v>100.5556</v>
      </c>
      <c r="Y29" s="407">
        <v>0</v>
      </c>
      <c r="Z29" s="407">
        <v>12.337165482557328</v>
      </c>
      <c r="AA29" s="407">
        <v>0</v>
      </c>
      <c r="AB29" s="407">
        <v>0</v>
      </c>
      <c r="AC29" s="407">
        <v>0</v>
      </c>
      <c r="AD29" s="407">
        <v>12.805587839055047</v>
      </c>
      <c r="AE29" s="407">
        <v>58.365257353492098</v>
      </c>
      <c r="AF29" s="407">
        <v>25.825174032193356</v>
      </c>
      <c r="AG29" s="407">
        <v>0</v>
      </c>
      <c r="AH29" s="407">
        <v>0</v>
      </c>
      <c r="AI29" s="407">
        <v>0</v>
      </c>
      <c r="AJ29" s="407">
        <v>0</v>
      </c>
      <c r="AK29" s="407">
        <v>0</v>
      </c>
      <c r="AL29" s="407">
        <v>1.9079500781601895</v>
      </c>
      <c r="AM29" s="407"/>
      <c r="AN29" s="407">
        <v>0.46273418501646552</v>
      </c>
      <c r="AO29" s="407">
        <v>0</v>
      </c>
      <c r="AP29" s="407">
        <v>0</v>
      </c>
      <c r="AQ29" s="407">
        <v>0</v>
      </c>
      <c r="AR29" s="407">
        <v>0</v>
      </c>
      <c r="AS29" s="407">
        <v>0</v>
      </c>
      <c r="AT29" s="407">
        <v>0</v>
      </c>
      <c r="AU29" s="407">
        <v>0</v>
      </c>
      <c r="AV29" s="407">
        <v>0</v>
      </c>
      <c r="AW29" s="407">
        <v>0</v>
      </c>
      <c r="AX29" s="407">
        <v>0</v>
      </c>
      <c r="AY29" s="407">
        <v>0</v>
      </c>
      <c r="AZ29" s="407">
        <v>0</v>
      </c>
      <c r="BA29" s="407"/>
      <c r="BB29" s="407">
        <v>0</v>
      </c>
      <c r="BC29" s="407">
        <v>0</v>
      </c>
      <c r="BD29" s="407">
        <v>0</v>
      </c>
      <c r="BE29" s="407">
        <v>0</v>
      </c>
      <c r="BF29" s="407">
        <v>0</v>
      </c>
      <c r="BG29" s="407">
        <v>6.1000351220459903</v>
      </c>
      <c r="BH29" s="407">
        <v>0</v>
      </c>
      <c r="BI29" s="407">
        <v>0</v>
      </c>
      <c r="BJ29" s="407">
        <v>0</v>
      </c>
      <c r="BK29" s="407">
        <v>0</v>
      </c>
      <c r="BL29" s="407">
        <v>0</v>
      </c>
      <c r="BM29" s="407"/>
      <c r="BN29" s="407"/>
      <c r="BO29" s="407"/>
      <c r="BP29" s="407"/>
      <c r="BQ29" s="407"/>
      <c r="BR29" s="407"/>
      <c r="BS29" s="407"/>
      <c r="BT29" s="407"/>
      <c r="BU29" s="407"/>
      <c r="BV29" s="407">
        <v>31.925209154239347</v>
      </c>
      <c r="BW29" s="407"/>
      <c r="BX29" s="407"/>
      <c r="BY29" s="407"/>
      <c r="BZ29" s="407"/>
      <c r="CA29" s="407"/>
      <c r="CB29" s="407"/>
      <c r="CC29" s="407"/>
      <c r="CD29" s="407"/>
      <c r="CE29" s="407"/>
      <c r="CF29" s="407"/>
      <c r="CG29" s="407"/>
      <c r="CH29" s="407"/>
      <c r="CI29" s="407">
        <v>99.56</v>
      </c>
      <c r="CJ29" s="407">
        <v>-18.274380000000008</v>
      </c>
      <c r="CK29" s="407"/>
      <c r="CL29" s="407"/>
      <c r="CM29" s="407"/>
      <c r="CN29" s="407"/>
      <c r="CO29" s="407">
        <v>-18.060819999999996</v>
      </c>
      <c r="CP29" s="407">
        <v>0.81204000000000209</v>
      </c>
      <c r="CQ29" s="407">
        <v>31</v>
      </c>
      <c r="CR29" s="407">
        <v>4.7402445163271523E-3</v>
      </c>
      <c r="CS29" s="407">
        <v>0</v>
      </c>
      <c r="CT29" s="407">
        <v>0</v>
      </c>
      <c r="CU29" s="407">
        <v>0</v>
      </c>
      <c r="CV29" s="407">
        <v>0</v>
      </c>
      <c r="CW29" s="407">
        <v>0</v>
      </c>
      <c r="CX29" s="407">
        <v>0</v>
      </c>
      <c r="CY29" s="407">
        <v>0</v>
      </c>
      <c r="CZ29" s="407">
        <v>-0.67179029721829053</v>
      </c>
      <c r="DA29" s="407">
        <v>0</v>
      </c>
      <c r="DB29" s="407">
        <v>0</v>
      </c>
      <c r="DC29" s="407">
        <v>0.81262040432265437</v>
      </c>
      <c r="DD29" s="407">
        <v>0</v>
      </c>
      <c r="DE29" s="407">
        <v>0</v>
      </c>
      <c r="DF29" s="407">
        <v>0</v>
      </c>
      <c r="DG29" s="407">
        <v>0.19194499913456564</v>
      </c>
      <c r="DH29" s="407">
        <v>0</v>
      </c>
      <c r="DI29" s="407">
        <v>-0.28095986180783861</v>
      </c>
      <c r="DJ29" s="407"/>
      <c r="DK29" s="407">
        <v>0</v>
      </c>
      <c r="DL29" s="407">
        <v>0</v>
      </c>
      <c r="DM29" s="407">
        <v>0</v>
      </c>
      <c r="DN29" s="407">
        <v>0</v>
      </c>
      <c r="DO29" s="407">
        <v>-3.640756529738054E-2</v>
      </c>
      <c r="DP29" s="407">
        <v>-1.0667434617390725E-2</v>
      </c>
      <c r="DQ29" s="407">
        <v>0</v>
      </c>
      <c r="DR29" s="407">
        <v>0</v>
      </c>
      <c r="DS29" s="407"/>
      <c r="DT29" s="407"/>
      <c r="DU29" s="407"/>
      <c r="DV29" s="407">
        <v>58.365257353492098</v>
      </c>
      <c r="DW29" s="407">
        <v>0</v>
      </c>
      <c r="DX29" s="407">
        <v>0</v>
      </c>
      <c r="DY29" s="407">
        <v>-18.060819999999993</v>
      </c>
      <c r="DZ29" s="407">
        <v>0.81203999999999965</v>
      </c>
      <c r="EA29" s="407">
        <v>0</v>
      </c>
      <c r="EB29" s="407">
        <v>0</v>
      </c>
      <c r="EC29" s="407">
        <v>-17.253691386485976</v>
      </c>
      <c r="ED29" s="407">
        <v>0</v>
      </c>
      <c r="EE29" s="407">
        <v>0</v>
      </c>
      <c r="EF29" s="407">
        <v>0</v>
      </c>
      <c r="EG29" s="407">
        <v>0</v>
      </c>
      <c r="EH29" s="407">
        <v>0</v>
      </c>
      <c r="EI29" s="407">
        <v>0</v>
      </c>
      <c r="EJ29" s="407">
        <v>0</v>
      </c>
      <c r="EK29" s="407">
        <v>0</v>
      </c>
      <c r="EL29" s="407">
        <v>0</v>
      </c>
      <c r="EM29" s="407">
        <v>0</v>
      </c>
      <c r="EN29" s="407">
        <v>0</v>
      </c>
      <c r="EO29" s="407">
        <v>0</v>
      </c>
      <c r="EP29" s="407">
        <v>0</v>
      </c>
      <c r="EQ29" s="407">
        <v>0</v>
      </c>
      <c r="ER29" s="407">
        <v>0</v>
      </c>
      <c r="ES29" s="407">
        <v>0</v>
      </c>
      <c r="ET29" s="407">
        <v>0</v>
      </c>
      <c r="EU29" s="407">
        <v>0</v>
      </c>
      <c r="EV29" s="407">
        <v>207</v>
      </c>
      <c r="EW29" s="407">
        <v>0</v>
      </c>
      <c r="EX29" s="407">
        <v>0</v>
      </c>
      <c r="EY29" s="407">
        <v>0</v>
      </c>
      <c r="EZ29" s="407"/>
      <c r="FA29" s="407">
        <v>0</v>
      </c>
      <c r="FB29" s="407"/>
      <c r="FC29" s="407"/>
      <c r="FD29" s="407"/>
      <c r="FE29" s="407"/>
      <c r="FF29" s="407">
        <v>0</v>
      </c>
      <c r="FG29" s="407">
        <v>0</v>
      </c>
      <c r="FH29" s="407">
        <v>0</v>
      </c>
      <c r="FI29" s="407">
        <v>0</v>
      </c>
    </row>
    <row r="30" spans="1:165" customFormat="1">
      <c r="A30" s="407">
        <v>28</v>
      </c>
      <c r="B30" s="407" t="s">
        <v>1092</v>
      </c>
      <c r="C30" s="407" t="s">
        <v>2313</v>
      </c>
      <c r="D30" s="407" t="s">
        <v>1220</v>
      </c>
      <c r="E30" s="407" t="s">
        <v>1023</v>
      </c>
      <c r="F30" s="407" t="s">
        <v>1023</v>
      </c>
      <c r="G30" s="407" t="s">
        <v>96</v>
      </c>
      <c r="H30" s="407" t="s">
        <v>96</v>
      </c>
      <c r="I30" s="407" t="s">
        <v>96</v>
      </c>
      <c r="J30" s="407" t="s">
        <v>2306</v>
      </c>
      <c r="K30" s="815">
        <v>44409</v>
      </c>
      <c r="L30" s="407">
        <v>0</v>
      </c>
      <c r="M30" s="407">
        <v>0</v>
      </c>
      <c r="N30" s="407">
        <v>0</v>
      </c>
      <c r="O30" s="407">
        <v>0</v>
      </c>
      <c r="P30" s="407">
        <v>0</v>
      </c>
      <c r="Q30" s="407">
        <v>0</v>
      </c>
      <c r="R30" s="407"/>
      <c r="S30" s="407"/>
      <c r="T30" s="407"/>
      <c r="U30" s="407"/>
      <c r="V30" s="407"/>
      <c r="W30" s="407"/>
      <c r="X30" s="407"/>
      <c r="Y30" s="407"/>
      <c r="Z30" s="407"/>
      <c r="AA30" s="407">
        <v>0</v>
      </c>
      <c r="AB30" s="407"/>
      <c r="AC30" s="407"/>
      <c r="AD30" s="407"/>
      <c r="AE30" s="407"/>
      <c r="AF30" s="407"/>
      <c r="AG30" s="407"/>
      <c r="AH30" s="407"/>
      <c r="AI30" s="407"/>
      <c r="AJ30" s="407"/>
      <c r="AK30" s="407"/>
      <c r="AL30" s="407"/>
      <c r="AM30" s="407"/>
      <c r="AN30" s="407"/>
      <c r="AO30" s="407"/>
      <c r="AP30" s="407"/>
      <c r="AQ30" s="407"/>
      <c r="AR30" s="407"/>
      <c r="AS30" s="407"/>
      <c r="AT30" s="407"/>
      <c r="AU30" s="407"/>
      <c r="AV30" s="407"/>
      <c r="AW30" s="407"/>
      <c r="AX30" s="407"/>
      <c r="AY30" s="407"/>
      <c r="AZ30" s="407">
        <v>0</v>
      </c>
      <c r="BA30" s="407"/>
      <c r="BB30" s="407"/>
      <c r="BC30" s="407"/>
      <c r="BD30" s="407"/>
      <c r="BE30" s="407"/>
      <c r="BF30" s="407"/>
      <c r="BG30" s="407"/>
      <c r="BH30" s="407"/>
      <c r="BI30" s="407">
        <v>0.92</v>
      </c>
      <c r="BJ30" s="407">
        <v>4.28</v>
      </c>
      <c r="BK30" s="407">
        <v>58.17</v>
      </c>
      <c r="BL30" s="407">
        <v>1</v>
      </c>
      <c r="BM30" s="407"/>
      <c r="BN30" s="407"/>
      <c r="BO30" s="407"/>
      <c r="BP30" s="407"/>
      <c r="BQ30" s="407"/>
      <c r="BR30" s="407"/>
      <c r="BS30" s="407"/>
      <c r="BT30" s="407"/>
      <c r="BU30" s="407"/>
      <c r="BV30" s="407"/>
      <c r="BW30" s="407"/>
      <c r="BX30" s="407"/>
      <c r="BY30" s="407"/>
      <c r="BZ30" s="407"/>
      <c r="CA30" s="407"/>
      <c r="CB30" s="407"/>
      <c r="CC30" s="407"/>
      <c r="CD30" s="407"/>
      <c r="CE30" s="407"/>
      <c r="CF30" s="407"/>
      <c r="CG30" s="407"/>
      <c r="CH30" s="407"/>
      <c r="CI30" s="407"/>
      <c r="CJ30" s="407">
        <v>-0.03</v>
      </c>
      <c r="CK30" s="407"/>
      <c r="CL30" s="407"/>
      <c r="CM30" s="407"/>
      <c r="CN30" s="407"/>
      <c r="CO30" s="407">
        <v>0</v>
      </c>
      <c r="CP30" s="407">
        <v>0</v>
      </c>
      <c r="CQ30" s="407">
        <v>31</v>
      </c>
      <c r="CR30" s="407"/>
      <c r="CS30" s="407"/>
      <c r="CT30" s="407"/>
      <c r="CU30" s="407"/>
      <c r="CV30" s="407"/>
      <c r="CW30" s="407"/>
      <c r="CX30" s="407"/>
      <c r="CY30" s="407"/>
      <c r="CZ30" s="407"/>
      <c r="DA30" s="407"/>
      <c r="DB30" s="407"/>
      <c r="DC30" s="407"/>
      <c r="DD30" s="407"/>
      <c r="DE30" s="407"/>
      <c r="DF30" s="407"/>
      <c r="DG30" s="407"/>
      <c r="DH30" s="407"/>
      <c r="DI30" s="407"/>
      <c r="DJ30" s="407"/>
      <c r="DK30" s="407">
        <v>0</v>
      </c>
      <c r="DL30" s="407"/>
      <c r="DM30" s="407"/>
      <c r="DN30" s="407"/>
      <c r="DO30" s="407"/>
      <c r="DP30" s="407"/>
      <c r="DQ30" s="407"/>
      <c r="DR30" s="407"/>
      <c r="DS30" s="407"/>
      <c r="DT30" s="407"/>
      <c r="DU30" s="407"/>
      <c r="DV30" s="407"/>
      <c r="DW30" s="407"/>
      <c r="DX30" s="407"/>
      <c r="DY30" s="407"/>
      <c r="DZ30" s="407"/>
      <c r="EA30" s="407"/>
      <c r="EB30" s="407"/>
      <c r="EC30" s="407"/>
      <c r="ED30" s="407"/>
      <c r="EE30" s="407"/>
      <c r="EF30" s="407"/>
      <c r="EG30" s="407"/>
      <c r="EH30" s="407"/>
      <c r="EI30" s="407"/>
      <c r="EJ30" s="407"/>
      <c r="EK30" s="407"/>
      <c r="EL30" s="407"/>
      <c r="EM30" s="407"/>
      <c r="EN30" s="407"/>
      <c r="EO30" s="407"/>
      <c r="EP30" s="407"/>
      <c r="EQ30" s="407"/>
      <c r="ER30" s="407"/>
      <c r="ES30" s="407"/>
      <c r="ET30" s="407"/>
      <c r="EU30" s="407"/>
      <c r="EV30" s="407">
        <v>207</v>
      </c>
      <c r="EW30" s="407"/>
      <c r="EX30" s="407"/>
      <c r="EY30" s="407"/>
      <c r="EZ30" s="407"/>
      <c r="FA30" s="407">
        <v>0</v>
      </c>
      <c r="FB30" s="407"/>
      <c r="FC30" s="407"/>
      <c r="FD30" s="407"/>
      <c r="FE30" s="407"/>
      <c r="FF30" s="407">
        <v>0</v>
      </c>
      <c r="FG30" s="407">
        <v>0</v>
      </c>
      <c r="FH30" s="407">
        <v>0</v>
      </c>
      <c r="FI30" s="407">
        <v>0</v>
      </c>
    </row>
    <row r="31" spans="1:165" customFormat="1">
      <c r="A31" s="407">
        <v>29</v>
      </c>
      <c r="B31" s="407" t="s">
        <v>1092</v>
      </c>
      <c r="C31" s="407" t="s">
        <v>2313</v>
      </c>
      <c r="D31" s="407" t="s">
        <v>1220</v>
      </c>
      <c r="E31" s="407" t="s">
        <v>1023</v>
      </c>
      <c r="F31" s="407" t="s">
        <v>1023</v>
      </c>
      <c r="G31" s="407" t="s">
        <v>96</v>
      </c>
      <c r="H31" s="407" t="s">
        <v>96</v>
      </c>
      <c r="I31" s="407" t="s">
        <v>2314</v>
      </c>
      <c r="J31" s="407" t="s">
        <v>2306</v>
      </c>
      <c r="K31" s="815">
        <v>44409</v>
      </c>
      <c r="L31" s="407">
        <v>0</v>
      </c>
      <c r="M31" s="407">
        <v>0</v>
      </c>
      <c r="N31" s="407">
        <v>1.6E-2</v>
      </c>
      <c r="O31" s="407">
        <v>1.6E-2</v>
      </c>
      <c r="P31" s="407">
        <v>1.6E-2</v>
      </c>
      <c r="Q31" s="407">
        <v>1.6E-2</v>
      </c>
      <c r="R31" s="407"/>
      <c r="S31" s="407">
        <v>1160</v>
      </c>
      <c r="T31" s="407">
        <v>127.85</v>
      </c>
      <c r="U31" s="407"/>
      <c r="V31" s="407">
        <v>20.605599999999999</v>
      </c>
      <c r="W31" s="407">
        <v>20.605599999999999</v>
      </c>
      <c r="X31" s="407">
        <v>16.39968</v>
      </c>
      <c r="Y31" s="407">
        <v>0</v>
      </c>
      <c r="Z31" s="407">
        <v>0.97720122634117446</v>
      </c>
      <c r="AA31" s="407">
        <v>0</v>
      </c>
      <c r="AB31" s="407">
        <v>0</v>
      </c>
      <c r="AC31" s="407">
        <v>0</v>
      </c>
      <c r="AD31" s="407">
        <v>3.0429136061267359</v>
      </c>
      <c r="AE31" s="407">
        <v>13.868977413141424</v>
      </c>
      <c r="AF31" s="407">
        <v>2.0455583391836321</v>
      </c>
      <c r="AG31" s="407">
        <v>0</v>
      </c>
      <c r="AH31" s="407">
        <v>0</v>
      </c>
      <c r="AI31" s="407">
        <v>0</v>
      </c>
      <c r="AJ31" s="407">
        <v>0</v>
      </c>
      <c r="AK31" s="407">
        <v>0</v>
      </c>
      <c r="AL31" s="407">
        <v>0.1511247586661536</v>
      </c>
      <c r="AM31" s="407"/>
      <c r="AN31" s="407">
        <v>3.665221267457152E-2</v>
      </c>
      <c r="AO31" s="407">
        <v>0</v>
      </c>
      <c r="AP31" s="407">
        <v>0</v>
      </c>
      <c r="AQ31" s="407">
        <v>0</v>
      </c>
      <c r="AR31" s="407">
        <v>0</v>
      </c>
      <c r="AS31" s="407">
        <v>0</v>
      </c>
      <c r="AT31" s="407">
        <v>0</v>
      </c>
      <c r="AU31" s="407">
        <v>0</v>
      </c>
      <c r="AV31" s="407">
        <v>0</v>
      </c>
      <c r="AW31" s="407">
        <v>0</v>
      </c>
      <c r="AX31" s="407">
        <v>0</v>
      </c>
      <c r="AY31" s="407">
        <v>0</v>
      </c>
      <c r="AZ31" s="407">
        <v>0</v>
      </c>
      <c r="BA31" s="407"/>
      <c r="BB31" s="407">
        <v>0</v>
      </c>
      <c r="BC31" s="407">
        <v>0</v>
      </c>
      <c r="BD31" s="407">
        <v>0</v>
      </c>
      <c r="BE31" s="407">
        <v>0</v>
      </c>
      <c r="BF31" s="407">
        <v>0</v>
      </c>
      <c r="BG31" s="407">
        <v>0.48317109877591996</v>
      </c>
      <c r="BH31" s="407">
        <v>0</v>
      </c>
      <c r="BI31" s="407">
        <v>0</v>
      </c>
      <c r="BJ31" s="407">
        <v>0</v>
      </c>
      <c r="BK31" s="407">
        <v>0</v>
      </c>
      <c r="BL31" s="407">
        <v>0</v>
      </c>
      <c r="BM31" s="407"/>
      <c r="BN31" s="407"/>
      <c r="BO31" s="407"/>
      <c r="BP31" s="407"/>
      <c r="BQ31" s="407"/>
      <c r="BR31" s="407"/>
      <c r="BS31" s="407"/>
      <c r="BT31" s="407"/>
      <c r="BU31" s="407"/>
      <c r="BV31" s="407">
        <v>2.528729437959552</v>
      </c>
      <c r="BW31" s="407"/>
      <c r="BX31" s="407"/>
      <c r="BY31" s="407"/>
      <c r="BZ31" s="407"/>
      <c r="CA31" s="407"/>
      <c r="CB31" s="407"/>
      <c r="CC31" s="407"/>
      <c r="CD31" s="407"/>
      <c r="CE31" s="407"/>
      <c r="CF31" s="407"/>
      <c r="CG31" s="407"/>
      <c r="CH31" s="407"/>
      <c r="CI31" s="407">
        <v>20.499600000000001</v>
      </c>
      <c r="CJ31" s="407">
        <v>-0.13600000000000279</v>
      </c>
      <c r="CK31" s="407"/>
      <c r="CL31" s="407"/>
      <c r="CM31" s="407"/>
      <c r="CN31" s="407"/>
      <c r="CO31" s="407">
        <v>-4.2702400000000003</v>
      </c>
      <c r="CP31" s="407">
        <v>6.4320000000000169E-2</v>
      </c>
      <c r="CQ31" s="407">
        <v>31</v>
      </c>
      <c r="CR31" s="407">
        <v>-0.10604684665460606</v>
      </c>
      <c r="CS31" s="407">
        <v>0</v>
      </c>
      <c r="CT31" s="407">
        <v>0</v>
      </c>
      <c r="CU31" s="407">
        <v>0</v>
      </c>
      <c r="CV31" s="407">
        <v>0</v>
      </c>
      <c r="CW31" s="407">
        <v>0</v>
      </c>
      <c r="CX31" s="407">
        <v>0</v>
      </c>
      <c r="CY31" s="407">
        <v>0</v>
      </c>
      <c r="CZ31" s="407">
        <v>-0.15963342421774396</v>
      </c>
      <c r="DA31" s="407">
        <v>0</v>
      </c>
      <c r="DB31" s="407">
        <v>0</v>
      </c>
      <c r="DC31" s="407">
        <v>6.4365972619616407E-2</v>
      </c>
      <c r="DD31" s="407">
        <v>0</v>
      </c>
      <c r="DE31" s="407">
        <v>0</v>
      </c>
      <c r="DF31" s="407">
        <v>0</v>
      </c>
      <c r="DG31" s="407">
        <v>1.520356428788644E-2</v>
      </c>
      <c r="DH31" s="407">
        <v>0</v>
      </c>
      <c r="DI31" s="407">
        <v>-2.2254246479828765E-2</v>
      </c>
      <c r="DJ31" s="407"/>
      <c r="DK31" s="407">
        <v>0</v>
      </c>
      <c r="DL31" s="407">
        <v>0</v>
      </c>
      <c r="DM31" s="407">
        <v>0</v>
      </c>
      <c r="DN31" s="407">
        <v>0</v>
      </c>
      <c r="DO31" s="407">
        <v>-2.8837675483073533E-3</v>
      </c>
      <c r="DP31" s="407">
        <v>-8.4494531622895941E-4</v>
      </c>
      <c r="DQ31" s="407">
        <v>0</v>
      </c>
      <c r="DR31" s="407">
        <v>0</v>
      </c>
      <c r="DS31" s="407"/>
      <c r="DT31" s="407"/>
      <c r="DU31" s="407"/>
      <c r="DV31" s="407">
        <v>13.868977413141424</v>
      </c>
      <c r="DW31" s="407">
        <v>0</v>
      </c>
      <c r="DX31" s="407">
        <v>0</v>
      </c>
      <c r="DY31" s="407">
        <v>-4.2702399999999976</v>
      </c>
      <c r="DZ31" s="407">
        <v>6.4320000000000377E-2</v>
      </c>
      <c r="EA31" s="407">
        <v>0</v>
      </c>
      <c r="EB31" s="407">
        <v>0</v>
      </c>
      <c r="EC31" s="407">
        <v>-4.099888649221743</v>
      </c>
      <c r="ED31" s="407">
        <v>0</v>
      </c>
      <c r="EE31" s="407">
        <v>0</v>
      </c>
      <c r="EF31" s="407">
        <v>0</v>
      </c>
      <c r="EG31" s="407">
        <v>0</v>
      </c>
      <c r="EH31" s="407">
        <v>0</v>
      </c>
      <c r="EI31" s="407">
        <v>0</v>
      </c>
      <c r="EJ31" s="407">
        <v>0</v>
      </c>
      <c r="EK31" s="407">
        <v>0</v>
      </c>
      <c r="EL31" s="407">
        <v>0</v>
      </c>
      <c r="EM31" s="407">
        <v>0</v>
      </c>
      <c r="EN31" s="407">
        <v>0</v>
      </c>
      <c r="EO31" s="407">
        <v>0</v>
      </c>
      <c r="EP31" s="407">
        <v>0</v>
      </c>
      <c r="EQ31" s="407">
        <v>0</v>
      </c>
      <c r="ER31" s="407">
        <v>0</v>
      </c>
      <c r="ES31" s="407">
        <v>0</v>
      </c>
      <c r="ET31" s="407">
        <v>0</v>
      </c>
      <c r="EU31" s="407">
        <v>0</v>
      </c>
      <c r="EV31" s="407">
        <v>207</v>
      </c>
      <c r="EW31" s="407">
        <v>0</v>
      </c>
      <c r="EX31" s="407">
        <v>0</v>
      </c>
      <c r="EY31" s="407">
        <v>0</v>
      </c>
      <c r="EZ31" s="407"/>
      <c r="FA31" s="407">
        <v>0</v>
      </c>
      <c r="FB31" s="407"/>
      <c r="FC31" s="407"/>
      <c r="FD31" s="407"/>
      <c r="FE31" s="407"/>
      <c r="FF31" s="407">
        <v>0</v>
      </c>
      <c r="FG31" s="407">
        <v>0</v>
      </c>
      <c r="FH31" s="407">
        <v>0</v>
      </c>
      <c r="FI31" s="407">
        <v>0</v>
      </c>
    </row>
    <row r="32" spans="1:165" customFormat="1">
      <c r="A32" s="407">
        <v>30</v>
      </c>
      <c r="B32" s="407" t="s">
        <v>1092</v>
      </c>
      <c r="C32" s="407" t="s">
        <v>2305</v>
      </c>
      <c r="D32" s="407" t="s">
        <v>1221</v>
      </c>
      <c r="E32" s="407" t="s">
        <v>1051</v>
      </c>
      <c r="F32" s="407" t="s">
        <v>96</v>
      </c>
      <c r="G32" s="407" t="s">
        <v>96</v>
      </c>
      <c r="H32" s="407" t="s">
        <v>96</v>
      </c>
      <c r="I32" s="407" t="s">
        <v>96</v>
      </c>
      <c r="J32" s="407" t="s">
        <v>2306</v>
      </c>
      <c r="K32" s="815">
        <v>44409</v>
      </c>
      <c r="L32" s="407">
        <v>0</v>
      </c>
      <c r="M32" s="407">
        <v>0</v>
      </c>
      <c r="N32" s="407">
        <v>122.646</v>
      </c>
      <c r="O32" s="407">
        <v>122.646</v>
      </c>
      <c r="P32" s="407">
        <v>122.646</v>
      </c>
      <c r="Q32" s="407">
        <v>122.646</v>
      </c>
      <c r="R32" s="407"/>
      <c r="S32" s="407">
        <v>710.52</v>
      </c>
      <c r="T32" s="407">
        <v>127.85</v>
      </c>
      <c r="U32" s="407"/>
      <c r="V32" s="407">
        <v>102822.72702000001</v>
      </c>
      <c r="W32" s="407">
        <v>102822.72702000001</v>
      </c>
      <c r="X32" s="407">
        <v>84467.526660000003</v>
      </c>
      <c r="Y32" s="407">
        <v>0</v>
      </c>
      <c r="Z32" s="407">
        <v>7490.61385036498</v>
      </c>
      <c r="AA32" s="407">
        <v>0</v>
      </c>
      <c r="AB32" s="407">
        <v>0</v>
      </c>
      <c r="AC32" s="407">
        <v>0</v>
      </c>
      <c r="AD32" s="407">
        <v>13410.414685196991</v>
      </c>
      <c r="AE32" s="407">
        <v>61098.225238614796</v>
      </c>
      <c r="AF32" s="407">
        <v>15679.971754219732</v>
      </c>
      <c r="AG32" s="407">
        <v>0</v>
      </c>
      <c r="AH32" s="407">
        <v>0</v>
      </c>
      <c r="AI32" s="407">
        <v>0</v>
      </c>
      <c r="AJ32" s="407">
        <v>0</v>
      </c>
      <c r="AK32" s="407">
        <v>0</v>
      </c>
      <c r="AL32" s="407">
        <v>1158.4279469605672</v>
      </c>
      <c r="AM32" s="407"/>
      <c r="AN32" s="407">
        <v>280.95295473034366</v>
      </c>
      <c r="AO32" s="407">
        <v>0</v>
      </c>
      <c r="AP32" s="407">
        <v>0</v>
      </c>
      <c r="AQ32" s="407">
        <v>0</v>
      </c>
      <c r="AR32" s="407">
        <v>0</v>
      </c>
      <c r="AS32" s="407">
        <v>0</v>
      </c>
      <c r="AT32" s="407">
        <v>0</v>
      </c>
      <c r="AU32" s="407">
        <v>0</v>
      </c>
      <c r="AV32" s="407">
        <v>0</v>
      </c>
      <c r="AW32" s="407">
        <v>0</v>
      </c>
      <c r="AX32" s="407">
        <v>0</v>
      </c>
      <c r="AY32" s="407">
        <v>0</v>
      </c>
      <c r="AZ32" s="407">
        <v>0</v>
      </c>
      <c r="BA32" s="407"/>
      <c r="BB32" s="407">
        <v>0</v>
      </c>
      <c r="BC32" s="407">
        <v>0</v>
      </c>
      <c r="BD32" s="407">
        <v>0</v>
      </c>
      <c r="BE32" s="407">
        <v>0</v>
      </c>
      <c r="BF32" s="407">
        <v>0</v>
      </c>
      <c r="BG32" s="407">
        <v>3703.6876612794676</v>
      </c>
      <c r="BH32" s="407">
        <v>0</v>
      </c>
      <c r="BI32" s="407">
        <v>586.63</v>
      </c>
      <c r="BJ32" s="407">
        <v>2709.6</v>
      </c>
      <c r="BK32" s="407">
        <v>20863.23</v>
      </c>
      <c r="BL32" s="407">
        <v>88</v>
      </c>
      <c r="BM32" s="407"/>
      <c r="BN32" s="407"/>
      <c r="BO32" s="407"/>
      <c r="BP32" s="407"/>
      <c r="BQ32" s="407"/>
      <c r="BR32" s="407"/>
      <c r="BS32" s="407"/>
      <c r="BT32" s="407"/>
      <c r="BU32" s="407"/>
      <c r="BV32" s="407">
        <v>19383.659415499198</v>
      </c>
      <c r="BW32" s="407"/>
      <c r="BX32" s="407"/>
      <c r="BY32" s="407"/>
      <c r="BZ32" s="407"/>
      <c r="CA32" s="407"/>
      <c r="CB32" s="407"/>
      <c r="CC32" s="407"/>
      <c r="CD32" s="407"/>
      <c r="CE32" s="407"/>
      <c r="CF32" s="407"/>
      <c r="CG32" s="407"/>
      <c r="CH32" s="407"/>
      <c r="CI32" s="407">
        <v>84470.281500000012</v>
      </c>
      <c r="CJ32" s="407">
        <v>-18352.475519999978</v>
      </c>
      <c r="CK32" s="407"/>
      <c r="CL32" s="407"/>
      <c r="CM32" s="407"/>
      <c r="CN32" s="407"/>
      <c r="CO32" s="407">
        <v>-18848.237279999994</v>
      </c>
      <c r="CP32" s="407">
        <v>493.03692000000126</v>
      </c>
      <c r="CQ32" s="407">
        <v>31</v>
      </c>
      <c r="CR32" s="407">
        <v>-292.75873418051924</v>
      </c>
      <c r="CS32" s="407">
        <v>0</v>
      </c>
      <c r="CT32" s="407">
        <v>0</v>
      </c>
      <c r="CU32" s="407">
        <v>0</v>
      </c>
      <c r="CV32" s="407">
        <v>0</v>
      </c>
      <c r="CW32" s="407">
        <v>0</v>
      </c>
      <c r="CX32" s="407">
        <v>0</v>
      </c>
      <c r="CY32" s="407">
        <v>0</v>
      </c>
      <c r="CZ32" s="407">
        <v>-703.5199461685479</v>
      </c>
      <c r="DA32" s="407">
        <v>0</v>
      </c>
      <c r="DB32" s="407">
        <v>0</v>
      </c>
      <c r="DC32" s="407">
        <v>493.38931736909217</v>
      </c>
      <c r="DD32" s="407">
        <v>0</v>
      </c>
      <c r="DE32" s="407">
        <v>0</v>
      </c>
      <c r="DF32" s="407">
        <v>0</v>
      </c>
      <c r="DG32" s="407">
        <v>116.54102160325738</v>
      </c>
      <c r="DH32" s="407">
        <v>0</v>
      </c>
      <c r="DI32" s="407">
        <v>-170.58714461031741</v>
      </c>
      <c r="DJ32" s="407"/>
      <c r="DK32" s="407">
        <v>0</v>
      </c>
      <c r="DL32" s="407">
        <v>0</v>
      </c>
      <c r="DM32" s="407">
        <v>0</v>
      </c>
      <c r="DN32" s="407">
        <v>0</v>
      </c>
      <c r="DO32" s="407">
        <v>-22.105159670606554</v>
      </c>
      <c r="DP32" s="407">
        <v>-6.4768227033885637</v>
      </c>
      <c r="DQ32" s="407">
        <v>0</v>
      </c>
      <c r="DR32" s="407">
        <v>0</v>
      </c>
      <c r="DS32" s="407"/>
      <c r="DT32" s="407"/>
      <c r="DU32" s="407"/>
      <c r="DV32" s="407">
        <v>61098.225238614796</v>
      </c>
      <c r="DW32" s="407">
        <v>0</v>
      </c>
      <c r="DX32" s="407">
        <v>0</v>
      </c>
      <c r="DY32" s="407">
        <v>-18848.237280000001</v>
      </c>
      <c r="DZ32" s="407">
        <v>493.03692000000228</v>
      </c>
      <c r="EA32" s="407">
        <v>0</v>
      </c>
      <c r="EB32" s="407">
        <v>0</v>
      </c>
      <c r="EC32" s="407">
        <v>-18061.59983403208</v>
      </c>
      <c r="ED32" s="407">
        <v>0</v>
      </c>
      <c r="EE32" s="407">
        <v>0</v>
      </c>
      <c r="EF32" s="407">
        <v>0</v>
      </c>
      <c r="EG32" s="407">
        <v>0</v>
      </c>
      <c r="EH32" s="407">
        <v>0</v>
      </c>
      <c r="EI32" s="407">
        <v>0</v>
      </c>
      <c r="EJ32" s="407">
        <v>0</v>
      </c>
      <c r="EK32" s="407">
        <v>0</v>
      </c>
      <c r="EL32" s="407">
        <v>0</v>
      </c>
      <c r="EM32" s="407">
        <v>0</v>
      </c>
      <c r="EN32" s="407">
        <v>0</v>
      </c>
      <c r="EO32" s="407">
        <v>0</v>
      </c>
      <c r="EP32" s="407">
        <v>0</v>
      </c>
      <c r="EQ32" s="407">
        <v>0</v>
      </c>
      <c r="ER32" s="407">
        <v>0</v>
      </c>
      <c r="ES32" s="407">
        <v>0</v>
      </c>
      <c r="ET32" s="407">
        <v>0</v>
      </c>
      <c r="EU32" s="407">
        <v>0</v>
      </c>
      <c r="EV32" s="407">
        <v>207</v>
      </c>
      <c r="EW32" s="407">
        <v>0</v>
      </c>
      <c r="EX32" s="407">
        <v>0</v>
      </c>
      <c r="EY32" s="407">
        <v>0</v>
      </c>
      <c r="EZ32" s="407"/>
      <c r="FA32" s="407">
        <v>0</v>
      </c>
      <c r="FB32" s="407"/>
      <c r="FC32" s="407"/>
      <c r="FD32" s="407"/>
      <c r="FE32" s="407"/>
      <c r="FF32" s="407">
        <v>0</v>
      </c>
      <c r="FG32" s="407">
        <v>0</v>
      </c>
      <c r="FH32" s="407">
        <v>0</v>
      </c>
      <c r="FI32" s="407">
        <v>0</v>
      </c>
    </row>
    <row r="33" spans="1:165" customFormat="1">
      <c r="A33" s="407">
        <v>31</v>
      </c>
      <c r="B33" s="407" t="s">
        <v>1092</v>
      </c>
      <c r="C33" s="407" t="s">
        <v>2315</v>
      </c>
      <c r="D33" s="407" t="s">
        <v>648</v>
      </c>
      <c r="E33" s="407" t="s">
        <v>1051</v>
      </c>
      <c r="F33" s="407" t="s">
        <v>96</v>
      </c>
      <c r="G33" s="407" t="s">
        <v>96</v>
      </c>
      <c r="H33" s="407" t="s">
        <v>96</v>
      </c>
      <c r="I33" s="407" t="s">
        <v>1027</v>
      </c>
      <c r="J33" s="407" t="s">
        <v>2306</v>
      </c>
      <c r="K33" s="815">
        <v>44409</v>
      </c>
      <c r="L33" s="407">
        <v>0</v>
      </c>
      <c r="M33" s="407">
        <v>0</v>
      </c>
      <c r="N33" s="407">
        <v>2.7229999999999999</v>
      </c>
      <c r="O33" s="407">
        <v>2.7229999999999999</v>
      </c>
      <c r="P33" s="407">
        <v>2.7229999999999999</v>
      </c>
      <c r="Q33" s="407">
        <v>2.7229999999999999</v>
      </c>
      <c r="R33" s="407"/>
      <c r="S33" s="407">
        <v>2075.9499999999998</v>
      </c>
      <c r="T33" s="407">
        <v>127.85</v>
      </c>
      <c r="U33" s="407"/>
      <c r="V33" s="407">
        <v>6000.9473999999991</v>
      </c>
      <c r="W33" s="407">
        <v>6000.9473999999991</v>
      </c>
      <c r="X33" s="407">
        <v>4809.9344299999993</v>
      </c>
      <c r="Y33" s="407">
        <v>0</v>
      </c>
      <c r="Z33" s="407">
        <v>144.68746732590671</v>
      </c>
      <c r="AA33" s="407">
        <v>0</v>
      </c>
      <c r="AB33" s="407">
        <v>0</v>
      </c>
      <c r="AC33" s="407">
        <v>0</v>
      </c>
      <c r="AD33" s="407">
        <v>1715.5142821697921</v>
      </c>
      <c r="AE33" s="407">
        <v>3750.0169052523192</v>
      </c>
      <c r="AF33" s="407">
        <v>348.12845984981436</v>
      </c>
      <c r="AG33" s="407">
        <v>0</v>
      </c>
      <c r="AH33" s="407">
        <v>0</v>
      </c>
      <c r="AI33" s="407">
        <v>0</v>
      </c>
      <c r="AJ33" s="407">
        <v>0</v>
      </c>
      <c r="AK33" s="407">
        <v>0</v>
      </c>
      <c r="AL33" s="407">
        <v>25.719544865496015</v>
      </c>
      <c r="AM33" s="407"/>
      <c r="AN33" s="407">
        <v>2.7349923972586749</v>
      </c>
      <c r="AO33" s="407">
        <v>0</v>
      </c>
      <c r="AP33" s="407">
        <v>0</v>
      </c>
      <c r="AQ33" s="407">
        <v>0</v>
      </c>
      <c r="AR33" s="407">
        <v>0</v>
      </c>
      <c r="AS33" s="407">
        <v>0</v>
      </c>
      <c r="AT33" s="407">
        <v>0</v>
      </c>
      <c r="AU33" s="407">
        <v>0</v>
      </c>
      <c r="AV33" s="407">
        <v>0</v>
      </c>
      <c r="AW33" s="407">
        <v>0</v>
      </c>
      <c r="AX33" s="407">
        <v>0</v>
      </c>
      <c r="AY33" s="407">
        <v>0</v>
      </c>
      <c r="AZ33" s="407">
        <v>0</v>
      </c>
      <c r="BA33" s="407"/>
      <c r="BB33" s="407">
        <v>0</v>
      </c>
      <c r="BC33" s="407">
        <v>0</v>
      </c>
      <c r="BD33" s="407">
        <v>0</v>
      </c>
      <c r="BE33" s="407">
        <v>0</v>
      </c>
      <c r="BF33" s="407">
        <v>0</v>
      </c>
      <c r="BG33" s="407">
        <v>14.136679081872948</v>
      </c>
      <c r="BH33" s="407">
        <v>0</v>
      </c>
      <c r="BI33" s="407">
        <v>0</v>
      </c>
      <c r="BJ33" s="407">
        <v>0</v>
      </c>
      <c r="BK33" s="407">
        <v>0</v>
      </c>
      <c r="BL33" s="407">
        <v>0</v>
      </c>
      <c r="BM33" s="407"/>
      <c r="BN33" s="407"/>
      <c r="BO33" s="407"/>
      <c r="BP33" s="407"/>
      <c r="BQ33" s="407"/>
      <c r="BR33" s="407"/>
      <c r="BS33" s="407"/>
      <c r="BT33" s="407"/>
      <c r="BU33" s="407"/>
      <c r="BV33" s="407">
        <v>362.26513893168732</v>
      </c>
      <c r="BW33" s="407"/>
      <c r="BX33" s="407"/>
      <c r="BY33" s="407"/>
      <c r="BZ33" s="407"/>
      <c r="CA33" s="407"/>
      <c r="CB33" s="407"/>
      <c r="CC33" s="407"/>
      <c r="CD33" s="407"/>
      <c r="CE33" s="407"/>
      <c r="CF33" s="407"/>
      <c r="CG33" s="407"/>
      <c r="CH33" s="407"/>
      <c r="CI33" s="407">
        <v>4804.6352000000006</v>
      </c>
      <c r="CJ33" s="407">
        <v>-1196.3421999999991</v>
      </c>
      <c r="CK33" s="407"/>
      <c r="CL33" s="407"/>
      <c r="CM33" s="407"/>
      <c r="CN33" s="407"/>
      <c r="CO33" s="407">
        <v>-1201.9594299999997</v>
      </c>
      <c r="CP33" s="407">
        <v>10.946460000000027</v>
      </c>
      <c r="CQ33" s="407">
        <v>31</v>
      </c>
      <c r="CR33" s="407">
        <v>-82.446858940495531</v>
      </c>
      <c r="CS33" s="407">
        <v>0</v>
      </c>
      <c r="CT33" s="407">
        <v>0</v>
      </c>
      <c r="CU33" s="407">
        <v>0</v>
      </c>
      <c r="CV33" s="407">
        <v>0</v>
      </c>
      <c r="CW33" s="407">
        <v>0</v>
      </c>
      <c r="CX33" s="407">
        <v>0</v>
      </c>
      <c r="CY33" s="407">
        <v>0</v>
      </c>
      <c r="CZ33" s="407">
        <v>-89.997106262174611</v>
      </c>
      <c r="DA33" s="407">
        <v>0</v>
      </c>
      <c r="DB33" s="407">
        <v>0</v>
      </c>
      <c r="DC33" s="407">
        <v>10.954283965200943</v>
      </c>
      <c r="DD33" s="407">
        <v>0</v>
      </c>
      <c r="DE33" s="407">
        <v>0</v>
      </c>
      <c r="DF33" s="407">
        <v>0</v>
      </c>
      <c r="DG33" s="407">
        <v>0.44482774276642978</v>
      </c>
      <c r="DH33" s="407">
        <v>0</v>
      </c>
      <c r="DI33" s="407">
        <v>-3.2950332783240128</v>
      </c>
      <c r="DJ33" s="407"/>
      <c r="DK33" s="407">
        <v>0</v>
      </c>
      <c r="DL33" s="407">
        <v>0</v>
      </c>
      <c r="DM33" s="407">
        <v>0</v>
      </c>
      <c r="DN33" s="407">
        <v>0</v>
      </c>
      <c r="DO33" s="407">
        <v>-0.49078118962755823</v>
      </c>
      <c r="DP33" s="407">
        <v>-6.3049918336550714E-2</v>
      </c>
      <c r="DQ33" s="407">
        <v>0</v>
      </c>
      <c r="DR33" s="407">
        <v>0</v>
      </c>
      <c r="DS33" s="407"/>
      <c r="DT33" s="407"/>
      <c r="DU33" s="407"/>
      <c r="DV33" s="407">
        <v>3750.0169052523192</v>
      </c>
      <c r="DW33" s="407">
        <v>0</v>
      </c>
      <c r="DX33" s="407">
        <v>0</v>
      </c>
      <c r="DY33" s="407">
        <v>-1201.9594299999999</v>
      </c>
      <c r="DZ33" s="407">
        <v>10.946460000000002</v>
      </c>
      <c r="EA33" s="407">
        <v>0</v>
      </c>
      <c r="EB33" s="407">
        <v>0</v>
      </c>
      <c r="EC33" s="407">
        <v>-1108.5641923149592</v>
      </c>
      <c r="ED33" s="407">
        <v>0</v>
      </c>
      <c r="EE33" s="407">
        <v>0</v>
      </c>
      <c r="EF33" s="407">
        <v>0</v>
      </c>
      <c r="EG33" s="407">
        <v>0</v>
      </c>
      <c r="EH33" s="407">
        <v>0</v>
      </c>
      <c r="EI33" s="407">
        <v>0</v>
      </c>
      <c r="EJ33" s="407">
        <v>0</v>
      </c>
      <c r="EK33" s="407">
        <v>0</v>
      </c>
      <c r="EL33" s="407">
        <v>0</v>
      </c>
      <c r="EM33" s="407">
        <v>0</v>
      </c>
      <c r="EN33" s="407">
        <v>0</v>
      </c>
      <c r="EO33" s="407">
        <v>0</v>
      </c>
      <c r="EP33" s="407">
        <v>0</v>
      </c>
      <c r="EQ33" s="407">
        <v>0</v>
      </c>
      <c r="ER33" s="407">
        <v>0</v>
      </c>
      <c r="ES33" s="407">
        <v>0</v>
      </c>
      <c r="ET33" s="407">
        <v>0</v>
      </c>
      <c r="EU33" s="407">
        <v>0</v>
      </c>
      <c r="EV33" s="407">
        <v>207</v>
      </c>
      <c r="EW33" s="407">
        <v>0</v>
      </c>
      <c r="EX33" s="407">
        <v>0</v>
      </c>
      <c r="EY33" s="407">
        <v>0</v>
      </c>
      <c r="EZ33" s="407"/>
      <c r="FA33" s="407">
        <v>0</v>
      </c>
      <c r="FB33" s="407"/>
      <c r="FC33" s="407"/>
      <c r="FD33" s="407"/>
      <c r="FE33" s="407"/>
      <c r="FF33" s="407">
        <v>0</v>
      </c>
      <c r="FG33" s="407">
        <v>0</v>
      </c>
      <c r="FH33" s="407">
        <v>0</v>
      </c>
      <c r="FI33" s="407">
        <v>0</v>
      </c>
    </row>
    <row r="34" spans="1:165" customFormat="1">
      <c r="A34" s="407">
        <v>32</v>
      </c>
      <c r="B34" s="407" t="s">
        <v>1092</v>
      </c>
      <c r="C34" s="407" t="s">
        <v>2315</v>
      </c>
      <c r="D34" s="407" t="s">
        <v>648</v>
      </c>
      <c r="E34" s="407" t="s">
        <v>1051</v>
      </c>
      <c r="F34" s="407" t="s">
        <v>96</v>
      </c>
      <c r="G34" s="407" t="s">
        <v>96</v>
      </c>
      <c r="H34" s="407" t="s">
        <v>96</v>
      </c>
      <c r="I34" s="407" t="s">
        <v>2290</v>
      </c>
      <c r="J34" s="407" t="s">
        <v>2306</v>
      </c>
      <c r="K34" s="815">
        <v>44409</v>
      </c>
      <c r="L34" s="407">
        <v>0</v>
      </c>
      <c r="M34" s="407">
        <v>0</v>
      </c>
      <c r="N34" s="407">
        <v>59.265999999999998</v>
      </c>
      <c r="O34" s="407">
        <v>59.265999999999998</v>
      </c>
      <c r="P34" s="407">
        <v>59.265999999999998</v>
      </c>
      <c r="Q34" s="407">
        <v>59.265999999999998</v>
      </c>
      <c r="R34" s="407"/>
      <c r="S34" s="407">
        <v>68.78</v>
      </c>
      <c r="T34" s="407">
        <v>127.85</v>
      </c>
      <c r="U34" s="407"/>
      <c r="V34" s="407">
        <v>11653.47358</v>
      </c>
      <c r="W34" s="407">
        <v>11653.47358</v>
      </c>
      <c r="X34" s="407">
        <v>11817.6404</v>
      </c>
      <c r="Y34" s="407">
        <v>0</v>
      </c>
      <c r="Z34" s="407">
        <v>3149.1176784932745</v>
      </c>
      <c r="AA34" s="407">
        <v>0</v>
      </c>
      <c r="AB34" s="407">
        <v>0</v>
      </c>
      <c r="AC34" s="407">
        <v>0</v>
      </c>
      <c r="AD34" s="407">
        <v>0</v>
      </c>
      <c r="AE34" s="407">
        <v>0</v>
      </c>
      <c r="AF34" s="407">
        <v>7577.0037831285699</v>
      </c>
      <c r="AG34" s="407">
        <v>0</v>
      </c>
      <c r="AH34" s="407">
        <v>0</v>
      </c>
      <c r="AI34" s="407">
        <v>0</v>
      </c>
      <c r="AJ34" s="407">
        <v>0</v>
      </c>
      <c r="AK34" s="407">
        <v>0</v>
      </c>
      <c r="AL34" s="407">
        <v>559.78499669426617</v>
      </c>
      <c r="AM34" s="407"/>
      <c r="AN34" s="407">
        <v>59.52701410794441</v>
      </c>
      <c r="AO34" s="407">
        <v>0</v>
      </c>
      <c r="AP34" s="407">
        <v>0</v>
      </c>
      <c r="AQ34" s="407">
        <v>0</v>
      </c>
      <c r="AR34" s="407">
        <v>0</v>
      </c>
      <c r="AS34" s="407">
        <v>0</v>
      </c>
      <c r="AT34" s="407">
        <v>0</v>
      </c>
      <c r="AU34" s="407">
        <v>0</v>
      </c>
      <c r="AV34" s="407">
        <v>0</v>
      </c>
      <c r="AW34" s="407">
        <v>0</v>
      </c>
      <c r="AX34" s="407">
        <v>0</v>
      </c>
      <c r="AY34" s="407">
        <v>0</v>
      </c>
      <c r="AZ34" s="407">
        <v>0</v>
      </c>
      <c r="BA34" s="407"/>
      <c r="BB34" s="407">
        <v>0</v>
      </c>
      <c r="BC34" s="407">
        <v>0</v>
      </c>
      <c r="BD34" s="407">
        <v>0</v>
      </c>
      <c r="BE34" s="407">
        <v>0</v>
      </c>
      <c r="BF34" s="407">
        <v>0</v>
      </c>
      <c r="BG34" s="407">
        <v>307.68432701662954</v>
      </c>
      <c r="BH34" s="407">
        <v>0</v>
      </c>
      <c r="BI34" s="407">
        <v>0</v>
      </c>
      <c r="BJ34" s="407">
        <v>0</v>
      </c>
      <c r="BK34" s="407">
        <v>0</v>
      </c>
      <c r="BL34" s="407">
        <v>0</v>
      </c>
      <c r="BM34" s="407"/>
      <c r="BN34" s="407"/>
      <c r="BO34" s="407"/>
      <c r="BP34" s="407"/>
      <c r="BQ34" s="407"/>
      <c r="BR34" s="407"/>
      <c r="BS34" s="407"/>
      <c r="BT34" s="407"/>
      <c r="BU34" s="407"/>
      <c r="BV34" s="407">
        <v>7884.6881101451991</v>
      </c>
      <c r="BW34" s="407"/>
      <c r="BX34" s="407"/>
      <c r="BY34" s="407"/>
      <c r="BZ34" s="407"/>
      <c r="CA34" s="407"/>
      <c r="CB34" s="407"/>
      <c r="CC34" s="407"/>
      <c r="CD34" s="407"/>
      <c r="CE34" s="407"/>
      <c r="CF34" s="407"/>
      <c r="CG34" s="407"/>
      <c r="CH34" s="407"/>
      <c r="CI34" s="407">
        <v>11818.438000000002</v>
      </c>
      <c r="CJ34" s="407">
        <v>164.93442000000141</v>
      </c>
      <c r="CK34" s="407"/>
      <c r="CL34" s="407"/>
      <c r="CM34" s="407"/>
      <c r="CN34" s="407"/>
      <c r="CO34" s="407">
        <v>-74.082499999999996</v>
      </c>
      <c r="CP34" s="407">
        <v>238.24932000000061</v>
      </c>
      <c r="CQ34" s="407">
        <v>31</v>
      </c>
      <c r="CR34" s="407">
        <v>164.33086954338796</v>
      </c>
      <c r="CS34" s="407">
        <v>0</v>
      </c>
      <c r="CT34" s="407">
        <v>0</v>
      </c>
      <c r="CU34" s="407">
        <v>0</v>
      </c>
      <c r="CV34" s="407">
        <v>0</v>
      </c>
      <c r="CW34" s="407">
        <v>0</v>
      </c>
      <c r="CX34" s="407">
        <v>0</v>
      </c>
      <c r="CY34" s="407">
        <v>0</v>
      </c>
      <c r="CZ34" s="407">
        <v>0</v>
      </c>
      <c r="DA34" s="407">
        <v>0</v>
      </c>
      <c r="DB34" s="407">
        <v>0</v>
      </c>
      <c r="DC34" s="407">
        <v>238.4196083296365</v>
      </c>
      <c r="DD34" s="407">
        <v>0</v>
      </c>
      <c r="DE34" s="407">
        <v>0</v>
      </c>
      <c r="DF34" s="407">
        <v>0</v>
      </c>
      <c r="DG34" s="407">
        <v>9.6816603021649712</v>
      </c>
      <c r="DH34" s="407">
        <v>0</v>
      </c>
      <c r="DI34" s="407">
        <v>-71.716284345629902</v>
      </c>
      <c r="DJ34" s="407"/>
      <c r="DK34" s="407">
        <v>0</v>
      </c>
      <c r="DL34" s="407">
        <v>0</v>
      </c>
      <c r="DM34" s="407">
        <v>0</v>
      </c>
      <c r="DN34" s="407">
        <v>0</v>
      </c>
      <c r="DO34" s="407">
        <v>-10.681835469873931</v>
      </c>
      <c r="DP34" s="407">
        <v>-1.3722792729100277</v>
      </c>
      <c r="DQ34" s="407">
        <v>0</v>
      </c>
      <c r="DR34" s="407">
        <v>0</v>
      </c>
      <c r="DS34" s="407"/>
      <c r="DT34" s="407"/>
      <c r="DU34" s="407"/>
      <c r="DV34" s="407">
        <v>0</v>
      </c>
      <c r="DW34" s="407">
        <v>0</v>
      </c>
      <c r="DX34" s="407">
        <v>0</v>
      </c>
      <c r="DY34" s="407">
        <v>-74.082499999999982</v>
      </c>
      <c r="DZ34" s="407">
        <v>238.24932000000081</v>
      </c>
      <c r="EA34" s="407">
        <v>0</v>
      </c>
      <c r="EB34" s="407">
        <v>0</v>
      </c>
      <c r="EC34" s="407">
        <v>0</v>
      </c>
      <c r="ED34" s="407">
        <v>0</v>
      </c>
      <c r="EE34" s="407">
        <v>0</v>
      </c>
      <c r="EF34" s="407">
        <v>0</v>
      </c>
      <c r="EG34" s="407">
        <v>0</v>
      </c>
      <c r="EH34" s="407">
        <v>0</v>
      </c>
      <c r="EI34" s="407">
        <v>0</v>
      </c>
      <c r="EJ34" s="407">
        <v>0</v>
      </c>
      <c r="EK34" s="407">
        <v>0</v>
      </c>
      <c r="EL34" s="407">
        <v>0</v>
      </c>
      <c r="EM34" s="407">
        <v>0</v>
      </c>
      <c r="EN34" s="407">
        <v>0</v>
      </c>
      <c r="EO34" s="407">
        <v>0</v>
      </c>
      <c r="EP34" s="407">
        <v>0</v>
      </c>
      <c r="EQ34" s="407">
        <v>0</v>
      </c>
      <c r="ER34" s="407">
        <v>0</v>
      </c>
      <c r="ES34" s="407">
        <v>0</v>
      </c>
      <c r="ET34" s="407">
        <v>0</v>
      </c>
      <c r="EU34" s="407">
        <v>0</v>
      </c>
      <c r="EV34" s="407">
        <v>207</v>
      </c>
      <c r="EW34" s="407">
        <v>0</v>
      </c>
      <c r="EX34" s="407">
        <v>0</v>
      </c>
      <c r="EY34" s="407">
        <v>0</v>
      </c>
      <c r="EZ34" s="407"/>
      <c r="FA34" s="407">
        <v>0</v>
      </c>
      <c r="FB34" s="407"/>
      <c r="FC34" s="407"/>
      <c r="FD34" s="407"/>
      <c r="FE34" s="407"/>
      <c r="FF34" s="407">
        <v>0</v>
      </c>
      <c r="FG34" s="407">
        <v>0</v>
      </c>
      <c r="FH34" s="407">
        <v>0</v>
      </c>
      <c r="FI34" s="407">
        <v>0</v>
      </c>
    </row>
    <row r="35" spans="1:165" customFormat="1">
      <c r="A35" s="407">
        <v>33</v>
      </c>
      <c r="B35" s="407" t="s">
        <v>1092</v>
      </c>
      <c r="C35" s="407" t="s">
        <v>2315</v>
      </c>
      <c r="D35" s="407" t="s">
        <v>648</v>
      </c>
      <c r="E35" s="407" t="s">
        <v>1051</v>
      </c>
      <c r="F35" s="407" t="s">
        <v>96</v>
      </c>
      <c r="G35" s="407" t="s">
        <v>96</v>
      </c>
      <c r="H35" s="407" t="s">
        <v>96</v>
      </c>
      <c r="I35" s="407" t="s">
        <v>96</v>
      </c>
      <c r="J35" s="407" t="s">
        <v>2306</v>
      </c>
      <c r="K35" s="815">
        <v>44409</v>
      </c>
      <c r="L35" s="407">
        <v>297</v>
      </c>
      <c r="M35" s="407">
        <v>297</v>
      </c>
      <c r="N35" s="407">
        <v>0</v>
      </c>
      <c r="O35" s="407">
        <v>0</v>
      </c>
      <c r="P35" s="407">
        <v>0</v>
      </c>
      <c r="Q35" s="407">
        <v>0</v>
      </c>
      <c r="R35" s="407">
        <v>39.56</v>
      </c>
      <c r="S35" s="407"/>
      <c r="T35" s="407"/>
      <c r="U35" s="407">
        <v>11749.320000000002</v>
      </c>
      <c r="V35" s="407"/>
      <c r="W35" s="407">
        <v>11749.320000000002</v>
      </c>
      <c r="X35" s="407">
        <v>9224.82</v>
      </c>
      <c r="Y35" s="407">
        <v>0</v>
      </c>
      <c r="Z35" s="407">
        <v>0</v>
      </c>
      <c r="AA35" s="407">
        <v>0</v>
      </c>
      <c r="AB35" s="407">
        <v>0</v>
      </c>
      <c r="AC35" s="407">
        <v>0</v>
      </c>
      <c r="AD35" s="407">
        <v>3911.5736946361744</v>
      </c>
      <c r="AE35" s="407">
        <v>7836.3248309009823</v>
      </c>
      <c r="AF35" s="407"/>
      <c r="AG35" s="407"/>
      <c r="AH35" s="407"/>
      <c r="AI35" s="407">
        <v>0</v>
      </c>
      <c r="AJ35" s="407">
        <v>0</v>
      </c>
      <c r="AK35" s="407">
        <v>0</v>
      </c>
      <c r="AL35" s="407">
        <v>0</v>
      </c>
      <c r="AM35" s="407"/>
      <c r="AN35" s="407">
        <v>0</v>
      </c>
      <c r="AO35" s="407">
        <v>0</v>
      </c>
      <c r="AP35" s="407">
        <v>0</v>
      </c>
      <c r="AQ35" s="407">
        <v>0</v>
      </c>
      <c r="AR35" s="407">
        <v>0</v>
      </c>
      <c r="AS35" s="407"/>
      <c r="AT35" s="407"/>
      <c r="AU35" s="407">
        <v>0</v>
      </c>
      <c r="AV35" s="407">
        <v>0</v>
      </c>
      <c r="AW35" s="407">
        <v>0</v>
      </c>
      <c r="AX35" s="407"/>
      <c r="AY35" s="407"/>
      <c r="AZ35" s="407">
        <v>0</v>
      </c>
      <c r="BA35" s="407"/>
      <c r="BB35" s="407">
        <v>0</v>
      </c>
      <c r="BC35" s="407">
        <v>0</v>
      </c>
      <c r="BD35" s="407">
        <v>0</v>
      </c>
      <c r="BE35" s="407">
        <v>0</v>
      </c>
      <c r="BF35" s="407"/>
      <c r="BG35" s="407">
        <v>0</v>
      </c>
      <c r="BH35" s="407">
        <v>0</v>
      </c>
      <c r="BI35" s="407">
        <v>270.88</v>
      </c>
      <c r="BJ35" s="407">
        <v>1250.29</v>
      </c>
      <c r="BK35" s="407">
        <v>7362.4</v>
      </c>
      <c r="BL35" s="407">
        <v>2</v>
      </c>
      <c r="BM35" s="407"/>
      <c r="BN35" s="407"/>
      <c r="BO35" s="407"/>
      <c r="BP35" s="407"/>
      <c r="BQ35" s="407"/>
      <c r="BR35" s="407"/>
      <c r="BS35" s="407"/>
      <c r="BT35" s="407"/>
      <c r="BU35" s="407"/>
      <c r="BV35" s="407">
        <v>0</v>
      </c>
      <c r="BW35" s="407"/>
      <c r="BX35" s="407"/>
      <c r="BY35" s="407"/>
      <c r="BZ35" s="407"/>
      <c r="CA35" s="407"/>
      <c r="CB35" s="407"/>
      <c r="CC35" s="407"/>
      <c r="CD35" s="407"/>
      <c r="CE35" s="407"/>
      <c r="CF35" s="407"/>
      <c r="CG35" s="407"/>
      <c r="CH35" s="407"/>
      <c r="CI35" s="407">
        <v>9224.82</v>
      </c>
      <c r="CJ35" s="407">
        <v>-2524.5300000000025</v>
      </c>
      <c r="CK35" s="407"/>
      <c r="CL35" s="407"/>
      <c r="CM35" s="407"/>
      <c r="CN35" s="407"/>
      <c r="CO35" s="407">
        <v>-2524.5000000000009</v>
      </c>
      <c r="CP35" s="407">
        <v>0</v>
      </c>
      <c r="CQ35" s="407">
        <v>31</v>
      </c>
      <c r="CR35" s="407">
        <v>-205.20395376902161</v>
      </c>
      <c r="CS35" s="407">
        <v>0</v>
      </c>
      <c r="CT35" s="407">
        <v>0</v>
      </c>
      <c r="CU35" s="407">
        <v>0</v>
      </c>
      <c r="CV35" s="407">
        <v>0</v>
      </c>
      <c r="CW35" s="407"/>
      <c r="CX35" s="407"/>
      <c r="CY35" s="407"/>
      <c r="CZ35" s="407">
        <v>-205.20395376902161</v>
      </c>
      <c r="DA35" s="407">
        <v>0</v>
      </c>
      <c r="DB35" s="407">
        <v>0</v>
      </c>
      <c r="DC35" s="407"/>
      <c r="DD35" s="407"/>
      <c r="DE35" s="407">
        <v>0</v>
      </c>
      <c r="DF35" s="407">
        <v>0</v>
      </c>
      <c r="DG35" s="407">
        <v>0</v>
      </c>
      <c r="DH35" s="407">
        <v>0</v>
      </c>
      <c r="DI35" s="407">
        <v>0</v>
      </c>
      <c r="DJ35" s="407"/>
      <c r="DK35" s="407">
        <v>0</v>
      </c>
      <c r="DL35" s="407">
        <v>0</v>
      </c>
      <c r="DM35" s="407"/>
      <c r="DN35" s="407">
        <v>0</v>
      </c>
      <c r="DO35" s="407">
        <v>0</v>
      </c>
      <c r="DP35" s="407">
        <v>0</v>
      </c>
      <c r="DQ35" s="407">
        <v>0</v>
      </c>
      <c r="DR35" s="407">
        <v>0</v>
      </c>
      <c r="DS35" s="407"/>
      <c r="DT35" s="407"/>
      <c r="DU35" s="407">
        <v>7836.3248309009823</v>
      </c>
      <c r="DV35" s="407"/>
      <c r="DW35" s="407">
        <v>0</v>
      </c>
      <c r="DX35" s="407">
        <v>0</v>
      </c>
      <c r="DY35" s="407">
        <v>-2524.5000000000018</v>
      </c>
      <c r="DZ35" s="407"/>
      <c r="EA35" s="407">
        <v>0</v>
      </c>
      <c r="EB35" s="407"/>
      <c r="EC35" s="407">
        <v>-2316.5413187119921</v>
      </c>
      <c r="ED35" s="407"/>
      <c r="EE35" s="407">
        <v>0</v>
      </c>
      <c r="EF35" s="407">
        <v>0</v>
      </c>
      <c r="EG35" s="407"/>
      <c r="EH35" s="407">
        <v>0</v>
      </c>
      <c r="EI35" s="407">
        <v>0</v>
      </c>
      <c r="EJ35" s="407">
        <v>0</v>
      </c>
      <c r="EK35" s="407">
        <v>0</v>
      </c>
      <c r="EL35" s="407">
        <v>0</v>
      </c>
      <c r="EM35" s="407"/>
      <c r="EN35" s="407"/>
      <c r="EO35" s="407">
        <v>0</v>
      </c>
      <c r="EP35" s="407">
        <v>0</v>
      </c>
      <c r="EQ35" s="407"/>
      <c r="ER35" s="407">
        <v>0</v>
      </c>
      <c r="ES35" s="407"/>
      <c r="ET35" s="407">
        <v>0</v>
      </c>
      <c r="EU35" s="407"/>
      <c r="EV35" s="407">
        <v>207</v>
      </c>
      <c r="EW35" s="407"/>
      <c r="EX35" s="407"/>
      <c r="EY35" s="407"/>
      <c r="EZ35" s="407"/>
      <c r="FA35" s="407">
        <v>0</v>
      </c>
      <c r="FB35" s="407"/>
      <c r="FC35" s="407"/>
      <c r="FD35" s="407"/>
      <c r="FE35" s="407"/>
      <c r="FF35" s="407">
        <v>0</v>
      </c>
      <c r="FG35" s="407">
        <v>0</v>
      </c>
      <c r="FH35" s="407">
        <v>0</v>
      </c>
      <c r="FI35" s="407">
        <v>0</v>
      </c>
    </row>
    <row r="36" spans="1:165" customFormat="1">
      <c r="A36" s="407">
        <v>34</v>
      </c>
      <c r="B36" s="407" t="s">
        <v>1092</v>
      </c>
      <c r="C36" s="407" t="s">
        <v>2305</v>
      </c>
      <c r="D36" s="407" t="s">
        <v>2316</v>
      </c>
      <c r="E36" s="407" t="s">
        <v>1028</v>
      </c>
      <c r="F36" s="407" t="s">
        <v>96</v>
      </c>
      <c r="G36" s="407" t="s">
        <v>96</v>
      </c>
      <c r="H36" s="407" t="s">
        <v>96</v>
      </c>
      <c r="I36" s="407" t="s">
        <v>96</v>
      </c>
      <c r="J36" s="407" t="s">
        <v>2306</v>
      </c>
      <c r="K36" s="815">
        <v>44409</v>
      </c>
      <c r="L36" s="407">
        <v>0</v>
      </c>
      <c r="M36" s="407">
        <v>0</v>
      </c>
      <c r="N36" s="407">
        <v>59.506</v>
      </c>
      <c r="O36" s="407">
        <v>59.506</v>
      </c>
      <c r="P36" s="407">
        <v>59.506</v>
      </c>
      <c r="Q36" s="407">
        <v>59.506</v>
      </c>
      <c r="R36" s="407"/>
      <c r="S36" s="407">
        <v>710.52</v>
      </c>
      <c r="T36" s="407">
        <v>127.85</v>
      </c>
      <c r="U36" s="407"/>
      <c r="V36" s="407">
        <v>49888.04522</v>
      </c>
      <c r="W36" s="407">
        <v>49888.04522</v>
      </c>
      <c r="X36" s="407">
        <v>40982.377260000001</v>
      </c>
      <c r="Y36" s="407">
        <v>0</v>
      </c>
      <c r="Z36" s="407">
        <v>3634.3335109161203</v>
      </c>
      <c r="AA36" s="407">
        <v>0</v>
      </c>
      <c r="AB36" s="407">
        <v>0</v>
      </c>
      <c r="AC36" s="407">
        <v>0</v>
      </c>
      <c r="AD36" s="407">
        <v>6506.532102615105</v>
      </c>
      <c r="AE36" s="407">
        <v>29643.94265649929</v>
      </c>
      <c r="AF36" s="407">
        <v>7607.6871582163249</v>
      </c>
      <c r="AG36" s="407">
        <v>0</v>
      </c>
      <c r="AH36" s="407">
        <v>0</v>
      </c>
      <c r="AI36" s="407">
        <v>0</v>
      </c>
      <c r="AJ36" s="407">
        <v>0</v>
      </c>
      <c r="AK36" s="407">
        <v>0</v>
      </c>
      <c r="AL36" s="407">
        <v>562.05186807425855</v>
      </c>
      <c r="AM36" s="407"/>
      <c r="AN36" s="407">
        <v>136.3141604633158</v>
      </c>
      <c r="AO36" s="407">
        <v>0</v>
      </c>
      <c r="AP36" s="407">
        <v>0</v>
      </c>
      <c r="AQ36" s="407">
        <v>0</v>
      </c>
      <c r="AR36" s="407">
        <v>0</v>
      </c>
      <c r="AS36" s="407">
        <v>0</v>
      </c>
      <c r="AT36" s="407">
        <v>0</v>
      </c>
      <c r="AU36" s="407">
        <v>0</v>
      </c>
      <c r="AV36" s="407">
        <v>0</v>
      </c>
      <c r="AW36" s="407">
        <v>0</v>
      </c>
      <c r="AX36" s="407">
        <v>0</v>
      </c>
      <c r="AY36" s="407">
        <v>0</v>
      </c>
      <c r="AZ36" s="407">
        <v>0</v>
      </c>
      <c r="BA36" s="407"/>
      <c r="BB36" s="407">
        <v>0</v>
      </c>
      <c r="BC36" s="407">
        <v>0</v>
      </c>
      <c r="BD36" s="407">
        <v>0</v>
      </c>
      <c r="BE36" s="407">
        <v>0</v>
      </c>
      <c r="BF36" s="407">
        <v>0</v>
      </c>
      <c r="BG36" s="407">
        <v>1796.9737127349933</v>
      </c>
      <c r="BH36" s="407">
        <v>0</v>
      </c>
      <c r="BI36" s="407">
        <v>195.18</v>
      </c>
      <c r="BJ36" s="407">
        <v>901.77</v>
      </c>
      <c r="BK36" s="407">
        <v>0</v>
      </c>
      <c r="BL36" s="407">
        <v>41</v>
      </c>
      <c r="BM36" s="407"/>
      <c r="BN36" s="407"/>
      <c r="BO36" s="407"/>
      <c r="BP36" s="407"/>
      <c r="BQ36" s="407"/>
      <c r="BR36" s="407">
        <v>4917.5758400000032</v>
      </c>
      <c r="BS36" s="407"/>
      <c r="BT36" s="407"/>
      <c r="BU36" s="407"/>
      <c r="BV36" s="407">
        <v>9404.6608709513184</v>
      </c>
      <c r="BW36" s="407"/>
      <c r="BX36" s="407"/>
      <c r="BY36" s="407"/>
      <c r="BZ36" s="407"/>
      <c r="CA36" s="407"/>
      <c r="CB36" s="407"/>
      <c r="CC36" s="407"/>
      <c r="CD36" s="407"/>
      <c r="CE36" s="407"/>
      <c r="CF36" s="407"/>
      <c r="CG36" s="407"/>
      <c r="CH36" s="407"/>
      <c r="CI36" s="407">
        <v>36067.225699999995</v>
      </c>
      <c r="CJ36" s="407">
        <v>-7834.5459200000114</v>
      </c>
      <c r="CK36" s="407"/>
      <c r="CL36" s="407"/>
      <c r="CM36" s="407"/>
      <c r="CN36" s="407"/>
      <c r="CO36" s="407">
        <v>-9144.8820799999976</v>
      </c>
      <c r="CP36" s="407">
        <v>239.21412000000061</v>
      </c>
      <c r="CQ36" s="407">
        <v>31</v>
      </c>
      <c r="CR36" s="407">
        <v>-142.04214761301409</v>
      </c>
      <c r="CS36" s="407">
        <v>0</v>
      </c>
      <c r="CT36" s="407">
        <v>0</v>
      </c>
      <c r="CU36" s="407">
        <v>0</v>
      </c>
      <c r="CV36" s="407">
        <v>0</v>
      </c>
      <c r="CW36" s="407">
        <v>0</v>
      </c>
      <c r="CX36" s="407">
        <v>0</v>
      </c>
      <c r="CY36" s="407">
        <v>0</v>
      </c>
      <c r="CZ36" s="407">
        <v>-341.33732789251735</v>
      </c>
      <c r="DA36" s="407">
        <v>0</v>
      </c>
      <c r="DB36" s="407">
        <v>0</v>
      </c>
      <c r="DC36" s="407">
        <v>239.38509791893102</v>
      </c>
      <c r="DD36" s="407">
        <v>0</v>
      </c>
      <c r="DE36" s="407">
        <v>0</v>
      </c>
      <c r="DF36" s="407">
        <v>0</v>
      </c>
      <c r="DG36" s="407">
        <v>56.543956032185633</v>
      </c>
      <c r="DH36" s="407">
        <v>0</v>
      </c>
      <c r="DI36" s="407">
        <v>-82.76632443929293</v>
      </c>
      <c r="DJ36" s="407"/>
      <c r="DK36" s="407">
        <v>0</v>
      </c>
      <c r="DL36" s="407">
        <v>0</v>
      </c>
      <c r="DM36" s="407">
        <v>0</v>
      </c>
      <c r="DN36" s="407">
        <v>0</v>
      </c>
      <c r="DO36" s="407">
        <v>-10.72509198309865</v>
      </c>
      <c r="DP36" s="407">
        <v>-3.1424572492200298</v>
      </c>
      <c r="DQ36" s="407">
        <v>0</v>
      </c>
      <c r="DR36" s="407">
        <v>0</v>
      </c>
      <c r="DS36" s="407"/>
      <c r="DT36" s="407"/>
      <c r="DU36" s="407"/>
      <c r="DV36" s="407">
        <v>29643.94265649929</v>
      </c>
      <c r="DW36" s="407">
        <v>0</v>
      </c>
      <c r="DX36" s="407">
        <v>0</v>
      </c>
      <c r="DY36" s="407">
        <v>-9144.8820799999958</v>
      </c>
      <c r="DZ36" s="407">
        <v>239.21412000000055</v>
      </c>
      <c r="EA36" s="407">
        <v>0</v>
      </c>
      <c r="EB36" s="407">
        <v>0</v>
      </c>
      <c r="EC36" s="407">
        <v>-8763.2173876352499</v>
      </c>
      <c r="ED36" s="407">
        <v>0</v>
      </c>
      <c r="EE36" s="407">
        <v>0</v>
      </c>
      <c r="EF36" s="407">
        <v>0</v>
      </c>
      <c r="EG36" s="407">
        <v>0</v>
      </c>
      <c r="EH36" s="407">
        <v>0</v>
      </c>
      <c r="EI36" s="407">
        <v>0</v>
      </c>
      <c r="EJ36" s="407">
        <v>0</v>
      </c>
      <c r="EK36" s="407">
        <v>0</v>
      </c>
      <c r="EL36" s="407">
        <v>0</v>
      </c>
      <c r="EM36" s="407">
        <v>0</v>
      </c>
      <c r="EN36" s="407">
        <v>0</v>
      </c>
      <c r="EO36" s="407">
        <v>0</v>
      </c>
      <c r="EP36" s="407">
        <v>0</v>
      </c>
      <c r="EQ36" s="407">
        <v>0</v>
      </c>
      <c r="ER36" s="407">
        <v>0</v>
      </c>
      <c r="ES36" s="407">
        <v>0</v>
      </c>
      <c r="ET36" s="407">
        <v>0</v>
      </c>
      <c r="EU36" s="407">
        <v>0</v>
      </c>
      <c r="EV36" s="407">
        <v>207</v>
      </c>
      <c r="EW36" s="407">
        <v>0</v>
      </c>
      <c r="EX36" s="407">
        <v>0</v>
      </c>
      <c r="EY36" s="407">
        <v>0</v>
      </c>
      <c r="EZ36" s="407"/>
      <c r="FA36" s="407">
        <v>0</v>
      </c>
      <c r="FB36" s="407"/>
      <c r="FC36" s="407"/>
      <c r="FD36" s="407"/>
      <c r="FE36" s="407"/>
      <c r="FF36" s="407">
        <v>0</v>
      </c>
      <c r="FG36" s="407">
        <v>0</v>
      </c>
      <c r="FH36" s="407">
        <v>0</v>
      </c>
      <c r="FI36" s="407">
        <v>0</v>
      </c>
    </row>
    <row r="37" spans="1:165" customFormat="1">
      <c r="A37" s="407">
        <v>35</v>
      </c>
      <c r="B37" s="407" t="s">
        <v>1092</v>
      </c>
      <c r="C37" s="407" t="s">
        <v>2305</v>
      </c>
      <c r="D37" s="407" t="s">
        <v>1221</v>
      </c>
      <c r="E37" s="407" t="s">
        <v>2317</v>
      </c>
      <c r="F37" s="407" t="s">
        <v>96</v>
      </c>
      <c r="G37" s="407" t="s">
        <v>96</v>
      </c>
      <c r="H37" s="407" t="s">
        <v>96</v>
      </c>
      <c r="I37" s="407" t="s">
        <v>96</v>
      </c>
      <c r="J37" s="407" t="s">
        <v>2306</v>
      </c>
      <c r="K37" s="815">
        <v>44409</v>
      </c>
      <c r="L37" s="407">
        <v>0</v>
      </c>
      <c r="M37" s="407">
        <v>0</v>
      </c>
      <c r="N37" s="407">
        <v>5.2249999999999996</v>
      </c>
      <c r="O37" s="407">
        <v>5.2249999999999996</v>
      </c>
      <c r="P37" s="407">
        <v>5.2249999999999996</v>
      </c>
      <c r="Q37" s="407">
        <v>5.2249999999999996</v>
      </c>
      <c r="R37" s="407"/>
      <c r="S37" s="407">
        <v>710.52</v>
      </c>
      <c r="T37" s="407">
        <v>127.85</v>
      </c>
      <c r="U37" s="407"/>
      <c r="V37" s="407">
        <v>4380.4832499999993</v>
      </c>
      <c r="W37" s="407">
        <v>4380.4832499999993</v>
      </c>
      <c r="X37" s="407">
        <v>3598.5097500000002</v>
      </c>
      <c r="Y37" s="407">
        <v>0</v>
      </c>
      <c r="Z37" s="407">
        <v>319.11727547703975</v>
      </c>
      <c r="AA37" s="407">
        <v>0</v>
      </c>
      <c r="AB37" s="407">
        <v>0</v>
      </c>
      <c r="AC37" s="407">
        <v>0</v>
      </c>
      <c r="AD37" s="407">
        <v>571.31432521365775</v>
      </c>
      <c r="AE37" s="407">
        <v>2602.9240812726243</v>
      </c>
      <c r="AF37" s="407">
        <v>668.00264513965476</v>
      </c>
      <c r="AG37" s="407">
        <v>0</v>
      </c>
      <c r="AH37" s="407">
        <v>0</v>
      </c>
      <c r="AI37" s="407">
        <v>0</v>
      </c>
      <c r="AJ37" s="407">
        <v>0</v>
      </c>
      <c r="AK37" s="407">
        <v>0</v>
      </c>
      <c r="AL37" s="407">
        <v>49.351679001915784</v>
      </c>
      <c r="AM37" s="407"/>
      <c r="AN37" s="407">
        <v>11.969238201539762</v>
      </c>
      <c r="AO37" s="407">
        <v>0</v>
      </c>
      <c r="AP37" s="407">
        <v>0</v>
      </c>
      <c r="AQ37" s="407">
        <v>0</v>
      </c>
      <c r="AR37" s="407">
        <v>0</v>
      </c>
      <c r="AS37" s="407">
        <v>0</v>
      </c>
      <c r="AT37" s="407">
        <v>0</v>
      </c>
      <c r="AU37" s="407">
        <v>0</v>
      </c>
      <c r="AV37" s="407">
        <v>0</v>
      </c>
      <c r="AW37" s="407">
        <v>0</v>
      </c>
      <c r="AX37" s="407">
        <v>0</v>
      </c>
      <c r="AY37" s="407">
        <v>0</v>
      </c>
      <c r="AZ37" s="407">
        <v>0</v>
      </c>
      <c r="BA37" s="407"/>
      <c r="BB37" s="407">
        <v>0</v>
      </c>
      <c r="BC37" s="407">
        <v>0</v>
      </c>
      <c r="BD37" s="407">
        <v>0</v>
      </c>
      <c r="BE37" s="407">
        <v>0</v>
      </c>
      <c r="BF37" s="407">
        <v>0</v>
      </c>
      <c r="BG37" s="407">
        <v>157.78556194401136</v>
      </c>
      <c r="BH37" s="407">
        <v>0</v>
      </c>
      <c r="BI37" s="407">
        <v>22.44</v>
      </c>
      <c r="BJ37" s="407">
        <v>104.08</v>
      </c>
      <c r="BK37" s="407">
        <v>874.73</v>
      </c>
      <c r="BL37" s="407">
        <v>18</v>
      </c>
      <c r="BM37" s="407"/>
      <c r="BN37" s="407"/>
      <c r="BO37" s="407"/>
      <c r="BP37" s="407"/>
      <c r="BQ37" s="407"/>
      <c r="BR37" s="407"/>
      <c r="BS37" s="407"/>
      <c r="BT37" s="407"/>
      <c r="BU37" s="407"/>
      <c r="BV37" s="407">
        <v>825.78820708366607</v>
      </c>
      <c r="BW37" s="407"/>
      <c r="BX37" s="407"/>
      <c r="BY37" s="407"/>
      <c r="BZ37" s="407"/>
      <c r="CA37" s="407"/>
      <c r="CB37" s="407"/>
      <c r="CC37" s="407"/>
      <c r="CD37" s="407"/>
      <c r="CE37" s="407"/>
      <c r="CF37" s="407"/>
      <c r="CG37" s="407"/>
      <c r="CH37" s="407"/>
      <c r="CI37" s="407">
        <v>3601.9533000000006</v>
      </c>
      <c r="CJ37" s="407">
        <v>-778.55994999999939</v>
      </c>
      <c r="CK37" s="407"/>
      <c r="CL37" s="407"/>
      <c r="CM37" s="407"/>
      <c r="CN37" s="407"/>
      <c r="CO37" s="407">
        <v>-802.97799999999972</v>
      </c>
      <c r="CP37" s="407">
        <v>21.004500000000053</v>
      </c>
      <c r="CQ37" s="407">
        <v>31</v>
      </c>
      <c r="CR37" s="407">
        <v>-12.472191397136612</v>
      </c>
      <c r="CS37" s="407">
        <v>0</v>
      </c>
      <c r="CT37" s="407">
        <v>0</v>
      </c>
      <c r="CU37" s="407">
        <v>0</v>
      </c>
      <c r="CV37" s="407">
        <v>0</v>
      </c>
      <c r="CW37" s="407">
        <v>0</v>
      </c>
      <c r="CX37" s="407">
        <v>0</v>
      </c>
      <c r="CY37" s="407">
        <v>0</v>
      </c>
      <c r="CZ37" s="407">
        <v>-29.971558132598375</v>
      </c>
      <c r="DA37" s="407">
        <v>0</v>
      </c>
      <c r="DB37" s="407">
        <v>0</v>
      </c>
      <c r="DC37" s="407">
        <v>21.019512933593433</v>
      </c>
      <c r="DD37" s="407">
        <v>0</v>
      </c>
      <c r="DE37" s="407">
        <v>0</v>
      </c>
      <c r="DF37" s="407">
        <v>0</v>
      </c>
      <c r="DG37" s="407">
        <v>4.9649139627628927</v>
      </c>
      <c r="DH37" s="407">
        <v>0</v>
      </c>
      <c r="DI37" s="407">
        <v>-7.2674023660690636</v>
      </c>
      <c r="DJ37" s="407"/>
      <c r="DK37" s="407">
        <v>0</v>
      </c>
      <c r="DL37" s="407">
        <v>0</v>
      </c>
      <c r="DM37" s="407">
        <v>0</v>
      </c>
      <c r="DN37" s="407">
        <v>0</v>
      </c>
      <c r="DO37" s="407">
        <v>-0.94173033999412326</v>
      </c>
      <c r="DP37" s="407">
        <v>-0.27592745483102199</v>
      </c>
      <c r="DQ37" s="407">
        <v>0</v>
      </c>
      <c r="DR37" s="407">
        <v>0</v>
      </c>
      <c r="DS37" s="407"/>
      <c r="DT37" s="407"/>
      <c r="DU37" s="407"/>
      <c r="DV37" s="407">
        <v>2602.9240812726243</v>
      </c>
      <c r="DW37" s="407">
        <v>0</v>
      </c>
      <c r="DX37" s="407">
        <v>0</v>
      </c>
      <c r="DY37" s="407">
        <v>-802.97799999999961</v>
      </c>
      <c r="DZ37" s="407">
        <v>21.004500000000121</v>
      </c>
      <c r="EA37" s="407">
        <v>0</v>
      </c>
      <c r="EB37" s="407">
        <v>0</v>
      </c>
      <c r="EC37" s="407">
        <v>-769.46544634816973</v>
      </c>
      <c r="ED37" s="407">
        <v>0</v>
      </c>
      <c r="EE37" s="407">
        <v>0</v>
      </c>
      <c r="EF37" s="407">
        <v>0</v>
      </c>
      <c r="EG37" s="407">
        <v>0</v>
      </c>
      <c r="EH37" s="407">
        <v>0</v>
      </c>
      <c r="EI37" s="407">
        <v>0</v>
      </c>
      <c r="EJ37" s="407">
        <v>0</v>
      </c>
      <c r="EK37" s="407">
        <v>0</v>
      </c>
      <c r="EL37" s="407">
        <v>0</v>
      </c>
      <c r="EM37" s="407">
        <v>0</v>
      </c>
      <c r="EN37" s="407">
        <v>0</v>
      </c>
      <c r="EO37" s="407">
        <v>0</v>
      </c>
      <c r="EP37" s="407">
        <v>0</v>
      </c>
      <c r="EQ37" s="407">
        <v>0</v>
      </c>
      <c r="ER37" s="407">
        <v>0</v>
      </c>
      <c r="ES37" s="407">
        <v>0</v>
      </c>
      <c r="ET37" s="407">
        <v>0</v>
      </c>
      <c r="EU37" s="407">
        <v>0</v>
      </c>
      <c r="EV37" s="407">
        <v>207</v>
      </c>
      <c r="EW37" s="407">
        <v>0</v>
      </c>
      <c r="EX37" s="407">
        <v>0</v>
      </c>
      <c r="EY37" s="407">
        <v>0</v>
      </c>
      <c r="EZ37" s="407"/>
      <c r="FA37" s="407">
        <v>0</v>
      </c>
      <c r="FB37" s="407"/>
      <c r="FC37" s="407"/>
      <c r="FD37" s="407"/>
      <c r="FE37" s="407"/>
      <c r="FF37" s="407">
        <v>0</v>
      </c>
      <c r="FG37" s="407">
        <v>0</v>
      </c>
      <c r="FH37" s="407">
        <v>0</v>
      </c>
      <c r="FI37" s="407">
        <v>0</v>
      </c>
    </row>
    <row r="38" spans="1:165" customFormat="1">
      <c r="A38" s="407">
        <v>36</v>
      </c>
      <c r="B38" s="407" t="s">
        <v>1092</v>
      </c>
      <c r="C38" s="407" t="s">
        <v>2305</v>
      </c>
      <c r="D38" s="407" t="s">
        <v>2318</v>
      </c>
      <c r="E38" s="407" t="s">
        <v>2319</v>
      </c>
      <c r="F38" s="407" t="s">
        <v>2320</v>
      </c>
      <c r="G38" s="407" t="s">
        <v>96</v>
      </c>
      <c r="H38" s="407" t="s">
        <v>96</v>
      </c>
      <c r="I38" s="407" t="s">
        <v>96</v>
      </c>
      <c r="J38" s="407" t="s">
        <v>2306</v>
      </c>
      <c r="K38" s="815">
        <v>44409</v>
      </c>
      <c r="L38" s="407">
        <v>0</v>
      </c>
      <c r="M38" s="407">
        <v>0</v>
      </c>
      <c r="N38" s="407">
        <v>41.420999999999999</v>
      </c>
      <c r="O38" s="407">
        <v>41.420999999999999</v>
      </c>
      <c r="P38" s="407">
        <v>41.420999999999999</v>
      </c>
      <c r="Q38" s="407">
        <v>41.420999999999999</v>
      </c>
      <c r="R38" s="407"/>
      <c r="S38" s="407">
        <v>390.79</v>
      </c>
      <c r="T38" s="407">
        <v>70.319999999999993</v>
      </c>
      <c r="U38" s="407"/>
      <c r="V38" s="407">
        <v>19099.637309999998</v>
      </c>
      <c r="W38" s="407">
        <v>19099.637309999998</v>
      </c>
      <c r="X38" s="407">
        <v>15689.860589999998</v>
      </c>
      <c r="Y38" s="407">
        <v>0</v>
      </c>
      <c r="Z38" s="407">
        <v>1391.3849123720502</v>
      </c>
      <c r="AA38" s="407">
        <v>0</v>
      </c>
      <c r="AB38" s="407">
        <v>0</v>
      </c>
      <c r="AC38" s="407">
        <v>0</v>
      </c>
      <c r="AD38" s="407">
        <v>2490.9905962815665</v>
      </c>
      <c r="AE38" s="407">
        <v>11349.022986357193</v>
      </c>
      <c r="AF38" s="407">
        <v>2912.5618488768064</v>
      </c>
      <c r="AG38" s="407">
        <v>0</v>
      </c>
      <c r="AH38" s="407">
        <v>0</v>
      </c>
      <c r="AI38" s="407">
        <v>0</v>
      </c>
      <c r="AJ38" s="407">
        <v>0</v>
      </c>
      <c r="AK38" s="407">
        <v>0</v>
      </c>
      <c r="AL38" s="407">
        <v>215.17851536193197</v>
      </c>
      <c r="AM38" s="407"/>
      <c r="AN38" s="407">
        <v>52.187138478524211</v>
      </c>
      <c r="AO38" s="407">
        <v>0</v>
      </c>
      <c r="AP38" s="407">
        <v>0</v>
      </c>
      <c r="AQ38" s="407">
        <v>0</v>
      </c>
      <c r="AR38" s="407">
        <v>0</v>
      </c>
      <c r="AS38" s="407">
        <v>0</v>
      </c>
      <c r="AT38" s="407">
        <v>0</v>
      </c>
      <c r="AU38" s="407">
        <v>0</v>
      </c>
      <c r="AV38" s="407">
        <v>0</v>
      </c>
      <c r="AW38" s="407">
        <v>0</v>
      </c>
      <c r="AX38" s="407">
        <v>0</v>
      </c>
      <c r="AY38" s="407">
        <v>0</v>
      </c>
      <c r="AZ38" s="407">
        <v>0</v>
      </c>
      <c r="BA38" s="407"/>
      <c r="BB38" s="407">
        <v>0</v>
      </c>
      <c r="BC38" s="407">
        <v>0</v>
      </c>
      <c r="BD38" s="407">
        <v>0</v>
      </c>
      <c r="BE38" s="407">
        <v>0</v>
      </c>
      <c r="BF38" s="407">
        <v>0</v>
      </c>
      <c r="BG38" s="407">
        <v>687.9616590824121</v>
      </c>
      <c r="BH38" s="407">
        <v>0</v>
      </c>
      <c r="BI38" s="407">
        <v>92.29</v>
      </c>
      <c r="BJ38" s="407">
        <v>426.98</v>
      </c>
      <c r="BK38" s="407">
        <v>4190.1099999999997</v>
      </c>
      <c r="BL38" s="407">
        <v>35</v>
      </c>
      <c r="BM38" s="407"/>
      <c r="BN38" s="407"/>
      <c r="BO38" s="407"/>
      <c r="BP38" s="407"/>
      <c r="BQ38" s="407"/>
      <c r="BR38" s="407"/>
      <c r="BS38" s="407"/>
      <c r="BT38" s="407"/>
      <c r="BU38" s="407"/>
      <c r="BV38" s="407">
        <v>3600.5235079592185</v>
      </c>
      <c r="BW38" s="407"/>
      <c r="BX38" s="407"/>
      <c r="BY38" s="407"/>
      <c r="BZ38" s="407"/>
      <c r="CA38" s="407"/>
      <c r="CB38" s="407"/>
      <c r="CC38" s="407"/>
      <c r="CD38" s="407"/>
      <c r="CE38" s="407"/>
      <c r="CF38" s="407"/>
      <c r="CG38" s="407"/>
      <c r="CH38" s="407"/>
      <c r="CI38" s="407">
        <v>15689.4818</v>
      </c>
      <c r="CJ38" s="407">
        <v>-3410.1855099999975</v>
      </c>
      <c r="CK38" s="407"/>
      <c r="CL38" s="407"/>
      <c r="CM38" s="407"/>
      <c r="CN38" s="407"/>
      <c r="CO38" s="407">
        <v>-3501.3171300000013</v>
      </c>
      <c r="CP38" s="407">
        <v>91.540410000000335</v>
      </c>
      <c r="CQ38" s="407">
        <v>31</v>
      </c>
      <c r="CR38" s="407">
        <v>-54.380067353776212</v>
      </c>
      <c r="CS38" s="407">
        <v>0</v>
      </c>
      <c r="CT38" s="407">
        <v>0</v>
      </c>
      <c r="CU38" s="407">
        <v>0</v>
      </c>
      <c r="CV38" s="407">
        <v>0</v>
      </c>
      <c r="CW38" s="407">
        <v>0</v>
      </c>
      <c r="CX38" s="407">
        <v>0</v>
      </c>
      <c r="CY38" s="407">
        <v>0</v>
      </c>
      <c r="CZ38" s="407">
        <v>-130.67914835898546</v>
      </c>
      <c r="DA38" s="407">
        <v>0</v>
      </c>
      <c r="DB38" s="407">
        <v>0</v>
      </c>
      <c r="DC38" s="407">
        <v>91.647288970775662</v>
      </c>
      <c r="DD38" s="407">
        <v>0</v>
      </c>
      <c r="DE38" s="407">
        <v>0</v>
      </c>
      <c r="DF38" s="407">
        <v>0</v>
      </c>
      <c r="DG38" s="407">
        <v>21.647547500164706</v>
      </c>
      <c r="DH38" s="407">
        <v>0</v>
      </c>
      <c r="DI38" s="407">
        <v>-31.686639305787594</v>
      </c>
      <c r="DJ38" s="407"/>
      <c r="DK38" s="407">
        <v>0</v>
      </c>
      <c r="DL38" s="407">
        <v>0</v>
      </c>
      <c r="DM38" s="407">
        <v>0</v>
      </c>
      <c r="DN38" s="407">
        <v>0</v>
      </c>
      <c r="DO38" s="407">
        <v>-4.1060434118840305</v>
      </c>
      <c r="DP38" s="407">
        <v>-1.2030727480584673</v>
      </c>
      <c r="DQ38" s="407">
        <v>0</v>
      </c>
      <c r="DR38" s="407">
        <v>0</v>
      </c>
      <c r="DS38" s="407"/>
      <c r="DT38" s="407"/>
      <c r="DU38" s="407"/>
      <c r="DV38" s="407">
        <v>11349.022986357193</v>
      </c>
      <c r="DW38" s="407">
        <v>0</v>
      </c>
      <c r="DX38" s="407">
        <v>0</v>
      </c>
      <c r="DY38" s="407">
        <v>-3501.3171300000013</v>
      </c>
      <c r="DZ38" s="407">
        <v>91.54041000000052</v>
      </c>
      <c r="EA38" s="407">
        <v>0</v>
      </c>
      <c r="EB38" s="407">
        <v>0</v>
      </c>
      <c r="EC38" s="407">
        <v>-3354.9503424408113</v>
      </c>
      <c r="ED38" s="407">
        <v>0</v>
      </c>
      <c r="EE38" s="407">
        <v>0</v>
      </c>
      <c r="EF38" s="407">
        <v>0</v>
      </c>
      <c r="EG38" s="407">
        <v>0</v>
      </c>
      <c r="EH38" s="407">
        <v>0</v>
      </c>
      <c r="EI38" s="407">
        <v>0</v>
      </c>
      <c r="EJ38" s="407">
        <v>0</v>
      </c>
      <c r="EK38" s="407">
        <v>0</v>
      </c>
      <c r="EL38" s="407">
        <v>0</v>
      </c>
      <c r="EM38" s="407">
        <v>0</v>
      </c>
      <c r="EN38" s="407">
        <v>0</v>
      </c>
      <c r="EO38" s="407">
        <v>0</v>
      </c>
      <c r="EP38" s="407">
        <v>0</v>
      </c>
      <c r="EQ38" s="407">
        <v>0</v>
      </c>
      <c r="ER38" s="407">
        <v>0</v>
      </c>
      <c r="ES38" s="407">
        <v>0</v>
      </c>
      <c r="ET38" s="407">
        <v>0</v>
      </c>
      <c r="EU38" s="407">
        <v>0</v>
      </c>
      <c r="EV38" s="407">
        <v>207</v>
      </c>
      <c r="EW38" s="407">
        <v>0</v>
      </c>
      <c r="EX38" s="407">
        <v>0</v>
      </c>
      <c r="EY38" s="407">
        <v>0</v>
      </c>
      <c r="EZ38" s="407"/>
      <c r="FA38" s="407">
        <v>0</v>
      </c>
      <c r="FB38" s="407"/>
      <c r="FC38" s="407"/>
      <c r="FD38" s="407"/>
      <c r="FE38" s="407"/>
      <c r="FF38" s="407">
        <v>0</v>
      </c>
      <c r="FG38" s="407">
        <v>0</v>
      </c>
      <c r="FH38" s="407">
        <v>0</v>
      </c>
      <c r="FI38" s="407">
        <v>0</v>
      </c>
    </row>
    <row r="39" spans="1:165" customFormat="1">
      <c r="A39" s="407">
        <v>37</v>
      </c>
      <c r="B39" s="407" t="s">
        <v>1092</v>
      </c>
      <c r="C39" s="407" t="s">
        <v>2305</v>
      </c>
      <c r="D39" s="407" t="s">
        <v>1221</v>
      </c>
      <c r="E39" s="407" t="s">
        <v>1054</v>
      </c>
      <c r="F39" s="407" t="s">
        <v>2321</v>
      </c>
      <c r="G39" s="407" t="s">
        <v>96</v>
      </c>
      <c r="H39" s="407" t="s">
        <v>96</v>
      </c>
      <c r="I39" s="407" t="s">
        <v>96</v>
      </c>
      <c r="J39" s="407" t="s">
        <v>2306</v>
      </c>
      <c r="K39" s="815">
        <v>44409</v>
      </c>
      <c r="L39" s="407">
        <v>0</v>
      </c>
      <c r="M39" s="407">
        <v>0</v>
      </c>
      <c r="N39" s="407">
        <v>6.55</v>
      </c>
      <c r="O39" s="407">
        <v>6.1569999999999991</v>
      </c>
      <c r="P39" s="407">
        <v>6.55</v>
      </c>
      <c r="Q39" s="407">
        <v>6.1569999999999991</v>
      </c>
      <c r="R39" s="407"/>
      <c r="S39" s="407">
        <v>710.52</v>
      </c>
      <c r="T39" s="407">
        <v>127.85</v>
      </c>
      <c r="U39" s="407"/>
      <c r="V39" s="407">
        <v>5491.3234999999995</v>
      </c>
      <c r="W39" s="407">
        <v>5491.3234999999995</v>
      </c>
      <c r="X39" s="407">
        <v>4511.0505000000003</v>
      </c>
      <c r="Y39" s="407">
        <v>0</v>
      </c>
      <c r="Z39" s="407">
        <v>400.04175203341828</v>
      </c>
      <c r="AA39" s="407">
        <v>0</v>
      </c>
      <c r="AB39" s="407">
        <v>0</v>
      </c>
      <c r="AC39" s="407">
        <v>0</v>
      </c>
      <c r="AD39" s="407">
        <v>716.19307754056626</v>
      </c>
      <c r="AE39" s="407">
        <v>3262.9957382460648</v>
      </c>
      <c r="AF39" s="407">
        <v>837.40044510329926</v>
      </c>
      <c r="AG39" s="407">
        <v>0</v>
      </c>
      <c r="AH39" s="407">
        <v>0</v>
      </c>
      <c r="AI39" s="407">
        <v>0</v>
      </c>
      <c r="AJ39" s="407">
        <v>0</v>
      </c>
      <c r="AK39" s="407">
        <v>0</v>
      </c>
      <c r="AL39" s="407">
        <v>61.866698078956631</v>
      </c>
      <c r="AM39" s="407"/>
      <c r="AN39" s="407">
        <v>15.004499563652717</v>
      </c>
      <c r="AO39" s="407">
        <v>0</v>
      </c>
      <c r="AP39" s="407">
        <v>0</v>
      </c>
      <c r="AQ39" s="407">
        <v>0</v>
      </c>
      <c r="AR39" s="407">
        <v>0</v>
      </c>
      <c r="AS39" s="407">
        <v>0</v>
      </c>
      <c r="AT39" s="407">
        <v>0</v>
      </c>
      <c r="AU39" s="407">
        <v>0</v>
      </c>
      <c r="AV39" s="407">
        <v>0</v>
      </c>
      <c r="AW39" s="407">
        <v>0</v>
      </c>
      <c r="AX39" s="407">
        <v>0</v>
      </c>
      <c r="AY39" s="407">
        <v>0</v>
      </c>
      <c r="AZ39" s="407">
        <v>0</v>
      </c>
      <c r="BA39" s="407"/>
      <c r="BB39" s="407">
        <v>0</v>
      </c>
      <c r="BC39" s="407">
        <v>0</v>
      </c>
      <c r="BD39" s="407">
        <v>0</v>
      </c>
      <c r="BE39" s="407">
        <v>0</v>
      </c>
      <c r="BF39" s="407">
        <v>0</v>
      </c>
      <c r="BG39" s="407">
        <v>197.79816856139223</v>
      </c>
      <c r="BH39" s="407">
        <v>0</v>
      </c>
      <c r="BI39" s="407">
        <v>38.72</v>
      </c>
      <c r="BJ39" s="407">
        <v>178.72</v>
      </c>
      <c r="BK39" s="407">
        <v>996.59</v>
      </c>
      <c r="BL39" s="407">
        <v>1</v>
      </c>
      <c r="BM39" s="407"/>
      <c r="BN39" s="407"/>
      <c r="BO39" s="407"/>
      <c r="BP39" s="407"/>
      <c r="BQ39" s="407">
        <v>270.6630300000005</v>
      </c>
      <c r="BR39" s="407"/>
      <c r="BS39" s="407"/>
      <c r="BT39" s="407"/>
      <c r="BU39" s="407"/>
      <c r="BV39" s="407">
        <v>1035.1986136646915</v>
      </c>
      <c r="BW39" s="407"/>
      <c r="BX39" s="407"/>
      <c r="BY39" s="407"/>
      <c r="BZ39" s="407"/>
      <c r="CA39" s="407"/>
      <c r="CB39" s="407"/>
      <c r="CC39" s="407"/>
      <c r="CD39" s="407"/>
      <c r="CE39" s="407"/>
      <c r="CF39" s="407"/>
      <c r="CG39" s="407"/>
      <c r="CH39" s="407"/>
      <c r="CI39" s="407">
        <v>4242.4536000000007</v>
      </c>
      <c r="CJ39" s="407">
        <v>-919.42048999999952</v>
      </c>
      <c r="CK39" s="407"/>
      <c r="CL39" s="407"/>
      <c r="CM39" s="407"/>
      <c r="CN39" s="407"/>
      <c r="CO39" s="407">
        <v>-1006.6039999999997</v>
      </c>
      <c r="CP39" s="407">
        <v>26.331000000000067</v>
      </c>
      <c r="CQ39" s="407">
        <v>31</v>
      </c>
      <c r="CR39" s="407">
        <v>-15.634995914113006</v>
      </c>
      <c r="CS39" s="407">
        <v>0</v>
      </c>
      <c r="CT39" s="407">
        <v>0</v>
      </c>
      <c r="CU39" s="407">
        <v>0</v>
      </c>
      <c r="CV39" s="407">
        <v>0</v>
      </c>
      <c r="CW39" s="407">
        <v>0</v>
      </c>
      <c r="CX39" s="407">
        <v>0</v>
      </c>
      <c r="CY39" s="407">
        <v>0</v>
      </c>
      <c r="CZ39" s="407">
        <v>-37.572001104022888</v>
      </c>
      <c r="DA39" s="407">
        <v>0</v>
      </c>
      <c r="DB39" s="407">
        <v>0</v>
      </c>
      <c r="DC39" s="407">
        <v>26.349820041155454</v>
      </c>
      <c r="DD39" s="407">
        <v>0</v>
      </c>
      <c r="DE39" s="407">
        <v>0</v>
      </c>
      <c r="DF39" s="407">
        <v>0</v>
      </c>
      <c r="DG39" s="407">
        <v>6.2239591303535065</v>
      </c>
      <c r="DH39" s="407">
        <v>0</v>
      </c>
      <c r="DI39" s="407">
        <v>-9.1103321526799164</v>
      </c>
      <c r="DJ39" s="407"/>
      <c r="DK39" s="407">
        <v>0</v>
      </c>
      <c r="DL39" s="407">
        <v>0</v>
      </c>
      <c r="DM39" s="407">
        <v>0</v>
      </c>
      <c r="DN39" s="407">
        <v>0</v>
      </c>
      <c r="DO39" s="407">
        <v>-1.1805423400883228</v>
      </c>
      <c r="DP39" s="407">
        <v>-0.34589948883123256</v>
      </c>
      <c r="DQ39" s="407">
        <v>0</v>
      </c>
      <c r="DR39" s="407">
        <v>0</v>
      </c>
      <c r="DS39" s="407"/>
      <c r="DT39" s="407"/>
      <c r="DU39" s="407"/>
      <c r="DV39" s="407">
        <v>3262.9957382460648</v>
      </c>
      <c r="DW39" s="407">
        <v>0</v>
      </c>
      <c r="DX39" s="407">
        <v>0</v>
      </c>
      <c r="DY39" s="407">
        <v>-1006.6039999999998</v>
      </c>
      <c r="DZ39" s="407">
        <v>26.331000000000131</v>
      </c>
      <c r="EA39" s="407">
        <v>0</v>
      </c>
      <c r="EB39" s="407">
        <v>0</v>
      </c>
      <c r="EC39" s="407">
        <v>-964.59304757521704</v>
      </c>
      <c r="ED39" s="407">
        <v>0</v>
      </c>
      <c r="EE39" s="407">
        <v>0</v>
      </c>
      <c r="EF39" s="407">
        <v>0</v>
      </c>
      <c r="EG39" s="407">
        <v>0</v>
      </c>
      <c r="EH39" s="407">
        <v>0</v>
      </c>
      <c r="EI39" s="407">
        <v>0</v>
      </c>
      <c r="EJ39" s="407">
        <v>0</v>
      </c>
      <c r="EK39" s="407">
        <v>0</v>
      </c>
      <c r="EL39" s="407">
        <v>0</v>
      </c>
      <c r="EM39" s="407">
        <v>0</v>
      </c>
      <c r="EN39" s="407">
        <v>0</v>
      </c>
      <c r="EO39" s="407">
        <v>0</v>
      </c>
      <c r="EP39" s="407">
        <v>0</v>
      </c>
      <c r="EQ39" s="407">
        <v>0</v>
      </c>
      <c r="ER39" s="407">
        <v>0</v>
      </c>
      <c r="ES39" s="407">
        <v>0</v>
      </c>
      <c r="ET39" s="407">
        <v>0</v>
      </c>
      <c r="EU39" s="407">
        <v>0</v>
      </c>
      <c r="EV39" s="407">
        <v>207</v>
      </c>
      <c r="EW39" s="407">
        <v>0</v>
      </c>
      <c r="EX39" s="407">
        <v>0</v>
      </c>
      <c r="EY39" s="407">
        <v>0</v>
      </c>
      <c r="EZ39" s="407"/>
      <c r="FA39" s="407">
        <v>0</v>
      </c>
      <c r="FB39" s="407"/>
      <c r="FC39" s="407"/>
      <c r="FD39" s="407"/>
      <c r="FE39" s="407"/>
      <c r="FF39" s="407">
        <v>0</v>
      </c>
      <c r="FG39" s="407">
        <v>0</v>
      </c>
      <c r="FH39" s="407">
        <v>0</v>
      </c>
      <c r="FI39" s="407">
        <v>0</v>
      </c>
    </row>
    <row r="40" spans="1:165" customFormat="1">
      <c r="A40" s="407">
        <v>38</v>
      </c>
      <c r="B40" s="407" t="s">
        <v>1092</v>
      </c>
      <c r="C40" s="407" t="s">
        <v>2305</v>
      </c>
      <c r="D40" s="407" t="s">
        <v>1220</v>
      </c>
      <c r="E40" s="407" t="s">
        <v>1023</v>
      </c>
      <c r="F40" s="407" t="s">
        <v>1023</v>
      </c>
      <c r="G40" s="407" t="s">
        <v>96</v>
      </c>
      <c r="H40" s="407" t="s">
        <v>96</v>
      </c>
      <c r="I40" s="407" t="s">
        <v>96</v>
      </c>
      <c r="J40" s="407" t="s">
        <v>2306</v>
      </c>
      <c r="K40" s="815">
        <v>44440</v>
      </c>
      <c r="L40" s="407">
        <v>0</v>
      </c>
      <c r="M40" s="407">
        <v>0</v>
      </c>
      <c r="N40" s="407">
        <v>1019.7910000000001</v>
      </c>
      <c r="O40" s="407">
        <v>1019.7910000000001</v>
      </c>
      <c r="P40" s="407">
        <v>1019.7910000000001</v>
      </c>
      <c r="Q40" s="407">
        <v>1019.7910000000001</v>
      </c>
      <c r="R40" s="407"/>
      <c r="S40" s="407">
        <v>710.52</v>
      </c>
      <c r="T40" s="407">
        <v>127.85</v>
      </c>
      <c r="U40" s="407"/>
      <c r="V40" s="407">
        <v>854962.18067000003</v>
      </c>
      <c r="W40" s="407">
        <v>854962.18067000003</v>
      </c>
      <c r="X40" s="407">
        <v>702340.25961000007</v>
      </c>
      <c r="Y40" s="407">
        <v>0</v>
      </c>
      <c r="Z40" s="407">
        <v>62283.813488230793</v>
      </c>
      <c r="AA40" s="407">
        <v>0</v>
      </c>
      <c r="AB40" s="407">
        <v>0</v>
      </c>
      <c r="AC40" s="407">
        <v>0</v>
      </c>
      <c r="AD40" s="407">
        <v>111506.45110506438</v>
      </c>
      <c r="AE40" s="407">
        <v>508026.51708422793</v>
      </c>
      <c r="AF40" s="407">
        <v>130377.62401715096</v>
      </c>
      <c r="AG40" s="407">
        <v>0</v>
      </c>
      <c r="AH40" s="407">
        <v>0</v>
      </c>
      <c r="AI40" s="407">
        <v>0</v>
      </c>
      <c r="AJ40" s="407">
        <v>0</v>
      </c>
      <c r="AK40" s="407">
        <v>0</v>
      </c>
      <c r="AL40" s="407">
        <v>9632.2292978072164</v>
      </c>
      <c r="AM40" s="407"/>
      <c r="AN40" s="407">
        <v>2336.0997884758731</v>
      </c>
      <c r="AO40" s="407">
        <v>0</v>
      </c>
      <c r="AP40" s="407">
        <v>0</v>
      </c>
      <c r="AQ40" s="407">
        <v>0</v>
      </c>
      <c r="AR40" s="407">
        <v>0</v>
      </c>
      <c r="AS40" s="407">
        <v>0</v>
      </c>
      <c r="AT40" s="407">
        <v>0</v>
      </c>
      <c r="AU40" s="407">
        <v>0</v>
      </c>
      <c r="AV40" s="407">
        <v>0</v>
      </c>
      <c r="AW40" s="407">
        <v>0</v>
      </c>
      <c r="AX40" s="407">
        <v>0</v>
      </c>
      <c r="AY40" s="407">
        <v>0</v>
      </c>
      <c r="AZ40" s="407">
        <v>0</v>
      </c>
      <c r="BA40" s="407"/>
      <c r="BB40" s="407">
        <v>0</v>
      </c>
      <c r="BC40" s="407">
        <v>0</v>
      </c>
      <c r="BD40" s="407">
        <v>0</v>
      </c>
      <c r="BE40" s="407">
        <v>0</v>
      </c>
      <c r="BF40" s="407">
        <v>0</v>
      </c>
      <c r="BG40" s="407">
        <v>30795.84612448714</v>
      </c>
      <c r="BH40" s="407">
        <v>0</v>
      </c>
      <c r="BI40" s="407">
        <v>5347.68</v>
      </c>
      <c r="BJ40" s="407">
        <v>24823.77</v>
      </c>
      <c r="BK40" s="407">
        <v>202152.46</v>
      </c>
      <c r="BL40" s="407">
        <v>6068</v>
      </c>
      <c r="BM40" s="407"/>
      <c r="BN40" s="407"/>
      <c r="BO40" s="407"/>
      <c r="BP40" s="407"/>
      <c r="BQ40" s="407"/>
      <c r="BR40" s="407"/>
      <c r="BS40" s="407"/>
      <c r="BT40" s="407"/>
      <c r="BU40" s="407"/>
      <c r="BV40" s="407">
        <v>161173.4701416381</v>
      </c>
      <c r="BW40" s="407"/>
      <c r="BX40" s="407"/>
      <c r="BY40" s="407"/>
      <c r="BZ40" s="407"/>
      <c r="CA40" s="407"/>
      <c r="CB40" s="407"/>
      <c r="CC40" s="407"/>
      <c r="CD40" s="407"/>
      <c r="CE40" s="407"/>
      <c r="CF40" s="407"/>
      <c r="CG40" s="407"/>
      <c r="CH40" s="407"/>
      <c r="CI40" s="407">
        <v>702339.57090000005</v>
      </c>
      <c r="CJ40" s="407">
        <v>-152622.63977000001</v>
      </c>
      <c r="CK40" s="407"/>
      <c r="CL40" s="407"/>
      <c r="CM40" s="407"/>
      <c r="CN40" s="407"/>
      <c r="CO40" s="407">
        <v>-156721.48087999996</v>
      </c>
      <c r="CP40" s="407">
        <v>4099.5598200000104</v>
      </c>
      <c r="CQ40" s="407">
        <v>30</v>
      </c>
      <c r="CR40" s="407">
        <v>-2434.263834847312</v>
      </c>
      <c r="CS40" s="407">
        <v>0</v>
      </c>
      <c r="CT40" s="407">
        <v>0</v>
      </c>
      <c r="CU40" s="407">
        <v>0</v>
      </c>
      <c r="CV40" s="407">
        <v>0</v>
      </c>
      <c r="CW40" s="407">
        <v>0</v>
      </c>
      <c r="CX40" s="407">
        <v>0</v>
      </c>
      <c r="CY40" s="407">
        <v>0</v>
      </c>
      <c r="CZ40" s="407">
        <v>-5849.7081798278814</v>
      </c>
      <c r="DA40" s="407">
        <v>0</v>
      </c>
      <c r="DB40" s="407">
        <v>0</v>
      </c>
      <c r="DC40" s="407">
        <v>4102.4899739832035</v>
      </c>
      <c r="DD40" s="407">
        <v>0</v>
      </c>
      <c r="DE40" s="407">
        <v>0</v>
      </c>
      <c r="DF40" s="407">
        <v>0</v>
      </c>
      <c r="DG40" s="407">
        <v>969.02862679425016</v>
      </c>
      <c r="DH40" s="407">
        <v>0</v>
      </c>
      <c r="DI40" s="407">
        <v>-1418.4175169944428</v>
      </c>
      <c r="DJ40" s="407"/>
      <c r="DK40" s="407">
        <v>0</v>
      </c>
      <c r="DL40" s="407">
        <v>0</v>
      </c>
      <c r="DM40" s="407">
        <v>0</v>
      </c>
      <c r="DN40" s="407">
        <v>0</v>
      </c>
      <c r="DO40" s="407">
        <v>-183.80251199099439</v>
      </c>
      <c r="DP40" s="407">
        <v>-53.85422681140335</v>
      </c>
      <c r="DQ40" s="407">
        <v>0</v>
      </c>
      <c r="DR40" s="407">
        <v>0</v>
      </c>
      <c r="DS40" s="407"/>
      <c r="DT40" s="407"/>
      <c r="DU40" s="407"/>
      <c r="DV40" s="407">
        <v>508026.51708422793</v>
      </c>
      <c r="DW40" s="407">
        <v>0</v>
      </c>
      <c r="DX40" s="407">
        <v>0</v>
      </c>
      <c r="DY40" s="407">
        <v>-156721.48088000005</v>
      </c>
      <c r="DZ40" s="407">
        <v>4099.559820000024</v>
      </c>
      <c r="EA40" s="407">
        <v>0</v>
      </c>
      <c r="EB40" s="407">
        <v>0</v>
      </c>
      <c r="EC40" s="407">
        <v>-150180.6577984395</v>
      </c>
      <c r="ED40" s="407">
        <v>0</v>
      </c>
      <c r="EE40" s="407">
        <v>0</v>
      </c>
      <c r="EF40" s="407">
        <v>0</v>
      </c>
      <c r="EG40" s="407">
        <v>0</v>
      </c>
      <c r="EH40" s="407">
        <v>0</v>
      </c>
      <c r="EI40" s="407">
        <v>0</v>
      </c>
      <c r="EJ40" s="407">
        <v>0</v>
      </c>
      <c r="EK40" s="407">
        <v>0</v>
      </c>
      <c r="EL40" s="407">
        <v>0</v>
      </c>
      <c r="EM40" s="407">
        <v>0</v>
      </c>
      <c r="EN40" s="407">
        <v>0</v>
      </c>
      <c r="EO40" s="407">
        <v>0</v>
      </c>
      <c r="EP40" s="407">
        <v>0</v>
      </c>
      <c r="EQ40" s="407">
        <v>0</v>
      </c>
      <c r="ER40" s="407">
        <v>0</v>
      </c>
      <c r="ES40" s="407">
        <v>0</v>
      </c>
      <c r="ET40" s="407">
        <v>0</v>
      </c>
      <c r="EU40" s="407">
        <v>0</v>
      </c>
      <c r="EV40" s="407">
        <v>207</v>
      </c>
      <c r="EW40" s="407">
        <v>0</v>
      </c>
      <c r="EX40" s="407">
        <v>0</v>
      </c>
      <c r="EY40" s="407">
        <v>0</v>
      </c>
      <c r="EZ40" s="407"/>
      <c r="FA40" s="407">
        <v>0</v>
      </c>
      <c r="FB40" s="407"/>
      <c r="FC40" s="407"/>
      <c r="FD40" s="407"/>
      <c r="FE40" s="407"/>
      <c r="FF40" s="407">
        <v>0</v>
      </c>
      <c r="FG40" s="407">
        <v>0</v>
      </c>
      <c r="FH40" s="407">
        <v>0</v>
      </c>
      <c r="FI40" s="407">
        <v>0</v>
      </c>
    </row>
    <row r="41" spans="1:165" customFormat="1">
      <c r="A41" s="407">
        <v>39</v>
      </c>
      <c r="B41" s="407" t="s">
        <v>2307</v>
      </c>
      <c r="C41" s="407" t="s">
        <v>2305</v>
      </c>
      <c r="D41" s="407" t="s">
        <v>1220</v>
      </c>
      <c r="E41" s="407" t="s">
        <v>1023</v>
      </c>
      <c r="F41" s="407" t="s">
        <v>1023</v>
      </c>
      <c r="G41" s="407" t="s">
        <v>96</v>
      </c>
      <c r="H41" s="407" t="s">
        <v>96</v>
      </c>
      <c r="I41" s="407" t="s">
        <v>96</v>
      </c>
      <c r="J41" s="407" t="s">
        <v>2306</v>
      </c>
      <c r="K41" s="815">
        <v>44440</v>
      </c>
      <c r="L41" s="407">
        <v>0</v>
      </c>
      <c r="M41" s="407">
        <v>0</v>
      </c>
      <c r="N41" s="407">
        <v>-0.21299999999999999</v>
      </c>
      <c r="O41" s="407">
        <v>-0.21299999999999999</v>
      </c>
      <c r="P41" s="407">
        <v>-0.21299999999999999</v>
      </c>
      <c r="Q41" s="407">
        <v>-0.21299999999999999</v>
      </c>
      <c r="R41" s="407"/>
      <c r="S41" s="407">
        <v>710.52</v>
      </c>
      <c r="T41" s="407">
        <v>127.85</v>
      </c>
      <c r="U41" s="407"/>
      <c r="V41" s="407">
        <v>-178.57280999999998</v>
      </c>
      <c r="W41" s="407">
        <v>-178.57280999999998</v>
      </c>
      <c r="X41" s="407">
        <v>-146.69523000000001</v>
      </c>
      <c r="Y41" s="407">
        <v>0</v>
      </c>
      <c r="Z41" s="407">
        <v>-13.008991325666884</v>
      </c>
      <c r="AA41" s="407">
        <v>0</v>
      </c>
      <c r="AB41" s="407">
        <v>0</v>
      </c>
      <c r="AC41" s="407">
        <v>0</v>
      </c>
      <c r="AD41" s="407">
        <v>-23.289942826891696</v>
      </c>
      <c r="AE41" s="407">
        <v>-106.10963240403234</v>
      </c>
      <c r="AF41" s="407">
        <v>-27.231495390382101</v>
      </c>
      <c r="AG41" s="407">
        <v>0</v>
      </c>
      <c r="AH41" s="407">
        <v>0</v>
      </c>
      <c r="AI41" s="407">
        <v>0</v>
      </c>
      <c r="AJ41" s="407">
        <v>0</v>
      </c>
      <c r="AK41" s="407">
        <v>0</v>
      </c>
      <c r="AL41" s="407">
        <v>-2.0118483497431701</v>
      </c>
      <c r="AM41" s="407"/>
      <c r="AN41" s="407">
        <v>-0.48793258123023336</v>
      </c>
      <c r="AO41" s="407">
        <v>0</v>
      </c>
      <c r="AP41" s="407">
        <v>0</v>
      </c>
      <c r="AQ41" s="407">
        <v>0</v>
      </c>
      <c r="AR41" s="407">
        <v>0</v>
      </c>
      <c r="AS41" s="407">
        <v>0</v>
      </c>
      <c r="AT41" s="407">
        <v>0</v>
      </c>
      <c r="AU41" s="407">
        <v>0</v>
      </c>
      <c r="AV41" s="407">
        <v>0</v>
      </c>
      <c r="AW41" s="407">
        <v>0</v>
      </c>
      <c r="AX41" s="407">
        <v>0</v>
      </c>
      <c r="AY41" s="407">
        <v>0</v>
      </c>
      <c r="AZ41" s="407">
        <v>0</v>
      </c>
      <c r="BA41" s="407"/>
      <c r="BB41" s="407">
        <v>0</v>
      </c>
      <c r="BC41" s="407">
        <v>0</v>
      </c>
      <c r="BD41" s="407">
        <v>0</v>
      </c>
      <c r="BE41" s="407">
        <v>0</v>
      </c>
      <c r="BF41" s="407">
        <v>0</v>
      </c>
      <c r="BG41" s="407">
        <v>-6.4322152524544345</v>
      </c>
      <c r="BH41" s="407">
        <v>0</v>
      </c>
      <c r="BI41" s="407">
        <v>-1.67</v>
      </c>
      <c r="BJ41" s="407">
        <v>-7.74</v>
      </c>
      <c r="BK41" s="407">
        <v>-87.32</v>
      </c>
      <c r="BL41" s="407">
        <v>0</v>
      </c>
      <c r="BM41" s="407"/>
      <c r="BN41" s="407"/>
      <c r="BO41" s="407"/>
      <c r="BP41" s="407"/>
      <c r="BQ41" s="407"/>
      <c r="BR41" s="407"/>
      <c r="BS41" s="407"/>
      <c r="BT41" s="407"/>
      <c r="BU41" s="407"/>
      <c r="BV41" s="407">
        <v>-33.663710642836534</v>
      </c>
      <c r="BW41" s="407"/>
      <c r="BX41" s="407"/>
      <c r="BY41" s="407"/>
      <c r="BZ41" s="407"/>
      <c r="CA41" s="407"/>
      <c r="CB41" s="407"/>
      <c r="CC41" s="407"/>
      <c r="CD41" s="407"/>
      <c r="CE41" s="407"/>
      <c r="CF41" s="407"/>
      <c r="CG41" s="407"/>
      <c r="CH41" s="407"/>
      <c r="CI41" s="407">
        <v>-144.62909999999999</v>
      </c>
      <c r="CJ41" s="407">
        <v>33.913710000000009</v>
      </c>
      <c r="CK41" s="407"/>
      <c r="CL41" s="407"/>
      <c r="CM41" s="407"/>
      <c r="CN41" s="407"/>
      <c r="CO41" s="407">
        <v>32.733839999999987</v>
      </c>
      <c r="CP41" s="407">
        <v>-0.85626000000000213</v>
      </c>
      <c r="CQ41" s="407">
        <v>30</v>
      </c>
      <c r="CR41" s="407">
        <v>0.50843574499332078</v>
      </c>
      <c r="CS41" s="407">
        <v>0</v>
      </c>
      <c r="CT41" s="407">
        <v>0</v>
      </c>
      <c r="CU41" s="407">
        <v>0</v>
      </c>
      <c r="CV41" s="407">
        <v>0</v>
      </c>
      <c r="CW41" s="407">
        <v>0</v>
      </c>
      <c r="CX41" s="407">
        <v>0</v>
      </c>
      <c r="CY41" s="407">
        <v>0</v>
      </c>
      <c r="CZ41" s="407">
        <v>1.2218070588025789</v>
      </c>
      <c r="DA41" s="407">
        <v>0</v>
      </c>
      <c r="DB41" s="407">
        <v>0</v>
      </c>
      <c r="DC41" s="407">
        <v>-0.85687201049864115</v>
      </c>
      <c r="DD41" s="407">
        <v>0</v>
      </c>
      <c r="DE41" s="407">
        <v>0</v>
      </c>
      <c r="DF41" s="407">
        <v>0</v>
      </c>
      <c r="DG41" s="407">
        <v>-0.20239744958248806</v>
      </c>
      <c r="DH41" s="407">
        <v>0</v>
      </c>
      <c r="DI41" s="407">
        <v>0.29625965626271977</v>
      </c>
      <c r="DJ41" s="407"/>
      <c r="DK41" s="407">
        <v>0</v>
      </c>
      <c r="DL41" s="407">
        <v>0</v>
      </c>
      <c r="DM41" s="407">
        <v>0</v>
      </c>
      <c r="DN41" s="407">
        <v>0</v>
      </c>
      <c r="DO41" s="407">
        <v>3.8390155486841993E-2</v>
      </c>
      <c r="DP41" s="407">
        <v>1.1248334522298065E-2</v>
      </c>
      <c r="DQ41" s="407">
        <v>0</v>
      </c>
      <c r="DR41" s="407">
        <v>0</v>
      </c>
      <c r="DS41" s="407"/>
      <c r="DT41" s="407"/>
      <c r="DU41" s="407"/>
      <c r="DV41" s="407">
        <v>-106.10963240403234</v>
      </c>
      <c r="DW41" s="407">
        <v>0</v>
      </c>
      <c r="DX41" s="407">
        <v>0</v>
      </c>
      <c r="DY41" s="407">
        <v>32.733839999999987</v>
      </c>
      <c r="DZ41" s="407">
        <v>-0.85626000000000246</v>
      </c>
      <c r="EA41" s="407">
        <v>0</v>
      </c>
      <c r="EB41" s="407">
        <v>0</v>
      </c>
      <c r="EC41" s="407">
        <v>31.367682310461262</v>
      </c>
      <c r="ED41" s="407">
        <v>0</v>
      </c>
      <c r="EE41" s="407">
        <v>0</v>
      </c>
      <c r="EF41" s="407">
        <v>0</v>
      </c>
      <c r="EG41" s="407">
        <v>0</v>
      </c>
      <c r="EH41" s="407">
        <v>0</v>
      </c>
      <c r="EI41" s="407">
        <v>0</v>
      </c>
      <c r="EJ41" s="407">
        <v>0</v>
      </c>
      <c r="EK41" s="407">
        <v>0</v>
      </c>
      <c r="EL41" s="407">
        <v>0</v>
      </c>
      <c r="EM41" s="407">
        <v>0</v>
      </c>
      <c r="EN41" s="407">
        <v>0</v>
      </c>
      <c r="EO41" s="407">
        <v>0</v>
      </c>
      <c r="EP41" s="407">
        <v>0</v>
      </c>
      <c r="EQ41" s="407">
        <v>0</v>
      </c>
      <c r="ER41" s="407">
        <v>0</v>
      </c>
      <c r="ES41" s="407">
        <v>0</v>
      </c>
      <c r="ET41" s="407">
        <v>0</v>
      </c>
      <c r="EU41" s="407">
        <v>0</v>
      </c>
      <c r="EV41" s="407">
        <v>207</v>
      </c>
      <c r="EW41" s="407">
        <v>0</v>
      </c>
      <c r="EX41" s="407">
        <v>0</v>
      </c>
      <c r="EY41" s="407">
        <v>0</v>
      </c>
      <c r="EZ41" s="407"/>
      <c r="FA41" s="407">
        <v>0</v>
      </c>
      <c r="FB41" s="407"/>
      <c r="FC41" s="407"/>
      <c r="FD41" s="407"/>
      <c r="FE41" s="407"/>
      <c r="FF41" s="407">
        <v>0</v>
      </c>
      <c r="FG41" s="407">
        <v>0</v>
      </c>
      <c r="FH41" s="407">
        <v>0</v>
      </c>
      <c r="FI41" s="407">
        <v>0</v>
      </c>
    </row>
    <row r="42" spans="1:165" customFormat="1">
      <c r="A42" s="407">
        <v>40</v>
      </c>
      <c r="B42" s="407" t="s">
        <v>2308</v>
      </c>
      <c r="C42" s="407" t="s">
        <v>2305</v>
      </c>
      <c r="D42" s="407" t="s">
        <v>1220</v>
      </c>
      <c r="E42" s="407" t="s">
        <v>1023</v>
      </c>
      <c r="F42" s="407" t="s">
        <v>1023</v>
      </c>
      <c r="G42" s="407" t="s">
        <v>96</v>
      </c>
      <c r="H42" s="407" t="s">
        <v>96</v>
      </c>
      <c r="I42" s="407" t="s">
        <v>96</v>
      </c>
      <c r="J42" s="407" t="s">
        <v>2306</v>
      </c>
      <c r="K42" s="815">
        <v>44440</v>
      </c>
      <c r="L42" s="407">
        <v>0</v>
      </c>
      <c r="M42" s="407">
        <v>0</v>
      </c>
      <c r="N42" s="407">
        <v>1.869</v>
      </c>
      <c r="O42" s="407">
        <v>1.869</v>
      </c>
      <c r="P42" s="407">
        <v>1.869</v>
      </c>
      <c r="Q42" s="407">
        <v>1.869</v>
      </c>
      <c r="R42" s="407"/>
      <c r="S42" s="407">
        <v>710.52</v>
      </c>
      <c r="T42" s="407">
        <v>127.85</v>
      </c>
      <c r="U42" s="407"/>
      <c r="V42" s="407">
        <v>1566.91353</v>
      </c>
      <c r="W42" s="407">
        <v>1566.91353</v>
      </c>
      <c r="X42" s="407">
        <v>1287.1989900000001</v>
      </c>
      <c r="Y42" s="407">
        <v>0</v>
      </c>
      <c r="Z42" s="407">
        <v>114.14931825197844</v>
      </c>
      <c r="AA42" s="407">
        <v>0</v>
      </c>
      <c r="AB42" s="407">
        <v>0</v>
      </c>
      <c r="AC42" s="407">
        <v>0</v>
      </c>
      <c r="AD42" s="407">
        <v>204.36104762188066</v>
      </c>
      <c r="AE42" s="407">
        <v>931.07466179876269</v>
      </c>
      <c r="AF42" s="407">
        <v>238.94678349588801</v>
      </c>
      <c r="AG42" s="407">
        <v>0</v>
      </c>
      <c r="AH42" s="407">
        <v>0</v>
      </c>
      <c r="AI42" s="407">
        <v>0</v>
      </c>
      <c r="AJ42" s="407">
        <v>0</v>
      </c>
      <c r="AK42" s="407">
        <v>0</v>
      </c>
      <c r="AL42" s="407">
        <v>17.653260871690069</v>
      </c>
      <c r="AM42" s="407"/>
      <c r="AN42" s="407">
        <v>4.2814365930483858</v>
      </c>
      <c r="AO42" s="407">
        <v>0</v>
      </c>
      <c r="AP42" s="407">
        <v>0</v>
      </c>
      <c r="AQ42" s="407">
        <v>0</v>
      </c>
      <c r="AR42" s="407">
        <v>0</v>
      </c>
      <c r="AS42" s="407">
        <v>0</v>
      </c>
      <c r="AT42" s="407">
        <v>0</v>
      </c>
      <c r="AU42" s="407">
        <v>0</v>
      </c>
      <c r="AV42" s="407">
        <v>0</v>
      </c>
      <c r="AW42" s="407">
        <v>0</v>
      </c>
      <c r="AX42" s="407">
        <v>0</v>
      </c>
      <c r="AY42" s="407">
        <v>0</v>
      </c>
      <c r="AZ42" s="407">
        <v>0</v>
      </c>
      <c r="BA42" s="407"/>
      <c r="BB42" s="407">
        <v>0</v>
      </c>
      <c r="BC42" s="407">
        <v>0</v>
      </c>
      <c r="BD42" s="407">
        <v>0</v>
      </c>
      <c r="BE42" s="407">
        <v>0</v>
      </c>
      <c r="BF42" s="407">
        <v>0</v>
      </c>
      <c r="BG42" s="407">
        <v>56.440423975762151</v>
      </c>
      <c r="BH42" s="407">
        <v>0</v>
      </c>
      <c r="BI42" s="407">
        <v>7</v>
      </c>
      <c r="BJ42" s="407">
        <v>32.54</v>
      </c>
      <c r="BK42" s="407">
        <v>766.24</v>
      </c>
      <c r="BL42" s="407">
        <v>11</v>
      </c>
      <c r="BM42" s="407"/>
      <c r="BN42" s="407"/>
      <c r="BO42" s="407"/>
      <c r="BP42" s="407"/>
      <c r="BQ42" s="407"/>
      <c r="BR42" s="407"/>
      <c r="BS42" s="407"/>
      <c r="BT42" s="407"/>
      <c r="BU42" s="407"/>
      <c r="BV42" s="407">
        <v>295.38720747165019</v>
      </c>
      <c r="BW42" s="407"/>
      <c r="BX42" s="407"/>
      <c r="BY42" s="407"/>
      <c r="BZ42" s="407"/>
      <c r="CA42" s="407"/>
      <c r="CB42" s="407"/>
      <c r="CC42" s="407"/>
      <c r="CD42" s="407"/>
      <c r="CE42" s="407"/>
      <c r="CF42" s="407"/>
      <c r="CG42" s="407"/>
      <c r="CH42" s="407"/>
      <c r="CI42" s="407">
        <v>1287.8877000000002</v>
      </c>
      <c r="CJ42" s="407">
        <v>-279.05582999999979</v>
      </c>
      <c r="CK42" s="407"/>
      <c r="CL42" s="407"/>
      <c r="CM42" s="407"/>
      <c r="CN42" s="407"/>
      <c r="CO42" s="407">
        <v>-287.22791999999993</v>
      </c>
      <c r="CP42" s="407">
        <v>7.5133800000000193</v>
      </c>
      <c r="CQ42" s="407">
        <v>30</v>
      </c>
      <c r="CR42" s="407">
        <v>-4.4613446356455597</v>
      </c>
      <c r="CS42" s="407">
        <v>0</v>
      </c>
      <c r="CT42" s="407">
        <v>0</v>
      </c>
      <c r="CU42" s="407">
        <v>0</v>
      </c>
      <c r="CV42" s="407">
        <v>0</v>
      </c>
      <c r="CW42" s="407">
        <v>0</v>
      </c>
      <c r="CX42" s="407">
        <v>0</v>
      </c>
      <c r="CY42" s="407">
        <v>0</v>
      </c>
      <c r="CZ42" s="407">
        <v>-10.720926727239515</v>
      </c>
      <c r="DA42" s="407">
        <v>0</v>
      </c>
      <c r="DB42" s="407">
        <v>0</v>
      </c>
      <c r="DC42" s="407">
        <v>7.5187501766289131</v>
      </c>
      <c r="DD42" s="407">
        <v>0</v>
      </c>
      <c r="DE42" s="407">
        <v>0</v>
      </c>
      <c r="DF42" s="407">
        <v>0</v>
      </c>
      <c r="DG42" s="407">
        <v>1.7759663533787347</v>
      </c>
      <c r="DH42" s="407">
        <v>0</v>
      </c>
      <c r="DI42" s="407">
        <v>-2.5995741669250094</v>
      </c>
      <c r="DJ42" s="407"/>
      <c r="DK42" s="407">
        <v>0</v>
      </c>
      <c r="DL42" s="407">
        <v>0</v>
      </c>
      <c r="DM42" s="407">
        <v>0</v>
      </c>
      <c r="DN42" s="407">
        <v>0</v>
      </c>
      <c r="DO42" s="407">
        <v>-0.33686009673665396</v>
      </c>
      <c r="DP42" s="407">
        <v>-9.8700174751995995E-2</v>
      </c>
      <c r="DQ42" s="407">
        <v>0</v>
      </c>
      <c r="DR42" s="407">
        <v>0</v>
      </c>
      <c r="DS42" s="407"/>
      <c r="DT42" s="407"/>
      <c r="DU42" s="407"/>
      <c r="DV42" s="407">
        <v>931.07466179876269</v>
      </c>
      <c r="DW42" s="407">
        <v>0</v>
      </c>
      <c r="DX42" s="407">
        <v>0</v>
      </c>
      <c r="DY42" s="407">
        <v>-287.22792000000004</v>
      </c>
      <c r="DZ42" s="407">
        <v>7.5133800000000122</v>
      </c>
      <c r="EA42" s="407">
        <v>0</v>
      </c>
      <c r="EB42" s="407">
        <v>0</v>
      </c>
      <c r="EC42" s="407">
        <v>-275.24036731573767</v>
      </c>
      <c r="ED42" s="407">
        <v>0</v>
      </c>
      <c r="EE42" s="407">
        <v>0</v>
      </c>
      <c r="EF42" s="407">
        <v>0</v>
      </c>
      <c r="EG42" s="407">
        <v>0</v>
      </c>
      <c r="EH42" s="407">
        <v>0</v>
      </c>
      <c r="EI42" s="407">
        <v>0</v>
      </c>
      <c r="EJ42" s="407">
        <v>0</v>
      </c>
      <c r="EK42" s="407">
        <v>0</v>
      </c>
      <c r="EL42" s="407">
        <v>0</v>
      </c>
      <c r="EM42" s="407">
        <v>0</v>
      </c>
      <c r="EN42" s="407">
        <v>0</v>
      </c>
      <c r="EO42" s="407">
        <v>0</v>
      </c>
      <c r="EP42" s="407">
        <v>0</v>
      </c>
      <c r="EQ42" s="407">
        <v>0</v>
      </c>
      <c r="ER42" s="407">
        <v>0</v>
      </c>
      <c r="ES42" s="407">
        <v>0</v>
      </c>
      <c r="ET42" s="407">
        <v>0</v>
      </c>
      <c r="EU42" s="407">
        <v>0</v>
      </c>
      <c r="EV42" s="407">
        <v>207</v>
      </c>
      <c r="EW42" s="407">
        <v>0</v>
      </c>
      <c r="EX42" s="407">
        <v>0</v>
      </c>
      <c r="EY42" s="407">
        <v>0</v>
      </c>
      <c r="EZ42" s="407"/>
      <c r="FA42" s="407">
        <v>0</v>
      </c>
      <c r="FB42" s="407"/>
      <c r="FC42" s="407"/>
      <c r="FD42" s="407"/>
      <c r="FE42" s="407"/>
      <c r="FF42" s="407">
        <v>0</v>
      </c>
      <c r="FG42" s="407">
        <v>0</v>
      </c>
      <c r="FH42" s="407">
        <v>0</v>
      </c>
      <c r="FI42" s="407">
        <v>0</v>
      </c>
    </row>
    <row r="43" spans="1:165" customFormat="1">
      <c r="A43" s="407">
        <v>41</v>
      </c>
      <c r="B43" s="407" t="s">
        <v>1092</v>
      </c>
      <c r="C43" s="407" t="s">
        <v>2305</v>
      </c>
      <c r="D43" s="407" t="s">
        <v>1220</v>
      </c>
      <c r="E43" s="407" t="s">
        <v>1023</v>
      </c>
      <c r="F43" s="407" t="s">
        <v>2309</v>
      </c>
      <c r="G43" s="407" t="s">
        <v>96</v>
      </c>
      <c r="H43" s="407" t="s">
        <v>96</v>
      </c>
      <c r="I43" s="407" t="s">
        <v>96</v>
      </c>
      <c r="J43" s="407" t="s">
        <v>2306</v>
      </c>
      <c r="K43" s="815">
        <v>44440</v>
      </c>
      <c r="L43" s="407">
        <v>0</v>
      </c>
      <c r="M43" s="407">
        <v>0</v>
      </c>
      <c r="N43" s="407">
        <v>3.78</v>
      </c>
      <c r="O43" s="407">
        <v>3.78</v>
      </c>
      <c r="P43" s="407">
        <v>3.78</v>
      </c>
      <c r="Q43" s="407">
        <v>3.78</v>
      </c>
      <c r="R43" s="407"/>
      <c r="S43" s="407">
        <v>640</v>
      </c>
      <c r="T43" s="407">
        <v>127.85</v>
      </c>
      <c r="U43" s="407"/>
      <c r="V43" s="407">
        <v>2902.473</v>
      </c>
      <c r="W43" s="407">
        <v>2902.473</v>
      </c>
      <c r="X43" s="407">
        <v>2342.6927999999998</v>
      </c>
      <c r="Y43" s="407">
        <v>0</v>
      </c>
      <c r="Z43" s="407">
        <v>0</v>
      </c>
      <c r="AA43" s="407">
        <v>0</v>
      </c>
      <c r="AB43" s="407">
        <v>0</v>
      </c>
      <c r="AC43" s="407">
        <v>0</v>
      </c>
      <c r="AD43" s="407">
        <v>413.31447833638782</v>
      </c>
      <c r="AE43" s="407">
        <v>1883.0723497053627</v>
      </c>
      <c r="AF43" s="407">
        <v>483.26315763213302</v>
      </c>
      <c r="AG43" s="407">
        <v>0</v>
      </c>
      <c r="AH43" s="407">
        <v>0</v>
      </c>
      <c r="AI43" s="407">
        <v>0</v>
      </c>
      <c r="AJ43" s="407">
        <v>0</v>
      </c>
      <c r="AK43" s="407">
        <v>0</v>
      </c>
      <c r="AL43" s="407">
        <v>0</v>
      </c>
      <c r="AM43" s="407"/>
      <c r="AN43" s="407">
        <v>8.659085244367521</v>
      </c>
      <c r="AO43" s="407">
        <v>0</v>
      </c>
      <c r="AP43" s="407">
        <v>0</v>
      </c>
      <c r="AQ43" s="407">
        <v>0</v>
      </c>
      <c r="AR43" s="407">
        <v>0</v>
      </c>
      <c r="AS43" s="407">
        <v>0</v>
      </c>
      <c r="AT43" s="407">
        <v>0</v>
      </c>
      <c r="AU43" s="407">
        <v>0</v>
      </c>
      <c r="AV43" s="407">
        <v>0</v>
      </c>
      <c r="AW43" s="407">
        <v>0</v>
      </c>
      <c r="AX43" s="407">
        <v>0</v>
      </c>
      <c r="AY43" s="407">
        <v>0</v>
      </c>
      <c r="AZ43" s="407">
        <v>0</v>
      </c>
      <c r="BA43" s="407"/>
      <c r="BB43" s="407">
        <v>0</v>
      </c>
      <c r="BC43" s="407">
        <v>0</v>
      </c>
      <c r="BD43" s="407">
        <v>0</v>
      </c>
      <c r="BE43" s="407">
        <v>0</v>
      </c>
      <c r="BF43" s="407">
        <v>0</v>
      </c>
      <c r="BG43" s="407">
        <v>114.14917208581109</v>
      </c>
      <c r="BH43" s="407">
        <v>0</v>
      </c>
      <c r="BI43" s="407">
        <v>18.41</v>
      </c>
      <c r="BJ43" s="407">
        <v>84.16</v>
      </c>
      <c r="BK43" s="407">
        <v>521.69000000000005</v>
      </c>
      <c r="BL43" s="407">
        <v>0</v>
      </c>
      <c r="BM43" s="407"/>
      <c r="BN43" s="407"/>
      <c r="BO43" s="407"/>
      <c r="BP43" s="407"/>
      <c r="BQ43" s="407"/>
      <c r="BR43" s="407"/>
      <c r="BS43" s="407"/>
      <c r="BT43" s="407">
        <v>1522.7729999999999</v>
      </c>
      <c r="BU43" s="407"/>
      <c r="BV43" s="407">
        <v>597.41232971794409</v>
      </c>
      <c r="BW43" s="407"/>
      <c r="BX43" s="407"/>
      <c r="BY43" s="407"/>
      <c r="BZ43" s="407"/>
      <c r="CA43" s="407"/>
      <c r="CB43" s="407"/>
      <c r="CC43" s="407"/>
      <c r="CD43" s="407"/>
      <c r="CE43" s="407"/>
      <c r="CF43" s="407"/>
      <c r="CG43" s="407"/>
      <c r="CH43" s="407"/>
      <c r="CI43" s="407">
        <v>819.9197999999999</v>
      </c>
      <c r="CJ43" s="407">
        <v>-195.98519999999996</v>
      </c>
      <c r="CK43" s="407"/>
      <c r="CL43" s="407"/>
      <c r="CM43" s="407"/>
      <c r="CN43" s="407"/>
      <c r="CO43" s="407">
        <v>-574.97580000000005</v>
      </c>
      <c r="CP43" s="407">
        <v>15.195600000000038</v>
      </c>
      <c r="CQ43" s="407">
        <v>30</v>
      </c>
      <c r="CR43" s="407">
        <v>-3.0840883927763798</v>
      </c>
      <c r="CS43" s="407">
        <v>0</v>
      </c>
      <c r="CT43" s="407">
        <v>0</v>
      </c>
      <c r="CU43" s="407">
        <v>0</v>
      </c>
      <c r="CV43" s="407">
        <v>0</v>
      </c>
      <c r="CW43" s="407">
        <v>0</v>
      </c>
      <c r="CX43" s="407">
        <v>0</v>
      </c>
      <c r="CY43" s="407">
        <v>0</v>
      </c>
      <c r="CZ43" s="407">
        <v>-21.682773156214751</v>
      </c>
      <c r="DA43" s="407">
        <v>0</v>
      </c>
      <c r="DB43" s="407">
        <v>0</v>
      </c>
      <c r="DC43" s="407">
        <v>15.206461031384322</v>
      </c>
      <c r="DD43" s="407">
        <v>0</v>
      </c>
      <c r="DE43" s="407">
        <v>0</v>
      </c>
      <c r="DF43" s="407">
        <v>0</v>
      </c>
      <c r="DG43" s="407">
        <v>3.5918420630131607</v>
      </c>
      <c r="DH43" s="407">
        <v>0</v>
      </c>
      <c r="DI43" s="407">
        <v>0</v>
      </c>
      <c r="DJ43" s="407"/>
      <c r="DK43" s="407">
        <v>0</v>
      </c>
      <c r="DL43" s="407">
        <v>0</v>
      </c>
      <c r="DM43" s="407">
        <v>0</v>
      </c>
      <c r="DN43" s="407">
        <v>0</v>
      </c>
      <c r="DO43" s="407">
        <v>0</v>
      </c>
      <c r="DP43" s="407">
        <v>-0.19961833095909221</v>
      </c>
      <c r="DQ43" s="407">
        <v>0</v>
      </c>
      <c r="DR43" s="407">
        <v>0</v>
      </c>
      <c r="DS43" s="407"/>
      <c r="DT43" s="407"/>
      <c r="DU43" s="407"/>
      <c r="DV43" s="407">
        <v>1883.0723497053627</v>
      </c>
      <c r="DW43" s="407">
        <v>0</v>
      </c>
      <c r="DX43" s="407">
        <v>0</v>
      </c>
      <c r="DY43" s="407">
        <v>-574.97579999999994</v>
      </c>
      <c r="DZ43" s="407">
        <v>15.195600000000013</v>
      </c>
      <c r="EA43" s="407">
        <v>0</v>
      </c>
      <c r="EB43" s="407">
        <v>0</v>
      </c>
      <c r="EC43" s="407">
        <v>-556.66591142508742</v>
      </c>
      <c r="ED43" s="407">
        <v>0</v>
      </c>
      <c r="EE43" s="407">
        <v>0</v>
      </c>
      <c r="EF43" s="407">
        <v>0</v>
      </c>
      <c r="EG43" s="407">
        <v>0</v>
      </c>
      <c r="EH43" s="407">
        <v>0</v>
      </c>
      <c r="EI43" s="407">
        <v>0</v>
      </c>
      <c r="EJ43" s="407">
        <v>0</v>
      </c>
      <c r="EK43" s="407">
        <v>0</v>
      </c>
      <c r="EL43" s="407">
        <v>0</v>
      </c>
      <c r="EM43" s="407">
        <v>0</v>
      </c>
      <c r="EN43" s="407">
        <v>0</v>
      </c>
      <c r="EO43" s="407">
        <v>0</v>
      </c>
      <c r="EP43" s="407">
        <v>0</v>
      </c>
      <c r="EQ43" s="407">
        <v>0</v>
      </c>
      <c r="ER43" s="407">
        <v>0</v>
      </c>
      <c r="ES43" s="407">
        <v>0</v>
      </c>
      <c r="ET43" s="407">
        <v>0</v>
      </c>
      <c r="EU43" s="407">
        <v>0</v>
      </c>
      <c r="EV43" s="407">
        <v>207</v>
      </c>
      <c r="EW43" s="407">
        <v>0</v>
      </c>
      <c r="EX43" s="407">
        <v>0</v>
      </c>
      <c r="EY43" s="407">
        <v>0</v>
      </c>
      <c r="EZ43" s="407"/>
      <c r="FA43" s="407">
        <v>0</v>
      </c>
      <c r="FB43" s="407"/>
      <c r="FC43" s="407"/>
      <c r="FD43" s="407"/>
      <c r="FE43" s="407"/>
      <c r="FF43" s="407">
        <v>0</v>
      </c>
      <c r="FG43" s="407">
        <v>0</v>
      </c>
      <c r="FH43" s="407">
        <v>0</v>
      </c>
      <c r="FI43" s="407">
        <v>0</v>
      </c>
    </row>
    <row r="44" spans="1:165" customFormat="1">
      <c r="A44" s="407">
        <v>42</v>
      </c>
      <c r="B44" s="407" t="s">
        <v>1092</v>
      </c>
      <c r="C44" s="407" t="s">
        <v>2305</v>
      </c>
      <c r="D44" s="407" t="s">
        <v>1220</v>
      </c>
      <c r="E44" s="407" t="s">
        <v>1023</v>
      </c>
      <c r="F44" s="407" t="s">
        <v>2310</v>
      </c>
      <c r="G44" s="407" t="s">
        <v>96</v>
      </c>
      <c r="H44" s="407" t="s">
        <v>96</v>
      </c>
      <c r="I44" s="407" t="s">
        <v>96</v>
      </c>
      <c r="J44" s="407" t="s">
        <v>2306</v>
      </c>
      <c r="K44" s="815">
        <v>44440</v>
      </c>
      <c r="L44" s="407">
        <v>0</v>
      </c>
      <c r="M44" s="407">
        <v>0</v>
      </c>
      <c r="N44" s="407">
        <v>8.3450000000000006</v>
      </c>
      <c r="O44" s="407">
        <v>8.3450000000000006</v>
      </c>
      <c r="P44" s="407">
        <v>8.3450000000000006</v>
      </c>
      <c r="Q44" s="407">
        <v>8.3450000000000006</v>
      </c>
      <c r="R44" s="407"/>
      <c r="S44" s="407">
        <v>640</v>
      </c>
      <c r="T44" s="407">
        <v>127.85</v>
      </c>
      <c r="U44" s="407"/>
      <c r="V44" s="407">
        <v>6407.7082499999997</v>
      </c>
      <c r="W44" s="407">
        <v>6407.7082499999997</v>
      </c>
      <c r="X44" s="407">
        <v>5171.8972000000003</v>
      </c>
      <c r="Y44" s="407">
        <v>0</v>
      </c>
      <c r="Z44" s="407">
        <v>0</v>
      </c>
      <c r="AA44" s="407">
        <v>0</v>
      </c>
      <c r="AB44" s="407">
        <v>0</v>
      </c>
      <c r="AC44" s="407">
        <v>0</v>
      </c>
      <c r="AD44" s="407">
        <v>912.4627835230574</v>
      </c>
      <c r="AE44" s="407">
        <v>4157.2060207119721</v>
      </c>
      <c r="AF44" s="407">
        <v>1066.8865212804631</v>
      </c>
      <c r="AG44" s="407">
        <v>0</v>
      </c>
      <c r="AH44" s="407">
        <v>0</v>
      </c>
      <c r="AI44" s="407">
        <v>0</v>
      </c>
      <c r="AJ44" s="407">
        <v>0</v>
      </c>
      <c r="AK44" s="407">
        <v>0</v>
      </c>
      <c r="AL44" s="407">
        <v>0</v>
      </c>
      <c r="AM44" s="407"/>
      <c r="AN44" s="407">
        <v>19.116419673081211</v>
      </c>
      <c r="AO44" s="407">
        <v>0</v>
      </c>
      <c r="AP44" s="407">
        <v>0</v>
      </c>
      <c r="AQ44" s="407">
        <v>0</v>
      </c>
      <c r="AR44" s="407">
        <v>0</v>
      </c>
      <c r="AS44" s="407">
        <v>0</v>
      </c>
      <c r="AT44" s="407">
        <v>0</v>
      </c>
      <c r="AU44" s="407">
        <v>0</v>
      </c>
      <c r="AV44" s="407">
        <v>0</v>
      </c>
      <c r="AW44" s="407">
        <v>0</v>
      </c>
      <c r="AX44" s="407">
        <v>0</v>
      </c>
      <c r="AY44" s="407">
        <v>0</v>
      </c>
      <c r="AZ44" s="407">
        <v>0</v>
      </c>
      <c r="BA44" s="407"/>
      <c r="BB44" s="407">
        <v>0</v>
      </c>
      <c r="BC44" s="407">
        <v>0</v>
      </c>
      <c r="BD44" s="407">
        <v>0</v>
      </c>
      <c r="BE44" s="407">
        <v>0</v>
      </c>
      <c r="BF44" s="407">
        <v>0</v>
      </c>
      <c r="BG44" s="407">
        <v>252.00392620531579</v>
      </c>
      <c r="BH44" s="407">
        <v>0</v>
      </c>
      <c r="BI44" s="407">
        <v>41.61</v>
      </c>
      <c r="BJ44" s="407">
        <v>192.77</v>
      </c>
      <c r="BK44" s="407">
        <v>1221.96</v>
      </c>
      <c r="BL44" s="407">
        <v>15</v>
      </c>
      <c r="BM44" s="407"/>
      <c r="BN44" s="407"/>
      <c r="BO44" s="407"/>
      <c r="BP44" s="407"/>
      <c r="BQ44" s="407"/>
      <c r="BR44" s="407"/>
      <c r="BS44" s="407"/>
      <c r="BT44" s="407">
        <v>2068.7255</v>
      </c>
      <c r="BU44" s="407"/>
      <c r="BV44" s="407">
        <v>1318.8904474857789</v>
      </c>
      <c r="BW44" s="407"/>
      <c r="BX44" s="407"/>
      <c r="BY44" s="407"/>
      <c r="BZ44" s="407"/>
      <c r="CA44" s="407"/>
      <c r="CB44" s="407"/>
      <c r="CC44" s="407"/>
      <c r="CD44" s="407"/>
      <c r="CE44" s="407"/>
      <c r="CF44" s="407"/>
      <c r="CG44" s="407"/>
      <c r="CH44" s="407"/>
      <c r="CI44" s="407">
        <v>3105.0309999999999</v>
      </c>
      <c r="CJ44" s="407">
        <v>-739.62395000000106</v>
      </c>
      <c r="CK44" s="407"/>
      <c r="CL44" s="407"/>
      <c r="CM44" s="407"/>
      <c r="CN44" s="407"/>
      <c r="CO44" s="407">
        <v>-1269.3579500000003</v>
      </c>
      <c r="CP44" s="407">
        <v>33.546900000000086</v>
      </c>
      <c r="CQ44" s="407">
        <v>30</v>
      </c>
      <c r="CR44" s="407">
        <v>-6.8086554597143731</v>
      </c>
      <c r="CS44" s="407">
        <v>0</v>
      </c>
      <c r="CT44" s="407">
        <v>0</v>
      </c>
      <c r="CU44" s="407">
        <v>0</v>
      </c>
      <c r="CV44" s="407">
        <v>0</v>
      </c>
      <c r="CW44" s="407">
        <v>0</v>
      </c>
      <c r="CX44" s="407">
        <v>0</v>
      </c>
      <c r="CY44" s="407">
        <v>0</v>
      </c>
      <c r="CZ44" s="407">
        <v>-47.868450261537646</v>
      </c>
      <c r="DA44" s="407">
        <v>0</v>
      </c>
      <c r="DB44" s="407">
        <v>0</v>
      </c>
      <c r="DC44" s="407">
        <v>33.570877594418562</v>
      </c>
      <c r="DD44" s="407">
        <v>0</v>
      </c>
      <c r="DE44" s="407">
        <v>0</v>
      </c>
      <c r="DF44" s="407">
        <v>0</v>
      </c>
      <c r="DG44" s="407">
        <v>7.9296089989007328</v>
      </c>
      <c r="DH44" s="407">
        <v>0</v>
      </c>
      <c r="DI44" s="407">
        <v>0</v>
      </c>
      <c r="DJ44" s="407"/>
      <c r="DK44" s="407">
        <v>0</v>
      </c>
      <c r="DL44" s="407">
        <v>0</v>
      </c>
      <c r="DM44" s="407">
        <v>0</v>
      </c>
      <c r="DN44" s="407">
        <v>0</v>
      </c>
      <c r="DO44" s="407">
        <v>0</v>
      </c>
      <c r="DP44" s="407">
        <v>-0.44069179149567006</v>
      </c>
      <c r="DQ44" s="407">
        <v>0</v>
      </c>
      <c r="DR44" s="407">
        <v>0</v>
      </c>
      <c r="DS44" s="407"/>
      <c r="DT44" s="407"/>
      <c r="DU44" s="407"/>
      <c r="DV44" s="407">
        <v>4157.2060207119721</v>
      </c>
      <c r="DW44" s="407">
        <v>0</v>
      </c>
      <c r="DX44" s="407">
        <v>0</v>
      </c>
      <c r="DY44" s="407">
        <v>-1269.3579500000001</v>
      </c>
      <c r="DZ44" s="407">
        <v>33.546900000000278</v>
      </c>
      <c r="EA44" s="407">
        <v>0</v>
      </c>
      <c r="EB44" s="407">
        <v>0</v>
      </c>
      <c r="EC44" s="407">
        <v>-1228.9357224450678</v>
      </c>
      <c r="ED44" s="407">
        <v>0</v>
      </c>
      <c r="EE44" s="407">
        <v>0</v>
      </c>
      <c r="EF44" s="407">
        <v>0</v>
      </c>
      <c r="EG44" s="407">
        <v>0</v>
      </c>
      <c r="EH44" s="407">
        <v>0</v>
      </c>
      <c r="EI44" s="407">
        <v>0</v>
      </c>
      <c r="EJ44" s="407">
        <v>0</v>
      </c>
      <c r="EK44" s="407">
        <v>0</v>
      </c>
      <c r="EL44" s="407">
        <v>0</v>
      </c>
      <c r="EM44" s="407">
        <v>0</v>
      </c>
      <c r="EN44" s="407">
        <v>0</v>
      </c>
      <c r="EO44" s="407">
        <v>0</v>
      </c>
      <c r="EP44" s="407">
        <v>0</v>
      </c>
      <c r="EQ44" s="407">
        <v>0</v>
      </c>
      <c r="ER44" s="407">
        <v>0</v>
      </c>
      <c r="ES44" s="407">
        <v>0</v>
      </c>
      <c r="ET44" s="407">
        <v>0</v>
      </c>
      <c r="EU44" s="407">
        <v>0</v>
      </c>
      <c r="EV44" s="407">
        <v>207</v>
      </c>
      <c r="EW44" s="407">
        <v>0</v>
      </c>
      <c r="EX44" s="407">
        <v>0</v>
      </c>
      <c r="EY44" s="407">
        <v>0</v>
      </c>
      <c r="EZ44" s="407"/>
      <c r="FA44" s="407">
        <v>0</v>
      </c>
      <c r="FB44" s="407"/>
      <c r="FC44" s="407"/>
      <c r="FD44" s="407"/>
      <c r="FE44" s="407"/>
      <c r="FF44" s="407">
        <v>0</v>
      </c>
      <c r="FG44" s="407">
        <v>0</v>
      </c>
      <c r="FH44" s="407">
        <v>0</v>
      </c>
      <c r="FI44" s="407">
        <v>0</v>
      </c>
    </row>
    <row r="45" spans="1:165" customFormat="1">
      <c r="A45" s="407">
        <v>43</v>
      </c>
      <c r="B45" s="407" t="s">
        <v>1092</v>
      </c>
      <c r="C45" s="407" t="s">
        <v>2305</v>
      </c>
      <c r="D45" s="407" t="s">
        <v>1220</v>
      </c>
      <c r="E45" s="407" t="s">
        <v>1023</v>
      </c>
      <c r="F45" s="407" t="s">
        <v>2311</v>
      </c>
      <c r="G45" s="407" t="s">
        <v>96</v>
      </c>
      <c r="H45" s="407" t="s">
        <v>96</v>
      </c>
      <c r="I45" s="407" t="s">
        <v>96</v>
      </c>
      <c r="J45" s="407" t="s">
        <v>2306</v>
      </c>
      <c r="K45" s="815">
        <v>44440</v>
      </c>
      <c r="L45" s="407">
        <v>0</v>
      </c>
      <c r="M45" s="407">
        <v>0</v>
      </c>
      <c r="N45" s="407">
        <v>8.8919999999999995</v>
      </c>
      <c r="O45" s="407">
        <v>8.8919999999999995</v>
      </c>
      <c r="P45" s="407">
        <v>8.8919999999999995</v>
      </c>
      <c r="Q45" s="407">
        <v>8.8919999999999995</v>
      </c>
      <c r="R45" s="407"/>
      <c r="S45" s="407">
        <v>640</v>
      </c>
      <c r="T45" s="407">
        <v>127.85</v>
      </c>
      <c r="U45" s="407"/>
      <c r="V45" s="407">
        <v>6827.7221999999992</v>
      </c>
      <c r="W45" s="407">
        <v>6827.7221999999992</v>
      </c>
      <c r="X45" s="407">
        <v>5510.9059199999992</v>
      </c>
      <c r="Y45" s="407">
        <v>0</v>
      </c>
      <c r="Z45" s="407">
        <v>0</v>
      </c>
      <c r="AA45" s="407">
        <v>0</v>
      </c>
      <c r="AB45" s="407">
        <v>0</v>
      </c>
      <c r="AC45" s="407">
        <v>0</v>
      </c>
      <c r="AD45" s="407">
        <v>972.27310618178853</v>
      </c>
      <c r="AE45" s="407">
        <v>4429.7035274021391</v>
      </c>
      <c r="AF45" s="407">
        <v>1136.8190470013033</v>
      </c>
      <c r="AG45" s="407">
        <v>0</v>
      </c>
      <c r="AH45" s="407">
        <v>0</v>
      </c>
      <c r="AI45" s="407">
        <v>0</v>
      </c>
      <c r="AJ45" s="407">
        <v>0</v>
      </c>
      <c r="AK45" s="407">
        <v>0</v>
      </c>
      <c r="AL45" s="407">
        <v>0</v>
      </c>
      <c r="AM45" s="407"/>
      <c r="AN45" s="407">
        <v>20.369467193893122</v>
      </c>
      <c r="AO45" s="407">
        <v>0</v>
      </c>
      <c r="AP45" s="407">
        <v>0</v>
      </c>
      <c r="AQ45" s="407">
        <v>0</v>
      </c>
      <c r="AR45" s="407">
        <v>0</v>
      </c>
      <c r="AS45" s="407">
        <v>0</v>
      </c>
      <c r="AT45" s="407">
        <v>0</v>
      </c>
      <c r="AU45" s="407">
        <v>0</v>
      </c>
      <c r="AV45" s="407">
        <v>0</v>
      </c>
      <c r="AW45" s="407">
        <v>0</v>
      </c>
      <c r="AX45" s="407">
        <v>0</v>
      </c>
      <c r="AY45" s="407">
        <v>0</v>
      </c>
      <c r="AZ45" s="407">
        <v>0</v>
      </c>
      <c r="BA45" s="407"/>
      <c r="BB45" s="407">
        <v>0</v>
      </c>
      <c r="BC45" s="407">
        <v>0</v>
      </c>
      <c r="BD45" s="407">
        <v>0</v>
      </c>
      <c r="BE45" s="407">
        <v>0</v>
      </c>
      <c r="BF45" s="407">
        <v>0</v>
      </c>
      <c r="BG45" s="407">
        <v>268.52233814471748</v>
      </c>
      <c r="BH45" s="407">
        <v>0</v>
      </c>
      <c r="BI45" s="407">
        <v>53.59</v>
      </c>
      <c r="BJ45" s="407">
        <v>249.03</v>
      </c>
      <c r="BK45" s="407">
        <v>1828.91</v>
      </c>
      <c r="BL45" s="407">
        <v>70</v>
      </c>
      <c r="BM45" s="407"/>
      <c r="BN45" s="407"/>
      <c r="BO45" s="407"/>
      <c r="BP45" s="407"/>
      <c r="BQ45" s="407"/>
      <c r="BR45" s="407"/>
      <c r="BS45" s="407"/>
      <c r="BT45" s="407">
        <v>551.12615999999957</v>
      </c>
      <c r="BU45" s="407"/>
      <c r="BV45" s="407">
        <v>1405.3413851460207</v>
      </c>
      <c r="BW45" s="407"/>
      <c r="BX45" s="407"/>
      <c r="BY45" s="407"/>
      <c r="BZ45" s="407"/>
      <c r="CA45" s="407"/>
      <c r="CB45" s="407"/>
      <c r="CC45" s="407"/>
      <c r="CD45" s="407"/>
      <c r="CE45" s="407"/>
      <c r="CF45" s="407"/>
      <c r="CG45" s="407"/>
      <c r="CH45" s="407"/>
      <c r="CI45" s="407">
        <v>4958.6642000000011</v>
      </c>
      <c r="CJ45" s="407">
        <v>-1186.2713199999989</v>
      </c>
      <c r="CK45" s="407"/>
      <c r="CL45" s="407"/>
      <c r="CM45" s="407"/>
      <c r="CN45" s="407"/>
      <c r="CO45" s="407">
        <v>-1352.56212</v>
      </c>
      <c r="CP45" s="407">
        <v>35.745840000000086</v>
      </c>
      <c r="CQ45" s="407">
        <v>30</v>
      </c>
      <c r="CR45" s="407">
        <v>-7.254950790626026</v>
      </c>
      <c r="CS45" s="407">
        <v>0</v>
      </c>
      <c r="CT45" s="407">
        <v>0</v>
      </c>
      <c r="CU45" s="407">
        <v>0</v>
      </c>
      <c r="CV45" s="407">
        <v>0</v>
      </c>
      <c r="CW45" s="407">
        <v>0</v>
      </c>
      <c r="CX45" s="407">
        <v>0</v>
      </c>
      <c r="CY45" s="407">
        <v>0</v>
      </c>
      <c r="CZ45" s="407">
        <v>-51.006142567476672</v>
      </c>
      <c r="DA45" s="407">
        <v>0</v>
      </c>
      <c r="DB45" s="407">
        <v>0</v>
      </c>
      <c r="DC45" s="407">
        <v>35.771389283351937</v>
      </c>
      <c r="DD45" s="407">
        <v>0</v>
      </c>
      <c r="DE45" s="407">
        <v>0</v>
      </c>
      <c r="DF45" s="407">
        <v>0</v>
      </c>
      <c r="DG45" s="407">
        <v>8.4493808529929311</v>
      </c>
      <c r="DH45" s="407">
        <v>0</v>
      </c>
      <c r="DI45" s="407">
        <v>0</v>
      </c>
      <c r="DJ45" s="407"/>
      <c r="DK45" s="407">
        <v>0</v>
      </c>
      <c r="DL45" s="407">
        <v>0</v>
      </c>
      <c r="DM45" s="407">
        <v>0</v>
      </c>
      <c r="DN45" s="407">
        <v>0</v>
      </c>
      <c r="DO45" s="407">
        <v>0</v>
      </c>
      <c r="DP45" s="407">
        <v>-0.4695783594942462</v>
      </c>
      <c r="DQ45" s="407">
        <v>0</v>
      </c>
      <c r="DR45" s="407">
        <v>0</v>
      </c>
      <c r="DS45" s="407"/>
      <c r="DT45" s="407"/>
      <c r="DU45" s="407"/>
      <c r="DV45" s="407">
        <v>4429.7035274021391</v>
      </c>
      <c r="DW45" s="407">
        <v>0</v>
      </c>
      <c r="DX45" s="407">
        <v>0</v>
      </c>
      <c r="DY45" s="407">
        <v>-1352.5621199999996</v>
      </c>
      <c r="DZ45" s="407">
        <v>35.745840000000044</v>
      </c>
      <c r="EA45" s="407">
        <v>0</v>
      </c>
      <c r="EB45" s="407">
        <v>0</v>
      </c>
      <c r="EC45" s="407">
        <v>-1309.4902868761583</v>
      </c>
      <c r="ED45" s="407">
        <v>0</v>
      </c>
      <c r="EE45" s="407">
        <v>0</v>
      </c>
      <c r="EF45" s="407">
        <v>0</v>
      </c>
      <c r="EG45" s="407">
        <v>0</v>
      </c>
      <c r="EH45" s="407">
        <v>0</v>
      </c>
      <c r="EI45" s="407">
        <v>0</v>
      </c>
      <c r="EJ45" s="407">
        <v>0</v>
      </c>
      <c r="EK45" s="407">
        <v>0</v>
      </c>
      <c r="EL45" s="407">
        <v>0</v>
      </c>
      <c r="EM45" s="407">
        <v>0</v>
      </c>
      <c r="EN45" s="407">
        <v>0</v>
      </c>
      <c r="EO45" s="407">
        <v>0</v>
      </c>
      <c r="EP45" s="407">
        <v>0</v>
      </c>
      <c r="EQ45" s="407">
        <v>0</v>
      </c>
      <c r="ER45" s="407">
        <v>0</v>
      </c>
      <c r="ES45" s="407">
        <v>0</v>
      </c>
      <c r="ET45" s="407">
        <v>0</v>
      </c>
      <c r="EU45" s="407">
        <v>0</v>
      </c>
      <c r="EV45" s="407">
        <v>207</v>
      </c>
      <c r="EW45" s="407">
        <v>0</v>
      </c>
      <c r="EX45" s="407">
        <v>0</v>
      </c>
      <c r="EY45" s="407">
        <v>0</v>
      </c>
      <c r="EZ45" s="407"/>
      <c r="FA45" s="407">
        <v>0</v>
      </c>
      <c r="FB45" s="407"/>
      <c r="FC45" s="407"/>
      <c r="FD45" s="407"/>
      <c r="FE45" s="407"/>
      <c r="FF45" s="407">
        <v>0</v>
      </c>
      <c r="FG45" s="407">
        <v>0</v>
      </c>
      <c r="FH45" s="407">
        <v>0</v>
      </c>
      <c r="FI45" s="407">
        <v>0</v>
      </c>
    </row>
    <row r="46" spans="1:165" customFormat="1">
      <c r="A46" s="407">
        <v>44</v>
      </c>
      <c r="B46" s="407" t="s">
        <v>1092</v>
      </c>
      <c r="C46" s="407" t="s">
        <v>2305</v>
      </c>
      <c r="D46" s="407" t="s">
        <v>1220</v>
      </c>
      <c r="E46" s="407" t="s">
        <v>1023</v>
      </c>
      <c r="F46" s="407" t="s">
        <v>2312</v>
      </c>
      <c r="G46" s="407" t="s">
        <v>96</v>
      </c>
      <c r="H46" s="407" t="s">
        <v>96</v>
      </c>
      <c r="I46" s="407" t="s">
        <v>96</v>
      </c>
      <c r="J46" s="407" t="s">
        <v>2306</v>
      </c>
      <c r="K46" s="815">
        <v>44440</v>
      </c>
      <c r="L46" s="407">
        <v>0</v>
      </c>
      <c r="M46" s="407">
        <v>0</v>
      </c>
      <c r="N46" s="407">
        <v>2.9350000000000001</v>
      </c>
      <c r="O46" s="407">
        <v>2.9350000000000001</v>
      </c>
      <c r="P46" s="407">
        <v>2.9350000000000001</v>
      </c>
      <c r="Q46" s="407">
        <v>2.9350000000000001</v>
      </c>
      <c r="R46" s="407"/>
      <c r="S46" s="407">
        <v>640</v>
      </c>
      <c r="T46" s="407">
        <v>127.85</v>
      </c>
      <c r="U46" s="407"/>
      <c r="V46" s="407">
        <v>2253.6397500000003</v>
      </c>
      <c r="W46" s="407">
        <v>2253.6397500000003</v>
      </c>
      <c r="X46" s="407">
        <v>1818.9956</v>
      </c>
      <c r="Y46" s="407">
        <v>0</v>
      </c>
      <c r="Z46" s="407">
        <v>0</v>
      </c>
      <c r="AA46" s="407">
        <v>0</v>
      </c>
      <c r="AB46" s="407">
        <v>0</v>
      </c>
      <c r="AC46" s="407">
        <v>0</v>
      </c>
      <c r="AD46" s="407">
        <v>320.9201042109255</v>
      </c>
      <c r="AE46" s="407">
        <v>1462.1209911072062</v>
      </c>
      <c r="AF46" s="407">
        <v>375.23210784399748</v>
      </c>
      <c r="AG46" s="407">
        <v>0</v>
      </c>
      <c r="AH46" s="407">
        <v>0</v>
      </c>
      <c r="AI46" s="407">
        <v>0</v>
      </c>
      <c r="AJ46" s="407">
        <v>0</v>
      </c>
      <c r="AK46" s="407">
        <v>0</v>
      </c>
      <c r="AL46" s="407">
        <v>0</v>
      </c>
      <c r="AM46" s="407"/>
      <c r="AN46" s="407">
        <v>6.7233902624917139</v>
      </c>
      <c r="AO46" s="407">
        <v>0</v>
      </c>
      <c r="AP46" s="407">
        <v>0</v>
      </c>
      <c r="AQ46" s="407">
        <v>0</v>
      </c>
      <c r="AR46" s="407">
        <v>0</v>
      </c>
      <c r="AS46" s="407">
        <v>0</v>
      </c>
      <c r="AT46" s="407">
        <v>0</v>
      </c>
      <c r="AU46" s="407">
        <v>0</v>
      </c>
      <c r="AV46" s="407">
        <v>0</v>
      </c>
      <c r="AW46" s="407">
        <v>0</v>
      </c>
      <c r="AX46" s="407">
        <v>0</v>
      </c>
      <c r="AY46" s="407">
        <v>0</v>
      </c>
      <c r="AZ46" s="407">
        <v>0</v>
      </c>
      <c r="BA46" s="407"/>
      <c r="BB46" s="407">
        <v>0</v>
      </c>
      <c r="BC46" s="407">
        <v>0</v>
      </c>
      <c r="BD46" s="407">
        <v>0</v>
      </c>
      <c r="BE46" s="407">
        <v>0</v>
      </c>
      <c r="BF46" s="407">
        <v>0</v>
      </c>
      <c r="BG46" s="407">
        <v>88.631698431707818</v>
      </c>
      <c r="BH46" s="407">
        <v>0</v>
      </c>
      <c r="BI46" s="407">
        <v>28.58</v>
      </c>
      <c r="BJ46" s="407">
        <v>132.97999999999999</v>
      </c>
      <c r="BK46" s="407">
        <v>1185.26</v>
      </c>
      <c r="BL46" s="407">
        <v>41</v>
      </c>
      <c r="BM46" s="407"/>
      <c r="BN46" s="407"/>
      <c r="BO46" s="407"/>
      <c r="BP46" s="407"/>
      <c r="BQ46" s="407"/>
      <c r="BR46" s="407"/>
      <c r="BS46" s="407"/>
      <c r="BT46" s="407"/>
      <c r="BU46" s="407"/>
      <c r="BV46" s="407">
        <v>463.86380627570531</v>
      </c>
      <c r="BW46" s="407"/>
      <c r="BX46" s="407"/>
      <c r="BY46" s="407"/>
      <c r="BZ46" s="407"/>
      <c r="CA46" s="407"/>
      <c r="CB46" s="407"/>
      <c r="CC46" s="407"/>
      <c r="CD46" s="407"/>
      <c r="CE46" s="407"/>
      <c r="CF46" s="407"/>
      <c r="CG46" s="407"/>
      <c r="CH46" s="407"/>
      <c r="CI46" s="407">
        <v>1822.0944</v>
      </c>
      <c r="CJ46" s="407">
        <v>-431.57535000000053</v>
      </c>
      <c r="CK46" s="407"/>
      <c r="CL46" s="407"/>
      <c r="CM46" s="407"/>
      <c r="CN46" s="407"/>
      <c r="CO46" s="407">
        <v>-446.44285000000002</v>
      </c>
      <c r="CP46" s="407">
        <v>11.79870000000003</v>
      </c>
      <c r="CQ46" s="407">
        <v>30</v>
      </c>
      <c r="CR46" s="407">
        <v>-2.394655934602838</v>
      </c>
      <c r="CS46" s="407">
        <v>0</v>
      </c>
      <c r="CT46" s="407">
        <v>0</v>
      </c>
      <c r="CU46" s="407">
        <v>0</v>
      </c>
      <c r="CV46" s="407">
        <v>0</v>
      </c>
      <c r="CW46" s="407">
        <v>0</v>
      </c>
      <c r="CX46" s="407">
        <v>0</v>
      </c>
      <c r="CY46" s="407">
        <v>0</v>
      </c>
      <c r="CZ46" s="407">
        <v>-16.835698204627079</v>
      </c>
      <c r="DA46" s="407">
        <v>0</v>
      </c>
      <c r="DB46" s="407">
        <v>0</v>
      </c>
      <c r="DC46" s="407">
        <v>11.807133102410887</v>
      </c>
      <c r="DD46" s="407">
        <v>0</v>
      </c>
      <c r="DE46" s="407">
        <v>0</v>
      </c>
      <c r="DF46" s="407">
        <v>0</v>
      </c>
      <c r="DG46" s="407">
        <v>2.7889038240591759</v>
      </c>
      <c r="DH46" s="407">
        <v>0</v>
      </c>
      <c r="DI46" s="407">
        <v>0</v>
      </c>
      <c r="DJ46" s="407"/>
      <c r="DK46" s="407">
        <v>0</v>
      </c>
      <c r="DL46" s="407">
        <v>0</v>
      </c>
      <c r="DM46" s="407">
        <v>0</v>
      </c>
      <c r="DN46" s="407">
        <v>0</v>
      </c>
      <c r="DO46" s="407">
        <v>0</v>
      </c>
      <c r="DP46" s="407">
        <v>-0.15499465644575139</v>
      </c>
      <c r="DQ46" s="407">
        <v>0</v>
      </c>
      <c r="DR46" s="407">
        <v>0</v>
      </c>
      <c r="DS46" s="407"/>
      <c r="DT46" s="407"/>
      <c r="DU46" s="407"/>
      <c r="DV46" s="407">
        <v>1462.1209911072062</v>
      </c>
      <c r="DW46" s="407">
        <v>0</v>
      </c>
      <c r="DX46" s="407">
        <v>0</v>
      </c>
      <c r="DY46" s="407">
        <v>-446.44285000000013</v>
      </c>
      <c r="DZ46" s="407">
        <v>11.798699999999997</v>
      </c>
      <c r="EA46" s="407">
        <v>0</v>
      </c>
      <c r="EB46" s="407">
        <v>0</v>
      </c>
      <c r="EC46" s="407">
        <v>-432.22604498217765</v>
      </c>
      <c r="ED46" s="407">
        <v>0</v>
      </c>
      <c r="EE46" s="407">
        <v>0</v>
      </c>
      <c r="EF46" s="407">
        <v>0</v>
      </c>
      <c r="EG46" s="407">
        <v>0</v>
      </c>
      <c r="EH46" s="407">
        <v>0</v>
      </c>
      <c r="EI46" s="407">
        <v>0</v>
      </c>
      <c r="EJ46" s="407">
        <v>0</v>
      </c>
      <c r="EK46" s="407">
        <v>0</v>
      </c>
      <c r="EL46" s="407">
        <v>0</v>
      </c>
      <c r="EM46" s="407">
        <v>0</v>
      </c>
      <c r="EN46" s="407">
        <v>0</v>
      </c>
      <c r="EO46" s="407">
        <v>0</v>
      </c>
      <c r="EP46" s="407">
        <v>0</v>
      </c>
      <c r="EQ46" s="407">
        <v>0</v>
      </c>
      <c r="ER46" s="407">
        <v>0</v>
      </c>
      <c r="ES46" s="407">
        <v>0</v>
      </c>
      <c r="ET46" s="407">
        <v>0</v>
      </c>
      <c r="EU46" s="407">
        <v>0</v>
      </c>
      <c r="EV46" s="407">
        <v>207</v>
      </c>
      <c r="EW46" s="407">
        <v>0</v>
      </c>
      <c r="EX46" s="407">
        <v>0</v>
      </c>
      <c r="EY46" s="407">
        <v>0</v>
      </c>
      <c r="EZ46" s="407"/>
      <c r="FA46" s="407">
        <v>0</v>
      </c>
      <c r="FB46" s="407"/>
      <c r="FC46" s="407"/>
      <c r="FD46" s="407"/>
      <c r="FE46" s="407"/>
      <c r="FF46" s="407">
        <v>0</v>
      </c>
      <c r="FG46" s="407">
        <v>0</v>
      </c>
      <c r="FH46" s="407">
        <v>0</v>
      </c>
      <c r="FI46" s="407">
        <v>0</v>
      </c>
    </row>
    <row r="47" spans="1:165" customFormat="1">
      <c r="A47" s="407">
        <v>45</v>
      </c>
      <c r="B47" s="407" t="s">
        <v>1092</v>
      </c>
      <c r="C47" s="407" t="s">
        <v>2313</v>
      </c>
      <c r="D47" s="407" t="s">
        <v>1220</v>
      </c>
      <c r="E47" s="407" t="s">
        <v>1023</v>
      </c>
      <c r="F47" s="407" t="s">
        <v>1023</v>
      </c>
      <c r="G47" s="407" t="s">
        <v>96</v>
      </c>
      <c r="H47" s="407" t="s">
        <v>96</v>
      </c>
      <c r="I47" s="407" t="s">
        <v>1027</v>
      </c>
      <c r="J47" s="407" t="s">
        <v>2306</v>
      </c>
      <c r="K47" s="815">
        <v>44440</v>
      </c>
      <c r="L47" s="407">
        <v>0</v>
      </c>
      <c r="M47" s="407">
        <v>0</v>
      </c>
      <c r="N47" s="407">
        <v>2.5999999999999999E-2</v>
      </c>
      <c r="O47" s="407">
        <v>2.5999999999999999E-2</v>
      </c>
      <c r="P47" s="407">
        <v>2.5999999999999999E-2</v>
      </c>
      <c r="Q47" s="407">
        <v>2.5999999999999999E-2</v>
      </c>
      <c r="R47" s="407"/>
      <c r="S47" s="407">
        <v>1864.71</v>
      </c>
      <c r="T47" s="407">
        <v>127.85</v>
      </c>
      <c r="U47" s="407"/>
      <c r="V47" s="407">
        <v>51.806559999999998</v>
      </c>
      <c r="W47" s="407">
        <v>51.806559999999998</v>
      </c>
      <c r="X47" s="407">
        <v>40.357459999999996</v>
      </c>
      <c r="Y47" s="407">
        <v>0</v>
      </c>
      <c r="Z47" s="407">
        <v>1.5879519928044084</v>
      </c>
      <c r="AA47" s="407">
        <v>0</v>
      </c>
      <c r="AB47" s="407">
        <v>0</v>
      </c>
      <c r="AC47" s="407">
        <v>0</v>
      </c>
      <c r="AD47" s="407">
        <v>8.2425025058595178</v>
      </c>
      <c r="AE47" s="407">
        <v>37.561819643400774</v>
      </c>
      <c r="AF47" s="407">
        <v>3.3240323011734016</v>
      </c>
      <c r="AG47" s="407">
        <v>0</v>
      </c>
      <c r="AH47" s="407">
        <v>0</v>
      </c>
      <c r="AI47" s="407">
        <v>0</v>
      </c>
      <c r="AJ47" s="407">
        <v>0</v>
      </c>
      <c r="AK47" s="407">
        <v>0</v>
      </c>
      <c r="AL47" s="407">
        <v>0.24557773283249962</v>
      </c>
      <c r="AM47" s="407"/>
      <c r="AN47" s="407">
        <v>5.9559845596178725E-2</v>
      </c>
      <c r="AO47" s="407">
        <v>0</v>
      </c>
      <c r="AP47" s="407">
        <v>0</v>
      </c>
      <c r="AQ47" s="407">
        <v>0</v>
      </c>
      <c r="AR47" s="407">
        <v>0</v>
      </c>
      <c r="AS47" s="407">
        <v>0</v>
      </c>
      <c r="AT47" s="407">
        <v>0</v>
      </c>
      <c r="AU47" s="407">
        <v>0</v>
      </c>
      <c r="AV47" s="407">
        <v>0</v>
      </c>
      <c r="AW47" s="407">
        <v>0</v>
      </c>
      <c r="AX47" s="407">
        <v>0</v>
      </c>
      <c r="AY47" s="407">
        <v>0</v>
      </c>
      <c r="AZ47" s="407">
        <v>0</v>
      </c>
      <c r="BA47" s="407"/>
      <c r="BB47" s="407">
        <v>0</v>
      </c>
      <c r="BC47" s="407">
        <v>0</v>
      </c>
      <c r="BD47" s="407">
        <v>0</v>
      </c>
      <c r="BE47" s="407">
        <v>0</v>
      </c>
      <c r="BF47" s="407">
        <v>0</v>
      </c>
      <c r="BG47" s="407">
        <v>0.7851530355108699</v>
      </c>
      <c r="BH47" s="407">
        <v>0</v>
      </c>
      <c r="BI47" s="407">
        <v>0</v>
      </c>
      <c r="BJ47" s="407">
        <v>0</v>
      </c>
      <c r="BK47" s="407">
        <v>0</v>
      </c>
      <c r="BL47" s="407">
        <v>0</v>
      </c>
      <c r="BM47" s="407"/>
      <c r="BN47" s="407"/>
      <c r="BO47" s="407"/>
      <c r="BP47" s="407"/>
      <c r="BQ47" s="407"/>
      <c r="BR47" s="407"/>
      <c r="BS47" s="407"/>
      <c r="BT47" s="407"/>
      <c r="BU47" s="407"/>
      <c r="BV47" s="407">
        <v>4.1091853366842717</v>
      </c>
      <c r="BW47" s="407"/>
      <c r="BX47" s="407"/>
      <c r="BY47" s="407"/>
      <c r="BZ47" s="407"/>
      <c r="CA47" s="407"/>
      <c r="CB47" s="407"/>
      <c r="CC47" s="407"/>
      <c r="CD47" s="407"/>
      <c r="CE47" s="407"/>
      <c r="CF47" s="407"/>
      <c r="CG47" s="407"/>
      <c r="CH47" s="407"/>
      <c r="CI47" s="407">
        <v>46.566299999999998</v>
      </c>
      <c r="CJ47" s="407">
        <v>-5.2702599999999933</v>
      </c>
      <c r="CK47" s="407"/>
      <c r="CL47" s="407"/>
      <c r="CM47" s="407"/>
      <c r="CN47" s="407"/>
      <c r="CO47" s="407">
        <v>-11.553620000000002</v>
      </c>
      <c r="CP47" s="407">
        <v>0.10452000000000027</v>
      </c>
      <c r="CQ47" s="407">
        <v>30</v>
      </c>
      <c r="CR47" s="407">
        <v>-0.34532938835737603</v>
      </c>
      <c r="CS47" s="407">
        <v>0</v>
      </c>
      <c r="CT47" s="407">
        <v>0</v>
      </c>
      <c r="CU47" s="407">
        <v>0</v>
      </c>
      <c r="CV47" s="407">
        <v>0</v>
      </c>
      <c r="CW47" s="407">
        <v>0</v>
      </c>
      <c r="CX47" s="407">
        <v>0</v>
      </c>
      <c r="CY47" s="407">
        <v>0</v>
      </c>
      <c r="CZ47" s="407">
        <v>-0.43240757689747777</v>
      </c>
      <c r="DA47" s="407">
        <v>0</v>
      </c>
      <c r="DB47" s="407">
        <v>0</v>
      </c>
      <c r="DC47" s="407">
        <v>0.10459470550687655</v>
      </c>
      <c r="DD47" s="407">
        <v>0</v>
      </c>
      <c r="DE47" s="407">
        <v>0</v>
      </c>
      <c r="DF47" s="407">
        <v>0</v>
      </c>
      <c r="DG47" s="407">
        <v>2.4705791967815416E-2</v>
      </c>
      <c r="DH47" s="407">
        <v>0</v>
      </c>
      <c r="DI47" s="407">
        <v>-3.6163150529721744E-2</v>
      </c>
      <c r="DJ47" s="407"/>
      <c r="DK47" s="407">
        <v>0</v>
      </c>
      <c r="DL47" s="407">
        <v>0</v>
      </c>
      <c r="DM47" s="407">
        <v>0</v>
      </c>
      <c r="DN47" s="407">
        <v>0</v>
      </c>
      <c r="DO47" s="407">
        <v>-4.6861222659994872E-3</v>
      </c>
      <c r="DP47" s="407">
        <v>-1.3730361388720747E-3</v>
      </c>
      <c r="DQ47" s="407">
        <v>0</v>
      </c>
      <c r="DR47" s="407">
        <v>0</v>
      </c>
      <c r="DS47" s="407"/>
      <c r="DT47" s="407"/>
      <c r="DU47" s="407"/>
      <c r="DV47" s="407">
        <v>37.561819643400774</v>
      </c>
      <c r="DW47" s="407">
        <v>0</v>
      </c>
      <c r="DX47" s="407">
        <v>0</v>
      </c>
      <c r="DY47" s="407">
        <v>-11.553620000000002</v>
      </c>
      <c r="DZ47" s="407">
        <v>0.10452000000000039</v>
      </c>
      <c r="EA47" s="407">
        <v>0</v>
      </c>
      <c r="EB47" s="407">
        <v>0</v>
      </c>
      <c r="EC47" s="407">
        <v>-11.103866810985775</v>
      </c>
      <c r="ED47" s="407">
        <v>0</v>
      </c>
      <c r="EE47" s="407">
        <v>0</v>
      </c>
      <c r="EF47" s="407">
        <v>0</v>
      </c>
      <c r="EG47" s="407">
        <v>0</v>
      </c>
      <c r="EH47" s="407">
        <v>0</v>
      </c>
      <c r="EI47" s="407">
        <v>0</v>
      </c>
      <c r="EJ47" s="407">
        <v>0</v>
      </c>
      <c r="EK47" s="407">
        <v>0</v>
      </c>
      <c r="EL47" s="407">
        <v>0</v>
      </c>
      <c r="EM47" s="407">
        <v>0</v>
      </c>
      <c r="EN47" s="407">
        <v>0</v>
      </c>
      <c r="EO47" s="407">
        <v>0</v>
      </c>
      <c r="EP47" s="407">
        <v>0</v>
      </c>
      <c r="EQ47" s="407">
        <v>0</v>
      </c>
      <c r="ER47" s="407">
        <v>0</v>
      </c>
      <c r="ES47" s="407">
        <v>0</v>
      </c>
      <c r="ET47" s="407">
        <v>0</v>
      </c>
      <c r="EU47" s="407">
        <v>0</v>
      </c>
      <c r="EV47" s="407">
        <v>207</v>
      </c>
      <c r="EW47" s="407">
        <v>0</v>
      </c>
      <c r="EX47" s="407">
        <v>0</v>
      </c>
      <c r="EY47" s="407">
        <v>0</v>
      </c>
      <c r="EZ47" s="407"/>
      <c r="FA47" s="407">
        <v>0</v>
      </c>
      <c r="FB47" s="407"/>
      <c r="FC47" s="407"/>
      <c r="FD47" s="407"/>
      <c r="FE47" s="407"/>
      <c r="FF47" s="407">
        <v>0</v>
      </c>
      <c r="FG47" s="407">
        <v>0</v>
      </c>
      <c r="FH47" s="407">
        <v>0</v>
      </c>
      <c r="FI47" s="407">
        <v>0</v>
      </c>
    </row>
    <row r="48" spans="1:165" customFormat="1">
      <c r="A48" s="407">
        <v>46</v>
      </c>
      <c r="B48" s="407" t="s">
        <v>1092</v>
      </c>
      <c r="C48" s="407" t="s">
        <v>2313</v>
      </c>
      <c r="D48" s="407" t="s">
        <v>1220</v>
      </c>
      <c r="E48" s="407" t="s">
        <v>1023</v>
      </c>
      <c r="F48" s="407" t="s">
        <v>1023</v>
      </c>
      <c r="G48" s="407" t="s">
        <v>96</v>
      </c>
      <c r="H48" s="407" t="s">
        <v>96</v>
      </c>
      <c r="I48" s="407" t="s">
        <v>2290</v>
      </c>
      <c r="J48" s="407" t="s">
        <v>2306</v>
      </c>
      <c r="K48" s="815">
        <v>44440</v>
      </c>
      <c r="L48" s="407">
        <v>0</v>
      </c>
      <c r="M48" s="407">
        <v>0</v>
      </c>
      <c r="N48" s="407">
        <v>0.23899999999999999</v>
      </c>
      <c r="O48" s="407">
        <v>0.23899999999999999</v>
      </c>
      <c r="P48" s="407">
        <v>0.23899999999999999</v>
      </c>
      <c r="Q48" s="407">
        <v>0.23899999999999999</v>
      </c>
      <c r="R48" s="407"/>
      <c r="S48" s="407">
        <v>455.34</v>
      </c>
      <c r="T48" s="407">
        <v>127.85</v>
      </c>
      <c r="U48" s="407"/>
      <c r="V48" s="407">
        <v>139.38240999999999</v>
      </c>
      <c r="W48" s="407">
        <v>139.38240999999999</v>
      </c>
      <c r="X48" s="407">
        <v>118.9742</v>
      </c>
      <c r="Y48" s="407">
        <v>0</v>
      </c>
      <c r="Z48" s="407">
        <v>14.596943318471293</v>
      </c>
      <c r="AA48" s="407">
        <v>0</v>
      </c>
      <c r="AB48" s="407">
        <v>0</v>
      </c>
      <c r="AC48" s="407">
        <v>0</v>
      </c>
      <c r="AD48" s="407">
        <v>15.151165809575028</v>
      </c>
      <c r="AE48" s="407">
        <v>69.055923304379249</v>
      </c>
      <c r="AF48" s="407">
        <v>30.555527691555501</v>
      </c>
      <c r="AG48" s="407">
        <v>0</v>
      </c>
      <c r="AH48" s="407">
        <v>0</v>
      </c>
      <c r="AI48" s="407">
        <v>0</v>
      </c>
      <c r="AJ48" s="407">
        <v>0</v>
      </c>
      <c r="AK48" s="407">
        <v>0</v>
      </c>
      <c r="AL48" s="407">
        <v>2.2574260825756696</v>
      </c>
      <c r="AM48" s="407"/>
      <c r="AN48" s="407">
        <v>0.54749242682641208</v>
      </c>
      <c r="AO48" s="407">
        <v>0</v>
      </c>
      <c r="AP48" s="407">
        <v>0</v>
      </c>
      <c r="AQ48" s="407">
        <v>0</v>
      </c>
      <c r="AR48" s="407">
        <v>0</v>
      </c>
      <c r="AS48" s="407">
        <v>0</v>
      </c>
      <c r="AT48" s="407">
        <v>0</v>
      </c>
      <c r="AU48" s="407">
        <v>0</v>
      </c>
      <c r="AV48" s="407">
        <v>0</v>
      </c>
      <c r="AW48" s="407">
        <v>0</v>
      </c>
      <c r="AX48" s="407">
        <v>0</v>
      </c>
      <c r="AY48" s="407">
        <v>0</v>
      </c>
      <c r="AZ48" s="407">
        <v>0</v>
      </c>
      <c r="BA48" s="407"/>
      <c r="BB48" s="407">
        <v>0</v>
      </c>
      <c r="BC48" s="407">
        <v>0</v>
      </c>
      <c r="BD48" s="407">
        <v>0</v>
      </c>
      <c r="BE48" s="407">
        <v>0</v>
      </c>
      <c r="BF48" s="407">
        <v>0</v>
      </c>
      <c r="BG48" s="407">
        <v>7.2173682879653045</v>
      </c>
      <c r="BH48" s="407">
        <v>0</v>
      </c>
      <c r="BI48" s="407">
        <v>0</v>
      </c>
      <c r="BJ48" s="407">
        <v>0</v>
      </c>
      <c r="BK48" s="407">
        <v>0</v>
      </c>
      <c r="BL48" s="407">
        <v>0</v>
      </c>
      <c r="BM48" s="407"/>
      <c r="BN48" s="407"/>
      <c r="BO48" s="407"/>
      <c r="BP48" s="407"/>
      <c r="BQ48" s="407"/>
      <c r="BR48" s="407"/>
      <c r="BS48" s="407"/>
      <c r="BT48" s="407"/>
      <c r="BU48" s="407"/>
      <c r="BV48" s="407">
        <v>37.772895979520804</v>
      </c>
      <c r="BW48" s="407"/>
      <c r="BX48" s="407"/>
      <c r="BY48" s="407"/>
      <c r="BZ48" s="407"/>
      <c r="CA48" s="407"/>
      <c r="CB48" s="407"/>
      <c r="CC48" s="407"/>
      <c r="CD48" s="407"/>
      <c r="CE48" s="407"/>
      <c r="CF48" s="407"/>
      <c r="CG48" s="407"/>
      <c r="CH48" s="407"/>
      <c r="CI48" s="407">
        <v>119.47200000000001</v>
      </c>
      <c r="CJ48" s="407">
        <v>-19.940409999999986</v>
      </c>
      <c r="CK48" s="407"/>
      <c r="CL48" s="407"/>
      <c r="CM48" s="407"/>
      <c r="CN48" s="407"/>
      <c r="CO48" s="407">
        <v>-21.368989999999993</v>
      </c>
      <c r="CP48" s="407">
        <v>0.96078000000000241</v>
      </c>
      <c r="CQ48" s="407">
        <v>30</v>
      </c>
      <c r="CR48" s="407">
        <v>5.6085071257427899E-3</v>
      </c>
      <c r="CS48" s="407">
        <v>0</v>
      </c>
      <c r="CT48" s="407">
        <v>0</v>
      </c>
      <c r="CU48" s="407">
        <v>0</v>
      </c>
      <c r="CV48" s="407">
        <v>0</v>
      </c>
      <c r="CW48" s="407">
        <v>0</v>
      </c>
      <c r="CX48" s="407">
        <v>0</v>
      </c>
      <c r="CY48" s="407">
        <v>0</v>
      </c>
      <c r="CZ48" s="407">
        <v>-0.79484099522361973</v>
      </c>
      <c r="DA48" s="407">
        <v>0</v>
      </c>
      <c r="DB48" s="407">
        <v>0</v>
      </c>
      <c r="DC48" s="407">
        <v>0.9614667160055177</v>
      </c>
      <c r="DD48" s="407">
        <v>0</v>
      </c>
      <c r="DE48" s="407">
        <v>0</v>
      </c>
      <c r="DF48" s="407">
        <v>0</v>
      </c>
      <c r="DG48" s="407">
        <v>0.22710324155030293</v>
      </c>
      <c r="DH48" s="407">
        <v>0</v>
      </c>
      <c r="DI48" s="407">
        <v>-0.33242280679244374</v>
      </c>
      <c r="DJ48" s="407"/>
      <c r="DK48" s="407">
        <v>0</v>
      </c>
      <c r="DL48" s="407">
        <v>0</v>
      </c>
      <c r="DM48" s="407">
        <v>0</v>
      </c>
      <c r="DN48" s="407">
        <v>0</v>
      </c>
      <c r="DO48" s="407">
        <v>-4.3076277752841285E-2</v>
      </c>
      <c r="DP48" s="407">
        <v>-1.2621370661170195E-2</v>
      </c>
      <c r="DQ48" s="407">
        <v>0</v>
      </c>
      <c r="DR48" s="407">
        <v>0</v>
      </c>
      <c r="DS48" s="407"/>
      <c r="DT48" s="407"/>
      <c r="DU48" s="407"/>
      <c r="DV48" s="407">
        <v>69.055923304379249</v>
      </c>
      <c r="DW48" s="407">
        <v>0</v>
      </c>
      <c r="DX48" s="407">
        <v>0</v>
      </c>
      <c r="DY48" s="407">
        <v>-21.368989999999997</v>
      </c>
      <c r="DZ48" s="407">
        <v>0.96077999999999975</v>
      </c>
      <c r="EA48" s="407">
        <v>0</v>
      </c>
      <c r="EB48" s="407">
        <v>0</v>
      </c>
      <c r="EC48" s="407">
        <v>-20.414020996881916</v>
      </c>
      <c r="ED48" s="407">
        <v>0</v>
      </c>
      <c r="EE48" s="407">
        <v>0</v>
      </c>
      <c r="EF48" s="407">
        <v>0</v>
      </c>
      <c r="EG48" s="407">
        <v>0</v>
      </c>
      <c r="EH48" s="407">
        <v>0</v>
      </c>
      <c r="EI48" s="407">
        <v>0</v>
      </c>
      <c r="EJ48" s="407">
        <v>0</v>
      </c>
      <c r="EK48" s="407">
        <v>0</v>
      </c>
      <c r="EL48" s="407">
        <v>0</v>
      </c>
      <c r="EM48" s="407">
        <v>0</v>
      </c>
      <c r="EN48" s="407">
        <v>0</v>
      </c>
      <c r="EO48" s="407">
        <v>0</v>
      </c>
      <c r="EP48" s="407">
        <v>0</v>
      </c>
      <c r="EQ48" s="407">
        <v>0</v>
      </c>
      <c r="ER48" s="407">
        <v>0</v>
      </c>
      <c r="ES48" s="407">
        <v>0</v>
      </c>
      <c r="ET48" s="407">
        <v>0</v>
      </c>
      <c r="EU48" s="407">
        <v>0</v>
      </c>
      <c r="EV48" s="407">
        <v>207</v>
      </c>
      <c r="EW48" s="407">
        <v>0</v>
      </c>
      <c r="EX48" s="407">
        <v>0</v>
      </c>
      <c r="EY48" s="407">
        <v>0</v>
      </c>
      <c r="EZ48" s="407"/>
      <c r="FA48" s="407">
        <v>0</v>
      </c>
      <c r="FB48" s="407"/>
      <c r="FC48" s="407"/>
      <c r="FD48" s="407"/>
      <c r="FE48" s="407"/>
      <c r="FF48" s="407">
        <v>0</v>
      </c>
      <c r="FG48" s="407">
        <v>0</v>
      </c>
      <c r="FH48" s="407">
        <v>0</v>
      </c>
      <c r="FI48" s="407">
        <v>0</v>
      </c>
    </row>
    <row r="49" spans="1:165" customFormat="1">
      <c r="A49" s="407">
        <v>47</v>
      </c>
      <c r="B49" s="407" t="s">
        <v>1092</v>
      </c>
      <c r="C49" s="407" t="s">
        <v>2313</v>
      </c>
      <c r="D49" s="407" t="s">
        <v>1220</v>
      </c>
      <c r="E49" s="407" t="s">
        <v>1023</v>
      </c>
      <c r="F49" s="407" t="s">
        <v>1023</v>
      </c>
      <c r="G49" s="407" t="s">
        <v>96</v>
      </c>
      <c r="H49" s="407" t="s">
        <v>96</v>
      </c>
      <c r="I49" s="407" t="s">
        <v>96</v>
      </c>
      <c r="J49" s="407" t="s">
        <v>2306</v>
      </c>
      <c r="K49" s="815">
        <v>44440</v>
      </c>
      <c r="L49" s="407">
        <v>0</v>
      </c>
      <c r="M49" s="407">
        <v>0</v>
      </c>
      <c r="N49" s="407">
        <v>0</v>
      </c>
      <c r="O49" s="407">
        <v>0</v>
      </c>
      <c r="P49" s="407">
        <v>0</v>
      </c>
      <c r="Q49" s="407">
        <v>0</v>
      </c>
      <c r="R49" s="407"/>
      <c r="S49" s="407"/>
      <c r="T49" s="407"/>
      <c r="U49" s="407"/>
      <c r="V49" s="407"/>
      <c r="W49" s="407"/>
      <c r="X49" s="407"/>
      <c r="Y49" s="407"/>
      <c r="Z49" s="407"/>
      <c r="AA49" s="407">
        <v>0</v>
      </c>
      <c r="AB49" s="407"/>
      <c r="AC49" s="407"/>
      <c r="AD49" s="407"/>
      <c r="AE49" s="407"/>
      <c r="AF49" s="407"/>
      <c r="AG49" s="407"/>
      <c r="AH49" s="407"/>
      <c r="AI49" s="407"/>
      <c r="AJ49" s="407"/>
      <c r="AK49" s="407"/>
      <c r="AL49" s="407"/>
      <c r="AM49" s="407"/>
      <c r="AN49" s="407"/>
      <c r="AO49" s="407"/>
      <c r="AP49" s="407"/>
      <c r="AQ49" s="407"/>
      <c r="AR49" s="407"/>
      <c r="AS49" s="407"/>
      <c r="AT49" s="407"/>
      <c r="AU49" s="407"/>
      <c r="AV49" s="407"/>
      <c r="AW49" s="407"/>
      <c r="AX49" s="407"/>
      <c r="AY49" s="407"/>
      <c r="AZ49" s="407">
        <v>0</v>
      </c>
      <c r="BA49" s="407"/>
      <c r="BB49" s="407"/>
      <c r="BC49" s="407"/>
      <c r="BD49" s="407"/>
      <c r="BE49" s="407"/>
      <c r="BF49" s="407"/>
      <c r="BG49" s="407"/>
      <c r="BH49" s="407"/>
      <c r="BI49" s="407">
        <v>1.1000000000000001</v>
      </c>
      <c r="BJ49" s="407">
        <v>5.0999999999999996</v>
      </c>
      <c r="BK49" s="407">
        <v>72.25</v>
      </c>
      <c r="BL49" s="407">
        <v>1</v>
      </c>
      <c r="BM49" s="407"/>
      <c r="BN49" s="407"/>
      <c r="BO49" s="407"/>
      <c r="BP49" s="407"/>
      <c r="BQ49" s="407"/>
      <c r="BR49" s="407"/>
      <c r="BS49" s="407"/>
      <c r="BT49" s="407"/>
      <c r="BU49" s="407"/>
      <c r="BV49" s="407"/>
      <c r="BW49" s="407"/>
      <c r="BX49" s="407"/>
      <c r="BY49" s="407"/>
      <c r="BZ49" s="407"/>
      <c r="CA49" s="407"/>
      <c r="CB49" s="407"/>
      <c r="CC49" s="407"/>
      <c r="CD49" s="407"/>
      <c r="CE49" s="407"/>
      <c r="CF49" s="407"/>
      <c r="CG49" s="407"/>
      <c r="CH49" s="407"/>
      <c r="CI49" s="407"/>
      <c r="CJ49" s="407">
        <v>-0.03</v>
      </c>
      <c r="CK49" s="407"/>
      <c r="CL49" s="407"/>
      <c r="CM49" s="407"/>
      <c r="CN49" s="407"/>
      <c r="CO49" s="407">
        <v>0</v>
      </c>
      <c r="CP49" s="407">
        <v>0</v>
      </c>
      <c r="CQ49" s="407">
        <v>30</v>
      </c>
      <c r="CR49" s="407"/>
      <c r="CS49" s="407"/>
      <c r="CT49" s="407"/>
      <c r="CU49" s="407"/>
      <c r="CV49" s="407"/>
      <c r="CW49" s="407"/>
      <c r="CX49" s="407"/>
      <c r="CY49" s="407"/>
      <c r="CZ49" s="407"/>
      <c r="DA49" s="407"/>
      <c r="DB49" s="407"/>
      <c r="DC49" s="407"/>
      <c r="DD49" s="407"/>
      <c r="DE49" s="407"/>
      <c r="DF49" s="407"/>
      <c r="DG49" s="407"/>
      <c r="DH49" s="407"/>
      <c r="DI49" s="407"/>
      <c r="DJ49" s="407"/>
      <c r="DK49" s="407">
        <v>0</v>
      </c>
      <c r="DL49" s="407"/>
      <c r="DM49" s="407"/>
      <c r="DN49" s="407"/>
      <c r="DO49" s="407"/>
      <c r="DP49" s="407"/>
      <c r="DQ49" s="407"/>
      <c r="DR49" s="407"/>
      <c r="DS49" s="407"/>
      <c r="DT49" s="407"/>
      <c r="DU49" s="407"/>
      <c r="DV49" s="407"/>
      <c r="DW49" s="407"/>
      <c r="DX49" s="407"/>
      <c r="DY49" s="407"/>
      <c r="DZ49" s="407"/>
      <c r="EA49" s="407"/>
      <c r="EB49" s="407"/>
      <c r="EC49" s="407"/>
      <c r="ED49" s="407"/>
      <c r="EE49" s="407"/>
      <c r="EF49" s="407"/>
      <c r="EG49" s="407"/>
      <c r="EH49" s="407"/>
      <c r="EI49" s="407"/>
      <c r="EJ49" s="407"/>
      <c r="EK49" s="407"/>
      <c r="EL49" s="407"/>
      <c r="EM49" s="407"/>
      <c r="EN49" s="407"/>
      <c r="EO49" s="407"/>
      <c r="EP49" s="407"/>
      <c r="EQ49" s="407"/>
      <c r="ER49" s="407"/>
      <c r="ES49" s="407"/>
      <c r="ET49" s="407"/>
      <c r="EU49" s="407"/>
      <c r="EV49" s="407">
        <v>207</v>
      </c>
      <c r="EW49" s="407"/>
      <c r="EX49" s="407"/>
      <c r="EY49" s="407"/>
      <c r="EZ49" s="407"/>
      <c r="FA49" s="407">
        <v>0</v>
      </c>
      <c r="FB49" s="407"/>
      <c r="FC49" s="407"/>
      <c r="FD49" s="407"/>
      <c r="FE49" s="407"/>
      <c r="FF49" s="407">
        <v>0</v>
      </c>
      <c r="FG49" s="407">
        <v>0</v>
      </c>
      <c r="FH49" s="407">
        <v>0</v>
      </c>
      <c r="FI49" s="407">
        <v>0</v>
      </c>
    </row>
    <row r="50" spans="1:165" customFormat="1">
      <c r="A50" s="407">
        <v>48</v>
      </c>
      <c r="B50" s="407" t="s">
        <v>1092</v>
      </c>
      <c r="C50" s="407" t="s">
        <v>2313</v>
      </c>
      <c r="D50" s="407" t="s">
        <v>1220</v>
      </c>
      <c r="E50" s="407" t="s">
        <v>1023</v>
      </c>
      <c r="F50" s="407" t="s">
        <v>1023</v>
      </c>
      <c r="G50" s="407" t="s">
        <v>96</v>
      </c>
      <c r="H50" s="407" t="s">
        <v>96</v>
      </c>
      <c r="I50" s="407" t="s">
        <v>2314</v>
      </c>
      <c r="J50" s="407" t="s">
        <v>2306</v>
      </c>
      <c r="K50" s="815">
        <v>44440</v>
      </c>
      <c r="L50" s="407">
        <v>0</v>
      </c>
      <c r="M50" s="407">
        <v>0</v>
      </c>
      <c r="N50" s="407">
        <v>1.6E-2</v>
      </c>
      <c r="O50" s="407">
        <v>1.6E-2</v>
      </c>
      <c r="P50" s="407">
        <v>1.6E-2</v>
      </c>
      <c r="Q50" s="407">
        <v>1.6E-2</v>
      </c>
      <c r="R50" s="407"/>
      <c r="S50" s="407">
        <v>1160</v>
      </c>
      <c r="T50" s="407">
        <v>127.85</v>
      </c>
      <c r="U50" s="407"/>
      <c r="V50" s="407">
        <v>20.605599999999999</v>
      </c>
      <c r="W50" s="407">
        <v>20.605599999999999</v>
      </c>
      <c r="X50" s="407">
        <v>16.39968</v>
      </c>
      <c r="Y50" s="407">
        <v>0</v>
      </c>
      <c r="Z50" s="407">
        <v>0.97720122634117446</v>
      </c>
      <c r="AA50" s="407">
        <v>0</v>
      </c>
      <c r="AB50" s="407">
        <v>0</v>
      </c>
      <c r="AC50" s="407">
        <v>0</v>
      </c>
      <c r="AD50" s="407">
        <v>3.0429136061267359</v>
      </c>
      <c r="AE50" s="407">
        <v>13.868977413141424</v>
      </c>
      <c r="AF50" s="407">
        <v>2.0455583391836321</v>
      </c>
      <c r="AG50" s="407">
        <v>0</v>
      </c>
      <c r="AH50" s="407">
        <v>0</v>
      </c>
      <c r="AI50" s="407">
        <v>0</v>
      </c>
      <c r="AJ50" s="407">
        <v>0</v>
      </c>
      <c r="AK50" s="407">
        <v>0</v>
      </c>
      <c r="AL50" s="407">
        <v>0.1511247586661536</v>
      </c>
      <c r="AM50" s="407"/>
      <c r="AN50" s="407">
        <v>3.665221267457152E-2</v>
      </c>
      <c r="AO50" s="407">
        <v>0</v>
      </c>
      <c r="AP50" s="407">
        <v>0</v>
      </c>
      <c r="AQ50" s="407">
        <v>0</v>
      </c>
      <c r="AR50" s="407">
        <v>0</v>
      </c>
      <c r="AS50" s="407">
        <v>0</v>
      </c>
      <c r="AT50" s="407">
        <v>0</v>
      </c>
      <c r="AU50" s="407">
        <v>0</v>
      </c>
      <c r="AV50" s="407">
        <v>0</v>
      </c>
      <c r="AW50" s="407">
        <v>0</v>
      </c>
      <c r="AX50" s="407">
        <v>0</v>
      </c>
      <c r="AY50" s="407">
        <v>0</v>
      </c>
      <c r="AZ50" s="407">
        <v>0</v>
      </c>
      <c r="BA50" s="407"/>
      <c r="BB50" s="407">
        <v>0</v>
      </c>
      <c r="BC50" s="407">
        <v>0</v>
      </c>
      <c r="BD50" s="407">
        <v>0</v>
      </c>
      <c r="BE50" s="407">
        <v>0</v>
      </c>
      <c r="BF50" s="407">
        <v>0</v>
      </c>
      <c r="BG50" s="407">
        <v>0.48317109877591996</v>
      </c>
      <c r="BH50" s="407">
        <v>0</v>
      </c>
      <c r="BI50" s="407">
        <v>0</v>
      </c>
      <c r="BJ50" s="407">
        <v>0</v>
      </c>
      <c r="BK50" s="407">
        <v>0</v>
      </c>
      <c r="BL50" s="407">
        <v>0</v>
      </c>
      <c r="BM50" s="407"/>
      <c r="BN50" s="407"/>
      <c r="BO50" s="407"/>
      <c r="BP50" s="407"/>
      <c r="BQ50" s="407"/>
      <c r="BR50" s="407"/>
      <c r="BS50" s="407"/>
      <c r="BT50" s="407"/>
      <c r="BU50" s="407"/>
      <c r="BV50" s="407">
        <v>2.528729437959552</v>
      </c>
      <c r="BW50" s="407"/>
      <c r="BX50" s="407"/>
      <c r="BY50" s="407"/>
      <c r="BZ50" s="407"/>
      <c r="CA50" s="407"/>
      <c r="CB50" s="407"/>
      <c r="CC50" s="407"/>
      <c r="CD50" s="407"/>
      <c r="CE50" s="407"/>
      <c r="CF50" s="407"/>
      <c r="CG50" s="407"/>
      <c r="CH50" s="407"/>
      <c r="CI50" s="407">
        <v>20.499600000000001</v>
      </c>
      <c r="CJ50" s="407">
        <v>-0.13600000000000279</v>
      </c>
      <c r="CK50" s="407"/>
      <c r="CL50" s="407"/>
      <c r="CM50" s="407"/>
      <c r="CN50" s="407"/>
      <c r="CO50" s="407">
        <v>-4.2702400000000003</v>
      </c>
      <c r="CP50" s="407">
        <v>6.4320000000000169E-2</v>
      </c>
      <c r="CQ50" s="407">
        <v>30</v>
      </c>
      <c r="CR50" s="407">
        <v>-0.10604684665460606</v>
      </c>
      <c r="CS50" s="407">
        <v>0</v>
      </c>
      <c r="CT50" s="407">
        <v>0</v>
      </c>
      <c r="CU50" s="407">
        <v>0</v>
      </c>
      <c r="CV50" s="407">
        <v>0</v>
      </c>
      <c r="CW50" s="407">
        <v>0</v>
      </c>
      <c r="CX50" s="407">
        <v>0</v>
      </c>
      <c r="CY50" s="407">
        <v>0</v>
      </c>
      <c r="CZ50" s="407">
        <v>-0.15963342421774396</v>
      </c>
      <c r="DA50" s="407">
        <v>0</v>
      </c>
      <c r="DB50" s="407">
        <v>0</v>
      </c>
      <c r="DC50" s="407">
        <v>6.4365972619616407E-2</v>
      </c>
      <c r="DD50" s="407">
        <v>0</v>
      </c>
      <c r="DE50" s="407">
        <v>0</v>
      </c>
      <c r="DF50" s="407">
        <v>0</v>
      </c>
      <c r="DG50" s="407">
        <v>1.520356428788644E-2</v>
      </c>
      <c r="DH50" s="407">
        <v>0</v>
      </c>
      <c r="DI50" s="407">
        <v>-2.2254246479828765E-2</v>
      </c>
      <c r="DJ50" s="407"/>
      <c r="DK50" s="407">
        <v>0</v>
      </c>
      <c r="DL50" s="407">
        <v>0</v>
      </c>
      <c r="DM50" s="407">
        <v>0</v>
      </c>
      <c r="DN50" s="407">
        <v>0</v>
      </c>
      <c r="DO50" s="407">
        <v>-2.8837675483073533E-3</v>
      </c>
      <c r="DP50" s="407">
        <v>-8.4494531622895941E-4</v>
      </c>
      <c r="DQ50" s="407">
        <v>0</v>
      </c>
      <c r="DR50" s="407">
        <v>0</v>
      </c>
      <c r="DS50" s="407"/>
      <c r="DT50" s="407"/>
      <c r="DU50" s="407"/>
      <c r="DV50" s="407">
        <v>13.868977413141424</v>
      </c>
      <c r="DW50" s="407">
        <v>0</v>
      </c>
      <c r="DX50" s="407">
        <v>0</v>
      </c>
      <c r="DY50" s="407">
        <v>-4.2702399999999976</v>
      </c>
      <c r="DZ50" s="407">
        <v>6.4320000000000377E-2</v>
      </c>
      <c r="EA50" s="407">
        <v>0</v>
      </c>
      <c r="EB50" s="407">
        <v>0</v>
      </c>
      <c r="EC50" s="407">
        <v>-4.099888649221743</v>
      </c>
      <c r="ED50" s="407">
        <v>0</v>
      </c>
      <c r="EE50" s="407">
        <v>0</v>
      </c>
      <c r="EF50" s="407">
        <v>0</v>
      </c>
      <c r="EG50" s="407">
        <v>0</v>
      </c>
      <c r="EH50" s="407">
        <v>0</v>
      </c>
      <c r="EI50" s="407">
        <v>0</v>
      </c>
      <c r="EJ50" s="407">
        <v>0</v>
      </c>
      <c r="EK50" s="407">
        <v>0</v>
      </c>
      <c r="EL50" s="407">
        <v>0</v>
      </c>
      <c r="EM50" s="407">
        <v>0</v>
      </c>
      <c r="EN50" s="407">
        <v>0</v>
      </c>
      <c r="EO50" s="407">
        <v>0</v>
      </c>
      <c r="EP50" s="407">
        <v>0</v>
      </c>
      <c r="EQ50" s="407">
        <v>0</v>
      </c>
      <c r="ER50" s="407">
        <v>0</v>
      </c>
      <c r="ES50" s="407">
        <v>0</v>
      </c>
      <c r="ET50" s="407">
        <v>0</v>
      </c>
      <c r="EU50" s="407">
        <v>0</v>
      </c>
      <c r="EV50" s="407">
        <v>207</v>
      </c>
      <c r="EW50" s="407">
        <v>0</v>
      </c>
      <c r="EX50" s="407">
        <v>0</v>
      </c>
      <c r="EY50" s="407">
        <v>0</v>
      </c>
      <c r="EZ50" s="407"/>
      <c r="FA50" s="407">
        <v>0</v>
      </c>
      <c r="FB50" s="407"/>
      <c r="FC50" s="407"/>
      <c r="FD50" s="407"/>
      <c r="FE50" s="407"/>
      <c r="FF50" s="407">
        <v>0</v>
      </c>
      <c r="FG50" s="407">
        <v>0</v>
      </c>
      <c r="FH50" s="407">
        <v>0</v>
      </c>
      <c r="FI50" s="407">
        <v>0</v>
      </c>
    </row>
    <row r="51" spans="1:165" customFormat="1">
      <c r="A51" s="407">
        <v>49</v>
      </c>
      <c r="B51" s="407" t="s">
        <v>1092</v>
      </c>
      <c r="C51" s="407" t="s">
        <v>2305</v>
      </c>
      <c r="D51" s="407" t="s">
        <v>1221</v>
      </c>
      <c r="E51" s="407" t="s">
        <v>1051</v>
      </c>
      <c r="F51" s="407" t="s">
        <v>96</v>
      </c>
      <c r="G51" s="407" t="s">
        <v>96</v>
      </c>
      <c r="H51" s="407" t="s">
        <v>96</v>
      </c>
      <c r="I51" s="407" t="s">
        <v>96</v>
      </c>
      <c r="J51" s="407" t="s">
        <v>2306</v>
      </c>
      <c r="K51" s="815">
        <v>44440</v>
      </c>
      <c r="L51" s="407">
        <v>0</v>
      </c>
      <c r="M51" s="407">
        <v>0</v>
      </c>
      <c r="N51" s="407">
        <v>134.47900000000001</v>
      </c>
      <c r="O51" s="407">
        <v>134.47900000000001</v>
      </c>
      <c r="P51" s="407">
        <v>134.47900000000001</v>
      </c>
      <c r="Q51" s="407">
        <v>134.47900000000001</v>
      </c>
      <c r="R51" s="407"/>
      <c r="S51" s="407">
        <v>710.52</v>
      </c>
      <c r="T51" s="407">
        <v>127.85</v>
      </c>
      <c r="U51" s="407"/>
      <c r="V51" s="407">
        <v>112743.15923000002</v>
      </c>
      <c r="W51" s="407">
        <v>112743.15923000002</v>
      </c>
      <c r="X51" s="407">
        <v>92617.032090000022</v>
      </c>
      <c r="Y51" s="407">
        <v>0</v>
      </c>
      <c r="Z51" s="407">
        <v>8213.3152323209251</v>
      </c>
      <c r="AA51" s="407">
        <v>0</v>
      </c>
      <c r="AB51" s="407">
        <v>0</v>
      </c>
      <c r="AC51" s="407">
        <v>0</v>
      </c>
      <c r="AD51" s="407">
        <v>14704.263950317225</v>
      </c>
      <c r="AE51" s="407">
        <v>66993.038760853829</v>
      </c>
      <c r="AF51" s="407">
        <v>17192.789993442228</v>
      </c>
      <c r="AG51" s="407">
        <v>0</v>
      </c>
      <c r="AH51" s="407">
        <v>0</v>
      </c>
      <c r="AI51" s="407">
        <v>0</v>
      </c>
      <c r="AJ51" s="407">
        <v>0</v>
      </c>
      <c r="AK51" s="407">
        <v>0</v>
      </c>
      <c r="AL51" s="407">
        <v>1270.1941512916046</v>
      </c>
      <c r="AM51" s="407"/>
      <c r="AN51" s="407">
        <v>308.05955676648153</v>
      </c>
      <c r="AO51" s="407">
        <v>0</v>
      </c>
      <c r="AP51" s="407">
        <v>0</v>
      </c>
      <c r="AQ51" s="407">
        <v>0</v>
      </c>
      <c r="AR51" s="407">
        <v>0</v>
      </c>
      <c r="AS51" s="407">
        <v>0</v>
      </c>
      <c r="AT51" s="407">
        <v>0</v>
      </c>
      <c r="AU51" s="407">
        <v>0</v>
      </c>
      <c r="AV51" s="407">
        <v>0</v>
      </c>
      <c r="AW51" s="407">
        <v>0</v>
      </c>
      <c r="AX51" s="407">
        <v>0</v>
      </c>
      <c r="AY51" s="407">
        <v>0</v>
      </c>
      <c r="AZ51" s="407">
        <v>0</v>
      </c>
      <c r="BA51" s="407"/>
      <c r="BB51" s="407">
        <v>0</v>
      </c>
      <c r="BC51" s="407">
        <v>0</v>
      </c>
      <c r="BD51" s="407">
        <v>0</v>
      </c>
      <c r="BE51" s="407">
        <v>0</v>
      </c>
      <c r="BF51" s="407">
        <v>0</v>
      </c>
      <c r="BG51" s="407">
        <v>4061.0228870179344</v>
      </c>
      <c r="BH51" s="407">
        <v>0</v>
      </c>
      <c r="BI51" s="407">
        <v>676.82</v>
      </c>
      <c r="BJ51" s="407">
        <v>3125.73</v>
      </c>
      <c r="BK51" s="407">
        <v>24692.99</v>
      </c>
      <c r="BL51" s="407">
        <v>88</v>
      </c>
      <c r="BM51" s="407"/>
      <c r="BN51" s="407"/>
      <c r="BO51" s="407"/>
      <c r="BP51" s="407"/>
      <c r="BQ51" s="407"/>
      <c r="BR51" s="407"/>
      <c r="BS51" s="407"/>
      <c r="BT51" s="407"/>
      <c r="BU51" s="407"/>
      <c r="BV51" s="407">
        <v>21253.812880460162</v>
      </c>
      <c r="BW51" s="407"/>
      <c r="BX51" s="407"/>
      <c r="BY51" s="407"/>
      <c r="BZ51" s="407"/>
      <c r="CA51" s="407"/>
      <c r="CB51" s="407"/>
      <c r="CC51" s="407"/>
      <c r="CD51" s="407"/>
      <c r="CE51" s="407"/>
      <c r="CF51" s="407"/>
      <c r="CG51" s="407"/>
      <c r="CH51" s="407"/>
      <c r="CI51" s="407">
        <v>92617.72080000001</v>
      </c>
      <c r="CJ51" s="407">
        <v>-20125.468429999994</v>
      </c>
      <c r="CK51" s="407"/>
      <c r="CL51" s="407"/>
      <c r="CM51" s="407"/>
      <c r="CN51" s="407"/>
      <c r="CO51" s="407">
        <v>-20666.732719999996</v>
      </c>
      <c r="CP51" s="407">
        <v>540.6055800000014</v>
      </c>
      <c r="CQ51" s="407">
        <v>30</v>
      </c>
      <c r="CR51" s="407">
        <v>-321.00436878382607</v>
      </c>
      <c r="CS51" s="407">
        <v>0</v>
      </c>
      <c r="CT51" s="407">
        <v>0</v>
      </c>
      <c r="CU51" s="407">
        <v>0</v>
      </c>
      <c r="CV51" s="407">
        <v>0</v>
      </c>
      <c r="CW51" s="407">
        <v>0</v>
      </c>
      <c r="CX51" s="407">
        <v>0</v>
      </c>
      <c r="CY51" s="407">
        <v>0</v>
      </c>
      <c r="CZ51" s="407">
        <v>-771.39620404090056</v>
      </c>
      <c r="DA51" s="407">
        <v>0</v>
      </c>
      <c r="DB51" s="407">
        <v>0</v>
      </c>
      <c r="DC51" s="407">
        <v>540.99197699458819</v>
      </c>
      <c r="DD51" s="407">
        <v>0</v>
      </c>
      <c r="DE51" s="407">
        <v>0</v>
      </c>
      <c r="DF51" s="407">
        <v>0</v>
      </c>
      <c r="DG51" s="407">
        <v>127.78500761691703</v>
      </c>
      <c r="DH51" s="407">
        <v>0</v>
      </c>
      <c r="DI51" s="407">
        <v>-187.04555077255554</v>
      </c>
      <c r="DJ51" s="407"/>
      <c r="DK51" s="407">
        <v>0</v>
      </c>
      <c r="DL51" s="407">
        <v>0</v>
      </c>
      <c r="DM51" s="407">
        <v>0</v>
      </c>
      <c r="DN51" s="407">
        <v>0</v>
      </c>
      <c r="DO51" s="407">
        <v>-24.237886008051646</v>
      </c>
      <c r="DP51" s="407">
        <v>-7.1017125738222262</v>
      </c>
      <c r="DQ51" s="407">
        <v>0</v>
      </c>
      <c r="DR51" s="407">
        <v>0</v>
      </c>
      <c r="DS51" s="407"/>
      <c r="DT51" s="407"/>
      <c r="DU51" s="407"/>
      <c r="DV51" s="407">
        <v>66993.038760853829</v>
      </c>
      <c r="DW51" s="407">
        <v>0</v>
      </c>
      <c r="DX51" s="407">
        <v>0</v>
      </c>
      <c r="DY51" s="407">
        <v>-20666.73272</v>
      </c>
      <c r="DZ51" s="407">
        <v>540.6055800000031</v>
      </c>
      <c r="EA51" s="407">
        <v>0</v>
      </c>
      <c r="EB51" s="407">
        <v>0</v>
      </c>
      <c r="EC51" s="407">
        <v>-19804.199762575212</v>
      </c>
      <c r="ED51" s="407">
        <v>0</v>
      </c>
      <c r="EE51" s="407">
        <v>0</v>
      </c>
      <c r="EF51" s="407">
        <v>0</v>
      </c>
      <c r="EG51" s="407">
        <v>0</v>
      </c>
      <c r="EH51" s="407">
        <v>0</v>
      </c>
      <c r="EI51" s="407">
        <v>0</v>
      </c>
      <c r="EJ51" s="407">
        <v>0</v>
      </c>
      <c r="EK51" s="407">
        <v>0</v>
      </c>
      <c r="EL51" s="407">
        <v>0</v>
      </c>
      <c r="EM51" s="407">
        <v>0</v>
      </c>
      <c r="EN51" s="407">
        <v>0</v>
      </c>
      <c r="EO51" s="407">
        <v>0</v>
      </c>
      <c r="EP51" s="407">
        <v>0</v>
      </c>
      <c r="EQ51" s="407">
        <v>0</v>
      </c>
      <c r="ER51" s="407">
        <v>0</v>
      </c>
      <c r="ES51" s="407">
        <v>0</v>
      </c>
      <c r="ET51" s="407">
        <v>0</v>
      </c>
      <c r="EU51" s="407">
        <v>0</v>
      </c>
      <c r="EV51" s="407">
        <v>207</v>
      </c>
      <c r="EW51" s="407">
        <v>0</v>
      </c>
      <c r="EX51" s="407">
        <v>0</v>
      </c>
      <c r="EY51" s="407">
        <v>0</v>
      </c>
      <c r="EZ51" s="407"/>
      <c r="FA51" s="407">
        <v>0</v>
      </c>
      <c r="FB51" s="407"/>
      <c r="FC51" s="407"/>
      <c r="FD51" s="407"/>
      <c r="FE51" s="407"/>
      <c r="FF51" s="407">
        <v>0</v>
      </c>
      <c r="FG51" s="407">
        <v>0</v>
      </c>
      <c r="FH51" s="407">
        <v>0</v>
      </c>
      <c r="FI51" s="407">
        <v>0</v>
      </c>
    </row>
    <row r="52" spans="1:165" customFormat="1">
      <c r="A52" s="407">
        <v>50</v>
      </c>
      <c r="B52" s="407" t="s">
        <v>1092</v>
      </c>
      <c r="C52" s="407" t="s">
        <v>2315</v>
      </c>
      <c r="D52" s="407" t="s">
        <v>648</v>
      </c>
      <c r="E52" s="407" t="s">
        <v>1051</v>
      </c>
      <c r="F52" s="407" t="s">
        <v>96</v>
      </c>
      <c r="G52" s="407" t="s">
        <v>96</v>
      </c>
      <c r="H52" s="407" t="s">
        <v>96</v>
      </c>
      <c r="I52" s="407" t="s">
        <v>1027</v>
      </c>
      <c r="J52" s="407" t="s">
        <v>2306</v>
      </c>
      <c r="K52" s="815">
        <v>44440</v>
      </c>
      <c r="L52" s="407">
        <v>0</v>
      </c>
      <c r="M52" s="407">
        <v>0</v>
      </c>
      <c r="N52" s="407">
        <v>4.6050000000000004</v>
      </c>
      <c r="O52" s="407">
        <v>4.6050000000000004</v>
      </c>
      <c r="P52" s="407">
        <v>4.6050000000000004</v>
      </c>
      <c r="Q52" s="407">
        <v>4.6050000000000004</v>
      </c>
      <c r="R52" s="407"/>
      <c r="S52" s="407">
        <v>2075.9499999999998</v>
      </c>
      <c r="T52" s="407">
        <v>127.85</v>
      </c>
      <c r="U52" s="407"/>
      <c r="V52" s="407">
        <v>10148.499000000002</v>
      </c>
      <c r="W52" s="407">
        <v>10148.499000000002</v>
      </c>
      <c r="X52" s="407">
        <v>8134.3180499999999</v>
      </c>
      <c r="Y52" s="407">
        <v>0</v>
      </c>
      <c r="Z52" s="407">
        <v>244.68813332199798</v>
      </c>
      <c r="AA52" s="407">
        <v>0</v>
      </c>
      <c r="AB52" s="407">
        <v>0</v>
      </c>
      <c r="AC52" s="407">
        <v>0</v>
      </c>
      <c r="AD52" s="407">
        <v>2901.1910647785139</v>
      </c>
      <c r="AE52" s="407">
        <v>6341.8390924300156</v>
      </c>
      <c r="AF52" s="407">
        <v>588.73725949628908</v>
      </c>
      <c r="AG52" s="407">
        <v>0</v>
      </c>
      <c r="AH52" s="407">
        <v>0</v>
      </c>
      <c r="AI52" s="407">
        <v>0</v>
      </c>
      <c r="AJ52" s="407">
        <v>0</v>
      </c>
      <c r="AK52" s="407">
        <v>0</v>
      </c>
      <c r="AL52" s="407">
        <v>43.495594603602342</v>
      </c>
      <c r="AM52" s="407"/>
      <c r="AN52" s="407">
        <v>4.6252809362380463</v>
      </c>
      <c r="AO52" s="407">
        <v>0</v>
      </c>
      <c r="AP52" s="407">
        <v>0</v>
      </c>
      <c r="AQ52" s="407">
        <v>0</v>
      </c>
      <c r="AR52" s="407">
        <v>0</v>
      </c>
      <c r="AS52" s="407">
        <v>0</v>
      </c>
      <c r="AT52" s="407">
        <v>0</v>
      </c>
      <c r="AU52" s="407">
        <v>0</v>
      </c>
      <c r="AV52" s="407">
        <v>0</v>
      </c>
      <c r="AW52" s="407">
        <v>0</v>
      </c>
      <c r="AX52" s="407">
        <v>0</v>
      </c>
      <c r="AY52" s="407">
        <v>0</v>
      </c>
      <c r="AZ52" s="407">
        <v>0</v>
      </c>
      <c r="BA52" s="407"/>
      <c r="BB52" s="407">
        <v>0</v>
      </c>
      <c r="BC52" s="407">
        <v>0</v>
      </c>
      <c r="BD52" s="407">
        <v>0</v>
      </c>
      <c r="BE52" s="407">
        <v>0</v>
      </c>
      <c r="BF52" s="407">
        <v>0</v>
      </c>
      <c r="BG52" s="407">
        <v>23.907237301514851</v>
      </c>
      <c r="BH52" s="407">
        <v>0</v>
      </c>
      <c r="BI52" s="407">
        <v>0</v>
      </c>
      <c r="BJ52" s="407">
        <v>0</v>
      </c>
      <c r="BK52" s="407">
        <v>0</v>
      </c>
      <c r="BL52" s="407">
        <v>0</v>
      </c>
      <c r="BM52" s="407"/>
      <c r="BN52" s="407"/>
      <c r="BO52" s="407"/>
      <c r="BP52" s="407"/>
      <c r="BQ52" s="407"/>
      <c r="BR52" s="407"/>
      <c r="BS52" s="407"/>
      <c r="BT52" s="407"/>
      <c r="BU52" s="407"/>
      <c r="BV52" s="407">
        <v>612.64449679780398</v>
      </c>
      <c r="BW52" s="407"/>
      <c r="BX52" s="407"/>
      <c r="BY52" s="407"/>
      <c r="BZ52" s="407"/>
      <c r="CA52" s="407"/>
      <c r="CB52" s="407"/>
      <c r="CC52" s="407"/>
      <c r="CD52" s="407"/>
      <c r="CE52" s="407"/>
      <c r="CF52" s="407"/>
      <c r="CG52" s="407"/>
      <c r="CH52" s="407"/>
      <c r="CI52" s="407">
        <v>8143.1500999999998</v>
      </c>
      <c r="CJ52" s="407">
        <v>-2005.3789000000024</v>
      </c>
      <c r="CK52" s="407"/>
      <c r="CL52" s="407"/>
      <c r="CM52" s="407"/>
      <c r="CN52" s="407"/>
      <c r="CO52" s="407">
        <v>-2032.6930499999996</v>
      </c>
      <c r="CP52" s="407">
        <v>18.51210000000005</v>
      </c>
      <c r="CQ52" s="407">
        <v>30</v>
      </c>
      <c r="CR52" s="407">
        <v>-139.4299615941909</v>
      </c>
      <c r="CS52" s="407">
        <v>0</v>
      </c>
      <c r="CT52" s="407">
        <v>0</v>
      </c>
      <c r="CU52" s="407">
        <v>0</v>
      </c>
      <c r="CV52" s="407">
        <v>0</v>
      </c>
      <c r="CW52" s="407">
        <v>0</v>
      </c>
      <c r="CX52" s="407">
        <v>0</v>
      </c>
      <c r="CY52" s="407">
        <v>0</v>
      </c>
      <c r="CZ52" s="407">
        <v>-152.19855833173506</v>
      </c>
      <c r="DA52" s="407">
        <v>0</v>
      </c>
      <c r="DB52" s="407">
        <v>0</v>
      </c>
      <c r="DC52" s="407">
        <v>18.525331494583384</v>
      </c>
      <c r="DD52" s="407">
        <v>0</v>
      </c>
      <c r="DE52" s="407">
        <v>0</v>
      </c>
      <c r="DF52" s="407">
        <v>0</v>
      </c>
      <c r="DG52" s="407">
        <v>0.75227020030826708</v>
      </c>
      <c r="DH52" s="407">
        <v>0</v>
      </c>
      <c r="DI52" s="407">
        <v>-5.5723937740293934</v>
      </c>
      <c r="DJ52" s="407"/>
      <c r="DK52" s="407">
        <v>0</v>
      </c>
      <c r="DL52" s="407">
        <v>0</v>
      </c>
      <c r="DM52" s="407">
        <v>0</v>
      </c>
      <c r="DN52" s="407">
        <v>0</v>
      </c>
      <c r="DO52" s="407">
        <v>-0.82998434749721639</v>
      </c>
      <c r="DP52" s="407">
        <v>-0.10662683582071786</v>
      </c>
      <c r="DQ52" s="407">
        <v>0</v>
      </c>
      <c r="DR52" s="407">
        <v>0</v>
      </c>
      <c r="DS52" s="407"/>
      <c r="DT52" s="407"/>
      <c r="DU52" s="407"/>
      <c r="DV52" s="407">
        <v>6341.8390924300156</v>
      </c>
      <c r="DW52" s="407">
        <v>0</v>
      </c>
      <c r="DX52" s="407">
        <v>0</v>
      </c>
      <c r="DY52" s="407">
        <v>-2032.6930500000008</v>
      </c>
      <c r="DZ52" s="407">
        <v>18.512100000000032</v>
      </c>
      <c r="EA52" s="407">
        <v>0</v>
      </c>
      <c r="EB52" s="407">
        <v>0</v>
      </c>
      <c r="EC52" s="407">
        <v>-1874.7477435219935</v>
      </c>
      <c r="ED52" s="407">
        <v>0</v>
      </c>
      <c r="EE52" s="407">
        <v>0</v>
      </c>
      <c r="EF52" s="407">
        <v>0</v>
      </c>
      <c r="EG52" s="407">
        <v>0</v>
      </c>
      <c r="EH52" s="407">
        <v>0</v>
      </c>
      <c r="EI52" s="407">
        <v>0</v>
      </c>
      <c r="EJ52" s="407">
        <v>0</v>
      </c>
      <c r="EK52" s="407">
        <v>0</v>
      </c>
      <c r="EL52" s="407">
        <v>0</v>
      </c>
      <c r="EM52" s="407">
        <v>0</v>
      </c>
      <c r="EN52" s="407">
        <v>0</v>
      </c>
      <c r="EO52" s="407">
        <v>0</v>
      </c>
      <c r="EP52" s="407">
        <v>0</v>
      </c>
      <c r="EQ52" s="407">
        <v>0</v>
      </c>
      <c r="ER52" s="407">
        <v>0</v>
      </c>
      <c r="ES52" s="407">
        <v>0</v>
      </c>
      <c r="ET52" s="407">
        <v>0</v>
      </c>
      <c r="EU52" s="407">
        <v>0</v>
      </c>
      <c r="EV52" s="407">
        <v>207</v>
      </c>
      <c r="EW52" s="407">
        <v>0</v>
      </c>
      <c r="EX52" s="407">
        <v>0</v>
      </c>
      <c r="EY52" s="407">
        <v>0</v>
      </c>
      <c r="EZ52" s="407"/>
      <c r="FA52" s="407">
        <v>0</v>
      </c>
      <c r="FB52" s="407"/>
      <c r="FC52" s="407"/>
      <c r="FD52" s="407"/>
      <c r="FE52" s="407"/>
      <c r="FF52" s="407">
        <v>0</v>
      </c>
      <c r="FG52" s="407">
        <v>0</v>
      </c>
      <c r="FH52" s="407">
        <v>0</v>
      </c>
      <c r="FI52" s="407">
        <v>0</v>
      </c>
    </row>
    <row r="53" spans="1:165" customFormat="1">
      <c r="A53" s="407">
        <v>51</v>
      </c>
      <c r="B53" s="407" t="s">
        <v>1092</v>
      </c>
      <c r="C53" s="407" t="s">
        <v>2315</v>
      </c>
      <c r="D53" s="407" t="s">
        <v>648</v>
      </c>
      <c r="E53" s="407" t="s">
        <v>1051</v>
      </c>
      <c r="F53" s="407" t="s">
        <v>96</v>
      </c>
      <c r="G53" s="407" t="s">
        <v>96</v>
      </c>
      <c r="H53" s="407" t="s">
        <v>96</v>
      </c>
      <c r="I53" s="407" t="s">
        <v>2290</v>
      </c>
      <c r="J53" s="407" t="s">
        <v>2306</v>
      </c>
      <c r="K53" s="815">
        <v>44440</v>
      </c>
      <c r="L53" s="407">
        <v>0</v>
      </c>
      <c r="M53" s="407">
        <v>0</v>
      </c>
      <c r="N53" s="407">
        <v>83.984999999999999</v>
      </c>
      <c r="O53" s="407">
        <v>83.984999999999999</v>
      </c>
      <c r="P53" s="407">
        <v>83.984999999999999</v>
      </c>
      <c r="Q53" s="407">
        <v>83.984999999999999</v>
      </c>
      <c r="R53" s="407"/>
      <c r="S53" s="407">
        <v>68.78</v>
      </c>
      <c r="T53" s="407">
        <v>127.85</v>
      </c>
      <c r="U53" s="407"/>
      <c r="V53" s="407">
        <v>16513.970549999998</v>
      </c>
      <c r="W53" s="407">
        <v>16513.970549999998</v>
      </c>
      <c r="X53" s="407">
        <v>16746.609</v>
      </c>
      <c r="Y53" s="407">
        <v>0</v>
      </c>
      <c r="Z53" s="407">
        <v>4462.5695715630827</v>
      </c>
      <c r="AA53" s="407">
        <v>0</v>
      </c>
      <c r="AB53" s="407">
        <v>0</v>
      </c>
      <c r="AC53" s="407">
        <v>0</v>
      </c>
      <c r="AD53" s="407">
        <v>0</v>
      </c>
      <c r="AE53" s="407">
        <v>0</v>
      </c>
      <c r="AF53" s="407">
        <v>10737.263569771083</v>
      </c>
      <c r="AG53" s="407">
        <v>0</v>
      </c>
      <c r="AH53" s="407">
        <v>0</v>
      </c>
      <c r="AI53" s="407">
        <v>0</v>
      </c>
      <c r="AJ53" s="407">
        <v>0</v>
      </c>
      <c r="AK53" s="407">
        <v>0</v>
      </c>
      <c r="AL53" s="407">
        <v>793.26330353605692</v>
      </c>
      <c r="AM53" s="407"/>
      <c r="AN53" s="407">
        <v>84.354879355038491</v>
      </c>
      <c r="AO53" s="407">
        <v>0</v>
      </c>
      <c r="AP53" s="407">
        <v>0</v>
      </c>
      <c r="AQ53" s="407">
        <v>0</v>
      </c>
      <c r="AR53" s="407">
        <v>0</v>
      </c>
      <c r="AS53" s="407">
        <v>0</v>
      </c>
      <c r="AT53" s="407">
        <v>0</v>
      </c>
      <c r="AU53" s="407">
        <v>0</v>
      </c>
      <c r="AV53" s="407">
        <v>0</v>
      </c>
      <c r="AW53" s="407">
        <v>0</v>
      </c>
      <c r="AX53" s="407">
        <v>0</v>
      </c>
      <c r="AY53" s="407">
        <v>0</v>
      </c>
      <c r="AZ53" s="407">
        <v>0</v>
      </c>
      <c r="BA53" s="407"/>
      <c r="BB53" s="407">
        <v>0</v>
      </c>
      <c r="BC53" s="407">
        <v>0</v>
      </c>
      <c r="BD53" s="407">
        <v>0</v>
      </c>
      <c r="BE53" s="407">
        <v>0</v>
      </c>
      <c r="BF53" s="407">
        <v>0</v>
      </c>
      <c r="BG53" s="407">
        <v>436.01505423837665</v>
      </c>
      <c r="BH53" s="407">
        <v>0</v>
      </c>
      <c r="BI53" s="407">
        <v>0</v>
      </c>
      <c r="BJ53" s="407">
        <v>0</v>
      </c>
      <c r="BK53" s="407">
        <v>0</v>
      </c>
      <c r="BL53" s="407">
        <v>0</v>
      </c>
      <c r="BM53" s="407"/>
      <c r="BN53" s="407"/>
      <c r="BO53" s="407"/>
      <c r="BP53" s="407"/>
      <c r="BQ53" s="407"/>
      <c r="BR53" s="407"/>
      <c r="BS53" s="407"/>
      <c r="BT53" s="407"/>
      <c r="BU53" s="407"/>
      <c r="BV53" s="407">
        <v>11173.278624009459</v>
      </c>
      <c r="BW53" s="407"/>
      <c r="BX53" s="407"/>
      <c r="BY53" s="407"/>
      <c r="BZ53" s="407"/>
      <c r="CA53" s="407"/>
      <c r="CB53" s="407"/>
      <c r="CC53" s="407"/>
      <c r="CD53" s="407"/>
      <c r="CE53" s="407"/>
      <c r="CF53" s="407"/>
      <c r="CG53" s="407"/>
      <c r="CH53" s="407"/>
      <c r="CI53" s="407">
        <v>16747.606</v>
      </c>
      <c r="CJ53" s="407">
        <v>233.60545000000275</v>
      </c>
      <c r="CK53" s="407"/>
      <c r="CL53" s="407"/>
      <c r="CM53" s="407"/>
      <c r="CN53" s="407"/>
      <c r="CO53" s="407">
        <v>-104.98125</v>
      </c>
      <c r="CP53" s="407">
        <v>337.61970000000088</v>
      </c>
      <c r="CQ53" s="407">
        <v>30</v>
      </c>
      <c r="CR53" s="407">
        <v>232.87092225899323</v>
      </c>
      <c r="CS53" s="407">
        <v>0</v>
      </c>
      <c r="CT53" s="407">
        <v>0</v>
      </c>
      <c r="CU53" s="407">
        <v>0</v>
      </c>
      <c r="CV53" s="407">
        <v>0</v>
      </c>
      <c r="CW53" s="407">
        <v>0</v>
      </c>
      <c r="CX53" s="407">
        <v>0</v>
      </c>
      <c r="CY53" s="407">
        <v>0</v>
      </c>
      <c r="CZ53" s="407">
        <v>0</v>
      </c>
      <c r="DA53" s="407">
        <v>0</v>
      </c>
      <c r="DB53" s="407">
        <v>0</v>
      </c>
      <c r="DC53" s="407">
        <v>337.86101315365522</v>
      </c>
      <c r="DD53" s="407">
        <v>0</v>
      </c>
      <c r="DE53" s="407">
        <v>0</v>
      </c>
      <c r="DF53" s="407">
        <v>0</v>
      </c>
      <c r="DG53" s="407">
        <v>13.719742187381087</v>
      </c>
      <c r="DH53" s="407">
        <v>0</v>
      </c>
      <c r="DI53" s="407">
        <v>-101.62811967684138</v>
      </c>
      <c r="DJ53" s="407"/>
      <c r="DK53" s="407">
        <v>0</v>
      </c>
      <c r="DL53" s="407">
        <v>0</v>
      </c>
      <c r="DM53" s="407">
        <v>0</v>
      </c>
      <c r="DN53" s="407">
        <v>0</v>
      </c>
      <c r="DO53" s="407">
        <v>-15.137076096537157</v>
      </c>
      <c r="DP53" s="407">
        <v>-1.9446373086651505</v>
      </c>
      <c r="DQ53" s="407">
        <v>0</v>
      </c>
      <c r="DR53" s="407">
        <v>0</v>
      </c>
      <c r="DS53" s="407"/>
      <c r="DT53" s="407"/>
      <c r="DU53" s="407"/>
      <c r="DV53" s="407">
        <v>0</v>
      </c>
      <c r="DW53" s="407">
        <v>0</v>
      </c>
      <c r="DX53" s="407">
        <v>0</v>
      </c>
      <c r="DY53" s="407">
        <v>-104.98124999999982</v>
      </c>
      <c r="DZ53" s="407">
        <v>337.6197000000011</v>
      </c>
      <c r="EA53" s="407">
        <v>0</v>
      </c>
      <c r="EB53" s="407">
        <v>0</v>
      </c>
      <c r="EC53" s="407">
        <v>0</v>
      </c>
      <c r="ED53" s="407">
        <v>0</v>
      </c>
      <c r="EE53" s="407">
        <v>0</v>
      </c>
      <c r="EF53" s="407">
        <v>0</v>
      </c>
      <c r="EG53" s="407">
        <v>0</v>
      </c>
      <c r="EH53" s="407">
        <v>0</v>
      </c>
      <c r="EI53" s="407">
        <v>0</v>
      </c>
      <c r="EJ53" s="407">
        <v>0</v>
      </c>
      <c r="EK53" s="407">
        <v>0</v>
      </c>
      <c r="EL53" s="407">
        <v>0</v>
      </c>
      <c r="EM53" s="407">
        <v>0</v>
      </c>
      <c r="EN53" s="407">
        <v>0</v>
      </c>
      <c r="EO53" s="407">
        <v>0</v>
      </c>
      <c r="EP53" s="407">
        <v>0</v>
      </c>
      <c r="EQ53" s="407">
        <v>0</v>
      </c>
      <c r="ER53" s="407">
        <v>0</v>
      </c>
      <c r="ES53" s="407">
        <v>0</v>
      </c>
      <c r="ET53" s="407">
        <v>0</v>
      </c>
      <c r="EU53" s="407">
        <v>0</v>
      </c>
      <c r="EV53" s="407">
        <v>207</v>
      </c>
      <c r="EW53" s="407">
        <v>0</v>
      </c>
      <c r="EX53" s="407">
        <v>0</v>
      </c>
      <c r="EY53" s="407">
        <v>0</v>
      </c>
      <c r="EZ53" s="407"/>
      <c r="FA53" s="407">
        <v>0</v>
      </c>
      <c r="FB53" s="407"/>
      <c r="FC53" s="407"/>
      <c r="FD53" s="407"/>
      <c r="FE53" s="407"/>
      <c r="FF53" s="407">
        <v>0</v>
      </c>
      <c r="FG53" s="407">
        <v>0</v>
      </c>
      <c r="FH53" s="407">
        <v>0</v>
      </c>
      <c r="FI53" s="407">
        <v>0</v>
      </c>
    </row>
    <row r="54" spans="1:165" customFormat="1">
      <c r="A54" s="407">
        <v>52</v>
      </c>
      <c r="B54" s="407" t="s">
        <v>1092</v>
      </c>
      <c r="C54" s="407" t="s">
        <v>2315</v>
      </c>
      <c r="D54" s="407" t="s">
        <v>648</v>
      </c>
      <c r="E54" s="407" t="s">
        <v>1051</v>
      </c>
      <c r="F54" s="407" t="s">
        <v>96</v>
      </c>
      <c r="G54" s="407" t="s">
        <v>96</v>
      </c>
      <c r="H54" s="407" t="s">
        <v>96</v>
      </c>
      <c r="I54" s="407" t="s">
        <v>96</v>
      </c>
      <c r="J54" s="407" t="s">
        <v>2306</v>
      </c>
      <c r="K54" s="815">
        <v>44440</v>
      </c>
      <c r="L54" s="407">
        <v>381</v>
      </c>
      <c r="M54" s="407">
        <v>381</v>
      </c>
      <c r="N54" s="407">
        <v>0</v>
      </c>
      <c r="O54" s="407">
        <v>0</v>
      </c>
      <c r="P54" s="407">
        <v>0</v>
      </c>
      <c r="Q54" s="407">
        <v>0</v>
      </c>
      <c r="R54" s="407">
        <v>39.56</v>
      </c>
      <c r="S54" s="407"/>
      <c r="T54" s="407"/>
      <c r="U54" s="407">
        <v>15072.36</v>
      </c>
      <c r="V54" s="407"/>
      <c r="W54" s="407">
        <v>15072.36</v>
      </c>
      <c r="X54" s="407">
        <v>11833.859999999999</v>
      </c>
      <c r="Y54" s="407">
        <v>0</v>
      </c>
      <c r="Z54" s="407">
        <v>0</v>
      </c>
      <c r="AA54" s="407">
        <v>0</v>
      </c>
      <c r="AB54" s="407">
        <v>0</v>
      </c>
      <c r="AC54" s="407">
        <v>0</v>
      </c>
      <c r="AD54" s="407">
        <v>5017.8773658464052</v>
      </c>
      <c r="AE54" s="407">
        <v>10052.659126509341</v>
      </c>
      <c r="AF54" s="407"/>
      <c r="AG54" s="407"/>
      <c r="AH54" s="407"/>
      <c r="AI54" s="407">
        <v>0</v>
      </c>
      <c r="AJ54" s="407">
        <v>0</v>
      </c>
      <c r="AK54" s="407">
        <v>0</v>
      </c>
      <c r="AL54" s="407">
        <v>0</v>
      </c>
      <c r="AM54" s="407"/>
      <c r="AN54" s="407">
        <v>0</v>
      </c>
      <c r="AO54" s="407">
        <v>0</v>
      </c>
      <c r="AP54" s="407">
        <v>0</v>
      </c>
      <c r="AQ54" s="407">
        <v>0</v>
      </c>
      <c r="AR54" s="407">
        <v>0</v>
      </c>
      <c r="AS54" s="407"/>
      <c r="AT54" s="407"/>
      <c r="AU54" s="407">
        <v>0</v>
      </c>
      <c r="AV54" s="407">
        <v>0</v>
      </c>
      <c r="AW54" s="407">
        <v>0</v>
      </c>
      <c r="AX54" s="407"/>
      <c r="AY54" s="407"/>
      <c r="AZ54" s="407">
        <v>0</v>
      </c>
      <c r="BA54" s="407"/>
      <c r="BB54" s="407">
        <v>0</v>
      </c>
      <c r="BC54" s="407">
        <v>0</v>
      </c>
      <c r="BD54" s="407">
        <v>0</v>
      </c>
      <c r="BE54" s="407">
        <v>0</v>
      </c>
      <c r="BF54" s="407"/>
      <c r="BG54" s="407">
        <v>0</v>
      </c>
      <c r="BH54" s="407">
        <v>0</v>
      </c>
      <c r="BI54" s="407">
        <v>459.89</v>
      </c>
      <c r="BJ54" s="407">
        <v>2122.59</v>
      </c>
      <c r="BK54" s="407">
        <v>12602.11</v>
      </c>
      <c r="BL54" s="407">
        <v>2</v>
      </c>
      <c r="BM54" s="407"/>
      <c r="BN54" s="407"/>
      <c r="BO54" s="407"/>
      <c r="BP54" s="407"/>
      <c r="BQ54" s="407"/>
      <c r="BR54" s="407"/>
      <c r="BS54" s="407"/>
      <c r="BT54" s="407"/>
      <c r="BU54" s="407"/>
      <c r="BV54" s="407">
        <v>0</v>
      </c>
      <c r="BW54" s="407"/>
      <c r="BX54" s="407"/>
      <c r="BY54" s="407"/>
      <c r="BZ54" s="407"/>
      <c r="CA54" s="407"/>
      <c r="CB54" s="407"/>
      <c r="CC54" s="407"/>
      <c r="CD54" s="407"/>
      <c r="CE54" s="407"/>
      <c r="CF54" s="407"/>
      <c r="CG54" s="407"/>
      <c r="CH54" s="407"/>
      <c r="CI54" s="407">
        <v>11833.859999999999</v>
      </c>
      <c r="CJ54" s="407">
        <v>-3238.5300000000025</v>
      </c>
      <c r="CK54" s="407"/>
      <c r="CL54" s="407"/>
      <c r="CM54" s="407"/>
      <c r="CN54" s="407"/>
      <c r="CO54" s="407">
        <v>-3238.5000000000014</v>
      </c>
      <c r="CP54" s="407">
        <v>0</v>
      </c>
      <c r="CQ54" s="407">
        <v>30</v>
      </c>
      <c r="CR54" s="407">
        <v>-263.24143564308815</v>
      </c>
      <c r="CS54" s="407">
        <v>0</v>
      </c>
      <c r="CT54" s="407">
        <v>0</v>
      </c>
      <c r="CU54" s="407">
        <v>0</v>
      </c>
      <c r="CV54" s="407">
        <v>0</v>
      </c>
      <c r="CW54" s="407"/>
      <c r="CX54" s="407"/>
      <c r="CY54" s="407"/>
      <c r="CZ54" s="407">
        <v>-263.24143564308815</v>
      </c>
      <c r="DA54" s="407">
        <v>0</v>
      </c>
      <c r="DB54" s="407">
        <v>0</v>
      </c>
      <c r="DC54" s="407"/>
      <c r="DD54" s="407"/>
      <c r="DE54" s="407">
        <v>0</v>
      </c>
      <c r="DF54" s="407">
        <v>0</v>
      </c>
      <c r="DG54" s="407">
        <v>0</v>
      </c>
      <c r="DH54" s="407">
        <v>0</v>
      </c>
      <c r="DI54" s="407">
        <v>0</v>
      </c>
      <c r="DJ54" s="407"/>
      <c r="DK54" s="407">
        <v>0</v>
      </c>
      <c r="DL54" s="407">
        <v>0</v>
      </c>
      <c r="DM54" s="407"/>
      <c r="DN54" s="407">
        <v>0</v>
      </c>
      <c r="DO54" s="407">
        <v>0</v>
      </c>
      <c r="DP54" s="407">
        <v>0</v>
      </c>
      <c r="DQ54" s="407">
        <v>0</v>
      </c>
      <c r="DR54" s="407">
        <v>0</v>
      </c>
      <c r="DS54" s="407"/>
      <c r="DT54" s="407"/>
      <c r="DU54" s="407">
        <v>10052.659126509341</v>
      </c>
      <c r="DV54" s="407"/>
      <c r="DW54" s="407">
        <v>0</v>
      </c>
      <c r="DX54" s="407">
        <v>0</v>
      </c>
      <c r="DY54" s="407">
        <v>-3238.5000000000018</v>
      </c>
      <c r="DZ54" s="407"/>
      <c r="EA54" s="407">
        <v>0</v>
      </c>
      <c r="EB54" s="407"/>
      <c r="EC54" s="407">
        <v>-2971.724721984071</v>
      </c>
      <c r="ED54" s="407"/>
      <c r="EE54" s="407">
        <v>0</v>
      </c>
      <c r="EF54" s="407">
        <v>0</v>
      </c>
      <c r="EG54" s="407"/>
      <c r="EH54" s="407">
        <v>0</v>
      </c>
      <c r="EI54" s="407">
        <v>0</v>
      </c>
      <c r="EJ54" s="407">
        <v>0</v>
      </c>
      <c r="EK54" s="407">
        <v>0</v>
      </c>
      <c r="EL54" s="407">
        <v>0</v>
      </c>
      <c r="EM54" s="407"/>
      <c r="EN54" s="407"/>
      <c r="EO54" s="407">
        <v>0</v>
      </c>
      <c r="EP54" s="407">
        <v>0</v>
      </c>
      <c r="EQ54" s="407"/>
      <c r="ER54" s="407">
        <v>0</v>
      </c>
      <c r="ES54" s="407"/>
      <c r="ET54" s="407">
        <v>0</v>
      </c>
      <c r="EU54" s="407"/>
      <c r="EV54" s="407">
        <v>207</v>
      </c>
      <c r="EW54" s="407"/>
      <c r="EX54" s="407"/>
      <c r="EY54" s="407"/>
      <c r="EZ54" s="407"/>
      <c r="FA54" s="407">
        <v>0</v>
      </c>
      <c r="FB54" s="407"/>
      <c r="FC54" s="407"/>
      <c r="FD54" s="407"/>
      <c r="FE54" s="407"/>
      <c r="FF54" s="407">
        <v>0</v>
      </c>
      <c r="FG54" s="407">
        <v>0</v>
      </c>
      <c r="FH54" s="407">
        <v>0</v>
      </c>
      <c r="FI54" s="407">
        <v>0</v>
      </c>
    </row>
    <row r="55" spans="1:165" customFormat="1">
      <c r="A55" s="407">
        <v>53</v>
      </c>
      <c r="B55" s="407" t="s">
        <v>1092</v>
      </c>
      <c r="C55" s="407" t="s">
        <v>2305</v>
      </c>
      <c r="D55" s="407" t="s">
        <v>2316</v>
      </c>
      <c r="E55" s="407" t="s">
        <v>1028</v>
      </c>
      <c r="F55" s="407" t="s">
        <v>96</v>
      </c>
      <c r="G55" s="407" t="s">
        <v>96</v>
      </c>
      <c r="H55" s="407" t="s">
        <v>96</v>
      </c>
      <c r="I55" s="407" t="s">
        <v>96</v>
      </c>
      <c r="J55" s="407" t="s">
        <v>2306</v>
      </c>
      <c r="K55" s="815">
        <v>44440</v>
      </c>
      <c r="L55" s="407">
        <v>0</v>
      </c>
      <c r="M55" s="407">
        <v>0</v>
      </c>
      <c r="N55" s="407">
        <v>56.250999999999998</v>
      </c>
      <c r="O55" s="407">
        <v>56.250999999999998</v>
      </c>
      <c r="P55" s="407">
        <v>56.250999999999998</v>
      </c>
      <c r="Q55" s="407">
        <v>56.250999999999998</v>
      </c>
      <c r="R55" s="407"/>
      <c r="S55" s="407">
        <v>710.52</v>
      </c>
      <c r="T55" s="407">
        <v>127.85</v>
      </c>
      <c r="U55" s="407"/>
      <c r="V55" s="407">
        <v>47159.150869999998</v>
      </c>
      <c r="W55" s="407">
        <v>47159.150869999998</v>
      </c>
      <c r="X55" s="407">
        <v>38740.626210000002</v>
      </c>
      <c r="Y55" s="407">
        <v>0</v>
      </c>
      <c r="Z55" s="407">
        <v>3435.5341364323376</v>
      </c>
      <c r="AA55" s="407">
        <v>0</v>
      </c>
      <c r="AB55" s="407">
        <v>0</v>
      </c>
      <c r="AC55" s="407">
        <v>0</v>
      </c>
      <c r="AD55" s="407">
        <v>6150.6224129365482</v>
      </c>
      <c r="AE55" s="407">
        <v>28022.408133141893</v>
      </c>
      <c r="AF55" s="407">
        <v>7191.5438835886544</v>
      </c>
      <c r="AG55" s="407">
        <v>0</v>
      </c>
      <c r="AH55" s="407">
        <v>0</v>
      </c>
      <c r="AI55" s="407">
        <v>0</v>
      </c>
      <c r="AJ55" s="407">
        <v>0</v>
      </c>
      <c r="AK55" s="407">
        <v>0</v>
      </c>
      <c r="AL55" s="407">
        <v>531.30742498311292</v>
      </c>
      <c r="AM55" s="407"/>
      <c r="AN55" s="407">
        <v>128.85772594733265</v>
      </c>
      <c r="AO55" s="407">
        <v>0</v>
      </c>
      <c r="AP55" s="407">
        <v>0</v>
      </c>
      <c r="AQ55" s="407">
        <v>0</v>
      </c>
      <c r="AR55" s="407">
        <v>0</v>
      </c>
      <c r="AS55" s="407">
        <v>0</v>
      </c>
      <c r="AT55" s="407">
        <v>0</v>
      </c>
      <c r="AU55" s="407">
        <v>0</v>
      </c>
      <c r="AV55" s="407">
        <v>0</v>
      </c>
      <c r="AW55" s="407">
        <v>0</v>
      </c>
      <c r="AX55" s="407">
        <v>0</v>
      </c>
      <c r="AY55" s="407">
        <v>0</v>
      </c>
      <c r="AZ55" s="407">
        <v>0</v>
      </c>
      <c r="BA55" s="407"/>
      <c r="BB55" s="407">
        <v>0</v>
      </c>
      <c r="BC55" s="407">
        <v>0</v>
      </c>
      <c r="BD55" s="407">
        <v>0</v>
      </c>
      <c r="BE55" s="407">
        <v>0</v>
      </c>
      <c r="BF55" s="407">
        <v>0</v>
      </c>
      <c r="BG55" s="407">
        <v>1698.6785923277671</v>
      </c>
      <c r="BH55" s="407">
        <v>0</v>
      </c>
      <c r="BI55" s="407">
        <v>184.98</v>
      </c>
      <c r="BJ55" s="407">
        <v>854.73</v>
      </c>
      <c r="BK55" s="407">
        <v>0</v>
      </c>
      <c r="BL55" s="407">
        <v>42</v>
      </c>
      <c r="BM55" s="407"/>
      <c r="BN55" s="407"/>
      <c r="BO55" s="407"/>
      <c r="BP55" s="407"/>
      <c r="BQ55" s="407"/>
      <c r="BR55" s="407">
        <v>4648.5826400000033</v>
      </c>
      <c r="BS55" s="407"/>
      <c r="BT55" s="407"/>
      <c r="BU55" s="407"/>
      <c r="BV55" s="407">
        <v>8890.2224759164219</v>
      </c>
      <c r="BW55" s="407"/>
      <c r="BX55" s="407"/>
      <c r="BY55" s="407"/>
      <c r="BZ55" s="407"/>
      <c r="CA55" s="407"/>
      <c r="CB55" s="407"/>
      <c r="CC55" s="407"/>
      <c r="CD55" s="407"/>
      <c r="CE55" s="407"/>
      <c r="CF55" s="407"/>
      <c r="CG55" s="407"/>
      <c r="CH55" s="407"/>
      <c r="CI55" s="407">
        <v>34091.4375</v>
      </c>
      <c r="CJ55" s="407">
        <v>-7408.8927700000058</v>
      </c>
      <c r="CK55" s="407"/>
      <c r="CL55" s="407"/>
      <c r="CM55" s="407"/>
      <c r="CN55" s="407"/>
      <c r="CO55" s="407">
        <v>-8644.6536799999976</v>
      </c>
      <c r="CP55" s="407">
        <v>226.12902000000057</v>
      </c>
      <c r="CQ55" s="407">
        <v>30</v>
      </c>
      <c r="CR55" s="407">
        <v>-134.2723901014906</v>
      </c>
      <c r="CS55" s="407">
        <v>0</v>
      </c>
      <c r="CT55" s="407">
        <v>0</v>
      </c>
      <c r="CU55" s="407">
        <v>0</v>
      </c>
      <c r="CV55" s="407">
        <v>0</v>
      </c>
      <c r="CW55" s="407">
        <v>0</v>
      </c>
      <c r="CX55" s="407">
        <v>0</v>
      </c>
      <c r="CY55" s="407">
        <v>0</v>
      </c>
      <c r="CZ55" s="407">
        <v>-322.66605100799916</v>
      </c>
      <c r="DA55" s="407">
        <v>0</v>
      </c>
      <c r="DB55" s="407">
        <v>0</v>
      </c>
      <c r="DC55" s="407">
        <v>226.29064536412716</v>
      </c>
      <c r="DD55" s="407">
        <v>0</v>
      </c>
      <c r="DE55" s="407">
        <v>0</v>
      </c>
      <c r="DF55" s="407">
        <v>0</v>
      </c>
      <c r="DG55" s="407">
        <v>53.450980922368672</v>
      </c>
      <c r="DH55" s="407">
        <v>0</v>
      </c>
      <c r="DI55" s="407">
        <v>-78.238976171053309</v>
      </c>
      <c r="DJ55" s="407"/>
      <c r="DK55" s="407">
        <v>0</v>
      </c>
      <c r="DL55" s="407">
        <v>0</v>
      </c>
      <c r="DM55" s="407">
        <v>0</v>
      </c>
      <c r="DN55" s="407">
        <v>0</v>
      </c>
      <c r="DO55" s="407">
        <v>-10.138425522489911</v>
      </c>
      <c r="DP55" s="407">
        <v>-2.970563686449708</v>
      </c>
      <c r="DQ55" s="407">
        <v>0</v>
      </c>
      <c r="DR55" s="407">
        <v>0</v>
      </c>
      <c r="DS55" s="407"/>
      <c r="DT55" s="407"/>
      <c r="DU55" s="407"/>
      <c r="DV55" s="407">
        <v>28022.408133141893</v>
      </c>
      <c r="DW55" s="407">
        <v>0</v>
      </c>
      <c r="DX55" s="407">
        <v>0</v>
      </c>
      <c r="DY55" s="407">
        <v>-8644.6536799999994</v>
      </c>
      <c r="DZ55" s="407">
        <v>226.12902000000122</v>
      </c>
      <c r="EA55" s="407">
        <v>0</v>
      </c>
      <c r="EB55" s="407">
        <v>0</v>
      </c>
      <c r="EC55" s="407">
        <v>-8283.8661861303153</v>
      </c>
      <c r="ED55" s="407">
        <v>0</v>
      </c>
      <c r="EE55" s="407">
        <v>0</v>
      </c>
      <c r="EF55" s="407">
        <v>0</v>
      </c>
      <c r="EG55" s="407">
        <v>0</v>
      </c>
      <c r="EH55" s="407">
        <v>0</v>
      </c>
      <c r="EI55" s="407">
        <v>0</v>
      </c>
      <c r="EJ55" s="407">
        <v>0</v>
      </c>
      <c r="EK55" s="407">
        <v>0</v>
      </c>
      <c r="EL55" s="407">
        <v>0</v>
      </c>
      <c r="EM55" s="407">
        <v>0</v>
      </c>
      <c r="EN55" s="407">
        <v>0</v>
      </c>
      <c r="EO55" s="407">
        <v>0</v>
      </c>
      <c r="EP55" s="407">
        <v>0</v>
      </c>
      <c r="EQ55" s="407">
        <v>0</v>
      </c>
      <c r="ER55" s="407">
        <v>0</v>
      </c>
      <c r="ES55" s="407">
        <v>0</v>
      </c>
      <c r="ET55" s="407">
        <v>0</v>
      </c>
      <c r="EU55" s="407">
        <v>0</v>
      </c>
      <c r="EV55" s="407">
        <v>207</v>
      </c>
      <c r="EW55" s="407">
        <v>0</v>
      </c>
      <c r="EX55" s="407">
        <v>0</v>
      </c>
      <c r="EY55" s="407">
        <v>0</v>
      </c>
      <c r="EZ55" s="407"/>
      <c r="FA55" s="407">
        <v>0</v>
      </c>
      <c r="FB55" s="407"/>
      <c r="FC55" s="407"/>
      <c r="FD55" s="407"/>
      <c r="FE55" s="407"/>
      <c r="FF55" s="407">
        <v>0</v>
      </c>
      <c r="FG55" s="407">
        <v>0</v>
      </c>
      <c r="FH55" s="407">
        <v>0</v>
      </c>
      <c r="FI55" s="407">
        <v>0</v>
      </c>
    </row>
    <row r="56" spans="1:165" customFormat="1">
      <c r="A56" s="407">
        <v>54</v>
      </c>
      <c r="B56" s="407" t="s">
        <v>1092</v>
      </c>
      <c r="C56" s="407" t="s">
        <v>2305</v>
      </c>
      <c r="D56" s="407" t="s">
        <v>1221</v>
      </c>
      <c r="E56" s="407" t="s">
        <v>2317</v>
      </c>
      <c r="F56" s="407" t="s">
        <v>96</v>
      </c>
      <c r="G56" s="407" t="s">
        <v>96</v>
      </c>
      <c r="H56" s="407" t="s">
        <v>96</v>
      </c>
      <c r="I56" s="407" t="s">
        <v>96</v>
      </c>
      <c r="J56" s="407" t="s">
        <v>2306</v>
      </c>
      <c r="K56" s="815">
        <v>44440</v>
      </c>
      <c r="L56" s="407">
        <v>0</v>
      </c>
      <c r="M56" s="407">
        <v>0</v>
      </c>
      <c r="N56" s="407">
        <v>7.59</v>
      </c>
      <c r="O56" s="407">
        <v>7.59</v>
      </c>
      <c r="P56" s="407">
        <v>7.59</v>
      </c>
      <c r="Q56" s="407">
        <v>7.59</v>
      </c>
      <c r="R56" s="407"/>
      <c r="S56" s="407">
        <v>710.52</v>
      </c>
      <c r="T56" s="407">
        <v>127.85</v>
      </c>
      <c r="U56" s="407"/>
      <c r="V56" s="407">
        <v>6363.2282999999989</v>
      </c>
      <c r="W56" s="407">
        <v>6363.2282999999989</v>
      </c>
      <c r="X56" s="407">
        <v>5227.3089</v>
      </c>
      <c r="Y56" s="407">
        <v>0</v>
      </c>
      <c r="Z56" s="407">
        <v>463.55983174559464</v>
      </c>
      <c r="AA56" s="407">
        <v>0</v>
      </c>
      <c r="AB56" s="407">
        <v>0</v>
      </c>
      <c r="AC56" s="407">
        <v>0</v>
      </c>
      <c r="AD56" s="407">
        <v>829.90923031036607</v>
      </c>
      <c r="AE56" s="407">
        <v>3781.0897180591805</v>
      </c>
      <c r="AF56" s="407">
        <v>970.3617371502354</v>
      </c>
      <c r="AG56" s="407">
        <v>0</v>
      </c>
      <c r="AH56" s="407">
        <v>0</v>
      </c>
      <c r="AI56" s="407">
        <v>0</v>
      </c>
      <c r="AJ56" s="407">
        <v>0</v>
      </c>
      <c r="AK56" s="407">
        <v>0</v>
      </c>
      <c r="AL56" s="407">
        <v>71.689807392256611</v>
      </c>
      <c r="AM56" s="407"/>
      <c r="AN56" s="407">
        <v>17.386893387499867</v>
      </c>
      <c r="AO56" s="407">
        <v>0</v>
      </c>
      <c r="AP56" s="407">
        <v>0</v>
      </c>
      <c r="AQ56" s="407">
        <v>0</v>
      </c>
      <c r="AR56" s="407">
        <v>0</v>
      </c>
      <c r="AS56" s="407">
        <v>0</v>
      </c>
      <c r="AT56" s="407">
        <v>0</v>
      </c>
      <c r="AU56" s="407">
        <v>0</v>
      </c>
      <c r="AV56" s="407">
        <v>0</v>
      </c>
      <c r="AW56" s="407">
        <v>0</v>
      </c>
      <c r="AX56" s="407">
        <v>0</v>
      </c>
      <c r="AY56" s="407">
        <v>0</v>
      </c>
      <c r="AZ56" s="407">
        <v>0</v>
      </c>
      <c r="BA56" s="407"/>
      <c r="BB56" s="407">
        <v>0</v>
      </c>
      <c r="BC56" s="407">
        <v>0</v>
      </c>
      <c r="BD56" s="407">
        <v>0</v>
      </c>
      <c r="BE56" s="407">
        <v>0</v>
      </c>
      <c r="BF56" s="407">
        <v>0</v>
      </c>
      <c r="BG56" s="407">
        <v>229.20428998182703</v>
      </c>
      <c r="BH56" s="407">
        <v>0</v>
      </c>
      <c r="BI56" s="407">
        <v>29.1</v>
      </c>
      <c r="BJ56" s="407">
        <v>134.85</v>
      </c>
      <c r="BK56" s="407">
        <v>1376.7</v>
      </c>
      <c r="BL56" s="407">
        <v>18</v>
      </c>
      <c r="BM56" s="407"/>
      <c r="BN56" s="407"/>
      <c r="BO56" s="407"/>
      <c r="BP56" s="407"/>
      <c r="BQ56" s="407"/>
      <c r="BR56" s="407"/>
      <c r="BS56" s="407"/>
      <c r="BT56" s="407"/>
      <c r="BU56" s="407"/>
      <c r="BV56" s="407">
        <v>1199.5660271320623</v>
      </c>
      <c r="BW56" s="407"/>
      <c r="BX56" s="407"/>
      <c r="BY56" s="407"/>
      <c r="BZ56" s="407"/>
      <c r="CA56" s="407"/>
      <c r="CB56" s="407"/>
      <c r="CC56" s="407"/>
      <c r="CD56" s="407"/>
      <c r="CE56" s="407"/>
      <c r="CF56" s="407"/>
      <c r="CG56" s="407"/>
      <c r="CH56" s="407"/>
      <c r="CI56" s="407">
        <v>5227.3089</v>
      </c>
      <c r="CJ56" s="407">
        <v>-1135.9493999999995</v>
      </c>
      <c r="CK56" s="407"/>
      <c r="CL56" s="407"/>
      <c r="CM56" s="407"/>
      <c r="CN56" s="407"/>
      <c r="CO56" s="407">
        <v>-1166.4311999999995</v>
      </c>
      <c r="CP56" s="407">
        <v>30.511800000000076</v>
      </c>
      <c r="CQ56" s="407">
        <v>30</v>
      </c>
      <c r="CR56" s="407">
        <v>-18.117499082155518</v>
      </c>
      <c r="CS56" s="407">
        <v>0</v>
      </c>
      <c r="CT56" s="407">
        <v>0</v>
      </c>
      <c r="CU56" s="407">
        <v>0</v>
      </c>
      <c r="CV56" s="407">
        <v>0</v>
      </c>
      <c r="CW56" s="407">
        <v>0</v>
      </c>
      <c r="CX56" s="407">
        <v>0</v>
      </c>
      <c r="CY56" s="407">
        <v>0</v>
      </c>
      <c r="CZ56" s="407">
        <v>-43.537631813669236</v>
      </c>
      <c r="DA56" s="407">
        <v>0</v>
      </c>
      <c r="DB56" s="407">
        <v>0</v>
      </c>
      <c r="DC56" s="407">
        <v>30.533608261430459</v>
      </c>
      <c r="DD56" s="407">
        <v>0</v>
      </c>
      <c r="DE56" s="407">
        <v>0</v>
      </c>
      <c r="DF56" s="407">
        <v>0</v>
      </c>
      <c r="DG56" s="407">
        <v>7.2121908090661293</v>
      </c>
      <c r="DH56" s="407">
        <v>0</v>
      </c>
      <c r="DI56" s="407">
        <v>-10.556858173868818</v>
      </c>
      <c r="DJ56" s="407"/>
      <c r="DK56" s="407">
        <v>0</v>
      </c>
      <c r="DL56" s="407">
        <v>0</v>
      </c>
      <c r="DM56" s="407">
        <v>0</v>
      </c>
      <c r="DN56" s="407">
        <v>0</v>
      </c>
      <c r="DO56" s="407">
        <v>-1.3679872307283034</v>
      </c>
      <c r="DP56" s="407">
        <v>-0.40082093438611821</v>
      </c>
      <c r="DQ56" s="407">
        <v>0</v>
      </c>
      <c r="DR56" s="407">
        <v>0</v>
      </c>
      <c r="DS56" s="407"/>
      <c r="DT56" s="407"/>
      <c r="DU56" s="407"/>
      <c r="DV56" s="407">
        <v>3781.0897180591805</v>
      </c>
      <c r="DW56" s="407">
        <v>0</v>
      </c>
      <c r="DX56" s="407">
        <v>0</v>
      </c>
      <c r="DY56" s="407">
        <v>-1166.4311999999991</v>
      </c>
      <c r="DZ56" s="407">
        <v>30.511800000000108</v>
      </c>
      <c r="EA56" s="407">
        <v>0</v>
      </c>
      <c r="EB56" s="407">
        <v>0</v>
      </c>
      <c r="EC56" s="407">
        <v>-1117.7498062741834</v>
      </c>
      <c r="ED56" s="407">
        <v>0</v>
      </c>
      <c r="EE56" s="407">
        <v>0</v>
      </c>
      <c r="EF56" s="407">
        <v>0</v>
      </c>
      <c r="EG56" s="407">
        <v>0</v>
      </c>
      <c r="EH56" s="407">
        <v>0</v>
      </c>
      <c r="EI56" s="407">
        <v>0</v>
      </c>
      <c r="EJ56" s="407">
        <v>0</v>
      </c>
      <c r="EK56" s="407">
        <v>0</v>
      </c>
      <c r="EL56" s="407">
        <v>0</v>
      </c>
      <c r="EM56" s="407">
        <v>0</v>
      </c>
      <c r="EN56" s="407">
        <v>0</v>
      </c>
      <c r="EO56" s="407">
        <v>0</v>
      </c>
      <c r="EP56" s="407">
        <v>0</v>
      </c>
      <c r="EQ56" s="407">
        <v>0</v>
      </c>
      <c r="ER56" s="407">
        <v>0</v>
      </c>
      <c r="ES56" s="407">
        <v>0</v>
      </c>
      <c r="ET56" s="407">
        <v>0</v>
      </c>
      <c r="EU56" s="407">
        <v>0</v>
      </c>
      <c r="EV56" s="407">
        <v>207</v>
      </c>
      <c r="EW56" s="407">
        <v>0</v>
      </c>
      <c r="EX56" s="407">
        <v>0</v>
      </c>
      <c r="EY56" s="407">
        <v>0</v>
      </c>
      <c r="EZ56" s="407"/>
      <c r="FA56" s="407">
        <v>0</v>
      </c>
      <c r="FB56" s="407"/>
      <c r="FC56" s="407"/>
      <c r="FD56" s="407"/>
      <c r="FE56" s="407"/>
      <c r="FF56" s="407">
        <v>0</v>
      </c>
      <c r="FG56" s="407">
        <v>0</v>
      </c>
      <c r="FH56" s="407">
        <v>0</v>
      </c>
      <c r="FI56" s="407">
        <v>0</v>
      </c>
    </row>
    <row r="57" spans="1:165" customFormat="1">
      <c r="A57" s="407">
        <v>55</v>
      </c>
      <c r="B57" s="407" t="s">
        <v>1092</v>
      </c>
      <c r="C57" s="407" t="s">
        <v>2305</v>
      </c>
      <c r="D57" s="407" t="s">
        <v>2318</v>
      </c>
      <c r="E57" s="407" t="s">
        <v>2319</v>
      </c>
      <c r="F57" s="407" t="s">
        <v>2320</v>
      </c>
      <c r="G57" s="407" t="s">
        <v>96</v>
      </c>
      <c r="H57" s="407" t="s">
        <v>96</v>
      </c>
      <c r="I57" s="407" t="s">
        <v>96</v>
      </c>
      <c r="J57" s="407" t="s">
        <v>2306</v>
      </c>
      <c r="K57" s="815">
        <v>44440</v>
      </c>
      <c r="L57" s="407">
        <v>0</v>
      </c>
      <c r="M57" s="407">
        <v>0</v>
      </c>
      <c r="N57" s="407">
        <v>41.75</v>
      </c>
      <c r="O57" s="407">
        <v>41.75</v>
      </c>
      <c r="P57" s="407">
        <v>41.75</v>
      </c>
      <c r="Q57" s="407">
        <v>41.75</v>
      </c>
      <c r="R57" s="407"/>
      <c r="S57" s="407">
        <v>390.79</v>
      </c>
      <c r="T57" s="407">
        <v>70.319999999999993</v>
      </c>
      <c r="U57" s="407"/>
      <c r="V57" s="407">
        <v>19251.342499999999</v>
      </c>
      <c r="W57" s="407">
        <v>19251.342499999999</v>
      </c>
      <c r="X57" s="407">
        <v>15814.4825</v>
      </c>
      <c r="Y57" s="407">
        <v>0</v>
      </c>
      <c r="Z57" s="407">
        <v>1402.4364474912024</v>
      </c>
      <c r="AA57" s="407">
        <v>0</v>
      </c>
      <c r="AB57" s="407">
        <v>0</v>
      </c>
      <c r="AC57" s="407">
        <v>0</v>
      </c>
      <c r="AD57" s="407">
        <v>2510.7761134389657</v>
      </c>
      <c r="AE57" s="407">
        <v>11439.166357171793</v>
      </c>
      <c r="AF57" s="407">
        <v>2935.6958352190113</v>
      </c>
      <c r="AG57" s="407">
        <v>0</v>
      </c>
      <c r="AH57" s="407">
        <v>0</v>
      </c>
      <c r="AI57" s="407">
        <v>0</v>
      </c>
      <c r="AJ57" s="407">
        <v>0</v>
      </c>
      <c r="AK57" s="407">
        <v>0</v>
      </c>
      <c r="AL57" s="407">
        <v>216.88764192947198</v>
      </c>
      <c r="AM57" s="407"/>
      <c r="AN57" s="407">
        <v>52.601652096240699</v>
      </c>
      <c r="AO57" s="407">
        <v>0</v>
      </c>
      <c r="AP57" s="407">
        <v>0</v>
      </c>
      <c r="AQ57" s="407">
        <v>0</v>
      </c>
      <c r="AR57" s="407">
        <v>0</v>
      </c>
      <c r="AS57" s="407">
        <v>0</v>
      </c>
      <c r="AT57" s="407">
        <v>0</v>
      </c>
      <c r="AU57" s="407">
        <v>0</v>
      </c>
      <c r="AV57" s="407">
        <v>0</v>
      </c>
      <c r="AW57" s="407">
        <v>0</v>
      </c>
      <c r="AX57" s="407">
        <v>0</v>
      </c>
      <c r="AY57" s="407">
        <v>0</v>
      </c>
      <c r="AZ57" s="407">
        <v>0</v>
      </c>
      <c r="BA57" s="407"/>
      <c r="BB57" s="407">
        <v>0</v>
      </c>
      <c r="BC57" s="407">
        <v>0</v>
      </c>
      <c r="BD57" s="407">
        <v>0</v>
      </c>
      <c r="BE57" s="407">
        <v>0</v>
      </c>
      <c r="BF57" s="407">
        <v>0</v>
      </c>
      <c r="BG57" s="407">
        <v>693.42602222763105</v>
      </c>
      <c r="BH57" s="407">
        <v>0</v>
      </c>
      <c r="BI57" s="407">
        <v>98.07</v>
      </c>
      <c r="BJ57" s="407">
        <v>453.5</v>
      </c>
      <c r="BK57" s="407">
        <v>4630.09</v>
      </c>
      <c r="BL57" s="407">
        <v>36</v>
      </c>
      <c r="BM57" s="407"/>
      <c r="BN57" s="407"/>
      <c r="BO57" s="407"/>
      <c r="BP57" s="407"/>
      <c r="BQ57" s="407"/>
      <c r="BR57" s="407"/>
      <c r="BS57" s="407"/>
      <c r="BT57" s="407"/>
      <c r="BU57" s="407"/>
      <c r="BV57" s="407">
        <v>3629.1218574466425</v>
      </c>
      <c r="BW57" s="407"/>
      <c r="BX57" s="407"/>
      <c r="BY57" s="407"/>
      <c r="BZ57" s="407"/>
      <c r="CA57" s="407"/>
      <c r="CB57" s="407"/>
      <c r="CC57" s="407"/>
      <c r="CD57" s="407"/>
      <c r="CE57" s="407"/>
      <c r="CF57" s="407"/>
      <c r="CG57" s="407"/>
      <c r="CH57" s="407"/>
      <c r="CI57" s="407">
        <v>15814.4825</v>
      </c>
      <c r="CJ57" s="407">
        <v>-3436.8899999999976</v>
      </c>
      <c r="CK57" s="407"/>
      <c r="CL57" s="407"/>
      <c r="CM57" s="407"/>
      <c r="CN57" s="407"/>
      <c r="CO57" s="407">
        <v>-3529.1275000000014</v>
      </c>
      <c r="CP57" s="407">
        <v>92.267500000000325</v>
      </c>
      <c r="CQ57" s="407">
        <v>30</v>
      </c>
      <c r="CR57" s="407">
        <v>-54.811999034792279</v>
      </c>
      <c r="CS57" s="407">
        <v>0</v>
      </c>
      <c r="CT57" s="407">
        <v>0</v>
      </c>
      <c r="CU57" s="407">
        <v>0</v>
      </c>
      <c r="CV57" s="407">
        <v>0</v>
      </c>
      <c r="CW57" s="407">
        <v>0</v>
      </c>
      <c r="CX57" s="407">
        <v>0</v>
      </c>
      <c r="CY57" s="407">
        <v>0</v>
      </c>
      <c r="CZ57" s="407">
        <v>-131.71711074063023</v>
      </c>
      <c r="DA57" s="407">
        <v>0</v>
      </c>
      <c r="DB57" s="407">
        <v>0</v>
      </c>
      <c r="DC57" s="407">
        <v>92.375227892370731</v>
      </c>
      <c r="DD57" s="407">
        <v>0</v>
      </c>
      <c r="DE57" s="407">
        <v>0</v>
      </c>
      <c r="DF57" s="407">
        <v>0</v>
      </c>
      <c r="DG57" s="407">
        <v>21.819490310032961</v>
      </c>
      <c r="DH57" s="407">
        <v>0</v>
      </c>
      <c r="DI57" s="407">
        <v>-31.938320924570462</v>
      </c>
      <c r="DJ57" s="407"/>
      <c r="DK57" s="407">
        <v>0</v>
      </c>
      <c r="DL57" s="407">
        <v>0</v>
      </c>
      <c r="DM57" s="407">
        <v>0</v>
      </c>
      <c r="DN57" s="407">
        <v>0</v>
      </c>
      <c r="DO57" s="407">
        <v>-4.1386570205006308</v>
      </c>
      <c r="DP57" s="407">
        <v>-1.2126285514941983</v>
      </c>
      <c r="DQ57" s="407">
        <v>0</v>
      </c>
      <c r="DR57" s="407">
        <v>0</v>
      </c>
      <c r="DS57" s="407"/>
      <c r="DT57" s="407"/>
      <c r="DU57" s="407"/>
      <c r="DV57" s="407">
        <v>11439.166357171793</v>
      </c>
      <c r="DW57" s="407">
        <v>0</v>
      </c>
      <c r="DX57" s="407">
        <v>0</v>
      </c>
      <c r="DY57" s="407">
        <v>-3529.1275000000005</v>
      </c>
      <c r="DZ57" s="407">
        <v>92.267500000000382</v>
      </c>
      <c r="EA57" s="407">
        <v>0</v>
      </c>
      <c r="EB57" s="407">
        <v>0</v>
      </c>
      <c r="EC57" s="407">
        <v>-3381.5981457932903</v>
      </c>
      <c r="ED57" s="407">
        <v>0</v>
      </c>
      <c r="EE57" s="407">
        <v>0</v>
      </c>
      <c r="EF57" s="407">
        <v>0</v>
      </c>
      <c r="EG57" s="407">
        <v>0</v>
      </c>
      <c r="EH57" s="407">
        <v>0</v>
      </c>
      <c r="EI57" s="407">
        <v>0</v>
      </c>
      <c r="EJ57" s="407">
        <v>0</v>
      </c>
      <c r="EK57" s="407">
        <v>0</v>
      </c>
      <c r="EL57" s="407">
        <v>0</v>
      </c>
      <c r="EM57" s="407">
        <v>0</v>
      </c>
      <c r="EN57" s="407">
        <v>0</v>
      </c>
      <c r="EO57" s="407">
        <v>0</v>
      </c>
      <c r="EP57" s="407">
        <v>0</v>
      </c>
      <c r="EQ57" s="407">
        <v>0</v>
      </c>
      <c r="ER57" s="407">
        <v>0</v>
      </c>
      <c r="ES57" s="407">
        <v>0</v>
      </c>
      <c r="ET57" s="407">
        <v>0</v>
      </c>
      <c r="EU57" s="407">
        <v>0</v>
      </c>
      <c r="EV57" s="407">
        <v>207</v>
      </c>
      <c r="EW57" s="407">
        <v>0</v>
      </c>
      <c r="EX57" s="407">
        <v>0</v>
      </c>
      <c r="EY57" s="407">
        <v>0</v>
      </c>
      <c r="EZ57" s="407"/>
      <c r="FA57" s="407">
        <v>0</v>
      </c>
      <c r="FB57" s="407"/>
      <c r="FC57" s="407"/>
      <c r="FD57" s="407"/>
      <c r="FE57" s="407"/>
      <c r="FF57" s="407">
        <v>0</v>
      </c>
      <c r="FG57" s="407">
        <v>0</v>
      </c>
      <c r="FH57" s="407">
        <v>0</v>
      </c>
      <c r="FI57" s="407">
        <v>0</v>
      </c>
    </row>
    <row r="58" spans="1:165" customFormat="1">
      <c r="A58" s="407">
        <v>56</v>
      </c>
      <c r="B58" s="407" t="s">
        <v>1092</v>
      </c>
      <c r="C58" s="407" t="s">
        <v>2305</v>
      </c>
      <c r="D58" s="407" t="s">
        <v>1221</v>
      </c>
      <c r="E58" s="407" t="s">
        <v>1054</v>
      </c>
      <c r="F58" s="407" t="s">
        <v>2321</v>
      </c>
      <c r="G58" s="407" t="s">
        <v>96</v>
      </c>
      <c r="H58" s="407" t="s">
        <v>96</v>
      </c>
      <c r="I58" s="407" t="s">
        <v>96</v>
      </c>
      <c r="J58" s="407" t="s">
        <v>2306</v>
      </c>
      <c r="K58" s="815">
        <v>44440</v>
      </c>
      <c r="L58" s="407">
        <v>0</v>
      </c>
      <c r="M58" s="407">
        <v>0</v>
      </c>
      <c r="N58" s="407">
        <v>6.35</v>
      </c>
      <c r="O58" s="407">
        <v>5.9690000000000003</v>
      </c>
      <c r="P58" s="407">
        <v>6.35</v>
      </c>
      <c r="Q58" s="407">
        <v>5.9690000000000003</v>
      </c>
      <c r="R58" s="407"/>
      <c r="S58" s="407">
        <v>710.52</v>
      </c>
      <c r="T58" s="407">
        <v>127.85</v>
      </c>
      <c r="U58" s="407"/>
      <c r="V58" s="407">
        <v>5323.6494999999995</v>
      </c>
      <c r="W58" s="407">
        <v>5323.6494999999995</v>
      </c>
      <c r="X58" s="407">
        <v>4373.3085000000001</v>
      </c>
      <c r="Y58" s="407">
        <v>0</v>
      </c>
      <c r="Z58" s="407">
        <v>387.82673670415357</v>
      </c>
      <c r="AA58" s="407">
        <v>0</v>
      </c>
      <c r="AB58" s="407">
        <v>0</v>
      </c>
      <c r="AC58" s="407">
        <v>0</v>
      </c>
      <c r="AD58" s="407">
        <v>694.32458662329702</v>
      </c>
      <c r="AE58" s="407">
        <v>3163.3622805896966</v>
      </c>
      <c r="AF58" s="407">
        <v>811.83096586350382</v>
      </c>
      <c r="AG58" s="407">
        <v>0</v>
      </c>
      <c r="AH58" s="407">
        <v>0</v>
      </c>
      <c r="AI58" s="407">
        <v>0</v>
      </c>
      <c r="AJ58" s="407">
        <v>0</v>
      </c>
      <c r="AK58" s="407">
        <v>0</v>
      </c>
      <c r="AL58" s="407">
        <v>59.977638595629713</v>
      </c>
      <c r="AM58" s="407"/>
      <c r="AN58" s="407">
        <v>14.546346905220572</v>
      </c>
      <c r="AO58" s="407">
        <v>0</v>
      </c>
      <c r="AP58" s="407">
        <v>0</v>
      </c>
      <c r="AQ58" s="407">
        <v>0</v>
      </c>
      <c r="AR58" s="407">
        <v>0</v>
      </c>
      <c r="AS58" s="407">
        <v>0</v>
      </c>
      <c r="AT58" s="407">
        <v>0</v>
      </c>
      <c r="AU58" s="407">
        <v>0</v>
      </c>
      <c r="AV58" s="407">
        <v>0</v>
      </c>
      <c r="AW58" s="407">
        <v>0</v>
      </c>
      <c r="AX58" s="407">
        <v>0</v>
      </c>
      <c r="AY58" s="407">
        <v>0</v>
      </c>
      <c r="AZ58" s="407">
        <v>0</v>
      </c>
      <c r="BA58" s="407"/>
      <c r="BB58" s="407">
        <v>0</v>
      </c>
      <c r="BC58" s="407">
        <v>0</v>
      </c>
      <c r="BD58" s="407">
        <v>0</v>
      </c>
      <c r="BE58" s="407">
        <v>0</v>
      </c>
      <c r="BF58" s="407">
        <v>0</v>
      </c>
      <c r="BG58" s="407">
        <v>191.75852982669323</v>
      </c>
      <c r="BH58" s="407">
        <v>0</v>
      </c>
      <c r="BI58" s="407">
        <v>41.44</v>
      </c>
      <c r="BJ58" s="407">
        <v>191.3</v>
      </c>
      <c r="BK58" s="407">
        <v>1090.1600000000001</v>
      </c>
      <c r="BL58" s="407">
        <v>1</v>
      </c>
      <c r="BM58" s="407"/>
      <c r="BN58" s="407"/>
      <c r="BO58" s="407"/>
      <c r="BP58" s="407"/>
      <c r="BQ58" s="407">
        <v>262.39850999999953</v>
      </c>
      <c r="BR58" s="407"/>
      <c r="BS58" s="407"/>
      <c r="BT58" s="407"/>
      <c r="BU58" s="407"/>
      <c r="BV58" s="407">
        <v>1003.5894956901971</v>
      </c>
      <c r="BW58" s="407"/>
      <c r="BX58" s="407"/>
      <c r="BY58" s="407"/>
      <c r="BZ58" s="407"/>
      <c r="CA58" s="407"/>
      <c r="CB58" s="407"/>
      <c r="CC58" s="407"/>
      <c r="CD58" s="407"/>
      <c r="CE58" s="407"/>
      <c r="CF58" s="407"/>
      <c r="CG58" s="407"/>
      <c r="CH58" s="407"/>
      <c r="CI58" s="407">
        <v>4111.5987000000005</v>
      </c>
      <c r="CJ58" s="407">
        <v>-892.66183000000092</v>
      </c>
      <c r="CK58" s="407"/>
      <c r="CL58" s="407"/>
      <c r="CM58" s="407"/>
      <c r="CN58" s="407"/>
      <c r="CO58" s="407">
        <v>-975.8679999999996</v>
      </c>
      <c r="CP58" s="407">
        <v>25.527000000000065</v>
      </c>
      <c r="CQ58" s="407">
        <v>30</v>
      </c>
      <c r="CR58" s="407">
        <v>-15.157591458721072</v>
      </c>
      <c r="CS58" s="407">
        <v>0</v>
      </c>
      <c r="CT58" s="407">
        <v>0</v>
      </c>
      <c r="CU58" s="407">
        <v>0</v>
      </c>
      <c r="CV58" s="407">
        <v>0</v>
      </c>
      <c r="CW58" s="407">
        <v>0</v>
      </c>
      <c r="CX58" s="407">
        <v>0</v>
      </c>
      <c r="CY58" s="407">
        <v>0</v>
      </c>
      <c r="CZ58" s="407">
        <v>-36.424764429090942</v>
      </c>
      <c r="DA58" s="407">
        <v>0</v>
      </c>
      <c r="DB58" s="407">
        <v>0</v>
      </c>
      <c r="DC58" s="407">
        <v>25.545245383410247</v>
      </c>
      <c r="DD58" s="407">
        <v>0</v>
      </c>
      <c r="DE58" s="407">
        <v>0</v>
      </c>
      <c r="DF58" s="407">
        <v>0</v>
      </c>
      <c r="DG58" s="407">
        <v>6.0339145767549098</v>
      </c>
      <c r="DH58" s="407">
        <v>0</v>
      </c>
      <c r="DI58" s="407">
        <v>-8.832154071682055</v>
      </c>
      <c r="DJ58" s="407"/>
      <c r="DK58" s="407">
        <v>0</v>
      </c>
      <c r="DL58" s="407">
        <v>0</v>
      </c>
      <c r="DM58" s="407">
        <v>0</v>
      </c>
      <c r="DN58" s="407">
        <v>0</v>
      </c>
      <c r="DO58" s="407">
        <v>-1.1444952457344897</v>
      </c>
      <c r="DP58" s="407">
        <v>-0.33533767237837075</v>
      </c>
      <c r="DQ58" s="407">
        <v>0</v>
      </c>
      <c r="DR58" s="407">
        <v>0</v>
      </c>
      <c r="DS58" s="407"/>
      <c r="DT58" s="407"/>
      <c r="DU58" s="407"/>
      <c r="DV58" s="407">
        <v>3163.3622805896966</v>
      </c>
      <c r="DW58" s="407">
        <v>0</v>
      </c>
      <c r="DX58" s="407">
        <v>0</v>
      </c>
      <c r="DY58" s="407">
        <v>-975.86799999999948</v>
      </c>
      <c r="DZ58" s="407">
        <v>25.527000000000044</v>
      </c>
      <c r="EA58" s="407">
        <v>0</v>
      </c>
      <c r="EB58" s="407">
        <v>0</v>
      </c>
      <c r="EC58" s="407">
        <v>-935.13982474849354</v>
      </c>
      <c r="ED58" s="407">
        <v>0</v>
      </c>
      <c r="EE58" s="407">
        <v>0</v>
      </c>
      <c r="EF58" s="407">
        <v>0</v>
      </c>
      <c r="EG58" s="407">
        <v>0</v>
      </c>
      <c r="EH58" s="407">
        <v>0</v>
      </c>
      <c r="EI58" s="407">
        <v>0</v>
      </c>
      <c r="EJ58" s="407">
        <v>0</v>
      </c>
      <c r="EK58" s="407">
        <v>0</v>
      </c>
      <c r="EL58" s="407">
        <v>0</v>
      </c>
      <c r="EM58" s="407">
        <v>0</v>
      </c>
      <c r="EN58" s="407">
        <v>0</v>
      </c>
      <c r="EO58" s="407">
        <v>0</v>
      </c>
      <c r="EP58" s="407">
        <v>0</v>
      </c>
      <c r="EQ58" s="407">
        <v>0</v>
      </c>
      <c r="ER58" s="407">
        <v>0</v>
      </c>
      <c r="ES58" s="407">
        <v>0</v>
      </c>
      <c r="ET58" s="407">
        <v>0</v>
      </c>
      <c r="EU58" s="407">
        <v>0</v>
      </c>
      <c r="EV58" s="407">
        <v>207</v>
      </c>
      <c r="EW58" s="407">
        <v>0</v>
      </c>
      <c r="EX58" s="407">
        <v>0</v>
      </c>
      <c r="EY58" s="407">
        <v>0</v>
      </c>
      <c r="EZ58" s="407"/>
      <c r="FA58" s="407">
        <v>0</v>
      </c>
      <c r="FB58" s="407"/>
      <c r="FC58" s="407"/>
      <c r="FD58" s="407"/>
      <c r="FE58" s="407"/>
      <c r="FF58" s="407">
        <v>0</v>
      </c>
      <c r="FG58" s="407">
        <v>0</v>
      </c>
      <c r="FH58" s="407">
        <v>0</v>
      </c>
      <c r="FI58" s="407">
        <v>0</v>
      </c>
    </row>
    <row r="59" spans="1:165" customFormat="1">
      <c r="A59" s="407">
        <v>57</v>
      </c>
      <c r="B59" s="407" t="s">
        <v>1092</v>
      </c>
      <c r="C59" s="407" t="s">
        <v>2305</v>
      </c>
      <c r="D59" s="407" t="s">
        <v>1220</v>
      </c>
      <c r="E59" s="407" t="s">
        <v>1023</v>
      </c>
      <c r="F59" s="407" t="s">
        <v>1023</v>
      </c>
      <c r="G59" s="407" t="s">
        <v>96</v>
      </c>
      <c r="H59" s="407" t="s">
        <v>96</v>
      </c>
      <c r="I59" s="407" t="s">
        <v>96</v>
      </c>
      <c r="J59" s="407" t="s">
        <v>2306</v>
      </c>
      <c r="K59" s="815">
        <v>44470</v>
      </c>
      <c r="L59" s="407">
        <v>0</v>
      </c>
      <c r="M59" s="407">
        <v>0</v>
      </c>
      <c r="N59" s="407">
        <v>1046.424</v>
      </c>
      <c r="O59" s="407">
        <v>1046.424</v>
      </c>
      <c r="P59" s="407">
        <v>1046.424</v>
      </c>
      <c r="Q59" s="407">
        <v>1046.424</v>
      </c>
      <c r="R59" s="407"/>
      <c r="S59" s="407">
        <v>710.52</v>
      </c>
      <c r="T59" s="407">
        <v>127.85</v>
      </c>
      <c r="U59" s="407"/>
      <c r="V59" s="407">
        <v>877290.48887999996</v>
      </c>
      <c r="W59" s="407">
        <v>877290.48887999996</v>
      </c>
      <c r="X59" s="407">
        <v>720682.67304000002</v>
      </c>
      <c r="Y59" s="407">
        <v>0</v>
      </c>
      <c r="Z59" s="407">
        <v>63910.426004552319</v>
      </c>
      <c r="AA59" s="407">
        <v>0</v>
      </c>
      <c r="AB59" s="407">
        <v>0</v>
      </c>
      <c r="AC59" s="407">
        <v>0</v>
      </c>
      <c r="AD59" s="407">
        <v>114418.56869806252</v>
      </c>
      <c r="AE59" s="407">
        <v>521294.20647303824</v>
      </c>
      <c r="AF59" s="407">
        <v>133782.5837201183</v>
      </c>
      <c r="AG59" s="407">
        <v>0</v>
      </c>
      <c r="AH59" s="407">
        <v>0</v>
      </c>
      <c r="AI59" s="407">
        <v>0</v>
      </c>
      <c r="AJ59" s="407">
        <v>0</v>
      </c>
      <c r="AK59" s="407">
        <v>0</v>
      </c>
      <c r="AL59" s="407">
        <v>9883.7859039044451</v>
      </c>
      <c r="AM59" s="407"/>
      <c r="AN59" s="407">
        <v>2397.1096872359894</v>
      </c>
      <c r="AO59" s="407">
        <v>0</v>
      </c>
      <c r="AP59" s="407">
        <v>0</v>
      </c>
      <c r="AQ59" s="407">
        <v>0</v>
      </c>
      <c r="AR59" s="407">
        <v>0</v>
      </c>
      <c r="AS59" s="407">
        <v>0</v>
      </c>
      <c r="AT59" s="407">
        <v>0</v>
      </c>
      <c r="AU59" s="407">
        <v>0</v>
      </c>
      <c r="AV59" s="407">
        <v>0</v>
      </c>
      <c r="AW59" s="407">
        <v>0</v>
      </c>
      <c r="AX59" s="407">
        <v>0</v>
      </c>
      <c r="AY59" s="407">
        <v>0</v>
      </c>
      <c r="AZ59" s="407">
        <v>0</v>
      </c>
      <c r="BA59" s="407"/>
      <c r="BB59" s="407">
        <v>0</v>
      </c>
      <c r="BC59" s="407">
        <v>0</v>
      </c>
      <c r="BD59" s="407">
        <v>0</v>
      </c>
      <c r="BE59" s="407">
        <v>0</v>
      </c>
      <c r="BF59" s="407">
        <v>0</v>
      </c>
      <c r="BG59" s="407">
        <v>31600.114616593328</v>
      </c>
      <c r="BH59" s="407">
        <v>0</v>
      </c>
      <c r="BI59" s="407">
        <v>4818</v>
      </c>
      <c r="BJ59" s="407">
        <v>22381</v>
      </c>
      <c r="BK59" s="407">
        <v>213358.38</v>
      </c>
      <c r="BL59" s="407">
        <v>6077</v>
      </c>
      <c r="BM59" s="407"/>
      <c r="BN59" s="407"/>
      <c r="BO59" s="407"/>
      <c r="BP59" s="407"/>
      <c r="BQ59" s="407"/>
      <c r="BR59" s="407"/>
      <c r="BS59" s="407"/>
      <c r="BT59" s="407"/>
      <c r="BU59" s="407"/>
      <c r="BV59" s="407">
        <v>165382.69833671162</v>
      </c>
      <c r="BW59" s="407"/>
      <c r="BX59" s="407"/>
      <c r="BY59" s="407"/>
      <c r="BZ59" s="407"/>
      <c r="CA59" s="407"/>
      <c r="CB59" s="407"/>
      <c r="CC59" s="407"/>
      <c r="CD59" s="407"/>
      <c r="CE59" s="407"/>
      <c r="CF59" s="407"/>
      <c r="CG59" s="407"/>
      <c r="CH59" s="407"/>
      <c r="CI59" s="407">
        <v>720679.91820000007</v>
      </c>
      <c r="CJ59" s="407">
        <v>-156610.60067999992</v>
      </c>
      <c r="CK59" s="407"/>
      <c r="CL59" s="407"/>
      <c r="CM59" s="407"/>
      <c r="CN59" s="407"/>
      <c r="CO59" s="407">
        <v>-160814.44031999994</v>
      </c>
      <c r="CP59" s="407">
        <v>4206.6244800000104</v>
      </c>
      <c r="CQ59" s="407">
        <v>31</v>
      </c>
      <c r="CR59" s="407">
        <v>-2497.8373991496628</v>
      </c>
      <c r="CS59" s="407">
        <v>0</v>
      </c>
      <c r="CT59" s="407">
        <v>0</v>
      </c>
      <c r="CU59" s="407">
        <v>0</v>
      </c>
      <c r="CV59" s="407">
        <v>0</v>
      </c>
      <c r="CW59" s="407">
        <v>0</v>
      </c>
      <c r="CX59" s="407">
        <v>0</v>
      </c>
      <c r="CY59" s="407">
        <v>0</v>
      </c>
      <c r="CZ59" s="407">
        <v>-6002.479951645204</v>
      </c>
      <c r="DA59" s="407">
        <v>0</v>
      </c>
      <c r="DB59" s="407">
        <v>0</v>
      </c>
      <c r="DC59" s="407">
        <v>4209.6311582818453</v>
      </c>
      <c r="DD59" s="407">
        <v>0</v>
      </c>
      <c r="DE59" s="407">
        <v>0</v>
      </c>
      <c r="DF59" s="407">
        <v>0</v>
      </c>
      <c r="DG59" s="407">
        <v>994.33590977420681</v>
      </c>
      <c r="DH59" s="407">
        <v>0</v>
      </c>
      <c r="DI59" s="407">
        <v>-1455.4611011505258</v>
      </c>
      <c r="DJ59" s="407"/>
      <c r="DK59" s="407">
        <v>0</v>
      </c>
      <c r="DL59" s="407">
        <v>0</v>
      </c>
      <c r="DM59" s="407">
        <v>0</v>
      </c>
      <c r="DN59" s="407">
        <v>0</v>
      </c>
      <c r="DO59" s="407">
        <v>-188.60272331062333</v>
      </c>
      <c r="DP59" s="407">
        <v>-55.260691099348605</v>
      </c>
      <c r="DQ59" s="407">
        <v>0</v>
      </c>
      <c r="DR59" s="407">
        <v>0</v>
      </c>
      <c r="DS59" s="407"/>
      <c r="DT59" s="407"/>
      <c r="DU59" s="407"/>
      <c r="DV59" s="407">
        <v>521294.20647303824</v>
      </c>
      <c r="DW59" s="407">
        <v>0</v>
      </c>
      <c r="DX59" s="407">
        <v>0</v>
      </c>
      <c r="DY59" s="407">
        <v>-160814.44031999994</v>
      </c>
      <c r="DZ59" s="407">
        <v>4206.6244800000277</v>
      </c>
      <c r="EA59" s="407">
        <v>0</v>
      </c>
      <c r="EB59" s="407">
        <v>0</v>
      </c>
      <c r="EC59" s="407">
        <v>-154102.79621616023</v>
      </c>
      <c r="ED59" s="407">
        <v>0</v>
      </c>
      <c r="EE59" s="407">
        <v>0</v>
      </c>
      <c r="EF59" s="407">
        <v>0</v>
      </c>
      <c r="EG59" s="407">
        <v>0</v>
      </c>
      <c r="EH59" s="407">
        <v>0</v>
      </c>
      <c r="EI59" s="407">
        <v>0</v>
      </c>
      <c r="EJ59" s="407">
        <v>0</v>
      </c>
      <c r="EK59" s="407">
        <v>0</v>
      </c>
      <c r="EL59" s="407">
        <v>0</v>
      </c>
      <c r="EM59" s="407">
        <v>0</v>
      </c>
      <c r="EN59" s="407">
        <v>0</v>
      </c>
      <c r="EO59" s="407">
        <v>0</v>
      </c>
      <c r="EP59" s="407">
        <v>0</v>
      </c>
      <c r="EQ59" s="407">
        <v>0</v>
      </c>
      <c r="ER59" s="407">
        <v>0</v>
      </c>
      <c r="ES59" s="407">
        <v>0</v>
      </c>
      <c r="ET59" s="407">
        <v>0</v>
      </c>
      <c r="EU59" s="407">
        <v>0</v>
      </c>
      <c r="EV59" s="407">
        <v>207</v>
      </c>
      <c r="EW59" s="407">
        <v>0</v>
      </c>
      <c r="EX59" s="407">
        <v>0</v>
      </c>
      <c r="EY59" s="407">
        <v>0</v>
      </c>
      <c r="EZ59" s="407"/>
      <c r="FA59" s="407">
        <v>0</v>
      </c>
      <c r="FB59" s="407"/>
      <c r="FC59" s="407"/>
      <c r="FD59" s="407"/>
      <c r="FE59" s="407"/>
      <c r="FF59" s="407">
        <v>0</v>
      </c>
      <c r="FG59" s="407">
        <v>0</v>
      </c>
      <c r="FH59" s="407">
        <v>0</v>
      </c>
      <c r="FI59" s="407">
        <v>0</v>
      </c>
    </row>
    <row r="60" spans="1:165" customFormat="1">
      <c r="A60" s="407">
        <v>58</v>
      </c>
      <c r="B60" s="407" t="s">
        <v>2307</v>
      </c>
      <c r="C60" s="407" t="s">
        <v>2305</v>
      </c>
      <c r="D60" s="407" t="s">
        <v>1220</v>
      </c>
      <c r="E60" s="407" t="s">
        <v>1023</v>
      </c>
      <c r="F60" s="407" t="s">
        <v>1023</v>
      </c>
      <c r="G60" s="407" t="s">
        <v>96</v>
      </c>
      <c r="H60" s="407" t="s">
        <v>96</v>
      </c>
      <c r="I60" s="407" t="s">
        <v>96</v>
      </c>
      <c r="J60" s="407" t="s">
        <v>2306</v>
      </c>
      <c r="K60" s="815">
        <v>44470</v>
      </c>
      <c r="L60" s="407">
        <v>0</v>
      </c>
      <c r="M60" s="407">
        <v>0</v>
      </c>
      <c r="N60" s="407">
        <v>-1.2999999999999999E-2</v>
      </c>
      <c r="O60" s="407">
        <v>-1.2999999999999999E-2</v>
      </c>
      <c r="P60" s="407">
        <v>-1.2999999999999999E-2</v>
      </c>
      <c r="Q60" s="407">
        <v>-1.2999999999999999E-2</v>
      </c>
      <c r="R60" s="407"/>
      <c r="S60" s="407">
        <v>710.52</v>
      </c>
      <c r="T60" s="407">
        <v>127.85</v>
      </c>
      <c r="U60" s="407"/>
      <c r="V60" s="407">
        <v>-10.898809999999997</v>
      </c>
      <c r="W60" s="407">
        <v>-10.898809999999997</v>
      </c>
      <c r="X60" s="407">
        <v>-8.9532299999999996</v>
      </c>
      <c r="Y60" s="407">
        <v>0</v>
      </c>
      <c r="Z60" s="407">
        <v>-0.79397599640220418</v>
      </c>
      <c r="AA60" s="407">
        <v>0</v>
      </c>
      <c r="AB60" s="407">
        <v>0</v>
      </c>
      <c r="AC60" s="407">
        <v>0</v>
      </c>
      <c r="AD60" s="407">
        <v>-1.4214519096224978</v>
      </c>
      <c r="AE60" s="407">
        <v>-6.4761747476639453</v>
      </c>
      <c r="AF60" s="407">
        <v>-1.6620161505867008</v>
      </c>
      <c r="AG60" s="407">
        <v>0</v>
      </c>
      <c r="AH60" s="407">
        <v>0</v>
      </c>
      <c r="AI60" s="407">
        <v>0</v>
      </c>
      <c r="AJ60" s="407">
        <v>0</v>
      </c>
      <c r="AK60" s="407">
        <v>0</v>
      </c>
      <c r="AL60" s="407">
        <v>-0.12278886641624981</v>
      </c>
      <c r="AM60" s="407"/>
      <c r="AN60" s="407">
        <v>-2.9779922798089362E-2</v>
      </c>
      <c r="AO60" s="407">
        <v>0</v>
      </c>
      <c r="AP60" s="407">
        <v>0</v>
      </c>
      <c r="AQ60" s="407">
        <v>0</v>
      </c>
      <c r="AR60" s="407">
        <v>0</v>
      </c>
      <c r="AS60" s="407">
        <v>0</v>
      </c>
      <c r="AT60" s="407">
        <v>0</v>
      </c>
      <c r="AU60" s="407">
        <v>0</v>
      </c>
      <c r="AV60" s="407">
        <v>0</v>
      </c>
      <c r="AW60" s="407">
        <v>0</v>
      </c>
      <c r="AX60" s="407">
        <v>0</v>
      </c>
      <c r="AY60" s="407">
        <v>0</v>
      </c>
      <c r="AZ60" s="407">
        <v>0</v>
      </c>
      <c r="BA60" s="407"/>
      <c r="BB60" s="407">
        <v>0</v>
      </c>
      <c r="BC60" s="407">
        <v>0</v>
      </c>
      <c r="BD60" s="407">
        <v>0</v>
      </c>
      <c r="BE60" s="407">
        <v>0</v>
      </c>
      <c r="BF60" s="407">
        <v>0</v>
      </c>
      <c r="BG60" s="407">
        <v>-0.39257651775543495</v>
      </c>
      <c r="BH60" s="407">
        <v>0</v>
      </c>
      <c r="BI60" s="407">
        <v>-7.0000000000000007E-2</v>
      </c>
      <c r="BJ60" s="407">
        <v>-0.33</v>
      </c>
      <c r="BK60" s="407">
        <v>0</v>
      </c>
      <c r="BL60" s="407">
        <v>0</v>
      </c>
      <c r="BM60" s="407"/>
      <c r="BN60" s="407"/>
      <c r="BO60" s="407"/>
      <c r="BP60" s="407"/>
      <c r="BQ60" s="407"/>
      <c r="BR60" s="407"/>
      <c r="BS60" s="407"/>
      <c r="BT60" s="407"/>
      <c r="BU60" s="407"/>
      <c r="BV60" s="407">
        <v>-2.0545926683421358</v>
      </c>
      <c r="BW60" s="407"/>
      <c r="BX60" s="407"/>
      <c r="BY60" s="407"/>
      <c r="BZ60" s="407"/>
      <c r="CA60" s="407"/>
      <c r="CB60" s="407"/>
      <c r="CC60" s="407"/>
      <c r="CD60" s="407"/>
      <c r="CE60" s="407"/>
      <c r="CF60" s="407"/>
      <c r="CG60" s="407"/>
      <c r="CH60" s="407"/>
      <c r="CI60" s="407">
        <v>-6.8871000000000002</v>
      </c>
      <c r="CJ60" s="407">
        <v>3.9817099999999979</v>
      </c>
      <c r="CK60" s="407"/>
      <c r="CL60" s="407"/>
      <c r="CM60" s="407"/>
      <c r="CN60" s="407"/>
      <c r="CO60" s="407">
        <v>1.9978399999999992</v>
      </c>
      <c r="CP60" s="407">
        <v>-5.2260000000000133E-2</v>
      </c>
      <c r="CQ60" s="407">
        <v>31</v>
      </c>
      <c r="CR60" s="407">
        <v>3.1031289600528922E-2</v>
      </c>
      <c r="CS60" s="407">
        <v>0</v>
      </c>
      <c r="CT60" s="407">
        <v>0</v>
      </c>
      <c r="CU60" s="407">
        <v>0</v>
      </c>
      <c r="CV60" s="407">
        <v>0</v>
      </c>
      <c r="CW60" s="407">
        <v>0</v>
      </c>
      <c r="CX60" s="407">
        <v>0</v>
      </c>
      <c r="CY60" s="407">
        <v>0</v>
      </c>
      <c r="CZ60" s="407">
        <v>7.4570383870579793E-2</v>
      </c>
      <c r="DA60" s="407">
        <v>0</v>
      </c>
      <c r="DB60" s="407">
        <v>0</v>
      </c>
      <c r="DC60" s="407">
        <v>-5.2297352753438275E-2</v>
      </c>
      <c r="DD60" s="407">
        <v>0</v>
      </c>
      <c r="DE60" s="407">
        <v>0</v>
      </c>
      <c r="DF60" s="407">
        <v>0</v>
      </c>
      <c r="DG60" s="407">
        <v>-1.2352895983907708E-2</v>
      </c>
      <c r="DH60" s="407">
        <v>0</v>
      </c>
      <c r="DI60" s="407">
        <v>1.8081575264860872E-2</v>
      </c>
      <c r="DJ60" s="407"/>
      <c r="DK60" s="407">
        <v>0</v>
      </c>
      <c r="DL60" s="407">
        <v>0</v>
      </c>
      <c r="DM60" s="407">
        <v>0</v>
      </c>
      <c r="DN60" s="407">
        <v>0</v>
      </c>
      <c r="DO60" s="407">
        <v>2.3430611329997436E-3</v>
      </c>
      <c r="DP60" s="407">
        <v>6.8651806943603733E-4</v>
      </c>
      <c r="DQ60" s="407">
        <v>0</v>
      </c>
      <c r="DR60" s="407">
        <v>0</v>
      </c>
      <c r="DS60" s="407"/>
      <c r="DT60" s="407"/>
      <c r="DU60" s="407"/>
      <c r="DV60" s="407">
        <v>-6.4761747476639453</v>
      </c>
      <c r="DW60" s="407">
        <v>0</v>
      </c>
      <c r="DX60" s="407">
        <v>0</v>
      </c>
      <c r="DY60" s="407">
        <v>1.9978399999999983</v>
      </c>
      <c r="DZ60" s="407">
        <v>-5.2260000000000195E-2</v>
      </c>
      <c r="EA60" s="407">
        <v>0</v>
      </c>
      <c r="EB60" s="407">
        <v>0</v>
      </c>
      <c r="EC60" s="407">
        <v>1.9144594837370725</v>
      </c>
      <c r="ED60" s="407">
        <v>0</v>
      </c>
      <c r="EE60" s="407">
        <v>0</v>
      </c>
      <c r="EF60" s="407">
        <v>0</v>
      </c>
      <c r="EG60" s="407">
        <v>0</v>
      </c>
      <c r="EH60" s="407">
        <v>0</v>
      </c>
      <c r="EI60" s="407">
        <v>0</v>
      </c>
      <c r="EJ60" s="407">
        <v>0</v>
      </c>
      <c r="EK60" s="407">
        <v>0</v>
      </c>
      <c r="EL60" s="407">
        <v>0</v>
      </c>
      <c r="EM60" s="407">
        <v>0</v>
      </c>
      <c r="EN60" s="407">
        <v>0</v>
      </c>
      <c r="EO60" s="407">
        <v>0</v>
      </c>
      <c r="EP60" s="407">
        <v>0</v>
      </c>
      <c r="EQ60" s="407">
        <v>0</v>
      </c>
      <c r="ER60" s="407">
        <v>0</v>
      </c>
      <c r="ES60" s="407">
        <v>0</v>
      </c>
      <c r="ET60" s="407">
        <v>0</v>
      </c>
      <c r="EU60" s="407">
        <v>0</v>
      </c>
      <c r="EV60" s="407">
        <v>207</v>
      </c>
      <c r="EW60" s="407">
        <v>0</v>
      </c>
      <c r="EX60" s="407">
        <v>0</v>
      </c>
      <c r="EY60" s="407">
        <v>0</v>
      </c>
      <c r="EZ60" s="407"/>
      <c r="FA60" s="407">
        <v>0</v>
      </c>
      <c r="FB60" s="407"/>
      <c r="FC60" s="407"/>
      <c r="FD60" s="407"/>
      <c r="FE60" s="407"/>
      <c r="FF60" s="407">
        <v>0</v>
      </c>
      <c r="FG60" s="407">
        <v>0</v>
      </c>
      <c r="FH60" s="407">
        <v>0</v>
      </c>
      <c r="FI60" s="407">
        <v>0</v>
      </c>
    </row>
    <row r="61" spans="1:165" customFormat="1">
      <c r="A61" s="407">
        <v>59</v>
      </c>
      <c r="B61" s="407" t="s">
        <v>2308</v>
      </c>
      <c r="C61" s="407" t="s">
        <v>2305</v>
      </c>
      <c r="D61" s="407" t="s">
        <v>1220</v>
      </c>
      <c r="E61" s="407" t="s">
        <v>1023</v>
      </c>
      <c r="F61" s="407" t="s">
        <v>1023</v>
      </c>
      <c r="G61" s="407" t="s">
        <v>96</v>
      </c>
      <c r="H61" s="407" t="s">
        <v>96</v>
      </c>
      <c r="I61" s="407" t="s">
        <v>96</v>
      </c>
      <c r="J61" s="407" t="s">
        <v>2306</v>
      </c>
      <c r="K61" s="815">
        <v>44470</v>
      </c>
      <c r="L61" s="407">
        <v>0</v>
      </c>
      <c r="M61" s="407">
        <v>0</v>
      </c>
      <c r="N61" s="407">
        <v>1.542</v>
      </c>
      <c r="O61" s="407">
        <v>1.542</v>
      </c>
      <c r="P61" s="407">
        <v>1.542</v>
      </c>
      <c r="Q61" s="407">
        <v>1.542</v>
      </c>
      <c r="R61" s="407"/>
      <c r="S61" s="407">
        <v>710.52</v>
      </c>
      <c r="T61" s="407">
        <v>127.85</v>
      </c>
      <c r="U61" s="407"/>
      <c r="V61" s="407">
        <v>1292.7665400000001</v>
      </c>
      <c r="W61" s="407">
        <v>1292.7665400000001</v>
      </c>
      <c r="X61" s="407">
        <v>1061.99082</v>
      </c>
      <c r="Y61" s="407">
        <v>0</v>
      </c>
      <c r="Z61" s="407">
        <v>94.177768188630694</v>
      </c>
      <c r="AA61" s="407">
        <v>0</v>
      </c>
      <c r="AB61" s="407">
        <v>0</v>
      </c>
      <c r="AC61" s="407">
        <v>0</v>
      </c>
      <c r="AD61" s="407">
        <v>168.60606497214553</v>
      </c>
      <c r="AE61" s="407">
        <v>768.17395853060032</v>
      </c>
      <c r="AF61" s="407">
        <v>197.14068493882252</v>
      </c>
      <c r="AG61" s="407">
        <v>0</v>
      </c>
      <c r="AH61" s="407">
        <v>0</v>
      </c>
      <c r="AI61" s="407">
        <v>0</v>
      </c>
      <c r="AJ61" s="407">
        <v>0</v>
      </c>
      <c r="AK61" s="407">
        <v>0</v>
      </c>
      <c r="AL61" s="407">
        <v>14.564648616450555</v>
      </c>
      <c r="AM61" s="407"/>
      <c r="AN61" s="407">
        <v>3.5323569965118304</v>
      </c>
      <c r="AO61" s="407">
        <v>0</v>
      </c>
      <c r="AP61" s="407">
        <v>0</v>
      </c>
      <c r="AQ61" s="407">
        <v>0</v>
      </c>
      <c r="AR61" s="407">
        <v>0</v>
      </c>
      <c r="AS61" s="407">
        <v>0</v>
      </c>
      <c r="AT61" s="407">
        <v>0</v>
      </c>
      <c r="AU61" s="407">
        <v>0</v>
      </c>
      <c r="AV61" s="407">
        <v>0</v>
      </c>
      <c r="AW61" s="407">
        <v>0</v>
      </c>
      <c r="AX61" s="407">
        <v>0</v>
      </c>
      <c r="AY61" s="407">
        <v>0</v>
      </c>
      <c r="AZ61" s="407">
        <v>0</v>
      </c>
      <c r="BA61" s="407"/>
      <c r="BB61" s="407">
        <v>0</v>
      </c>
      <c r="BC61" s="407">
        <v>0</v>
      </c>
      <c r="BD61" s="407">
        <v>0</v>
      </c>
      <c r="BE61" s="407">
        <v>0</v>
      </c>
      <c r="BF61" s="407">
        <v>0</v>
      </c>
      <c r="BG61" s="407">
        <v>46.56561464452929</v>
      </c>
      <c r="BH61" s="407">
        <v>0</v>
      </c>
      <c r="BI61" s="407">
        <v>5.35</v>
      </c>
      <c r="BJ61" s="407">
        <v>24.98</v>
      </c>
      <c r="BK61" s="407">
        <v>746.9</v>
      </c>
      <c r="BL61" s="407">
        <v>12</v>
      </c>
      <c r="BM61" s="407"/>
      <c r="BN61" s="407"/>
      <c r="BO61" s="407"/>
      <c r="BP61" s="407"/>
      <c r="BQ61" s="407"/>
      <c r="BR61" s="407"/>
      <c r="BS61" s="407"/>
      <c r="BT61" s="407"/>
      <c r="BU61" s="407"/>
      <c r="BV61" s="407">
        <v>243.70629958335181</v>
      </c>
      <c r="BW61" s="407"/>
      <c r="BX61" s="407"/>
      <c r="BY61" s="407"/>
      <c r="BZ61" s="407"/>
      <c r="CA61" s="407"/>
      <c r="CB61" s="407"/>
      <c r="CC61" s="407"/>
      <c r="CD61" s="407"/>
      <c r="CE61" s="407"/>
      <c r="CF61" s="407"/>
      <c r="CG61" s="407"/>
      <c r="CH61" s="407"/>
      <c r="CI61" s="407">
        <v>1060.6134000000002</v>
      </c>
      <c r="CJ61" s="407">
        <v>-232.18313999999987</v>
      </c>
      <c r="CK61" s="407"/>
      <c r="CL61" s="407"/>
      <c r="CM61" s="407"/>
      <c r="CN61" s="407"/>
      <c r="CO61" s="407">
        <v>-236.97455999999994</v>
      </c>
      <c r="CP61" s="407">
        <v>6.1988400000000157</v>
      </c>
      <c r="CQ61" s="407">
        <v>31</v>
      </c>
      <c r="CR61" s="407">
        <v>-3.6807883510782631</v>
      </c>
      <c r="CS61" s="407">
        <v>0</v>
      </c>
      <c r="CT61" s="407">
        <v>0</v>
      </c>
      <c r="CU61" s="407">
        <v>0</v>
      </c>
      <c r="CV61" s="407">
        <v>0</v>
      </c>
      <c r="CW61" s="407">
        <v>0</v>
      </c>
      <c r="CX61" s="407">
        <v>0</v>
      </c>
      <c r="CY61" s="407">
        <v>0</v>
      </c>
      <c r="CZ61" s="407">
        <v>-8.8451947637257149</v>
      </c>
      <c r="DA61" s="407">
        <v>0</v>
      </c>
      <c r="DB61" s="407">
        <v>0</v>
      </c>
      <c r="DC61" s="407">
        <v>6.2032706112155438</v>
      </c>
      <c r="DD61" s="407">
        <v>0</v>
      </c>
      <c r="DE61" s="407">
        <v>0</v>
      </c>
      <c r="DF61" s="407">
        <v>0</v>
      </c>
      <c r="DG61" s="407">
        <v>1.4652435082450523</v>
      </c>
      <c r="DH61" s="407">
        <v>0</v>
      </c>
      <c r="DI61" s="407">
        <v>-2.1447530044935093</v>
      </c>
      <c r="DJ61" s="407"/>
      <c r="DK61" s="407">
        <v>0</v>
      </c>
      <c r="DL61" s="407">
        <v>0</v>
      </c>
      <c r="DM61" s="407">
        <v>0</v>
      </c>
      <c r="DN61" s="407">
        <v>0</v>
      </c>
      <c r="DO61" s="407">
        <v>-0.27792309746812194</v>
      </c>
      <c r="DP61" s="407">
        <v>-8.1431604851566419E-2</v>
      </c>
      <c r="DQ61" s="407">
        <v>0</v>
      </c>
      <c r="DR61" s="407">
        <v>0</v>
      </c>
      <c r="DS61" s="407"/>
      <c r="DT61" s="407"/>
      <c r="DU61" s="407"/>
      <c r="DV61" s="407">
        <v>768.17395853060032</v>
      </c>
      <c r="DW61" s="407">
        <v>0</v>
      </c>
      <c r="DX61" s="407">
        <v>0</v>
      </c>
      <c r="DY61" s="407">
        <v>-236.97456</v>
      </c>
      <c r="DZ61" s="407">
        <v>6.1988400000000183</v>
      </c>
      <c r="EA61" s="407">
        <v>0</v>
      </c>
      <c r="EB61" s="407">
        <v>0</v>
      </c>
      <c r="EC61" s="407">
        <v>-227.08434799404347</v>
      </c>
      <c r="ED61" s="407">
        <v>0</v>
      </c>
      <c r="EE61" s="407">
        <v>0</v>
      </c>
      <c r="EF61" s="407">
        <v>0</v>
      </c>
      <c r="EG61" s="407">
        <v>0</v>
      </c>
      <c r="EH61" s="407">
        <v>0</v>
      </c>
      <c r="EI61" s="407">
        <v>0</v>
      </c>
      <c r="EJ61" s="407">
        <v>0</v>
      </c>
      <c r="EK61" s="407">
        <v>0</v>
      </c>
      <c r="EL61" s="407">
        <v>0</v>
      </c>
      <c r="EM61" s="407">
        <v>0</v>
      </c>
      <c r="EN61" s="407">
        <v>0</v>
      </c>
      <c r="EO61" s="407">
        <v>0</v>
      </c>
      <c r="EP61" s="407">
        <v>0</v>
      </c>
      <c r="EQ61" s="407">
        <v>0</v>
      </c>
      <c r="ER61" s="407">
        <v>0</v>
      </c>
      <c r="ES61" s="407">
        <v>0</v>
      </c>
      <c r="ET61" s="407">
        <v>0</v>
      </c>
      <c r="EU61" s="407">
        <v>0</v>
      </c>
      <c r="EV61" s="407">
        <v>207</v>
      </c>
      <c r="EW61" s="407">
        <v>0</v>
      </c>
      <c r="EX61" s="407">
        <v>0</v>
      </c>
      <c r="EY61" s="407">
        <v>0</v>
      </c>
      <c r="EZ61" s="407"/>
      <c r="FA61" s="407">
        <v>0</v>
      </c>
      <c r="FB61" s="407"/>
      <c r="FC61" s="407"/>
      <c r="FD61" s="407"/>
      <c r="FE61" s="407"/>
      <c r="FF61" s="407">
        <v>0</v>
      </c>
      <c r="FG61" s="407">
        <v>0</v>
      </c>
      <c r="FH61" s="407">
        <v>0</v>
      </c>
      <c r="FI61" s="407">
        <v>0</v>
      </c>
    </row>
    <row r="62" spans="1:165" customFormat="1">
      <c r="A62" s="407">
        <v>60</v>
      </c>
      <c r="B62" s="407" t="s">
        <v>1092</v>
      </c>
      <c r="C62" s="407" t="s">
        <v>2305</v>
      </c>
      <c r="D62" s="407" t="s">
        <v>1220</v>
      </c>
      <c r="E62" s="407" t="s">
        <v>1023</v>
      </c>
      <c r="F62" s="407" t="s">
        <v>2309</v>
      </c>
      <c r="G62" s="407" t="s">
        <v>96</v>
      </c>
      <c r="H62" s="407" t="s">
        <v>96</v>
      </c>
      <c r="I62" s="407" t="s">
        <v>96</v>
      </c>
      <c r="J62" s="407" t="s">
        <v>2306</v>
      </c>
      <c r="K62" s="815">
        <v>44470</v>
      </c>
      <c r="L62" s="407">
        <v>0</v>
      </c>
      <c r="M62" s="407">
        <v>0</v>
      </c>
      <c r="N62" s="407">
        <v>4.0199999999999996</v>
      </c>
      <c r="O62" s="407">
        <v>4.0199999999999996</v>
      </c>
      <c r="P62" s="407">
        <v>4.0199999999999996</v>
      </c>
      <c r="Q62" s="407">
        <v>4.0199999999999996</v>
      </c>
      <c r="R62" s="407"/>
      <c r="S62" s="407">
        <v>640</v>
      </c>
      <c r="T62" s="407">
        <v>127.85</v>
      </c>
      <c r="U62" s="407"/>
      <c r="V62" s="407">
        <v>3086.7569999999996</v>
      </c>
      <c r="W62" s="407">
        <v>3086.7569999999996</v>
      </c>
      <c r="X62" s="407">
        <v>2491.4351999999999</v>
      </c>
      <c r="Y62" s="407">
        <v>0</v>
      </c>
      <c r="Z62" s="407">
        <v>0</v>
      </c>
      <c r="AA62" s="407">
        <v>0</v>
      </c>
      <c r="AB62" s="407">
        <v>0</v>
      </c>
      <c r="AC62" s="407">
        <v>0</v>
      </c>
      <c r="AD62" s="407">
        <v>439.55666743711083</v>
      </c>
      <c r="AE62" s="407">
        <v>2002.6324988930046</v>
      </c>
      <c r="AF62" s="407">
        <v>513.9465327198875</v>
      </c>
      <c r="AG62" s="407">
        <v>0</v>
      </c>
      <c r="AH62" s="407">
        <v>0</v>
      </c>
      <c r="AI62" s="407">
        <v>0</v>
      </c>
      <c r="AJ62" s="407">
        <v>0</v>
      </c>
      <c r="AK62" s="407">
        <v>0</v>
      </c>
      <c r="AL62" s="407">
        <v>0</v>
      </c>
      <c r="AM62" s="407"/>
      <c r="AN62" s="407">
        <v>9.208868434486094</v>
      </c>
      <c r="AO62" s="407">
        <v>0</v>
      </c>
      <c r="AP62" s="407">
        <v>0</v>
      </c>
      <c r="AQ62" s="407">
        <v>0</v>
      </c>
      <c r="AR62" s="407">
        <v>0</v>
      </c>
      <c r="AS62" s="407">
        <v>0</v>
      </c>
      <c r="AT62" s="407">
        <v>0</v>
      </c>
      <c r="AU62" s="407">
        <v>0</v>
      </c>
      <c r="AV62" s="407">
        <v>0</v>
      </c>
      <c r="AW62" s="407">
        <v>0</v>
      </c>
      <c r="AX62" s="407">
        <v>0</v>
      </c>
      <c r="AY62" s="407">
        <v>0</v>
      </c>
      <c r="AZ62" s="407">
        <v>0</v>
      </c>
      <c r="BA62" s="407"/>
      <c r="BB62" s="407">
        <v>0</v>
      </c>
      <c r="BC62" s="407">
        <v>0</v>
      </c>
      <c r="BD62" s="407">
        <v>0</v>
      </c>
      <c r="BE62" s="407">
        <v>0</v>
      </c>
      <c r="BF62" s="407">
        <v>0</v>
      </c>
      <c r="BG62" s="407">
        <v>121.39673856744989</v>
      </c>
      <c r="BH62" s="407">
        <v>0</v>
      </c>
      <c r="BI62" s="407">
        <v>16.920000000000002</v>
      </c>
      <c r="BJ62" s="407">
        <v>78.150000000000006</v>
      </c>
      <c r="BK62" s="407">
        <v>610.21</v>
      </c>
      <c r="BL62" s="407">
        <v>3</v>
      </c>
      <c r="BM62" s="407"/>
      <c r="BN62" s="407"/>
      <c r="BO62" s="407"/>
      <c r="BP62" s="407"/>
      <c r="BQ62" s="407"/>
      <c r="BR62" s="407"/>
      <c r="BS62" s="407"/>
      <c r="BT62" s="407">
        <v>1619.4569999999999</v>
      </c>
      <c r="BU62" s="407"/>
      <c r="BV62" s="407">
        <v>635.34327128733742</v>
      </c>
      <c r="BW62" s="407"/>
      <c r="BX62" s="407"/>
      <c r="BY62" s="407"/>
      <c r="BZ62" s="407"/>
      <c r="CA62" s="407"/>
      <c r="CB62" s="407"/>
      <c r="CC62" s="407"/>
      <c r="CD62" s="407"/>
      <c r="CE62" s="407"/>
      <c r="CF62" s="407"/>
      <c r="CG62" s="407"/>
      <c r="CH62" s="407"/>
      <c r="CI62" s="407">
        <v>871.97819999999979</v>
      </c>
      <c r="CJ62" s="407">
        <v>-208.42680000000018</v>
      </c>
      <c r="CK62" s="407"/>
      <c r="CL62" s="407"/>
      <c r="CM62" s="407"/>
      <c r="CN62" s="407"/>
      <c r="CO62" s="407">
        <v>-611.48220000000003</v>
      </c>
      <c r="CP62" s="407">
        <v>16.160400000000038</v>
      </c>
      <c r="CQ62" s="407">
        <v>31</v>
      </c>
      <c r="CR62" s="407">
        <v>-3.2799035288255709</v>
      </c>
      <c r="CS62" s="407">
        <v>0</v>
      </c>
      <c r="CT62" s="407">
        <v>0</v>
      </c>
      <c r="CU62" s="407">
        <v>0</v>
      </c>
      <c r="CV62" s="407">
        <v>0</v>
      </c>
      <c r="CW62" s="407">
        <v>0</v>
      </c>
      <c r="CX62" s="407">
        <v>0</v>
      </c>
      <c r="CY62" s="407">
        <v>0</v>
      </c>
      <c r="CZ62" s="407">
        <v>-23.059457166133143</v>
      </c>
      <c r="DA62" s="407">
        <v>0</v>
      </c>
      <c r="DB62" s="407">
        <v>0</v>
      </c>
      <c r="DC62" s="407">
        <v>16.171950620678558</v>
      </c>
      <c r="DD62" s="407">
        <v>0</v>
      </c>
      <c r="DE62" s="407">
        <v>0</v>
      </c>
      <c r="DF62" s="407">
        <v>0</v>
      </c>
      <c r="DG62" s="407">
        <v>3.8198955273314539</v>
      </c>
      <c r="DH62" s="407">
        <v>0</v>
      </c>
      <c r="DI62" s="407">
        <v>0</v>
      </c>
      <c r="DJ62" s="407"/>
      <c r="DK62" s="407">
        <v>0</v>
      </c>
      <c r="DL62" s="407">
        <v>0</v>
      </c>
      <c r="DM62" s="407">
        <v>0</v>
      </c>
      <c r="DN62" s="407">
        <v>0</v>
      </c>
      <c r="DO62" s="407">
        <v>0</v>
      </c>
      <c r="DP62" s="407">
        <v>-0.21229251070252708</v>
      </c>
      <c r="DQ62" s="407">
        <v>0</v>
      </c>
      <c r="DR62" s="407">
        <v>0</v>
      </c>
      <c r="DS62" s="407"/>
      <c r="DT62" s="407"/>
      <c r="DU62" s="407"/>
      <c r="DV62" s="407">
        <v>2002.6324988930046</v>
      </c>
      <c r="DW62" s="407">
        <v>0</v>
      </c>
      <c r="DX62" s="407">
        <v>0</v>
      </c>
      <c r="DY62" s="407">
        <v>-611.48219999999992</v>
      </c>
      <c r="DZ62" s="407">
        <v>16.160400000000095</v>
      </c>
      <c r="EA62" s="407">
        <v>0</v>
      </c>
      <c r="EB62" s="407">
        <v>0</v>
      </c>
      <c r="EC62" s="407">
        <v>-592.0097788171563</v>
      </c>
      <c r="ED62" s="407">
        <v>0</v>
      </c>
      <c r="EE62" s="407">
        <v>0</v>
      </c>
      <c r="EF62" s="407">
        <v>0</v>
      </c>
      <c r="EG62" s="407">
        <v>0</v>
      </c>
      <c r="EH62" s="407">
        <v>0</v>
      </c>
      <c r="EI62" s="407">
        <v>0</v>
      </c>
      <c r="EJ62" s="407">
        <v>0</v>
      </c>
      <c r="EK62" s="407">
        <v>0</v>
      </c>
      <c r="EL62" s="407">
        <v>0</v>
      </c>
      <c r="EM62" s="407">
        <v>0</v>
      </c>
      <c r="EN62" s="407">
        <v>0</v>
      </c>
      <c r="EO62" s="407">
        <v>0</v>
      </c>
      <c r="EP62" s="407">
        <v>0</v>
      </c>
      <c r="EQ62" s="407">
        <v>0</v>
      </c>
      <c r="ER62" s="407">
        <v>0</v>
      </c>
      <c r="ES62" s="407">
        <v>0</v>
      </c>
      <c r="ET62" s="407">
        <v>0</v>
      </c>
      <c r="EU62" s="407">
        <v>0</v>
      </c>
      <c r="EV62" s="407">
        <v>207</v>
      </c>
      <c r="EW62" s="407">
        <v>0</v>
      </c>
      <c r="EX62" s="407">
        <v>0</v>
      </c>
      <c r="EY62" s="407">
        <v>0</v>
      </c>
      <c r="EZ62" s="407"/>
      <c r="FA62" s="407">
        <v>0</v>
      </c>
      <c r="FB62" s="407"/>
      <c r="FC62" s="407"/>
      <c r="FD62" s="407"/>
      <c r="FE62" s="407"/>
      <c r="FF62" s="407">
        <v>0</v>
      </c>
      <c r="FG62" s="407">
        <v>0</v>
      </c>
      <c r="FH62" s="407">
        <v>0</v>
      </c>
      <c r="FI62" s="407">
        <v>0</v>
      </c>
    </row>
    <row r="63" spans="1:165" customFormat="1">
      <c r="A63" s="407">
        <v>61</v>
      </c>
      <c r="B63" s="407" t="s">
        <v>1092</v>
      </c>
      <c r="C63" s="407" t="s">
        <v>2305</v>
      </c>
      <c r="D63" s="407" t="s">
        <v>1220</v>
      </c>
      <c r="E63" s="407" t="s">
        <v>1023</v>
      </c>
      <c r="F63" s="407" t="s">
        <v>2310</v>
      </c>
      <c r="G63" s="407" t="s">
        <v>96</v>
      </c>
      <c r="H63" s="407" t="s">
        <v>96</v>
      </c>
      <c r="I63" s="407" t="s">
        <v>96</v>
      </c>
      <c r="J63" s="407" t="s">
        <v>2306</v>
      </c>
      <c r="K63" s="815">
        <v>44470</v>
      </c>
      <c r="L63" s="407">
        <v>0</v>
      </c>
      <c r="M63" s="407">
        <v>0</v>
      </c>
      <c r="N63" s="407">
        <v>8.9440000000000008</v>
      </c>
      <c r="O63" s="407">
        <v>8.9440000000000008</v>
      </c>
      <c r="P63" s="407">
        <v>8.9440000000000008</v>
      </c>
      <c r="Q63" s="407">
        <v>8.9440000000000008</v>
      </c>
      <c r="R63" s="407"/>
      <c r="S63" s="407">
        <v>640</v>
      </c>
      <c r="T63" s="407">
        <v>127.85</v>
      </c>
      <c r="U63" s="407"/>
      <c r="V63" s="407">
        <v>6867.6504000000004</v>
      </c>
      <c r="W63" s="407">
        <v>6867.6504000000004</v>
      </c>
      <c r="X63" s="407">
        <v>5543.1334400000005</v>
      </c>
      <c r="Y63" s="407">
        <v>0</v>
      </c>
      <c r="Z63" s="407">
        <v>0</v>
      </c>
      <c r="AA63" s="407">
        <v>0</v>
      </c>
      <c r="AB63" s="407">
        <v>0</v>
      </c>
      <c r="AC63" s="407">
        <v>0</v>
      </c>
      <c r="AD63" s="407">
        <v>977.95891382027867</v>
      </c>
      <c r="AE63" s="407">
        <v>4455.6082263927956</v>
      </c>
      <c r="AF63" s="407">
        <v>1143.4671116036504</v>
      </c>
      <c r="AG63" s="407">
        <v>0</v>
      </c>
      <c r="AH63" s="407">
        <v>0</v>
      </c>
      <c r="AI63" s="407">
        <v>0</v>
      </c>
      <c r="AJ63" s="407">
        <v>0</v>
      </c>
      <c r="AK63" s="407">
        <v>0</v>
      </c>
      <c r="AL63" s="407">
        <v>0</v>
      </c>
      <c r="AM63" s="407"/>
      <c r="AN63" s="407">
        <v>20.488586885085482</v>
      </c>
      <c r="AO63" s="407">
        <v>0</v>
      </c>
      <c r="AP63" s="407">
        <v>0</v>
      </c>
      <c r="AQ63" s="407">
        <v>0</v>
      </c>
      <c r="AR63" s="407">
        <v>0</v>
      </c>
      <c r="AS63" s="407">
        <v>0</v>
      </c>
      <c r="AT63" s="407">
        <v>0</v>
      </c>
      <c r="AU63" s="407">
        <v>0</v>
      </c>
      <c r="AV63" s="407">
        <v>0</v>
      </c>
      <c r="AW63" s="407">
        <v>0</v>
      </c>
      <c r="AX63" s="407">
        <v>0</v>
      </c>
      <c r="AY63" s="407">
        <v>0</v>
      </c>
      <c r="AZ63" s="407">
        <v>0</v>
      </c>
      <c r="BA63" s="407"/>
      <c r="BB63" s="407">
        <v>0</v>
      </c>
      <c r="BC63" s="407">
        <v>0</v>
      </c>
      <c r="BD63" s="407">
        <v>0</v>
      </c>
      <c r="BE63" s="407">
        <v>0</v>
      </c>
      <c r="BF63" s="407">
        <v>0</v>
      </c>
      <c r="BG63" s="407">
        <v>270.09264421573931</v>
      </c>
      <c r="BH63" s="407">
        <v>0</v>
      </c>
      <c r="BI63" s="407">
        <v>37.700000000000003</v>
      </c>
      <c r="BJ63" s="407">
        <v>176.6</v>
      </c>
      <c r="BK63" s="407">
        <v>1426.87</v>
      </c>
      <c r="BL63" s="407">
        <v>10</v>
      </c>
      <c r="BM63" s="407"/>
      <c r="BN63" s="407"/>
      <c r="BO63" s="407"/>
      <c r="BP63" s="407"/>
      <c r="BQ63" s="407"/>
      <c r="BR63" s="407"/>
      <c r="BS63" s="407"/>
      <c r="BT63" s="407">
        <v>2217.2175999999999</v>
      </c>
      <c r="BU63" s="407"/>
      <c r="BV63" s="407">
        <v>1413.5597558193897</v>
      </c>
      <c r="BW63" s="407"/>
      <c r="BX63" s="407"/>
      <c r="BY63" s="407"/>
      <c r="BZ63" s="407"/>
      <c r="CA63" s="407"/>
      <c r="CB63" s="407"/>
      <c r="CC63" s="407"/>
      <c r="CD63" s="407"/>
      <c r="CE63" s="407"/>
      <c r="CF63" s="407"/>
      <c r="CG63" s="407"/>
      <c r="CH63" s="407"/>
      <c r="CI63" s="407">
        <v>3324.4284000000002</v>
      </c>
      <c r="CJ63" s="407">
        <v>-796.19184000000087</v>
      </c>
      <c r="CK63" s="407"/>
      <c r="CL63" s="407"/>
      <c r="CM63" s="407"/>
      <c r="CN63" s="407"/>
      <c r="CO63" s="407">
        <v>-1360.4718400000002</v>
      </c>
      <c r="CP63" s="407">
        <v>35.954880000000095</v>
      </c>
      <c r="CQ63" s="407">
        <v>31</v>
      </c>
      <c r="CR63" s="407">
        <v>-7.2973774034371672</v>
      </c>
      <c r="CS63" s="407">
        <v>0</v>
      </c>
      <c r="CT63" s="407">
        <v>0</v>
      </c>
      <c r="CU63" s="407">
        <v>0</v>
      </c>
      <c r="CV63" s="407">
        <v>0</v>
      </c>
      <c r="CW63" s="407">
        <v>0</v>
      </c>
      <c r="CX63" s="407">
        <v>0</v>
      </c>
      <c r="CY63" s="407">
        <v>0</v>
      </c>
      <c r="CZ63" s="407">
        <v>-51.304424102958933</v>
      </c>
      <c r="DA63" s="407">
        <v>0</v>
      </c>
      <c r="DB63" s="407">
        <v>0</v>
      </c>
      <c r="DC63" s="407">
        <v>35.980578694365477</v>
      </c>
      <c r="DD63" s="407">
        <v>0</v>
      </c>
      <c r="DE63" s="407">
        <v>0</v>
      </c>
      <c r="DF63" s="407">
        <v>0</v>
      </c>
      <c r="DG63" s="407">
        <v>8.4987924369285111</v>
      </c>
      <c r="DH63" s="407">
        <v>0</v>
      </c>
      <c r="DI63" s="407">
        <v>0</v>
      </c>
      <c r="DJ63" s="407"/>
      <c r="DK63" s="407">
        <v>0</v>
      </c>
      <c r="DL63" s="407">
        <v>0</v>
      </c>
      <c r="DM63" s="407">
        <v>0</v>
      </c>
      <c r="DN63" s="407">
        <v>0</v>
      </c>
      <c r="DO63" s="407">
        <v>0</v>
      </c>
      <c r="DP63" s="407">
        <v>-0.47232443177199102</v>
      </c>
      <c r="DQ63" s="407">
        <v>0</v>
      </c>
      <c r="DR63" s="407">
        <v>0</v>
      </c>
      <c r="DS63" s="407"/>
      <c r="DT63" s="407"/>
      <c r="DU63" s="407"/>
      <c r="DV63" s="407">
        <v>4455.6082263927956</v>
      </c>
      <c r="DW63" s="407">
        <v>0</v>
      </c>
      <c r="DX63" s="407">
        <v>0</v>
      </c>
      <c r="DY63" s="407">
        <v>-1360.4718400000002</v>
      </c>
      <c r="DZ63" s="407">
        <v>35.954880000000003</v>
      </c>
      <c r="EA63" s="407">
        <v>0</v>
      </c>
      <c r="EB63" s="407">
        <v>0</v>
      </c>
      <c r="EC63" s="407">
        <v>-1317.1481248111068</v>
      </c>
      <c r="ED63" s="407">
        <v>0</v>
      </c>
      <c r="EE63" s="407">
        <v>0</v>
      </c>
      <c r="EF63" s="407">
        <v>0</v>
      </c>
      <c r="EG63" s="407">
        <v>0</v>
      </c>
      <c r="EH63" s="407">
        <v>0</v>
      </c>
      <c r="EI63" s="407">
        <v>0</v>
      </c>
      <c r="EJ63" s="407">
        <v>0</v>
      </c>
      <c r="EK63" s="407">
        <v>0</v>
      </c>
      <c r="EL63" s="407">
        <v>0</v>
      </c>
      <c r="EM63" s="407">
        <v>0</v>
      </c>
      <c r="EN63" s="407">
        <v>0</v>
      </c>
      <c r="EO63" s="407">
        <v>0</v>
      </c>
      <c r="EP63" s="407">
        <v>0</v>
      </c>
      <c r="EQ63" s="407">
        <v>0</v>
      </c>
      <c r="ER63" s="407">
        <v>0</v>
      </c>
      <c r="ES63" s="407">
        <v>0</v>
      </c>
      <c r="ET63" s="407">
        <v>0</v>
      </c>
      <c r="EU63" s="407">
        <v>0</v>
      </c>
      <c r="EV63" s="407">
        <v>207</v>
      </c>
      <c r="EW63" s="407">
        <v>0</v>
      </c>
      <c r="EX63" s="407">
        <v>0</v>
      </c>
      <c r="EY63" s="407">
        <v>0</v>
      </c>
      <c r="EZ63" s="407"/>
      <c r="FA63" s="407">
        <v>0</v>
      </c>
      <c r="FB63" s="407"/>
      <c r="FC63" s="407"/>
      <c r="FD63" s="407"/>
      <c r="FE63" s="407"/>
      <c r="FF63" s="407">
        <v>0</v>
      </c>
      <c r="FG63" s="407">
        <v>0</v>
      </c>
      <c r="FH63" s="407">
        <v>0</v>
      </c>
      <c r="FI63" s="407">
        <v>0</v>
      </c>
    </row>
    <row r="64" spans="1:165" customFormat="1">
      <c r="A64" s="407">
        <v>62</v>
      </c>
      <c r="B64" s="407" t="s">
        <v>1092</v>
      </c>
      <c r="C64" s="407" t="s">
        <v>2305</v>
      </c>
      <c r="D64" s="407" t="s">
        <v>1220</v>
      </c>
      <c r="E64" s="407" t="s">
        <v>1023</v>
      </c>
      <c r="F64" s="407" t="s">
        <v>2311</v>
      </c>
      <c r="G64" s="407" t="s">
        <v>96</v>
      </c>
      <c r="H64" s="407" t="s">
        <v>96</v>
      </c>
      <c r="I64" s="407" t="s">
        <v>96</v>
      </c>
      <c r="J64" s="407" t="s">
        <v>2306</v>
      </c>
      <c r="K64" s="815">
        <v>44470</v>
      </c>
      <c r="L64" s="407">
        <v>0</v>
      </c>
      <c r="M64" s="407">
        <v>0</v>
      </c>
      <c r="N64" s="407">
        <v>10.034000000000001</v>
      </c>
      <c r="O64" s="407">
        <v>10.034000000000001</v>
      </c>
      <c r="P64" s="407">
        <v>10.034000000000001</v>
      </c>
      <c r="Q64" s="407">
        <v>10.034000000000001</v>
      </c>
      <c r="R64" s="407"/>
      <c r="S64" s="407">
        <v>640</v>
      </c>
      <c r="T64" s="407">
        <v>127.85</v>
      </c>
      <c r="U64" s="407"/>
      <c r="V64" s="407">
        <v>7704.6069000000007</v>
      </c>
      <c r="W64" s="407">
        <v>7704.6069000000007</v>
      </c>
      <c r="X64" s="407">
        <v>6218.67184</v>
      </c>
      <c r="Y64" s="407">
        <v>0</v>
      </c>
      <c r="Z64" s="407">
        <v>0</v>
      </c>
      <c r="AA64" s="407">
        <v>0</v>
      </c>
      <c r="AB64" s="407">
        <v>0</v>
      </c>
      <c r="AC64" s="407">
        <v>0</v>
      </c>
      <c r="AD64" s="407">
        <v>1097.1421893193958</v>
      </c>
      <c r="AE64" s="407">
        <v>4998.6105706200033</v>
      </c>
      <c r="AF64" s="407">
        <v>1282.8207734605353</v>
      </c>
      <c r="AG64" s="407">
        <v>0</v>
      </c>
      <c r="AH64" s="407">
        <v>0</v>
      </c>
      <c r="AI64" s="407">
        <v>0</v>
      </c>
      <c r="AJ64" s="407">
        <v>0</v>
      </c>
      <c r="AK64" s="407">
        <v>0</v>
      </c>
      <c r="AL64" s="407">
        <v>0</v>
      </c>
      <c r="AM64" s="407"/>
      <c r="AN64" s="407">
        <v>22.985518873540666</v>
      </c>
      <c r="AO64" s="407">
        <v>0</v>
      </c>
      <c r="AP64" s="407">
        <v>0</v>
      </c>
      <c r="AQ64" s="407">
        <v>0</v>
      </c>
      <c r="AR64" s="407">
        <v>0</v>
      </c>
      <c r="AS64" s="407">
        <v>0</v>
      </c>
      <c r="AT64" s="407">
        <v>0</v>
      </c>
      <c r="AU64" s="407">
        <v>0</v>
      </c>
      <c r="AV64" s="407">
        <v>0</v>
      </c>
      <c r="AW64" s="407">
        <v>0</v>
      </c>
      <c r="AX64" s="407">
        <v>0</v>
      </c>
      <c r="AY64" s="407">
        <v>0</v>
      </c>
      <c r="AZ64" s="407">
        <v>0</v>
      </c>
      <c r="BA64" s="407"/>
      <c r="BB64" s="407">
        <v>0</v>
      </c>
      <c r="BC64" s="407">
        <v>0</v>
      </c>
      <c r="BD64" s="407">
        <v>0</v>
      </c>
      <c r="BE64" s="407">
        <v>0</v>
      </c>
      <c r="BF64" s="407">
        <v>0</v>
      </c>
      <c r="BG64" s="407">
        <v>303.00867531984881</v>
      </c>
      <c r="BH64" s="407">
        <v>0</v>
      </c>
      <c r="BI64" s="407">
        <v>52.75</v>
      </c>
      <c r="BJ64" s="407">
        <v>243.93</v>
      </c>
      <c r="BK64" s="407">
        <v>2314.13</v>
      </c>
      <c r="BL64" s="407">
        <v>78</v>
      </c>
      <c r="BM64" s="407"/>
      <c r="BN64" s="407"/>
      <c r="BO64" s="407"/>
      <c r="BP64" s="407"/>
      <c r="BQ64" s="407"/>
      <c r="BR64" s="407"/>
      <c r="BS64" s="407"/>
      <c r="BT64" s="407">
        <v>621.90731999999969</v>
      </c>
      <c r="BU64" s="407"/>
      <c r="BV64" s="407">
        <v>1585.8294487803842</v>
      </c>
      <c r="BW64" s="407"/>
      <c r="BX64" s="407"/>
      <c r="BY64" s="407"/>
      <c r="BZ64" s="407"/>
      <c r="CA64" s="407"/>
      <c r="CB64" s="407"/>
      <c r="CC64" s="407"/>
      <c r="CD64" s="407"/>
      <c r="CE64" s="407"/>
      <c r="CF64" s="407"/>
      <c r="CG64" s="407"/>
      <c r="CH64" s="407"/>
      <c r="CI64" s="407">
        <v>5594.5334000000003</v>
      </c>
      <c r="CJ64" s="407">
        <v>-1339.5926400000008</v>
      </c>
      <c r="CK64" s="407"/>
      <c r="CL64" s="407"/>
      <c r="CM64" s="407"/>
      <c r="CN64" s="407"/>
      <c r="CO64" s="407">
        <v>-1526.2717400000001</v>
      </c>
      <c r="CP64" s="407">
        <v>40.336680000000108</v>
      </c>
      <c r="CQ64" s="407">
        <v>31</v>
      </c>
      <c r="CR64" s="407">
        <v>-8.1867044796608752</v>
      </c>
      <c r="CS64" s="407">
        <v>0</v>
      </c>
      <c r="CT64" s="407">
        <v>0</v>
      </c>
      <c r="CU64" s="407">
        <v>0</v>
      </c>
      <c r="CV64" s="407">
        <v>0</v>
      </c>
      <c r="CW64" s="407">
        <v>0</v>
      </c>
      <c r="CX64" s="407">
        <v>0</v>
      </c>
      <c r="CY64" s="407">
        <v>0</v>
      </c>
      <c r="CZ64" s="407">
        <v>-57.556863981338438</v>
      </c>
      <c r="DA64" s="407">
        <v>0</v>
      </c>
      <c r="DB64" s="407">
        <v>0</v>
      </c>
      <c r="DC64" s="407">
        <v>40.365510579076727</v>
      </c>
      <c r="DD64" s="407">
        <v>0</v>
      </c>
      <c r="DE64" s="407">
        <v>0</v>
      </c>
      <c r="DF64" s="407">
        <v>0</v>
      </c>
      <c r="DG64" s="407">
        <v>9.5345352540408044</v>
      </c>
      <c r="DH64" s="407">
        <v>0</v>
      </c>
      <c r="DI64" s="407">
        <v>0</v>
      </c>
      <c r="DJ64" s="407"/>
      <c r="DK64" s="407">
        <v>0</v>
      </c>
      <c r="DL64" s="407">
        <v>0</v>
      </c>
      <c r="DM64" s="407">
        <v>0</v>
      </c>
      <c r="DN64" s="407">
        <v>0</v>
      </c>
      <c r="DO64" s="407">
        <v>0</v>
      </c>
      <c r="DP64" s="407">
        <v>-0.52988633144008901</v>
      </c>
      <c r="DQ64" s="407">
        <v>0</v>
      </c>
      <c r="DR64" s="407">
        <v>0</v>
      </c>
      <c r="DS64" s="407"/>
      <c r="DT64" s="407"/>
      <c r="DU64" s="407"/>
      <c r="DV64" s="407">
        <v>4998.6105706200033</v>
      </c>
      <c r="DW64" s="407">
        <v>0</v>
      </c>
      <c r="DX64" s="407">
        <v>0</v>
      </c>
      <c r="DY64" s="407">
        <v>-1526.2717400000001</v>
      </c>
      <c r="DZ64" s="407">
        <v>40.336680000000115</v>
      </c>
      <c r="EA64" s="407">
        <v>0</v>
      </c>
      <c r="EB64" s="407">
        <v>0</v>
      </c>
      <c r="EC64" s="407">
        <v>-1477.6681892167535</v>
      </c>
      <c r="ED64" s="407">
        <v>0</v>
      </c>
      <c r="EE64" s="407">
        <v>0</v>
      </c>
      <c r="EF64" s="407">
        <v>0</v>
      </c>
      <c r="EG64" s="407">
        <v>0</v>
      </c>
      <c r="EH64" s="407">
        <v>0</v>
      </c>
      <c r="EI64" s="407">
        <v>0</v>
      </c>
      <c r="EJ64" s="407">
        <v>0</v>
      </c>
      <c r="EK64" s="407">
        <v>0</v>
      </c>
      <c r="EL64" s="407">
        <v>0</v>
      </c>
      <c r="EM64" s="407">
        <v>0</v>
      </c>
      <c r="EN64" s="407">
        <v>0</v>
      </c>
      <c r="EO64" s="407">
        <v>0</v>
      </c>
      <c r="EP64" s="407">
        <v>0</v>
      </c>
      <c r="EQ64" s="407">
        <v>0</v>
      </c>
      <c r="ER64" s="407">
        <v>0</v>
      </c>
      <c r="ES64" s="407">
        <v>0</v>
      </c>
      <c r="ET64" s="407">
        <v>0</v>
      </c>
      <c r="EU64" s="407">
        <v>0</v>
      </c>
      <c r="EV64" s="407">
        <v>207</v>
      </c>
      <c r="EW64" s="407">
        <v>0</v>
      </c>
      <c r="EX64" s="407">
        <v>0</v>
      </c>
      <c r="EY64" s="407">
        <v>0</v>
      </c>
      <c r="EZ64" s="407"/>
      <c r="FA64" s="407">
        <v>0</v>
      </c>
      <c r="FB64" s="407"/>
      <c r="FC64" s="407"/>
      <c r="FD64" s="407"/>
      <c r="FE64" s="407"/>
      <c r="FF64" s="407">
        <v>0</v>
      </c>
      <c r="FG64" s="407">
        <v>0</v>
      </c>
      <c r="FH64" s="407">
        <v>0</v>
      </c>
      <c r="FI64" s="407">
        <v>0</v>
      </c>
    </row>
    <row r="65" spans="1:165" customFormat="1">
      <c r="A65" s="407">
        <v>63</v>
      </c>
      <c r="B65" s="407" t="s">
        <v>1092</v>
      </c>
      <c r="C65" s="407" t="s">
        <v>2305</v>
      </c>
      <c r="D65" s="407" t="s">
        <v>1220</v>
      </c>
      <c r="E65" s="407" t="s">
        <v>1023</v>
      </c>
      <c r="F65" s="407" t="s">
        <v>2312</v>
      </c>
      <c r="G65" s="407" t="s">
        <v>96</v>
      </c>
      <c r="H65" s="407" t="s">
        <v>96</v>
      </c>
      <c r="I65" s="407" t="s">
        <v>96</v>
      </c>
      <c r="J65" s="407" t="s">
        <v>2306</v>
      </c>
      <c r="K65" s="815">
        <v>44470</v>
      </c>
      <c r="L65" s="407">
        <v>0</v>
      </c>
      <c r="M65" s="407">
        <v>0</v>
      </c>
      <c r="N65" s="407">
        <v>3.6389999999999998</v>
      </c>
      <c r="O65" s="407">
        <v>3.6389999999999998</v>
      </c>
      <c r="P65" s="407">
        <v>3.6389999999999998</v>
      </c>
      <c r="Q65" s="407">
        <v>3.6389999999999998</v>
      </c>
      <c r="R65" s="407"/>
      <c r="S65" s="407">
        <v>640</v>
      </c>
      <c r="T65" s="407">
        <v>127.85</v>
      </c>
      <c r="U65" s="407"/>
      <c r="V65" s="407">
        <v>2794.20615</v>
      </c>
      <c r="W65" s="407">
        <v>2794.20615</v>
      </c>
      <c r="X65" s="407">
        <v>2255.3066399999998</v>
      </c>
      <c r="Y65" s="407">
        <v>0</v>
      </c>
      <c r="Z65" s="407">
        <v>0</v>
      </c>
      <c r="AA65" s="407">
        <v>0</v>
      </c>
      <c r="AB65" s="407">
        <v>0</v>
      </c>
      <c r="AC65" s="407">
        <v>0</v>
      </c>
      <c r="AD65" s="407">
        <v>397.89719223971304</v>
      </c>
      <c r="AE65" s="407">
        <v>1812.8307620576229</v>
      </c>
      <c r="AF65" s="407">
        <v>465.23667476807725</v>
      </c>
      <c r="AG65" s="407">
        <v>0</v>
      </c>
      <c r="AH65" s="407">
        <v>0</v>
      </c>
      <c r="AI65" s="407">
        <v>0</v>
      </c>
      <c r="AJ65" s="407">
        <v>0</v>
      </c>
      <c r="AK65" s="407">
        <v>0</v>
      </c>
      <c r="AL65" s="407">
        <v>0</v>
      </c>
      <c r="AM65" s="407"/>
      <c r="AN65" s="407">
        <v>8.3360876201728598</v>
      </c>
      <c r="AO65" s="407">
        <v>0</v>
      </c>
      <c r="AP65" s="407">
        <v>0</v>
      </c>
      <c r="AQ65" s="407">
        <v>0</v>
      </c>
      <c r="AR65" s="407">
        <v>0</v>
      </c>
      <c r="AS65" s="407">
        <v>0</v>
      </c>
      <c r="AT65" s="407">
        <v>0</v>
      </c>
      <c r="AU65" s="407">
        <v>0</v>
      </c>
      <c r="AV65" s="407">
        <v>0</v>
      </c>
      <c r="AW65" s="407">
        <v>0</v>
      </c>
      <c r="AX65" s="407">
        <v>0</v>
      </c>
      <c r="AY65" s="407">
        <v>0</v>
      </c>
      <c r="AZ65" s="407">
        <v>0</v>
      </c>
      <c r="BA65" s="407"/>
      <c r="BB65" s="407">
        <v>0</v>
      </c>
      <c r="BC65" s="407">
        <v>0</v>
      </c>
      <c r="BD65" s="407">
        <v>0</v>
      </c>
      <c r="BE65" s="407">
        <v>0</v>
      </c>
      <c r="BF65" s="407">
        <v>0</v>
      </c>
      <c r="BG65" s="407">
        <v>109.89122677784829</v>
      </c>
      <c r="BH65" s="407">
        <v>0</v>
      </c>
      <c r="BI65" s="407">
        <v>26.6</v>
      </c>
      <c r="BJ65" s="407">
        <v>123.03</v>
      </c>
      <c r="BK65" s="407">
        <v>1505.23</v>
      </c>
      <c r="BL65" s="407">
        <v>43</v>
      </c>
      <c r="BM65" s="407"/>
      <c r="BN65" s="407"/>
      <c r="BO65" s="407"/>
      <c r="BP65" s="407"/>
      <c r="BQ65" s="407"/>
      <c r="BR65" s="407"/>
      <c r="BS65" s="407"/>
      <c r="BT65" s="407"/>
      <c r="BU65" s="407"/>
      <c r="BV65" s="407">
        <v>575.12790154592551</v>
      </c>
      <c r="BW65" s="407"/>
      <c r="BX65" s="407"/>
      <c r="BY65" s="407"/>
      <c r="BZ65" s="407"/>
      <c r="CA65" s="407"/>
      <c r="CB65" s="407"/>
      <c r="CC65" s="407"/>
      <c r="CD65" s="407"/>
      <c r="CE65" s="407"/>
      <c r="CF65" s="407"/>
      <c r="CG65" s="407"/>
      <c r="CH65" s="407"/>
      <c r="CI65" s="407">
        <v>2255.9263999999998</v>
      </c>
      <c r="CJ65" s="407">
        <v>-538.3097500000008</v>
      </c>
      <c r="CK65" s="407"/>
      <c r="CL65" s="407"/>
      <c r="CM65" s="407"/>
      <c r="CN65" s="407"/>
      <c r="CO65" s="407">
        <v>-553.52828999999997</v>
      </c>
      <c r="CP65" s="407">
        <v>14.628780000000036</v>
      </c>
      <c r="CQ65" s="407">
        <v>31</v>
      </c>
      <c r="CR65" s="407">
        <v>-2.9690470003473592</v>
      </c>
      <c r="CS65" s="407">
        <v>0</v>
      </c>
      <c r="CT65" s="407">
        <v>0</v>
      </c>
      <c r="CU65" s="407">
        <v>0</v>
      </c>
      <c r="CV65" s="407">
        <v>0</v>
      </c>
      <c r="CW65" s="407">
        <v>0</v>
      </c>
      <c r="CX65" s="407">
        <v>0</v>
      </c>
      <c r="CY65" s="407">
        <v>0</v>
      </c>
      <c r="CZ65" s="407">
        <v>-20.873971300387666</v>
      </c>
      <c r="DA65" s="407">
        <v>0</v>
      </c>
      <c r="DB65" s="407">
        <v>0</v>
      </c>
      <c r="DC65" s="407">
        <v>14.639235897673984</v>
      </c>
      <c r="DD65" s="407">
        <v>0</v>
      </c>
      <c r="DE65" s="407">
        <v>0</v>
      </c>
      <c r="DF65" s="407">
        <v>0</v>
      </c>
      <c r="DG65" s="407">
        <v>3.4578606527261684</v>
      </c>
      <c r="DH65" s="407">
        <v>0</v>
      </c>
      <c r="DI65" s="407">
        <v>0</v>
      </c>
      <c r="DJ65" s="407"/>
      <c r="DK65" s="407">
        <v>0</v>
      </c>
      <c r="DL65" s="407">
        <v>0</v>
      </c>
      <c r="DM65" s="407">
        <v>0</v>
      </c>
      <c r="DN65" s="407">
        <v>0</v>
      </c>
      <c r="DO65" s="407">
        <v>0</v>
      </c>
      <c r="DP65" s="407">
        <v>-0.19217225035982466</v>
      </c>
      <c r="DQ65" s="407">
        <v>0</v>
      </c>
      <c r="DR65" s="407">
        <v>0</v>
      </c>
      <c r="DS65" s="407"/>
      <c r="DT65" s="407"/>
      <c r="DU65" s="407"/>
      <c r="DV65" s="407">
        <v>1812.8307620576229</v>
      </c>
      <c r="DW65" s="407">
        <v>0</v>
      </c>
      <c r="DX65" s="407">
        <v>0</v>
      </c>
      <c r="DY65" s="407">
        <v>-553.5282900000002</v>
      </c>
      <c r="DZ65" s="407">
        <v>14.628780000000063</v>
      </c>
      <c r="EA65" s="407">
        <v>0</v>
      </c>
      <c r="EB65" s="407">
        <v>0</v>
      </c>
      <c r="EC65" s="407">
        <v>-535.90138933224671</v>
      </c>
      <c r="ED65" s="407">
        <v>0</v>
      </c>
      <c r="EE65" s="407">
        <v>0</v>
      </c>
      <c r="EF65" s="407">
        <v>0</v>
      </c>
      <c r="EG65" s="407">
        <v>0</v>
      </c>
      <c r="EH65" s="407">
        <v>0</v>
      </c>
      <c r="EI65" s="407">
        <v>0</v>
      </c>
      <c r="EJ65" s="407">
        <v>0</v>
      </c>
      <c r="EK65" s="407">
        <v>0</v>
      </c>
      <c r="EL65" s="407">
        <v>0</v>
      </c>
      <c r="EM65" s="407">
        <v>0</v>
      </c>
      <c r="EN65" s="407">
        <v>0</v>
      </c>
      <c r="EO65" s="407">
        <v>0</v>
      </c>
      <c r="EP65" s="407">
        <v>0</v>
      </c>
      <c r="EQ65" s="407">
        <v>0</v>
      </c>
      <c r="ER65" s="407">
        <v>0</v>
      </c>
      <c r="ES65" s="407">
        <v>0</v>
      </c>
      <c r="ET65" s="407">
        <v>0</v>
      </c>
      <c r="EU65" s="407">
        <v>0</v>
      </c>
      <c r="EV65" s="407">
        <v>207</v>
      </c>
      <c r="EW65" s="407">
        <v>0</v>
      </c>
      <c r="EX65" s="407">
        <v>0</v>
      </c>
      <c r="EY65" s="407">
        <v>0</v>
      </c>
      <c r="EZ65" s="407"/>
      <c r="FA65" s="407">
        <v>0</v>
      </c>
      <c r="FB65" s="407"/>
      <c r="FC65" s="407"/>
      <c r="FD65" s="407"/>
      <c r="FE65" s="407"/>
      <c r="FF65" s="407">
        <v>0</v>
      </c>
      <c r="FG65" s="407">
        <v>0</v>
      </c>
      <c r="FH65" s="407">
        <v>0</v>
      </c>
      <c r="FI65" s="407">
        <v>0</v>
      </c>
    </row>
    <row r="66" spans="1:165" customFormat="1">
      <c r="A66" s="407">
        <v>64</v>
      </c>
      <c r="B66" s="407" t="s">
        <v>1092</v>
      </c>
      <c r="C66" s="407" t="s">
        <v>2313</v>
      </c>
      <c r="D66" s="407" t="s">
        <v>1220</v>
      </c>
      <c r="E66" s="407" t="s">
        <v>1023</v>
      </c>
      <c r="F66" s="407" t="s">
        <v>1023</v>
      </c>
      <c r="G66" s="407" t="s">
        <v>96</v>
      </c>
      <c r="H66" s="407" t="s">
        <v>96</v>
      </c>
      <c r="I66" s="407" t="s">
        <v>1027</v>
      </c>
      <c r="J66" s="407" t="s">
        <v>2306</v>
      </c>
      <c r="K66" s="815">
        <v>44470</v>
      </c>
      <c r="L66" s="407">
        <v>0</v>
      </c>
      <c r="M66" s="407">
        <v>0</v>
      </c>
      <c r="N66" s="407">
        <v>2.4E-2</v>
      </c>
      <c r="O66" s="407">
        <v>2.4E-2</v>
      </c>
      <c r="P66" s="407">
        <v>2.4E-2</v>
      </c>
      <c r="Q66" s="407">
        <v>2.4E-2</v>
      </c>
      <c r="R66" s="407"/>
      <c r="S66" s="407">
        <v>1864.71</v>
      </c>
      <c r="T66" s="407">
        <v>127.85</v>
      </c>
      <c r="U66" s="407"/>
      <c r="V66" s="407">
        <v>47.821439999999996</v>
      </c>
      <c r="W66" s="407">
        <v>47.821439999999996</v>
      </c>
      <c r="X66" s="407">
        <v>37.253039999999999</v>
      </c>
      <c r="Y66" s="407">
        <v>0</v>
      </c>
      <c r="Z66" s="407">
        <v>1.4658018395117618</v>
      </c>
      <c r="AA66" s="407">
        <v>0</v>
      </c>
      <c r="AB66" s="407">
        <v>0</v>
      </c>
      <c r="AC66" s="407">
        <v>0</v>
      </c>
      <c r="AD66" s="407">
        <v>7.6084638515626315</v>
      </c>
      <c r="AE66" s="407">
        <v>34.672448901600717</v>
      </c>
      <c r="AF66" s="407">
        <v>3.0683375087754481</v>
      </c>
      <c r="AG66" s="407">
        <v>0</v>
      </c>
      <c r="AH66" s="407">
        <v>0</v>
      </c>
      <c r="AI66" s="407">
        <v>0</v>
      </c>
      <c r="AJ66" s="407">
        <v>0</v>
      </c>
      <c r="AK66" s="407">
        <v>0</v>
      </c>
      <c r="AL66" s="407">
        <v>0.22668713799923043</v>
      </c>
      <c r="AM66" s="407"/>
      <c r="AN66" s="407">
        <v>5.4978319011857284E-2</v>
      </c>
      <c r="AO66" s="407">
        <v>0</v>
      </c>
      <c r="AP66" s="407">
        <v>0</v>
      </c>
      <c r="AQ66" s="407">
        <v>0</v>
      </c>
      <c r="AR66" s="407">
        <v>0</v>
      </c>
      <c r="AS66" s="407">
        <v>0</v>
      </c>
      <c r="AT66" s="407">
        <v>0</v>
      </c>
      <c r="AU66" s="407">
        <v>0</v>
      </c>
      <c r="AV66" s="407">
        <v>0</v>
      </c>
      <c r="AW66" s="407">
        <v>0</v>
      </c>
      <c r="AX66" s="407">
        <v>0</v>
      </c>
      <c r="AY66" s="407">
        <v>0</v>
      </c>
      <c r="AZ66" s="407">
        <v>0</v>
      </c>
      <c r="BA66" s="407"/>
      <c r="BB66" s="407">
        <v>0</v>
      </c>
      <c r="BC66" s="407">
        <v>0</v>
      </c>
      <c r="BD66" s="407">
        <v>0</v>
      </c>
      <c r="BE66" s="407">
        <v>0</v>
      </c>
      <c r="BF66" s="407">
        <v>0</v>
      </c>
      <c r="BG66" s="407">
        <v>0.72475664816387997</v>
      </c>
      <c r="BH66" s="407">
        <v>0</v>
      </c>
      <c r="BI66" s="407">
        <v>0</v>
      </c>
      <c r="BJ66" s="407">
        <v>0</v>
      </c>
      <c r="BK66" s="407">
        <v>0</v>
      </c>
      <c r="BL66" s="407">
        <v>0</v>
      </c>
      <c r="BM66" s="407"/>
      <c r="BN66" s="407"/>
      <c r="BO66" s="407"/>
      <c r="BP66" s="407"/>
      <c r="BQ66" s="407"/>
      <c r="BR66" s="407"/>
      <c r="BS66" s="407"/>
      <c r="BT66" s="407"/>
      <c r="BU66" s="407"/>
      <c r="BV66" s="407">
        <v>3.7930941569393282</v>
      </c>
      <c r="BW66" s="407"/>
      <c r="BX66" s="407"/>
      <c r="BY66" s="407"/>
      <c r="BZ66" s="407"/>
      <c r="CA66" s="407"/>
      <c r="CB66" s="407"/>
      <c r="CC66" s="407"/>
      <c r="CD66" s="407"/>
      <c r="CE66" s="407"/>
      <c r="CF66" s="407"/>
      <c r="CG66" s="407"/>
      <c r="CH66" s="407"/>
      <c r="CI66" s="407">
        <v>31.0442</v>
      </c>
      <c r="CJ66" s="407">
        <v>-16.80723999999999</v>
      </c>
      <c r="CK66" s="407"/>
      <c r="CL66" s="407"/>
      <c r="CM66" s="407"/>
      <c r="CN66" s="407"/>
      <c r="CO66" s="407">
        <v>-10.664880000000004</v>
      </c>
      <c r="CP66" s="407">
        <v>9.6480000000000246E-2</v>
      </c>
      <c r="CQ66" s="407">
        <v>31</v>
      </c>
      <c r="CR66" s="407">
        <v>-0.31876558925296372</v>
      </c>
      <c r="CS66" s="407">
        <v>0</v>
      </c>
      <c r="CT66" s="407">
        <v>0</v>
      </c>
      <c r="CU66" s="407">
        <v>0</v>
      </c>
      <c r="CV66" s="407">
        <v>0</v>
      </c>
      <c r="CW66" s="407">
        <v>0</v>
      </c>
      <c r="CX66" s="407">
        <v>0</v>
      </c>
      <c r="CY66" s="407">
        <v>0</v>
      </c>
      <c r="CZ66" s="407">
        <v>-0.39914545559767056</v>
      </c>
      <c r="DA66" s="407">
        <v>0</v>
      </c>
      <c r="DB66" s="407">
        <v>0</v>
      </c>
      <c r="DC66" s="407">
        <v>9.6548958929424167E-2</v>
      </c>
      <c r="DD66" s="407">
        <v>0</v>
      </c>
      <c r="DE66" s="407">
        <v>0</v>
      </c>
      <c r="DF66" s="407">
        <v>0</v>
      </c>
      <c r="DG66" s="407">
        <v>2.2805346431829632E-2</v>
      </c>
      <c r="DH66" s="407">
        <v>0</v>
      </c>
      <c r="DI66" s="407">
        <v>-3.338136971974337E-2</v>
      </c>
      <c r="DJ66" s="407"/>
      <c r="DK66" s="407">
        <v>0</v>
      </c>
      <c r="DL66" s="407">
        <v>0</v>
      </c>
      <c r="DM66" s="407">
        <v>0</v>
      </c>
      <c r="DN66" s="407">
        <v>0</v>
      </c>
      <c r="DO66" s="407">
        <v>-4.3256513224610438E-3</v>
      </c>
      <c r="DP66" s="407">
        <v>-1.2674179743434461E-3</v>
      </c>
      <c r="DQ66" s="407">
        <v>0</v>
      </c>
      <c r="DR66" s="407">
        <v>0</v>
      </c>
      <c r="DS66" s="407"/>
      <c r="DT66" s="407"/>
      <c r="DU66" s="407"/>
      <c r="DV66" s="407">
        <v>34.672448901600717</v>
      </c>
      <c r="DW66" s="407">
        <v>0</v>
      </c>
      <c r="DX66" s="407">
        <v>0</v>
      </c>
      <c r="DY66" s="407">
        <v>-10.664879999999997</v>
      </c>
      <c r="DZ66" s="407">
        <v>9.6480000000000121E-2</v>
      </c>
      <c r="EA66" s="407">
        <v>0</v>
      </c>
      <c r="EB66" s="407">
        <v>0</v>
      </c>
      <c r="EC66" s="407">
        <v>-10.249723210140715</v>
      </c>
      <c r="ED66" s="407">
        <v>0</v>
      </c>
      <c r="EE66" s="407">
        <v>0</v>
      </c>
      <c r="EF66" s="407">
        <v>0</v>
      </c>
      <c r="EG66" s="407">
        <v>0</v>
      </c>
      <c r="EH66" s="407">
        <v>0</v>
      </c>
      <c r="EI66" s="407">
        <v>0</v>
      </c>
      <c r="EJ66" s="407">
        <v>0</v>
      </c>
      <c r="EK66" s="407">
        <v>0</v>
      </c>
      <c r="EL66" s="407">
        <v>0</v>
      </c>
      <c r="EM66" s="407">
        <v>0</v>
      </c>
      <c r="EN66" s="407">
        <v>0</v>
      </c>
      <c r="EO66" s="407">
        <v>0</v>
      </c>
      <c r="EP66" s="407">
        <v>0</v>
      </c>
      <c r="EQ66" s="407">
        <v>0</v>
      </c>
      <c r="ER66" s="407">
        <v>0</v>
      </c>
      <c r="ES66" s="407">
        <v>0</v>
      </c>
      <c r="ET66" s="407">
        <v>0</v>
      </c>
      <c r="EU66" s="407">
        <v>0</v>
      </c>
      <c r="EV66" s="407">
        <v>207</v>
      </c>
      <c r="EW66" s="407">
        <v>0</v>
      </c>
      <c r="EX66" s="407">
        <v>0</v>
      </c>
      <c r="EY66" s="407">
        <v>0</v>
      </c>
      <c r="EZ66" s="407"/>
      <c r="FA66" s="407">
        <v>0</v>
      </c>
      <c r="FB66" s="407"/>
      <c r="FC66" s="407"/>
      <c r="FD66" s="407"/>
      <c r="FE66" s="407"/>
      <c r="FF66" s="407">
        <v>0</v>
      </c>
      <c r="FG66" s="407">
        <v>0</v>
      </c>
      <c r="FH66" s="407">
        <v>0</v>
      </c>
      <c r="FI66" s="407">
        <v>0</v>
      </c>
    </row>
    <row r="67" spans="1:165" customFormat="1">
      <c r="A67" s="407">
        <v>65</v>
      </c>
      <c r="B67" s="407" t="s">
        <v>1092</v>
      </c>
      <c r="C67" s="407" t="s">
        <v>2313</v>
      </c>
      <c r="D67" s="407" t="s">
        <v>1220</v>
      </c>
      <c r="E67" s="407" t="s">
        <v>1023</v>
      </c>
      <c r="F67" s="407" t="s">
        <v>1023</v>
      </c>
      <c r="G67" s="407" t="s">
        <v>96</v>
      </c>
      <c r="H67" s="407" t="s">
        <v>96</v>
      </c>
      <c r="I67" s="407" t="s">
        <v>2290</v>
      </c>
      <c r="J67" s="407" t="s">
        <v>2306</v>
      </c>
      <c r="K67" s="815">
        <v>44470</v>
      </c>
      <c r="L67" s="407">
        <v>0</v>
      </c>
      <c r="M67" s="407">
        <v>0</v>
      </c>
      <c r="N67" s="407">
        <v>0.247</v>
      </c>
      <c r="O67" s="407">
        <v>0.247</v>
      </c>
      <c r="P67" s="407">
        <v>0.247</v>
      </c>
      <c r="Q67" s="407">
        <v>0.247</v>
      </c>
      <c r="R67" s="407"/>
      <c r="S67" s="407">
        <v>455.34</v>
      </c>
      <c r="T67" s="407">
        <v>127.85</v>
      </c>
      <c r="U67" s="407"/>
      <c r="V67" s="407">
        <v>144.04792999999998</v>
      </c>
      <c r="W67" s="407">
        <v>144.04792999999998</v>
      </c>
      <c r="X67" s="407">
        <v>122.95660000000001</v>
      </c>
      <c r="Y67" s="407">
        <v>0</v>
      </c>
      <c r="Z67" s="407">
        <v>15.08554393164188</v>
      </c>
      <c r="AA67" s="407">
        <v>0</v>
      </c>
      <c r="AB67" s="407">
        <v>0</v>
      </c>
      <c r="AC67" s="407">
        <v>0</v>
      </c>
      <c r="AD67" s="407">
        <v>15.658317803200971</v>
      </c>
      <c r="AE67" s="407">
        <v>71.367418645111613</v>
      </c>
      <c r="AF67" s="407">
        <v>31.578306861147318</v>
      </c>
      <c r="AG67" s="407">
        <v>0</v>
      </c>
      <c r="AH67" s="407">
        <v>0</v>
      </c>
      <c r="AI67" s="407">
        <v>0</v>
      </c>
      <c r="AJ67" s="407">
        <v>0</v>
      </c>
      <c r="AK67" s="407">
        <v>0</v>
      </c>
      <c r="AL67" s="407">
        <v>2.3329884619087462</v>
      </c>
      <c r="AM67" s="407"/>
      <c r="AN67" s="407">
        <v>0.5658185331636979</v>
      </c>
      <c r="AO67" s="407">
        <v>0</v>
      </c>
      <c r="AP67" s="407">
        <v>0</v>
      </c>
      <c r="AQ67" s="407">
        <v>0</v>
      </c>
      <c r="AR67" s="407">
        <v>0</v>
      </c>
      <c r="AS67" s="407">
        <v>0</v>
      </c>
      <c r="AT67" s="407">
        <v>0</v>
      </c>
      <c r="AU67" s="407">
        <v>0</v>
      </c>
      <c r="AV67" s="407">
        <v>0</v>
      </c>
      <c r="AW67" s="407">
        <v>0</v>
      </c>
      <c r="AX67" s="407">
        <v>0</v>
      </c>
      <c r="AY67" s="407">
        <v>0</v>
      </c>
      <c r="AZ67" s="407">
        <v>0</v>
      </c>
      <c r="BA67" s="407"/>
      <c r="BB67" s="407">
        <v>0</v>
      </c>
      <c r="BC67" s="407">
        <v>0</v>
      </c>
      <c r="BD67" s="407">
        <v>0</v>
      </c>
      <c r="BE67" s="407">
        <v>0</v>
      </c>
      <c r="BF67" s="407">
        <v>0</v>
      </c>
      <c r="BG67" s="407">
        <v>7.4589538373532642</v>
      </c>
      <c r="BH67" s="407">
        <v>0</v>
      </c>
      <c r="BI67" s="407">
        <v>0</v>
      </c>
      <c r="BJ67" s="407">
        <v>0</v>
      </c>
      <c r="BK67" s="407">
        <v>0</v>
      </c>
      <c r="BL67" s="407">
        <v>0</v>
      </c>
      <c r="BM67" s="407"/>
      <c r="BN67" s="407"/>
      <c r="BO67" s="407"/>
      <c r="BP67" s="407"/>
      <c r="BQ67" s="407"/>
      <c r="BR67" s="407"/>
      <c r="BS67" s="407"/>
      <c r="BT67" s="407"/>
      <c r="BU67" s="407"/>
      <c r="BV67" s="407">
        <v>39.037260698500582</v>
      </c>
      <c r="BW67" s="407"/>
      <c r="BX67" s="407"/>
      <c r="BY67" s="407"/>
      <c r="BZ67" s="407"/>
      <c r="CA67" s="407"/>
      <c r="CB67" s="407"/>
      <c r="CC67" s="407"/>
      <c r="CD67" s="407"/>
      <c r="CE67" s="407"/>
      <c r="CF67" s="407"/>
      <c r="CG67" s="407"/>
      <c r="CH67" s="407"/>
      <c r="CI67" s="407">
        <v>124.45</v>
      </c>
      <c r="CJ67" s="407">
        <v>-19.627929999999978</v>
      </c>
      <c r="CK67" s="407"/>
      <c r="CL67" s="407"/>
      <c r="CM67" s="407"/>
      <c r="CN67" s="407"/>
      <c r="CO67" s="407">
        <v>-22.084269999999993</v>
      </c>
      <c r="CP67" s="407">
        <v>0.99294000000000249</v>
      </c>
      <c r="CQ67" s="407">
        <v>31</v>
      </c>
      <c r="CR67" s="407">
        <v>5.7962395818407231E-3</v>
      </c>
      <c r="CS67" s="407">
        <v>0</v>
      </c>
      <c r="CT67" s="407">
        <v>0</v>
      </c>
      <c r="CU67" s="407">
        <v>0</v>
      </c>
      <c r="CV67" s="407">
        <v>0</v>
      </c>
      <c r="CW67" s="407">
        <v>0</v>
      </c>
      <c r="CX67" s="407">
        <v>0</v>
      </c>
      <c r="CY67" s="407">
        <v>0</v>
      </c>
      <c r="CZ67" s="407">
        <v>-0.82144655154909607</v>
      </c>
      <c r="DA67" s="407">
        <v>0</v>
      </c>
      <c r="DB67" s="407">
        <v>0</v>
      </c>
      <c r="DC67" s="407">
        <v>0.99364970231532368</v>
      </c>
      <c r="DD67" s="407">
        <v>0</v>
      </c>
      <c r="DE67" s="407">
        <v>0</v>
      </c>
      <c r="DF67" s="407">
        <v>0</v>
      </c>
      <c r="DG67" s="407">
        <v>0.23470502369424651</v>
      </c>
      <c r="DH67" s="407">
        <v>0</v>
      </c>
      <c r="DI67" s="407">
        <v>-0.34354993003235634</v>
      </c>
      <c r="DJ67" s="407"/>
      <c r="DK67" s="407">
        <v>0</v>
      </c>
      <c r="DL67" s="407">
        <v>0</v>
      </c>
      <c r="DM67" s="407">
        <v>0</v>
      </c>
      <c r="DN67" s="407">
        <v>0</v>
      </c>
      <c r="DO67" s="407">
        <v>-4.4518161526994948E-2</v>
      </c>
      <c r="DP67" s="407">
        <v>-1.3043843319284654E-2</v>
      </c>
      <c r="DQ67" s="407">
        <v>0</v>
      </c>
      <c r="DR67" s="407">
        <v>0</v>
      </c>
      <c r="DS67" s="407"/>
      <c r="DT67" s="407"/>
      <c r="DU67" s="407"/>
      <c r="DV67" s="407">
        <v>71.367418645111613</v>
      </c>
      <c r="DW67" s="407">
        <v>0</v>
      </c>
      <c r="DX67" s="407">
        <v>0</v>
      </c>
      <c r="DY67" s="407">
        <v>-22.084269999999989</v>
      </c>
      <c r="DZ67" s="407">
        <v>0.99294000000000437</v>
      </c>
      <c r="EA67" s="407">
        <v>0</v>
      </c>
      <c r="EB67" s="407">
        <v>0</v>
      </c>
      <c r="EC67" s="407">
        <v>-21.097335507237794</v>
      </c>
      <c r="ED67" s="407">
        <v>0</v>
      </c>
      <c r="EE67" s="407">
        <v>0</v>
      </c>
      <c r="EF67" s="407">
        <v>0</v>
      </c>
      <c r="EG67" s="407">
        <v>0</v>
      </c>
      <c r="EH67" s="407">
        <v>0</v>
      </c>
      <c r="EI67" s="407">
        <v>0</v>
      </c>
      <c r="EJ67" s="407">
        <v>0</v>
      </c>
      <c r="EK67" s="407">
        <v>0</v>
      </c>
      <c r="EL67" s="407">
        <v>0</v>
      </c>
      <c r="EM67" s="407">
        <v>0</v>
      </c>
      <c r="EN67" s="407">
        <v>0</v>
      </c>
      <c r="EO67" s="407">
        <v>0</v>
      </c>
      <c r="EP67" s="407">
        <v>0</v>
      </c>
      <c r="EQ67" s="407">
        <v>0</v>
      </c>
      <c r="ER67" s="407">
        <v>0</v>
      </c>
      <c r="ES67" s="407">
        <v>0</v>
      </c>
      <c r="ET67" s="407">
        <v>0</v>
      </c>
      <c r="EU67" s="407">
        <v>0</v>
      </c>
      <c r="EV67" s="407">
        <v>207</v>
      </c>
      <c r="EW67" s="407">
        <v>0</v>
      </c>
      <c r="EX67" s="407">
        <v>0</v>
      </c>
      <c r="EY67" s="407">
        <v>0</v>
      </c>
      <c r="EZ67" s="407"/>
      <c r="FA67" s="407">
        <v>0</v>
      </c>
      <c r="FB67" s="407"/>
      <c r="FC67" s="407"/>
      <c r="FD67" s="407"/>
      <c r="FE67" s="407"/>
      <c r="FF67" s="407">
        <v>0</v>
      </c>
      <c r="FG67" s="407">
        <v>0</v>
      </c>
      <c r="FH67" s="407">
        <v>0</v>
      </c>
      <c r="FI67" s="407">
        <v>0</v>
      </c>
    </row>
    <row r="68" spans="1:165" customFormat="1">
      <c r="A68" s="407">
        <v>66</v>
      </c>
      <c r="B68" s="407" t="s">
        <v>1092</v>
      </c>
      <c r="C68" s="407" t="s">
        <v>2313</v>
      </c>
      <c r="D68" s="407" t="s">
        <v>1220</v>
      </c>
      <c r="E68" s="407" t="s">
        <v>1023</v>
      </c>
      <c r="F68" s="407" t="s">
        <v>1023</v>
      </c>
      <c r="G68" s="407" t="s">
        <v>96</v>
      </c>
      <c r="H68" s="407" t="s">
        <v>96</v>
      </c>
      <c r="I68" s="407" t="s">
        <v>96</v>
      </c>
      <c r="J68" s="407" t="s">
        <v>2306</v>
      </c>
      <c r="K68" s="815">
        <v>44470</v>
      </c>
      <c r="L68" s="407">
        <v>0</v>
      </c>
      <c r="M68" s="407">
        <v>0</v>
      </c>
      <c r="N68" s="407">
        <v>0</v>
      </c>
      <c r="O68" s="407">
        <v>0</v>
      </c>
      <c r="P68" s="407">
        <v>0</v>
      </c>
      <c r="Q68" s="407">
        <v>0</v>
      </c>
      <c r="R68" s="407"/>
      <c r="S68" s="407"/>
      <c r="T68" s="407"/>
      <c r="U68" s="407"/>
      <c r="V68" s="407"/>
      <c r="W68" s="407"/>
      <c r="X68" s="407"/>
      <c r="Y68" s="407"/>
      <c r="Z68" s="407"/>
      <c r="AA68" s="407">
        <v>0</v>
      </c>
      <c r="AB68" s="407"/>
      <c r="AC68" s="407"/>
      <c r="AD68" s="407"/>
      <c r="AE68" s="407"/>
      <c r="AF68" s="407"/>
      <c r="AG68" s="407"/>
      <c r="AH68" s="407"/>
      <c r="AI68" s="407"/>
      <c r="AJ68" s="407"/>
      <c r="AK68" s="407"/>
      <c r="AL68" s="407"/>
      <c r="AM68" s="407"/>
      <c r="AN68" s="407"/>
      <c r="AO68" s="407"/>
      <c r="AP68" s="407"/>
      <c r="AQ68" s="407"/>
      <c r="AR68" s="407"/>
      <c r="AS68" s="407"/>
      <c r="AT68" s="407"/>
      <c r="AU68" s="407"/>
      <c r="AV68" s="407"/>
      <c r="AW68" s="407"/>
      <c r="AX68" s="407"/>
      <c r="AY68" s="407"/>
      <c r="AZ68" s="407">
        <v>0</v>
      </c>
      <c r="BA68" s="407"/>
      <c r="BB68" s="407"/>
      <c r="BC68" s="407"/>
      <c r="BD68" s="407"/>
      <c r="BE68" s="407"/>
      <c r="BF68" s="407"/>
      <c r="BG68" s="407"/>
      <c r="BH68" s="407"/>
      <c r="BI68" s="407">
        <v>0.98</v>
      </c>
      <c r="BJ68" s="407">
        <v>4.5599999999999996</v>
      </c>
      <c r="BK68" s="407">
        <v>75.06</v>
      </c>
      <c r="BL68" s="407">
        <v>1</v>
      </c>
      <c r="BM68" s="407"/>
      <c r="BN68" s="407"/>
      <c r="BO68" s="407"/>
      <c r="BP68" s="407"/>
      <c r="BQ68" s="407"/>
      <c r="BR68" s="407"/>
      <c r="BS68" s="407"/>
      <c r="BT68" s="407"/>
      <c r="BU68" s="407"/>
      <c r="BV68" s="407"/>
      <c r="BW68" s="407"/>
      <c r="BX68" s="407"/>
      <c r="BY68" s="407"/>
      <c r="BZ68" s="407"/>
      <c r="CA68" s="407"/>
      <c r="CB68" s="407"/>
      <c r="CC68" s="407"/>
      <c r="CD68" s="407"/>
      <c r="CE68" s="407"/>
      <c r="CF68" s="407"/>
      <c r="CG68" s="407"/>
      <c r="CH68" s="407"/>
      <c r="CI68" s="407"/>
      <c r="CJ68" s="407">
        <v>-0.03</v>
      </c>
      <c r="CK68" s="407"/>
      <c r="CL68" s="407"/>
      <c r="CM68" s="407"/>
      <c r="CN68" s="407"/>
      <c r="CO68" s="407">
        <v>0</v>
      </c>
      <c r="CP68" s="407">
        <v>0</v>
      </c>
      <c r="CQ68" s="407">
        <v>31</v>
      </c>
      <c r="CR68" s="407"/>
      <c r="CS68" s="407"/>
      <c r="CT68" s="407"/>
      <c r="CU68" s="407"/>
      <c r="CV68" s="407"/>
      <c r="CW68" s="407"/>
      <c r="CX68" s="407"/>
      <c r="CY68" s="407"/>
      <c r="CZ68" s="407"/>
      <c r="DA68" s="407"/>
      <c r="DB68" s="407"/>
      <c r="DC68" s="407"/>
      <c r="DD68" s="407"/>
      <c r="DE68" s="407"/>
      <c r="DF68" s="407"/>
      <c r="DG68" s="407"/>
      <c r="DH68" s="407"/>
      <c r="DI68" s="407"/>
      <c r="DJ68" s="407"/>
      <c r="DK68" s="407">
        <v>0</v>
      </c>
      <c r="DL68" s="407"/>
      <c r="DM68" s="407"/>
      <c r="DN68" s="407"/>
      <c r="DO68" s="407"/>
      <c r="DP68" s="407"/>
      <c r="DQ68" s="407"/>
      <c r="DR68" s="407"/>
      <c r="DS68" s="407"/>
      <c r="DT68" s="407"/>
      <c r="DU68" s="407"/>
      <c r="DV68" s="407"/>
      <c r="DW68" s="407"/>
      <c r="DX68" s="407"/>
      <c r="DY68" s="407"/>
      <c r="DZ68" s="407"/>
      <c r="EA68" s="407"/>
      <c r="EB68" s="407"/>
      <c r="EC68" s="407"/>
      <c r="ED68" s="407"/>
      <c r="EE68" s="407"/>
      <c r="EF68" s="407"/>
      <c r="EG68" s="407"/>
      <c r="EH68" s="407"/>
      <c r="EI68" s="407"/>
      <c r="EJ68" s="407"/>
      <c r="EK68" s="407"/>
      <c r="EL68" s="407"/>
      <c r="EM68" s="407"/>
      <c r="EN68" s="407"/>
      <c r="EO68" s="407"/>
      <c r="EP68" s="407"/>
      <c r="EQ68" s="407"/>
      <c r="ER68" s="407"/>
      <c r="ES68" s="407"/>
      <c r="ET68" s="407"/>
      <c r="EU68" s="407"/>
      <c r="EV68" s="407">
        <v>207</v>
      </c>
      <c r="EW68" s="407"/>
      <c r="EX68" s="407"/>
      <c r="EY68" s="407"/>
      <c r="EZ68" s="407"/>
      <c r="FA68" s="407">
        <v>0</v>
      </c>
      <c r="FB68" s="407"/>
      <c r="FC68" s="407"/>
      <c r="FD68" s="407"/>
      <c r="FE68" s="407"/>
      <c r="FF68" s="407">
        <v>0</v>
      </c>
      <c r="FG68" s="407">
        <v>0</v>
      </c>
      <c r="FH68" s="407">
        <v>0</v>
      </c>
      <c r="FI68" s="407">
        <v>0</v>
      </c>
    </row>
    <row r="69" spans="1:165" customFormat="1">
      <c r="A69" s="407">
        <v>67</v>
      </c>
      <c r="B69" s="407" t="s">
        <v>1092</v>
      </c>
      <c r="C69" s="407" t="s">
        <v>2313</v>
      </c>
      <c r="D69" s="407" t="s">
        <v>1220</v>
      </c>
      <c r="E69" s="407" t="s">
        <v>1023</v>
      </c>
      <c r="F69" s="407" t="s">
        <v>1023</v>
      </c>
      <c r="G69" s="407" t="s">
        <v>96</v>
      </c>
      <c r="H69" s="407" t="s">
        <v>96</v>
      </c>
      <c r="I69" s="407" t="s">
        <v>2314</v>
      </c>
      <c r="J69" s="407" t="s">
        <v>2306</v>
      </c>
      <c r="K69" s="815">
        <v>44470</v>
      </c>
      <c r="L69" s="407">
        <v>0</v>
      </c>
      <c r="M69" s="407">
        <v>0</v>
      </c>
      <c r="N69" s="407">
        <v>1.7999999999999999E-2</v>
      </c>
      <c r="O69" s="407">
        <v>1.7999999999999999E-2</v>
      </c>
      <c r="P69" s="407">
        <v>1.7999999999999999E-2</v>
      </c>
      <c r="Q69" s="407">
        <v>1.7999999999999999E-2</v>
      </c>
      <c r="R69" s="407"/>
      <c r="S69" s="407">
        <v>1160</v>
      </c>
      <c r="T69" s="407">
        <v>127.85</v>
      </c>
      <c r="U69" s="407"/>
      <c r="V69" s="407">
        <v>23.1813</v>
      </c>
      <c r="W69" s="407">
        <v>23.1813</v>
      </c>
      <c r="X69" s="407">
        <v>18.449639999999999</v>
      </c>
      <c r="Y69" s="407">
        <v>0</v>
      </c>
      <c r="Z69" s="407">
        <v>1.0993513796338212</v>
      </c>
      <c r="AA69" s="407">
        <v>0</v>
      </c>
      <c r="AB69" s="407">
        <v>0</v>
      </c>
      <c r="AC69" s="407">
        <v>0</v>
      </c>
      <c r="AD69" s="407">
        <v>3.4232778068925778</v>
      </c>
      <c r="AE69" s="407">
        <v>15.6025995897841</v>
      </c>
      <c r="AF69" s="407">
        <v>2.3012531315815856</v>
      </c>
      <c r="AG69" s="407">
        <v>0</v>
      </c>
      <c r="AH69" s="407">
        <v>0</v>
      </c>
      <c r="AI69" s="407">
        <v>0</v>
      </c>
      <c r="AJ69" s="407">
        <v>0</v>
      </c>
      <c r="AK69" s="407">
        <v>0</v>
      </c>
      <c r="AL69" s="407">
        <v>0.17001535349942279</v>
      </c>
      <c r="AM69" s="407"/>
      <c r="AN69" s="407">
        <v>4.1233739258892961E-2</v>
      </c>
      <c r="AO69" s="407">
        <v>0</v>
      </c>
      <c r="AP69" s="407">
        <v>0</v>
      </c>
      <c r="AQ69" s="407">
        <v>0</v>
      </c>
      <c r="AR69" s="407">
        <v>0</v>
      </c>
      <c r="AS69" s="407">
        <v>0</v>
      </c>
      <c r="AT69" s="407">
        <v>0</v>
      </c>
      <c r="AU69" s="407">
        <v>0</v>
      </c>
      <c r="AV69" s="407">
        <v>0</v>
      </c>
      <c r="AW69" s="407">
        <v>0</v>
      </c>
      <c r="AX69" s="407">
        <v>0</v>
      </c>
      <c r="AY69" s="407">
        <v>0</v>
      </c>
      <c r="AZ69" s="407">
        <v>0</v>
      </c>
      <c r="BA69" s="407"/>
      <c r="BB69" s="407">
        <v>0</v>
      </c>
      <c r="BC69" s="407">
        <v>0</v>
      </c>
      <c r="BD69" s="407">
        <v>0</v>
      </c>
      <c r="BE69" s="407">
        <v>0</v>
      </c>
      <c r="BF69" s="407">
        <v>0</v>
      </c>
      <c r="BG69" s="407">
        <v>0.54356748612290995</v>
      </c>
      <c r="BH69" s="407">
        <v>0</v>
      </c>
      <c r="BI69" s="407">
        <v>0</v>
      </c>
      <c r="BJ69" s="407">
        <v>0</v>
      </c>
      <c r="BK69" s="407">
        <v>0</v>
      </c>
      <c r="BL69" s="407">
        <v>0</v>
      </c>
      <c r="BM69" s="407"/>
      <c r="BN69" s="407"/>
      <c r="BO69" s="407"/>
      <c r="BP69" s="407"/>
      <c r="BQ69" s="407"/>
      <c r="BR69" s="407"/>
      <c r="BS69" s="407"/>
      <c r="BT69" s="407"/>
      <c r="BU69" s="407"/>
      <c r="BV69" s="407">
        <v>2.8448206177044955</v>
      </c>
      <c r="BW69" s="407"/>
      <c r="BX69" s="407"/>
      <c r="BY69" s="407"/>
      <c r="BZ69" s="407"/>
      <c r="CA69" s="407"/>
      <c r="CB69" s="407"/>
      <c r="CC69" s="407"/>
      <c r="CD69" s="407"/>
      <c r="CE69" s="407"/>
      <c r="CF69" s="407"/>
      <c r="CG69" s="407"/>
      <c r="CH69" s="407"/>
      <c r="CI69" s="407">
        <v>20.499600000000001</v>
      </c>
      <c r="CJ69" s="407">
        <v>-2.711700000000004</v>
      </c>
      <c r="CK69" s="407"/>
      <c r="CL69" s="407"/>
      <c r="CM69" s="407"/>
      <c r="CN69" s="407"/>
      <c r="CO69" s="407">
        <v>-4.8040199999999995</v>
      </c>
      <c r="CP69" s="407">
        <v>7.2360000000000174E-2</v>
      </c>
      <c r="CQ69" s="407">
        <v>31</v>
      </c>
      <c r="CR69" s="407">
        <v>-0.11930270248643193</v>
      </c>
      <c r="CS69" s="407">
        <v>0</v>
      </c>
      <c r="CT69" s="407">
        <v>0</v>
      </c>
      <c r="CU69" s="407">
        <v>0</v>
      </c>
      <c r="CV69" s="407">
        <v>0</v>
      </c>
      <c r="CW69" s="407">
        <v>0</v>
      </c>
      <c r="CX69" s="407">
        <v>0</v>
      </c>
      <c r="CY69" s="407">
        <v>0</v>
      </c>
      <c r="CZ69" s="407">
        <v>-0.17958760224496206</v>
      </c>
      <c r="DA69" s="407">
        <v>0</v>
      </c>
      <c r="DB69" s="407">
        <v>0</v>
      </c>
      <c r="DC69" s="407">
        <v>7.2411719197068347E-2</v>
      </c>
      <c r="DD69" s="407">
        <v>0</v>
      </c>
      <c r="DE69" s="407">
        <v>0</v>
      </c>
      <c r="DF69" s="407">
        <v>0</v>
      </c>
      <c r="DG69" s="407">
        <v>1.7104009823872168E-2</v>
      </c>
      <c r="DH69" s="407">
        <v>0</v>
      </c>
      <c r="DI69" s="407">
        <v>-2.5036027289807361E-2</v>
      </c>
      <c r="DJ69" s="407"/>
      <c r="DK69" s="407">
        <v>0</v>
      </c>
      <c r="DL69" s="407">
        <v>0</v>
      </c>
      <c r="DM69" s="407">
        <v>0</v>
      </c>
      <c r="DN69" s="407">
        <v>0</v>
      </c>
      <c r="DO69" s="407">
        <v>-3.244238491845769E-3</v>
      </c>
      <c r="DP69" s="407">
        <v>-9.5056348075758801E-4</v>
      </c>
      <c r="DQ69" s="407">
        <v>0</v>
      </c>
      <c r="DR69" s="407">
        <v>0</v>
      </c>
      <c r="DS69" s="407"/>
      <c r="DT69" s="407"/>
      <c r="DU69" s="407"/>
      <c r="DV69" s="407">
        <v>15.6025995897841</v>
      </c>
      <c r="DW69" s="407">
        <v>0</v>
      </c>
      <c r="DX69" s="407">
        <v>0</v>
      </c>
      <c r="DY69" s="407">
        <v>-4.8040200000000013</v>
      </c>
      <c r="DZ69" s="407">
        <v>7.2360000000000202E-2</v>
      </c>
      <c r="EA69" s="407">
        <v>0</v>
      </c>
      <c r="EB69" s="407">
        <v>0</v>
      </c>
      <c r="EC69" s="407">
        <v>-4.6123747303744604</v>
      </c>
      <c r="ED69" s="407">
        <v>0</v>
      </c>
      <c r="EE69" s="407">
        <v>0</v>
      </c>
      <c r="EF69" s="407">
        <v>0</v>
      </c>
      <c r="EG69" s="407">
        <v>0</v>
      </c>
      <c r="EH69" s="407">
        <v>0</v>
      </c>
      <c r="EI69" s="407">
        <v>0</v>
      </c>
      <c r="EJ69" s="407">
        <v>0</v>
      </c>
      <c r="EK69" s="407">
        <v>0</v>
      </c>
      <c r="EL69" s="407">
        <v>0</v>
      </c>
      <c r="EM69" s="407">
        <v>0</v>
      </c>
      <c r="EN69" s="407">
        <v>0</v>
      </c>
      <c r="EO69" s="407">
        <v>0</v>
      </c>
      <c r="EP69" s="407">
        <v>0</v>
      </c>
      <c r="EQ69" s="407">
        <v>0</v>
      </c>
      <c r="ER69" s="407">
        <v>0</v>
      </c>
      <c r="ES69" s="407">
        <v>0</v>
      </c>
      <c r="ET69" s="407">
        <v>0</v>
      </c>
      <c r="EU69" s="407">
        <v>0</v>
      </c>
      <c r="EV69" s="407">
        <v>207</v>
      </c>
      <c r="EW69" s="407">
        <v>0</v>
      </c>
      <c r="EX69" s="407">
        <v>0</v>
      </c>
      <c r="EY69" s="407">
        <v>0</v>
      </c>
      <c r="EZ69" s="407"/>
      <c r="FA69" s="407">
        <v>0</v>
      </c>
      <c r="FB69" s="407"/>
      <c r="FC69" s="407"/>
      <c r="FD69" s="407"/>
      <c r="FE69" s="407"/>
      <c r="FF69" s="407">
        <v>0</v>
      </c>
      <c r="FG69" s="407">
        <v>0</v>
      </c>
      <c r="FH69" s="407">
        <v>0</v>
      </c>
      <c r="FI69" s="407">
        <v>0</v>
      </c>
    </row>
    <row r="70" spans="1:165" customFormat="1">
      <c r="A70" s="407">
        <v>68</v>
      </c>
      <c r="B70" s="407" t="s">
        <v>1092</v>
      </c>
      <c r="C70" s="407" t="s">
        <v>2315</v>
      </c>
      <c r="D70" s="407" t="s">
        <v>648</v>
      </c>
      <c r="E70" s="407" t="s">
        <v>1024</v>
      </c>
      <c r="F70" s="407" t="s">
        <v>96</v>
      </c>
      <c r="G70" s="407" t="s">
        <v>96</v>
      </c>
      <c r="H70" s="407" t="s">
        <v>96</v>
      </c>
      <c r="I70" s="407" t="s">
        <v>1027</v>
      </c>
      <c r="J70" s="407" t="s">
        <v>2306</v>
      </c>
      <c r="K70" s="815">
        <v>44470</v>
      </c>
      <c r="L70" s="407">
        <v>0</v>
      </c>
      <c r="M70" s="407">
        <v>0</v>
      </c>
      <c r="N70" s="407">
        <v>1.06</v>
      </c>
      <c r="O70" s="407">
        <v>1.06</v>
      </c>
      <c r="P70" s="407">
        <v>1.06</v>
      </c>
      <c r="Q70" s="407">
        <v>1.06</v>
      </c>
      <c r="R70" s="407"/>
      <c r="S70" s="407">
        <v>2075.9499999999998</v>
      </c>
      <c r="T70" s="407">
        <v>127.85</v>
      </c>
      <c r="U70" s="407"/>
      <c r="V70" s="407">
        <v>2336.0280000000002</v>
      </c>
      <c r="W70" s="407">
        <v>2336.0280000000002</v>
      </c>
      <c r="X70" s="407">
        <v>1872.3946000000001</v>
      </c>
      <c r="Y70" s="407">
        <v>0</v>
      </c>
      <c r="Z70" s="407">
        <v>56.323435683239488</v>
      </c>
      <c r="AA70" s="407">
        <v>0</v>
      </c>
      <c r="AB70" s="407">
        <v>0</v>
      </c>
      <c r="AC70" s="407">
        <v>0</v>
      </c>
      <c r="AD70" s="407">
        <v>667.8094524788761</v>
      </c>
      <c r="AE70" s="407">
        <v>1459.7935804507745</v>
      </c>
      <c r="AF70" s="407">
        <v>135.51823997091563</v>
      </c>
      <c r="AG70" s="407">
        <v>0</v>
      </c>
      <c r="AH70" s="407">
        <v>0</v>
      </c>
      <c r="AI70" s="407">
        <v>0</v>
      </c>
      <c r="AJ70" s="407">
        <v>0</v>
      </c>
      <c r="AK70" s="407">
        <v>0</v>
      </c>
      <c r="AL70" s="407">
        <v>10.012015261632678</v>
      </c>
      <c r="AM70" s="407"/>
      <c r="AN70" s="407">
        <v>1.0646683588300387</v>
      </c>
      <c r="AO70" s="407">
        <v>0</v>
      </c>
      <c r="AP70" s="407">
        <v>0</v>
      </c>
      <c r="AQ70" s="407">
        <v>0</v>
      </c>
      <c r="AR70" s="407">
        <v>0</v>
      </c>
      <c r="AS70" s="407">
        <v>0</v>
      </c>
      <c r="AT70" s="407">
        <v>0</v>
      </c>
      <c r="AU70" s="407">
        <v>0</v>
      </c>
      <c r="AV70" s="407">
        <v>0</v>
      </c>
      <c r="AW70" s="407">
        <v>0</v>
      </c>
      <c r="AX70" s="407">
        <v>0</v>
      </c>
      <c r="AY70" s="407">
        <v>0</v>
      </c>
      <c r="AZ70" s="407">
        <v>0</v>
      </c>
      <c r="BA70" s="407"/>
      <c r="BB70" s="407">
        <v>0</v>
      </c>
      <c r="BC70" s="407">
        <v>0</v>
      </c>
      <c r="BD70" s="407">
        <v>0</v>
      </c>
      <c r="BE70" s="407">
        <v>0</v>
      </c>
      <c r="BF70" s="407">
        <v>0</v>
      </c>
      <c r="BG70" s="407">
        <v>5.5030774244529299</v>
      </c>
      <c r="BH70" s="407">
        <v>0</v>
      </c>
      <c r="BI70" s="407">
        <v>0</v>
      </c>
      <c r="BJ70" s="407">
        <v>0</v>
      </c>
      <c r="BK70" s="407">
        <v>0</v>
      </c>
      <c r="BL70" s="407">
        <v>0</v>
      </c>
      <c r="BM70" s="407"/>
      <c r="BN70" s="407"/>
      <c r="BO70" s="407"/>
      <c r="BP70" s="407"/>
      <c r="BQ70" s="407"/>
      <c r="BR70" s="407"/>
      <c r="BS70" s="407"/>
      <c r="BT70" s="407"/>
      <c r="BU70" s="407"/>
      <c r="BV70" s="407">
        <v>141.02131739536856</v>
      </c>
      <c r="BW70" s="407"/>
      <c r="BX70" s="407"/>
      <c r="BY70" s="407"/>
      <c r="BZ70" s="407"/>
      <c r="CA70" s="407"/>
      <c r="CB70" s="407"/>
      <c r="CC70" s="407"/>
      <c r="CD70" s="407"/>
      <c r="CE70" s="407"/>
      <c r="CF70" s="407"/>
      <c r="CG70" s="407"/>
      <c r="CH70" s="407"/>
      <c r="CI70" s="407">
        <v>1872.3946000000001</v>
      </c>
      <c r="CJ70" s="407">
        <v>-463.66340000000082</v>
      </c>
      <c r="CK70" s="407"/>
      <c r="CL70" s="407"/>
      <c r="CM70" s="407"/>
      <c r="CN70" s="407"/>
      <c r="CO70" s="407">
        <v>-467.89459999999985</v>
      </c>
      <c r="CP70" s="407">
        <v>4.2612000000000112</v>
      </c>
      <c r="CQ70" s="407">
        <v>31</v>
      </c>
      <c r="CR70" s="407">
        <v>-32.09462742450421</v>
      </c>
      <c r="CS70" s="407">
        <v>0</v>
      </c>
      <c r="CT70" s="407">
        <v>0</v>
      </c>
      <c r="CU70" s="407">
        <v>0</v>
      </c>
      <c r="CV70" s="407">
        <v>0</v>
      </c>
      <c r="CW70" s="407">
        <v>0</v>
      </c>
      <c r="CX70" s="407">
        <v>0</v>
      </c>
      <c r="CY70" s="407">
        <v>0</v>
      </c>
      <c r="CZ70" s="407">
        <v>-35.033761526957392</v>
      </c>
      <c r="DA70" s="407">
        <v>0</v>
      </c>
      <c r="DB70" s="407">
        <v>0</v>
      </c>
      <c r="DC70" s="407">
        <v>4.264245686049577</v>
      </c>
      <c r="DD70" s="407">
        <v>0</v>
      </c>
      <c r="DE70" s="407">
        <v>0</v>
      </c>
      <c r="DF70" s="407">
        <v>0</v>
      </c>
      <c r="DG70" s="407">
        <v>0.17316100159104497</v>
      </c>
      <c r="DH70" s="407">
        <v>0</v>
      </c>
      <c r="DI70" s="407">
        <v>-1.2826791314812525</v>
      </c>
      <c r="DJ70" s="407"/>
      <c r="DK70" s="407">
        <v>0</v>
      </c>
      <c r="DL70" s="407">
        <v>0</v>
      </c>
      <c r="DM70" s="407">
        <v>0</v>
      </c>
      <c r="DN70" s="407">
        <v>0</v>
      </c>
      <c r="DO70" s="407">
        <v>-0.1910496000753632</v>
      </c>
      <c r="DP70" s="407">
        <v>-2.4543853630827561E-2</v>
      </c>
      <c r="DQ70" s="407">
        <v>0</v>
      </c>
      <c r="DR70" s="407">
        <v>0</v>
      </c>
      <c r="DS70" s="407"/>
      <c r="DT70" s="407"/>
      <c r="DU70" s="407"/>
      <c r="DV70" s="407">
        <v>1459.7935804507745</v>
      </c>
      <c r="DW70" s="407">
        <v>0</v>
      </c>
      <c r="DX70" s="407">
        <v>0</v>
      </c>
      <c r="DY70" s="407">
        <v>-467.89460000000008</v>
      </c>
      <c r="DZ70" s="407">
        <v>4.2612000000000307</v>
      </c>
      <c r="EA70" s="407">
        <v>0</v>
      </c>
      <c r="EB70" s="407">
        <v>0</v>
      </c>
      <c r="EC70" s="407">
        <v>-431.53802565327101</v>
      </c>
      <c r="ED70" s="407">
        <v>0</v>
      </c>
      <c r="EE70" s="407">
        <v>0</v>
      </c>
      <c r="EF70" s="407">
        <v>0</v>
      </c>
      <c r="EG70" s="407">
        <v>0</v>
      </c>
      <c r="EH70" s="407">
        <v>0</v>
      </c>
      <c r="EI70" s="407">
        <v>0</v>
      </c>
      <c r="EJ70" s="407">
        <v>0</v>
      </c>
      <c r="EK70" s="407">
        <v>0</v>
      </c>
      <c r="EL70" s="407">
        <v>0</v>
      </c>
      <c r="EM70" s="407">
        <v>0</v>
      </c>
      <c r="EN70" s="407">
        <v>0</v>
      </c>
      <c r="EO70" s="407">
        <v>0</v>
      </c>
      <c r="EP70" s="407">
        <v>0</v>
      </c>
      <c r="EQ70" s="407">
        <v>0</v>
      </c>
      <c r="ER70" s="407">
        <v>0</v>
      </c>
      <c r="ES70" s="407">
        <v>0</v>
      </c>
      <c r="ET70" s="407">
        <v>0</v>
      </c>
      <c r="EU70" s="407">
        <v>0</v>
      </c>
      <c r="EV70" s="407">
        <v>207</v>
      </c>
      <c r="EW70" s="407">
        <v>0</v>
      </c>
      <c r="EX70" s="407">
        <v>0</v>
      </c>
      <c r="EY70" s="407">
        <v>0</v>
      </c>
      <c r="EZ70" s="407"/>
      <c r="FA70" s="407">
        <v>0</v>
      </c>
      <c r="FB70" s="407"/>
      <c r="FC70" s="407"/>
      <c r="FD70" s="407"/>
      <c r="FE70" s="407"/>
      <c r="FF70" s="407">
        <v>0</v>
      </c>
      <c r="FG70" s="407">
        <v>0</v>
      </c>
      <c r="FH70" s="407">
        <v>0</v>
      </c>
      <c r="FI70" s="407">
        <v>0</v>
      </c>
    </row>
    <row r="71" spans="1:165" customFormat="1">
      <c r="A71" s="407">
        <v>69</v>
      </c>
      <c r="B71" s="407" t="s">
        <v>1092</v>
      </c>
      <c r="C71" s="407" t="s">
        <v>2315</v>
      </c>
      <c r="D71" s="407" t="s">
        <v>648</v>
      </c>
      <c r="E71" s="407" t="s">
        <v>1024</v>
      </c>
      <c r="F71" s="407" t="s">
        <v>96</v>
      </c>
      <c r="G71" s="407" t="s">
        <v>96</v>
      </c>
      <c r="H71" s="407" t="s">
        <v>96</v>
      </c>
      <c r="I71" s="407" t="s">
        <v>2290</v>
      </c>
      <c r="J71" s="407" t="s">
        <v>2306</v>
      </c>
      <c r="K71" s="815">
        <v>44470</v>
      </c>
      <c r="L71" s="407">
        <v>0</v>
      </c>
      <c r="M71" s="407">
        <v>0</v>
      </c>
      <c r="N71" s="407">
        <v>11.662000000000001</v>
      </c>
      <c r="O71" s="407">
        <v>11.662000000000001</v>
      </c>
      <c r="P71" s="407">
        <v>11.662000000000001</v>
      </c>
      <c r="Q71" s="407">
        <v>11.662000000000001</v>
      </c>
      <c r="R71" s="407"/>
      <c r="S71" s="407">
        <v>68.78</v>
      </c>
      <c r="T71" s="407">
        <v>127.85</v>
      </c>
      <c r="U71" s="407"/>
      <c r="V71" s="407">
        <v>2293.09906</v>
      </c>
      <c r="W71" s="407">
        <v>2293.09906</v>
      </c>
      <c r="X71" s="407">
        <v>2325.4028000000003</v>
      </c>
      <c r="Y71" s="407">
        <v>0</v>
      </c>
      <c r="Z71" s="407">
        <v>619.66406314899893</v>
      </c>
      <c r="AA71" s="407">
        <v>0</v>
      </c>
      <c r="AB71" s="407">
        <v>0</v>
      </c>
      <c r="AC71" s="407">
        <v>0</v>
      </c>
      <c r="AD71" s="407">
        <v>0</v>
      </c>
      <c r="AE71" s="407">
        <v>0</v>
      </c>
      <c r="AF71" s="407">
        <v>1490.9563344724697</v>
      </c>
      <c r="AG71" s="407">
        <v>0</v>
      </c>
      <c r="AH71" s="407">
        <v>0</v>
      </c>
      <c r="AI71" s="407">
        <v>0</v>
      </c>
      <c r="AJ71" s="407">
        <v>0</v>
      </c>
      <c r="AK71" s="407">
        <v>0</v>
      </c>
      <c r="AL71" s="407">
        <v>110.15105847279273</v>
      </c>
      <c r="AM71" s="407"/>
      <c r="AN71" s="407">
        <v>11.713360755354634</v>
      </c>
      <c r="AO71" s="407">
        <v>0</v>
      </c>
      <c r="AP71" s="407">
        <v>0</v>
      </c>
      <c r="AQ71" s="407">
        <v>0</v>
      </c>
      <c r="AR71" s="407">
        <v>0</v>
      </c>
      <c r="AS71" s="407">
        <v>0</v>
      </c>
      <c r="AT71" s="407">
        <v>0</v>
      </c>
      <c r="AU71" s="407">
        <v>0</v>
      </c>
      <c r="AV71" s="407">
        <v>0</v>
      </c>
      <c r="AW71" s="407">
        <v>0</v>
      </c>
      <c r="AX71" s="407">
        <v>0</v>
      </c>
      <c r="AY71" s="407">
        <v>0</v>
      </c>
      <c r="AZ71" s="407">
        <v>0</v>
      </c>
      <c r="BA71" s="407"/>
      <c r="BB71" s="407">
        <v>0</v>
      </c>
      <c r="BC71" s="407">
        <v>0</v>
      </c>
      <c r="BD71" s="407">
        <v>0</v>
      </c>
      <c r="BE71" s="407">
        <v>0</v>
      </c>
      <c r="BF71" s="407">
        <v>0</v>
      </c>
      <c r="BG71" s="407">
        <v>60.544234833934027</v>
      </c>
      <c r="BH71" s="407">
        <v>0</v>
      </c>
      <c r="BI71" s="407">
        <v>0</v>
      </c>
      <c r="BJ71" s="407">
        <v>0</v>
      </c>
      <c r="BK71" s="407">
        <v>0</v>
      </c>
      <c r="BL71" s="407">
        <v>0</v>
      </c>
      <c r="BM71" s="407"/>
      <c r="BN71" s="407"/>
      <c r="BO71" s="407"/>
      <c r="BP71" s="407"/>
      <c r="BQ71" s="407"/>
      <c r="BR71" s="407"/>
      <c r="BS71" s="407"/>
      <c r="BT71" s="407"/>
      <c r="BU71" s="407"/>
      <c r="BV71" s="407">
        <v>1551.5005693064038</v>
      </c>
      <c r="BW71" s="407"/>
      <c r="BX71" s="407"/>
      <c r="BY71" s="407"/>
      <c r="BZ71" s="407"/>
      <c r="CA71" s="407"/>
      <c r="CB71" s="407"/>
      <c r="CC71" s="407"/>
      <c r="CD71" s="407"/>
      <c r="CE71" s="407"/>
      <c r="CF71" s="407"/>
      <c r="CG71" s="407"/>
      <c r="CH71" s="407"/>
      <c r="CI71" s="407">
        <v>2325.0039999999999</v>
      </c>
      <c r="CJ71" s="407">
        <v>31.874939999999697</v>
      </c>
      <c r="CK71" s="407"/>
      <c r="CL71" s="407"/>
      <c r="CM71" s="407"/>
      <c r="CN71" s="407"/>
      <c r="CO71" s="407">
        <v>-14.577500000000001</v>
      </c>
      <c r="CP71" s="407">
        <v>46.881240000000119</v>
      </c>
      <c r="CQ71" s="407">
        <v>31</v>
      </c>
      <c r="CR71" s="407">
        <v>32.336020663027739</v>
      </c>
      <c r="CS71" s="407">
        <v>0</v>
      </c>
      <c r="CT71" s="407">
        <v>0</v>
      </c>
      <c r="CU71" s="407">
        <v>0</v>
      </c>
      <c r="CV71" s="407">
        <v>0</v>
      </c>
      <c r="CW71" s="407">
        <v>0</v>
      </c>
      <c r="CX71" s="407">
        <v>0</v>
      </c>
      <c r="CY71" s="407">
        <v>0</v>
      </c>
      <c r="CZ71" s="407">
        <v>0</v>
      </c>
      <c r="DA71" s="407">
        <v>0</v>
      </c>
      <c r="DB71" s="407">
        <v>0</v>
      </c>
      <c r="DC71" s="407">
        <v>46.914748293123012</v>
      </c>
      <c r="DD71" s="407">
        <v>0</v>
      </c>
      <c r="DE71" s="407">
        <v>0</v>
      </c>
      <c r="DF71" s="407">
        <v>0</v>
      </c>
      <c r="DG71" s="407">
        <v>1.9050977363724186</v>
      </c>
      <c r="DH71" s="407">
        <v>0</v>
      </c>
      <c r="DI71" s="407">
        <v>-14.111890595598425</v>
      </c>
      <c r="DJ71" s="407"/>
      <c r="DK71" s="407">
        <v>0</v>
      </c>
      <c r="DL71" s="407">
        <v>0</v>
      </c>
      <c r="DM71" s="407">
        <v>0</v>
      </c>
      <c r="DN71" s="407">
        <v>0</v>
      </c>
      <c r="DO71" s="407">
        <v>-2.1019060717725324</v>
      </c>
      <c r="DP71" s="407">
        <v>-0.27002869909689586</v>
      </c>
      <c r="DQ71" s="407">
        <v>0</v>
      </c>
      <c r="DR71" s="407">
        <v>0</v>
      </c>
      <c r="DS71" s="407"/>
      <c r="DT71" s="407"/>
      <c r="DU71" s="407"/>
      <c r="DV71" s="407">
        <v>0</v>
      </c>
      <c r="DW71" s="407">
        <v>0</v>
      </c>
      <c r="DX71" s="407">
        <v>0</v>
      </c>
      <c r="DY71" s="407">
        <v>-14.577499999999986</v>
      </c>
      <c r="DZ71" s="407">
        <v>46.881240000000162</v>
      </c>
      <c r="EA71" s="407">
        <v>0</v>
      </c>
      <c r="EB71" s="407">
        <v>0</v>
      </c>
      <c r="EC71" s="407">
        <v>0</v>
      </c>
      <c r="ED71" s="407">
        <v>0</v>
      </c>
      <c r="EE71" s="407">
        <v>0</v>
      </c>
      <c r="EF71" s="407">
        <v>0</v>
      </c>
      <c r="EG71" s="407">
        <v>0</v>
      </c>
      <c r="EH71" s="407">
        <v>0</v>
      </c>
      <c r="EI71" s="407">
        <v>0</v>
      </c>
      <c r="EJ71" s="407">
        <v>0</v>
      </c>
      <c r="EK71" s="407">
        <v>0</v>
      </c>
      <c r="EL71" s="407">
        <v>0</v>
      </c>
      <c r="EM71" s="407">
        <v>0</v>
      </c>
      <c r="EN71" s="407">
        <v>0</v>
      </c>
      <c r="EO71" s="407">
        <v>0</v>
      </c>
      <c r="EP71" s="407">
        <v>0</v>
      </c>
      <c r="EQ71" s="407">
        <v>0</v>
      </c>
      <c r="ER71" s="407">
        <v>0</v>
      </c>
      <c r="ES71" s="407">
        <v>0</v>
      </c>
      <c r="ET71" s="407">
        <v>0</v>
      </c>
      <c r="EU71" s="407">
        <v>0</v>
      </c>
      <c r="EV71" s="407">
        <v>207</v>
      </c>
      <c r="EW71" s="407">
        <v>0</v>
      </c>
      <c r="EX71" s="407">
        <v>0</v>
      </c>
      <c r="EY71" s="407">
        <v>0</v>
      </c>
      <c r="EZ71" s="407"/>
      <c r="FA71" s="407">
        <v>0</v>
      </c>
      <c r="FB71" s="407"/>
      <c r="FC71" s="407"/>
      <c r="FD71" s="407"/>
      <c r="FE71" s="407"/>
      <c r="FF71" s="407">
        <v>0</v>
      </c>
      <c r="FG71" s="407">
        <v>0</v>
      </c>
      <c r="FH71" s="407">
        <v>0</v>
      </c>
      <c r="FI71" s="407">
        <v>0</v>
      </c>
    </row>
    <row r="72" spans="1:165" customFormat="1">
      <c r="A72" s="407">
        <v>70</v>
      </c>
      <c r="B72" s="407" t="s">
        <v>1092</v>
      </c>
      <c r="C72" s="407" t="s">
        <v>2315</v>
      </c>
      <c r="D72" s="407" t="s">
        <v>648</v>
      </c>
      <c r="E72" s="407" t="s">
        <v>1024</v>
      </c>
      <c r="F72" s="407" t="s">
        <v>96</v>
      </c>
      <c r="G72" s="407" t="s">
        <v>96</v>
      </c>
      <c r="H72" s="407" t="s">
        <v>96</v>
      </c>
      <c r="I72" s="407" t="s">
        <v>96</v>
      </c>
      <c r="J72" s="407" t="s">
        <v>2306</v>
      </c>
      <c r="K72" s="815">
        <v>44470</v>
      </c>
      <c r="L72" s="407">
        <v>101</v>
      </c>
      <c r="M72" s="407">
        <v>101</v>
      </c>
      <c r="N72" s="407">
        <v>0</v>
      </c>
      <c r="O72" s="407">
        <v>0</v>
      </c>
      <c r="P72" s="407">
        <v>0</v>
      </c>
      <c r="Q72" s="407">
        <v>0</v>
      </c>
      <c r="R72" s="407">
        <v>39.56</v>
      </c>
      <c r="S72" s="407"/>
      <c r="T72" s="407"/>
      <c r="U72" s="407">
        <v>3995.5600000000004</v>
      </c>
      <c r="V72" s="407"/>
      <c r="W72" s="407">
        <v>3995.5600000000004</v>
      </c>
      <c r="X72" s="407">
        <v>3137.06</v>
      </c>
      <c r="Y72" s="407">
        <v>0</v>
      </c>
      <c r="Z72" s="407">
        <v>0</v>
      </c>
      <c r="AA72" s="407">
        <v>0</v>
      </c>
      <c r="AB72" s="407">
        <v>0</v>
      </c>
      <c r="AC72" s="407">
        <v>0</v>
      </c>
      <c r="AD72" s="407">
        <v>1330.1984618123017</v>
      </c>
      <c r="AE72" s="407">
        <v>2664.8781411481455</v>
      </c>
      <c r="AF72" s="407"/>
      <c r="AG72" s="407"/>
      <c r="AH72" s="407"/>
      <c r="AI72" s="407">
        <v>0</v>
      </c>
      <c r="AJ72" s="407">
        <v>0</v>
      </c>
      <c r="AK72" s="407">
        <v>0</v>
      </c>
      <c r="AL72" s="407">
        <v>0</v>
      </c>
      <c r="AM72" s="407"/>
      <c r="AN72" s="407">
        <v>0</v>
      </c>
      <c r="AO72" s="407">
        <v>0</v>
      </c>
      <c r="AP72" s="407">
        <v>0</v>
      </c>
      <c r="AQ72" s="407">
        <v>0</v>
      </c>
      <c r="AR72" s="407">
        <v>0</v>
      </c>
      <c r="AS72" s="407"/>
      <c r="AT72" s="407"/>
      <c r="AU72" s="407">
        <v>0</v>
      </c>
      <c r="AV72" s="407">
        <v>0</v>
      </c>
      <c r="AW72" s="407">
        <v>0</v>
      </c>
      <c r="AX72" s="407"/>
      <c r="AY72" s="407"/>
      <c r="AZ72" s="407">
        <v>0</v>
      </c>
      <c r="BA72" s="407"/>
      <c r="BB72" s="407">
        <v>0</v>
      </c>
      <c r="BC72" s="407">
        <v>0</v>
      </c>
      <c r="BD72" s="407">
        <v>0</v>
      </c>
      <c r="BE72" s="407">
        <v>0</v>
      </c>
      <c r="BF72" s="407"/>
      <c r="BG72" s="407">
        <v>0</v>
      </c>
      <c r="BH72" s="407">
        <v>0</v>
      </c>
      <c r="BI72" s="407">
        <v>41.11</v>
      </c>
      <c r="BJ72" s="407">
        <v>189.74</v>
      </c>
      <c r="BK72" s="407">
        <v>2057.31</v>
      </c>
      <c r="BL72" s="407">
        <v>1</v>
      </c>
      <c r="BM72" s="407"/>
      <c r="BN72" s="407"/>
      <c r="BO72" s="407"/>
      <c r="BP72" s="407"/>
      <c r="BQ72" s="407"/>
      <c r="BR72" s="407"/>
      <c r="BS72" s="407"/>
      <c r="BT72" s="407"/>
      <c r="BU72" s="407"/>
      <c r="BV72" s="407">
        <v>0</v>
      </c>
      <c r="BW72" s="407"/>
      <c r="BX72" s="407"/>
      <c r="BY72" s="407"/>
      <c r="BZ72" s="407"/>
      <c r="CA72" s="407"/>
      <c r="CB72" s="407"/>
      <c r="CC72" s="407"/>
      <c r="CD72" s="407"/>
      <c r="CE72" s="407"/>
      <c r="CF72" s="407"/>
      <c r="CG72" s="407"/>
      <c r="CH72" s="407"/>
      <c r="CI72" s="407">
        <v>3137.06</v>
      </c>
      <c r="CJ72" s="407">
        <v>-858.53000000000111</v>
      </c>
      <c r="CK72" s="407"/>
      <c r="CL72" s="407"/>
      <c r="CM72" s="407"/>
      <c r="CN72" s="407"/>
      <c r="CO72" s="407">
        <v>-858.50000000000034</v>
      </c>
      <c r="CP72" s="407">
        <v>0</v>
      </c>
      <c r="CQ72" s="407">
        <v>31</v>
      </c>
      <c r="CR72" s="407">
        <v>-69.783162729532478</v>
      </c>
      <c r="CS72" s="407">
        <v>0</v>
      </c>
      <c r="CT72" s="407">
        <v>0</v>
      </c>
      <c r="CU72" s="407">
        <v>0</v>
      </c>
      <c r="CV72" s="407">
        <v>0</v>
      </c>
      <c r="CW72" s="407"/>
      <c r="CX72" s="407"/>
      <c r="CY72" s="407"/>
      <c r="CZ72" s="407">
        <v>-69.783162729532478</v>
      </c>
      <c r="DA72" s="407">
        <v>0</v>
      </c>
      <c r="DB72" s="407">
        <v>0</v>
      </c>
      <c r="DC72" s="407"/>
      <c r="DD72" s="407"/>
      <c r="DE72" s="407">
        <v>0</v>
      </c>
      <c r="DF72" s="407">
        <v>0</v>
      </c>
      <c r="DG72" s="407">
        <v>0</v>
      </c>
      <c r="DH72" s="407">
        <v>0</v>
      </c>
      <c r="DI72" s="407">
        <v>0</v>
      </c>
      <c r="DJ72" s="407"/>
      <c r="DK72" s="407">
        <v>0</v>
      </c>
      <c r="DL72" s="407">
        <v>0</v>
      </c>
      <c r="DM72" s="407"/>
      <c r="DN72" s="407">
        <v>0</v>
      </c>
      <c r="DO72" s="407">
        <v>0</v>
      </c>
      <c r="DP72" s="407">
        <v>0</v>
      </c>
      <c r="DQ72" s="407">
        <v>0</v>
      </c>
      <c r="DR72" s="407">
        <v>0</v>
      </c>
      <c r="DS72" s="407"/>
      <c r="DT72" s="407"/>
      <c r="DU72" s="407">
        <v>2664.8781411481455</v>
      </c>
      <c r="DV72" s="407"/>
      <c r="DW72" s="407">
        <v>0</v>
      </c>
      <c r="DX72" s="407">
        <v>0</v>
      </c>
      <c r="DY72" s="407">
        <v>-858.50000000000045</v>
      </c>
      <c r="DZ72" s="407"/>
      <c r="EA72" s="407">
        <v>0</v>
      </c>
      <c r="EB72" s="407"/>
      <c r="EC72" s="407">
        <v>-787.78004441047551</v>
      </c>
      <c r="ED72" s="407"/>
      <c r="EE72" s="407">
        <v>0</v>
      </c>
      <c r="EF72" s="407">
        <v>0</v>
      </c>
      <c r="EG72" s="407"/>
      <c r="EH72" s="407">
        <v>0</v>
      </c>
      <c r="EI72" s="407">
        <v>0</v>
      </c>
      <c r="EJ72" s="407">
        <v>0</v>
      </c>
      <c r="EK72" s="407">
        <v>0</v>
      </c>
      <c r="EL72" s="407">
        <v>0</v>
      </c>
      <c r="EM72" s="407"/>
      <c r="EN72" s="407"/>
      <c r="EO72" s="407">
        <v>0</v>
      </c>
      <c r="EP72" s="407">
        <v>0</v>
      </c>
      <c r="EQ72" s="407"/>
      <c r="ER72" s="407">
        <v>0</v>
      </c>
      <c r="ES72" s="407"/>
      <c r="ET72" s="407">
        <v>0</v>
      </c>
      <c r="EU72" s="407"/>
      <c r="EV72" s="407">
        <v>207</v>
      </c>
      <c r="EW72" s="407"/>
      <c r="EX72" s="407"/>
      <c r="EY72" s="407"/>
      <c r="EZ72" s="407"/>
      <c r="FA72" s="407">
        <v>0</v>
      </c>
      <c r="FB72" s="407"/>
      <c r="FC72" s="407"/>
      <c r="FD72" s="407"/>
      <c r="FE72" s="407"/>
      <c r="FF72" s="407">
        <v>0</v>
      </c>
      <c r="FG72" s="407">
        <v>0</v>
      </c>
      <c r="FH72" s="407">
        <v>0</v>
      </c>
      <c r="FI72" s="407">
        <v>0</v>
      </c>
    </row>
    <row r="73" spans="1:165" customFormat="1">
      <c r="A73" s="407">
        <v>71</v>
      </c>
      <c r="B73" s="407" t="s">
        <v>1092</v>
      </c>
      <c r="C73" s="407" t="s">
        <v>2305</v>
      </c>
      <c r="D73" s="407" t="s">
        <v>1221</v>
      </c>
      <c r="E73" s="407" t="s">
        <v>1051</v>
      </c>
      <c r="F73" s="407" t="s">
        <v>96</v>
      </c>
      <c r="G73" s="407" t="s">
        <v>96</v>
      </c>
      <c r="H73" s="407" t="s">
        <v>96</v>
      </c>
      <c r="I73" s="407" t="s">
        <v>96</v>
      </c>
      <c r="J73" s="407" t="s">
        <v>2306</v>
      </c>
      <c r="K73" s="815">
        <v>44470</v>
      </c>
      <c r="L73" s="407">
        <v>0</v>
      </c>
      <c r="M73" s="407">
        <v>0</v>
      </c>
      <c r="N73" s="407">
        <v>128.13</v>
      </c>
      <c r="O73" s="407">
        <v>128.13</v>
      </c>
      <c r="P73" s="407">
        <v>128.13</v>
      </c>
      <c r="Q73" s="407">
        <v>128.13</v>
      </c>
      <c r="R73" s="407"/>
      <c r="S73" s="407">
        <v>710.52</v>
      </c>
      <c r="T73" s="407">
        <v>127.85</v>
      </c>
      <c r="U73" s="407"/>
      <c r="V73" s="407">
        <v>107420.34809999999</v>
      </c>
      <c r="W73" s="407">
        <v>107420.34809999999</v>
      </c>
      <c r="X73" s="407">
        <v>88244.412299999996</v>
      </c>
      <c r="Y73" s="407">
        <v>0</v>
      </c>
      <c r="Z73" s="407">
        <v>7825.5495706934171</v>
      </c>
      <c r="AA73" s="407">
        <v>0</v>
      </c>
      <c r="AB73" s="407">
        <v>0</v>
      </c>
      <c r="AC73" s="407">
        <v>0</v>
      </c>
      <c r="AD73" s="407">
        <v>14010.048706148511</v>
      </c>
      <c r="AE73" s="407">
        <v>63830.174647552412</v>
      </c>
      <c r="AF73" s="407">
        <v>16381.086874974922</v>
      </c>
      <c r="AG73" s="407">
        <v>0</v>
      </c>
      <c r="AH73" s="407">
        <v>0</v>
      </c>
      <c r="AI73" s="407">
        <v>0</v>
      </c>
      <c r="AJ73" s="407">
        <v>0</v>
      </c>
      <c r="AK73" s="407">
        <v>0</v>
      </c>
      <c r="AL73" s="407">
        <v>1210.2259579933914</v>
      </c>
      <c r="AM73" s="407"/>
      <c r="AN73" s="407">
        <v>293.51550062455306</v>
      </c>
      <c r="AO73" s="407">
        <v>0</v>
      </c>
      <c r="AP73" s="407">
        <v>0</v>
      </c>
      <c r="AQ73" s="407">
        <v>0</v>
      </c>
      <c r="AR73" s="407">
        <v>0</v>
      </c>
      <c r="AS73" s="407">
        <v>0</v>
      </c>
      <c r="AT73" s="407">
        <v>0</v>
      </c>
      <c r="AU73" s="407">
        <v>0</v>
      </c>
      <c r="AV73" s="407">
        <v>0</v>
      </c>
      <c r="AW73" s="407">
        <v>0</v>
      </c>
      <c r="AX73" s="407">
        <v>0</v>
      </c>
      <c r="AY73" s="407">
        <v>0</v>
      </c>
      <c r="AZ73" s="407">
        <v>0</v>
      </c>
      <c r="BA73" s="407"/>
      <c r="BB73" s="407">
        <v>0</v>
      </c>
      <c r="BC73" s="407">
        <v>0</v>
      </c>
      <c r="BD73" s="407">
        <v>0</v>
      </c>
      <c r="BE73" s="407">
        <v>0</v>
      </c>
      <c r="BF73" s="407">
        <v>0</v>
      </c>
      <c r="BG73" s="407">
        <v>3869.294555384914</v>
      </c>
      <c r="BH73" s="407">
        <v>0</v>
      </c>
      <c r="BI73" s="407">
        <v>582</v>
      </c>
      <c r="BJ73" s="407">
        <v>2688.17</v>
      </c>
      <c r="BK73" s="407">
        <v>24081.75</v>
      </c>
      <c r="BL73" s="407">
        <v>88</v>
      </c>
      <c r="BM73" s="407"/>
      <c r="BN73" s="407"/>
      <c r="BO73" s="407"/>
      <c r="BP73" s="407"/>
      <c r="BQ73" s="407"/>
      <c r="BR73" s="407"/>
      <c r="BS73" s="407"/>
      <c r="BT73" s="407"/>
      <c r="BU73" s="407"/>
      <c r="BV73" s="407">
        <v>20250.381430359837</v>
      </c>
      <c r="BW73" s="407"/>
      <c r="BX73" s="407"/>
      <c r="BY73" s="407"/>
      <c r="BZ73" s="407"/>
      <c r="CA73" s="407"/>
      <c r="CB73" s="407"/>
      <c r="CC73" s="407"/>
      <c r="CD73" s="407"/>
      <c r="CE73" s="407"/>
      <c r="CF73" s="407"/>
      <c r="CG73" s="407"/>
      <c r="CH73" s="407"/>
      <c r="CI73" s="407">
        <v>88244.412299999996</v>
      </c>
      <c r="CJ73" s="407">
        <v>-19175.965799999976</v>
      </c>
      <c r="CK73" s="407"/>
      <c r="CL73" s="407"/>
      <c r="CM73" s="407"/>
      <c r="CN73" s="407"/>
      <c r="CO73" s="407">
        <v>-19691.018399999994</v>
      </c>
      <c r="CP73" s="407">
        <v>515.08260000000132</v>
      </c>
      <c r="CQ73" s="407">
        <v>31</v>
      </c>
      <c r="CR73" s="407">
        <v>-305.84916434738261</v>
      </c>
      <c r="CS73" s="407">
        <v>0</v>
      </c>
      <c r="CT73" s="407">
        <v>0</v>
      </c>
      <c r="CU73" s="407">
        <v>0</v>
      </c>
      <c r="CV73" s="407">
        <v>0</v>
      </c>
      <c r="CW73" s="407">
        <v>0</v>
      </c>
      <c r="CX73" s="407">
        <v>0</v>
      </c>
      <c r="CY73" s="407">
        <v>0</v>
      </c>
      <c r="CZ73" s="407">
        <v>-734.97717579518394</v>
      </c>
      <c r="DA73" s="407">
        <v>0</v>
      </c>
      <c r="DB73" s="407">
        <v>0</v>
      </c>
      <c r="DC73" s="407">
        <v>515.45075448446551</v>
      </c>
      <c r="DD73" s="407">
        <v>0</v>
      </c>
      <c r="DE73" s="407">
        <v>0</v>
      </c>
      <c r="DF73" s="407">
        <v>0</v>
      </c>
      <c r="DG73" s="407">
        <v>121.75204326293033</v>
      </c>
      <c r="DH73" s="407">
        <v>0</v>
      </c>
      <c r="DI73" s="407">
        <v>-178.21478759127876</v>
      </c>
      <c r="DJ73" s="407"/>
      <c r="DK73" s="407">
        <v>0</v>
      </c>
      <c r="DL73" s="407">
        <v>0</v>
      </c>
      <c r="DM73" s="407">
        <v>0</v>
      </c>
      <c r="DN73" s="407">
        <v>0</v>
      </c>
      <c r="DO73" s="407">
        <v>-23.093570997788902</v>
      </c>
      <c r="DP73" s="407">
        <v>-6.7664277105261021</v>
      </c>
      <c r="DQ73" s="407">
        <v>0</v>
      </c>
      <c r="DR73" s="407">
        <v>0</v>
      </c>
      <c r="DS73" s="407"/>
      <c r="DT73" s="407"/>
      <c r="DU73" s="407"/>
      <c r="DV73" s="407">
        <v>63830.174647552412</v>
      </c>
      <c r="DW73" s="407">
        <v>0</v>
      </c>
      <c r="DX73" s="407">
        <v>0</v>
      </c>
      <c r="DY73" s="407">
        <v>-19691.018400000001</v>
      </c>
      <c r="DZ73" s="407">
        <v>515.08260000000337</v>
      </c>
      <c r="EA73" s="407">
        <v>0</v>
      </c>
      <c r="EB73" s="407">
        <v>0</v>
      </c>
      <c r="EC73" s="407">
        <v>-18869.207203940859</v>
      </c>
      <c r="ED73" s="407">
        <v>0</v>
      </c>
      <c r="EE73" s="407">
        <v>0</v>
      </c>
      <c r="EF73" s="407">
        <v>0</v>
      </c>
      <c r="EG73" s="407">
        <v>0</v>
      </c>
      <c r="EH73" s="407">
        <v>0</v>
      </c>
      <c r="EI73" s="407">
        <v>0</v>
      </c>
      <c r="EJ73" s="407">
        <v>0</v>
      </c>
      <c r="EK73" s="407">
        <v>0</v>
      </c>
      <c r="EL73" s="407">
        <v>0</v>
      </c>
      <c r="EM73" s="407">
        <v>0</v>
      </c>
      <c r="EN73" s="407">
        <v>0</v>
      </c>
      <c r="EO73" s="407">
        <v>0</v>
      </c>
      <c r="EP73" s="407">
        <v>0</v>
      </c>
      <c r="EQ73" s="407">
        <v>0</v>
      </c>
      <c r="ER73" s="407">
        <v>0</v>
      </c>
      <c r="ES73" s="407">
        <v>0</v>
      </c>
      <c r="ET73" s="407">
        <v>0</v>
      </c>
      <c r="EU73" s="407">
        <v>0</v>
      </c>
      <c r="EV73" s="407">
        <v>207</v>
      </c>
      <c r="EW73" s="407">
        <v>0</v>
      </c>
      <c r="EX73" s="407">
        <v>0</v>
      </c>
      <c r="EY73" s="407">
        <v>0</v>
      </c>
      <c r="EZ73" s="407"/>
      <c r="FA73" s="407">
        <v>0</v>
      </c>
      <c r="FB73" s="407"/>
      <c r="FC73" s="407"/>
      <c r="FD73" s="407"/>
      <c r="FE73" s="407"/>
      <c r="FF73" s="407">
        <v>0</v>
      </c>
      <c r="FG73" s="407">
        <v>0</v>
      </c>
      <c r="FH73" s="407">
        <v>0</v>
      </c>
      <c r="FI73" s="407">
        <v>0</v>
      </c>
    </row>
    <row r="74" spans="1:165" customFormat="1">
      <c r="A74" s="407">
        <v>72</v>
      </c>
      <c r="B74" s="407" t="s">
        <v>1092</v>
      </c>
      <c r="C74" s="407" t="s">
        <v>2315</v>
      </c>
      <c r="D74" s="407" t="s">
        <v>648</v>
      </c>
      <c r="E74" s="407" t="s">
        <v>1051</v>
      </c>
      <c r="F74" s="407" t="s">
        <v>96</v>
      </c>
      <c r="G74" s="407" t="s">
        <v>96</v>
      </c>
      <c r="H74" s="407" t="s">
        <v>96</v>
      </c>
      <c r="I74" s="407" t="s">
        <v>1027</v>
      </c>
      <c r="J74" s="407" t="s">
        <v>2306</v>
      </c>
      <c r="K74" s="815">
        <v>44470</v>
      </c>
      <c r="L74" s="407">
        <v>0</v>
      </c>
      <c r="M74" s="407">
        <v>0</v>
      </c>
      <c r="N74" s="407">
        <v>0.67</v>
      </c>
      <c r="O74" s="407">
        <v>0.67</v>
      </c>
      <c r="P74" s="407">
        <v>0.67</v>
      </c>
      <c r="Q74" s="407">
        <v>0.67</v>
      </c>
      <c r="R74" s="407"/>
      <c r="S74" s="407">
        <v>2075.9499999999998</v>
      </c>
      <c r="T74" s="407">
        <v>127.85</v>
      </c>
      <c r="U74" s="407"/>
      <c r="V74" s="407">
        <v>1476.546</v>
      </c>
      <c r="W74" s="407">
        <v>1476.546</v>
      </c>
      <c r="X74" s="407">
        <v>1183.4947000000002</v>
      </c>
      <c r="Y74" s="407">
        <v>0</v>
      </c>
      <c r="Z74" s="407">
        <v>35.600662177141942</v>
      </c>
      <c r="AA74" s="407">
        <v>0</v>
      </c>
      <c r="AB74" s="407">
        <v>0</v>
      </c>
      <c r="AC74" s="407">
        <v>0</v>
      </c>
      <c r="AD74" s="407">
        <v>422.10597468004437</v>
      </c>
      <c r="AE74" s="407">
        <v>922.69971594530091</v>
      </c>
      <c r="AF74" s="407">
        <v>85.657755453314593</v>
      </c>
      <c r="AG74" s="407">
        <v>0</v>
      </c>
      <c r="AH74" s="407">
        <v>0</v>
      </c>
      <c r="AI74" s="407">
        <v>0</v>
      </c>
      <c r="AJ74" s="407">
        <v>0</v>
      </c>
      <c r="AK74" s="407">
        <v>0</v>
      </c>
      <c r="AL74" s="407">
        <v>6.3283492691451828</v>
      </c>
      <c r="AM74" s="407"/>
      <c r="AN74" s="407">
        <v>0.67295075510955282</v>
      </c>
      <c r="AO74" s="407">
        <v>0</v>
      </c>
      <c r="AP74" s="407">
        <v>0</v>
      </c>
      <c r="AQ74" s="407">
        <v>0</v>
      </c>
      <c r="AR74" s="407">
        <v>0</v>
      </c>
      <c r="AS74" s="407">
        <v>0</v>
      </c>
      <c r="AT74" s="407">
        <v>0</v>
      </c>
      <c r="AU74" s="407">
        <v>0</v>
      </c>
      <c r="AV74" s="407">
        <v>0</v>
      </c>
      <c r="AW74" s="407">
        <v>0</v>
      </c>
      <c r="AX74" s="407">
        <v>0</v>
      </c>
      <c r="AY74" s="407">
        <v>0</v>
      </c>
      <c r="AZ74" s="407">
        <v>0</v>
      </c>
      <c r="BA74" s="407"/>
      <c r="BB74" s="407">
        <v>0</v>
      </c>
      <c r="BC74" s="407">
        <v>0</v>
      </c>
      <c r="BD74" s="407">
        <v>0</v>
      </c>
      <c r="BE74" s="407">
        <v>0</v>
      </c>
      <c r="BF74" s="407">
        <v>0</v>
      </c>
      <c r="BG74" s="407">
        <v>3.4783602588523235</v>
      </c>
      <c r="BH74" s="407">
        <v>0</v>
      </c>
      <c r="BI74" s="407">
        <v>0</v>
      </c>
      <c r="BJ74" s="407">
        <v>0</v>
      </c>
      <c r="BK74" s="407">
        <v>0</v>
      </c>
      <c r="BL74" s="407">
        <v>0</v>
      </c>
      <c r="BM74" s="407"/>
      <c r="BN74" s="407"/>
      <c r="BO74" s="407"/>
      <c r="BP74" s="407"/>
      <c r="BQ74" s="407"/>
      <c r="BR74" s="407"/>
      <c r="BS74" s="407"/>
      <c r="BT74" s="407"/>
      <c r="BU74" s="407"/>
      <c r="BV74" s="407">
        <v>89.136115712166912</v>
      </c>
      <c r="BW74" s="407"/>
      <c r="BX74" s="407"/>
      <c r="BY74" s="407"/>
      <c r="BZ74" s="407"/>
      <c r="CA74" s="407"/>
      <c r="CB74" s="407"/>
      <c r="CC74" s="407"/>
      <c r="CD74" s="407"/>
      <c r="CE74" s="407"/>
      <c r="CF74" s="407"/>
      <c r="CG74" s="407"/>
      <c r="CH74" s="407"/>
      <c r="CI74" s="407">
        <v>1183.4947000000002</v>
      </c>
      <c r="CJ74" s="407">
        <v>-293.08129999999983</v>
      </c>
      <c r="CK74" s="407"/>
      <c r="CL74" s="407"/>
      <c r="CM74" s="407"/>
      <c r="CN74" s="407"/>
      <c r="CO74" s="407">
        <v>-295.74469999999991</v>
      </c>
      <c r="CP74" s="407">
        <v>2.6934000000000071</v>
      </c>
      <c r="CQ74" s="407">
        <v>31</v>
      </c>
      <c r="CR74" s="407">
        <v>-20.286226768318784</v>
      </c>
      <c r="CS74" s="407">
        <v>0</v>
      </c>
      <c r="CT74" s="407">
        <v>0</v>
      </c>
      <c r="CU74" s="407">
        <v>0</v>
      </c>
      <c r="CV74" s="407">
        <v>0</v>
      </c>
      <c r="CW74" s="407">
        <v>0</v>
      </c>
      <c r="CX74" s="407">
        <v>0</v>
      </c>
      <c r="CY74" s="407">
        <v>0</v>
      </c>
      <c r="CZ74" s="407">
        <v>-22.14398134251087</v>
      </c>
      <c r="DA74" s="407">
        <v>0</v>
      </c>
      <c r="DB74" s="407">
        <v>0</v>
      </c>
      <c r="DC74" s="407">
        <v>2.6953251034464358</v>
      </c>
      <c r="DD74" s="407">
        <v>0</v>
      </c>
      <c r="DE74" s="407">
        <v>0</v>
      </c>
      <c r="DF74" s="407">
        <v>0</v>
      </c>
      <c r="DG74" s="407">
        <v>0.10945082176037779</v>
      </c>
      <c r="DH74" s="407">
        <v>0</v>
      </c>
      <c r="DI74" s="407">
        <v>-0.8107500170683366</v>
      </c>
      <c r="DJ74" s="407"/>
      <c r="DK74" s="407">
        <v>0</v>
      </c>
      <c r="DL74" s="407">
        <v>0</v>
      </c>
      <c r="DM74" s="407">
        <v>0</v>
      </c>
      <c r="DN74" s="407">
        <v>0</v>
      </c>
      <c r="DO74" s="407">
        <v>-0.12075776608537048</v>
      </c>
      <c r="DP74" s="407">
        <v>-1.5513567860994781E-2</v>
      </c>
      <c r="DQ74" s="407">
        <v>0</v>
      </c>
      <c r="DR74" s="407">
        <v>0</v>
      </c>
      <c r="DS74" s="407"/>
      <c r="DT74" s="407"/>
      <c r="DU74" s="407"/>
      <c r="DV74" s="407">
        <v>922.69971594530091</v>
      </c>
      <c r="DW74" s="407">
        <v>0</v>
      </c>
      <c r="DX74" s="407">
        <v>0</v>
      </c>
      <c r="DY74" s="407">
        <v>-295.74469999999997</v>
      </c>
      <c r="DZ74" s="407">
        <v>2.6934000000000111</v>
      </c>
      <c r="EA74" s="407">
        <v>0</v>
      </c>
      <c r="EB74" s="407">
        <v>0</v>
      </c>
      <c r="EC74" s="407">
        <v>-272.76460112046379</v>
      </c>
      <c r="ED74" s="407">
        <v>0</v>
      </c>
      <c r="EE74" s="407">
        <v>0</v>
      </c>
      <c r="EF74" s="407">
        <v>0</v>
      </c>
      <c r="EG74" s="407">
        <v>0</v>
      </c>
      <c r="EH74" s="407">
        <v>0</v>
      </c>
      <c r="EI74" s="407">
        <v>0</v>
      </c>
      <c r="EJ74" s="407">
        <v>0</v>
      </c>
      <c r="EK74" s="407">
        <v>0</v>
      </c>
      <c r="EL74" s="407">
        <v>0</v>
      </c>
      <c r="EM74" s="407">
        <v>0</v>
      </c>
      <c r="EN74" s="407">
        <v>0</v>
      </c>
      <c r="EO74" s="407">
        <v>0</v>
      </c>
      <c r="EP74" s="407">
        <v>0</v>
      </c>
      <c r="EQ74" s="407">
        <v>0</v>
      </c>
      <c r="ER74" s="407">
        <v>0</v>
      </c>
      <c r="ES74" s="407">
        <v>0</v>
      </c>
      <c r="ET74" s="407">
        <v>0</v>
      </c>
      <c r="EU74" s="407">
        <v>0</v>
      </c>
      <c r="EV74" s="407">
        <v>207</v>
      </c>
      <c r="EW74" s="407">
        <v>0</v>
      </c>
      <c r="EX74" s="407">
        <v>0</v>
      </c>
      <c r="EY74" s="407">
        <v>0</v>
      </c>
      <c r="EZ74" s="407"/>
      <c r="FA74" s="407">
        <v>0</v>
      </c>
      <c r="FB74" s="407"/>
      <c r="FC74" s="407"/>
      <c r="FD74" s="407"/>
      <c r="FE74" s="407"/>
      <c r="FF74" s="407">
        <v>0</v>
      </c>
      <c r="FG74" s="407">
        <v>0</v>
      </c>
      <c r="FH74" s="407">
        <v>0</v>
      </c>
      <c r="FI74" s="407">
        <v>0</v>
      </c>
    </row>
    <row r="75" spans="1:165" customFormat="1">
      <c r="A75" s="407">
        <v>73</v>
      </c>
      <c r="B75" s="407" t="s">
        <v>1092</v>
      </c>
      <c r="C75" s="407" t="s">
        <v>2315</v>
      </c>
      <c r="D75" s="407" t="s">
        <v>648</v>
      </c>
      <c r="E75" s="407" t="s">
        <v>1051</v>
      </c>
      <c r="F75" s="407" t="s">
        <v>96</v>
      </c>
      <c r="G75" s="407" t="s">
        <v>96</v>
      </c>
      <c r="H75" s="407" t="s">
        <v>96</v>
      </c>
      <c r="I75" s="407" t="s">
        <v>2290</v>
      </c>
      <c r="J75" s="407" t="s">
        <v>2306</v>
      </c>
      <c r="K75" s="815">
        <v>44470</v>
      </c>
      <c r="L75" s="407">
        <v>0</v>
      </c>
      <c r="M75" s="407">
        <v>0</v>
      </c>
      <c r="N75" s="407">
        <v>15.336</v>
      </c>
      <c r="O75" s="407">
        <v>15.336</v>
      </c>
      <c r="P75" s="407">
        <v>15.336</v>
      </c>
      <c r="Q75" s="407">
        <v>15.336</v>
      </c>
      <c r="R75" s="407"/>
      <c r="S75" s="407">
        <v>68.78</v>
      </c>
      <c r="T75" s="407">
        <v>127.85</v>
      </c>
      <c r="U75" s="407"/>
      <c r="V75" s="407">
        <v>3015.5176799999999</v>
      </c>
      <c r="W75" s="407">
        <v>3015.5176799999999</v>
      </c>
      <c r="X75" s="407">
        <v>3057.9984000000004</v>
      </c>
      <c r="Y75" s="407">
        <v>0</v>
      </c>
      <c r="Z75" s="407">
        <v>814.88321663977433</v>
      </c>
      <c r="AA75" s="407">
        <v>0</v>
      </c>
      <c r="AB75" s="407">
        <v>0</v>
      </c>
      <c r="AC75" s="407">
        <v>0</v>
      </c>
      <c r="AD75" s="407">
        <v>0</v>
      </c>
      <c r="AE75" s="407">
        <v>0</v>
      </c>
      <c r="AF75" s="407">
        <v>1960.6676681075112</v>
      </c>
      <c r="AG75" s="407">
        <v>0</v>
      </c>
      <c r="AH75" s="407">
        <v>0</v>
      </c>
      <c r="AI75" s="407">
        <v>0</v>
      </c>
      <c r="AJ75" s="407">
        <v>0</v>
      </c>
      <c r="AK75" s="407">
        <v>0</v>
      </c>
      <c r="AL75" s="407">
        <v>144.85308118150823</v>
      </c>
      <c r="AM75" s="407"/>
      <c r="AN75" s="407">
        <v>15.403541463224032</v>
      </c>
      <c r="AO75" s="407">
        <v>0</v>
      </c>
      <c r="AP75" s="407">
        <v>0</v>
      </c>
      <c r="AQ75" s="407">
        <v>0</v>
      </c>
      <c r="AR75" s="407">
        <v>0</v>
      </c>
      <c r="AS75" s="407">
        <v>0</v>
      </c>
      <c r="AT75" s="407">
        <v>0</v>
      </c>
      <c r="AU75" s="407">
        <v>0</v>
      </c>
      <c r="AV75" s="407">
        <v>0</v>
      </c>
      <c r="AW75" s="407">
        <v>0</v>
      </c>
      <c r="AX75" s="407">
        <v>0</v>
      </c>
      <c r="AY75" s="407">
        <v>0</v>
      </c>
      <c r="AZ75" s="407">
        <v>0</v>
      </c>
      <c r="BA75" s="407"/>
      <c r="BB75" s="407">
        <v>0</v>
      </c>
      <c r="BC75" s="407">
        <v>0</v>
      </c>
      <c r="BD75" s="407">
        <v>0</v>
      </c>
      <c r="BE75" s="407">
        <v>0</v>
      </c>
      <c r="BF75" s="407">
        <v>0</v>
      </c>
      <c r="BG75" s="407">
        <v>79.618108850386918</v>
      </c>
      <c r="BH75" s="407">
        <v>0</v>
      </c>
      <c r="BI75" s="407">
        <v>0</v>
      </c>
      <c r="BJ75" s="407">
        <v>0</v>
      </c>
      <c r="BK75" s="407">
        <v>0</v>
      </c>
      <c r="BL75" s="407">
        <v>0</v>
      </c>
      <c r="BM75" s="407"/>
      <c r="BN75" s="407"/>
      <c r="BO75" s="407"/>
      <c r="BP75" s="407"/>
      <c r="BQ75" s="407"/>
      <c r="BR75" s="407"/>
      <c r="BS75" s="407"/>
      <c r="BT75" s="407"/>
      <c r="BU75" s="407"/>
      <c r="BV75" s="407">
        <v>2040.2857769578982</v>
      </c>
      <c r="BW75" s="407"/>
      <c r="BX75" s="407"/>
      <c r="BY75" s="407"/>
      <c r="BZ75" s="407"/>
      <c r="CA75" s="407"/>
      <c r="CB75" s="407"/>
      <c r="CC75" s="407"/>
      <c r="CD75" s="407"/>
      <c r="CE75" s="407"/>
      <c r="CF75" s="407"/>
      <c r="CG75" s="407"/>
      <c r="CH75" s="407"/>
      <c r="CI75" s="407">
        <v>3058.7960000000003</v>
      </c>
      <c r="CJ75" s="407">
        <v>43.248320000000149</v>
      </c>
      <c r="CK75" s="407"/>
      <c r="CL75" s="407"/>
      <c r="CM75" s="407"/>
      <c r="CN75" s="407"/>
      <c r="CO75" s="407">
        <v>-19.170000000000002</v>
      </c>
      <c r="CP75" s="407">
        <v>61.650720000000156</v>
      </c>
      <c r="CQ75" s="407">
        <v>31</v>
      </c>
      <c r="CR75" s="407">
        <v>42.523170372851382</v>
      </c>
      <c r="CS75" s="407">
        <v>0</v>
      </c>
      <c r="CT75" s="407">
        <v>0</v>
      </c>
      <c r="CU75" s="407">
        <v>0</v>
      </c>
      <c r="CV75" s="407">
        <v>0</v>
      </c>
      <c r="CW75" s="407">
        <v>0</v>
      </c>
      <c r="CX75" s="407">
        <v>0</v>
      </c>
      <c r="CY75" s="407">
        <v>0</v>
      </c>
      <c r="CZ75" s="407">
        <v>0</v>
      </c>
      <c r="DA75" s="407">
        <v>0</v>
      </c>
      <c r="DB75" s="407">
        <v>0</v>
      </c>
      <c r="DC75" s="407">
        <v>61.694784755902219</v>
      </c>
      <c r="DD75" s="407">
        <v>0</v>
      </c>
      <c r="DE75" s="407">
        <v>0</v>
      </c>
      <c r="DF75" s="407">
        <v>0</v>
      </c>
      <c r="DG75" s="407">
        <v>2.5052803022643957</v>
      </c>
      <c r="DH75" s="407">
        <v>0</v>
      </c>
      <c r="DI75" s="407">
        <v>-18.557704868298515</v>
      </c>
      <c r="DJ75" s="407"/>
      <c r="DK75" s="407">
        <v>0</v>
      </c>
      <c r="DL75" s="407">
        <v>0</v>
      </c>
      <c r="DM75" s="407">
        <v>0</v>
      </c>
      <c r="DN75" s="407">
        <v>0</v>
      </c>
      <c r="DO75" s="407">
        <v>-2.7640911950526004</v>
      </c>
      <c r="DP75" s="407">
        <v>-0.35509862196450115</v>
      </c>
      <c r="DQ75" s="407">
        <v>0</v>
      </c>
      <c r="DR75" s="407">
        <v>0</v>
      </c>
      <c r="DS75" s="407"/>
      <c r="DT75" s="407"/>
      <c r="DU75" s="407"/>
      <c r="DV75" s="407">
        <v>0</v>
      </c>
      <c r="DW75" s="407">
        <v>0</v>
      </c>
      <c r="DX75" s="407">
        <v>0</v>
      </c>
      <c r="DY75" s="407">
        <v>-19.169999999999845</v>
      </c>
      <c r="DZ75" s="407">
        <v>61.650720000000092</v>
      </c>
      <c r="EA75" s="407">
        <v>0</v>
      </c>
      <c r="EB75" s="407">
        <v>0</v>
      </c>
      <c r="EC75" s="407">
        <v>0</v>
      </c>
      <c r="ED75" s="407">
        <v>0</v>
      </c>
      <c r="EE75" s="407">
        <v>0</v>
      </c>
      <c r="EF75" s="407">
        <v>0</v>
      </c>
      <c r="EG75" s="407">
        <v>0</v>
      </c>
      <c r="EH75" s="407">
        <v>0</v>
      </c>
      <c r="EI75" s="407">
        <v>0</v>
      </c>
      <c r="EJ75" s="407">
        <v>0</v>
      </c>
      <c r="EK75" s="407">
        <v>0</v>
      </c>
      <c r="EL75" s="407">
        <v>0</v>
      </c>
      <c r="EM75" s="407">
        <v>0</v>
      </c>
      <c r="EN75" s="407">
        <v>0</v>
      </c>
      <c r="EO75" s="407">
        <v>0</v>
      </c>
      <c r="EP75" s="407">
        <v>0</v>
      </c>
      <c r="EQ75" s="407">
        <v>0</v>
      </c>
      <c r="ER75" s="407">
        <v>0</v>
      </c>
      <c r="ES75" s="407">
        <v>0</v>
      </c>
      <c r="ET75" s="407">
        <v>0</v>
      </c>
      <c r="EU75" s="407">
        <v>0</v>
      </c>
      <c r="EV75" s="407">
        <v>207</v>
      </c>
      <c r="EW75" s="407">
        <v>0</v>
      </c>
      <c r="EX75" s="407">
        <v>0</v>
      </c>
      <c r="EY75" s="407">
        <v>0</v>
      </c>
      <c r="EZ75" s="407"/>
      <c r="FA75" s="407">
        <v>0</v>
      </c>
      <c r="FB75" s="407"/>
      <c r="FC75" s="407"/>
      <c r="FD75" s="407"/>
      <c r="FE75" s="407"/>
      <c r="FF75" s="407">
        <v>0</v>
      </c>
      <c r="FG75" s="407">
        <v>0</v>
      </c>
      <c r="FH75" s="407">
        <v>0</v>
      </c>
      <c r="FI75" s="407">
        <v>0</v>
      </c>
    </row>
    <row r="76" spans="1:165" customFormat="1">
      <c r="A76" s="407">
        <v>74</v>
      </c>
      <c r="B76" s="407" t="s">
        <v>1092</v>
      </c>
      <c r="C76" s="407" t="s">
        <v>2315</v>
      </c>
      <c r="D76" s="407" t="s">
        <v>648</v>
      </c>
      <c r="E76" s="407" t="s">
        <v>1051</v>
      </c>
      <c r="F76" s="407" t="s">
        <v>96</v>
      </c>
      <c r="G76" s="407" t="s">
        <v>96</v>
      </c>
      <c r="H76" s="407" t="s">
        <v>96</v>
      </c>
      <c r="I76" s="407" t="s">
        <v>96</v>
      </c>
      <c r="J76" s="407" t="s">
        <v>2306</v>
      </c>
      <c r="K76" s="815">
        <v>44470</v>
      </c>
      <c r="L76" s="407">
        <v>280</v>
      </c>
      <c r="M76" s="407">
        <v>280</v>
      </c>
      <c r="N76" s="407">
        <v>0</v>
      </c>
      <c r="O76" s="407">
        <v>0</v>
      </c>
      <c r="P76" s="407">
        <v>0</v>
      </c>
      <c r="Q76" s="407">
        <v>0</v>
      </c>
      <c r="R76" s="407">
        <v>39.56</v>
      </c>
      <c r="S76" s="407"/>
      <c r="T76" s="407"/>
      <c r="U76" s="407">
        <v>11076.800000000001</v>
      </c>
      <c r="V76" s="407"/>
      <c r="W76" s="407">
        <v>11076.800000000001</v>
      </c>
      <c r="X76" s="407">
        <v>8696.7999999999993</v>
      </c>
      <c r="Y76" s="407">
        <v>0</v>
      </c>
      <c r="Z76" s="407">
        <v>0</v>
      </c>
      <c r="AA76" s="407">
        <v>0</v>
      </c>
      <c r="AB76" s="407">
        <v>0</v>
      </c>
      <c r="AC76" s="407">
        <v>0</v>
      </c>
      <c r="AD76" s="407">
        <v>3687.6789040341037</v>
      </c>
      <c r="AE76" s="407">
        <v>7387.7809853611961</v>
      </c>
      <c r="AF76" s="407"/>
      <c r="AG76" s="407"/>
      <c r="AH76" s="407"/>
      <c r="AI76" s="407">
        <v>0</v>
      </c>
      <c r="AJ76" s="407">
        <v>0</v>
      </c>
      <c r="AK76" s="407">
        <v>0</v>
      </c>
      <c r="AL76" s="407">
        <v>0</v>
      </c>
      <c r="AM76" s="407"/>
      <c r="AN76" s="407">
        <v>0</v>
      </c>
      <c r="AO76" s="407">
        <v>0</v>
      </c>
      <c r="AP76" s="407">
        <v>0</v>
      </c>
      <c r="AQ76" s="407">
        <v>0</v>
      </c>
      <c r="AR76" s="407">
        <v>0</v>
      </c>
      <c r="AS76" s="407"/>
      <c r="AT76" s="407"/>
      <c r="AU76" s="407">
        <v>0</v>
      </c>
      <c r="AV76" s="407">
        <v>0</v>
      </c>
      <c r="AW76" s="407">
        <v>0</v>
      </c>
      <c r="AX76" s="407"/>
      <c r="AY76" s="407"/>
      <c r="AZ76" s="407">
        <v>0</v>
      </c>
      <c r="BA76" s="407"/>
      <c r="BB76" s="407">
        <v>0</v>
      </c>
      <c r="BC76" s="407">
        <v>0</v>
      </c>
      <c r="BD76" s="407">
        <v>0</v>
      </c>
      <c r="BE76" s="407">
        <v>0</v>
      </c>
      <c r="BF76" s="407"/>
      <c r="BG76" s="407">
        <v>0</v>
      </c>
      <c r="BH76" s="407">
        <v>0</v>
      </c>
      <c r="BI76" s="407">
        <v>102.61</v>
      </c>
      <c r="BJ76" s="407">
        <v>473.62</v>
      </c>
      <c r="BK76" s="407">
        <v>3062.16</v>
      </c>
      <c r="BL76" s="407">
        <v>2</v>
      </c>
      <c r="BM76" s="407"/>
      <c r="BN76" s="407"/>
      <c r="BO76" s="407"/>
      <c r="BP76" s="407"/>
      <c r="BQ76" s="407"/>
      <c r="BR76" s="407"/>
      <c r="BS76" s="407"/>
      <c r="BT76" s="407"/>
      <c r="BU76" s="407"/>
      <c r="BV76" s="407">
        <v>0</v>
      </c>
      <c r="BW76" s="407"/>
      <c r="BX76" s="407"/>
      <c r="BY76" s="407"/>
      <c r="BZ76" s="407"/>
      <c r="CA76" s="407"/>
      <c r="CB76" s="407"/>
      <c r="CC76" s="407"/>
      <c r="CD76" s="407"/>
      <c r="CE76" s="407"/>
      <c r="CF76" s="407"/>
      <c r="CG76" s="407"/>
      <c r="CH76" s="407"/>
      <c r="CI76" s="407">
        <v>8696.7999999999993</v>
      </c>
      <c r="CJ76" s="407">
        <v>-2380.0300000000025</v>
      </c>
      <c r="CK76" s="407"/>
      <c r="CL76" s="407"/>
      <c r="CM76" s="407"/>
      <c r="CN76" s="407"/>
      <c r="CO76" s="407">
        <v>-2380.0000000000009</v>
      </c>
      <c r="CP76" s="407">
        <v>0</v>
      </c>
      <c r="CQ76" s="407">
        <v>31</v>
      </c>
      <c r="CR76" s="407">
        <v>-193.45827291355545</v>
      </c>
      <c r="CS76" s="407">
        <v>0</v>
      </c>
      <c r="CT76" s="407">
        <v>0</v>
      </c>
      <c r="CU76" s="407">
        <v>0</v>
      </c>
      <c r="CV76" s="407">
        <v>0</v>
      </c>
      <c r="CW76" s="407"/>
      <c r="CX76" s="407"/>
      <c r="CY76" s="407"/>
      <c r="CZ76" s="407">
        <v>-193.45827291355545</v>
      </c>
      <c r="DA76" s="407">
        <v>0</v>
      </c>
      <c r="DB76" s="407">
        <v>0</v>
      </c>
      <c r="DC76" s="407"/>
      <c r="DD76" s="407"/>
      <c r="DE76" s="407">
        <v>0</v>
      </c>
      <c r="DF76" s="407">
        <v>0</v>
      </c>
      <c r="DG76" s="407">
        <v>0</v>
      </c>
      <c r="DH76" s="407">
        <v>0</v>
      </c>
      <c r="DI76" s="407">
        <v>0</v>
      </c>
      <c r="DJ76" s="407"/>
      <c r="DK76" s="407">
        <v>0</v>
      </c>
      <c r="DL76" s="407">
        <v>0</v>
      </c>
      <c r="DM76" s="407"/>
      <c r="DN76" s="407">
        <v>0</v>
      </c>
      <c r="DO76" s="407">
        <v>0</v>
      </c>
      <c r="DP76" s="407">
        <v>0</v>
      </c>
      <c r="DQ76" s="407">
        <v>0</v>
      </c>
      <c r="DR76" s="407">
        <v>0</v>
      </c>
      <c r="DS76" s="407"/>
      <c r="DT76" s="407"/>
      <c r="DU76" s="407">
        <v>7387.7809853611961</v>
      </c>
      <c r="DV76" s="407"/>
      <c r="DW76" s="407">
        <v>0</v>
      </c>
      <c r="DX76" s="407">
        <v>0</v>
      </c>
      <c r="DY76" s="407">
        <v>-2380.0000000000018</v>
      </c>
      <c r="DZ76" s="407"/>
      <c r="EA76" s="407">
        <v>0</v>
      </c>
      <c r="EB76" s="407"/>
      <c r="EC76" s="407">
        <v>-2183.944677573596</v>
      </c>
      <c r="ED76" s="407"/>
      <c r="EE76" s="407">
        <v>0</v>
      </c>
      <c r="EF76" s="407">
        <v>0</v>
      </c>
      <c r="EG76" s="407"/>
      <c r="EH76" s="407">
        <v>0</v>
      </c>
      <c r="EI76" s="407">
        <v>0</v>
      </c>
      <c r="EJ76" s="407">
        <v>0</v>
      </c>
      <c r="EK76" s="407">
        <v>0</v>
      </c>
      <c r="EL76" s="407">
        <v>0</v>
      </c>
      <c r="EM76" s="407"/>
      <c r="EN76" s="407"/>
      <c r="EO76" s="407">
        <v>0</v>
      </c>
      <c r="EP76" s="407">
        <v>0</v>
      </c>
      <c r="EQ76" s="407"/>
      <c r="ER76" s="407">
        <v>0</v>
      </c>
      <c r="ES76" s="407"/>
      <c r="ET76" s="407">
        <v>0</v>
      </c>
      <c r="EU76" s="407"/>
      <c r="EV76" s="407">
        <v>207</v>
      </c>
      <c r="EW76" s="407"/>
      <c r="EX76" s="407"/>
      <c r="EY76" s="407"/>
      <c r="EZ76" s="407"/>
      <c r="FA76" s="407">
        <v>0</v>
      </c>
      <c r="FB76" s="407"/>
      <c r="FC76" s="407"/>
      <c r="FD76" s="407"/>
      <c r="FE76" s="407"/>
      <c r="FF76" s="407">
        <v>0</v>
      </c>
      <c r="FG76" s="407">
        <v>0</v>
      </c>
      <c r="FH76" s="407">
        <v>0</v>
      </c>
      <c r="FI76" s="407">
        <v>0</v>
      </c>
    </row>
    <row r="77" spans="1:165" customFormat="1">
      <c r="A77" s="407">
        <v>75</v>
      </c>
      <c r="B77" s="407" t="s">
        <v>1092</v>
      </c>
      <c r="C77" s="407" t="s">
        <v>2305</v>
      </c>
      <c r="D77" s="407" t="s">
        <v>2316</v>
      </c>
      <c r="E77" s="407" t="s">
        <v>1028</v>
      </c>
      <c r="F77" s="407" t="s">
        <v>96</v>
      </c>
      <c r="G77" s="407" t="s">
        <v>96</v>
      </c>
      <c r="H77" s="407" t="s">
        <v>96</v>
      </c>
      <c r="I77" s="407" t="s">
        <v>96</v>
      </c>
      <c r="J77" s="407" t="s">
        <v>2306</v>
      </c>
      <c r="K77" s="815">
        <v>44470</v>
      </c>
      <c r="L77" s="407">
        <v>0</v>
      </c>
      <c r="M77" s="407">
        <v>0</v>
      </c>
      <c r="N77" s="407">
        <v>56.595999999999997</v>
      </c>
      <c r="O77" s="407">
        <v>56.595999999999997</v>
      </c>
      <c r="P77" s="407">
        <v>56.595999999999997</v>
      </c>
      <c r="Q77" s="407">
        <v>56.595999999999997</v>
      </c>
      <c r="R77" s="407"/>
      <c r="S77" s="407">
        <v>710.52</v>
      </c>
      <c r="T77" s="407">
        <v>127.85</v>
      </c>
      <c r="U77" s="407"/>
      <c r="V77" s="407">
        <v>47448.38852</v>
      </c>
      <c r="W77" s="407">
        <v>47448.38852</v>
      </c>
      <c r="X77" s="407">
        <v>38978.231159999996</v>
      </c>
      <c r="Y77" s="407">
        <v>0</v>
      </c>
      <c r="Z77" s="407">
        <v>3456.6050378753189</v>
      </c>
      <c r="AA77" s="407">
        <v>0</v>
      </c>
      <c r="AB77" s="407">
        <v>0</v>
      </c>
      <c r="AC77" s="407">
        <v>0</v>
      </c>
      <c r="AD77" s="407">
        <v>6188.3455597688371</v>
      </c>
      <c r="AE77" s="407">
        <v>28194.275847599129</v>
      </c>
      <c r="AF77" s="407">
        <v>7235.6512352773016</v>
      </c>
      <c r="AG77" s="407">
        <v>0</v>
      </c>
      <c r="AH77" s="407">
        <v>0</v>
      </c>
      <c r="AI77" s="407">
        <v>0</v>
      </c>
      <c r="AJ77" s="407">
        <v>0</v>
      </c>
      <c r="AK77" s="407">
        <v>0</v>
      </c>
      <c r="AL77" s="407">
        <v>534.56605259185187</v>
      </c>
      <c r="AM77" s="407"/>
      <c r="AN77" s="407">
        <v>129.6480392831281</v>
      </c>
      <c r="AO77" s="407">
        <v>0</v>
      </c>
      <c r="AP77" s="407">
        <v>0</v>
      </c>
      <c r="AQ77" s="407">
        <v>0</v>
      </c>
      <c r="AR77" s="407">
        <v>0</v>
      </c>
      <c r="AS77" s="407">
        <v>0</v>
      </c>
      <c r="AT77" s="407">
        <v>0</v>
      </c>
      <c r="AU77" s="407">
        <v>0</v>
      </c>
      <c r="AV77" s="407">
        <v>0</v>
      </c>
      <c r="AW77" s="407">
        <v>0</v>
      </c>
      <c r="AX77" s="407">
        <v>0</v>
      </c>
      <c r="AY77" s="407">
        <v>0</v>
      </c>
      <c r="AZ77" s="407">
        <v>0</v>
      </c>
      <c r="BA77" s="407"/>
      <c r="BB77" s="407">
        <v>0</v>
      </c>
      <c r="BC77" s="407">
        <v>0</v>
      </c>
      <c r="BD77" s="407">
        <v>0</v>
      </c>
      <c r="BE77" s="407">
        <v>0</v>
      </c>
      <c r="BF77" s="407">
        <v>0</v>
      </c>
      <c r="BG77" s="407">
        <v>1709.0969691451228</v>
      </c>
      <c r="BH77" s="407">
        <v>0</v>
      </c>
      <c r="BI77" s="407">
        <v>223.89</v>
      </c>
      <c r="BJ77" s="407">
        <v>1034.3699999999999</v>
      </c>
      <c r="BK77" s="407">
        <v>0</v>
      </c>
      <c r="BL77" s="407">
        <v>42</v>
      </c>
      <c r="BM77" s="407"/>
      <c r="BN77" s="407"/>
      <c r="BO77" s="407"/>
      <c r="BP77" s="407"/>
      <c r="BQ77" s="407"/>
      <c r="BR77" s="407">
        <v>4677.0934400000024</v>
      </c>
      <c r="BS77" s="407"/>
      <c r="BT77" s="407"/>
      <c r="BU77" s="407"/>
      <c r="BV77" s="407">
        <v>8944.7482044224234</v>
      </c>
      <c r="BW77" s="407"/>
      <c r="BX77" s="407"/>
      <c r="BY77" s="407"/>
      <c r="BZ77" s="407"/>
      <c r="CA77" s="407"/>
      <c r="CB77" s="407"/>
      <c r="CC77" s="407"/>
      <c r="CD77" s="407"/>
      <c r="CE77" s="407"/>
      <c r="CF77" s="407"/>
      <c r="CG77" s="407"/>
      <c r="CH77" s="407"/>
      <c r="CI77" s="407">
        <v>34303.562000000005</v>
      </c>
      <c r="CJ77" s="407">
        <v>-7451.2989200000011</v>
      </c>
      <c r="CK77" s="407"/>
      <c r="CL77" s="407"/>
      <c r="CM77" s="407"/>
      <c r="CN77" s="407"/>
      <c r="CO77" s="407">
        <v>-8697.6732799999972</v>
      </c>
      <c r="CP77" s="407">
        <v>227.51592000000056</v>
      </c>
      <c r="CQ77" s="407">
        <v>31</v>
      </c>
      <c r="CR77" s="407">
        <v>-135.09591278705193</v>
      </c>
      <c r="CS77" s="407">
        <v>0</v>
      </c>
      <c r="CT77" s="407">
        <v>0</v>
      </c>
      <c r="CU77" s="407">
        <v>0</v>
      </c>
      <c r="CV77" s="407">
        <v>0</v>
      </c>
      <c r="CW77" s="407">
        <v>0</v>
      </c>
      <c r="CX77" s="407">
        <v>0</v>
      </c>
      <c r="CY77" s="407">
        <v>0</v>
      </c>
      <c r="CZ77" s="407">
        <v>-324.64503427225645</v>
      </c>
      <c r="DA77" s="407">
        <v>0</v>
      </c>
      <c r="DB77" s="407">
        <v>0</v>
      </c>
      <c r="DC77" s="407">
        <v>227.67853664873746</v>
      </c>
      <c r="DD77" s="407">
        <v>0</v>
      </c>
      <c r="DE77" s="407">
        <v>0</v>
      </c>
      <c r="DF77" s="407">
        <v>0</v>
      </c>
      <c r="DG77" s="407">
        <v>53.778807777326165</v>
      </c>
      <c r="DH77" s="407">
        <v>0</v>
      </c>
      <c r="DI77" s="407">
        <v>-78.71883336077417</v>
      </c>
      <c r="DJ77" s="407"/>
      <c r="DK77" s="407">
        <v>0</v>
      </c>
      <c r="DL77" s="407">
        <v>0</v>
      </c>
      <c r="DM77" s="407">
        <v>0</v>
      </c>
      <c r="DN77" s="407">
        <v>0</v>
      </c>
      <c r="DO77" s="407">
        <v>-10.200606760250253</v>
      </c>
      <c r="DP77" s="407">
        <v>-2.9887828198309023</v>
      </c>
      <c r="DQ77" s="407">
        <v>0</v>
      </c>
      <c r="DR77" s="407">
        <v>0</v>
      </c>
      <c r="DS77" s="407"/>
      <c r="DT77" s="407"/>
      <c r="DU77" s="407"/>
      <c r="DV77" s="407">
        <v>28194.275847599129</v>
      </c>
      <c r="DW77" s="407">
        <v>0</v>
      </c>
      <c r="DX77" s="407">
        <v>0</v>
      </c>
      <c r="DY77" s="407">
        <v>-8697.6732799999991</v>
      </c>
      <c r="DZ77" s="407">
        <v>227.51592000000073</v>
      </c>
      <c r="EA77" s="407">
        <v>0</v>
      </c>
      <c r="EB77" s="407">
        <v>0</v>
      </c>
      <c r="EC77" s="407">
        <v>-8334.6729955064147</v>
      </c>
      <c r="ED77" s="407">
        <v>0</v>
      </c>
      <c r="EE77" s="407">
        <v>0</v>
      </c>
      <c r="EF77" s="407">
        <v>0</v>
      </c>
      <c r="EG77" s="407">
        <v>0</v>
      </c>
      <c r="EH77" s="407">
        <v>0</v>
      </c>
      <c r="EI77" s="407">
        <v>0</v>
      </c>
      <c r="EJ77" s="407">
        <v>0</v>
      </c>
      <c r="EK77" s="407">
        <v>0</v>
      </c>
      <c r="EL77" s="407">
        <v>0</v>
      </c>
      <c r="EM77" s="407">
        <v>0</v>
      </c>
      <c r="EN77" s="407">
        <v>0</v>
      </c>
      <c r="EO77" s="407">
        <v>0</v>
      </c>
      <c r="EP77" s="407">
        <v>0</v>
      </c>
      <c r="EQ77" s="407">
        <v>0</v>
      </c>
      <c r="ER77" s="407">
        <v>0</v>
      </c>
      <c r="ES77" s="407">
        <v>0</v>
      </c>
      <c r="ET77" s="407">
        <v>0</v>
      </c>
      <c r="EU77" s="407">
        <v>0</v>
      </c>
      <c r="EV77" s="407">
        <v>207</v>
      </c>
      <c r="EW77" s="407">
        <v>0</v>
      </c>
      <c r="EX77" s="407">
        <v>0</v>
      </c>
      <c r="EY77" s="407">
        <v>0</v>
      </c>
      <c r="EZ77" s="407"/>
      <c r="FA77" s="407">
        <v>0</v>
      </c>
      <c r="FB77" s="407"/>
      <c r="FC77" s="407"/>
      <c r="FD77" s="407"/>
      <c r="FE77" s="407"/>
      <c r="FF77" s="407">
        <v>0</v>
      </c>
      <c r="FG77" s="407">
        <v>0</v>
      </c>
      <c r="FH77" s="407">
        <v>0</v>
      </c>
      <c r="FI77" s="407">
        <v>0</v>
      </c>
    </row>
    <row r="78" spans="1:165" customFormat="1">
      <c r="A78" s="407">
        <v>76</v>
      </c>
      <c r="B78" s="407" t="s">
        <v>1092</v>
      </c>
      <c r="C78" s="407" t="s">
        <v>2305</v>
      </c>
      <c r="D78" s="407" t="s">
        <v>1221</v>
      </c>
      <c r="E78" s="407" t="s">
        <v>2317</v>
      </c>
      <c r="F78" s="407" t="s">
        <v>96</v>
      </c>
      <c r="G78" s="407" t="s">
        <v>96</v>
      </c>
      <c r="H78" s="407" t="s">
        <v>96</v>
      </c>
      <c r="I78" s="407" t="s">
        <v>96</v>
      </c>
      <c r="J78" s="407" t="s">
        <v>2306</v>
      </c>
      <c r="K78" s="815">
        <v>44470</v>
      </c>
      <c r="L78" s="407">
        <v>0</v>
      </c>
      <c r="M78" s="407">
        <v>0</v>
      </c>
      <c r="N78" s="407">
        <v>7.13</v>
      </c>
      <c r="O78" s="407">
        <v>7.13</v>
      </c>
      <c r="P78" s="407">
        <v>7.13</v>
      </c>
      <c r="Q78" s="407">
        <v>7.13</v>
      </c>
      <c r="R78" s="407"/>
      <c r="S78" s="407">
        <v>710.52</v>
      </c>
      <c r="T78" s="407">
        <v>127.85</v>
      </c>
      <c r="U78" s="407"/>
      <c r="V78" s="407">
        <v>5977.5780999999997</v>
      </c>
      <c r="W78" s="407">
        <v>5977.5780999999997</v>
      </c>
      <c r="X78" s="407">
        <v>4910.5023000000001</v>
      </c>
      <c r="Y78" s="407">
        <v>0</v>
      </c>
      <c r="Z78" s="407">
        <v>435.46529648828584</v>
      </c>
      <c r="AA78" s="407">
        <v>0</v>
      </c>
      <c r="AB78" s="407">
        <v>0</v>
      </c>
      <c r="AC78" s="407">
        <v>0</v>
      </c>
      <c r="AD78" s="407">
        <v>779.61170120064696</v>
      </c>
      <c r="AE78" s="407">
        <v>3551.9327654495332</v>
      </c>
      <c r="AF78" s="407">
        <v>911.55193489870601</v>
      </c>
      <c r="AG78" s="407">
        <v>0</v>
      </c>
      <c r="AH78" s="407">
        <v>0</v>
      </c>
      <c r="AI78" s="407">
        <v>0</v>
      </c>
      <c r="AJ78" s="407">
        <v>0</v>
      </c>
      <c r="AK78" s="407">
        <v>0</v>
      </c>
      <c r="AL78" s="407">
        <v>67.344970580604695</v>
      </c>
      <c r="AM78" s="407"/>
      <c r="AN78" s="407">
        <v>16.333142273105935</v>
      </c>
      <c r="AO78" s="407">
        <v>0</v>
      </c>
      <c r="AP78" s="407">
        <v>0</v>
      </c>
      <c r="AQ78" s="407">
        <v>0</v>
      </c>
      <c r="AR78" s="407">
        <v>0</v>
      </c>
      <c r="AS78" s="407">
        <v>0</v>
      </c>
      <c r="AT78" s="407">
        <v>0</v>
      </c>
      <c r="AU78" s="407">
        <v>0</v>
      </c>
      <c r="AV78" s="407">
        <v>0</v>
      </c>
      <c r="AW78" s="407">
        <v>0</v>
      </c>
      <c r="AX78" s="407">
        <v>0</v>
      </c>
      <c r="AY78" s="407">
        <v>0</v>
      </c>
      <c r="AZ78" s="407">
        <v>0</v>
      </c>
      <c r="BA78" s="407"/>
      <c r="BB78" s="407">
        <v>0</v>
      </c>
      <c r="BC78" s="407">
        <v>0</v>
      </c>
      <c r="BD78" s="407">
        <v>0</v>
      </c>
      <c r="BE78" s="407">
        <v>0</v>
      </c>
      <c r="BF78" s="407">
        <v>0</v>
      </c>
      <c r="BG78" s="407">
        <v>215.31312089201933</v>
      </c>
      <c r="BH78" s="407">
        <v>0</v>
      </c>
      <c r="BI78" s="407">
        <v>26.55</v>
      </c>
      <c r="BJ78" s="407">
        <v>122.93</v>
      </c>
      <c r="BK78" s="407">
        <v>1332.84</v>
      </c>
      <c r="BL78" s="407">
        <v>18</v>
      </c>
      <c r="BM78" s="407"/>
      <c r="BN78" s="407"/>
      <c r="BO78" s="407"/>
      <c r="BP78" s="407"/>
      <c r="BQ78" s="407"/>
      <c r="BR78" s="407"/>
      <c r="BS78" s="407"/>
      <c r="BT78" s="407"/>
      <c r="BU78" s="407"/>
      <c r="BV78" s="407">
        <v>1126.8650557907254</v>
      </c>
      <c r="BW78" s="407"/>
      <c r="BX78" s="407"/>
      <c r="BY78" s="407"/>
      <c r="BZ78" s="407"/>
      <c r="CA78" s="407"/>
      <c r="CB78" s="407"/>
      <c r="CC78" s="407"/>
      <c r="CD78" s="407"/>
      <c r="CE78" s="407"/>
      <c r="CF78" s="407"/>
      <c r="CG78" s="407"/>
      <c r="CH78" s="407"/>
      <c r="CI78" s="407">
        <v>4910.5023000000001</v>
      </c>
      <c r="CJ78" s="407">
        <v>-1067.1058000000003</v>
      </c>
      <c r="CK78" s="407"/>
      <c r="CL78" s="407"/>
      <c r="CM78" s="407"/>
      <c r="CN78" s="407"/>
      <c r="CO78" s="407">
        <v>-1095.7383999999997</v>
      </c>
      <c r="CP78" s="407">
        <v>28.662600000000072</v>
      </c>
      <c r="CQ78" s="407">
        <v>31</v>
      </c>
      <c r="CR78" s="407">
        <v>-17.019468834752843</v>
      </c>
      <c r="CS78" s="407">
        <v>0</v>
      </c>
      <c r="CT78" s="407">
        <v>0</v>
      </c>
      <c r="CU78" s="407">
        <v>0</v>
      </c>
      <c r="CV78" s="407">
        <v>0</v>
      </c>
      <c r="CW78" s="407">
        <v>0</v>
      </c>
      <c r="CX78" s="407">
        <v>0</v>
      </c>
      <c r="CY78" s="407">
        <v>0</v>
      </c>
      <c r="CZ78" s="407">
        <v>-40.89898746132576</v>
      </c>
      <c r="DA78" s="407">
        <v>0</v>
      </c>
      <c r="DB78" s="407">
        <v>0</v>
      </c>
      <c r="DC78" s="407">
        <v>28.683086548616416</v>
      </c>
      <c r="DD78" s="407">
        <v>0</v>
      </c>
      <c r="DE78" s="407">
        <v>0</v>
      </c>
      <c r="DF78" s="407">
        <v>0</v>
      </c>
      <c r="DG78" s="407">
        <v>6.7750883357894054</v>
      </c>
      <c r="DH78" s="407">
        <v>0</v>
      </c>
      <c r="DI78" s="407">
        <v>-9.9170485875736745</v>
      </c>
      <c r="DJ78" s="407"/>
      <c r="DK78" s="407">
        <v>0</v>
      </c>
      <c r="DL78" s="407">
        <v>0</v>
      </c>
      <c r="DM78" s="407">
        <v>0</v>
      </c>
      <c r="DN78" s="407">
        <v>0</v>
      </c>
      <c r="DO78" s="407">
        <v>-1.2850789137144574</v>
      </c>
      <c r="DP78" s="407">
        <v>-0.37652875654453233</v>
      </c>
      <c r="DQ78" s="407">
        <v>0</v>
      </c>
      <c r="DR78" s="407">
        <v>0</v>
      </c>
      <c r="DS78" s="407"/>
      <c r="DT78" s="407"/>
      <c r="DU78" s="407"/>
      <c r="DV78" s="407">
        <v>3551.9327654495332</v>
      </c>
      <c r="DW78" s="407">
        <v>0</v>
      </c>
      <c r="DX78" s="407">
        <v>0</v>
      </c>
      <c r="DY78" s="407">
        <v>-1095.7383999999997</v>
      </c>
      <c r="DZ78" s="407">
        <v>28.662600000000111</v>
      </c>
      <c r="EA78" s="407">
        <v>0</v>
      </c>
      <c r="EB78" s="407">
        <v>0</v>
      </c>
      <c r="EC78" s="407">
        <v>-1050.0073937727175</v>
      </c>
      <c r="ED78" s="407">
        <v>0</v>
      </c>
      <c r="EE78" s="407">
        <v>0</v>
      </c>
      <c r="EF78" s="407">
        <v>0</v>
      </c>
      <c r="EG78" s="407">
        <v>0</v>
      </c>
      <c r="EH78" s="407">
        <v>0</v>
      </c>
      <c r="EI78" s="407">
        <v>0</v>
      </c>
      <c r="EJ78" s="407">
        <v>0</v>
      </c>
      <c r="EK78" s="407">
        <v>0</v>
      </c>
      <c r="EL78" s="407">
        <v>0</v>
      </c>
      <c r="EM78" s="407">
        <v>0</v>
      </c>
      <c r="EN78" s="407">
        <v>0</v>
      </c>
      <c r="EO78" s="407">
        <v>0</v>
      </c>
      <c r="EP78" s="407">
        <v>0</v>
      </c>
      <c r="EQ78" s="407">
        <v>0</v>
      </c>
      <c r="ER78" s="407">
        <v>0</v>
      </c>
      <c r="ES78" s="407">
        <v>0</v>
      </c>
      <c r="ET78" s="407">
        <v>0</v>
      </c>
      <c r="EU78" s="407">
        <v>0</v>
      </c>
      <c r="EV78" s="407">
        <v>207</v>
      </c>
      <c r="EW78" s="407">
        <v>0</v>
      </c>
      <c r="EX78" s="407">
        <v>0</v>
      </c>
      <c r="EY78" s="407">
        <v>0</v>
      </c>
      <c r="EZ78" s="407"/>
      <c r="FA78" s="407">
        <v>0</v>
      </c>
      <c r="FB78" s="407"/>
      <c r="FC78" s="407"/>
      <c r="FD78" s="407"/>
      <c r="FE78" s="407"/>
      <c r="FF78" s="407">
        <v>0</v>
      </c>
      <c r="FG78" s="407">
        <v>0</v>
      </c>
      <c r="FH78" s="407">
        <v>0</v>
      </c>
      <c r="FI78" s="407">
        <v>0</v>
      </c>
    </row>
    <row r="79" spans="1:165" customFormat="1">
      <c r="A79" s="407">
        <v>77</v>
      </c>
      <c r="B79" s="407" t="s">
        <v>1092</v>
      </c>
      <c r="C79" s="407" t="s">
        <v>2305</v>
      </c>
      <c r="D79" s="407" t="s">
        <v>2318</v>
      </c>
      <c r="E79" s="407" t="s">
        <v>2319</v>
      </c>
      <c r="F79" s="407" t="s">
        <v>2320</v>
      </c>
      <c r="G79" s="407" t="s">
        <v>96</v>
      </c>
      <c r="H79" s="407" t="s">
        <v>96</v>
      </c>
      <c r="I79" s="407" t="s">
        <v>96</v>
      </c>
      <c r="J79" s="407" t="s">
        <v>2306</v>
      </c>
      <c r="K79" s="815">
        <v>44470</v>
      </c>
      <c r="L79" s="407">
        <v>0</v>
      </c>
      <c r="M79" s="407">
        <v>0</v>
      </c>
      <c r="N79" s="407">
        <v>40.631</v>
      </c>
      <c r="O79" s="407">
        <v>40.631</v>
      </c>
      <c r="P79" s="407">
        <v>40.631</v>
      </c>
      <c r="Q79" s="407">
        <v>40.631</v>
      </c>
      <c r="R79" s="407"/>
      <c r="S79" s="407">
        <v>390.79</v>
      </c>
      <c r="T79" s="407">
        <v>70.319999999999993</v>
      </c>
      <c r="U79" s="407"/>
      <c r="V79" s="407">
        <v>18735.360410000001</v>
      </c>
      <c r="W79" s="407">
        <v>18735.360410000001</v>
      </c>
      <c r="X79" s="407">
        <v>15390.61649</v>
      </c>
      <c r="Y79" s="407">
        <v>0</v>
      </c>
      <c r="Z79" s="407">
        <v>1364.8477915692226</v>
      </c>
      <c r="AA79" s="407">
        <v>0</v>
      </c>
      <c r="AB79" s="407">
        <v>0</v>
      </c>
      <c r="AC79" s="407">
        <v>0</v>
      </c>
      <c r="AD79" s="407">
        <v>2443.4812997637991</v>
      </c>
      <c r="AE79" s="407">
        <v>11132.569299598734</v>
      </c>
      <c r="AF79" s="407">
        <v>2857.0121552283508</v>
      </c>
      <c r="AG79" s="407">
        <v>0</v>
      </c>
      <c r="AH79" s="407">
        <v>0</v>
      </c>
      <c r="AI79" s="407">
        <v>0</v>
      </c>
      <c r="AJ79" s="407">
        <v>0</v>
      </c>
      <c r="AK79" s="407">
        <v>0</v>
      </c>
      <c r="AL79" s="407">
        <v>211.07453363440422</v>
      </c>
      <c r="AM79" s="407"/>
      <c r="AN79" s="407">
        <v>51.191801828080379</v>
      </c>
      <c r="AO79" s="407">
        <v>0</v>
      </c>
      <c r="AP79" s="407">
        <v>0</v>
      </c>
      <c r="AQ79" s="407">
        <v>0</v>
      </c>
      <c r="AR79" s="407">
        <v>0</v>
      </c>
      <c r="AS79" s="407">
        <v>0</v>
      </c>
      <c r="AT79" s="407">
        <v>0</v>
      </c>
      <c r="AU79" s="407">
        <v>0</v>
      </c>
      <c r="AV79" s="407">
        <v>0</v>
      </c>
      <c r="AW79" s="407">
        <v>0</v>
      </c>
      <c r="AX79" s="407">
        <v>0</v>
      </c>
      <c r="AY79" s="407">
        <v>0</v>
      </c>
      <c r="AZ79" s="407">
        <v>0</v>
      </c>
      <c r="BA79" s="407"/>
      <c r="BB79" s="407">
        <v>0</v>
      </c>
      <c r="BC79" s="407">
        <v>0</v>
      </c>
      <c r="BD79" s="407">
        <v>0</v>
      </c>
      <c r="BE79" s="407">
        <v>0</v>
      </c>
      <c r="BF79" s="407">
        <v>0</v>
      </c>
      <c r="BG79" s="407">
        <v>674.84054393127849</v>
      </c>
      <c r="BH79" s="407">
        <v>0</v>
      </c>
      <c r="BI79" s="407">
        <v>95</v>
      </c>
      <c r="BJ79" s="407">
        <v>439.21</v>
      </c>
      <c r="BK79" s="407">
        <v>4761.8500000000004</v>
      </c>
      <c r="BL79" s="407">
        <v>36</v>
      </c>
      <c r="BM79" s="407"/>
      <c r="BN79" s="407"/>
      <c r="BO79" s="407"/>
      <c r="BP79" s="407"/>
      <c r="BQ79" s="407"/>
      <c r="BR79" s="407"/>
      <c r="BS79" s="407"/>
      <c r="BT79" s="407"/>
      <c r="BU79" s="407"/>
      <c r="BV79" s="407">
        <v>3531.8526991596291</v>
      </c>
      <c r="BW79" s="407"/>
      <c r="BX79" s="407"/>
      <c r="BY79" s="407"/>
      <c r="BZ79" s="407"/>
      <c r="CA79" s="407"/>
      <c r="CB79" s="407"/>
      <c r="CC79" s="407"/>
      <c r="CD79" s="407"/>
      <c r="CE79" s="407"/>
      <c r="CF79" s="407"/>
      <c r="CG79" s="407"/>
      <c r="CH79" s="407"/>
      <c r="CI79" s="407">
        <v>15390.237700000001</v>
      </c>
      <c r="CJ79" s="407">
        <v>-3345.1527099999985</v>
      </c>
      <c r="CK79" s="407"/>
      <c r="CL79" s="407"/>
      <c r="CM79" s="407"/>
      <c r="CN79" s="407"/>
      <c r="CO79" s="407">
        <v>-3434.5384300000014</v>
      </c>
      <c r="CP79" s="407">
        <v>89.794510000000329</v>
      </c>
      <c r="CQ79" s="407">
        <v>31</v>
      </c>
      <c r="CR79" s="407">
        <v>-53.342906174433665</v>
      </c>
      <c r="CS79" s="407">
        <v>0</v>
      </c>
      <c r="CT79" s="407">
        <v>0</v>
      </c>
      <c r="CU79" s="407">
        <v>0</v>
      </c>
      <c r="CV79" s="407">
        <v>0</v>
      </c>
      <c r="CW79" s="407">
        <v>0</v>
      </c>
      <c r="CX79" s="407">
        <v>0</v>
      </c>
      <c r="CY79" s="407">
        <v>0</v>
      </c>
      <c r="CZ79" s="407">
        <v>-128.18677668269538</v>
      </c>
      <c r="DA79" s="407">
        <v>0</v>
      </c>
      <c r="DB79" s="407">
        <v>0</v>
      </c>
      <c r="DC79" s="407">
        <v>89.899350526824492</v>
      </c>
      <c r="DD79" s="407">
        <v>0</v>
      </c>
      <c r="DE79" s="407">
        <v>0</v>
      </c>
      <c r="DF79" s="407">
        <v>0</v>
      </c>
      <c r="DG79" s="407">
        <v>21.234675707471865</v>
      </c>
      <c r="DH79" s="407">
        <v>0</v>
      </c>
      <c r="DI79" s="407">
        <v>-31.082297424819672</v>
      </c>
      <c r="DJ79" s="407"/>
      <c r="DK79" s="407">
        <v>0</v>
      </c>
      <c r="DL79" s="407">
        <v>0</v>
      </c>
      <c r="DM79" s="407">
        <v>0</v>
      </c>
      <c r="DN79" s="407">
        <v>0</v>
      </c>
      <c r="DO79" s="407">
        <v>-4.0277310994002846</v>
      </c>
      <c r="DP79" s="407">
        <v>-1.1801272018146278</v>
      </c>
      <c r="DQ79" s="407">
        <v>0</v>
      </c>
      <c r="DR79" s="407">
        <v>0</v>
      </c>
      <c r="DS79" s="407"/>
      <c r="DT79" s="407"/>
      <c r="DU79" s="407"/>
      <c r="DV79" s="407">
        <v>11132.569299598734</v>
      </c>
      <c r="DW79" s="407">
        <v>0</v>
      </c>
      <c r="DX79" s="407">
        <v>0</v>
      </c>
      <c r="DY79" s="407">
        <v>-3434.5384300000005</v>
      </c>
      <c r="DZ79" s="407">
        <v>89.794510000000173</v>
      </c>
      <c r="EA79" s="407">
        <v>0</v>
      </c>
      <c r="EB79" s="407">
        <v>0</v>
      </c>
      <c r="EC79" s="407">
        <v>-3290.9632158497534</v>
      </c>
      <c r="ED79" s="407">
        <v>0</v>
      </c>
      <c r="EE79" s="407">
        <v>0</v>
      </c>
      <c r="EF79" s="407">
        <v>0</v>
      </c>
      <c r="EG79" s="407">
        <v>0</v>
      </c>
      <c r="EH79" s="407">
        <v>0</v>
      </c>
      <c r="EI79" s="407">
        <v>0</v>
      </c>
      <c r="EJ79" s="407">
        <v>0</v>
      </c>
      <c r="EK79" s="407">
        <v>0</v>
      </c>
      <c r="EL79" s="407">
        <v>0</v>
      </c>
      <c r="EM79" s="407">
        <v>0</v>
      </c>
      <c r="EN79" s="407">
        <v>0</v>
      </c>
      <c r="EO79" s="407">
        <v>0</v>
      </c>
      <c r="EP79" s="407">
        <v>0</v>
      </c>
      <c r="EQ79" s="407">
        <v>0</v>
      </c>
      <c r="ER79" s="407">
        <v>0</v>
      </c>
      <c r="ES79" s="407">
        <v>0</v>
      </c>
      <c r="ET79" s="407">
        <v>0</v>
      </c>
      <c r="EU79" s="407">
        <v>0</v>
      </c>
      <c r="EV79" s="407">
        <v>207</v>
      </c>
      <c r="EW79" s="407">
        <v>0</v>
      </c>
      <c r="EX79" s="407">
        <v>0</v>
      </c>
      <c r="EY79" s="407">
        <v>0</v>
      </c>
      <c r="EZ79" s="407"/>
      <c r="FA79" s="407">
        <v>0</v>
      </c>
      <c r="FB79" s="407"/>
      <c r="FC79" s="407"/>
      <c r="FD79" s="407"/>
      <c r="FE79" s="407"/>
      <c r="FF79" s="407">
        <v>0</v>
      </c>
      <c r="FG79" s="407">
        <v>0</v>
      </c>
      <c r="FH79" s="407">
        <v>0</v>
      </c>
      <c r="FI79" s="407">
        <v>0</v>
      </c>
    </row>
    <row r="80" spans="1:165" customFormat="1">
      <c r="A80" s="407">
        <v>78</v>
      </c>
      <c r="B80" s="407" t="s">
        <v>1092</v>
      </c>
      <c r="C80" s="407" t="s">
        <v>2305</v>
      </c>
      <c r="D80" s="407" t="s">
        <v>1221</v>
      </c>
      <c r="E80" s="407" t="s">
        <v>1054</v>
      </c>
      <c r="F80" s="407" t="s">
        <v>2321</v>
      </c>
      <c r="G80" s="407" t="s">
        <v>96</v>
      </c>
      <c r="H80" s="407" t="s">
        <v>96</v>
      </c>
      <c r="I80" s="407" t="s">
        <v>96</v>
      </c>
      <c r="J80" s="407" t="s">
        <v>2306</v>
      </c>
      <c r="K80" s="815">
        <v>44470</v>
      </c>
      <c r="L80" s="407">
        <v>0</v>
      </c>
      <c r="M80" s="407">
        <v>0</v>
      </c>
      <c r="N80" s="407">
        <v>7.25</v>
      </c>
      <c r="O80" s="407">
        <v>6.8150000000000004</v>
      </c>
      <c r="P80" s="407">
        <v>7.25</v>
      </c>
      <c r="Q80" s="407">
        <v>6.8150000000000004</v>
      </c>
      <c r="R80" s="407"/>
      <c r="S80" s="407">
        <v>710.52</v>
      </c>
      <c r="T80" s="407">
        <v>127.85</v>
      </c>
      <c r="U80" s="407"/>
      <c r="V80" s="407">
        <v>6078.182499999999</v>
      </c>
      <c r="W80" s="407">
        <v>6078.182499999999</v>
      </c>
      <c r="X80" s="407">
        <v>4993.1475</v>
      </c>
      <c r="Y80" s="407">
        <v>0</v>
      </c>
      <c r="Z80" s="407">
        <v>442.79430568584468</v>
      </c>
      <c r="AA80" s="407">
        <v>0</v>
      </c>
      <c r="AB80" s="407">
        <v>0</v>
      </c>
      <c r="AC80" s="407">
        <v>0</v>
      </c>
      <c r="AD80" s="407">
        <v>792.73279575100844</v>
      </c>
      <c r="AE80" s="407">
        <v>3611.7128400433544</v>
      </c>
      <c r="AF80" s="407">
        <v>926.89362244258325</v>
      </c>
      <c r="AG80" s="407">
        <v>0</v>
      </c>
      <c r="AH80" s="407">
        <v>0</v>
      </c>
      <c r="AI80" s="407">
        <v>0</v>
      </c>
      <c r="AJ80" s="407">
        <v>0</v>
      </c>
      <c r="AK80" s="407">
        <v>0</v>
      </c>
      <c r="AL80" s="407">
        <v>68.478406270600857</v>
      </c>
      <c r="AM80" s="407"/>
      <c r="AN80" s="407">
        <v>16.608033868165222</v>
      </c>
      <c r="AO80" s="407">
        <v>0</v>
      </c>
      <c r="AP80" s="407">
        <v>0</v>
      </c>
      <c r="AQ80" s="407">
        <v>0</v>
      </c>
      <c r="AR80" s="407">
        <v>0</v>
      </c>
      <c r="AS80" s="407">
        <v>0</v>
      </c>
      <c r="AT80" s="407">
        <v>0</v>
      </c>
      <c r="AU80" s="407">
        <v>0</v>
      </c>
      <c r="AV80" s="407">
        <v>0</v>
      </c>
      <c r="AW80" s="407">
        <v>0</v>
      </c>
      <c r="AX80" s="407">
        <v>0</v>
      </c>
      <c r="AY80" s="407">
        <v>0</v>
      </c>
      <c r="AZ80" s="407">
        <v>0</v>
      </c>
      <c r="BA80" s="407"/>
      <c r="BB80" s="407">
        <v>0</v>
      </c>
      <c r="BC80" s="407">
        <v>0</v>
      </c>
      <c r="BD80" s="407">
        <v>0</v>
      </c>
      <c r="BE80" s="407">
        <v>0</v>
      </c>
      <c r="BF80" s="407">
        <v>0</v>
      </c>
      <c r="BG80" s="407">
        <v>218.93690413283875</v>
      </c>
      <c r="BH80" s="407">
        <v>0</v>
      </c>
      <c r="BI80" s="407">
        <v>40.630000000000003</v>
      </c>
      <c r="BJ80" s="407">
        <v>187.52</v>
      </c>
      <c r="BK80" s="407">
        <v>1306.3599999999999</v>
      </c>
      <c r="BL80" s="407">
        <v>1</v>
      </c>
      <c r="BM80" s="407"/>
      <c r="BN80" s="407"/>
      <c r="BO80" s="407"/>
      <c r="BP80" s="407"/>
      <c r="BQ80" s="407">
        <v>299.58884999999975</v>
      </c>
      <c r="BR80" s="407"/>
      <c r="BS80" s="407"/>
      <c r="BT80" s="407"/>
      <c r="BU80" s="407"/>
      <c r="BV80" s="407">
        <v>1145.830526575422</v>
      </c>
      <c r="BW80" s="407"/>
      <c r="BX80" s="407"/>
      <c r="BY80" s="407"/>
      <c r="BZ80" s="407"/>
      <c r="CA80" s="407"/>
      <c r="CB80" s="407"/>
      <c r="CC80" s="407"/>
      <c r="CD80" s="407"/>
      <c r="CE80" s="407"/>
      <c r="CF80" s="407"/>
      <c r="CG80" s="407"/>
      <c r="CH80" s="407"/>
      <c r="CI80" s="407">
        <v>4697.0022000000008</v>
      </c>
      <c r="CJ80" s="407">
        <v>-1016.5193499999996</v>
      </c>
      <c r="CK80" s="407"/>
      <c r="CL80" s="407"/>
      <c r="CM80" s="407"/>
      <c r="CN80" s="407"/>
      <c r="CO80" s="407">
        <v>-1114.1799999999996</v>
      </c>
      <c r="CP80" s="407">
        <v>29.145000000000074</v>
      </c>
      <c r="CQ80" s="407">
        <v>31</v>
      </c>
      <c r="CR80" s="407">
        <v>-17.30591150798864</v>
      </c>
      <c r="CS80" s="407">
        <v>0</v>
      </c>
      <c r="CT80" s="407">
        <v>0</v>
      </c>
      <c r="CU80" s="407">
        <v>0</v>
      </c>
      <c r="CV80" s="407">
        <v>0</v>
      </c>
      <c r="CW80" s="407">
        <v>0</v>
      </c>
      <c r="CX80" s="407">
        <v>0</v>
      </c>
      <c r="CY80" s="407">
        <v>0</v>
      </c>
      <c r="CZ80" s="407">
        <v>-41.587329466284928</v>
      </c>
      <c r="DA80" s="407">
        <v>0</v>
      </c>
      <c r="DB80" s="407">
        <v>0</v>
      </c>
      <c r="DC80" s="407">
        <v>29.165831343263562</v>
      </c>
      <c r="DD80" s="407">
        <v>0</v>
      </c>
      <c r="DE80" s="407">
        <v>0</v>
      </c>
      <c r="DF80" s="407">
        <v>0</v>
      </c>
      <c r="DG80" s="407">
        <v>6.8891150679485236</v>
      </c>
      <c r="DH80" s="407">
        <v>0</v>
      </c>
      <c r="DI80" s="407">
        <v>-10.083955436172403</v>
      </c>
      <c r="DJ80" s="407"/>
      <c r="DK80" s="407">
        <v>0</v>
      </c>
      <c r="DL80" s="407">
        <v>0</v>
      </c>
      <c r="DM80" s="407">
        <v>0</v>
      </c>
      <c r="DN80" s="407">
        <v>0</v>
      </c>
      <c r="DO80" s="407">
        <v>-1.3067071703267743</v>
      </c>
      <c r="DP80" s="407">
        <v>-0.38286584641625154</v>
      </c>
      <c r="DQ80" s="407">
        <v>0</v>
      </c>
      <c r="DR80" s="407">
        <v>0</v>
      </c>
      <c r="DS80" s="407"/>
      <c r="DT80" s="407"/>
      <c r="DU80" s="407"/>
      <c r="DV80" s="407">
        <v>3611.7128400433544</v>
      </c>
      <c r="DW80" s="407">
        <v>0</v>
      </c>
      <c r="DX80" s="407">
        <v>0</v>
      </c>
      <c r="DY80" s="407">
        <v>-1114.1799999999994</v>
      </c>
      <c r="DZ80" s="407">
        <v>29.145000000000095</v>
      </c>
      <c r="EA80" s="407">
        <v>0</v>
      </c>
      <c r="EB80" s="407">
        <v>0</v>
      </c>
      <c r="EC80" s="407">
        <v>-1067.679327468752</v>
      </c>
      <c r="ED80" s="407">
        <v>0</v>
      </c>
      <c r="EE80" s="407">
        <v>0</v>
      </c>
      <c r="EF80" s="407">
        <v>0</v>
      </c>
      <c r="EG80" s="407">
        <v>0</v>
      </c>
      <c r="EH80" s="407">
        <v>0</v>
      </c>
      <c r="EI80" s="407">
        <v>0</v>
      </c>
      <c r="EJ80" s="407">
        <v>0</v>
      </c>
      <c r="EK80" s="407">
        <v>0</v>
      </c>
      <c r="EL80" s="407">
        <v>0</v>
      </c>
      <c r="EM80" s="407">
        <v>0</v>
      </c>
      <c r="EN80" s="407">
        <v>0</v>
      </c>
      <c r="EO80" s="407">
        <v>0</v>
      </c>
      <c r="EP80" s="407">
        <v>0</v>
      </c>
      <c r="EQ80" s="407">
        <v>0</v>
      </c>
      <c r="ER80" s="407">
        <v>0</v>
      </c>
      <c r="ES80" s="407">
        <v>0</v>
      </c>
      <c r="ET80" s="407">
        <v>0</v>
      </c>
      <c r="EU80" s="407">
        <v>0</v>
      </c>
      <c r="EV80" s="407">
        <v>207</v>
      </c>
      <c r="EW80" s="407">
        <v>0</v>
      </c>
      <c r="EX80" s="407">
        <v>0</v>
      </c>
      <c r="EY80" s="407">
        <v>0</v>
      </c>
      <c r="EZ80" s="407"/>
      <c r="FA80" s="407">
        <v>0</v>
      </c>
      <c r="FB80" s="407"/>
      <c r="FC80" s="407"/>
      <c r="FD80" s="407"/>
      <c r="FE80" s="407"/>
      <c r="FF80" s="407">
        <v>0</v>
      </c>
      <c r="FG80" s="407">
        <v>0</v>
      </c>
      <c r="FH80" s="407">
        <v>0</v>
      </c>
      <c r="FI80" s="407">
        <v>0</v>
      </c>
    </row>
    <row r="81" spans="1:165" customFormat="1">
      <c r="A81" s="407">
        <v>79</v>
      </c>
      <c r="B81" s="407" t="s">
        <v>1092</v>
      </c>
      <c r="C81" s="407" t="s">
        <v>2305</v>
      </c>
      <c r="D81" s="407" t="s">
        <v>1220</v>
      </c>
      <c r="E81" s="407" t="s">
        <v>1023</v>
      </c>
      <c r="F81" s="407" t="s">
        <v>1023</v>
      </c>
      <c r="G81" s="407" t="s">
        <v>96</v>
      </c>
      <c r="H81" s="407" t="s">
        <v>96</v>
      </c>
      <c r="I81" s="407" t="s">
        <v>96</v>
      </c>
      <c r="J81" s="407" t="s">
        <v>2306</v>
      </c>
      <c r="K81" s="815">
        <v>44501</v>
      </c>
      <c r="L81" s="407">
        <v>0</v>
      </c>
      <c r="M81" s="407">
        <v>0</v>
      </c>
      <c r="N81" s="407">
        <v>1000.038</v>
      </c>
      <c r="O81" s="407">
        <v>1000.038</v>
      </c>
      <c r="P81" s="407">
        <v>1000.038</v>
      </c>
      <c r="Q81" s="407">
        <v>1000.038</v>
      </c>
      <c r="R81" s="407"/>
      <c r="S81" s="407">
        <v>710.52</v>
      </c>
      <c r="T81" s="407">
        <v>127.85</v>
      </c>
      <c r="U81" s="407"/>
      <c r="V81" s="407">
        <v>838401.85806</v>
      </c>
      <c r="W81" s="407">
        <v>838401.85806</v>
      </c>
      <c r="X81" s="407">
        <v>688736.17098000005</v>
      </c>
      <c r="Y81" s="407">
        <v>0</v>
      </c>
      <c r="Z81" s="407">
        <v>61077.397499235965</v>
      </c>
      <c r="AA81" s="407">
        <v>0</v>
      </c>
      <c r="AB81" s="407">
        <v>0</v>
      </c>
      <c r="AC81" s="407">
        <v>0</v>
      </c>
      <c r="AD81" s="407">
        <v>109346.60959962028</v>
      </c>
      <c r="AE81" s="407">
        <v>498186.21863879671</v>
      </c>
      <c r="AF81" s="407">
        <v>127852.25440003256</v>
      </c>
      <c r="AG81" s="407">
        <v>0</v>
      </c>
      <c r="AH81" s="407">
        <v>0</v>
      </c>
      <c r="AI81" s="407">
        <v>0</v>
      </c>
      <c r="AJ81" s="407">
        <v>0</v>
      </c>
      <c r="AK81" s="407">
        <v>0</v>
      </c>
      <c r="AL81" s="407">
        <v>9445.6563379364325</v>
      </c>
      <c r="AM81" s="407"/>
      <c r="AN81" s="407">
        <v>2290.8503411658221</v>
      </c>
      <c r="AO81" s="407">
        <v>0</v>
      </c>
      <c r="AP81" s="407">
        <v>0</v>
      </c>
      <c r="AQ81" s="407">
        <v>0</v>
      </c>
      <c r="AR81" s="407">
        <v>0</v>
      </c>
      <c r="AS81" s="407">
        <v>0</v>
      </c>
      <c r="AT81" s="407">
        <v>0</v>
      </c>
      <c r="AU81" s="407">
        <v>0</v>
      </c>
      <c r="AV81" s="407">
        <v>0</v>
      </c>
      <c r="AW81" s="407">
        <v>0</v>
      </c>
      <c r="AX81" s="407">
        <v>0</v>
      </c>
      <c r="AY81" s="407">
        <v>0</v>
      </c>
      <c r="AZ81" s="407">
        <v>0</v>
      </c>
      <c r="BA81" s="407"/>
      <c r="BB81" s="407">
        <v>0</v>
      </c>
      <c r="BC81" s="407">
        <v>0</v>
      </c>
      <c r="BD81" s="407">
        <v>0</v>
      </c>
      <c r="BE81" s="407">
        <v>0</v>
      </c>
      <c r="BF81" s="407">
        <v>0</v>
      </c>
      <c r="BG81" s="407">
        <v>30199.341204854591</v>
      </c>
      <c r="BH81" s="407">
        <v>0</v>
      </c>
      <c r="BI81" s="407">
        <v>4572.8</v>
      </c>
      <c r="BJ81" s="407">
        <v>21242.14</v>
      </c>
      <c r="BK81" s="407">
        <v>200049.12</v>
      </c>
      <c r="BL81" s="407">
        <v>6064</v>
      </c>
      <c r="BM81" s="407"/>
      <c r="BN81" s="407"/>
      <c r="BO81" s="407"/>
      <c r="BP81" s="407"/>
      <c r="BQ81" s="407"/>
      <c r="BR81" s="407"/>
      <c r="BS81" s="407"/>
      <c r="BT81" s="407"/>
      <c r="BU81" s="407"/>
      <c r="BV81" s="407">
        <v>158051.59560488714</v>
      </c>
      <c r="BW81" s="407"/>
      <c r="BX81" s="407"/>
      <c r="BY81" s="407"/>
      <c r="BZ81" s="407"/>
      <c r="CA81" s="407"/>
      <c r="CB81" s="407"/>
      <c r="CC81" s="407"/>
      <c r="CD81" s="407"/>
      <c r="CE81" s="407"/>
      <c r="CF81" s="407"/>
      <c r="CG81" s="407"/>
      <c r="CH81" s="407"/>
      <c r="CI81" s="407">
        <v>688737.54839999997</v>
      </c>
      <c r="CJ81" s="407">
        <v>-149664.33966000006</v>
      </c>
      <c r="CK81" s="407"/>
      <c r="CL81" s="407"/>
      <c r="CM81" s="407"/>
      <c r="CN81" s="407"/>
      <c r="CO81" s="407">
        <v>-153685.83983999994</v>
      </c>
      <c r="CP81" s="407">
        <v>4020.1527600000104</v>
      </c>
      <c r="CQ81" s="407">
        <v>30</v>
      </c>
      <c r="CR81" s="407">
        <v>-2387.1129838104825</v>
      </c>
      <c r="CS81" s="407">
        <v>0</v>
      </c>
      <c r="CT81" s="407">
        <v>0</v>
      </c>
      <c r="CU81" s="407">
        <v>0</v>
      </c>
      <c r="CV81" s="407">
        <v>0</v>
      </c>
      <c r="CW81" s="407">
        <v>0</v>
      </c>
      <c r="CX81" s="407">
        <v>0</v>
      </c>
      <c r="CY81" s="407">
        <v>0</v>
      </c>
      <c r="CZ81" s="407">
        <v>-5736.4013496282278</v>
      </c>
      <c r="DA81" s="407">
        <v>0</v>
      </c>
      <c r="DB81" s="407">
        <v>0</v>
      </c>
      <c r="DC81" s="407">
        <v>4023.0261579109792</v>
      </c>
      <c r="DD81" s="407">
        <v>0</v>
      </c>
      <c r="DE81" s="407">
        <v>0</v>
      </c>
      <c r="DF81" s="407">
        <v>0</v>
      </c>
      <c r="DG81" s="407">
        <v>950.25887645808689</v>
      </c>
      <c r="DH81" s="407">
        <v>0</v>
      </c>
      <c r="DI81" s="407">
        <v>-1390.9432588246927</v>
      </c>
      <c r="DJ81" s="407"/>
      <c r="DK81" s="407">
        <v>0</v>
      </c>
      <c r="DL81" s="407">
        <v>0</v>
      </c>
      <c r="DM81" s="407">
        <v>0</v>
      </c>
      <c r="DN81" s="407">
        <v>0</v>
      </c>
      <c r="DO81" s="407">
        <v>-180.24232071713777</v>
      </c>
      <c r="DP81" s="407">
        <v>-52.811089009436273</v>
      </c>
      <c r="DQ81" s="407">
        <v>0</v>
      </c>
      <c r="DR81" s="407">
        <v>0</v>
      </c>
      <c r="DS81" s="407"/>
      <c r="DT81" s="407"/>
      <c r="DU81" s="407"/>
      <c r="DV81" s="407">
        <v>498186.21863879671</v>
      </c>
      <c r="DW81" s="407">
        <v>0</v>
      </c>
      <c r="DX81" s="407">
        <v>0</v>
      </c>
      <c r="DY81" s="407">
        <v>-153685.83984000003</v>
      </c>
      <c r="DZ81" s="407">
        <v>4020.1527600000263</v>
      </c>
      <c r="EA81" s="407">
        <v>0</v>
      </c>
      <c r="EB81" s="407">
        <v>0</v>
      </c>
      <c r="EC81" s="407">
        <v>-147271.71024595806</v>
      </c>
      <c r="ED81" s="407">
        <v>0</v>
      </c>
      <c r="EE81" s="407">
        <v>0</v>
      </c>
      <c r="EF81" s="407">
        <v>0</v>
      </c>
      <c r="EG81" s="407">
        <v>0</v>
      </c>
      <c r="EH81" s="407">
        <v>0</v>
      </c>
      <c r="EI81" s="407">
        <v>0</v>
      </c>
      <c r="EJ81" s="407">
        <v>0</v>
      </c>
      <c r="EK81" s="407">
        <v>0</v>
      </c>
      <c r="EL81" s="407">
        <v>0</v>
      </c>
      <c r="EM81" s="407">
        <v>0</v>
      </c>
      <c r="EN81" s="407">
        <v>0</v>
      </c>
      <c r="EO81" s="407">
        <v>0</v>
      </c>
      <c r="EP81" s="407">
        <v>0</v>
      </c>
      <c r="EQ81" s="407">
        <v>0</v>
      </c>
      <c r="ER81" s="407">
        <v>0</v>
      </c>
      <c r="ES81" s="407">
        <v>0</v>
      </c>
      <c r="ET81" s="407">
        <v>0</v>
      </c>
      <c r="EU81" s="407">
        <v>0</v>
      </c>
      <c r="EV81" s="407">
        <v>207</v>
      </c>
      <c r="EW81" s="407">
        <v>0</v>
      </c>
      <c r="EX81" s="407">
        <v>0</v>
      </c>
      <c r="EY81" s="407">
        <v>0</v>
      </c>
      <c r="EZ81" s="407"/>
      <c r="FA81" s="407">
        <v>0</v>
      </c>
      <c r="FB81" s="407"/>
      <c r="FC81" s="407"/>
      <c r="FD81" s="407"/>
      <c r="FE81" s="407"/>
      <c r="FF81" s="407">
        <v>0</v>
      </c>
      <c r="FG81" s="407">
        <v>0</v>
      </c>
      <c r="FH81" s="407">
        <v>0</v>
      </c>
      <c r="FI81" s="407">
        <v>0</v>
      </c>
    </row>
    <row r="82" spans="1:165" customFormat="1">
      <c r="A82" s="407">
        <v>80</v>
      </c>
      <c r="B82" s="407" t="s">
        <v>2307</v>
      </c>
      <c r="C82" s="407" t="s">
        <v>2305</v>
      </c>
      <c r="D82" s="407" t="s">
        <v>1220</v>
      </c>
      <c r="E82" s="407" t="s">
        <v>1023</v>
      </c>
      <c r="F82" s="407" t="s">
        <v>1023</v>
      </c>
      <c r="G82" s="407" t="s">
        <v>96</v>
      </c>
      <c r="H82" s="407" t="s">
        <v>96</v>
      </c>
      <c r="I82" s="407" t="s">
        <v>96</v>
      </c>
      <c r="J82" s="407" t="s">
        <v>2306</v>
      </c>
      <c r="K82" s="815">
        <v>44501</v>
      </c>
      <c r="L82" s="407">
        <v>0</v>
      </c>
      <c r="M82" s="407">
        <v>0</v>
      </c>
      <c r="N82" s="407">
        <v>-0.17399999999999999</v>
      </c>
      <c r="O82" s="407">
        <v>-0.17399999999999999</v>
      </c>
      <c r="P82" s="407">
        <v>-0.17399999999999999</v>
      </c>
      <c r="Q82" s="407">
        <v>-0.17399999999999999</v>
      </c>
      <c r="R82" s="407"/>
      <c r="S82" s="407">
        <v>710.52</v>
      </c>
      <c r="T82" s="407">
        <v>127.85</v>
      </c>
      <c r="U82" s="407"/>
      <c r="V82" s="407">
        <v>-145.87637999999998</v>
      </c>
      <c r="W82" s="407">
        <v>-145.87637999999998</v>
      </c>
      <c r="X82" s="407">
        <v>-119.83553999999999</v>
      </c>
      <c r="Y82" s="407">
        <v>0</v>
      </c>
      <c r="Z82" s="407">
        <v>-10.627063336460271</v>
      </c>
      <c r="AA82" s="407">
        <v>0</v>
      </c>
      <c r="AB82" s="407">
        <v>0</v>
      </c>
      <c r="AC82" s="407">
        <v>0</v>
      </c>
      <c r="AD82" s="407">
        <v>-19.0255870980242</v>
      </c>
      <c r="AE82" s="407">
        <v>-86.681108161040498</v>
      </c>
      <c r="AF82" s="407">
        <v>-22.245446938621996</v>
      </c>
      <c r="AG82" s="407">
        <v>0</v>
      </c>
      <c r="AH82" s="407">
        <v>0</v>
      </c>
      <c r="AI82" s="407">
        <v>0</v>
      </c>
      <c r="AJ82" s="407">
        <v>0</v>
      </c>
      <c r="AK82" s="407">
        <v>0</v>
      </c>
      <c r="AL82" s="407">
        <v>-1.6434817504944204</v>
      </c>
      <c r="AM82" s="407"/>
      <c r="AN82" s="407">
        <v>-0.39859281283596526</v>
      </c>
      <c r="AO82" s="407">
        <v>0</v>
      </c>
      <c r="AP82" s="407">
        <v>0</v>
      </c>
      <c r="AQ82" s="407">
        <v>0</v>
      </c>
      <c r="AR82" s="407">
        <v>0</v>
      </c>
      <c r="AS82" s="407">
        <v>0</v>
      </c>
      <c r="AT82" s="407">
        <v>0</v>
      </c>
      <c r="AU82" s="407">
        <v>0</v>
      </c>
      <c r="AV82" s="407">
        <v>0</v>
      </c>
      <c r="AW82" s="407">
        <v>0</v>
      </c>
      <c r="AX82" s="407">
        <v>0</v>
      </c>
      <c r="AY82" s="407">
        <v>0</v>
      </c>
      <c r="AZ82" s="407">
        <v>0</v>
      </c>
      <c r="BA82" s="407"/>
      <c r="BB82" s="407">
        <v>0</v>
      </c>
      <c r="BC82" s="407">
        <v>0</v>
      </c>
      <c r="BD82" s="407">
        <v>0</v>
      </c>
      <c r="BE82" s="407">
        <v>0</v>
      </c>
      <c r="BF82" s="407">
        <v>0</v>
      </c>
      <c r="BG82" s="407">
        <v>-5.2544856991881295</v>
      </c>
      <c r="BH82" s="407">
        <v>0</v>
      </c>
      <c r="BI82" s="407">
        <v>-0.65</v>
      </c>
      <c r="BJ82" s="407">
        <v>-3</v>
      </c>
      <c r="BK82" s="407">
        <v>-49.39</v>
      </c>
      <c r="BL82" s="407">
        <v>0</v>
      </c>
      <c r="BM82" s="407"/>
      <c r="BN82" s="407"/>
      <c r="BO82" s="407"/>
      <c r="BP82" s="407"/>
      <c r="BQ82" s="407"/>
      <c r="BR82" s="407"/>
      <c r="BS82" s="407"/>
      <c r="BT82" s="407"/>
      <c r="BU82" s="407"/>
      <c r="BV82" s="407">
        <v>-27.499932637810126</v>
      </c>
      <c r="BW82" s="407"/>
      <c r="BX82" s="407"/>
      <c r="BY82" s="407"/>
      <c r="BZ82" s="407"/>
      <c r="CA82" s="407"/>
      <c r="CB82" s="407"/>
      <c r="CC82" s="407"/>
      <c r="CD82" s="407"/>
      <c r="CE82" s="407"/>
      <c r="CF82" s="407"/>
      <c r="CG82" s="407"/>
      <c r="CH82" s="407"/>
      <c r="CI82" s="407">
        <v>-117.08070000000002</v>
      </c>
      <c r="CJ82" s="407">
        <v>28.765679999999961</v>
      </c>
      <c r="CK82" s="407"/>
      <c r="CL82" s="407"/>
      <c r="CM82" s="407"/>
      <c r="CN82" s="407"/>
      <c r="CO82" s="407">
        <v>26.74031999999999</v>
      </c>
      <c r="CP82" s="407">
        <v>-0.69948000000000177</v>
      </c>
      <c r="CQ82" s="407">
        <v>30</v>
      </c>
      <c r="CR82" s="407">
        <v>0.41534187619171092</v>
      </c>
      <c r="CS82" s="407">
        <v>0</v>
      </c>
      <c r="CT82" s="407">
        <v>0</v>
      </c>
      <c r="CU82" s="407">
        <v>0</v>
      </c>
      <c r="CV82" s="407">
        <v>0</v>
      </c>
      <c r="CW82" s="407">
        <v>0</v>
      </c>
      <c r="CX82" s="407">
        <v>0</v>
      </c>
      <c r="CY82" s="407">
        <v>0</v>
      </c>
      <c r="CZ82" s="407">
        <v>0.99809590719083729</v>
      </c>
      <c r="DA82" s="407">
        <v>0</v>
      </c>
      <c r="DB82" s="407">
        <v>0</v>
      </c>
      <c r="DC82" s="407">
        <v>-0.69997995223832632</v>
      </c>
      <c r="DD82" s="407">
        <v>0</v>
      </c>
      <c r="DE82" s="407">
        <v>0</v>
      </c>
      <c r="DF82" s="407">
        <v>0</v>
      </c>
      <c r="DG82" s="407">
        <v>-0.16533876163076489</v>
      </c>
      <c r="DH82" s="407">
        <v>0</v>
      </c>
      <c r="DI82" s="407">
        <v>0.24201493046813738</v>
      </c>
      <c r="DJ82" s="407"/>
      <c r="DK82" s="407">
        <v>0</v>
      </c>
      <c r="DL82" s="407">
        <v>0</v>
      </c>
      <c r="DM82" s="407">
        <v>0</v>
      </c>
      <c r="DN82" s="407">
        <v>0</v>
      </c>
      <c r="DO82" s="407">
        <v>3.1360972087842498E-2</v>
      </c>
      <c r="DP82" s="407">
        <v>9.1887803139899527E-3</v>
      </c>
      <c r="DQ82" s="407">
        <v>0</v>
      </c>
      <c r="DR82" s="407">
        <v>0</v>
      </c>
      <c r="DS82" s="407"/>
      <c r="DT82" s="407"/>
      <c r="DU82" s="407"/>
      <c r="DV82" s="407">
        <v>-86.681108161040498</v>
      </c>
      <c r="DW82" s="407">
        <v>0</v>
      </c>
      <c r="DX82" s="407">
        <v>0</v>
      </c>
      <c r="DY82" s="407">
        <v>26.740319999999997</v>
      </c>
      <c r="DZ82" s="407">
        <v>-0.69948000000000121</v>
      </c>
      <c r="EA82" s="407">
        <v>0</v>
      </c>
      <c r="EB82" s="407">
        <v>0</v>
      </c>
      <c r="EC82" s="407">
        <v>25.624303859250048</v>
      </c>
      <c r="ED82" s="407">
        <v>0</v>
      </c>
      <c r="EE82" s="407">
        <v>0</v>
      </c>
      <c r="EF82" s="407">
        <v>0</v>
      </c>
      <c r="EG82" s="407">
        <v>0</v>
      </c>
      <c r="EH82" s="407">
        <v>0</v>
      </c>
      <c r="EI82" s="407">
        <v>0</v>
      </c>
      <c r="EJ82" s="407">
        <v>0</v>
      </c>
      <c r="EK82" s="407">
        <v>0</v>
      </c>
      <c r="EL82" s="407">
        <v>0</v>
      </c>
      <c r="EM82" s="407">
        <v>0</v>
      </c>
      <c r="EN82" s="407">
        <v>0</v>
      </c>
      <c r="EO82" s="407">
        <v>0</v>
      </c>
      <c r="EP82" s="407">
        <v>0</v>
      </c>
      <c r="EQ82" s="407">
        <v>0</v>
      </c>
      <c r="ER82" s="407">
        <v>0</v>
      </c>
      <c r="ES82" s="407">
        <v>0</v>
      </c>
      <c r="ET82" s="407">
        <v>0</v>
      </c>
      <c r="EU82" s="407">
        <v>0</v>
      </c>
      <c r="EV82" s="407">
        <v>207</v>
      </c>
      <c r="EW82" s="407">
        <v>0</v>
      </c>
      <c r="EX82" s="407">
        <v>0</v>
      </c>
      <c r="EY82" s="407">
        <v>0</v>
      </c>
      <c r="EZ82" s="407"/>
      <c r="FA82" s="407">
        <v>0</v>
      </c>
      <c r="FB82" s="407"/>
      <c r="FC82" s="407"/>
      <c r="FD82" s="407"/>
      <c r="FE82" s="407"/>
      <c r="FF82" s="407">
        <v>0</v>
      </c>
      <c r="FG82" s="407">
        <v>0</v>
      </c>
      <c r="FH82" s="407">
        <v>0</v>
      </c>
      <c r="FI82" s="407">
        <v>0</v>
      </c>
    </row>
    <row r="83" spans="1:165" s="846" customFormat="1">
      <c r="A83" s="407">
        <v>81</v>
      </c>
      <c r="B83" s="407" t="s">
        <v>2308</v>
      </c>
      <c r="C83" s="407" t="s">
        <v>2305</v>
      </c>
      <c r="D83" s="407" t="s">
        <v>1220</v>
      </c>
      <c r="E83" s="407" t="s">
        <v>1023</v>
      </c>
      <c r="F83" s="407" t="s">
        <v>1023</v>
      </c>
      <c r="G83" s="407" t="s">
        <v>96</v>
      </c>
      <c r="H83" s="407" t="s">
        <v>96</v>
      </c>
      <c r="I83" s="407" t="s">
        <v>96</v>
      </c>
      <c r="J83" s="407" t="s">
        <v>2306</v>
      </c>
      <c r="K83" s="815">
        <v>44501</v>
      </c>
      <c r="L83" s="407">
        <v>0</v>
      </c>
      <c r="M83" s="407">
        <v>0</v>
      </c>
      <c r="N83" s="407">
        <v>0.91800000000000004</v>
      </c>
      <c r="O83" s="407">
        <v>0.91800000000000004</v>
      </c>
      <c r="P83" s="407">
        <v>0.91800000000000004</v>
      </c>
      <c r="Q83" s="407">
        <v>0.91800000000000004</v>
      </c>
      <c r="R83" s="407"/>
      <c r="S83" s="407">
        <v>710.52</v>
      </c>
      <c r="T83" s="407">
        <v>127.85</v>
      </c>
      <c r="U83" s="407"/>
      <c r="V83" s="407">
        <v>769.62366000000009</v>
      </c>
      <c r="W83" s="407">
        <v>769.62366000000009</v>
      </c>
      <c r="X83" s="407">
        <v>632.23578000000009</v>
      </c>
      <c r="Y83" s="407">
        <v>0</v>
      </c>
      <c r="Z83" s="407">
        <v>56.06692036132489</v>
      </c>
      <c r="AA83" s="407">
        <v>0</v>
      </c>
      <c r="AB83" s="407">
        <v>0</v>
      </c>
      <c r="AC83" s="407">
        <v>0</v>
      </c>
      <c r="AD83" s="407">
        <v>100.37637331026562</v>
      </c>
      <c r="AE83" s="407">
        <v>457.31757064273097</v>
      </c>
      <c r="AF83" s="407">
        <v>117.36390971066089</v>
      </c>
      <c r="AG83" s="407">
        <v>0</v>
      </c>
      <c r="AH83" s="407">
        <v>0</v>
      </c>
      <c r="AI83" s="407">
        <v>0</v>
      </c>
      <c r="AJ83" s="407">
        <v>0</v>
      </c>
      <c r="AK83" s="407">
        <v>0</v>
      </c>
      <c r="AL83" s="407">
        <v>8.6707830284705629</v>
      </c>
      <c r="AM83" s="407"/>
      <c r="AN83" s="407">
        <v>2.1029207022035412</v>
      </c>
      <c r="AO83" s="407">
        <v>0</v>
      </c>
      <c r="AP83" s="407">
        <v>0</v>
      </c>
      <c r="AQ83" s="407">
        <v>0</v>
      </c>
      <c r="AR83" s="407">
        <v>0</v>
      </c>
      <c r="AS83" s="407">
        <v>0</v>
      </c>
      <c r="AT83" s="407">
        <v>0</v>
      </c>
      <c r="AU83" s="407">
        <v>0</v>
      </c>
      <c r="AV83" s="407">
        <v>0</v>
      </c>
      <c r="AW83" s="407">
        <v>0</v>
      </c>
      <c r="AX83" s="407">
        <v>0</v>
      </c>
      <c r="AY83" s="407">
        <v>0</v>
      </c>
      <c r="AZ83" s="407">
        <v>0</v>
      </c>
      <c r="BA83" s="407"/>
      <c r="BB83" s="407">
        <v>0</v>
      </c>
      <c r="BC83" s="407">
        <v>0</v>
      </c>
      <c r="BD83" s="407">
        <v>0</v>
      </c>
      <c r="BE83" s="407">
        <v>0</v>
      </c>
      <c r="BF83" s="407">
        <v>0</v>
      </c>
      <c r="BG83" s="407">
        <v>27.72194179226841</v>
      </c>
      <c r="BH83" s="407">
        <v>0</v>
      </c>
      <c r="BI83" s="407">
        <v>2.62</v>
      </c>
      <c r="BJ83" s="407">
        <v>12.46</v>
      </c>
      <c r="BK83" s="407">
        <v>661.08</v>
      </c>
      <c r="BL83" s="407">
        <v>13</v>
      </c>
      <c r="BM83" s="407"/>
      <c r="BN83" s="407"/>
      <c r="BO83" s="407"/>
      <c r="BP83" s="407"/>
      <c r="BQ83" s="407"/>
      <c r="BR83" s="407"/>
      <c r="BS83" s="407"/>
      <c r="BT83" s="407"/>
      <c r="BU83" s="407"/>
      <c r="BV83" s="407">
        <v>145.0858515029293</v>
      </c>
      <c r="BW83" s="407"/>
      <c r="BX83" s="407"/>
      <c r="BY83" s="407"/>
      <c r="BZ83" s="407"/>
      <c r="CA83" s="407"/>
      <c r="CB83" s="407"/>
      <c r="CC83" s="407"/>
      <c r="CD83" s="407"/>
      <c r="CE83" s="407"/>
      <c r="CF83" s="407"/>
      <c r="CG83" s="407"/>
      <c r="CH83" s="407"/>
      <c r="CI83" s="407">
        <v>633.61320000000001</v>
      </c>
      <c r="CJ83" s="407">
        <v>-136.04046000000005</v>
      </c>
      <c r="CK83" s="407"/>
      <c r="CL83" s="407"/>
      <c r="CM83" s="407"/>
      <c r="CN83" s="407"/>
      <c r="CO83" s="407">
        <v>-141.07823999999997</v>
      </c>
      <c r="CP83" s="407">
        <v>3.6903600000000094</v>
      </c>
      <c r="CQ83" s="407">
        <v>30</v>
      </c>
      <c r="CR83" s="407">
        <v>-2.1912864502529033</v>
      </c>
      <c r="CS83" s="407">
        <v>0</v>
      </c>
      <c r="CT83" s="407">
        <v>0</v>
      </c>
      <c r="CU83" s="407">
        <v>0</v>
      </c>
      <c r="CV83" s="407">
        <v>0</v>
      </c>
      <c r="CW83" s="407">
        <v>0</v>
      </c>
      <c r="CX83" s="407">
        <v>0</v>
      </c>
      <c r="CY83" s="407">
        <v>0</v>
      </c>
      <c r="CZ83" s="407">
        <v>-5.2658163379378635</v>
      </c>
      <c r="DA83" s="407">
        <v>0</v>
      </c>
      <c r="DB83" s="407">
        <v>0</v>
      </c>
      <c r="DC83" s="407">
        <v>3.6929976790504782</v>
      </c>
      <c r="DD83" s="407">
        <v>0</v>
      </c>
      <c r="DE83" s="407">
        <v>0</v>
      </c>
      <c r="DF83" s="407">
        <v>0</v>
      </c>
      <c r="DG83" s="407">
        <v>0.87230450101748147</v>
      </c>
      <c r="DH83" s="407">
        <v>0</v>
      </c>
      <c r="DI83" s="407">
        <v>-1.2768373917801839</v>
      </c>
      <c r="DJ83" s="407"/>
      <c r="DK83" s="407">
        <v>0</v>
      </c>
      <c r="DL83" s="407">
        <v>0</v>
      </c>
      <c r="DM83" s="407">
        <v>0</v>
      </c>
      <c r="DN83" s="407">
        <v>0</v>
      </c>
      <c r="DO83" s="407">
        <v>-0.16545616308413358</v>
      </c>
      <c r="DP83" s="407">
        <v>-4.8478737518637072E-2</v>
      </c>
      <c r="DQ83" s="407">
        <v>0</v>
      </c>
      <c r="DR83" s="407">
        <v>0</v>
      </c>
      <c r="DS83" s="407"/>
      <c r="DT83" s="407"/>
      <c r="DU83" s="407"/>
      <c r="DV83" s="407">
        <v>457.31757064273097</v>
      </c>
      <c r="DW83" s="407">
        <v>0</v>
      </c>
      <c r="DX83" s="407">
        <v>0</v>
      </c>
      <c r="DY83" s="407">
        <v>-141.07823999999999</v>
      </c>
      <c r="DZ83" s="407">
        <v>3.6903600000000125</v>
      </c>
      <c r="EA83" s="407">
        <v>0</v>
      </c>
      <c r="EB83" s="407">
        <v>0</v>
      </c>
      <c r="EC83" s="407">
        <v>-135.1902927746641</v>
      </c>
      <c r="ED83" s="407">
        <v>0</v>
      </c>
      <c r="EE83" s="407">
        <v>0</v>
      </c>
      <c r="EF83" s="407">
        <v>0</v>
      </c>
      <c r="EG83" s="407">
        <v>0</v>
      </c>
      <c r="EH83" s="407">
        <v>0</v>
      </c>
      <c r="EI83" s="407">
        <v>0</v>
      </c>
      <c r="EJ83" s="407">
        <v>0</v>
      </c>
      <c r="EK83" s="407">
        <v>0</v>
      </c>
      <c r="EL83" s="407">
        <v>0</v>
      </c>
      <c r="EM83" s="407">
        <v>0</v>
      </c>
      <c r="EN83" s="407">
        <v>0</v>
      </c>
      <c r="EO83" s="407">
        <v>0</v>
      </c>
      <c r="EP83" s="407">
        <v>0</v>
      </c>
      <c r="EQ83" s="407">
        <v>0</v>
      </c>
      <c r="ER83" s="407">
        <v>0</v>
      </c>
      <c r="ES83" s="407">
        <v>0</v>
      </c>
      <c r="ET83" s="407">
        <v>0</v>
      </c>
      <c r="EU83" s="407">
        <v>0</v>
      </c>
      <c r="EV83" s="407">
        <v>207</v>
      </c>
      <c r="EW83" s="407">
        <v>0</v>
      </c>
      <c r="EX83" s="407">
        <v>0</v>
      </c>
      <c r="EY83" s="407">
        <v>0</v>
      </c>
      <c r="EZ83" s="407"/>
      <c r="FA83" s="407">
        <v>0</v>
      </c>
      <c r="FB83" s="407"/>
      <c r="FC83" s="407"/>
      <c r="FD83" s="407"/>
      <c r="FE83" s="407"/>
      <c r="FF83" s="407">
        <v>0</v>
      </c>
      <c r="FG83" s="407">
        <v>0</v>
      </c>
      <c r="FH83" s="407">
        <v>0</v>
      </c>
      <c r="FI83" s="407">
        <v>0</v>
      </c>
    </row>
    <row r="84" spans="1:165" s="846" customFormat="1">
      <c r="A84" s="407">
        <v>82</v>
      </c>
      <c r="B84" s="407" t="s">
        <v>1092</v>
      </c>
      <c r="C84" s="407" t="s">
        <v>2305</v>
      </c>
      <c r="D84" s="407" t="s">
        <v>1220</v>
      </c>
      <c r="E84" s="407" t="s">
        <v>1023</v>
      </c>
      <c r="F84" s="407" t="s">
        <v>2309</v>
      </c>
      <c r="G84" s="407" t="s">
        <v>96</v>
      </c>
      <c r="H84" s="407" t="s">
        <v>96</v>
      </c>
      <c r="I84" s="407" t="s">
        <v>96</v>
      </c>
      <c r="J84" s="407" t="s">
        <v>2306</v>
      </c>
      <c r="K84" s="815">
        <v>44501</v>
      </c>
      <c r="L84" s="407">
        <v>0</v>
      </c>
      <c r="M84" s="407">
        <v>0</v>
      </c>
      <c r="N84" s="407">
        <v>4.41</v>
      </c>
      <c r="O84" s="407">
        <v>4.41</v>
      </c>
      <c r="P84" s="407">
        <v>4.41</v>
      </c>
      <c r="Q84" s="407">
        <v>4.41</v>
      </c>
      <c r="R84" s="407"/>
      <c r="S84" s="407">
        <v>640</v>
      </c>
      <c r="T84" s="407">
        <v>127.85</v>
      </c>
      <c r="U84" s="407"/>
      <c r="V84" s="407">
        <v>3386.2184999999999</v>
      </c>
      <c r="W84" s="407">
        <v>3386.2184999999999</v>
      </c>
      <c r="X84" s="407">
        <v>2733.1415999999999</v>
      </c>
      <c r="Y84" s="407">
        <v>0</v>
      </c>
      <c r="Z84" s="407">
        <v>0</v>
      </c>
      <c r="AA84" s="407">
        <v>0</v>
      </c>
      <c r="AB84" s="407">
        <v>0</v>
      </c>
      <c r="AC84" s="407">
        <v>0</v>
      </c>
      <c r="AD84" s="407">
        <v>482.20022472578586</v>
      </c>
      <c r="AE84" s="407">
        <v>2196.9177413229231</v>
      </c>
      <c r="AF84" s="407">
        <v>563.80701723748859</v>
      </c>
      <c r="AG84" s="407">
        <v>0</v>
      </c>
      <c r="AH84" s="407">
        <v>0</v>
      </c>
      <c r="AI84" s="407">
        <v>0</v>
      </c>
      <c r="AJ84" s="407">
        <v>0</v>
      </c>
      <c r="AK84" s="407">
        <v>0</v>
      </c>
      <c r="AL84" s="407">
        <v>0</v>
      </c>
      <c r="AM84" s="407"/>
      <c r="AN84" s="407">
        <v>10.102266118428776</v>
      </c>
      <c r="AO84" s="407">
        <v>0</v>
      </c>
      <c r="AP84" s="407">
        <v>0</v>
      </c>
      <c r="AQ84" s="407">
        <v>0</v>
      </c>
      <c r="AR84" s="407">
        <v>0</v>
      </c>
      <c r="AS84" s="407">
        <v>0</v>
      </c>
      <c r="AT84" s="407">
        <v>0</v>
      </c>
      <c r="AU84" s="407">
        <v>0</v>
      </c>
      <c r="AV84" s="407">
        <v>0</v>
      </c>
      <c r="AW84" s="407">
        <v>0</v>
      </c>
      <c r="AX84" s="407">
        <v>0</v>
      </c>
      <c r="AY84" s="407">
        <v>0</v>
      </c>
      <c r="AZ84" s="407">
        <v>0</v>
      </c>
      <c r="BA84" s="407"/>
      <c r="BB84" s="407">
        <v>0</v>
      </c>
      <c r="BC84" s="407">
        <v>0</v>
      </c>
      <c r="BD84" s="407">
        <v>0</v>
      </c>
      <c r="BE84" s="407">
        <v>0</v>
      </c>
      <c r="BF84" s="407">
        <v>0</v>
      </c>
      <c r="BG84" s="407">
        <v>133.17403410011295</v>
      </c>
      <c r="BH84" s="407">
        <v>0</v>
      </c>
      <c r="BI84" s="407">
        <v>18.66</v>
      </c>
      <c r="BJ84" s="407">
        <v>85.77</v>
      </c>
      <c r="BK84" s="407">
        <v>642.76</v>
      </c>
      <c r="BL84" s="407">
        <v>2</v>
      </c>
      <c r="BM84" s="407"/>
      <c r="BN84" s="407"/>
      <c r="BO84" s="407"/>
      <c r="BP84" s="407"/>
      <c r="BQ84" s="407"/>
      <c r="BR84" s="407"/>
      <c r="BS84" s="407"/>
      <c r="BT84" s="407">
        <v>1776.5685000000001</v>
      </c>
      <c r="BU84" s="407"/>
      <c r="BV84" s="407">
        <v>696.98105133760157</v>
      </c>
      <c r="BW84" s="407"/>
      <c r="BX84" s="407"/>
      <c r="BY84" s="407"/>
      <c r="BZ84" s="407"/>
      <c r="CA84" s="407"/>
      <c r="CB84" s="407"/>
      <c r="CC84" s="407"/>
      <c r="CD84" s="407"/>
      <c r="CE84" s="407"/>
      <c r="CF84" s="407"/>
      <c r="CG84" s="407"/>
      <c r="CH84" s="407"/>
      <c r="CI84" s="407">
        <v>956.57310000000007</v>
      </c>
      <c r="CJ84" s="407">
        <v>-228.64439999999991</v>
      </c>
      <c r="CK84" s="407"/>
      <c r="CL84" s="407"/>
      <c r="CM84" s="407"/>
      <c r="CN84" s="407"/>
      <c r="CO84" s="407">
        <v>-670.80510000000004</v>
      </c>
      <c r="CP84" s="407">
        <v>17.728200000000047</v>
      </c>
      <c r="CQ84" s="407">
        <v>30</v>
      </c>
      <c r="CR84" s="407">
        <v>-3.598103124905947</v>
      </c>
      <c r="CS84" s="407">
        <v>0</v>
      </c>
      <c r="CT84" s="407">
        <v>0</v>
      </c>
      <c r="CU84" s="407">
        <v>0</v>
      </c>
      <c r="CV84" s="407">
        <v>0</v>
      </c>
      <c r="CW84" s="407">
        <v>0</v>
      </c>
      <c r="CX84" s="407">
        <v>0</v>
      </c>
      <c r="CY84" s="407">
        <v>0</v>
      </c>
      <c r="CZ84" s="407">
        <v>-25.296568682250552</v>
      </c>
      <c r="DA84" s="407">
        <v>0</v>
      </c>
      <c r="DB84" s="407">
        <v>0</v>
      </c>
      <c r="DC84" s="407">
        <v>17.740871203281699</v>
      </c>
      <c r="DD84" s="407">
        <v>0</v>
      </c>
      <c r="DE84" s="407">
        <v>0</v>
      </c>
      <c r="DF84" s="407">
        <v>0</v>
      </c>
      <c r="DG84" s="407">
        <v>4.1904824068487017</v>
      </c>
      <c r="DH84" s="407">
        <v>0</v>
      </c>
      <c r="DI84" s="407">
        <v>0</v>
      </c>
      <c r="DJ84" s="407"/>
      <c r="DK84" s="407">
        <v>0</v>
      </c>
      <c r="DL84" s="407">
        <v>0</v>
      </c>
      <c r="DM84" s="407">
        <v>0</v>
      </c>
      <c r="DN84" s="407">
        <v>0</v>
      </c>
      <c r="DO84" s="407">
        <v>0</v>
      </c>
      <c r="DP84" s="407">
        <v>-0.23288805278560787</v>
      </c>
      <c r="DQ84" s="407">
        <v>0</v>
      </c>
      <c r="DR84" s="407">
        <v>0</v>
      </c>
      <c r="DS84" s="407"/>
      <c r="DT84" s="407"/>
      <c r="DU84" s="407"/>
      <c r="DV84" s="407">
        <v>2196.9177413229231</v>
      </c>
      <c r="DW84" s="407">
        <v>0</v>
      </c>
      <c r="DX84" s="407">
        <v>0</v>
      </c>
      <c r="DY84" s="407">
        <v>-670.80510000000004</v>
      </c>
      <c r="DZ84" s="407">
        <v>17.728200000000015</v>
      </c>
      <c r="EA84" s="407">
        <v>0</v>
      </c>
      <c r="EB84" s="407">
        <v>0</v>
      </c>
      <c r="EC84" s="407">
        <v>-649.4435633292685</v>
      </c>
      <c r="ED84" s="407">
        <v>0</v>
      </c>
      <c r="EE84" s="407">
        <v>0</v>
      </c>
      <c r="EF84" s="407">
        <v>0</v>
      </c>
      <c r="EG84" s="407">
        <v>0</v>
      </c>
      <c r="EH84" s="407">
        <v>0</v>
      </c>
      <c r="EI84" s="407">
        <v>0</v>
      </c>
      <c r="EJ84" s="407">
        <v>0</v>
      </c>
      <c r="EK84" s="407">
        <v>0</v>
      </c>
      <c r="EL84" s="407">
        <v>0</v>
      </c>
      <c r="EM84" s="407">
        <v>0</v>
      </c>
      <c r="EN84" s="407">
        <v>0</v>
      </c>
      <c r="EO84" s="407">
        <v>0</v>
      </c>
      <c r="EP84" s="407">
        <v>0</v>
      </c>
      <c r="EQ84" s="407">
        <v>0</v>
      </c>
      <c r="ER84" s="407">
        <v>0</v>
      </c>
      <c r="ES84" s="407">
        <v>0</v>
      </c>
      <c r="ET84" s="407">
        <v>0</v>
      </c>
      <c r="EU84" s="407">
        <v>0</v>
      </c>
      <c r="EV84" s="407">
        <v>207</v>
      </c>
      <c r="EW84" s="407">
        <v>0</v>
      </c>
      <c r="EX84" s="407">
        <v>0</v>
      </c>
      <c r="EY84" s="407">
        <v>0</v>
      </c>
      <c r="EZ84" s="407"/>
      <c r="FA84" s="407">
        <v>0</v>
      </c>
      <c r="FB84" s="407"/>
      <c r="FC84" s="407"/>
      <c r="FD84" s="407"/>
      <c r="FE84" s="407"/>
      <c r="FF84" s="407">
        <v>0</v>
      </c>
      <c r="FG84" s="407">
        <v>0</v>
      </c>
      <c r="FH84" s="407">
        <v>0</v>
      </c>
      <c r="FI84" s="407">
        <v>0</v>
      </c>
    </row>
    <row r="85" spans="1:165" s="846" customFormat="1">
      <c r="A85" s="407">
        <v>83</v>
      </c>
      <c r="B85" s="407" t="s">
        <v>1092</v>
      </c>
      <c r="C85" s="407" t="s">
        <v>2305</v>
      </c>
      <c r="D85" s="407" t="s">
        <v>1220</v>
      </c>
      <c r="E85" s="407" t="s">
        <v>1023</v>
      </c>
      <c r="F85" s="407" t="s">
        <v>2310</v>
      </c>
      <c r="G85" s="407" t="s">
        <v>96</v>
      </c>
      <c r="H85" s="407" t="s">
        <v>96</v>
      </c>
      <c r="I85" s="407" t="s">
        <v>96</v>
      </c>
      <c r="J85" s="407" t="s">
        <v>2306</v>
      </c>
      <c r="K85" s="815">
        <v>44501</v>
      </c>
      <c r="L85" s="407">
        <v>0</v>
      </c>
      <c r="M85" s="407">
        <v>0</v>
      </c>
      <c r="N85" s="407">
        <v>9.7840000000000007</v>
      </c>
      <c r="O85" s="407">
        <v>9.7840000000000007</v>
      </c>
      <c r="P85" s="407">
        <v>9.7840000000000007</v>
      </c>
      <c r="Q85" s="407">
        <v>9.7840000000000007</v>
      </c>
      <c r="R85" s="407"/>
      <c r="S85" s="407">
        <v>640</v>
      </c>
      <c r="T85" s="407">
        <v>127.85</v>
      </c>
      <c r="U85" s="407"/>
      <c r="V85" s="407">
        <v>7512.6444000000001</v>
      </c>
      <c r="W85" s="407">
        <v>7512.6444000000001</v>
      </c>
      <c r="X85" s="407">
        <v>6063.7318400000004</v>
      </c>
      <c r="Y85" s="407">
        <v>0</v>
      </c>
      <c r="Z85" s="407">
        <v>0</v>
      </c>
      <c r="AA85" s="407">
        <v>0</v>
      </c>
      <c r="AB85" s="407">
        <v>0</v>
      </c>
      <c r="AC85" s="407">
        <v>0</v>
      </c>
      <c r="AD85" s="407">
        <v>1069.8065756728092</v>
      </c>
      <c r="AE85" s="407">
        <v>4874.0687485495428</v>
      </c>
      <c r="AF85" s="407">
        <v>1250.8589244107909</v>
      </c>
      <c r="AG85" s="407">
        <v>0</v>
      </c>
      <c r="AH85" s="407">
        <v>0</v>
      </c>
      <c r="AI85" s="407">
        <v>0</v>
      </c>
      <c r="AJ85" s="407">
        <v>0</v>
      </c>
      <c r="AK85" s="407">
        <v>0</v>
      </c>
      <c r="AL85" s="407">
        <v>0</v>
      </c>
      <c r="AM85" s="407"/>
      <c r="AN85" s="407">
        <v>22.412828050500487</v>
      </c>
      <c r="AO85" s="407">
        <v>0</v>
      </c>
      <c r="AP85" s="407">
        <v>0</v>
      </c>
      <c r="AQ85" s="407">
        <v>0</v>
      </c>
      <c r="AR85" s="407">
        <v>0</v>
      </c>
      <c r="AS85" s="407">
        <v>0</v>
      </c>
      <c r="AT85" s="407">
        <v>0</v>
      </c>
      <c r="AU85" s="407">
        <v>0</v>
      </c>
      <c r="AV85" s="407">
        <v>0</v>
      </c>
      <c r="AW85" s="407">
        <v>0</v>
      </c>
      <c r="AX85" s="407">
        <v>0</v>
      </c>
      <c r="AY85" s="407">
        <v>0</v>
      </c>
      <c r="AZ85" s="407">
        <v>0</v>
      </c>
      <c r="BA85" s="407"/>
      <c r="BB85" s="407">
        <v>0</v>
      </c>
      <c r="BC85" s="407">
        <v>0</v>
      </c>
      <c r="BD85" s="407">
        <v>0</v>
      </c>
      <c r="BE85" s="407">
        <v>0</v>
      </c>
      <c r="BF85" s="407">
        <v>0</v>
      </c>
      <c r="BG85" s="407">
        <v>295.45912690147509</v>
      </c>
      <c r="BH85" s="407">
        <v>0</v>
      </c>
      <c r="BI85" s="407">
        <v>40.85</v>
      </c>
      <c r="BJ85" s="407">
        <v>191.48</v>
      </c>
      <c r="BK85" s="407">
        <v>1500.52</v>
      </c>
      <c r="BL85" s="407">
        <v>15</v>
      </c>
      <c r="BM85" s="407"/>
      <c r="BN85" s="407"/>
      <c r="BO85" s="407"/>
      <c r="BP85" s="407"/>
      <c r="BQ85" s="407"/>
      <c r="BR85" s="407"/>
      <c r="BS85" s="407"/>
      <c r="BT85" s="407">
        <v>2425.4535999999998</v>
      </c>
      <c r="BU85" s="407"/>
      <c r="BV85" s="407">
        <v>1546.3180513122661</v>
      </c>
      <c r="BW85" s="407"/>
      <c r="BX85" s="407"/>
      <c r="BY85" s="407"/>
      <c r="BZ85" s="407"/>
      <c r="CA85" s="407"/>
      <c r="CB85" s="407"/>
      <c r="CC85" s="407"/>
      <c r="CD85" s="407"/>
      <c r="CE85" s="407"/>
      <c r="CF85" s="407"/>
      <c r="CG85" s="407"/>
      <c r="CH85" s="407"/>
      <c r="CI85" s="407">
        <v>3636.7907999999998</v>
      </c>
      <c r="CJ85" s="407">
        <v>-870.82584000000134</v>
      </c>
      <c r="CK85" s="407"/>
      <c r="CL85" s="407"/>
      <c r="CM85" s="407"/>
      <c r="CN85" s="407"/>
      <c r="CO85" s="407">
        <v>-1488.2442400000002</v>
      </c>
      <c r="CP85" s="407">
        <v>39.331680000000105</v>
      </c>
      <c r="CQ85" s="407">
        <v>30</v>
      </c>
      <c r="CR85" s="407">
        <v>-7.9827303796096203</v>
      </c>
      <c r="CS85" s="407">
        <v>0</v>
      </c>
      <c r="CT85" s="407">
        <v>0</v>
      </c>
      <c r="CU85" s="407">
        <v>0</v>
      </c>
      <c r="CV85" s="407">
        <v>0</v>
      </c>
      <c r="CW85" s="407">
        <v>0</v>
      </c>
      <c r="CX85" s="407">
        <v>0</v>
      </c>
      <c r="CY85" s="407">
        <v>0</v>
      </c>
      <c r="CZ85" s="407">
        <v>-56.122818137673221</v>
      </c>
      <c r="DA85" s="407">
        <v>0</v>
      </c>
      <c r="DB85" s="407">
        <v>0</v>
      </c>
      <c r="DC85" s="407">
        <v>39.359792256895389</v>
      </c>
      <c r="DD85" s="407">
        <v>0</v>
      </c>
      <c r="DE85" s="407">
        <v>0</v>
      </c>
      <c r="DF85" s="407">
        <v>0</v>
      </c>
      <c r="DG85" s="407">
        <v>9.2969795620425657</v>
      </c>
      <c r="DH85" s="407">
        <v>0</v>
      </c>
      <c r="DI85" s="407">
        <v>0</v>
      </c>
      <c r="DJ85" s="407"/>
      <c r="DK85" s="407">
        <v>0</v>
      </c>
      <c r="DL85" s="407">
        <v>0</v>
      </c>
      <c r="DM85" s="407">
        <v>0</v>
      </c>
      <c r="DN85" s="407">
        <v>0</v>
      </c>
      <c r="DO85" s="407">
        <v>0</v>
      </c>
      <c r="DP85" s="407">
        <v>-0.51668406087401308</v>
      </c>
      <c r="DQ85" s="407">
        <v>0</v>
      </c>
      <c r="DR85" s="407">
        <v>0</v>
      </c>
      <c r="DS85" s="407"/>
      <c r="DT85" s="407"/>
      <c r="DU85" s="407"/>
      <c r="DV85" s="407">
        <v>4874.0687485495428</v>
      </c>
      <c r="DW85" s="407">
        <v>0</v>
      </c>
      <c r="DX85" s="407">
        <v>0</v>
      </c>
      <c r="DY85" s="407">
        <v>-1488.24424</v>
      </c>
      <c r="DZ85" s="407">
        <v>39.331680000000006</v>
      </c>
      <c r="EA85" s="407">
        <v>0</v>
      </c>
      <c r="EB85" s="407">
        <v>0</v>
      </c>
      <c r="EC85" s="407">
        <v>-1440.8516606833482</v>
      </c>
      <c r="ED85" s="407">
        <v>0</v>
      </c>
      <c r="EE85" s="407">
        <v>0</v>
      </c>
      <c r="EF85" s="407">
        <v>0</v>
      </c>
      <c r="EG85" s="407">
        <v>0</v>
      </c>
      <c r="EH85" s="407">
        <v>0</v>
      </c>
      <c r="EI85" s="407">
        <v>0</v>
      </c>
      <c r="EJ85" s="407">
        <v>0</v>
      </c>
      <c r="EK85" s="407">
        <v>0</v>
      </c>
      <c r="EL85" s="407">
        <v>0</v>
      </c>
      <c r="EM85" s="407">
        <v>0</v>
      </c>
      <c r="EN85" s="407">
        <v>0</v>
      </c>
      <c r="EO85" s="407">
        <v>0</v>
      </c>
      <c r="EP85" s="407">
        <v>0</v>
      </c>
      <c r="EQ85" s="407">
        <v>0</v>
      </c>
      <c r="ER85" s="407">
        <v>0</v>
      </c>
      <c r="ES85" s="407">
        <v>0</v>
      </c>
      <c r="ET85" s="407">
        <v>0</v>
      </c>
      <c r="EU85" s="407">
        <v>0</v>
      </c>
      <c r="EV85" s="407">
        <v>207</v>
      </c>
      <c r="EW85" s="407">
        <v>0</v>
      </c>
      <c r="EX85" s="407">
        <v>0</v>
      </c>
      <c r="EY85" s="407">
        <v>0</v>
      </c>
      <c r="EZ85" s="407"/>
      <c r="FA85" s="407">
        <v>0</v>
      </c>
      <c r="FB85" s="407"/>
      <c r="FC85" s="407"/>
      <c r="FD85" s="407"/>
      <c r="FE85" s="407"/>
      <c r="FF85" s="407">
        <v>0</v>
      </c>
      <c r="FG85" s="407">
        <v>0</v>
      </c>
      <c r="FH85" s="407">
        <v>0</v>
      </c>
      <c r="FI85" s="407">
        <v>0</v>
      </c>
    </row>
    <row r="86" spans="1:165" s="846" customFormat="1">
      <c r="A86" s="407">
        <v>84</v>
      </c>
      <c r="B86" s="407" t="s">
        <v>1092</v>
      </c>
      <c r="C86" s="407" t="s">
        <v>2305</v>
      </c>
      <c r="D86" s="407" t="s">
        <v>1220</v>
      </c>
      <c r="E86" s="407" t="s">
        <v>1023</v>
      </c>
      <c r="F86" s="407" t="s">
        <v>2311</v>
      </c>
      <c r="G86" s="407" t="s">
        <v>96</v>
      </c>
      <c r="H86" s="407" t="s">
        <v>96</v>
      </c>
      <c r="I86" s="407" t="s">
        <v>96</v>
      </c>
      <c r="J86" s="407" t="s">
        <v>2306</v>
      </c>
      <c r="K86" s="815">
        <v>44501</v>
      </c>
      <c r="L86" s="407">
        <v>0</v>
      </c>
      <c r="M86" s="407">
        <v>0</v>
      </c>
      <c r="N86" s="407">
        <v>10.375999999999999</v>
      </c>
      <c r="O86" s="407">
        <v>10.375999999999999</v>
      </c>
      <c r="P86" s="407">
        <v>10.375999999999999</v>
      </c>
      <c r="Q86" s="407">
        <v>10.375999999999999</v>
      </c>
      <c r="R86" s="407"/>
      <c r="S86" s="407">
        <v>640</v>
      </c>
      <c r="T86" s="407">
        <v>127.85</v>
      </c>
      <c r="U86" s="407"/>
      <c r="V86" s="407">
        <v>7967.2115999999987</v>
      </c>
      <c r="W86" s="407">
        <v>7967.2115999999987</v>
      </c>
      <c r="X86" s="407">
        <v>6430.6297599999998</v>
      </c>
      <c r="Y86" s="407">
        <v>0</v>
      </c>
      <c r="Z86" s="407">
        <v>0</v>
      </c>
      <c r="AA86" s="407">
        <v>0</v>
      </c>
      <c r="AB86" s="407">
        <v>0</v>
      </c>
      <c r="AC86" s="407">
        <v>0</v>
      </c>
      <c r="AD86" s="407">
        <v>1134.5373087879259</v>
      </c>
      <c r="AE86" s="407">
        <v>5168.9837832123922</v>
      </c>
      <c r="AF86" s="407">
        <v>1326.5445829605853</v>
      </c>
      <c r="AG86" s="407">
        <v>0</v>
      </c>
      <c r="AH86" s="407">
        <v>0</v>
      </c>
      <c r="AI86" s="407">
        <v>0</v>
      </c>
      <c r="AJ86" s="407">
        <v>0</v>
      </c>
      <c r="AK86" s="407">
        <v>0</v>
      </c>
      <c r="AL86" s="407">
        <v>0</v>
      </c>
      <c r="AM86" s="407"/>
      <c r="AN86" s="407">
        <v>23.768959919459633</v>
      </c>
      <c r="AO86" s="407">
        <v>0</v>
      </c>
      <c r="AP86" s="407">
        <v>0</v>
      </c>
      <c r="AQ86" s="407">
        <v>0</v>
      </c>
      <c r="AR86" s="407">
        <v>0</v>
      </c>
      <c r="AS86" s="407">
        <v>0</v>
      </c>
      <c r="AT86" s="407">
        <v>0</v>
      </c>
      <c r="AU86" s="407">
        <v>0</v>
      </c>
      <c r="AV86" s="407">
        <v>0</v>
      </c>
      <c r="AW86" s="407">
        <v>0</v>
      </c>
      <c r="AX86" s="407">
        <v>0</v>
      </c>
      <c r="AY86" s="407">
        <v>0</v>
      </c>
      <c r="AZ86" s="407">
        <v>0</v>
      </c>
      <c r="BA86" s="407"/>
      <c r="BB86" s="407">
        <v>0</v>
      </c>
      <c r="BC86" s="407">
        <v>0</v>
      </c>
      <c r="BD86" s="407">
        <v>0</v>
      </c>
      <c r="BE86" s="407">
        <v>0</v>
      </c>
      <c r="BF86" s="407">
        <v>0</v>
      </c>
      <c r="BG86" s="407">
        <v>313.33645755618409</v>
      </c>
      <c r="BH86" s="407">
        <v>0</v>
      </c>
      <c r="BI86" s="407">
        <v>45.4</v>
      </c>
      <c r="BJ86" s="407">
        <v>210.21</v>
      </c>
      <c r="BK86" s="407">
        <v>2011.17</v>
      </c>
      <c r="BL86" s="407">
        <v>88</v>
      </c>
      <c r="BM86" s="407"/>
      <c r="BN86" s="407"/>
      <c r="BO86" s="407"/>
      <c r="BP86" s="407"/>
      <c r="BQ86" s="407"/>
      <c r="BR86" s="407"/>
      <c r="BS86" s="407"/>
      <c r="BT86" s="407">
        <v>643.10447999999963</v>
      </c>
      <c r="BU86" s="407"/>
      <c r="BV86" s="407">
        <v>1639.8810405167694</v>
      </c>
      <c r="BW86" s="407"/>
      <c r="BX86" s="407"/>
      <c r="BY86" s="407"/>
      <c r="BZ86" s="407"/>
      <c r="CA86" s="407"/>
      <c r="CB86" s="407"/>
      <c r="CC86" s="407"/>
      <c r="CD86" s="407"/>
      <c r="CE86" s="407"/>
      <c r="CF86" s="407"/>
      <c r="CG86" s="407"/>
      <c r="CH86" s="407"/>
      <c r="CI86" s="407">
        <v>5789.7564000000002</v>
      </c>
      <c r="CJ86" s="407">
        <v>-1380.7121600000009</v>
      </c>
      <c r="CK86" s="407"/>
      <c r="CL86" s="407"/>
      <c r="CM86" s="407"/>
      <c r="CN86" s="407"/>
      <c r="CO86" s="407">
        <v>-1578.2933600000001</v>
      </c>
      <c r="CP86" s="407">
        <v>41.711520000000107</v>
      </c>
      <c r="CQ86" s="407">
        <v>30</v>
      </c>
      <c r="CR86" s="407">
        <v>-8.4657410485306173</v>
      </c>
      <c r="CS86" s="407">
        <v>0</v>
      </c>
      <c r="CT86" s="407">
        <v>0</v>
      </c>
      <c r="CU86" s="407">
        <v>0</v>
      </c>
      <c r="CV86" s="407">
        <v>0</v>
      </c>
      <c r="CW86" s="407">
        <v>0</v>
      </c>
      <c r="CX86" s="407">
        <v>0</v>
      </c>
      <c r="CY86" s="407">
        <v>0</v>
      </c>
      <c r="CZ86" s="407">
        <v>-59.518638695471964</v>
      </c>
      <c r="DA86" s="407">
        <v>0</v>
      </c>
      <c r="DB86" s="407">
        <v>0</v>
      </c>
      <c r="DC86" s="407">
        <v>41.741333243821146</v>
      </c>
      <c r="DD86" s="407">
        <v>0</v>
      </c>
      <c r="DE86" s="407">
        <v>0</v>
      </c>
      <c r="DF86" s="407">
        <v>0</v>
      </c>
      <c r="DG86" s="407">
        <v>9.859511440694348</v>
      </c>
      <c r="DH86" s="407">
        <v>0</v>
      </c>
      <c r="DI86" s="407">
        <v>0</v>
      </c>
      <c r="DJ86" s="407"/>
      <c r="DK86" s="407">
        <v>0</v>
      </c>
      <c r="DL86" s="407">
        <v>0</v>
      </c>
      <c r="DM86" s="407">
        <v>0</v>
      </c>
      <c r="DN86" s="407">
        <v>0</v>
      </c>
      <c r="DO86" s="407">
        <v>0</v>
      </c>
      <c r="DP86" s="407">
        <v>-0.5479470375744846</v>
      </c>
      <c r="DQ86" s="407">
        <v>0</v>
      </c>
      <c r="DR86" s="407">
        <v>0</v>
      </c>
      <c r="DS86" s="407"/>
      <c r="DT86" s="407"/>
      <c r="DU86" s="407"/>
      <c r="DV86" s="407">
        <v>5168.9837832123922</v>
      </c>
      <c r="DW86" s="407">
        <v>0</v>
      </c>
      <c r="DX86" s="407">
        <v>0</v>
      </c>
      <c r="DY86" s="407">
        <v>-1578.2933599999997</v>
      </c>
      <c r="DZ86" s="407">
        <v>41.711520000000291</v>
      </c>
      <c r="EA86" s="407">
        <v>0</v>
      </c>
      <c r="EB86" s="407">
        <v>0</v>
      </c>
      <c r="EC86" s="407">
        <v>-1528.033200250451</v>
      </c>
      <c r="ED86" s="407">
        <v>0</v>
      </c>
      <c r="EE86" s="407">
        <v>0</v>
      </c>
      <c r="EF86" s="407">
        <v>0</v>
      </c>
      <c r="EG86" s="407">
        <v>0</v>
      </c>
      <c r="EH86" s="407">
        <v>0</v>
      </c>
      <c r="EI86" s="407">
        <v>0</v>
      </c>
      <c r="EJ86" s="407">
        <v>0</v>
      </c>
      <c r="EK86" s="407">
        <v>0</v>
      </c>
      <c r="EL86" s="407">
        <v>0</v>
      </c>
      <c r="EM86" s="407">
        <v>0</v>
      </c>
      <c r="EN86" s="407">
        <v>0</v>
      </c>
      <c r="EO86" s="407">
        <v>0</v>
      </c>
      <c r="EP86" s="407">
        <v>0</v>
      </c>
      <c r="EQ86" s="407">
        <v>0</v>
      </c>
      <c r="ER86" s="407">
        <v>0</v>
      </c>
      <c r="ES86" s="407">
        <v>0</v>
      </c>
      <c r="ET86" s="407">
        <v>0</v>
      </c>
      <c r="EU86" s="407">
        <v>0</v>
      </c>
      <c r="EV86" s="407">
        <v>207</v>
      </c>
      <c r="EW86" s="407">
        <v>0</v>
      </c>
      <c r="EX86" s="407">
        <v>0</v>
      </c>
      <c r="EY86" s="407">
        <v>0</v>
      </c>
      <c r="EZ86" s="407"/>
      <c r="FA86" s="407">
        <v>0</v>
      </c>
      <c r="FB86" s="407"/>
      <c r="FC86" s="407"/>
      <c r="FD86" s="407"/>
      <c r="FE86" s="407"/>
      <c r="FF86" s="407">
        <v>0</v>
      </c>
      <c r="FG86" s="407">
        <v>0</v>
      </c>
      <c r="FH86" s="407">
        <v>0</v>
      </c>
      <c r="FI86" s="407">
        <v>0</v>
      </c>
    </row>
    <row r="87" spans="1:165" s="846" customFormat="1">
      <c r="A87" s="407">
        <v>85</v>
      </c>
      <c r="B87" s="407" t="s">
        <v>1092</v>
      </c>
      <c r="C87" s="407" t="s">
        <v>2305</v>
      </c>
      <c r="D87" s="407" t="s">
        <v>1220</v>
      </c>
      <c r="E87" s="407" t="s">
        <v>1023</v>
      </c>
      <c r="F87" s="407" t="s">
        <v>2312</v>
      </c>
      <c r="G87" s="407" t="s">
        <v>96</v>
      </c>
      <c r="H87" s="407" t="s">
        <v>96</v>
      </c>
      <c r="I87" s="407" t="s">
        <v>96</v>
      </c>
      <c r="J87" s="407" t="s">
        <v>2306</v>
      </c>
      <c r="K87" s="815">
        <v>44501</v>
      </c>
      <c r="L87" s="407">
        <v>0</v>
      </c>
      <c r="M87" s="407">
        <v>0</v>
      </c>
      <c r="N87" s="407">
        <v>3.077</v>
      </c>
      <c r="O87" s="407">
        <v>3.077</v>
      </c>
      <c r="P87" s="407">
        <v>3.077</v>
      </c>
      <c r="Q87" s="407">
        <v>3.077</v>
      </c>
      <c r="R87" s="407"/>
      <c r="S87" s="407">
        <v>640</v>
      </c>
      <c r="T87" s="407">
        <v>127.85</v>
      </c>
      <c r="U87" s="407"/>
      <c r="V87" s="407">
        <v>2362.67445</v>
      </c>
      <c r="W87" s="407">
        <v>2362.67445</v>
      </c>
      <c r="X87" s="407">
        <v>1907.0015199999998</v>
      </c>
      <c r="Y87" s="407">
        <v>0</v>
      </c>
      <c r="Z87" s="407">
        <v>0</v>
      </c>
      <c r="AA87" s="407">
        <v>0</v>
      </c>
      <c r="AB87" s="407">
        <v>0</v>
      </c>
      <c r="AC87" s="407">
        <v>0</v>
      </c>
      <c r="AD87" s="407">
        <v>336.44673276218663</v>
      </c>
      <c r="AE87" s="407">
        <v>1532.8607460432279</v>
      </c>
      <c r="AF87" s="407">
        <v>393.38643810425219</v>
      </c>
      <c r="AG87" s="407">
        <v>0</v>
      </c>
      <c r="AH87" s="407">
        <v>0</v>
      </c>
      <c r="AI87" s="407">
        <v>0</v>
      </c>
      <c r="AJ87" s="407">
        <v>0</v>
      </c>
      <c r="AK87" s="407">
        <v>0</v>
      </c>
      <c r="AL87" s="407">
        <v>0</v>
      </c>
      <c r="AM87" s="407"/>
      <c r="AN87" s="407">
        <v>7.0486786499785357</v>
      </c>
      <c r="AO87" s="407">
        <v>0</v>
      </c>
      <c r="AP87" s="407">
        <v>0</v>
      </c>
      <c r="AQ87" s="407">
        <v>0</v>
      </c>
      <c r="AR87" s="407">
        <v>0</v>
      </c>
      <c r="AS87" s="407">
        <v>0</v>
      </c>
      <c r="AT87" s="407">
        <v>0</v>
      </c>
      <c r="AU87" s="407">
        <v>0</v>
      </c>
      <c r="AV87" s="407">
        <v>0</v>
      </c>
      <c r="AW87" s="407">
        <v>0</v>
      </c>
      <c r="AX87" s="407">
        <v>0</v>
      </c>
      <c r="AY87" s="407">
        <v>0</v>
      </c>
      <c r="AZ87" s="407">
        <v>0</v>
      </c>
      <c r="BA87" s="407"/>
      <c r="BB87" s="407">
        <v>0</v>
      </c>
      <c r="BC87" s="407">
        <v>0</v>
      </c>
      <c r="BD87" s="407">
        <v>0</v>
      </c>
      <c r="BE87" s="407">
        <v>0</v>
      </c>
      <c r="BF87" s="407">
        <v>0</v>
      </c>
      <c r="BG87" s="407">
        <v>92.919841933344102</v>
      </c>
      <c r="BH87" s="407">
        <v>0</v>
      </c>
      <c r="BI87" s="407">
        <v>14.64</v>
      </c>
      <c r="BJ87" s="407">
        <v>67.72</v>
      </c>
      <c r="BK87" s="407">
        <v>810.16</v>
      </c>
      <c r="BL87" s="407">
        <v>42</v>
      </c>
      <c r="BM87" s="407"/>
      <c r="BN87" s="407"/>
      <c r="BO87" s="407"/>
      <c r="BP87" s="407"/>
      <c r="BQ87" s="407"/>
      <c r="BR87" s="407"/>
      <c r="BS87" s="407"/>
      <c r="BT87" s="407"/>
      <c r="BU87" s="407"/>
      <c r="BV87" s="407">
        <v>486.30628003759631</v>
      </c>
      <c r="BW87" s="407"/>
      <c r="BX87" s="407"/>
      <c r="BY87" s="407"/>
      <c r="BZ87" s="407"/>
      <c r="CA87" s="407"/>
      <c r="CB87" s="407"/>
      <c r="CC87" s="407"/>
      <c r="CD87" s="407"/>
      <c r="CE87" s="407"/>
      <c r="CF87" s="407"/>
      <c r="CG87" s="407"/>
      <c r="CH87" s="407"/>
      <c r="CI87" s="407">
        <v>1908.8607999999999</v>
      </c>
      <c r="CJ87" s="407">
        <v>-453.84365000000025</v>
      </c>
      <c r="CK87" s="407"/>
      <c r="CL87" s="407"/>
      <c r="CM87" s="407"/>
      <c r="CN87" s="407"/>
      <c r="CO87" s="407">
        <v>-468.04247000000004</v>
      </c>
      <c r="CP87" s="407">
        <v>12.369540000000031</v>
      </c>
      <c r="CQ87" s="407">
        <v>30</v>
      </c>
      <c r="CR87" s="407">
        <v>-2.5105132234318717</v>
      </c>
      <c r="CS87" s="407">
        <v>0</v>
      </c>
      <c r="CT87" s="407">
        <v>0</v>
      </c>
      <c r="CU87" s="407">
        <v>0</v>
      </c>
      <c r="CV87" s="407">
        <v>0</v>
      </c>
      <c r="CW87" s="407">
        <v>0</v>
      </c>
      <c r="CX87" s="407">
        <v>0</v>
      </c>
      <c r="CY87" s="407">
        <v>0</v>
      </c>
      <c r="CZ87" s="407">
        <v>-17.650236243828772</v>
      </c>
      <c r="DA87" s="407">
        <v>0</v>
      </c>
      <c r="DB87" s="407">
        <v>0</v>
      </c>
      <c r="DC87" s="407">
        <v>12.378381109409986</v>
      </c>
      <c r="DD87" s="407">
        <v>0</v>
      </c>
      <c r="DE87" s="407">
        <v>0</v>
      </c>
      <c r="DF87" s="407">
        <v>0</v>
      </c>
      <c r="DG87" s="407">
        <v>2.9238354571141656</v>
      </c>
      <c r="DH87" s="407">
        <v>0</v>
      </c>
      <c r="DI87" s="407">
        <v>0</v>
      </c>
      <c r="DJ87" s="407"/>
      <c r="DK87" s="407">
        <v>0</v>
      </c>
      <c r="DL87" s="407">
        <v>0</v>
      </c>
      <c r="DM87" s="407">
        <v>0</v>
      </c>
      <c r="DN87" s="407">
        <v>0</v>
      </c>
      <c r="DO87" s="407">
        <v>0</v>
      </c>
      <c r="DP87" s="407">
        <v>-0.16249354612728251</v>
      </c>
      <c r="DQ87" s="407">
        <v>0</v>
      </c>
      <c r="DR87" s="407">
        <v>0</v>
      </c>
      <c r="DS87" s="407"/>
      <c r="DT87" s="407"/>
      <c r="DU87" s="407"/>
      <c r="DV87" s="407">
        <v>1532.8607460432279</v>
      </c>
      <c r="DW87" s="407">
        <v>0</v>
      </c>
      <c r="DX87" s="407">
        <v>0</v>
      </c>
      <c r="DY87" s="407">
        <v>-468.04247000000009</v>
      </c>
      <c r="DZ87" s="407">
        <v>12.369540000000086</v>
      </c>
      <c r="EA87" s="407">
        <v>0</v>
      </c>
      <c r="EB87" s="407">
        <v>0</v>
      </c>
      <c r="EC87" s="407">
        <v>-453.13783318915193</v>
      </c>
      <c r="ED87" s="407">
        <v>0</v>
      </c>
      <c r="EE87" s="407">
        <v>0</v>
      </c>
      <c r="EF87" s="407">
        <v>0</v>
      </c>
      <c r="EG87" s="407">
        <v>0</v>
      </c>
      <c r="EH87" s="407">
        <v>0</v>
      </c>
      <c r="EI87" s="407">
        <v>0</v>
      </c>
      <c r="EJ87" s="407">
        <v>0</v>
      </c>
      <c r="EK87" s="407">
        <v>0</v>
      </c>
      <c r="EL87" s="407">
        <v>0</v>
      </c>
      <c r="EM87" s="407">
        <v>0</v>
      </c>
      <c r="EN87" s="407">
        <v>0</v>
      </c>
      <c r="EO87" s="407">
        <v>0</v>
      </c>
      <c r="EP87" s="407">
        <v>0</v>
      </c>
      <c r="EQ87" s="407">
        <v>0</v>
      </c>
      <c r="ER87" s="407">
        <v>0</v>
      </c>
      <c r="ES87" s="407">
        <v>0</v>
      </c>
      <c r="ET87" s="407">
        <v>0</v>
      </c>
      <c r="EU87" s="407">
        <v>0</v>
      </c>
      <c r="EV87" s="407">
        <v>207</v>
      </c>
      <c r="EW87" s="407">
        <v>0</v>
      </c>
      <c r="EX87" s="407">
        <v>0</v>
      </c>
      <c r="EY87" s="407">
        <v>0</v>
      </c>
      <c r="EZ87" s="407"/>
      <c r="FA87" s="407">
        <v>0</v>
      </c>
      <c r="FB87" s="407"/>
      <c r="FC87" s="407"/>
      <c r="FD87" s="407"/>
      <c r="FE87" s="407"/>
      <c r="FF87" s="407">
        <v>0</v>
      </c>
      <c r="FG87" s="407">
        <v>0</v>
      </c>
      <c r="FH87" s="407">
        <v>0</v>
      </c>
      <c r="FI87" s="407">
        <v>0</v>
      </c>
    </row>
    <row r="88" spans="1:165" s="846" customFormat="1">
      <c r="A88" s="407">
        <v>86</v>
      </c>
      <c r="B88" s="407" t="s">
        <v>1092</v>
      </c>
      <c r="C88" s="407" t="s">
        <v>2313</v>
      </c>
      <c r="D88" s="407" t="s">
        <v>1220</v>
      </c>
      <c r="E88" s="407" t="s">
        <v>1023</v>
      </c>
      <c r="F88" s="407" t="s">
        <v>1023</v>
      </c>
      <c r="G88" s="407" t="s">
        <v>96</v>
      </c>
      <c r="H88" s="407" t="s">
        <v>96</v>
      </c>
      <c r="I88" s="407" t="s">
        <v>1027</v>
      </c>
      <c r="J88" s="407" t="s">
        <v>2306</v>
      </c>
      <c r="K88" s="815">
        <v>44501</v>
      </c>
      <c r="L88" s="407">
        <v>0</v>
      </c>
      <c r="M88" s="407">
        <v>0</v>
      </c>
      <c r="N88" s="407">
        <v>2.1999999999999999E-2</v>
      </c>
      <c r="O88" s="407">
        <v>2.1999999999999999E-2</v>
      </c>
      <c r="P88" s="407">
        <v>2.1999999999999999E-2</v>
      </c>
      <c r="Q88" s="407">
        <v>2.1999999999999999E-2</v>
      </c>
      <c r="R88" s="407"/>
      <c r="S88" s="407">
        <v>1864.71</v>
      </c>
      <c r="T88" s="407">
        <v>127.85</v>
      </c>
      <c r="U88" s="407"/>
      <c r="V88" s="407">
        <v>43.836320000000001</v>
      </c>
      <c r="W88" s="407">
        <v>43.836320000000001</v>
      </c>
      <c r="X88" s="407">
        <v>34.148619999999994</v>
      </c>
      <c r="Y88" s="407">
        <v>0</v>
      </c>
      <c r="Z88" s="407">
        <v>1.3436516862191148</v>
      </c>
      <c r="AA88" s="407">
        <v>0</v>
      </c>
      <c r="AB88" s="407">
        <v>0</v>
      </c>
      <c r="AC88" s="407">
        <v>0</v>
      </c>
      <c r="AD88" s="407">
        <v>6.9744251972657452</v>
      </c>
      <c r="AE88" s="407">
        <v>31.783078159800656</v>
      </c>
      <c r="AF88" s="407">
        <v>2.8126427163774936</v>
      </c>
      <c r="AG88" s="407">
        <v>0</v>
      </c>
      <c r="AH88" s="407">
        <v>0</v>
      </c>
      <c r="AI88" s="407">
        <v>0</v>
      </c>
      <c r="AJ88" s="407">
        <v>0</v>
      </c>
      <c r="AK88" s="407">
        <v>0</v>
      </c>
      <c r="AL88" s="407">
        <v>0.20779654316596119</v>
      </c>
      <c r="AM88" s="407"/>
      <c r="AN88" s="407">
        <v>5.0396792427535843E-2</v>
      </c>
      <c r="AO88" s="407">
        <v>0</v>
      </c>
      <c r="AP88" s="407">
        <v>0</v>
      </c>
      <c r="AQ88" s="407">
        <v>0</v>
      </c>
      <c r="AR88" s="407">
        <v>0</v>
      </c>
      <c r="AS88" s="407">
        <v>0</v>
      </c>
      <c r="AT88" s="407">
        <v>0</v>
      </c>
      <c r="AU88" s="407">
        <v>0</v>
      </c>
      <c r="AV88" s="407">
        <v>0</v>
      </c>
      <c r="AW88" s="407">
        <v>0</v>
      </c>
      <c r="AX88" s="407">
        <v>0</v>
      </c>
      <c r="AY88" s="407">
        <v>0</v>
      </c>
      <c r="AZ88" s="407">
        <v>0</v>
      </c>
      <c r="BA88" s="407"/>
      <c r="BB88" s="407">
        <v>0</v>
      </c>
      <c r="BC88" s="407">
        <v>0</v>
      </c>
      <c r="BD88" s="407">
        <v>0</v>
      </c>
      <c r="BE88" s="407">
        <v>0</v>
      </c>
      <c r="BF88" s="407">
        <v>0</v>
      </c>
      <c r="BG88" s="407">
        <v>0.66436026081688992</v>
      </c>
      <c r="BH88" s="407">
        <v>0</v>
      </c>
      <c r="BI88" s="407">
        <v>0</v>
      </c>
      <c r="BJ88" s="407">
        <v>0</v>
      </c>
      <c r="BK88" s="407">
        <v>0</v>
      </c>
      <c r="BL88" s="407">
        <v>0</v>
      </c>
      <c r="BM88" s="407"/>
      <c r="BN88" s="407"/>
      <c r="BO88" s="407"/>
      <c r="BP88" s="407"/>
      <c r="BQ88" s="407"/>
      <c r="BR88" s="407"/>
      <c r="BS88" s="407"/>
      <c r="BT88" s="407"/>
      <c r="BU88" s="407"/>
      <c r="BV88" s="407">
        <v>3.4770029771943838</v>
      </c>
      <c r="BW88" s="407"/>
      <c r="BX88" s="407"/>
      <c r="BY88" s="407"/>
      <c r="BZ88" s="407"/>
      <c r="CA88" s="407"/>
      <c r="CB88" s="407"/>
      <c r="CC88" s="407"/>
      <c r="CD88" s="407"/>
      <c r="CE88" s="407"/>
      <c r="CF88" s="407"/>
      <c r="CG88" s="407"/>
      <c r="CH88" s="407"/>
      <c r="CI88" s="407">
        <v>31.0442</v>
      </c>
      <c r="CJ88" s="407">
        <v>-12.822119999999995</v>
      </c>
      <c r="CK88" s="407"/>
      <c r="CL88" s="407"/>
      <c r="CM88" s="407"/>
      <c r="CN88" s="407"/>
      <c r="CO88" s="407">
        <v>-9.7761400000000016</v>
      </c>
      <c r="CP88" s="407">
        <v>8.8440000000000227E-2</v>
      </c>
      <c r="CQ88" s="407">
        <v>30</v>
      </c>
      <c r="CR88" s="407">
        <v>-0.29220179014855141</v>
      </c>
      <c r="CS88" s="407">
        <v>0</v>
      </c>
      <c r="CT88" s="407">
        <v>0</v>
      </c>
      <c r="CU88" s="407">
        <v>0</v>
      </c>
      <c r="CV88" s="407">
        <v>0</v>
      </c>
      <c r="CW88" s="407">
        <v>0</v>
      </c>
      <c r="CX88" s="407">
        <v>0</v>
      </c>
      <c r="CY88" s="407">
        <v>0</v>
      </c>
      <c r="CZ88" s="407">
        <v>-0.36588333429786513</v>
      </c>
      <c r="DA88" s="407">
        <v>0</v>
      </c>
      <c r="DB88" s="407">
        <v>0</v>
      </c>
      <c r="DC88" s="407">
        <v>8.8503212351972671E-2</v>
      </c>
      <c r="DD88" s="407">
        <v>0</v>
      </c>
      <c r="DE88" s="407">
        <v>0</v>
      </c>
      <c r="DF88" s="407">
        <v>0</v>
      </c>
      <c r="DG88" s="407">
        <v>2.0904900895843848E-2</v>
      </c>
      <c r="DH88" s="407">
        <v>0</v>
      </c>
      <c r="DI88" s="407">
        <v>-3.0599588909764552E-2</v>
      </c>
      <c r="DJ88" s="407"/>
      <c r="DK88" s="407">
        <v>0</v>
      </c>
      <c r="DL88" s="407">
        <v>0</v>
      </c>
      <c r="DM88" s="407">
        <v>0</v>
      </c>
      <c r="DN88" s="407">
        <v>0</v>
      </c>
      <c r="DO88" s="407">
        <v>-3.9651803789226003E-3</v>
      </c>
      <c r="DP88" s="407">
        <v>-1.1617998098148313E-3</v>
      </c>
      <c r="DQ88" s="407">
        <v>0</v>
      </c>
      <c r="DR88" s="407">
        <v>0</v>
      </c>
      <c r="DS88" s="407"/>
      <c r="DT88" s="407"/>
      <c r="DU88" s="407"/>
      <c r="DV88" s="407">
        <v>31.783078159800656</v>
      </c>
      <c r="DW88" s="407">
        <v>0</v>
      </c>
      <c r="DX88" s="407">
        <v>0</v>
      </c>
      <c r="DY88" s="407">
        <v>-9.7761400000000052</v>
      </c>
      <c r="DZ88" s="407">
        <v>8.8440000000000296E-2</v>
      </c>
      <c r="EA88" s="407">
        <v>0</v>
      </c>
      <c r="EB88" s="407">
        <v>0</v>
      </c>
      <c r="EC88" s="407">
        <v>-9.3955796092956554</v>
      </c>
      <c r="ED88" s="407">
        <v>0</v>
      </c>
      <c r="EE88" s="407">
        <v>0</v>
      </c>
      <c r="EF88" s="407">
        <v>0</v>
      </c>
      <c r="EG88" s="407">
        <v>0</v>
      </c>
      <c r="EH88" s="407">
        <v>0</v>
      </c>
      <c r="EI88" s="407">
        <v>0</v>
      </c>
      <c r="EJ88" s="407">
        <v>0</v>
      </c>
      <c r="EK88" s="407">
        <v>0</v>
      </c>
      <c r="EL88" s="407">
        <v>0</v>
      </c>
      <c r="EM88" s="407">
        <v>0</v>
      </c>
      <c r="EN88" s="407">
        <v>0</v>
      </c>
      <c r="EO88" s="407">
        <v>0</v>
      </c>
      <c r="EP88" s="407">
        <v>0</v>
      </c>
      <c r="EQ88" s="407">
        <v>0</v>
      </c>
      <c r="ER88" s="407">
        <v>0</v>
      </c>
      <c r="ES88" s="407">
        <v>0</v>
      </c>
      <c r="ET88" s="407">
        <v>0</v>
      </c>
      <c r="EU88" s="407">
        <v>0</v>
      </c>
      <c r="EV88" s="407">
        <v>207</v>
      </c>
      <c r="EW88" s="407">
        <v>0</v>
      </c>
      <c r="EX88" s="407">
        <v>0</v>
      </c>
      <c r="EY88" s="407">
        <v>0</v>
      </c>
      <c r="EZ88" s="407"/>
      <c r="FA88" s="407">
        <v>0</v>
      </c>
      <c r="FB88" s="407"/>
      <c r="FC88" s="407"/>
      <c r="FD88" s="407"/>
      <c r="FE88" s="407"/>
      <c r="FF88" s="407">
        <v>0</v>
      </c>
      <c r="FG88" s="407">
        <v>0</v>
      </c>
      <c r="FH88" s="407">
        <v>0</v>
      </c>
      <c r="FI88" s="407">
        <v>0</v>
      </c>
    </row>
    <row r="89" spans="1:165" s="846" customFormat="1">
      <c r="A89" s="407">
        <v>87</v>
      </c>
      <c r="B89" s="407" t="s">
        <v>1092</v>
      </c>
      <c r="C89" s="407" t="s">
        <v>2313</v>
      </c>
      <c r="D89" s="407" t="s">
        <v>1220</v>
      </c>
      <c r="E89" s="407" t="s">
        <v>1023</v>
      </c>
      <c r="F89" s="407" t="s">
        <v>1023</v>
      </c>
      <c r="G89" s="407" t="s">
        <v>96</v>
      </c>
      <c r="H89" s="407" t="s">
        <v>96</v>
      </c>
      <c r="I89" s="407" t="s">
        <v>2290</v>
      </c>
      <c r="J89" s="407" t="s">
        <v>2306</v>
      </c>
      <c r="K89" s="815">
        <v>44501</v>
      </c>
      <c r="L89" s="407">
        <v>0</v>
      </c>
      <c r="M89" s="407">
        <v>0</v>
      </c>
      <c r="N89" s="407">
        <v>0.28100000000000003</v>
      </c>
      <c r="O89" s="407">
        <v>0.28100000000000003</v>
      </c>
      <c r="P89" s="407">
        <v>0.28100000000000003</v>
      </c>
      <c r="Q89" s="407">
        <v>0.28100000000000003</v>
      </c>
      <c r="R89" s="407"/>
      <c r="S89" s="407">
        <v>455.34</v>
      </c>
      <c r="T89" s="407">
        <v>127.85</v>
      </c>
      <c r="U89" s="407"/>
      <c r="V89" s="407">
        <v>163.87639000000001</v>
      </c>
      <c r="W89" s="407">
        <v>163.87639000000001</v>
      </c>
      <c r="X89" s="407">
        <v>139.88180000000003</v>
      </c>
      <c r="Y89" s="407">
        <v>0</v>
      </c>
      <c r="Z89" s="407">
        <v>17.162096537616879</v>
      </c>
      <c r="AA89" s="407">
        <v>0</v>
      </c>
      <c r="AB89" s="407">
        <v>0</v>
      </c>
      <c r="AC89" s="407">
        <v>0</v>
      </c>
      <c r="AD89" s="407">
        <v>17.813713776111229</v>
      </c>
      <c r="AE89" s="407">
        <v>81.191273843224153</v>
      </c>
      <c r="AF89" s="407">
        <v>35.925118331912536</v>
      </c>
      <c r="AG89" s="407">
        <v>0</v>
      </c>
      <c r="AH89" s="407">
        <v>0</v>
      </c>
      <c r="AI89" s="407">
        <v>0</v>
      </c>
      <c r="AJ89" s="407">
        <v>0</v>
      </c>
      <c r="AK89" s="407">
        <v>0</v>
      </c>
      <c r="AL89" s="407">
        <v>2.6541285740743232</v>
      </c>
      <c r="AM89" s="407"/>
      <c r="AN89" s="407">
        <v>0.64370448509716238</v>
      </c>
      <c r="AO89" s="407">
        <v>0</v>
      </c>
      <c r="AP89" s="407">
        <v>0</v>
      </c>
      <c r="AQ89" s="407">
        <v>0</v>
      </c>
      <c r="AR89" s="407">
        <v>0</v>
      </c>
      <c r="AS89" s="407">
        <v>0</v>
      </c>
      <c r="AT89" s="407">
        <v>0</v>
      </c>
      <c r="AU89" s="407">
        <v>0</v>
      </c>
      <c r="AV89" s="407">
        <v>0</v>
      </c>
      <c r="AW89" s="407">
        <v>0</v>
      </c>
      <c r="AX89" s="407">
        <v>0</v>
      </c>
      <c r="AY89" s="407">
        <v>0</v>
      </c>
      <c r="AZ89" s="407">
        <v>0</v>
      </c>
      <c r="BA89" s="407"/>
      <c r="BB89" s="407">
        <v>0</v>
      </c>
      <c r="BC89" s="407">
        <v>0</v>
      </c>
      <c r="BD89" s="407">
        <v>0</v>
      </c>
      <c r="BE89" s="407">
        <v>0</v>
      </c>
      <c r="BF89" s="407">
        <v>0</v>
      </c>
      <c r="BG89" s="407">
        <v>8.4856924222520949</v>
      </c>
      <c r="BH89" s="407">
        <v>0</v>
      </c>
      <c r="BI89" s="407">
        <v>0</v>
      </c>
      <c r="BJ89" s="407">
        <v>0</v>
      </c>
      <c r="BK89" s="407">
        <v>0</v>
      </c>
      <c r="BL89" s="407">
        <v>0</v>
      </c>
      <c r="BM89" s="407"/>
      <c r="BN89" s="407"/>
      <c r="BO89" s="407"/>
      <c r="BP89" s="407"/>
      <c r="BQ89" s="407"/>
      <c r="BR89" s="407"/>
      <c r="BS89" s="407"/>
      <c r="BT89" s="407"/>
      <c r="BU89" s="407"/>
      <c r="BV89" s="407">
        <v>44.410810754164629</v>
      </c>
      <c r="BW89" s="407"/>
      <c r="BX89" s="407"/>
      <c r="BY89" s="407"/>
      <c r="BZ89" s="407"/>
      <c r="CA89" s="407"/>
      <c r="CB89" s="407"/>
      <c r="CC89" s="407"/>
      <c r="CD89" s="407"/>
      <c r="CE89" s="407"/>
      <c r="CF89" s="407"/>
      <c r="CG89" s="407"/>
      <c r="CH89" s="407"/>
      <c r="CI89" s="407">
        <v>139.38400000000001</v>
      </c>
      <c r="CJ89" s="407">
        <v>-24.522390000000001</v>
      </c>
      <c r="CK89" s="407"/>
      <c r="CL89" s="407"/>
      <c r="CM89" s="407"/>
      <c r="CN89" s="407"/>
      <c r="CO89" s="407">
        <v>-25.124209999999994</v>
      </c>
      <c r="CP89" s="407">
        <v>1.129620000000003</v>
      </c>
      <c r="CQ89" s="407">
        <v>30</v>
      </c>
      <c r="CR89" s="407">
        <v>6.5941025202249648E-3</v>
      </c>
      <c r="CS89" s="407">
        <v>0</v>
      </c>
      <c r="CT89" s="407">
        <v>0</v>
      </c>
      <c r="CU89" s="407">
        <v>0</v>
      </c>
      <c r="CV89" s="407">
        <v>0</v>
      </c>
      <c r="CW89" s="407">
        <v>0</v>
      </c>
      <c r="CX89" s="407">
        <v>0</v>
      </c>
      <c r="CY89" s="407">
        <v>0</v>
      </c>
      <c r="CZ89" s="407">
        <v>-0.93452016593237275</v>
      </c>
      <c r="DA89" s="407">
        <v>0</v>
      </c>
      <c r="DB89" s="407">
        <v>0</v>
      </c>
      <c r="DC89" s="407">
        <v>1.1304273941320133</v>
      </c>
      <c r="DD89" s="407">
        <v>0</v>
      </c>
      <c r="DE89" s="407">
        <v>0</v>
      </c>
      <c r="DF89" s="407">
        <v>0</v>
      </c>
      <c r="DG89" s="407">
        <v>0.26701259780600495</v>
      </c>
      <c r="DH89" s="407">
        <v>0</v>
      </c>
      <c r="DI89" s="407">
        <v>-0.39084020380199291</v>
      </c>
      <c r="DJ89" s="407"/>
      <c r="DK89" s="407">
        <v>0</v>
      </c>
      <c r="DL89" s="407">
        <v>0</v>
      </c>
      <c r="DM89" s="407">
        <v>0</v>
      </c>
      <c r="DN89" s="407">
        <v>0</v>
      </c>
      <c r="DO89" s="407">
        <v>-5.0646167567148126E-2</v>
      </c>
      <c r="DP89" s="407">
        <v>-1.4839352116271187E-2</v>
      </c>
      <c r="DQ89" s="407">
        <v>0</v>
      </c>
      <c r="DR89" s="407">
        <v>0</v>
      </c>
      <c r="DS89" s="407"/>
      <c r="DT89" s="407"/>
      <c r="DU89" s="407"/>
      <c r="DV89" s="407">
        <v>81.191273843224153</v>
      </c>
      <c r="DW89" s="407">
        <v>0</v>
      </c>
      <c r="DX89" s="407">
        <v>0</v>
      </c>
      <c r="DY89" s="407">
        <v>-25.124209999999991</v>
      </c>
      <c r="DZ89" s="407">
        <v>1.1296200000000027</v>
      </c>
      <c r="EA89" s="407">
        <v>0</v>
      </c>
      <c r="EB89" s="407">
        <v>0</v>
      </c>
      <c r="EC89" s="407">
        <v>-24.001422176250294</v>
      </c>
      <c r="ED89" s="407">
        <v>0</v>
      </c>
      <c r="EE89" s="407">
        <v>0</v>
      </c>
      <c r="EF89" s="407">
        <v>0</v>
      </c>
      <c r="EG89" s="407">
        <v>0</v>
      </c>
      <c r="EH89" s="407">
        <v>0</v>
      </c>
      <c r="EI89" s="407">
        <v>0</v>
      </c>
      <c r="EJ89" s="407">
        <v>0</v>
      </c>
      <c r="EK89" s="407">
        <v>0</v>
      </c>
      <c r="EL89" s="407">
        <v>0</v>
      </c>
      <c r="EM89" s="407">
        <v>0</v>
      </c>
      <c r="EN89" s="407">
        <v>0</v>
      </c>
      <c r="EO89" s="407">
        <v>0</v>
      </c>
      <c r="EP89" s="407">
        <v>0</v>
      </c>
      <c r="EQ89" s="407">
        <v>0</v>
      </c>
      <c r="ER89" s="407">
        <v>0</v>
      </c>
      <c r="ES89" s="407">
        <v>0</v>
      </c>
      <c r="ET89" s="407">
        <v>0</v>
      </c>
      <c r="EU89" s="407">
        <v>0</v>
      </c>
      <c r="EV89" s="407">
        <v>207</v>
      </c>
      <c r="EW89" s="407">
        <v>0</v>
      </c>
      <c r="EX89" s="407">
        <v>0</v>
      </c>
      <c r="EY89" s="407">
        <v>0</v>
      </c>
      <c r="EZ89" s="407"/>
      <c r="FA89" s="407">
        <v>0</v>
      </c>
      <c r="FB89" s="407"/>
      <c r="FC89" s="407"/>
      <c r="FD89" s="407"/>
      <c r="FE89" s="407"/>
      <c r="FF89" s="407">
        <v>0</v>
      </c>
      <c r="FG89" s="407">
        <v>0</v>
      </c>
      <c r="FH89" s="407">
        <v>0</v>
      </c>
      <c r="FI89" s="407">
        <v>0</v>
      </c>
    </row>
    <row r="90" spans="1:165" s="846" customFormat="1">
      <c r="A90" s="407">
        <v>88</v>
      </c>
      <c r="B90" s="407" t="s">
        <v>1092</v>
      </c>
      <c r="C90" s="407" t="s">
        <v>2313</v>
      </c>
      <c r="D90" s="407" t="s">
        <v>1220</v>
      </c>
      <c r="E90" s="407" t="s">
        <v>1023</v>
      </c>
      <c r="F90" s="407" t="s">
        <v>1023</v>
      </c>
      <c r="G90" s="407" t="s">
        <v>96</v>
      </c>
      <c r="H90" s="407" t="s">
        <v>96</v>
      </c>
      <c r="I90" s="407" t="s">
        <v>96</v>
      </c>
      <c r="J90" s="407" t="s">
        <v>2306</v>
      </c>
      <c r="K90" s="815">
        <v>44501</v>
      </c>
      <c r="L90" s="407">
        <v>0</v>
      </c>
      <c r="M90" s="407">
        <v>0</v>
      </c>
      <c r="N90" s="407">
        <v>0</v>
      </c>
      <c r="O90" s="407">
        <v>0</v>
      </c>
      <c r="P90" s="407">
        <v>0</v>
      </c>
      <c r="Q90" s="407">
        <v>0</v>
      </c>
      <c r="R90" s="407"/>
      <c r="S90" s="407"/>
      <c r="T90" s="407"/>
      <c r="U90" s="407"/>
      <c r="V90" s="407"/>
      <c r="W90" s="407"/>
      <c r="X90" s="407"/>
      <c r="Y90" s="407"/>
      <c r="Z90" s="407"/>
      <c r="AA90" s="407">
        <v>0</v>
      </c>
      <c r="AB90" s="407"/>
      <c r="AC90" s="407"/>
      <c r="AD90" s="407"/>
      <c r="AE90" s="407"/>
      <c r="AF90" s="407"/>
      <c r="AG90" s="407"/>
      <c r="AH90" s="407"/>
      <c r="AI90" s="407"/>
      <c r="AJ90" s="407"/>
      <c r="AK90" s="407"/>
      <c r="AL90" s="407"/>
      <c r="AM90" s="407"/>
      <c r="AN90" s="407"/>
      <c r="AO90" s="407"/>
      <c r="AP90" s="407"/>
      <c r="AQ90" s="407"/>
      <c r="AR90" s="407"/>
      <c r="AS90" s="407"/>
      <c r="AT90" s="407"/>
      <c r="AU90" s="407"/>
      <c r="AV90" s="407"/>
      <c r="AW90" s="407"/>
      <c r="AX90" s="407"/>
      <c r="AY90" s="407"/>
      <c r="AZ90" s="407">
        <v>0</v>
      </c>
      <c r="BA90" s="407"/>
      <c r="BB90" s="407"/>
      <c r="BC90" s="407"/>
      <c r="BD90" s="407"/>
      <c r="BE90" s="407"/>
      <c r="BF90" s="407"/>
      <c r="BG90" s="407"/>
      <c r="BH90" s="407"/>
      <c r="BI90" s="407">
        <v>1.04</v>
      </c>
      <c r="BJ90" s="407">
        <v>4.8099999999999996</v>
      </c>
      <c r="BK90" s="407">
        <v>80.5</v>
      </c>
      <c r="BL90" s="407">
        <v>1</v>
      </c>
      <c r="BM90" s="407"/>
      <c r="BN90" s="407"/>
      <c r="BO90" s="407"/>
      <c r="BP90" s="407"/>
      <c r="BQ90" s="407"/>
      <c r="BR90" s="407"/>
      <c r="BS90" s="407"/>
      <c r="BT90" s="407"/>
      <c r="BU90" s="407"/>
      <c r="BV90" s="407"/>
      <c r="BW90" s="407"/>
      <c r="BX90" s="407"/>
      <c r="BY90" s="407"/>
      <c r="BZ90" s="407"/>
      <c r="CA90" s="407"/>
      <c r="CB90" s="407"/>
      <c r="CC90" s="407"/>
      <c r="CD90" s="407"/>
      <c r="CE90" s="407"/>
      <c r="CF90" s="407"/>
      <c r="CG90" s="407"/>
      <c r="CH90" s="407"/>
      <c r="CI90" s="407"/>
      <c r="CJ90" s="407">
        <v>-0.03</v>
      </c>
      <c r="CK90" s="407"/>
      <c r="CL90" s="407"/>
      <c r="CM90" s="407"/>
      <c r="CN90" s="407"/>
      <c r="CO90" s="407">
        <v>0</v>
      </c>
      <c r="CP90" s="407">
        <v>0</v>
      </c>
      <c r="CQ90" s="407">
        <v>30</v>
      </c>
      <c r="CR90" s="407"/>
      <c r="CS90" s="407"/>
      <c r="CT90" s="407"/>
      <c r="CU90" s="407"/>
      <c r="CV90" s="407"/>
      <c r="CW90" s="407"/>
      <c r="CX90" s="407"/>
      <c r="CY90" s="407"/>
      <c r="CZ90" s="407"/>
      <c r="DA90" s="407"/>
      <c r="DB90" s="407"/>
      <c r="DC90" s="407"/>
      <c r="DD90" s="407"/>
      <c r="DE90" s="407"/>
      <c r="DF90" s="407"/>
      <c r="DG90" s="407"/>
      <c r="DH90" s="407"/>
      <c r="DI90" s="407"/>
      <c r="DJ90" s="407"/>
      <c r="DK90" s="407">
        <v>0</v>
      </c>
      <c r="DL90" s="407"/>
      <c r="DM90" s="407"/>
      <c r="DN90" s="407"/>
      <c r="DO90" s="407"/>
      <c r="DP90" s="407"/>
      <c r="DQ90" s="407"/>
      <c r="DR90" s="407"/>
      <c r="DS90" s="407"/>
      <c r="DT90" s="407"/>
      <c r="DU90" s="407"/>
      <c r="DV90" s="407"/>
      <c r="DW90" s="407"/>
      <c r="DX90" s="407"/>
      <c r="DY90" s="407"/>
      <c r="DZ90" s="407"/>
      <c r="EA90" s="407"/>
      <c r="EB90" s="407"/>
      <c r="EC90" s="407"/>
      <c r="ED90" s="407"/>
      <c r="EE90" s="407"/>
      <c r="EF90" s="407"/>
      <c r="EG90" s="407"/>
      <c r="EH90" s="407"/>
      <c r="EI90" s="407"/>
      <c r="EJ90" s="407"/>
      <c r="EK90" s="407"/>
      <c r="EL90" s="407"/>
      <c r="EM90" s="407"/>
      <c r="EN90" s="407"/>
      <c r="EO90" s="407"/>
      <c r="EP90" s="407"/>
      <c r="EQ90" s="407"/>
      <c r="ER90" s="407"/>
      <c r="ES90" s="407"/>
      <c r="ET90" s="407"/>
      <c r="EU90" s="407"/>
      <c r="EV90" s="407">
        <v>207</v>
      </c>
      <c r="EW90" s="407"/>
      <c r="EX90" s="407"/>
      <c r="EY90" s="407"/>
      <c r="EZ90" s="407"/>
      <c r="FA90" s="407">
        <v>0</v>
      </c>
      <c r="FB90" s="407"/>
      <c r="FC90" s="407"/>
      <c r="FD90" s="407"/>
      <c r="FE90" s="407"/>
      <c r="FF90" s="407">
        <v>0</v>
      </c>
      <c r="FG90" s="407">
        <v>0</v>
      </c>
      <c r="FH90" s="407">
        <v>0</v>
      </c>
      <c r="FI90" s="407">
        <v>0</v>
      </c>
    </row>
    <row r="91" spans="1:165" s="846" customFormat="1">
      <c r="A91" s="407">
        <v>89</v>
      </c>
      <c r="B91" s="407" t="s">
        <v>2308</v>
      </c>
      <c r="C91" s="407" t="s">
        <v>2313</v>
      </c>
      <c r="D91" s="407" t="s">
        <v>1220</v>
      </c>
      <c r="E91" s="407" t="s">
        <v>1023</v>
      </c>
      <c r="F91" s="407" t="s">
        <v>1023</v>
      </c>
      <c r="G91" s="407" t="s">
        <v>96</v>
      </c>
      <c r="H91" s="407" t="s">
        <v>96</v>
      </c>
      <c r="I91" s="407" t="s">
        <v>96</v>
      </c>
      <c r="J91" s="407" t="s">
        <v>2306</v>
      </c>
      <c r="K91" s="815">
        <v>44501</v>
      </c>
      <c r="L91" s="407">
        <v>0</v>
      </c>
      <c r="M91" s="407">
        <v>0</v>
      </c>
      <c r="N91" s="407">
        <v>0</v>
      </c>
      <c r="O91" s="407">
        <v>0</v>
      </c>
      <c r="P91" s="407">
        <v>0</v>
      </c>
      <c r="Q91" s="407">
        <v>0</v>
      </c>
      <c r="R91" s="407"/>
      <c r="S91" s="407"/>
      <c r="T91" s="407"/>
      <c r="U91" s="407"/>
      <c r="V91" s="407"/>
      <c r="W91" s="407"/>
      <c r="X91" s="407"/>
      <c r="Y91" s="407"/>
      <c r="Z91" s="407"/>
      <c r="AA91" s="407">
        <v>0</v>
      </c>
      <c r="AB91" s="407"/>
      <c r="AC91" s="407"/>
      <c r="AD91" s="407"/>
      <c r="AE91" s="407"/>
      <c r="AF91" s="407"/>
      <c r="AG91" s="407"/>
      <c r="AH91" s="407"/>
      <c r="AI91" s="407"/>
      <c r="AJ91" s="407"/>
      <c r="AK91" s="407"/>
      <c r="AL91" s="407"/>
      <c r="AM91" s="407"/>
      <c r="AN91" s="407"/>
      <c r="AO91" s="407"/>
      <c r="AP91" s="407"/>
      <c r="AQ91" s="407"/>
      <c r="AR91" s="407"/>
      <c r="AS91" s="407"/>
      <c r="AT91" s="407"/>
      <c r="AU91" s="407"/>
      <c r="AV91" s="407"/>
      <c r="AW91" s="407"/>
      <c r="AX91" s="407"/>
      <c r="AY91" s="407"/>
      <c r="AZ91" s="407">
        <v>0</v>
      </c>
      <c r="BA91" s="407"/>
      <c r="BB91" s="407"/>
      <c r="BC91" s="407"/>
      <c r="BD91" s="407"/>
      <c r="BE91" s="407"/>
      <c r="BF91" s="407"/>
      <c r="BG91" s="407"/>
      <c r="BH91" s="407"/>
      <c r="BI91" s="407">
        <v>0.43</v>
      </c>
      <c r="BJ91" s="407">
        <v>2</v>
      </c>
      <c r="BK91" s="407">
        <v>84.16</v>
      </c>
      <c r="BL91" s="407">
        <v>1</v>
      </c>
      <c r="BM91" s="407"/>
      <c r="BN91" s="407"/>
      <c r="BO91" s="407"/>
      <c r="BP91" s="407"/>
      <c r="BQ91" s="407"/>
      <c r="BR91" s="407"/>
      <c r="BS91" s="407"/>
      <c r="BT91" s="407"/>
      <c r="BU91" s="407"/>
      <c r="BV91" s="407"/>
      <c r="BW91" s="407"/>
      <c r="BX91" s="407"/>
      <c r="BY91" s="407"/>
      <c r="BZ91" s="407"/>
      <c r="CA91" s="407"/>
      <c r="CB91" s="407"/>
      <c r="CC91" s="407"/>
      <c r="CD91" s="407"/>
      <c r="CE91" s="407"/>
      <c r="CF91" s="407"/>
      <c r="CG91" s="407"/>
      <c r="CH91" s="407"/>
      <c r="CI91" s="407"/>
      <c r="CJ91" s="407">
        <v>-0.03</v>
      </c>
      <c r="CK91" s="407"/>
      <c r="CL91" s="407"/>
      <c r="CM91" s="407"/>
      <c r="CN91" s="407"/>
      <c r="CO91" s="407">
        <v>0</v>
      </c>
      <c r="CP91" s="407">
        <v>0</v>
      </c>
      <c r="CQ91" s="407">
        <v>30</v>
      </c>
      <c r="CR91" s="407"/>
      <c r="CS91" s="407"/>
      <c r="CT91" s="407"/>
      <c r="CU91" s="407"/>
      <c r="CV91" s="407"/>
      <c r="CW91" s="407"/>
      <c r="CX91" s="407"/>
      <c r="CY91" s="407"/>
      <c r="CZ91" s="407"/>
      <c r="DA91" s="407"/>
      <c r="DB91" s="407"/>
      <c r="DC91" s="407"/>
      <c r="DD91" s="407"/>
      <c r="DE91" s="407"/>
      <c r="DF91" s="407"/>
      <c r="DG91" s="407"/>
      <c r="DH91" s="407"/>
      <c r="DI91" s="407"/>
      <c r="DJ91" s="407"/>
      <c r="DK91" s="407">
        <v>0</v>
      </c>
      <c r="DL91" s="407"/>
      <c r="DM91" s="407"/>
      <c r="DN91" s="407"/>
      <c r="DO91" s="407"/>
      <c r="DP91" s="407"/>
      <c r="DQ91" s="407"/>
      <c r="DR91" s="407"/>
      <c r="DS91" s="407"/>
      <c r="DT91" s="407"/>
      <c r="DU91" s="407"/>
      <c r="DV91" s="407"/>
      <c r="DW91" s="407"/>
      <c r="DX91" s="407"/>
      <c r="DY91" s="407"/>
      <c r="DZ91" s="407"/>
      <c r="EA91" s="407"/>
      <c r="EB91" s="407"/>
      <c r="EC91" s="407"/>
      <c r="ED91" s="407"/>
      <c r="EE91" s="407"/>
      <c r="EF91" s="407"/>
      <c r="EG91" s="407"/>
      <c r="EH91" s="407"/>
      <c r="EI91" s="407"/>
      <c r="EJ91" s="407"/>
      <c r="EK91" s="407"/>
      <c r="EL91" s="407"/>
      <c r="EM91" s="407"/>
      <c r="EN91" s="407"/>
      <c r="EO91" s="407"/>
      <c r="EP91" s="407"/>
      <c r="EQ91" s="407"/>
      <c r="ER91" s="407"/>
      <c r="ES91" s="407"/>
      <c r="ET91" s="407"/>
      <c r="EU91" s="407"/>
      <c r="EV91" s="407">
        <v>207</v>
      </c>
      <c r="EW91" s="407"/>
      <c r="EX91" s="407"/>
      <c r="EY91" s="407"/>
      <c r="EZ91" s="407"/>
      <c r="FA91" s="407">
        <v>0</v>
      </c>
      <c r="FB91" s="407"/>
      <c r="FC91" s="407"/>
      <c r="FD91" s="407"/>
      <c r="FE91" s="407"/>
      <c r="FF91" s="407">
        <v>0</v>
      </c>
      <c r="FG91" s="407">
        <v>0</v>
      </c>
      <c r="FH91" s="407">
        <v>0</v>
      </c>
      <c r="FI91" s="407">
        <v>0</v>
      </c>
    </row>
    <row r="92" spans="1:165" s="846" customFormat="1">
      <c r="A92" s="407">
        <v>90</v>
      </c>
      <c r="B92" s="407" t="s">
        <v>1092</v>
      </c>
      <c r="C92" s="407" t="s">
        <v>2313</v>
      </c>
      <c r="D92" s="407" t="s">
        <v>1220</v>
      </c>
      <c r="E92" s="407" t="s">
        <v>1023</v>
      </c>
      <c r="F92" s="407" t="s">
        <v>1023</v>
      </c>
      <c r="G92" s="407" t="s">
        <v>96</v>
      </c>
      <c r="H92" s="407" t="s">
        <v>96</v>
      </c>
      <c r="I92" s="407" t="s">
        <v>2314</v>
      </c>
      <c r="J92" s="407" t="s">
        <v>2306</v>
      </c>
      <c r="K92" s="815">
        <v>44501</v>
      </c>
      <c r="L92" s="407">
        <v>0</v>
      </c>
      <c r="M92" s="407">
        <v>0</v>
      </c>
      <c r="N92" s="407">
        <v>1.6E-2</v>
      </c>
      <c r="O92" s="407">
        <v>1.6E-2</v>
      </c>
      <c r="P92" s="407">
        <v>1.6E-2</v>
      </c>
      <c r="Q92" s="407">
        <v>1.6E-2</v>
      </c>
      <c r="R92" s="407"/>
      <c r="S92" s="407">
        <v>1160</v>
      </c>
      <c r="T92" s="407">
        <v>127.85</v>
      </c>
      <c r="U92" s="407"/>
      <c r="V92" s="407">
        <v>20.605599999999999</v>
      </c>
      <c r="W92" s="407">
        <v>20.605599999999999</v>
      </c>
      <c r="X92" s="407">
        <v>16.39968</v>
      </c>
      <c r="Y92" s="407">
        <v>0</v>
      </c>
      <c r="Z92" s="407">
        <v>0.97720122634117446</v>
      </c>
      <c r="AA92" s="407">
        <v>0</v>
      </c>
      <c r="AB92" s="407">
        <v>0</v>
      </c>
      <c r="AC92" s="407">
        <v>0</v>
      </c>
      <c r="AD92" s="407">
        <v>3.0429136061267359</v>
      </c>
      <c r="AE92" s="407">
        <v>13.868977413141424</v>
      </c>
      <c r="AF92" s="407">
        <v>2.0455583391836321</v>
      </c>
      <c r="AG92" s="407">
        <v>0</v>
      </c>
      <c r="AH92" s="407">
        <v>0</v>
      </c>
      <c r="AI92" s="407">
        <v>0</v>
      </c>
      <c r="AJ92" s="407">
        <v>0</v>
      </c>
      <c r="AK92" s="407">
        <v>0</v>
      </c>
      <c r="AL92" s="407">
        <v>0.1511247586661536</v>
      </c>
      <c r="AM92" s="407"/>
      <c r="AN92" s="407">
        <v>3.665221267457152E-2</v>
      </c>
      <c r="AO92" s="407">
        <v>0</v>
      </c>
      <c r="AP92" s="407">
        <v>0</v>
      </c>
      <c r="AQ92" s="407">
        <v>0</v>
      </c>
      <c r="AR92" s="407">
        <v>0</v>
      </c>
      <c r="AS92" s="407">
        <v>0</v>
      </c>
      <c r="AT92" s="407">
        <v>0</v>
      </c>
      <c r="AU92" s="407">
        <v>0</v>
      </c>
      <c r="AV92" s="407">
        <v>0</v>
      </c>
      <c r="AW92" s="407">
        <v>0</v>
      </c>
      <c r="AX92" s="407">
        <v>0</v>
      </c>
      <c r="AY92" s="407">
        <v>0</v>
      </c>
      <c r="AZ92" s="407">
        <v>0</v>
      </c>
      <c r="BA92" s="407"/>
      <c r="BB92" s="407">
        <v>0</v>
      </c>
      <c r="BC92" s="407">
        <v>0</v>
      </c>
      <c r="BD92" s="407">
        <v>0</v>
      </c>
      <c r="BE92" s="407">
        <v>0</v>
      </c>
      <c r="BF92" s="407">
        <v>0</v>
      </c>
      <c r="BG92" s="407">
        <v>0.48317109877591996</v>
      </c>
      <c r="BH92" s="407">
        <v>0</v>
      </c>
      <c r="BI92" s="407">
        <v>0</v>
      </c>
      <c r="BJ92" s="407">
        <v>0</v>
      </c>
      <c r="BK92" s="407">
        <v>0</v>
      </c>
      <c r="BL92" s="407">
        <v>0</v>
      </c>
      <c r="BM92" s="407"/>
      <c r="BN92" s="407"/>
      <c r="BO92" s="407"/>
      <c r="BP92" s="407"/>
      <c r="BQ92" s="407"/>
      <c r="BR92" s="407"/>
      <c r="BS92" s="407"/>
      <c r="BT92" s="407"/>
      <c r="BU92" s="407"/>
      <c r="BV92" s="407">
        <v>2.528729437959552</v>
      </c>
      <c r="BW92" s="407"/>
      <c r="BX92" s="407"/>
      <c r="BY92" s="407"/>
      <c r="BZ92" s="407"/>
      <c r="CA92" s="407"/>
      <c r="CB92" s="407"/>
      <c r="CC92" s="407"/>
      <c r="CD92" s="407"/>
      <c r="CE92" s="407"/>
      <c r="CF92" s="407"/>
      <c r="CG92" s="407"/>
      <c r="CH92" s="407"/>
      <c r="CI92" s="407">
        <v>20.499600000000001</v>
      </c>
      <c r="CJ92" s="407">
        <v>-0.13600000000000279</v>
      </c>
      <c r="CK92" s="407"/>
      <c r="CL92" s="407"/>
      <c r="CM92" s="407"/>
      <c r="CN92" s="407"/>
      <c r="CO92" s="407">
        <v>-4.2702400000000003</v>
      </c>
      <c r="CP92" s="407">
        <v>6.4320000000000169E-2</v>
      </c>
      <c r="CQ92" s="407">
        <v>30</v>
      </c>
      <c r="CR92" s="407">
        <v>-0.10604684665460606</v>
      </c>
      <c r="CS92" s="407">
        <v>0</v>
      </c>
      <c r="CT92" s="407">
        <v>0</v>
      </c>
      <c r="CU92" s="407">
        <v>0</v>
      </c>
      <c r="CV92" s="407">
        <v>0</v>
      </c>
      <c r="CW92" s="407">
        <v>0</v>
      </c>
      <c r="CX92" s="407">
        <v>0</v>
      </c>
      <c r="CY92" s="407">
        <v>0</v>
      </c>
      <c r="CZ92" s="407">
        <v>-0.15963342421774396</v>
      </c>
      <c r="DA92" s="407">
        <v>0</v>
      </c>
      <c r="DB92" s="407">
        <v>0</v>
      </c>
      <c r="DC92" s="407">
        <v>6.4365972619616407E-2</v>
      </c>
      <c r="DD92" s="407">
        <v>0</v>
      </c>
      <c r="DE92" s="407">
        <v>0</v>
      </c>
      <c r="DF92" s="407">
        <v>0</v>
      </c>
      <c r="DG92" s="407">
        <v>1.520356428788644E-2</v>
      </c>
      <c r="DH92" s="407">
        <v>0</v>
      </c>
      <c r="DI92" s="407">
        <v>-2.2254246479828765E-2</v>
      </c>
      <c r="DJ92" s="407"/>
      <c r="DK92" s="407">
        <v>0</v>
      </c>
      <c r="DL92" s="407">
        <v>0</v>
      </c>
      <c r="DM92" s="407">
        <v>0</v>
      </c>
      <c r="DN92" s="407">
        <v>0</v>
      </c>
      <c r="DO92" s="407">
        <v>-2.8837675483073533E-3</v>
      </c>
      <c r="DP92" s="407">
        <v>-8.4494531622895941E-4</v>
      </c>
      <c r="DQ92" s="407">
        <v>0</v>
      </c>
      <c r="DR92" s="407">
        <v>0</v>
      </c>
      <c r="DS92" s="407"/>
      <c r="DT92" s="407"/>
      <c r="DU92" s="407"/>
      <c r="DV92" s="407">
        <v>13.868977413141424</v>
      </c>
      <c r="DW92" s="407">
        <v>0</v>
      </c>
      <c r="DX92" s="407">
        <v>0</v>
      </c>
      <c r="DY92" s="407">
        <v>-4.2702399999999976</v>
      </c>
      <c r="DZ92" s="407">
        <v>6.4320000000000377E-2</v>
      </c>
      <c r="EA92" s="407">
        <v>0</v>
      </c>
      <c r="EB92" s="407">
        <v>0</v>
      </c>
      <c r="EC92" s="407">
        <v>-4.099888649221743</v>
      </c>
      <c r="ED92" s="407">
        <v>0</v>
      </c>
      <c r="EE92" s="407">
        <v>0</v>
      </c>
      <c r="EF92" s="407">
        <v>0</v>
      </c>
      <c r="EG92" s="407">
        <v>0</v>
      </c>
      <c r="EH92" s="407">
        <v>0</v>
      </c>
      <c r="EI92" s="407">
        <v>0</v>
      </c>
      <c r="EJ92" s="407">
        <v>0</v>
      </c>
      <c r="EK92" s="407">
        <v>0</v>
      </c>
      <c r="EL92" s="407">
        <v>0</v>
      </c>
      <c r="EM92" s="407">
        <v>0</v>
      </c>
      <c r="EN92" s="407">
        <v>0</v>
      </c>
      <c r="EO92" s="407">
        <v>0</v>
      </c>
      <c r="EP92" s="407">
        <v>0</v>
      </c>
      <c r="EQ92" s="407">
        <v>0</v>
      </c>
      <c r="ER92" s="407">
        <v>0</v>
      </c>
      <c r="ES92" s="407">
        <v>0</v>
      </c>
      <c r="ET92" s="407">
        <v>0</v>
      </c>
      <c r="EU92" s="407">
        <v>0</v>
      </c>
      <c r="EV92" s="407">
        <v>207</v>
      </c>
      <c r="EW92" s="407">
        <v>0</v>
      </c>
      <c r="EX92" s="407">
        <v>0</v>
      </c>
      <c r="EY92" s="407">
        <v>0</v>
      </c>
      <c r="EZ92" s="407"/>
      <c r="FA92" s="407">
        <v>0</v>
      </c>
      <c r="FB92" s="407"/>
      <c r="FC92" s="407"/>
      <c r="FD92" s="407"/>
      <c r="FE92" s="407"/>
      <c r="FF92" s="407">
        <v>0</v>
      </c>
      <c r="FG92" s="407">
        <v>0</v>
      </c>
      <c r="FH92" s="407">
        <v>0</v>
      </c>
      <c r="FI92" s="407">
        <v>0</v>
      </c>
    </row>
    <row r="93" spans="1:165" s="846" customFormat="1">
      <c r="A93" s="407">
        <v>91</v>
      </c>
      <c r="B93" s="407" t="s">
        <v>2308</v>
      </c>
      <c r="C93" s="407" t="s">
        <v>2313</v>
      </c>
      <c r="D93" s="407" t="s">
        <v>1220</v>
      </c>
      <c r="E93" s="407" t="s">
        <v>1023</v>
      </c>
      <c r="F93" s="407" t="s">
        <v>1023</v>
      </c>
      <c r="G93" s="407" t="s">
        <v>96</v>
      </c>
      <c r="H93" s="407" t="s">
        <v>96</v>
      </c>
      <c r="I93" s="407" t="s">
        <v>2314</v>
      </c>
      <c r="J93" s="407" t="s">
        <v>2306</v>
      </c>
      <c r="K93" s="815">
        <v>44501</v>
      </c>
      <c r="L93" s="407">
        <v>0</v>
      </c>
      <c r="M93" s="407">
        <v>0</v>
      </c>
      <c r="N93" s="407">
        <v>8.4000000000000005E-2</v>
      </c>
      <c r="O93" s="407">
        <v>8.4000000000000005E-2</v>
      </c>
      <c r="P93" s="407">
        <v>8.4000000000000005E-2</v>
      </c>
      <c r="Q93" s="407">
        <v>8.4000000000000005E-2</v>
      </c>
      <c r="R93" s="407"/>
      <c r="S93" s="407">
        <v>1160</v>
      </c>
      <c r="T93" s="407">
        <v>127.85</v>
      </c>
      <c r="U93" s="407"/>
      <c r="V93" s="407">
        <v>108.17940000000002</v>
      </c>
      <c r="W93" s="407">
        <v>108.17940000000002</v>
      </c>
      <c r="X93" s="407">
        <v>86.098320000000001</v>
      </c>
      <c r="Y93" s="407">
        <v>0</v>
      </c>
      <c r="Z93" s="407">
        <v>5.1303064382911661</v>
      </c>
      <c r="AA93" s="407">
        <v>0</v>
      </c>
      <c r="AB93" s="407">
        <v>0</v>
      </c>
      <c r="AC93" s="407">
        <v>0</v>
      </c>
      <c r="AD93" s="407">
        <v>15.975296432165365</v>
      </c>
      <c r="AE93" s="407">
        <v>72.812131418992479</v>
      </c>
      <c r="AF93" s="407">
        <v>10.739181280714067</v>
      </c>
      <c r="AG93" s="407">
        <v>0</v>
      </c>
      <c r="AH93" s="407">
        <v>0</v>
      </c>
      <c r="AI93" s="407">
        <v>0</v>
      </c>
      <c r="AJ93" s="407">
        <v>0</v>
      </c>
      <c r="AK93" s="407">
        <v>0</v>
      </c>
      <c r="AL93" s="407">
        <v>0.79340498299730655</v>
      </c>
      <c r="AM93" s="407"/>
      <c r="AN93" s="407">
        <v>0.19242411654150052</v>
      </c>
      <c r="AO93" s="407">
        <v>0</v>
      </c>
      <c r="AP93" s="407">
        <v>0</v>
      </c>
      <c r="AQ93" s="407">
        <v>0</v>
      </c>
      <c r="AR93" s="407">
        <v>0</v>
      </c>
      <c r="AS93" s="407">
        <v>0</v>
      </c>
      <c r="AT93" s="407">
        <v>0</v>
      </c>
      <c r="AU93" s="407">
        <v>0</v>
      </c>
      <c r="AV93" s="407">
        <v>0</v>
      </c>
      <c r="AW93" s="407">
        <v>0</v>
      </c>
      <c r="AX93" s="407">
        <v>0</v>
      </c>
      <c r="AY93" s="407">
        <v>0</v>
      </c>
      <c r="AZ93" s="407">
        <v>0</v>
      </c>
      <c r="BA93" s="407"/>
      <c r="BB93" s="407">
        <v>0</v>
      </c>
      <c r="BC93" s="407">
        <v>0</v>
      </c>
      <c r="BD93" s="407">
        <v>0</v>
      </c>
      <c r="BE93" s="407">
        <v>0</v>
      </c>
      <c r="BF93" s="407">
        <v>0</v>
      </c>
      <c r="BG93" s="407">
        <v>2.5366482685735798</v>
      </c>
      <c r="BH93" s="407">
        <v>0</v>
      </c>
      <c r="BI93" s="407">
        <v>0</v>
      </c>
      <c r="BJ93" s="407">
        <v>0</v>
      </c>
      <c r="BK93" s="407">
        <v>0</v>
      </c>
      <c r="BL93" s="407">
        <v>0</v>
      </c>
      <c r="BM93" s="407"/>
      <c r="BN93" s="407"/>
      <c r="BO93" s="407"/>
      <c r="BP93" s="407"/>
      <c r="BQ93" s="407"/>
      <c r="BR93" s="407"/>
      <c r="BS93" s="407"/>
      <c r="BT93" s="407"/>
      <c r="BU93" s="407"/>
      <c r="BV93" s="407">
        <v>13.275829549287646</v>
      </c>
      <c r="BW93" s="407"/>
      <c r="BX93" s="407"/>
      <c r="BY93" s="407"/>
      <c r="BZ93" s="407"/>
      <c r="CA93" s="407"/>
      <c r="CB93" s="407"/>
      <c r="CC93" s="407"/>
      <c r="CD93" s="407"/>
      <c r="CE93" s="407"/>
      <c r="CF93" s="407"/>
      <c r="CG93" s="407"/>
      <c r="CH93" s="407"/>
      <c r="CI93" s="407">
        <v>81.998400000000004</v>
      </c>
      <c r="CJ93" s="407">
        <v>-26.211000000000027</v>
      </c>
      <c r="CK93" s="407"/>
      <c r="CL93" s="407"/>
      <c r="CM93" s="407"/>
      <c r="CN93" s="407"/>
      <c r="CO93" s="407">
        <v>-22.418759999999999</v>
      </c>
      <c r="CP93" s="407">
        <v>0.33768000000000087</v>
      </c>
      <c r="CQ93" s="407">
        <v>30</v>
      </c>
      <c r="CR93" s="407">
        <v>-0.5567459449366936</v>
      </c>
      <c r="CS93" s="407">
        <v>0</v>
      </c>
      <c r="CT93" s="407">
        <v>0</v>
      </c>
      <c r="CU93" s="407">
        <v>0</v>
      </c>
      <c r="CV93" s="407">
        <v>0</v>
      </c>
      <c r="CW93" s="407">
        <v>0</v>
      </c>
      <c r="CX93" s="407">
        <v>0</v>
      </c>
      <c r="CY93" s="407">
        <v>0</v>
      </c>
      <c r="CZ93" s="407">
        <v>-0.83807547714315689</v>
      </c>
      <c r="DA93" s="407">
        <v>0</v>
      </c>
      <c r="DB93" s="407">
        <v>0</v>
      </c>
      <c r="DC93" s="407">
        <v>0.33792135625298592</v>
      </c>
      <c r="DD93" s="407">
        <v>0</v>
      </c>
      <c r="DE93" s="407">
        <v>0</v>
      </c>
      <c r="DF93" s="407">
        <v>0</v>
      </c>
      <c r="DG93" s="407">
        <v>7.9818712511404044E-2</v>
      </c>
      <c r="DH93" s="407">
        <v>0</v>
      </c>
      <c r="DI93" s="407">
        <v>-0.11683479401910102</v>
      </c>
      <c r="DJ93" s="407"/>
      <c r="DK93" s="407">
        <v>0</v>
      </c>
      <c r="DL93" s="407">
        <v>0</v>
      </c>
      <c r="DM93" s="407">
        <v>0</v>
      </c>
      <c r="DN93" s="407">
        <v>0</v>
      </c>
      <c r="DO93" s="407">
        <v>-1.5139779628613681E-2</v>
      </c>
      <c r="DP93" s="407">
        <v>-4.4359629102020681E-3</v>
      </c>
      <c r="DQ93" s="407">
        <v>0</v>
      </c>
      <c r="DR93" s="407">
        <v>0</v>
      </c>
      <c r="DS93" s="407"/>
      <c r="DT93" s="407"/>
      <c r="DU93" s="407"/>
      <c r="DV93" s="407">
        <v>72.812131418992479</v>
      </c>
      <c r="DW93" s="407">
        <v>0</v>
      </c>
      <c r="DX93" s="407">
        <v>0</v>
      </c>
      <c r="DY93" s="407">
        <v>-22.418760000000006</v>
      </c>
      <c r="DZ93" s="407">
        <v>0.33768000000000065</v>
      </c>
      <c r="EA93" s="407">
        <v>0</v>
      </c>
      <c r="EB93" s="407">
        <v>0</v>
      </c>
      <c r="EC93" s="407">
        <v>-21.52441540841415</v>
      </c>
      <c r="ED93" s="407">
        <v>0</v>
      </c>
      <c r="EE93" s="407">
        <v>0</v>
      </c>
      <c r="EF93" s="407">
        <v>0</v>
      </c>
      <c r="EG93" s="407">
        <v>0</v>
      </c>
      <c r="EH93" s="407">
        <v>0</v>
      </c>
      <c r="EI93" s="407">
        <v>0</v>
      </c>
      <c r="EJ93" s="407">
        <v>0</v>
      </c>
      <c r="EK93" s="407">
        <v>0</v>
      </c>
      <c r="EL93" s="407">
        <v>0</v>
      </c>
      <c r="EM93" s="407">
        <v>0</v>
      </c>
      <c r="EN93" s="407">
        <v>0</v>
      </c>
      <c r="EO93" s="407">
        <v>0</v>
      </c>
      <c r="EP93" s="407">
        <v>0</v>
      </c>
      <c r="EQ93" s="407">
        <v>0</v>
      </c>
      <c r="ER93" s="407">
        <v>0</v>
      </c>
      <c r="ES93" s="407">
        <v>0</v>
      </c>
      <c r="ET93" s="407">
        <v>0</v>
      </c>
      <c r="EU93" s="407">
        <v>0</v>
      </c>
      <c r="EV93" s="407">
        <v>207</v>
      </c>
      <c r="EW93" s="407">
        <v>0</v>
      </c>
      <c r="EX93" s="407">
        <v>0</v>
      </c>
      <c r="EY93" s="407">
        <v>0</v>
      </c>
      <c r="EZ93" s="407"/>
      <c r="FA93" s="407">
        <v>0</v>
      </c>
      <c r="FB93" s="407"/>
      <c r="FC93" s="407"/>
      <c r="FD93" s="407"/>
      <c r="FE93" s="407"/>
      <c r="FF93" s="407">
        <v>0</v>
      </c>
      <c r="FG93" s="407">
        <v>0</v>
      </c>
      <c r="FH93" s="407">
        <v>0</v>
      </c>
      <c r="FI93" s="407">
        <v>0</v>
      </c>
    </row>
    <row r="94" spans="1:165" s="846" customFormat="1">
      <c r="A94" s="407">
        <v>92</v>
      </c>
      <c r="B94" s="407" t="s">
        <v>1092</v>
      </c>
      <c r="C94" s="407" t="s">
        <v>2315</v>
      </c>
      <c r="D94" s="407" t="s">
        <v>648</v>
      </c>
      <c r="E94" s="407" t="s">
        <v>1024</v>
      </c>
      <c r="F94" s="407" t="s">
        <v>96</v>
      </c>
      <c r="G94" s="407" t="s">
        <v>96</v>
      </c>
      <c r="H94" s="407" t="s">
        <v>96</v>
      </c>
      <c r="I94" s="407" t="s">
        <v>1027</v>
      </c>
      <c r="J94" s="407" t="s">
        <v>2306</v>
      </c>
      <c r="K94" s="815">
        <v>44501</v>
      </c>
      <c r="L94" s="407">
        <v>0</v>
      </c>
      <c r="M94" s="407">
        <v>0</v>
      </c>
      <c r="N94" s="407">
        <v>3.544</v>
      </c>
      <c r="O94" s="407">
        <v>3.544</v>
      </c>
      <c r="P94" s="407">
        <v>3.544</v>
      </c>
      <c r="Q94" s="407">
        <v>3.544</v>
      </c>
      <c r="R94" s="407"/>
      <c r="S94" s="407">
        <v>2075.9499999999998</v>
      </c>
      <c r="T94" s="407">
        <v>127.85</v>
      </c>
      <c r="U94" s="407"/>
      <c r="V94" s="407">
        <v>7810.2671999999993</v>
      </c>
      <c r="W94" s="407">
        <v>7810.2671999999993</v>
      </c>
      <c r="X94" s="407">
        <v>6260.1570400000001</v>
      </c>
      <c r="Y94" s="407">
        <v>0</v>
      </c>
      <c r="Z94" s="407">
        <v>188.31156232207616</v>
      </c>
      <c r="AA94" s="407">
        <v>0</v>
      </c>
      <c r="AB94" s="407">
        <v>0</v>
      </c>
      <c r="AC94" s="407">
        <v>0</v>
      </c>
      <c r="AD94" s="407">
        <v>2232.7516033822044</v>
      </c>
      <c r="AE94" s="407">
        <v>4880.6683482240987</v>
      </c>
      <c r="AF94" s="407">
        <v>453.09117212917448</v>
      </c>
      <c r="AG94" s="407">
        <v>0</v>
      </c>
      <c r="AH94" s="407">
        <v>0</v>
      </c>
      <c r="AI94" s="407">
        <v>0</v>
      </c>
      <c r="AJ94" s="407">
        <v>0</v>
      </c>
      <c r="AK94" s="407">
        <v>0</v>
      </c>
      <c r="AL94" s="407">
        <v>33.474134044553026</v>
      </c>
      <c r="AM94" s="407"/>
      <c r="AN94" s="407">
        <v>3.5596081732959028</v>
      </c>
      <c r="AO94" s="407">
        <v>0</v>
      </c>
      <c r="AP94" s="407">
        <v>0</v>
      </c>
      <c r="AQ94" s="407">
        <v>0</v>
      </c>
      <c r="AR94" s="407">
        <v>0</v>
      </c>
      <c r="AS94" s="407">
        <v>0</v>
      </c>
      <c r="AT94" s="407">
        <v>0</v>
      </c>
      <c r="AU94" s="407">
        <v>0</v>
      </c>
      <c r="AV94" s="407">
        <v>0</v>
      </c>
      <c r="AW94" s="407">
        <v>0</v>
      </c>
      <c r="AX94" s="407">
        <v>0</v>
      </c>
      <c r="AY94" s="407">
        <v>0</v>
      </c>
      <c r="AZ94" s="407">
        <v>0</v>
      </c>
      <c r="BA94" s="407"/>
      <c r="BB94" s="407">
        <v>0</v>
      </c>
      <c r="BC94" s="407">
        <v>0</v>
      </c>
      <c r="BD94" s="407">
        <v>0</v>
      </c>
      <c r="BE94" s="407">
        <v>0</v>
      </c>
      <c r="BF94" s="407">
        <v>0</v>
      </c>
      <c r="BG94" s="407">
        <v>18.39896829458602</v>
      </c>
      <c r="BH94" s="407">
        <v>0</v>
      </c>
      <c r="BI94" s="407">
        <v>0</v>
      </c>
      <c r="BJ94" s="407">
        <v>0</v>
      </c>
      <c r="BK94" s="407">
        <v>0</v>
      </c>
      <c r="BL94" s="407">
        <v>0</v>
      </c>
      <c r="BM94" s="407"/>
      <c r="BN94" s="407"/>
      <c r="BO94" s="407"/>
      <c r="BP94" s="407"/>
      <c r="BQ94" s="407"/>
      <c r="BR94" s="407"/>
      <c r="BS94" s="407"/>
      <c r="BT94" s="407"/>
      <c r="BU94" s="407"/>
      <c r="BV94" s="407">
        <v>471.49014042376052</v>
      </c>
      <c r="BW94" s="407"/>
      <c r="BX94" s="407"/>
      <c r="BY94" s="407"/>
      <c r="BZ94" s="407"/>
      <c r="CA94" s="407"/>
      <c r="CB94" s="407"/>
      <c r="CC94" s="407"/>
      <c r="CD94" s="407"/>
      <c r="CE94" s="407"/>
      <c r="CF94" s="407"/>
      <c r="CG94" s="407"/>
      <c r="CH94" s="407"/>
      <c r="CI94" s="407">
        <v>6253.0914000000002</v>
      </c>
      <c r="CJ94" s="407">
        <v>-1557.2057999999997</v>
      </c>
      <c r="CK94" s="407"/>
      <c r="CL94" s="407"/>
      <c r="CM94" s="407"/>
      <c r="CN94" s="407"/>
      <c r="CO94" s="407">
        <v>-1564.3570399999994</v>
      </c>
      <c r="CP94" s="407">
        <v>14.246880000000036</v>
      </c>
      <c r="CQ94" s="407">
        <v>30</v>
      </c>
      <c r="CR94" s="407">
        <v>-107.30505621928569</v>
      </c>
      <c r="CS94" s="407">
        <v>0</v>
      </c>
      <c r="CT94" s="407">
        <v>0</v>
      </c>
      <c r="CU94" s="407">
        <v>0</v>
      </c>
      <c r="CV94" s="407">
        <v>0</v>
      </c>
      <c r="CW94" s="407">
        <v>0</v>
      </c>
      <c r="CX94" s="407">
        <v>0</v>
      </c>
      <c r="CY94" s="407">
        <v>0</v>
      </c>
      <c r="CZ94" s="407">
        <v>-117.13174608635563</v>
      </c>
      <c r="DA94" s="407">
        <v>0</v>
      </c>
      <c r="DB94" s="407">
        <v>0</v>
      </c>
      <c r="DC94" s="407">
        <v>14.257062935245017</v>
      </c>
      <c r="DD94" s="407">
        <v>0</v>
      </c>
      <c r="DE94" s="407">
        <v>0</v>
      </c>
      <c r="DF94" s="407">
        <v>0</v>
      </c>
      <c r="DG94" s="407">
        <v>0.57894583928175791</v>
      </c>
      <c r="DH94" s="407">
        <v>0</v>
      </c>
      <c r="DI94" s="407">
        <v>-4.2885045678957852</v>
      </c>
      <c r="DJ94" s="407"/>
      <c r="DK94" s="407">
        <v>0</v>
      </c>
      <c r="DL94" s="407">
        <v>0</v>
      </c>
      <c r="DM94" s="407">
        <v>0</v>
      </c>
      <c r="DN94" s="407">
        <v>0</v>
      </c>
      <c r="DO94" s="407">
        <v>-0.63875451195008282</v>
      </c>
      <c r="DP94" s="407">
        <v>-8.2059827610993175E-2</v>
      </c>
      <c r="DQ94" s="407">
        <v>0</v>
      </c>
      <c r="DR94" s="407">
        <v>0</v>
      </c>
      <c r="DS94" s="407"/>
      <c r="DT94" s="407"/>
      <c r="DU94" s="407"/>
      <c r="DV94" s="407">
        <v>4880.6683482240987</v>
      </c>
      <c r="DW94" s="407">
        <v>0</v>
      </c>
      <c r="DX94" s="407">
        <v>0</v>
      </c>
      <c r="DY94" s="407">
        <v>-1564.357039999999</v>
      </c>
      <c r="DZ94" s="407">
        <v>14.246880000000033</v>
      </c>
      <c r="EA94" s="407">
        <v>0</v>
      </c>
      <c r="EB94" s="407">
        <v>0</v>
      </c>
      <c r="EC94" s="407">
        <v>-1442.8026065237664</v>
      </c>
      <c r="ED94" s="407">
        <v>0</v>
      </c>
      <c r="EE94" s="407">
        <v>0</v>
      </c>
      <c r="EF94" s="407">
        <v>0</v>
      </c>
      <c r="EG94" s="407">
        <v>0</v>
      </c>
      <c r="EH94" s="407">
        <v>0</v>
      </c>
      <c r="EI94" s="407">
        <v>0</v>
      </c>
      <c r="EJ94" s="407">
        <v>0</v>
      </c>
      <c r="EK94" s="407">
        <v>0</v>
      </c>
      <c r="EL94" s="407">
        <v>0</v>
      </c>
      <c r="EM94" s="407">
        <v>0</v>
      </c>
      <c r="EN94" s="407">
        <v>0</v>
      </c>
      <c r="EO94" s="407">
        <v>0</v>
      </c>
      <c r="EP94" s="407">
        <v>0</v>
      </c>
      <c r="EQ94" s="407">
        <v>0</v>
      </c>
      <c r="ER94" s="407">
        <v>0</v>
      </c>
      <c r="ES94" s="407">
        <v>0</v>
      </c>
      <c r="ET94" s="407">
        <v>0</v>
      </c>
      <c r="EU94" s="407">
        <v>0</v>
      </c>
      <c r="EV94" s="407">
        <v>207</v>
      </c>
      <c r="EW94" s="407">
        <v>0</v>
      </c>
      <c r="EX94" s="407">
        <v>0</v>
      </c>
      <c r="EY94" s="407">
        <v>0</v>
      </c>
      <c r="EZ94" s="407"/>
      <c r="FA94" s="407">
        <v>0</v>
      </c>
      <c r="FB94" s="407"/>
      <c r="FC94" s="407"/>
      <c r="FD94" s="407"/>
      <c r="FE94" s="407"/>
      <c r="FF94" s="407">
        <v>0</v>
      </c>
      <c r="FG94" s="407">
        <v>0</v>
      </c>
      <c r="FH94" s="407">
        <v>0</v>
      </c>
      <c r="FI94" s="407">
        <v>0</v>
      </c>
    </row>
    <row r="95" spans="1:165" s="846" customFormat="1">
      <c r="A95" s="407">
        <v>93</v>
      </c>
      <c r="B95" s="407" t="s">
        <v>1092</v>
      </c>
      <c r="C95" s="407" t="s">
        <v>2315</v>
      </c>
      <c r="D95" s="407" t="s">
        <v>648</v>
      </c>
      <c r="E95" s="407" t="s">
        <v>1024</v>
      </c>
      <c r="F95" s="407" t="s">
        <v>96</v>
      </c>
      <c r="G95" s="407" t="s">
        <v>96</v>
      </c>
      <c r="H95" s="407" t="s">
        <v>96</v>
      </c>
      <c r="I95" s="407" t="s">
        <v>2290</v>
      </c>
      <c r="J95" s="407" t="s">
        <v>2306</v>
      </c>
      <c r="K95" s="815">
        <v>44501</v>
      </c>
      <c r="L95" s="407">
        <v>0</v>
      </c>
      <c r="M95" s="407">
        <v>0</v>
      </c>
      <c r="N95" s="407">
        <v>59.414999999999999</v>
      </c>
      <c r="O95" s="407">
        <v>59.414999999999999</v>
      </c>
      <c r="P95" s="407">
        <v>59.414999999999999</v>
      </c>
      <c r="Q95" s="407">
        <v>59.414999999999999</v>
      </c>
      <c r="R95" s="407"/>
      <c r="S95" s="407">
        <v>68.78</v>
      </c>
      <c r="T95" s="407">
        <v>127.85</v>
      </c>
      <c r="U95" s="407"/>
      <c r="V95" s="407">
        <v>11682.77145</v>
      </c>
      <c r="W95" s="407">
        <v>11682.77145</v>
      </c>
      <c r="X95" s="407">
        <v>11847.351000000001</v>
      </c>
      <c r="Y95" s="407">
        <v>0</v>
      </c>
      <c r="Z95" s="407">
        <v>3157.0348406789376</v>
      </c>
      <c r="AA95" s="407">
        <v>0</v>
      </c>
      <c r="AB95" s="407">
        <v>0</v>
      </c>
      <c r="AC95" s="407">
        <v>0</v>
      </c>
      <c r="AD95" s="407">
        <v>0</v>
      </c>
      <c r="AE95" s="407">
        <v>0</v>
      </c>
      <c r="AF95" s="407">
        <v>7596.053045162218</v>
      </c>
      <c r="AG95" s="407">
        <v>0</v>
      </c>
      <c r="AH95" s="407">
        <v>0</v>
      </c>
      <c r="AI95" s="407">
        <v>0</v>
      </c>
      <c r="AJ95" s="407">
        <v>0</v>
      </c>
      <c r="AK95" s="407">
        <v>0</v>
      </c>
      <c r="AL95" s="407">
        <v>561.19234600934476</v>
      </c>
      <c r="AM95" s="407"/>
      <c r="AN95" s="407">
        <v>59.676670320647872</v>
      </c>
      <c r="AO95" s="407">
        <v>0</v>
      </c>
      <c r="AP95" s="407">
        <v>0</v>
      </c>
      <c r="AQ95" s="407">
        <v>0</v>
      </c>
      <c r="AR95" s="407">
        <v>0</v>
      </c>
      <c r="AS95" s="407">
        <v>0</v>
      </c>
      <c r="AT95" s="407">
        <v>0</v>
      </c>
      <c r="AU95" s="407">
        <v>0</v>
      </c>
      <c r="AV95" s="407">
        <v>0</v>
      </c>
      <c r="AW95" s="407">
        <v>0</v>
      </c>
      <c r="AX95" s="407">
        <v>0</v>
      </c>
      <c r="AY95" s="407">
        <v>0</v>
      </c>
      <c r="AZ95" s="407">
        <v>0</v>
      </c>
      <c r="BA95" s="407"/>
      <c r="BB95" s="407">
        <v>0</v>
      </c>
      <c r="BC95" s="407">
        <v>0</v>
      </c>
      <c r="BD95" s="407">
        <v>0</v>
      </c>
      <c r="BE95" s="407">
        <v>0</v>
      </c>
      <c r="BF95" s="407">
        <v>0</v>
      </c>
      <c r="BG95" s="407">
        <v>308.4578728055385</v>
      </c>
      <c r="BH95" s="407">
        <v>0</v>
      </c>
      <c r="BI95" s="407">
        <v>0</v>
      </c>
      <c r="BJ95" s="407">
        <v>0</v>
      </c>
      <c r="BK95" s="407">
        <v>0</v>
      </c>
      <c r="BL95" s="407">
        <v>0</v>
      </c>
      <c r="BM95" s="407"/>
      <c r="BN95" s="407"/>
      <c r="BO95" s="407"/>
      <c r="BP95" s="407"/>
      <c r="BQ95" s="407"/>
      <c r="BR95" s="407"/>
      <c r="BS95" s="407"/>
      <c r="BT95" s="407"/>
      <c r="BU95" s="407"/>
      <c r="BV95" s="407">
        <v>7904.5109179677565</v>
      </c>
      <c r="BW95" s="407"/>
      <c r="BX95" s="407"/>
      <c r="BY95" s="407"/>
      <c r="BZ95" s="407"/>
      <c r="CA95" s="407"/>
      <c r="CB95" s="407"/>
      <c r="CC95" s="407"/>
      <c r="CD95" s="407"/>
      <c r="CE95" s="407"/>
      <c r="CF95" s="407"/>
      <c r="CG95" s="407"/>
      <c r="CH95" s="407"/>
      <c r="CI95" s="407">
        <v>11848.348</v>
      </c>
      <c r="CJ95" s="407">
        <v>165.54654999999912</v>
      </c>
      <c r="CK95" s="407"/>
      <c r="CL95" s="407"/>
      <c r="CM95" s="407"/>
      <c r="CN95" s="407"/>
      <c r="CO95" s="407">
        <v>-74.268749999999997</v>
      </c>
      <c r="CP95" s="407">
        <v>238.84830000000059</v>
      </c>
      <c r="CQ95" s="407">
        <v>30</v>
      </c>
      <c r="CR95" s="407">
        <v>164.74401197854422</v>
      </c>
      <c r="CS95" s="407">
        <v>0</v>
      </c>
      <c r="CT95" s="407">
        <v>0</v>
      </c>
      <c r="CU95" s="407">
        <v>0</v>
      </c>
      <c r="CV95" s="407">
        <v>0</v>
      </c>
      <c r="CW95" s="407">
        <v>0</v>
      </c>
      <c r="CX95" s="407">
        <v>0</v>
      </c>
      <c r="CY95" s="407">
        <v>0</v>
      </c>
      <c r="CZ95" s="407">
        <v>0</v>
      </c>
      <c r="DA95" s="407">
        <v>0</v>
      </c>
      <c r="DB95" s="407">
        <v>0</v>
      </c>
      <c r="DC95" s="407">
        <v>239.01901644965619</v>
      </c>
      <c r="DD95" s="407">
        <v>0</v>
      </c>
      <c r="DE95" s="407">
        <v>0</v>
      </c>
      <c r="DF95" s="407">
        <v>0</v>
      </c>
      <c r="DG95" s="407">
        <v>9.7060008580489807</v>
      </c>
      <c r="DH95" s="407">
        <v>0</v>
      </c>
      <c r="DI95" s="407">
        <v>-71.896585468828562</v>
      </c>
      <c r="DJ95" s="407"/>
      <c r="DK95" s="407">
        <v>0</v>
      </c>
      <c r="DL95" s="407">
        <v>0</v>
      </c>
      <c r="DM95" s="407">
        <v>0</v>
      </c>
      <c r="DN95" s="407">
        <v>0</v>
      </c>
      <c r="DO95" s="407">
        <v>-10.70869055516755</v>
      </c>
      <c r="DP95" s="407">
        <v>-1.3757293051656774</v>
      </c>
      <c r="DQ95" s="407">
        <v>0</v>
      </c>
      <c r="DR95" s="407">
        <v>0</v>
      </c>
      <c r="DS95" s="407"/>
      <c r="DT95" s="407"/>
      <c r="DU95" s="407"/>
      <c r="DV95" s="407">
        <v>0</v>
      </c>
      <c r="DW95" s="407">
        <v>0</v>
      </c>
      <c r="DX95" s="407">
        <v>0</v>
      </c>
      <c r="DY95" s="407">
        <v>-74.268750000000182</v>
      </c>
      <c r="DZ95" s="407">
        <v>238.84830000000056</v>
      </c>
      <c r="EA95" s="407">
        <v>0</v>
      </c>
      <c r="EB95" s="407">
        <v>0</v>
      </c>
      <c r="EC95" s="407">
        <v>0</v>
      </c>
      <c r="ED95" s="407">
        <v>0</v>
      </c>
      <c r="EE95" s="407">
        <v>0</v>
      </c>
      <c r="EF95" s="407">
        <v>0</v>
      </c>
      <c r="EG95" s="407">
        <v>0</v>
      </c>
      <c r="EH95" s="407">
        <v>0</v>
      </c>
      <c r="EI95" s="407">
        <v>0</v>
      </c>
      <c r="EJ95" s="407">
        <v>0</v>
      </c>
      <c r="EK95" s="407">
        <v>0</v>
      </c>
      <c r="EL95" s="407">
        <v>0</v>
      </c>
      <c r="EM95" s="407">
        <v>0</v>
      </c>
      <c r="EN95" s="407">
        <v>0</v>
      </c>
      <c r="EO95" s="407">
        <v>0</v>
      </c>
      <c r="EP95" s="407">
        <v>0</v>
      </c>
      <c r="EQ95" s="407">
        <v>0</v>
      </c>
      <c r="ER95" s="407">
        <v>0</v>
      </c>
      <c r="ES95" s="407">
        <v>0</v>
      </c>
      <c r="ET95" s="407">
        <v>0</v>
      </c>
      <c r="EU95" s="407">
        <v>0</v>
      </c>
      <c r="EV95" s="407">
        <v>207</v>
      </c>
      <c r="EW95" s="407">
        <v>0</v>
      </c>
      <c r="EX95" s="407">
        <v>0</v>
      </c>
      <c r="EY95" s="407">
        <v>0</v>
      </c>
      <c r="EZ95" s="407"/>
      <c r="FA95" s="407">
        <v>0</v>
      </c>
      <c r="FB95" s="407"/>
      <c r="FC95" s="407"/>
      <c r="FD95" s="407"/>
      <c r="FE95" s="407"/>
      <c r="FF95" s="407">
        <v>0</v>
      </c>
      <c r="FG95" s="407">
        <v>0</v>
      </c>
      <c r="FH95" s="407">
        <v>0</v>
      </c>
      <c r="FI95" s="407">
        <v>0</v>
      </c>
    </row>
    <row r="96" spans="1:165" s="846" customFormat="1">
      <c r="A96" s="407">
        <v>94</v>
      </c>
      <c r="B96" s="407" t="s">
        <v>1092</v>
      </c>
      <c r="C96" s="407" t="s">
        <v>2315</v>
      </c>
      <c r="D96" s="407" t="s">
        <v>648</v>
      </c>
      <c r="E96" s="407" t="s">
        <v>1024</v>
      </c>
      <c r="F96" s="407" t="s">
        <v>96</v>
      </c>
      <c r="G96" s="407" t="s">
        <v>96</v>
      </c>
      <c r="H96" s="407" t="s">
        <v>96</v>
      </c>
      <c r="I96" s="407" t="s">
        <v>96</v>
      </c>
      <c r="J96" s="407" t="s">
        <v>2306</v>
      </c>
      <c r="K96" s="815">
        <v>44501</v>
      </c>
      <c r="L96" s="407">
        <v>133</v>
      </c>
      <c r="M96" s="407">
        <v>133</v>
      </c>
      <c r="N96" s="407">
        <v>0</v>
      </c>
      <c r="O96" s="407">
        <v>0</v>
      </c>
      <c r="P96" s="407">
        <v>0</v>
      </c>
      <c r="Q96" s="407">
        <v>0</v>
      </c>
      <c r="R96" s="407">
        <v>39.56</v>
      </c>
      <c r="S96" s="407"/>
      <c r="T96" s="407"/>
      <c r="U96" s="407">
        <v>5261.4800000000005</v>
      </c>
      <c r="V96" s="407"/>
      <c r="W96" s="407">
        <v>5261.4800000000005</v>
      </c>
      <c r="X96" s="407">
        <v>4130.9799999999996</v>
      </c>
      <c r="Y96" s="407">
        <v>0</v>
      </c>
      <c r="Z96" s="407">
        <v>0</v>
      </c>
      <c r="AA96" s="407">
        <v>0</v>
      </c>
      <c r="AB96" s="407">
        <v>0</v>
      </c>
      <c r="AC96" s="407">
        <v>0</v>
      </c>
      <c r="AD96" s="407">
        <v>1751.6474794161993</v>
      </c>
      <c r="AE96" s="407">
        <v>3509.1959680465679</v>
      </c>
      <c r="AF96" s="407"/>
      <c r="AG96" s="407"/>
      <c r="AH96" s="407"/>
      <c r="AI96" s="407">
        <v>0</v>
      </c>
      <c r="AJ96" s="407">
        <v>0</v>
      </c>
      <c r="AK96" s="407">
        <v>0</v>
      </c>
      <c r="AL96" s="407">
        <v>0</v>
      </c>
      <c r="AM96" s="407"/>
      <c r="AN96" s="407">
        <v>0</v>
      </c>
      <c r="AO96" s="407">
        <v>0</v>
      </c>
      <c r="AP96" s="407">
        <v>0</v>
      </c>
      <c r="AQ96" s="407">
        <v>0</v>
      </c>
      <c r="AR96" s="407">
        <v>0</v>
      </c>
      <c r="AS96" s="407"/>
      <c r="AT96" s="407"/>
      <c r="AU96" s="407">
        <v>0</v>
      </c>
      <c r="AV96" s="407">
        <v>0</v>
      </c>
      <c r="AW96" s="407">
        <v>0</v>
      </c>
      <c r="AX96" s="407"/>
      <c r="AY96" s="407"/>
      <c r="AZ96" s="407">
        <v>0</v>
      </c>
      <c r="BA96" s="407"/>
      <c r="BB96" s="407">
        <v>0</v>
      </c>
      <c r="BC96" s="407">
        <v>0</v>
      </c>
      <c r="BD96" s="407">
        <v>0</v>
      </c>
      <c r="BE96" s="407">
        <v>0</v>
      </c>
      <c r="BF96" s="407"/>
      <c r="BG96" s="407">
        <v>0</v>
      </c>
      <c r="BH96" s="407">
        <v>0</v>
      </c>
      <c r="BI96" s="407">
        <v>137.81</v>
      </c>
      <c r="BJ96" s="407">
        <v>636.07000000000005</v>
      </c>
      <c r="BK96" s="407">
        <v>7013.96</v>
      </c>
      <c r="BL96" s="407">
        <v>1</v>
      </c>
      <c r="BM96" s="407"/>
      <c r="BN96" s="407"/>
      <c r="BO96" s="407"/>
      <c r="BP96" s="407"/>
      <c r="BQ96" s="407"/>
      <c r="BR96" s="407"/>
      <c r="BS96" s="407"/>
      <c r="BT96" s="407"/>
      <c r="BU96" s="407"/>
      <c r="BV96" s="407">
        <v>0</v>
      </c>
      <c r="BW96" s="407"/>
      <c r="BX96" s="407"/>
      <c r="BY96" s="407"/>
      <c r="BZ96" s="407"/>
      <c r="CA96" s="407"/>
      <c r="CB96" s="407"/>
      <c r="CC96" s="407"/>
      <c r="CD96" s="407"/>
      <c r="CE96" s="407"/>
      <c r="CF96" s="407"/>
      <c r="CG96" s="407"/>
      <c r="CH96" s="407"/>
      <c r="CI96" s="407">
        <v>4130.9799999999996</v>
      </c>
      <c r="CJ96" s="407">
        <v>-1130.5300000000016</v>
      </c>
      <c r="CK96" s="407"/>
      <c r="CL96" s="407"/>
      <c r="CM96" s="407"/>
      <c r="CN96" s="407"/>
      <c r="CO96" s="407">
        <v>-1130.5000000000005</v>
      </c>
      <c r="CP96" s="407">
        <v>0</v>
      </c>
      <c r="CQ96" s="407">
        <v>30</v>
      </c>
      <c r="CR96" s="407">
        <v>-91.892679633938997</v>
      </c>
      <c r="CS96" s="407">
        <v>0</v>
      </c>
      <c r="CT96" s="407">
        <v>0</v>
      </c>
      <c r="CU96" s="407">
        <v>0</v>
      </c>
      <c r="CV96" s="407">
        <v>0</v>
      </c>
      <c r="CW96" s="407"/>
      <c r="CX96" s="407"/>
      <c r="CY96" s="407"/>
      <c r="CZ96" s="407">
        <v>-91.892679633938997</v>
      </c>
      <c r="DA96" s="407">
        <v>0</v>
      </c>
      <c r="DB96" s="407">
        <v>0</v>
      </c>
      <c r="DC96" s="407"/>
      <c r="DD96" s="407"/>
      <c r="DE96" s="407">
        <v>0</v>
      </c>
      <c r="DF96" s="407">
        <v>0</v>
      </c>
      <c r="DG96" s="407">
        <v>0</v>
      </c>
      <c r="DH96" s="407">
        <v>0</v>
      </c>
      <c r="DI96" s="407">
        <v>0</v>
      </c>
      <c r="DJ96" s="407"/>
      <c r="DK96" s="407">
        <v>0</v>
      </c>
      <c r="DL96" s="407">
        <v>0</v>
      </c>
      <c r="DM96" s="407"/>
      <c r="DN96" s="407">
        <v>0</v>
      </c>
      <c r="DO96" s="407">
        <v>0</v>
      </c>
      <c r="DP96" s="407">
        <v>0</v>
      </c>
      <c r="DQ96" s="407">
        <v>0</v>
      </c>
      <c r="DR96" s="407">
        <v>0</v>
      </c>
      <c r="DS96" s="407"/>
      <c r="DT96" s="407"/>
      <c r="DU96" s="407">
        <v>3509.1959680465679</v>
      </c>
      <c r="DV96" s="407"/>
      <c r="DW96" s="407">
        <v>0</v>
      </c>
      <c r="DX96" s="407">
        <v>0</v>
      </c>
      <c r="DY96" s="407">
        <v>-1130.5000000000009</v>
      </c>
      <c r="DZ96" s="407"/>
      <c r="EA96" s="407">
        <v>0</v>
      </c>
      <c r="EB96" s="407"/>
      <c r="EC96" s="407">
        <v>-1037.373721847458</v>
      </c>
      <c r="ED96" s="407"/>
      <c r="EE96" s="407">
        <v>0</v>
      </c>
      <c r="EF96" s="407">
        <v>0</v>
      </c>
      <c r="EG96" s="407"/>
      <c r="EH96" s="407">
        <v>0</v>
      </c>
      <c r="EI96" s="407">
        <v>0</v>
      </c>
      <c r="EJ96" s="407">
        <v>0</v>
      </c>
      <c r="EK96" s="407">
        <v>0</v>
      </c>
      <c r="EL96" s="407">
        <v>0</v>
      </c>
      <c r="EM96" s="407"/>
      <c r="EN96" s="407"/>
      <c r="EO96" s="407">
        <v>0</v>
      </c>
      <c r="EP96" s="407">
        <v>0</v>
      </c>
      <c r="EQ96" s="407"/>
      <c r="ER96" s="407">
        <v>0</v>
      </c>
      <c r="ES96" s="407"/>
      <c r="ET96" s="407">
        <v>0</v>
      </c>
      <c r="EU96" s="407"/>
      <c r="EV96" s="407">
        <v>207</v>
      </c>
      <c r="EW96" s="407"/>
      <c r="EX96" s="407"/>
      <c r="EY96" s="407"/>
      <c r="EZ96" s="407"/>
      <c r="FA96" s="407">
        <v>0</v>
      </c>
      <c r="FB96" s="407"/>
      <c r="FC96" s="407"/>
      <c r="FD96" s="407"/>
      <c r="FE96" s="407"/>
      <c r="FF96" s="407">
        <v>0</v>
      </c>
      <c r="FG96" s="407">
        <v>0</v>
      </c>
      <c r="FH96" s="407">
        <v>0</v>
      </c>
      <c r="FI96" s="407">
        <v>0</v>
      </c>
    </row>
    <row r="97" spans="1:165" s="846" customFormat="1">
      <c r="A97" s="407">
        <v>95</v>
      </c>
      <c r="B97" s="407" t="s">
        <v>1092</v>
      </c>
      <c r="C97" s="407" t="s">
        <v>2305</v>
      </c>
      <c r="D97" s="407" t="s">
        <v>1221</v>
      </c>
      <c r="E97" s="407" t="s">
        <v>1051</v>
      </c>
      <c r="F97" s="407" t="s">
        <v>96</v>
      </c>
      <c r="G97" s="407" t="s">
        <v>96</v>
      </c>
      <c r="H97" s="407" t="s">
        <v>96</v>
      </c>
      <c r="I97" s="407" t="s">
        <v>96</v>
      </c>
      <c r="J97" s="407" t="s">
        <v>2306</v>
      </c>
      <c r="K97" s="815">
        <v>44501</v>
      </c>
      <c r="L97" s="407">
        <v>0</v>
      </c>
      <c r="M97" s="407">
        <v>0</v>
      </c>
      <c r="N97" s="407">
        <v>96.647000000000006</v>
      </c>
      <c r="O97" s="407">
        <v>96.647000000000006</v>
      </c>
      <c r="P97" s="407">
        <v>96.647000000000006</v>
      </c>
      <c r="Q97" s="407">
        <v>96.647000000000006</v>
      </c>
      <c r="R97" s="407"/>
      <c r="S97" s="407">
        <v>710.52</v>
      </c>
      <c r="T97" s="407">
        <v>127.85</v>
      </c>
      <c r="U97" s="407"/>
      <c r="V97" s="407">
        <v>81025.945390000008</v>
      </c>
      <c r="W97" s="407">
        <v>81025.945390000008</v>
      </c>
      <c r="X97" s="407">
        <v>66561.755369999999</v>
      </c>
      <c r="Y97" s="407">
        <v>0</v>
      </c>
      <c r="Z97" s="407">
        <v>5902.722932637218</v>
      </c>
      <c r="AA97" s="407">
        <v>0</v>
      </c>
      <c r="AB97" s="407">
        <v>0</v>
      </c>
      <c r="AC97" s="407">
        <v>0</v>
      </c>
      <c r="AD97" s="407">
        <v>10567.620208406583</v>
      </c>
      <c r="AE97" s="407">
        <v>48146.373910575188</v>
      </c>
      <c r="AF97" s="407">
        <v>12356.06730044253</v>
      </c>
      <c r="AG97" s="407">
        <v>0</v>
      </c>
      <c r="AH97" s="407">
        <v>0</v>
      </c>
      <c r="AI97" s="407">
        <v>0</v>
      </c>
      <c r="AJ97" s="407">
        <v>0</v>
      </c>
      <c r="AK97" s="407">
        <v>0</v>
      </c>
      <c r="AL97" s="407">
        <v>912.85965942548432</v>
      </c>
      <c r="AM97" s="407"/>
      <c r="AN97" s="407">
        <v>221.39539989745714</v>
      </c>
      <c r="AO97" s="407">
        <v>0</v>
      </c>
      <c r="AP97" s="407">
        <v>0</v>
      </c>
      <c r="AQ97" s="407">
        <v>0</v>
      </c>
      <c r="AR97" s="407">
        <v>0</v>
      </c>
      <c r="AS97" s="407">
        <v>0</v>
      </c>
      <c r="AT97" s="407">
        <v>0</v>
      </c>
      <c r="AU97" s="407">
        <v>0</v>
      </c>
      <c r="AV97" s="407">
        <v>0</v>
      </c>
      <c r="AW97" s="407">
        <v>0</v>
      </c>
      <c r="AX97" s="407">
        <v>0</v>
      </c>
      <c r="AY97" s="407">
        <v>0</v>
      </c>
      <c r="AZ97" s="407">
        <v>0</v>
      </c>
      <c r="BA97" s="407"/>
      <c r="BB97" s="407">
        <v>0</v>
      </c>
      <c r="BC97" s="407">
        <v>0</v>
      </c>
      <c r="BD97" s="407">
        <v>0</v>
      </c>
      <c r="BE97" s="407">
        <v>0</v>
      </c>
      <c r="BF97" s="407">
        <v>0</v>
      </c>
      <c r="BG97" s="407">
        <v>2918.5648239622715</v>
      </c>
      <c r="BH97" s="407">
        <v>0</v>
      </c>
      <c r="BI97" s="407">
        <v>456.92</v>
      </c>
      <c r="BJ97" s="407">
        <v>2110.71</v>
      </c>
      <c r="BK97" s="407">
        <v>18186.490000000002</v>
      </c>
      <c r="BL97" s="407">
        <v>86</v>
      </c>
      <c r="BM97" s="407"/>
      <c r="BN97" s="407"/>
      <c r="BO97" s="407"/>
      <c r="BP97" s="407"/>
      <c r="BQ97" s="407"/>
      <c r="BR97" s="407"/>
      <c r="BS97" s="407"/>
      <c r="BT97" s="407"/>
      <c r="BU97" s="407"/>
      <c r="BV97" s="407">
        <v>15274.632124404801</v>
      </c>
      <c r="BW97" s="407"/>
      <c r="BX97" s="407"/>
      <c r="BY97" s="407"/>
      <c r="BZ97" s="407"/>
      <c r="CA97" s="407"/>
      <c r="CB97" s="407"/>
      <c r="CC97" s="407"/>
      <c r="CD97" s="407"/>
      <c r="CE97" s="407"/>
      <c r="CF97" s="407"/>
      <c r="CG97" s="407"/>
      <c r="CH97" s="407"/>
      <c r="CI97" s="407">
        <v>66563.821500000005</v>
      </c>
      <c r="CJ97" s="407">
        <v>-14462.153889999987</v>
      </c>
      <c r="CK97" s="407"/>
      <c r="CL97" s="407"/>
      <c r="CM97" s="407"/>
      <c r="CN97" s="407"/>
      <c r="CO97" s="407">
        <v>-14852.710959999997</v>
      </c>
      <c r="CP97" s="407">
        <v>388.52094000000102</v>
      </c>
      <c r="CQ97" s="407">
        <v>30</v>
      </c>
      <c r="CR97" s="407">
        <v>-230.69854200172631</v>
      </c>
      <c r="CS97" s="407">
        <v>0</v>
      </c>
      <c r="CT97" s="407">
        <v>0</v>
      </c>
      <c r="CU97" s="407">
        <v>0</v>
      </c>
      <c r="CV97" s="407">
        <v>0</v>
      </c>
      <c r="CW97" s="407">
        <v>0</v>
      </c>
      <c r="CX97" s="407">
        <v>0</v>
      </c>
      <c r="CY97" s="407">
        <v>0</v>
      </c>
      <c r="CZ97" s="407">
        <v>-554.3849146107641</v>
      </c>
      <c r="DA97" s="407">
        <v>0</v>
      </c>
      <c r="DB97" s="407">
        <v>0</v>
      </c>
      <c r="DC97" s="407">
        <v>388.79863473550358</v>
      </c>
      <c r="DD97" s="407">
        <v>0</v>
      </c>
      <c r="DE97" s="407">
        <v>0</v>
      </c>
      <c r="DF97" s="407">
        <v>0</v>
      </c>
      <c r="DG97" s="407">
        <v>91.836179858209562</v>
      </c>
      <c r="DH97" s="407">
        <v>0</v>
      </c>
      <c r="DI97" s="407">
        <v>-134.42538497100031</v>
      </c>
      <c r="DJ97" s="407"/>
      <c r="DK97" s="407">
        <v>0</v>
      </c>
      <c r="DL97" s="407">
        <v>0</v>
      </c>
      <c r="DM97" s="407">
        <v>0</v>
      </c>
      <c r="DN97" s="407">
        <v>0</v>
      </c>
      <c r="DO97" s="407">
        <v>-17.419217640078841</v>
      </c>
      <c r="DP97" s="407">
        <v>-5.1038393735988166</v>
      </c>
      <c r="DQ97" s="407">
        <v>0</v>
      </c>
      <c r="DR97" s="407">
        <v>0</v>
      </c>
      <c r="DS97" s="407"/>
      <c r="DT97" s="407"/>
      <c r="DU97" s="407"/>
      <c r="DV97" s="407">
        <v>48146.373910575188</v>
      </c>
      <c r="DW97" s="407">
        <v>0</v>
      </c>
      <c r="DX97" s="407">
        <v>0</v>
      </c>
      <c r="DY97" s="407">
        <v>-14852.710960000004</v>
      </c>
      <c r="DZ97" s="407">
        <v>388.52094000000034</v>
      </c>
      <c r="EA97" s="407">
        <v>0</v>
      </c>
      <c r="EB97" s="407">
        <v>0</v>
      </c>
      <c r="EC97" s="407">
        <v>-14232.828132672068</v>
      </c>
      <c r="ED97" s="407">
        <v>0</v>
      </c>
      <c r="EE97" s="407">
        <v>0</v>
      </c>
      <c r="EF97" s="407">
        <v>0</v>
      </c>
      <c r="EG97" s="407">
        <v>0</v>
      </c>
      <c r="EH97" s="407">
        <v>0</v>
      </c>
      <c r="EI97" s="407">
        <v>0</v>
      </c>
      <c r="EJ97" s="407">
        <v>0</v>
      </c>
      <c r="EK97" s="407">
        <v>0</v>
      </c>
      <c r="EL97" s="407">
        <v>0</v>
      </c>
      <c r="EM97" s="407">
        <v>0</v>
      </c>
      <c r="EN97" s="407">
        <v>0</v>
      </c>
      <c r="EO97" s="407">
        <v>0</v>
      </c>
      <c r="EP97" s="407">
        <v>0</v>
      </c>
      <c r="EQ97" s="407">
        <v>0</v>
      </c>
      <c r="ER97" s="407">
        <v>0</v>
      </c>
      <c r="ES97" s="407">
        <v>0</v>
      </c>
      <c r="ET97" s="407">
        <v>0</v>
      </c>
      <c r="EU97" s="407">
        <v>0</v>
      </c>
      <c r="EV97" s="407">
        <v>207</v>
      </c>
      <c r="EW97" s="407">
        <v>0</v>
      </c>
      <c r="EX97" s="407">
        <v>0</v>
      </c>
      <c r="EY97" s="407">
        <v>0</v>
      </c>
      <c r="EZ97" s="407"/>
      <c r="FA97" s="407">
        <v>0</v>
      </c>
      <c r="FB97" s="407"/>
      <c r="FC97" s="407"/>
      <c r="FD97" s="407"/>
      <c r="FE97" s="407"/>
      <c r="FF97" s="407">
        <v>0</v>
      </c>
      <c r="FG97" s="407">
        <v>0</v>
      </c>
      <c r="FH97" s="407">
        <v>0</v>
      </c>
      <c r="FI97" s="407">
        <v>0</v>
      </c>
    </row>
    <row r="98" spans="1:165" s="846" customFormat="1">
      <c r="A98" s="407">
        <v>96</v>
      </c>
      <c r="B98" s="407" t="s">
        <v>1092</v>
      </c>
      <c r="C98" s="407" t="s">
        <v>2315</v>
      </c>
      <c r="D98" s="407" t="s">
        <v>648</v>
      </c>
      <c r="E98" s="407" t="s">
        <v>1051</v>
      </c>
      <c r="F98" s="407" t="s">
        <v>96</v>
      </c>
      <c r="G98" s="407" t="s">
        <v>96</v>
      </c>
      <c r="H98" s="407" t="s">
        <v>96</v>
      </c>
      <c r="I98" s="407" t="s">
        <v>1027</v>
      </c>
      <c r="J98" s="407" t="s">
        <v>2306</v>
      </c>
      <c r="K98" s="815">
        <v>44501</v>
      </c>
      <c r="L98" s="407">
        <v>0</v>
      </c>
      <c r="M98" s="407">
        <v>0</v>
      </c>
      <c r="N98" s="407">
        <v>1.0609999999999999</v>
      </c>
      <c r="O98" s="407">
        <v>1.0609999999999999</v>
      </c>
      <c r="P98" s="407">
        <v>1.0609999999999999</v>
      </c>
      <c r="Q98" s="407">
        <v>1.0609999999999999</v>
      </c>
      <c r="R98" s="407"/>
      <c r="S98" s="407">
        <v>2075.9499999999998</v>
      </c>
      <c r="T98" s="407">
        <v>127.85</v>
      </c>
      <c r="U98" s="407"/>
      <c r="V98" s="407">
        <v>2338.2317999999996</v>
      </c>
      <c r="W98" s="407">
        <v>2338.2317999999996</v>
      </c>
      <c r="X98" s="407">
        <v>1874.1610099999998</v>
      </c>
      <c r="Y98" s="407">
        <v>0</v>
      </c>
      <c r="Z98" s="407">
        <v>56.376570999921782</v>
      </c>
      <c r="AA98" s="407">
        <v>0</v>
      </c>
      <c r="AB98" s="407">
        <v>0</v>
      </c>
      <c r="AC98" s="407">
        <v>0</v>
      </c>
      <c r="AD98" s="407">
        <v>668.43946139630896</v>
      </c>
      <c r="AE98" s="407">
        <v>1461.1707442059167</v>
      </c>
      <c r="AF98" s="407">
        <v>135.64608736711457</v>
      </c>
      <c r="AG98" s="407">
        <v>0</v>
      </c>
      <c r="AH98" s="407">
        <v>0</v>
      </c>
      <c r="AI98" s="407">
        <v>0</v>
      </c>
      <c r="AJ98" s="407">
        <v>0</v>
      </c>
      <c r="AK98" s="407">
        <v>0</v>
      </c>
      <c r="AL98" s="407">
        <v>10.021460559049311</v>
      </c>
      <c r="AM98" s="407"/>
      <c r="AN98" s="407">
        <v>1.0656727629421425</v>
      </c>
      <c r="AO98" s="407">
        <v>0</v>
      </c>
      <c r="AP98" s="407">
        <v>0</v>
      </c>
      <c r="AQ98" s="407">
        <v>0</v>
      </c>
      <c r="AR98" s="407">
        <v>0</v>
      </c>
      <c r="AS98" s="407">
        <v>0</v>
      </c>
      <c r="AT98" s="407">
        <v>0</v>
      </c>
      <c r="AU98" s="407">
        <v>0</v>
      </c>
      <c r="AV98" s="407">
        <v>0</v>
      </c>
      <c r="AW98" s="407">
        <v>0</v>
      </c>
      <c r="AX98" s="407">
        <v>0</v>
      </c>
      <c r="AY98" s="407">
        <v>0</v>
      </c>
      <c r="AZ98" s="407">
        <v>0</v>
      </c>
      <c r="BA98" s="407"/>
      <c r="BB98" s="407">
        <v>0</v>
      </c>
      <c r="BC98" s="407">
        <v>0</v>
      </c>
      <c r="BD98" s="407">
        <v>0</v>
      </c>
      <c r="BE98" s="407">
        <v>0</v>
      </c>
      <c r="BF98" s="407">
        <v>0</v>
      </c>
      <c r="BG98" s="407">
        <v>5.5082690069288276</v>
      </c>
      <c r="BH98" s="407">
        <v>0</v>
      </c>
      <c r="BI98" s="407">
        <v>0</v>
      </c>
      <c r="BJ98" s="407">
        <v>0</v>
      </c>
      <c r="BK98" s="407">
        <v>0</v>
      </c>
      <c r="BL98" s="407">
        <v>0</v>
      </c>
      <c r="BM98" s="407"/>
      <c r="BN98" s="407"/>
      <c r="BO98" s="407"/>
      <c r="BP98" s="407"/>
      <c r="BQ98" s="407"/>
      <c r="BR98" s="407"/>
      <c r="BS98" s="407"/>
      <c r="BT98" s="407"/>
      <c r="BU98" s="407"/>
      <c r="BV98" s="407">
        <v>141.1543563740434</v>
      </c>
      <c r="BW98" s="407"/>
      <c r="BX98" s="407"/>
      <c r="BY98" s="407"/>
      <c r="BZ98" s="407"/>
      <c r="CA98" s="407"/>
      <c r="CB98" s="407"/>
      <c r="CC98" s="407"/>
      <c r="CD98" s="407"/>
      <c r="CE98" s="407"/>
      <c r="CF98" s="407"/>
      <c r="CG98" s="407"/>
      <c r="CH98" s="407"/>
      <c r="CI98" s="407">
        <v>1872.3946000000001</v>
      </c>
      <c r="CJ98" s="407">
        <v>-465.86720000000014</v>
      </c>
      <c r="CK98" s="407"/>
      <c r="CL98" s="407"/>
      <c r="CM98" s="407"/>
      <c r="CN98" s="407"/>
      <c r="CO98" s="407">
        <v>-468.33600999999982</v>
      </c>
      <c r="CP98" s="407">
        <v>4.2652200000000109</v>
      </c>
      <c r="CQ98" s="407">
        <v>30</v>
      </c>
      <c r="CR98" s="407">
        <v>-32.124905374904756</v>
      </c>
      <c r="CS98" s="407">
        <v>0</v>
      </c>
      <c r="CT98" s="407">
        <v>0</v>
      </c>
      <c r="CU98" s="407">
        <v>0</v>
      </c>
      <c r="CV98" s="407">
        <v>0</v>
      </c>
      <c r="CW98" s="407">
        <v>0</v>
      </c>
      <c r="CX98" s="407">
        <v>0</v>
      </c>
      <c r="CY98" s="407">
        <v>0</v>
      </c>
      <c r="CZ98" s="407">
        <v>-35.066812245379083</v>
      </c>
      <c r="DA98" s="407">
        <v>0</v>
      </c>
      <c r="DB98" s="407">
        <v>0</v>
      </c>
      <c r="DC98" s="407">
        <v>4.2682685593383098</v>
      </c>
      <c r="DD98" s="407">
        <v>0</v>
      </c>
      <c r="DE98" s="407">
        <v>0</v>
      </c>
      <c r="DF98" s="407">
        <v>0</v>
      </c>
      <c r="DG98" s="407">
        <v>0.17332436102650917</v>
      </c>
      <c r="DH98" s="407">
        <v>0</v>
      </c>
      <c r="DI98" s="407">
        <v>-1.2838892061335869</v>
      </c>
      <c r="DJ98" s="407"/>
      <c r="DK98" s="407">
        <v>0</v>
      </c>
      <c r="DL98" s="407">
        <v>0</v>
      </c>
      <c r="DM98" s="407">
        <v>0</v>
      </c>
      <c r="DN98" s="407">
        <v>0</v>
      </c>
      <c r="DO98" s="407">
        <v>-0.1912298355471318</v>
      </c>
      <c r="DP98" s="407">
        <v>-2.4567008209724683E-2</v>
      </c>
      <c r="DQ98" s="407">
        <v>0</v>
      </c>
      <c r="DR98" s="407">
        <v>0</v>
      </c>
      <c r="DS98" s="407"/>
      <c r="DT98" s="407"/>
      <c r="DU98" s="407"/>
      <c r="DV98" s="407">
        <v>1461.1707442059167</v>
      </c>
      <c r="DW98" s="407">
        <v>0</v>
      </c>
      <c r="DX98" s="407">
        <v>0</v>
      </c>
      <c r="DY98" s="407">
        <v>-468.33600999999976</v>
      </c>
      <c r="DZ98" s="407">
        <v>4.2652200000000278</v>
      </c>
      <c r="EA98" s="407">
        <v>0</v>
      </c>
      <c r="EB98" s="407">
        <v>0</v>
      </c>
      <c r="EC98" s="407">
        <v>-431.94513699822687</v>
      </c>
      <c r="ED98" s="407">
        <v>0</v>
      </c>
      <c r="EE98" s="407">
        <v>0</v>
      </c>
      <c r="EF98" s="407">
        <v>0</v>
      </c>
      <c r="EG98" s="407">
        <v>0</v>
      </c>
      <c r="EH98" s="407">
        <v>0</v>
      </c>
      <c r="EI98" s="407">
        <v>0</v>
      </c>
      <c r="EJ98" s="407">
        <v>0</v>
      </c>
      <c r="EK98" s="407">
        <v>0</v>
      </c>
      <c r="EL98" s="407">
        <v>0</v>
      </c>
      <c r="EM98" s="407">
        <v>0</v>
      </c>
      <c r="EN98" s="407">
        <v>0</v>
      </c>
      <c r="EO98" s="407">
        <v>0</v>
      </c>
      <c r="EP98" s="407">
        <v>0</v>
      </c>
      <c r="EQ98" s="407">
        <v>0</v>
      </c>
      <c r="ER98" s="407">
        <v>0</v>
      </c>
      <c r="ES98" s="407">
        <v>0</v>
      </c>
      <c r="ET98" s="407">
        <v>0</v>
      </c>
      <c r="EU98" s="407">
        <v>0</v>
      </c>
      <c r="EV98" s="407">
        <v>207</v>
      </c>
      <c r="EW98" s="407">
        <v>0</v>
      </c>
      <c r="EX98" s="407">
        <v>0</v>
      </c>
      <c r="EY98" s="407">
        <v>0</v>
      </c>
      <c r="EZ98" s="407"/>
      <c r="FA98" s="407">
        <v>0</v>
      </c>
      <c r="FB98" s="407"/>
      <c r="FC98" s="407"/>
      <c r="FD98" s="407"/>
      <c r="FE98" s="407"/>
      <c r="FF98" s="407">
        <v>0</v>
      </c>
      <c r="FG98" s="407">
        <v>0</v>
      </c>
      <c r="FH98" s="407">
        <v>0</v>
      </c>
      <c r="FI98" s="407">
        <v>0</v>
      </c>
    </row>
    <row r="99" spans="1:165" s="846" customFormat="1">
      <c r="A99" s="407">
        <v>97</v>
      </c>
      <c r="B99" s="407" t="s">
        <v>1092</v>
      </c>
      <c r="C99" s="407" t="s">
        <v>2315</v>
      </c>
      <c r="D99" s="407" t="s">
        <v>648</v>
      </c>
      <c r="E99" s="407" t="s">
        <v>1051</v>
      </c>
      <c r="F99" s="407" t="s">
        <v>96</v>
      </c>
      <c r="G99" s="407" t="s">
        <v>96</v>
      </c>
      <c r="H99" s="407" t="s">
        <v>96</v>
      </c>
      <c r="I99" s="407" t="s">
        <v>2290</v>
      </c>
      <c r="J99" s="407" t="s">
        <v>2306</v>
      </c>
      <c r="K99" s="815">
        <v>44501</v>
      </c>
      <c r="L99" s="407">
        <v>0</v>
      </c>
      <c r="M99" s="407">
        <v>0</v>
      </c>
      <c r="N99" s="407">
        <v>16.108000000000001</v>
      </c>
      <c r="O99" s="407">
        <v>16.108000000000001</v>
      </c>
      <c r="P99" s="407">
        <v>16.108000000000001</v>
      </c>
      <c r="Q99" s="407">
        <v>16.108000000000001</v>
      </c>
      <c r="R99" s="407"/>
      <c r="S99" s="407">
        <v>68.78</v>
      </c>
      <c r="T99" s="407">
        <v>127.85</v>
      </c>
      <c r="U99" s="407"/>
      <c r="V99" s="407">
        <v>3167.3160399999997</v>
      </c>
      <c r="W99" s="407">
        <v>3167.3160399999997</v>
      </c>
      <c r="X99" s="407">
        <v>3211.9352000000003</v>
      </c>
      <c r="Y99" s="407">
        <v>0</v>
      </c>
      <c r="Z99" s="407">
        <v>855.90368111851103</v>
      </c>
      <c r="AA99" s="407">
        <v>0</v>
      </c>
      <c r="AB99" s="407">
        <v>0</v>
      </c>
      <c r="AC99" s="407">
        <v>0</v>
      </c>
      <c r="AD99" s="407">
        <v>0</v>
      </c>
      <c r="AE99" s="407">
        <v>0</v>
      </c>
      <c r="AF99" s="407">
        <v>2059.3658579731214</v>
      </c>
      <c r="AG99" s="407">
        <v>0</v>
      </c>
      <c r="AH99" s="407">
        <v>0</v>
      </c>
      <c r="AI99" s="407">
        <v>0</v>
      </c>
      <c r="AJ99" s="407">
        <v>0</v>
      </c>
      <c r="AK99" s="407">
        <v>0</v>
      </c>
      <c r="AL99" s="407">
        <v>152.14485078715015</v>
      </c>
      <c r="AM99" s="407"/>
      <c r="AN99" s="407">
        <v>16.178941437768174</v>
      </c>
      <c r="AO99" s="407">
        <v>0</v>
      </c>
      <c r="AP99" s="407">
        <v>0</v>
      </c>
      <c r="AQ99" s="407">
        <v>0</v>
      </c>
      <c r="AR99" s="407">
        <v>0</v>
      </c>
      <c r="AS99" s="407">
        <v>0</v>
      </c>
      <c r="AT99" s="407">
        <v>0</v>
      </c>
      <c r="AU99" s="407">
        <v>0</v>
      </c>
      <c r="AV99" s="407">
        <v>0</v>
      </c>
      <c r="AW99" s="407">
        <v>0</v>
      </c>
      <c r="AX99" s="407">
        <v>0</v>
      </c>
      <c r="AY99" s="407">
        <v>0</v>
      </c>
      <c r="AZ99" s="407">
        <v>0</v>
      </c>
      <c r="BA99" s="407"/>
      <c r="BB99" s="407">
        <v>0</v>
      </c>
      <c r="BC99" s="407">
        <v>0</v>
      </c>
      <c r="BD99" s="407">
        <v>0</v>
      </c>
      <c r="BE99" s="407">
        <v>0</v>
      </c>
      <c r="BF99" s="407">
        <v>0</v>
      </c>
      <c r="BG99" s="407">
        <v>83.626010521780927</v>
      </c>
      <c r="BH99" s="407">
        <v>0</v>
      </c>
      <c r="BI99" s="407">
        <v>0</v>
      </c>
      <c r="BJ99" s="407">
        <v>0</v>
      </c>
      <c r="BK99" s="407">
        <v>0</v>
      </c>
      <c r="BL99" s="407">
        <v>0</v>
      </c>
      <c r="BM99" s="407"/>
      <c r="BN99" s="407"/>
      <c r="BO99" s="407"/>
      <c r="BP99" s="407"/>
      <c r="BQ99" s="407"/>
      <c r="BR99" s="407"/>
      <c r="BS99" s="407"/>
      <c r="BT99" s="407"/>
      <c r="BU99" s="407"/>
      <c r="BV99" s="407">
        <v>2142.9918684949025</v>
      </c>
      <c r="BW99" s="407"/>
      <c r="BX99" s="407"/>
      <c r="BY99" s="407"/>
      <c r="BZ99" s="407"/>
      <c r="CA99" s="407"/>
      <c r="CB99" s="407"/>
      <c r="CC99" s="407"/>
      <c r="CD99" s="407"/>
      <c r="CE99" s="407"/>
      <c r="CF99" s="407"/>
      <c r="CG99" s="407"/>
      <c r="CH99" s="407"/>
      <c r="CI99" s="407">
        <v>3212.3339999999998</v>
      </c>
      <c r="CJ99" s="407">
        <v>44.987959999999475</v>
      </c>
      <c r="CK99" s="407"/>
      <c r="CL99" s="407"/>
      <c r="CM99" s="407"/>
      <c r="CN99" s="407"/>
      <c r="CO99" s="407">
        <v>-20.135000000000002</v>
      </c>
      <c r="CP99" s="407">
        <v>64.754160000000169</v>
      </c>
      <c r="CQ99" s="407">
        <v>30</v>
      </c>
      <c r="CR99" s="407">
        <v>44.663747285204408</v>
      </c>
      <c r="CS99" s="407">
        <v>0</v>
      </c>
      <c r="CT99" s="407">
        <v>0</v>
      </c>
      <c r="CU99" s="407">
        <v>0</v>
      </c>
      <c r="CV99" s="407">
        <v>0</v>
      </c>
      <c r="CW99" s="407">
        <v>0</v>
      </c>
      <c r="CX99" s="407">
        <v>0</v>
      </c>
      <c r="CY99" s="407">
        <v>0</v>
      </c>
      <c r="CZ99" s="407">
        <v>0</v>
      </c>
      <c r="DA99" s="407">
        <v>0</v>
      </c>
      <c r="DB99" s="407">
        <v>0</v>
      </c>
      <c r="DC99" s="407">
        <v>64.800442934798866</v>
      </c>
      <c r="DD99" s="407">
        <v>0</v>
      </c>
      <c r="DE99" s="407">
        <v>0</v>
      </c>
      <c r="DF99" s="407">
        <v>0</v>
      </c>
      <c r="DG99" s="407">
        <v>2.6313937864420325</v>
      </c>
      <c r="DH99" s="407">
        <v>0</v>
      </c>
      <c r="DI99" s="407">
        <v>-19.491882499905614</v>
      </c>
      <c r="DJ99" s="407"/>
      <c r="DK99" s="407">
        <v>0</v>
      </c>
      <c r="DL99" s="407">
        <v>0</v>
      </c>
      <c r="DM99" s="407">
        <v>0</v>
      </c>
      <c r="DN99" s="407">
        <v>0</v>
      </c>
      <c r="DO99" s="407">
        <v>-2.9032329792584335</v>
      </c>
      <c r="DP99" s="407">
        <v>-0.37297395687299151</v>
      </c>
      <c r="DQ99" s="407">
        <v>0</v>
      </c>
      <c r="DR99" s="407">
        <v>0</v>
      </c>
      <c r="DS99" s="407"/>
      <c r="DT99" s="407"/>
      <c r="DU99" s="407"/>
      <c r="DV99" s="407">
        <v>0</v>
      </c>
      <c r="DW99" s="407">
        <v>0</v>
      </c>
      <c r="DX99" s="407">
        <v>0</v>
      </c>
      <c r="DY99" s="407">
        <v>-20.134999999999991</v>
      </c>
      <c r="DZ99" s="407">
        <v>64.754160000000411</v>
      </c>
      <c r="EA99" s="407">
        <v>0</v>
      </c>
      <c r="EB99" s="407">
        <v>0</v>
      </c>
      <c r="EC99" s="407">
        <v>0</v>
      </c>
      <c r="ED99" s="407">
        <v>0</v>
      </c>
      <c r="EE99" s="407">
        <v>0</v>
      </c>
      <c r="EF99" s="407">
        <v>0</v>
      </c>
      <c r="EG99" s="407">
        <v>0</v>
      </c>
      <c r="EH99" s="407">
        <v>0</v>
      </c>
      <c r="EI99" s="407">
        <v>0</v>
      </c>
      <c r="EJ99" s="407">
        <v>0</v>
      </c>
      <c r="EK99" s="407">
        <v>0</v>
      </c>
      <c r="EL99" s="407">
        <v>0</v>
      </c>
      <c r="EM99" s="407">
        <v>0</v>
      </c>
      <c r="EN99" s="407">
        <v>0</v>
      </c>
      <c r="EO99" s="407">
        <v>0</v>
      </c>
      <c r="EP99" s="407">
        <v>0</v>
      </c>
      <c r="EQ99" s="407">
        <v>0</v>
      </c>
      <c r="ER99" s="407">
        <v>0</v>
      </c>
      <c r="ES99" s="407">
        <v>0</v>
      </c>
      <c r="ET99" s="407">
        <v>0</v>
      </c>
      <c r="EU99" s="407">
        <v>0</v>
      </c>
      <c r="EV99" s="407">
        <v>207</v>
      </c>
      <c r="EW99" s="407">
        <v>0</v>
      </c>
      <c r="EX99" s="407">
        <v>0</v>
      </c>
      <c r="EY99" s="407">
        <v>0</v>
      </c>
      <c r="EZ99" s="407"/>
      <c r="FA99" s="407">
        <v>0</v>
      </c>
      <c r="FB99" s="407"/>
      <c r="FC99" s="407"/>
      <c r="FD99" s="407"/>
      <c r="FE99" s="407"/>
      <c r="FF99" s="407">
        <v>0</v>
      </c>
      <c r="FG99" s="407">
        <v>0</v>
      </c>
      <c r="FH99" s="407">
        <v>0</v>
      </c>
      <c r="FI99" s="407">
        <v>0</v>
      </c>
    </row>
    <row r="100" spans="1:165" s="846" customFormat="1">
      <c r="A100" s="407">
        <v>98</v>
      </c>
      <c r="B100" s="407" t="s">
        <v>1092</v>
      </c>
      <c r="C100" s="407" t="s">
        <v>2315</v>
      </c>
      <c r="D100" s="407" t="s">
        <v>648</v>
      </c>
      <c r="E100" s="407" t="s">
        <v>1051</v>
      </c>
      <c r="F100" s="407" t="s">
        <v>96</v>
      </c>
      <c r="G100" s="407" t="s">
        <v>96</v>
      </c>
      <c r="H100" s="407" t="s">
        <v>96</v>
      </c>
      <c r="I100" s="407" t="s">
        <v>96</v>
      </c>
      <c r="J100" s="407" t="s">
        <v>2306</v>
      </c>
      <c r="K100" s="815">
        <v>44501</v>
      </c>
      <c r="L100" s="407">
        <v>280</v>
      </c>
      <c r="M100" s="407">
        <v>280</v>
      </c>
      <c r="N100" s="407">
        <v>0</v>
      </c>
      <c r="O100" s="407">
        <v>0</v>
      </c>
      <c r="P100" s="407">
        <v>0</v>
      </c>
      <c r="Q100" s="407">
        <v>0</v>
      </c>
      <c r="R100" s="407">
        <v>39.56</v>
      </c>
      <c r="S100" s="407"/>
      <c r="T100" s="407"/>
      <c r="U100" s="407">
        <v>11076.800000000001</v>
      </c>
      <c r="V100" s="407"/>
      <c r="W100" s="407">
        <v>11076.800000000001</v>
      </c>
      <c r="X100" s="407">
        <v>8696.7999999999993</v>
      </c>
      <c r="Y100" s="407">
        <v>0</v>
      </c>
      <c r="Z100" s="407">
        <v>0</v>
      </c>
      <c r="AA100" s="407">
        <v>0</v>
      </c>
      <c r="AB100" s="407">
        <v>0</v>
      </c>
      <c r="AC100" s="407">
        <v>0</v>
      </c>
      <c r="AD100" s="407">
        <v>3687.6789040341037</v>
      </c>
      <c r="AE100" s="407">
        <v>7387.7809853611961</v>
      </c>
      <c r="AF100" s="407"/>
      <c r="AG100" s="407"/>
      <c r="AH100" s="407"/>
      <c r="AI100" s="407">
        <v>0</v>
      </c>
      <c r="AJ100" s="407">
        <v>0</v>
      </c>
      <c r="AK100" s="407">
        <v>0</v>
      </c>
      <c r="AL100" s="407">
        <v>0</v>
      </c>
      <c r="AM100" s="407"/>
      <c r="AN100" s="407">
        <v>0</v>
      </c>
      <c r="AO100" s="407">
        <v>0</v>
      </c>
      <c r="AP100" s="407">
        <v>0</v>
      </c>
      <c r="AQ100" s="407">
        <v>0</v>
      </c>
      <c r="AR100" s="407">
        <v>0</v>
      </c>
      <c r="AS100" s="407"/>
      <c r="AT100" s="407"/>
      <c r="AU100" s="407">
        <v>0</v>
      </c>
      <c r="AV100" s="407">
        <v>0</v>
      </c>
      <c r="AW100" s="407">
        <v>0</v>
      </c>
      <c r="AX100" s="407"/>
      <c r="AY100" s="407"/>
      <c r="AZ100" s="407">
        <v>0</v>
      </c>
      <c r="BA100" s="407"/>
      <c r="BB100" s="407">
        <v>0</v>
      </c>
      <c r="BC100" s="407">
        <v>0</v>
      </c>
      <c r="BD100" s="407">
        <v>0</v>
      </c>
      <c r="BE100" s="407">
        <v>0</v>
      </c>
      <c r="BF100" s="407"/>
      <c r="BG100" s="407">
        <v>0</v>
      </c>
      <c r="BH100" s="407">
        <v>0</v>
      </c>
      <c r="BI100" s="407">
        <v>109.42</v>
      </c>
      <c r="BJ100" s="407">
        <v>505.05</v>
      </c>
      <c r="BK100" s="407">
        <v>2506.71</v>
      </c>
      <c r="BL100" s="407">
        <v>2</v>
      </c>
      <c r="BM100" s="407"/>
      <c r="BN100" s="407"/>
      <c r="BO100" s="407"/>
      <c r="BP100" s="407"/>
      <c r="BQ100" s="407"/>
      <c r="BR100" s="407"/>
      <c r="BS100" s="407"/>
      <c r="BT100" s="407"/>
      <c r="BU100" s="407"/>
      <c r="BV100" s="407">
        <v>0</v>
      </c>
      <c r="BW100" s="407"/>
      <c r="BX100" s="407"/>
      <c r="BY100" s="407"/>
      <c r="BZ100" s="407"/>
      <c r="CA100" s="407"/>
      <c r="CB100" s="407"/>
      <c r="CC100" s="407"/>
      <c r="CD100" s="407"/>
      <c r="CE100" s="407"/>
      <c r="CF100" s="407"/>
      <c r="CG100" s="407"/>
      <c r="CH100" s="407"/>
      <c r="CI100" s="407">
        <v>8696.7999999999993</v>
      </c>
      <c r="CJ100" s="407">
        <v>-2380.0300000000025</v>
      </c>
      <c r="CK100" s="407"/>
      <c r="CL100" s="407"/>
      <c r="CM100" s="407"/>
      <c r="CN100" s="407"/>
      <c r="CO100" s="407">
        <v>-2380.0000000000009</v>
      </c>
      <c r="CP100" s="407">
        <v>0</v>
      </c>
      <c r="CQ100" s="407">
        <v>30</v>
      </c>
      <c r="CR100" s="407">
        <v>-193.45827291355545</v>
      </c>
      <c r="CS100" s="407">
        <v>0</v>
      </c>
      <c r="CT100" s="407">
        <v>0</v>
      </c>
      <c r="CU100" s="407">
        <v>0</v>
      </c>
      <c r="CV100" s="407">
        <v>0</v>
      </c>
      <c r="CW100" s="407"/>
      <c r="CX100" s="407"/>
      <c r="CY100" s="407"/>
      <c r="CZ100" s="407">
        <v>-193.45827291355545</v>
      </c>
      <c r="DA100" s="407">
        <v>0</v>
      </c>
      <c r="DB100" s="407">
        <v>0</v>
      </c>
      <c r="DC100" s="407"/>
      <c r="DD100" s="407"/>
      <c r="DE100" s="407">
        <v>0</v>
      </c>
      <c r="DF100" s="407">
        <v>0</v>
      </c>
      <c r="DG100" s="407">
        <v>0</v>
      </c>
      <c r="DH100" s="407">
        <v>0</v>
      </c>
      <c r="DI100" s="407">
        <v>0</v>
      </c>
      <c r="DJ100" s="407"/>
      <c r="DK100" s="407">
        <v>0</v>
      </c>
      <c r="DL100" s="407">
        <v>0</v>
      </c>
      <c r="DM100" s="407"/>
      <c r="DN100" s="407">
        <v>0</v>
      </c>
      <c r="DO100" s="407">
        <v>0</v>
      </c>
      <c r="DP100" s="407">
        <v>0</v>
      </c>
      <c r="DQ100" s="407">
        <v>0</v>
      </c>
      <c r="DR100" s="407">
        <v>0</v>
      </c>
      <c r="DS100" s="407"/>
      <c r="DT100" s="407"/>
      <c r="DU100" s="407">
        <v>7387.7809853611961</v>
      </c>
      <c r="DV100" s="407"/>
      <c r="DW100" s="407">
        <v>0</v>
      </c>
      <c r="DX100" s="407">
        <v>0</v>
      </c>
      <c r="DY100" s="407">
        <v>-2380.0000000000018</v>
      </c>
      <c r="DZ100" s="407"/>
      <c r="EA100" s="407">
        <v>0</v>
      </c>
      <c r="EB100" s="407"/>
      <c r="EC100" s="407">
        <v>-2183.944677573596</v>
      </c>
      <c r="ED100" s="407"/>
      <c r="EE100" s="407">
        <v>0</v>
      </c>
      <c r="EF100" s="407">
        <v>0</v>
      </c>
      <c r="EG100" s="407"/>
      <c r="EH100" s="407">
        <v>0</v>
      </c>
      <c r="EI100" s="407">
        <v>0</v>
      </c>
      <c r="EJ100" s="407">
        <v>0</v>
      </c>
      <c r="EK100" s="407">
        <v>0</v>
      </c>
      <c r="EL100" s="407">
        <v>0</v>
      </c>
      <c r="EM100" s="407"/>
      <c r="EN100" s="407"/>
      <c r="EO100" s="407">
        <v>0</v>
      </c>
      <c r="EP100" s="407">
        <v>0</v>
      </c>
      <c r="EQ100" s="407"/>
      <c r="ER100" s="407">
        <v>0</v>
      </c>
      <c r="ES100" s="407"/>
      <c r="ET100" s="407">
        <v>0</v>
      </c>
      <c r="EU100" s="407"/>
      <c r="EV100" s="407">
        <v>207</v>
      </c>
      <c r="EW100" s="407"/>
      <c r="EX100" s="407"/>
      <c r="EY100" s="407"/>
      <c r="EZ100" s="407"/>
      <c r="FA100" s="407">
        <v>0</v>
      </c>
      <c r="FB100" s="407"/>
      <c r="FC100" s="407"/>
      <c r="FD100" s="407"/>
      <c r="FE100" s="407"/>
      <c r="FF100" s="407">
        <v>0</v>
      </c>
      <c r="FG100" s="407">
        <v>0</v>
      </c>
      <c r="FH100" s="407">
        <v>0</v>
      </c>
      <c r="FI100" s="407">
        <v>0</v>
      </c>
    </row>
    <row r="101" spans="1:165" s="846" customFormat="1">
      <c r="A101" s="407">
        <v>99</v>
      </c>
      <c r="B101" s="407" t="s">
        <v>1092</v>
      </c>
      <c r="C101" s="407" t="s">
        <v>2305</v>
      </c>
      <c r="D101" s="407" t="s">
        <v>2316</v>
      </c>
      <c r="E101" s="407" t="s">
        <v>1028</v>
      </c>
      <c r="F101" s="407" t="s">
        <v>96</v>
      </c>
      <c r="G101" s="407" t="s">
        <v>96</v>
      </c>
      <c r="H101" s="407" t="s">
        <v>96</v>
      </c>
      <c r="I101" s="407" t="s">
        <v>96</v>
      </c>
      <c r="J101" s="407" t="s">
        <v>2306</v>
      </c>
      <c r="K101" s="815">
        <v>44501</v>
      </c>
      <c r="L101" s="407">
        <v>0</v>
      </c>
      <c r="M101" s="407">
        <v>0</v>
      </c>
      <c r="N101" s="407">
        <v>53.649000000000001</v>
      </c>
      <c r="O101" s="407">
        <v>53.649000000000001</v>
      </c>
      <c r="P101" s="407">
        <v>53.649000000000001</v>
      </c>
      <c r="Q101" s="407">
        <v>53.649000000000001</v>
      </c>
      <c r="R101" s="407"/>
      <c r="S101" s="407">
        <v>710.52</v>
      </c>
      <c r="T101" s="407">
        <v>127.85</v>
      </c>
      <c r="U101" s="407"/>
      <c r="V101" s="407">
        <v>44977.71213</v>
      </c>
      <c r="W101" s="407">
        <v>44977.71213</v>
      </c>
      <c r="X101" s="407">
        <v>36948.602790000004</v>
      </c>
      <c r="Y101" s="407">
        <v>0</v>
      </c>
      <c r="Z101" s="407">
        <v>3276.6167869986043</v>
      </c>
      <c r="AA101" s="407">
        <v>0</v>
      </c>
      <c r="AB101" s="407">
        <v>0</v>
      </c>
      <c r="AC101" s="407">
        <v>0</v>
      </c>
      <c r="AD101" s="407">
        <v>5866.1133461028767</v>
      </c>
      <c r="AE101" s="407">
        <v>26726.176849032541</v>
      </c>
      <c r="AF101" s="407">
        <v>6858.8849586789165</v>
      </c>
      <c r="AG101" s="407">
        <v>0</v>
      </c>
      <c r="AH101" s="407">
        <v>0</v>
      </c>
      <c r="AI101" s="407">
        <v>0</v>
      </c>
      <c r="AJ101" s="407">
        <v>0</v>
      </c>
      <c r="AK101" s="407">
        <v>0</v>
      </c>
      <c r="AL101" s="407">
        <v>506.73076110502967</v>
      </c>
      <c r="AM101" s="407"/>
      <c r="AN101" s="407">
        <v>122.89715986113048</v>
      </c>
      <c r="AO101" s="407">
        <v>0</v>
      </c>
      <c r="AP101" s="407">
        <v>0</v>
      </c>
      <c r="AQ101" s="407">
        <v>0</v>
      </c>
      <c r="AR101" s="407">
        <v>0</v>
      </c>
      <c r="AS101" s="407">
        <v>0</v>
      </c>
      <c r="AT101" s="407">
        <v>0</v>
      </c>
      <c r="AU101" s="407">
        <v>0</v>
      </c>
      <c r="AV101" s="407">
        <v>0</v>
      </c>
      <c r="AW101" s="407">
        <v>0</v>
      </c>
      <c r="AX101" s="407">
        <v>0</v>
      </c>
      <c r="AY101" s="407">
        <v>0</v>
      </c>
      <c r="AZ101" s="407">
        <v>0</v>
      </c>
      <c r="BA101" s="407"/>
      <c r="BB101" s="407">
        <v>0</v>
      </c>
      <c r="BC101" s="407">
        <v>0</v>
      </c>
      <c r="BD101" s="407">
        <v>0</v>
      </c>
      <c r="BE101" s="407">
        <v>0</v>
      </c>
      <c r="BF101" s="407">
        <v>0</v>
      </c>
      <c r="BG101" s="407">
        <v>1620.1028923893332</v>
      </c>
      <c r="BH101" s="407">
        <v>0</v>
      </c>
      <c r="BI101" s="407">
        <v>209.69</v>
      </c>
      <c r="BJ101" s="407">
        <v>968.8</v>
      </c>
      <c r="BK101" s="407">
        <v>0</v>
      </c>
      <c r="BL101" s="407">
        <v>42</v>
      </c>
      <c r="BM101" s="407"/>
      <c r="BN101" s="407"/>
      <c r="BO101" s="407"/>
      <c r="BP101" s="407"/>
      <c r="BQ101" s="407"/>
      <c r="BR101" s="407">
        <v>4433.5533600000035</v>
      </c>
      <c r="BS101" s="407"/>
      <c r="BT101" s="407"/>
      <c r="BU101" s="407"/>
      <c r="BV101" s="407">
        <v>8478.9878510682502</v>
      </c>
      <c r="BW101" s="407"/>
      <c r="BX101" s="407"/>
      <c r="BY101" s="407"/>
      <c r="BZ101" s="407"/>
      <c r="CA101" s="407"/>
      <c r="CB101" s="407"/>
      <c r="CC101" s="407"/>
      <c r="CD101" s="407"/>
      <c r="CE101" s="407"/>
      <c r="CF101" s="407"/>
      <c r="CG101" s="407"/>
      <c r="CH101" s="407"/>
      <c r="CI101" s="407">
        <v>32515.655499999997</v>
      </c>
      <c r="CJ101" s="407">
        <v>-7064.9972300000118</v>
      </c>
      <c r="CK101" s="407"/>
      <c r="CL101" s="407"/>
      <c r="CM101" s="407"/>
      <c r="CN101" s="407"/>
      <c r="CO101" s="407">
        <v>-8244.7783199999976</v>
      </c>
      <c r="CP101" s="407">
        <v>215.66898000000054</v>
      </c>
      <c r="CQ101" s="407">
        <v>30</v>
      </c>
      <c r="CR101" s="407">
        <v>-128.06135813683431</v>
      </c>
      <c r="CS101" s="407">
        <v>0</v>
      </c>
      <c r="CT101" s="407">
        <v>0</v>
      </c>
      <c r="CU101" s="407">
        <v>0</v>
      </c>
      <c r="CV101" s="407">
        <v>0</v>
      </c>
      <c r="CW101" s="407">
        <v>0</v>
      </c>
      <c r="CX101" s="407">
        <v>0</v>
      </c>
      <c r="CY101" s="407">
        <v>0</v>
      </c>
      <c r="CZ101" s="407">
        <v>-307.7405018671343</v>
      </c>
      <c r="DA101" s="407">
        <v>0</v>
      </c>
      <c r="DB101" s="407">
        <v>0</v>
      </c>
      <c r="DC101" s="407">
        <v>215.82312906686275</v>
      </c>
      <c r="DD101" s="407">
        <v>0</v>
      </c>
      <c r="DE101" s="407">
        <v>0</v>
      </c>
      <c r="DF101" s="407">
        <v>0</v>
      </c>
      <c r="DG101" s="407">
        <v>50.978501280051205</v>
      </c>
      <c r="DH101" s="407">
        <v>0</v>
      </c>
      <c r="DI101" s="407">
        <v>-74.619879337270959</v>
      </c>
      <c r="DJ101" s="407"/>
      <c r="DK101" s="407">
        <v>0</v>
      </c>
      <c r="DL101" s="407">
        <v>0</v>
      </c>
      <c r="DM101" s="407">
        <v>0</v>
      </c>
      <c r="DN101" s="407">
        <v>0</v>
      </c>
      <c r="DO101" s="407">
        <v>-9.6694528249463474</v>
      </c>
      <c r="DP101" s="407">
        <v>-2.8331544543979845</v>
      </c>
      <c r="DQ101" s="407">
        <v>0</v>
      </c>
      <c r="DR101" s="407">
        <v>0</v>
      </c>
      <c r="DS101" s="407"/>
      <c r="DT101" s="407"/>
      <c r="DU101" s="407"/>
      <c r="DV101" s="407">
        <v>26726.176849032541</v>
      </c>
      <c r="DW101" s="407">
        <v>0</v>
      </c>
      <c r="DX101" s="407">
        <v>0</v>
      </c>
      <c r="DY101" s="407">
        <v>-8244.7783199999976</v>
      </c>
      <c r="DZ101" s="407">
        <v>215.66898000000128</v>
      </c>
      <c r="EA101" s="407">
        <v>0</v>
      </c>
      <c r="EB101" s="407">
        <v>0</v>
      </c>
      <c r="EC101" s="407">
        <v>-7900.679757154634</v>
      </c>
      <c r="ED101" s="407">
        <v>0</v>
      </c>
      <c r="EE101" s="407">
        <v>0</v>
      </c>
      <c r="EF101" s="407">
        <v>0</v>
      </c>
      <c r="EG101" s="407">
        <v>0</v>
      </c>
      <c r="EH101" s="407">
        <v>0</v>
      </c>
      <c r="EI101" s="407">
        <v>0</v>
      </c>
      <c r="EJ101" s="407">
        <v>0</v>
      </c>
      <c r="EK101" s="407">
        <v>0</v>
      </c>
      <c r="EL101" s="407">
        <v>0</v>
      </c>
      <c r="EM101" s="407">
        <v>0</v>
      </c>
      <c r="EN101" s="407">
        <v>0</v>
      </c>
      <c r="EO101" s="407">
        <v>0</v>
      </c>
      <c r="EP101" s="407">
        <v>0</v>
      </c>
      <c r="EQ101" s="407">
        <v>0</v>
      </c>
      <c r="ER101" s="407">
        <v>0</v>
      </c>
      <c r="ES101" s="407">
        <v>0</v>
      </c>
      <c r="ET101" s="407">
        <v>0</v>
      </c>
      <c r="EU101" s="407">
        <v>0</v>
      </c>
      <c r="EV101" s="407">
        <v>207</v>
      </c>
      <c r="EW101" s="407">
        <v>0</v>
      </c>
      <c r="EX101" s="407">
        <v>0</v>
      </c>
      <c r="EY101" s="407">
        <v>0</v>
      </c>
      <c r="EZ101" s="407"/>
      <c r="FA101" s="407">
        <v>0</v>
      </c>
      <c r="FB101" s="407"/>
      <c r="FC101" s="407"/>
      <c r="FD101" s="407"/>
      <c r="FE101" s="407"/>
      <c r="FF101" s="407">
        <v>0</v>
      </c>
      <c r="FG101" s="407">
        <v>0</v>
      </c>
      <c r="FH101" s="407">
        <v>0</v>
      </c>
      <c r="FI101" s="407">
        <v>0</v>
      </c>
    </row>
    <row r="102" spans="1:165" s="846" customFormat="1">
      <c r="A102" s="407">
        <v>100</v>
      </c>
      <c r="B102" s="407" t="s">
        <v>1092</v>
      </c>
      <c r="C102" s="407" t="s">
        <v>2305</v>
      </c>
      <c r="D102" s="407" t="s">
        <v>1221</v>
      </c>
      <c r="E102" s="407" t="s">
        <v>2317</v>
      </c>
      <c r="F102" s="407" t="s">
        <v>96</v>
      </c>
      <c r="G102" s="407" t="s">
        <v>96</v>
      </c>
      <c r="H102" s="407" t="s">
        <v>96</v>
      </c>
      <c r="I102" s="407" t="s">
        <v>96</v>
      </c>
      <c r="J102" s="407" t="s">
        <v>2306</v>
      </c>
      <c r="K102" s="815">
        <v>44501</v>
      </c>
      <c r="L102" s="407">
        <v>0</v>
      </c>
      <c r="M102" s="407">
        <v>0</v>
      </c>
      <c r="N102" s="407">
        <v>15.183</v>
      </c>
      <c r="O102" s="407">
        <v>15.183</v>
      </c>
      <c r="P102" s="407">
        <v>15.183</v>
      </c>
      <c r="Q102" s="407">
        <v>15.183</v>
      </c>
      <c r="R102" s="407"/>
      <c r="S102" s="407">
        <v>710.52</v>
      </c>
      <c r="T102" s="407">
        <v>127.85</v>
      </c>
      <c r="U102" s="407"/>
      <c r="V102" s="407">
        <v>12728.97171</v>
      </c>
      <c r="W102" s="407">
        <v>12728.97171</v>
      </c>
      <c r="X102" s="407">
        <v>10456.683929999999</v>
      </c>
      <c r="Y102" s="407">
        <v>0</v>
      </c>
      <c r="Z102" s="407">
        <v>927.30288872112817</v>
      </c>
      <c r="AA102" s="407">
        <v>0</v>
      </c>
      <c r="AB102" s="407">
        <v>0</v>
      </c>
      <c r="AC102" s="407">
        <v>0</v>
      </c>
      <c r="AD102" s="407">
        <v>1660.1464879844912</v>
      </c>
      <c r="AE102" s="407">
        <v>7563.673937983207</v>
      </c>
      <c r="AF102" s="407">
        <v>1941.1070164890677</v>
      </c>
      <c r="AG102" s="407">
        <v>0</v>
      </c>
      <c r="AH102" s="407">
        <v>0</v>
      </c>
      <c r="AI102" s="407">
        <v>0</v>
      </c>
      <c r="AJ102" s="407">
        <v>0</v>
      </c>
      <c r="AK102" s="407">
        <v>0</v>
      </c>
      <c r="AL102" s="407">
        <v>143.40795067676314</v>
      </c>
      <c r="AM102" s="407"/>
      <c r="AN102" s="407">
        <v>34.780659064876211</v>
      </c>
      <c r="AO102" s="407">
        <v>0</v>
      </c>
      <c r="AP102" s="407">
        <v>0</v>
      </c>
      <c r="AQ102" s="407">
        <v>0</v>
      </c>
      <c r="AR102" s="407">
        <v>0</v>
      </c>
      <c r="AS102" s="407">
        <v>0</v>
      </c>
      <c r="AT102" s="407">
        <v>0</v>
      </c>
      <c r="AU102" s="407">
        <v>0</v>
      </c>
      <c r="AV102" s="407">
        <v>0</v>
      </c>
      <c r="AW102" s="407">
        <v>0</v>
      </c>
      <c r="AX102" s="407">
        <v>0</v>
      </c>
      <c r="AY102" s="407">
        <v>0</v>
      </c>
      <c r="AZ102" s="407">
        <v>0</v>
      </c>
      <c r="BA102" s="407"/>
      <c r="BB102" s="407">
        <v>0</v>
      </c>
      <c r="BC102" s="407">
        <v>0</v>
      </c>
      <c r="BD102" s="407">
        <v>0</v>
      </c>
      <c r="BE102" s="407">
        <v>0</v>
      </c>
      <c r="BF102" s="407">
        <v>0</v>
      </c>
      <c r="BG102" s="407">
        <v>458.49917454467453</v>
      </c>
      <c r="BH102" s="407">
        <v>0</v>
      </c>
      <c r="BI102" s="407">
        <v>55.67</v>
      </c>
      <c r="BJ102" s="407">
        <v>257.3</v>
      </c>
      <c r="BK102" s="407">
        <v>2837.17</v>
      </c>
      <c r="BL102" s="407">
        <v>18</v>
      </c>
      <c r="BM102" s="407"/>
      <c r="BN102" s="407"/>
      <c r="BO102" s="407"/>
      <c r="BP102" s="407"/>
      <c r="BQ102" s="407"/>
      <c r="BR102" s="407"/>
      <c r="BS102" s="407"/>
      <c r="BT102" s="407"/>
      <c r="BU102" s="407"/>
      <c r="BV102" s="407">
        <v>2399.6061910337421</v>
      </c>
      <c r="BW102" s="407"/>
      <c r="BX102" s="407"/>
      <c r="BY102" s="407"/>
      <c r="BZ102" s="407"/>
      <c r="CA102" s="407"/>
      <c r="CB102" s="407"/>
      <c r="CC102" s="407"/>
      <c r="CD102" s="407"/>
      <c r="CE102" s="407"/>
      <c r="CF102" s="407"/>
      <c r="CG102" s="407"/>
      <c r="CH102" s="407"/>
      <c r="CI102" s="407">
        <v>10454.6178</v>
      </c>
      <c r="CJ102" s="407">
        <v>-2274.3839100000005</v>
      </c>
      <c r="CK102" s="407"/>
      <c r="CL102" s="407"/>
      <c r="CM102" s="407"/>
      <c r="CN102" s="407"/>
      <c r="CO102" s="407">
        <v>-2333.3234399999992</v>
      </c>
      <c r="CP102" s="407">
        <v>61.035660000000156</v>
      </c>
      <c r="CQ102" s="407">
        <v>30</v>
      </c>
      <c r="CR102" s="407">
        <v>-36.242159231142978</v>
      </c>
      <c r="CS102" s="407">
        <v>0</v>
      </c>
      <c r="CT102" s="407">
        <v>0</v>
      </c>
      <c r="CU102" s="407">
        <v>0</v>
      </c>
      <c r="CV102" s="407">
        <v>0</v>
      </c>
      <c r="CW102" s="407">
        <v>0</v>
      </c>
      <c r="CX102" s="407">
        <v>0</v>
      </c>
      <c r="CY102" s="407">
        <v>0</v>
      </c>
      <c r="CZ102" s="407">
        <v>-87.092472177462469</v>
      </c>
      <c r="DA102" s="407">
        <v>0</v>
      </c>
      <c r="DB102" s="407">
        <v>0</v>
      </c>
      <c r="DC102" s="407">
        <v>61.079285142727031</v>
      </c>
      <c r="DD102" s="407">
        <v>0</v>
      </c>
      <c r="DE102" s="407">
        <v>0</v>
      </c>
      <c r="DF102" s="407">
        <v>0</v>
      </c>
      <c r="DG102" s="407">
        <v>14.427232286436265</v>
      </c>
      <c r="DH102" s="407">
        <v>0</v>
      </c>
      <c r="DI102" s="407">
        <v>-21.117889018952496</v>
      </c>
      <c r="DJ102" s="407"/>
      <c r="DK102" s="407">
        <v>0</v>
      </c>
      <c r="DL102" s="407">
        <v>0</v>
      </c>
      <c r="DM102" s="407">
        <v>0</v>
      </c>
      <c r="DN102" s="407">
        <v>0</v>
      </c>
      <c r="DO102" s="407">
        <v>-2.7365151678719144</v>
      </c>
      <c r="DP102" s="407">
        <v>-0.80180029601902447</v>
      </c>
      <c r="DQ102" s="407">
        <v>0</v>
      </c>
      <c r="DR102" s="407">
        <v>0</v>
      </c>
      <c r="DS102" s="407"/>
      <c r="DT102" s="407"/>
      <c r="DU102" s="407"/>
      <c r="DV102" s="407">
        <v>7563.673937983207</v>
      </c>
      <c r="DW102" s="407">
        <v>0</v>
      </c>
      <c r="DX102" s="407">
        <v>0</v>
      </c>
      <c r="DY102" s="407">
        <v>-2333.3234400000001</v>
      </c>
      <c r="DZ102" s="407">
        <v>61.035660000000007</v>
      </c>
      <c r="EA102" s="407">
        <v>0</v>
      </c>
      <c r="EB102" s="407">
        <v>0</v>
      </c>
      <c r="EC102" s="407">
        <v>-2235.9414108907677</v>
      </c>
      <c r="ED102" s="407">
        <v>0</v>
      </c>
      <c r="EE102" s="407">
        <v>0</v>
      </c>
      <c r="EF102" s="407">
        <v>0</v>
      </c>
      <c r="EG102" s="407">
        <v>0</v>
      </c>
      <c r="EH102" s="407">
        <v>0</v>
      </c>
      <c r="EI102" s="407">
        <v>0</v>
      </c>
      <c r="EJ102" s="407">
        <v>0</v>
      </c>
      <c r="EK102" s="407">
        <v>0</v>
      </c>
      <c r="EL102" s="407">
        <v>0</v>
      </c>
      <c r="EM102" s="407">
        <v>0</v>
      </c>
      <c r="EN102" s="407">
        <v>0</v>
      </c>
      <c r="EO102" s="407">
        <v>0</v>
      </c>
      <c r="EP102" s="407">
        <v>0</v>
      </c>
      <c r="EQ102" s="407">
        <v>0</v>
      </c>
      <c r="ER102" s="407">
        <v>0</v>
      </c>
      <c r="ES102" s="407">
        <v>0</v>
      </c>
      <c r="ET102" s="407">
        <v>0</v>
      </c>
      <c r="EU102" s="407">
        <v>0</v>
      </c>
      <c r="EV102" s="407">
        <v>207</v>
      </c>
      <c r="EW102" s="407">
        <v>0</v>
      </c>
      <c r="EX102" s="407">
        <v>0</v>
      </c>
      <c r="EY102" s="407">
        <v>0</v>
      </c>
      <c r="EZ102" s="407"/>
      <c r="FA102" s="407">
        <v>0</v>
      </c>
      <c r="FB102" s="407"/>
      <c r="FC102" s="407"/>
      <c r="FD102" s="407"/>
      <c r="FE102" s="407"/>
      <c r="FF102" s="407">
        <v>0</v>
      </c>
      <c r="FG102" s="407">
        <v>0</v>
      </c>
      <c r="FH102" s="407">
        <v>0</v>
      </c>
      <c r="FI102" s="407">
        <v>0</v>
      </c>
    </row>
    <row r="103" spans="1:165" s="846" customFormat="1">
      <c r="A103" s="407">
        <v>101</v>
      </c>
      <c r="B103" s="407" t="s">
        <v>1092</v>
      </c>
      <c r="C103" s="407" t="s">
        <v>2305</v>
      </c>
      <c r="D103" s="407" t="s">
        <v>2318</v>
      </c>
      <c r="E103" s="407" t="s">
        <v>2319</v>
      </c>
      <c r="F103" s="407" t="s">
        <v>2320</v>
      </c>
      <c r="G103" s="407" t="s">
        <v>96</v>
      </c>
      <c r="H103" s="407" t="s">
        <v>96</v>
      </c>
      <c r="I103" s="407" t="s">
        <v>96</v>
      </c>
      <c r="J103" s="407" t="s">
        <v>2306</v>
      </c>
      <c r="K103" s="815">
        <v>44501</v>
      </c>
      <c r="L103" s="407">
        <v>0</v>
      </c>
      <c r="M103" s="407">
        <v>0</v>
      </c>
      <c r="N103" s="407">
        <v>41.988</v>
      </c>
      <c r="O103" s="407">
        <v>41.988</v>
      </c>
      <c r="P103" s="407">
        <v>41.988</v>
      </c>
      <c r="Q103" s="407">
        <v>41.988</v>
      </c>
      <c r="R103" s="407"/>
      <c r="S103" s="407">
        <v>390.79</v>
      </c>
      <c r="T103" s="407">
        <v>70.319999999999993</v>
      </c>
      <c r="U103" s="407"/>
      <c r="V103" s="407">
        <v>19361.08668</v>
      </c>
      <c r="W103" s="407">
        <v>19361.08668</v>
      </c>
      <c r="X103" s="407">
        <v>15904.63452</v>
      </c>
      <c r="Y103" s="407">
        <v>0</v>
      </c>
      <c r="Z103" s="407">
        <v>1410.4311750242061</v>
      </c>
      <c r="AA103" s="407">
        <v>0</v>
      </c>
      <c r="AB103" s="407">
        <v>0</v>
      </c>
      <c r="AC103" s="407">
        <v>0</v>
      </c>
      <c r="AD103" s="407">
        <v>2525.0890407443185</v>
      </c>
      <c r="AE103" s="407">
        <v>11504.376455207886</v>
      </c>
      <c r="AF103" s="407">
        <v>2952.4310593814571</v>
      </c>
      <c r="AG103" s="407">
        <v>0</v>
      </c>
      <c r="AH103" s="407">
        <v>0</v>
      </c>
      <c r="AI103" s="407">
        <v>0</v>
      </c>
      <c r="AJ103" s="407">
        <v>0</v>
      </c>
      <c r="AK103" s="407">
        <v>0</v>
      </c>
      <c r="AL103" s="407">
        <v>218.12403136130945</v>
      </c>
      <c r="AM103" s="407"/>
      <c r="AN103" s="407">
        <v>52.901513011184541</v>
      </c>
      <c r="AO103" s="407">
        <v>0</v>
      </c>
      <c r="AP103" s="407">
        <v>0</v>
      </c>
      <c r="AQ103" s="407">
        <v>0</v>
      </c>
      <c r="AR103" s="407">
        <v>0</v>
      </c>
      <c r="AS103" s="407">
        <v>0</v>
      </c>
      <c r="AT103" s="407">
        <v>0</v>
      </c>
      <c r="AU103" s="407">
        <v>0</v>
      </c>
      <c r="AV103" s="407">
        <v>0</v>
      </c>
      <c r="AW103" s="407">
        <v>0</v>
      </c>
      <c r="AX103" s="407">
        <v>0</v>
      </c>
      <c r="AY103" s="407">
        <v>0</v>
      </c>
      <c r="AZ103" s="407">
        <v>0</v>
      </c>
      <c r="BA103" s="407"/>
      <c r="BB103" s="407">
        <v>0</v>
      </c>
      <c r="BC103" s="407">
        <v>0</v>
      </c>
      <c r="BD103" s="407">
        <v>0</v>
      </c>
      <c r="BE103" s="407">
        <v>0</v>
      </c>
      <c r="BF103" s="407">
        <v>0</v>
      </c>
      <c r="BG103" s="407">
        <v>697.37896577949164</v>
      </c>
      <c r="BH103" s="407">
        <v>0</v>
      </c>
      <c r="BI103" s="407">
        <v>96.46</v>
      </c>
      <c r="BJ103" s="407">
        <v>446.12</v>
      </c>
      <c r="BK103" s="407">
        <v>4918.8</v>
      </c>
      <c r="BL103" s="407">
        <v>36</v>
      </c>
      <c r="BM103" s="407"/>
      <c r="BN103" s="407"/>
      <c r="BO103" s="407"/>
      <c r="BP103" s="407"/>
      <c r="BQ103" s="407"/>
      <c r="BR103" s="407"/>
      <c r="BS103" s="407"/>
      <c r="BT103" s="407"/>
      <c r="BU103" s="407"/>
      <c r="BV103" s="407">
        <v>3649.8100251609485</v>
      </c>
      <c r="BW103" s="407"/>
      <c r="BX103" s="407"/>
      <c r="BY103" s="407"/>
      <c r="BZ103" s="407"/>
      <c r="CA103" s="407"/>
      <c r="CB103" s="407"/>
      <c r="CC103" s="407"/>
      <c r="CD103" s="407"/>
      <c r="CE103" s="407"/>
      <c r="CF103" s="407"/>
      <c r="CG103" s="407"/>
      <c r="CH103" s="407"/>
      <c r="CI103" s="407">
        <v>15905.392100000001</v>
      </c>
      <c r="CJ103" s="407">
        <v>-3455.7245799999946</v>
      </c>
      <c r="CK103" s="407"/>
      <c r="CL103" s="407"/>
      <c r="CM103" s="407"/>
      <c r="CN103" s="407"/>
      <c r="CO103" s="407">
        <v>-3549.245640000001</v>
      </c>
      <c r="CP103" s="407">
        <v>92.793480000000329</v>
      </c>
      <c r="CQ103" s="407">
        <v>30</v>
      </c>
      <c r="CR103" s="407">
        <v>-55.124460250847733</v>
      </c>
      <c r="CS103" s="407">
        <v>0</v>
      </c>
      <c r="CT103" s="407">
        <v>0</v>
      </c>
      <c r="CU103" s="407">
        <v>0</v>
      </c>
      <c r="CV103" s="407">
        <v>0</v>
      </c>
      <c r="CW103" s="407">
        <v>0</v>
      </c>
      <c r="CX103" s="407">
        <v>0</v>
      </c>
      <c r="CY103" s="407">
        <v>0</v>
      </c>
      <c r="CZ103" s="407">
        <v>-132.46797714437344</v>
      </c>
      <c r="DA103" s="407">
        <v>0</v>
      </c>
      <c r="DB103" s="407">
        <v>0</v>
      </c>
      <c r="DC103" s="407">
        <v>92.901822005865142</v>
      </c>
      <c r="DD103" s="407">
        <v>0</v>
      </c>
      <c r="DE103" s="407">
        <v>0</v>
      </c>
      <c r="DF103" s="407">
        <v>0</v>
      </c>
      <c r="DG103" s="407">
        <v>21.943874470363198</v>
      </c>
      <c r="DH103" s="407">
        <v>0</v>
      </c>
      <c r="DI103" s="407">
        <v>-32.120388478583664</v>
      </c>
      <c r="DJ103" s="407"/>
      <c r="DK103" s="407">
        <v>0</v>
      </c>
      <c r="DL103" s="407">
        <v>0</v>
      </c>
      <c r="DM103" s="407">
        <v>0</v>
      </c>
      <c r="DN103" s="407">
        <v>0</v>
      </c>
      <c r="DO103" s="407">
        <v>-4.1622498437552338</v>
      </c>
      <c r="DP103" s="407">
        <v>-1.2195412603625968</v>
      </c>
      <c r="DQ103" s="407">
        <v>0</v>
      </c>
      <c r="DR103" s="407">
        <v>0</v>
      </c>
      <c r="DS103" s="407"/>
      <c r="DT103" s="407"/>
      <c r="DU103" s="407"/>
      <c r="DV103" s="407">
        <v>11504.376455207886</v>
      </c>
      <c r="DW103" s="407">
        <v>0</v>
      </c>
      <c r="DX103" s="407">
        <v>0</v>
      </c>
      <c r="DY103" s="407">
        <v>-3549.2456399999992</v>
      </c>
      <c r="DZ103" s="407">
        <v>92.793480000000272</v>
      </c>
      <c r="EA103" s="407">
        <v>0</v>
      </c>
      <c r="EB103" s="407">
        <v>0</v>
      </c>
      <c r="EC103" s="407">
        <v>-3400.8752801333821</v>
      </c>
      <c r="ED103" s="407">
        <v>0</v>
      </c>
      <c r="EE103" s="407">
        <v>0</v>
      </c>
      <c r="EF103" s="407">
        <v>0</v>
      </c>
      <c r="EG103" s="407">
        <v>0</v>
      </c>
      <c r="EH103" s="407">
        <v>0</v>
      </c>
      <c r="EI103" s="407">
        <v>0</v>
      </c>
      <c r="EJ103" s="407">
        <v>0</v>
      </c>
      <c r="EK103" s="407">
        <v>0</v>
      </c>
      <c r="EL103" s="407">
        <v>0</v>
      </c>
      <c r="EM103" s="407">
        <v>0</v>
      </c>
      <c r="EN103" s="407">
        <v>0</v>
      </c>
      <c r="EO103" s="407">
        <v>0</v>
      </c>
      <c r="EP103" s="407">
        <v>0</v>
      </c>
      <c r="EQ103" s="407">
        <v>0</v>
      </c>
      <c r="ER103" s="407">
        <v>0</v>
      </c>
      <c r="ES103" s="407">
        <v>0</v>
      </c>
      <c r="ET103" s="407">
        <v>0</v>
      </c>
      <c r="EU103" s="407">
        <v>0</v>
      </c>
      <c r="EV103" s="407">
        <v>207</v>
      </c>
      <c r="EW103" s="407">
        <v>0</v>
      </c>
      <c r="EX103" s="407">
        <v>0</v>
      </c>
      <c r="EY103" s="407">
        <v>0</v>
      </c>
      <c r="EZ103" s="407"/>
      <c r="FA103" s="407">
        <v>0</v>
      </c>
      <c r="FB103" s="407"/>
      <c r="FC103" s="407"/>
      <c r="FD103" s="407"/>
      <c r="FE103" s="407"/>
      <c r="FF103" s="407">
        <v>0</v>
      </c>
      <c r="FG103" s="407">
        <v>0</v>
      </c>
      <c r="FH103" s="407">
        <v>0</v>
      </c>
      <c r="FI103" s="407">
        <v>0</v>
      </c>
    </row>
    <row r="104" spans="1:165" s="846" customFormat="1">
      <c r="A104" s="407">
        <v>102</v>
      </c>
      <c r="B104" s="407" t="s">
        <v>1092</v>
      </c>
      <c r="C104" s="407" t="s">
        <v>2305</v>
      </c>
      <c r="D104" s="407" t="s">
        <v>1221</v>
      </c>
      <c r="E104" s="407" t="s">
        <v>1054</v>
      </c>
      <c r="F104" s="407" t="s">
        <v>2321</v>
      </c>
      <c r="G104" s="407" t="s">
        <v>96</v>
      </c>
      <c r="H104" s="407" t="s">
        <v>96</v>
      </c>
      <c r="I104" s="407" t="s">
        <v>96</v>
      </c>
      <c r="J104" s="407" t="s">
        <v>2306</v>
      </c>
      <c r="K104" s="815">
        <v>44501</v>
      </c>
      <c r="L104" s="407">
        <v>0</v>
      </c>
      <c r="M104" s="407">
        <v>0</v>
      </c>
      <c r="N104" s="407">
        <v>7.2</v>
      </c>
      <c r="O104" s="407">
        <v>6.7679999999999998</v>
      </c>
      <c r="P104" s="407">
        <v>7.2</v>
      </c>
      <c r="Q104" s="407">
        <v>6.7679999999999998</v>
      </c>
      <c r="R104" s="407"/>
      <c r="S104" s="407">
        <v>710.52</v>
      </c>
      <c r="T104" s="407">
        <v>127.85</v>
      </c>
      <c r="U104" s="407"/>
      <c r="V104" s="407">
        <v>6036.2639999999992</v>
      </c>
      <c r="W104" s="407">
        <v>6036.2639999999992</v>
      </c>
      <c r="X104" s="407">
        <v>4958.7120000000004</v>
      </c>
      <c r="Y104" s="407">
        <v>0</v>
      </c>
      <c r="Z104" s="407">
        <v>439.74055185352853</v>
      </c>
      <c r="AA104" s="407">
        <v>0</v>
      </c>
      <c r="AB104" s="407">
        <v>0</v>
      </c>
      <c r="AC104" s="407">
        <v>0</v>
      </c>
      <c r="AD104" s="407">
        <v>787.26567302169121</v>
      </c>
      <c r="AE104" s="407">
        <v>3586.8044756292625</v>
      </c>
      <c r="AF104" s="407">
        <v>920.50125263263442</v>
      </c>
      <c r="AG104" s="407">
        <v>0</v>
      </c>
      <c r="AH104" s="407">
        <v>0</v>
      </c>
      <c r="AI104" s="407">
        <v>0</v>
      </c>
      <c r="AJ104" s="407">
        <v>0</v>
      </c>
      <c r="AK104" s="407">
        <v>0</v>
      </c>
      <c r="AL104" s="407">
        <v>68.00614139976912</v>
      </c>
      <c r="AM104" s="407"/>
      <c r="AN104" s="407">
        <v>16.493495703557187</v>
      </c>
      <c r="AO104" s="407">
        <v>0</v>
      </c>
      <c r="AP104" s="407">
        <v>0</v>
      </c>
      <c r="AQ104" s="407">
        <v>0</v>
      </c>
      <c r="AR104" s="407">
        <v>0</v>
      </c>
      <c r="AS104" s="407">
        <v>0</v>
      </c>
      <c r="AT104" s="407">
        <v>0</v>
      </c>
      <c r="AU104" s="407">
        <v>0</v>
      </c>
      <c r="AV104" s="407">
        <v>0</v>
      </c>
      <c r="AW104" s="407">
        <v>0</v>
      </c>
      <c r="AX104" s="407">
        <v>0</v>
      </c>
      <c r="AY104" s="407">
        <v>0</v>
      </c>
      <c r="AZ104" s="407">
        <v>0</v>
      </c>
      <c r="BA104" s="407"/>
      <c r="BB104" s="407">
        <v>0</v>
      </c>
      <c r="BC104" s="407">
        <v>0</v>
      </c>
      <c r="BD104" s="407">
        <v>0</v>
      </c>
      <c r="BE104" s="407">
        <v>0</v>
      </c>
      <c r="BF104" s="407">
        <v>0</v>
      </c>
      <c r="BG104" s="407">
        <v>217.426994449164</v>
      </c>
      <c r="BH104" s="407">
        <v>0</v>
      </c>
      <c r="BI104" s="407">
        <v>40.340000000000003</v>
      </c>
      <c r="BJ104" s="407">
        <v>186.24</v>
      </c>
      <c r="BK104" s="407">
        <v>1297.3499999999999</v>
      </c>
      <c r="BL104" s="407">
        <v>1</v>
      </c>
      <c r="BM104" s="407"/>
      <c r="BN104" s="407"/>
      <c r="BO104" s="407"/>
      <c r="BP104" s="407"/>
      <c r="BQ104" s="407">
        <v>297.52272000000028</v>
      </c>
      <c r="BR104" s="407"/>
      <c r="BS104" s="407"/>
      <c r="BT104" s="407"/>
      <c r="BU104" s="407"/>
      <c r="BV104" s="407">
        <v>1137.9282470817984</v>
      </c>
      <c r="BW104" s="407"/>
      <c r="BX104" s="407"/>
      <c r="BY104" s="407"/>
      <c r="BZ104" s="407"/>
      <c r="CA104" s="407"/>
      <c r="CB104" s="407"/>
      <c r="CC104" s="407"/>
      <c r="CD104" s="407"/>
      <c r="CE104" s="407"/>
      <c r="CF104" s="407"/>
      <c r="CG104" s="407"/>
      <c r="CH104" s="407"/>
      <c r="CI104" s="407">
        <v>4662.5666999999994</v>
      </c>
      <c r="CJ104" s="407">
        <v>-1011.5514600000015</v>
      </c>
      <c r="CK104" s="407"/>
      <c r="CL104" s="407"/>
      <c r="CM104" s="407"/>
      <c r="CN104" s="407"/>
      <c r="CO104" s="407">
        <v>-1106.4959999999996</v>
      </c>
      <c r="CP104" s="407">
        <v>28.944000000000074</v>
      </c>
      <c r="CQ104" s="407">
        <v>30</v>
      </c>
      <c r="CR104" s="407">
        <v>-17.186560394140088</v>
      </c>
      <c r="CS104" s="407">
        <v>0</v>
      </c>
      <c r="CT104" s="407">
        <v>0</v>
      </c>
      <c r="CU104" s="407">
        <v>0</v>
      </c>
      <c r="CV104" s="407">
        <v>0</v>
      </c>
      <c r="CW104" s="407">
        <v>0</v>
      </c>
      <c r="CX104" s="407">
        <v>0</v>
      </c>
      <c r="CY104" s="407">
        <v>0</v>
      </c>
      <c r="CZ104" s="407">
        <v>-41.300520297551998</v>
      </c>
      <c r="DA104" s="407">
        <v>0</v>
      </c>
      <c r="DB104" s="407">
        <v>0</v>
      </c>
      <c r="DC104" s="407">
        <v>28.964687678827318</v>
      </c>
      <c r="DD104" s="407">
        <v>0</v>
      </c>
      <c r="DE104" s="407">
        <v>0</v>
      </c>
      <c r="DF104" s="407">
        <v>0</v>
      </c>
      <c r="DG104" s="407">
        <v>6.8416039295488815</v>
      </c>
      <c r="DH104" s="407">
        <v>0</v>
      </c>
      <c r="DI104" s="407">
        <v>-10.014410915922952</v>
      </c>
      <c r="DJ104" s="407"/>
      <c r="DK104" s="407">
        <v>0</v>
      </c>
      <c r="DL104" s="407">
        <v>0</v>
      </c>
      <c r="DM104" s="407">
        <v>0</v>
      </c>
      <c r="DN104" s="407">
        <v>0</v>
      </c>
      <c r="DO104" s="407">
        <v>-1.2976953967383054</v>
      </c>
      <c r="DP104" s="407">
        <v>-0.38022539230303565</v>
      </c>
      <c r="DQ104" s="407">
        <v>0</v>
      </c>
      <c r="DR104" s="407">
        <v>0</v>
      </c>
      <c r="DS104" s="407"/>
      <c r="DT104" s="407"/>
      <c r="DU104" s="407"/>
      <c r="DV104" s="407">
        <v>3586.8044756292625</v>
      </c>
      <c r="DW104" s="407">
        <v>0</v>
      </c>
      <c r="DX104" s="407">
        <v>0</v>
      </c>
      <c r="DY104" s="407">
        <v>-1106.4959999999992</v>
      </c>
      <c r="DZ104" s="407">
        <v>28.944000000000074</v>
      </c>
      <c r="EA104" s="407">
        <v>0</v>
      </c>
      <c r="EB104" s="407">
        <v>0</v>
      </c>
      <c r="EC104" s="407">
        <v>-1060.3160217620712</v>
      </c>
      <c r="ED104" s="407">
        <v>0</v>
      </c>
      <c r="EE104" s="407">
        <v>0</v>
      </c>
      <c r="EF104" s="407">
        <v>0</v>
      </c>
      <c r="EG104" s="407">
        <v>0</v>
      </c>
      <c r="EH104" s="407">
        <v>0</v>
      </c>
      <c r="EI104" s="407">
        <v>0</v>
      </c>
      <c r="EJ104" s="407">
        <v>0</v>
      </c>
      <c r="EK104" s="407">
        <v>0</v>
      </c>
      <c r="EL104" s="407">
        <v>0</v>
      </c>
      <c r="EM104" s="407">
        <v>0</v>
      </c>
      <c r="EN104" s="407">
        <v>0</v>
      </c>
      <c r="EO104" s="407">
        <v>0</v>
      </c>
      <c r="EP104" s="407">
        <v>0</v>
      </c>
      <c r="EQ104" s="407">
        <v>0</v>
      </c>
      <c r="ER104" s="407">
        <v>0</v>
      </c>
      <c r="ES104" s="407">
        <v>0</v>
      </c>
      <c r="ET104" s="407">
        <v>0</v>
      </c>
      <c r="EU104" s="407">
        <v>0</v>
      </c>
      <c r="EV104" s="407">
        <v>207</v>
      </c>
      <c r="EW104" s="407">
        <v>0</v>
      </c>
      <c r="EX104" s="407">
        <v>0</v>
      </c>
      <c r="EY104" s="407">
        <v>0</v>
      </c>
      <c r="EZ104" s="407"/>
      <c r="FA104" s="407">
        <v>0</v>
      </c>
      <c r="FB104" s="407"/>
      <c r="FC104" s="407"/>
      <c r="FD104" s="407"/>
      <c r="FE104" s="407"/>
      <c r="FF104" s="407">
        <v>0</v>
      </c>
      <c r="FG104" s="407">
        <v>0</v>
      </c>
      <c r="FH104" s="407">
        <v>0</v>
      </c>
      <c r="FI104" s="407">
        <v>0</v>
      </c>
    </row>
    <row r="105" spans="1:165" s="846" customFormat="1">
      <c r="A105" s="407">
        <v>103</v>
      </c>
      <c r="B105" s="407" t="s">
        <v>1092</v>
      </c>
      <c r="C105" s="407" t="s">
        <v>2305</v>
      </c>
      <c r="D105" s="407" t="s">
        <v>1220</v>
      </c>
      <c r="E105" s="407" t="s">
        <v>1023</v>
      </c>
      <c r="F105" s="407" t="s">
        <v>1023</v>
      </c>
      <c r="G105" s="407" t="s">
        <v>96</v>
      </c>
      <c r="H105" s="407" t="s">
        <v>96</v>
      </c>
      <c r="I105" s="407" t="s">
        <v>96</v>
      </c>
      <c r="J105" s="407" t="s">
        <v>2306</v>
      </c>
      <c r="K105" s="815">
        <v>44531</v>
      </c>
      <c r="L105" s="407">
        <v>0</v>
      </c>
      <c r="M105" s="407">
        <v>0</v>
      </c>
      <c r="N105" s="407">
        <v>964.93299999999999</v>
      </c>
      <c r="O105" s="407">
        <v>964.93299999999999</v>
      </c>
      <c r="P105" s="407">
        <v>964.93299999999999</v>
      </c>
      <c r="Q105" s="407">
        <v>964.93299999999999</v>
      </c>
      <c r="R105" s="407"/>
      <c r="S105" s="407">
        <v>710.52</v>
      </c>
      <c r="T105" s="407">
        <v>127.85</v>
      </c>
      <c r="U105" s="407"/>
      <c r="V105" s="407">
        <v>808970.87921000004</v>
      </c>
      <c r="W105" s="407">
        <v>808970.87921000004</v>
      </c>
      <c r="X105" s="407">
        <v>664559.00642999995</v>
      </c>
      <c r="Y105" s="407">
        <v>0</v>
      </c>
      <c r="Z105" s="407">
        <v>58933.356933566778</v>
      </c>
      <c r="AA105" s="407">
        <v>0</v>
      </c>
      <c r="AB105" s="407">
        <v>0</v>
      </c>
      <c r="AC105" s="407">
        <v>0</v>
      </c>
      <c r="AD105" s="407">
        <v>105508.14273136659</v>
      </c>
      <c r="AE105" s="407">
        <v>480698.05598366261</v>
      </c>
      <c r="AF105" s="407">
        <v>123364.17155646747</v>
      </c>
      <c r="AG105" s="407">
        <v>0</v>
      </c>
      <c r="AH105" s="407">
        <v>0</v>
      </c>
      <c r="AI105" s="407">
        <v>0</v>
      </c>
      <c r="AJ105" s="407">
        <v>0</v>
      </c>
      <c r="AK105" s="407">
        <v>0</v>
      </c>
      <c r="AL105" s="407">
        <v>9114.0791721254755</v>
      </c>
      <c r="AM105" s="407"/>
      <c r="AN105" s="407">
        <v>2210.4330957945203</v>
      </c>
      <c r="AO105" s="407">
        <v>0</v>
      </c>
      <c r="AP105" s="407">
        <v>0</v>
      </c>
      <c r="AQ105" s="407">
        <v>0</v>
      </c>
      <c r="AR105" s="407">
        <v>0</v>
      </c>
      <c r="AS105" s="407">
        <v>0</v>
      </c>
      <c r="AT105" s="407">
        <v>0</v>
      </c>
      <c r="AU105" s="407">
        <v>0</v>
      </c>
      <c r="AV105" s="407">
        <v>0</v>
      </c>
      <c r="AW105" s="407">
        <v>0</v>
      </c>
      <c r="AX105" s="407">
        <v>0</v>
      </c>
      <c r="AY105" s="407">
        <v>0</v>
      </c>
      <c r="AZ105" s="407">
        <v>0</v>
      </c>
      <c r="BA105" s="407"/>
      <c r="BB105" s="407">
        <v>0</v>
      </c>
      <c r="BC105" s="407">
        <v>0</v>
      </c>
      <c r="BD105" s="407">
        <v>0</v>
      </c>
      <c r="BE105" s="407">
        <v>0</v>
      </c>
      <c r="BF105" s="407">
        <v>0</v>
      </c>
      <c r="BG105" s="407">
        <v>29139.233615946549</v>
      </c>
      <c r="BH105" s="407">
        <v>0</v>
      </c>
      <c r="BI105" s="407">
        <v>3802.44</v>
      </c>
      <c r="BJ105" s="407">
        <v>17696.84</v>
      </c>
      <c r="BK105" s="407">
        <v>186012.11</v>
      </c>
      <c r="BL105" s="407">
        <v>6067</v>
      </c>
      <c r="BM105" s="407"/>
      <c r="BN105" s="407"/>
      <c r="BO105" s="407"/>
      <c r="BP105" s="407"/>
      <c r="BQ105" s="407"/>
      <c r="BR105" s="407"/>
      <c r="BS105" s="407"/>
      <c r="BT105" s="407"/>
      <c r="BU105" s="407"/>
      <c r="BV105" s="407">
        <v>152503.40517241403</v>
      </c>
      <c r="BW105" s="407"/>
      <c r="BX105" s="407"/>
      <c r="BY105" s="407"/>
      <c r="BZ105" s="407"/>
      <c r="CA105" s="407"/>
      <c r="CB105" s="407"/>
      <c r="CC105" s="407"/>
      <c r="CD105" s="407"/>
      <c r="CE105" s="407"/>
      <c r="CF105" s="407"/>
      <c r="CG105" s="407"/>
      <c r="CH105" s="407"/>
      <c r="CI105" s="407">
        <v>664556.94030000002</v>
      </c>
      <c r="CJ105" s="407">
        <v>-144413.96891000005</v>
      </c>
      <c r="CK105" s="407"/>
      <c r="CL105" s="407"/>
      <c r="CM105" s="407"/>
      <c r="CN105" s="407"/>
      <c r="CO105" s="407">
        <v>-148290.90343999994</v>
      </c>
      <c r="CP105" s="407">
        <v>3879.0306600000099</v>
      </c>
      <c r="CQ105" s="407"/>
      <c r="CR105" s="407">
        <v>-2303.3165667776484</v>
      </c>
      <c r="CS105" s="407">
        <v>0</v>
      </c>
      <c r="CT105" s="407">
        <v>0</v>
      </c>
      <c r="CU105" s="407">
        <v>0</v>
      </c>
      <c r="CV105" s="407">
        <v>0</v>
      </c>
      <c r="CW105" s="407">
        <v>0</v>
      </c>
      <c r="CX105" s="407">
        <v>0</v>
      </c>
      <c r="CY105" s="407">
        <v>0</v>
      </c>
      <c r="CZ105" s="407">
        <v>-5535.0326322607725</v>
      </c>
      <c r="DA105" s="407">
        <v>0</v>
      </c>
      <c r="DB105" s="407">
        <v>0</v>
      </c>
      <c r="DC105" s="407">
        <v>3881.8031911102589</v>
      </c>
      <c r="DD105" s="407">
        <v>0</v>
      </c>
      <c r="DE105" s="407">
        <v>0</v>
      </c>
      <c r="DF105" s="407">
        <v>0</v>
      </c>
      <c r="DG105" s="407">
        <v>916.90130618769399</v>
      </c>
      <c r="DH105" s="407">
        <v>0</v>
      </c>
      <c r="DI105" s="407">
        <v>-1342.1160511575363</v>
      </c>
      <c r="DJ105" s="407"/>
      <c r="DK105" s="407">
        <v>0</v>
      </c>
      <c r="DL105" s="407">
        <v>0</v>
      </c>
      <c r="DM105" s="407">
        <v>0</v>
      </c>
      <c r="DN105" s="407">
        <v>0</v>
      </c>
      <c r="DO105" s="407">
        <v>-173.91515448067912</v>
      </c>
      <c r="DP105" s="407">
        <v>-50.95722617654792</v>
      </c>
      <c r="DQ105" s="407">
        <v>0</v>
      </c>
      <c r="DR105" s="407">
        <v>0</v>
      </c>
      <c r="DS105" s="407"/>
      <c r="DT105" s="407"/>
      <c r="DU105" s="407"/>
      <c r="DV105" s="407">
        <v>480698.05598366261</v>
      </c>
      <c r="DW105" s="407">
        <v>0</v>
      </c>
      <c r="DX105" s="407">
        <v>0</v>
      </c>
      <c r="DY105" s="407">
        <v>-148290.90344000002</v>
      </c>
      <c r="DZ105" s="407">
        <v>3879.030660000004</v>
      </c>
      <c r="EA105" s="407">
        <v>0</v>
      </c>
      <c r="EB105" s="407">
        <v>0</v>
      </c>
      <c r="EC105" s="407">
        <v>-142101.93330929725</v>
      </c>
      <c r="ED105" s="407">
        <v>0</v>
      </c>
      <c r="EE105" s="407">
        <v>0</v>
      </c>
      <c r="EF105" s="407">
        <v>0</v>
      </c>
      <c r="EG105" s="407">
        <v>0</v>
      </c>
      <c r="EH105" s="407">
        <v>0</v>
      </c>
      <c r="EI105" s="407">
        <v>0</v>
      </c>
      <c r="EJ105" s="407">
        <v>0</v>
      </c>
      <c r="EK105" s="407">
        <v>0</v>
      </c>
      <c r="EL105" s="407">
        <v>0</v>
      </c>
      <c r="EM105" s="407">
        <v>0</v>
      </c>
      <c r="EN105" s="407">
        <v>0</v>
      </c>
      <c r="EO105" s="407">
        <v>0</v>
      </c>
      <c r="EP105" s="407">
        <v>0</v>
      </c>
      <c r="EQ105" s="407">
        <v>0</v>
      </c>
      <c r="ER105" s="407">
        <v>0</v>
      </c>
      <c r="ES105" s="407">
        <v>0</v>
      </c>
      <c r="ET105" s="407">
        <v>0</v>
      </c>
      <c r="EU105" s="407">
        <v>0</v>
      </c>
      <c r="EV105" s="407">
        <v>207</v>
      </c>
      <c r="EW105" s="407">
        <v>0</v>
      </c>
      <c r="EX105" s="407">
        <v>0</v>
      </c>
      <c r="EY105" s="407">
        <v>0</v>
      </c>
      <c r="EZ105" s="407"/>
      <c r="FA105" s="407">
        <v>0</v>
      </c>
      <c r="FB105" s="407"/>
      <c r="FC105" s="407"/>
      <c r="FD105" s="407"/>
      <c r="FE105" s="407"/>
      <c r="FF105" s="407">
        <v>0</v>
      </c>
      <c r="FG105" s="407">
        <v>0</v>
      </c>
      <c r="FH105" s="407">
        <v>0</v>
      </c>
      <c r="FI105" s="407">
        <v>0</v>
      </c>
    </row>
    <row r="106" spans="1:165" s="846" customFormat="1">
      <c r="A106" s="407">
        <v>104</v>
      </c>
      <c r="B106" s="407" t="s">
        <v>2308</v>
      </c>
      <c r="C106" s="407" t="s">
        <v>2305</v>
      </c>
      <c r="D106" s="407" t="s">
        <v>1220</v>
      </c>
      <c r="E106" s="407" t="s">
        <v>1023</v>
      </c>
      <c r="F106" s="407" t="s">
        <v>1023</v>
      </c>
      <c r="G106" s="407" t="s">
        <v>96</v>
      </c>
      <c r="H106" s="407" t="s">
        <v>96</v>
      </c>
      <c r="I106" s="407" t="s">
        <v>96</v>
      </c>
      <c r="J106" s="407" t="s">
        <v>2306</v>
      </c>
      <c r="K106" s="815">
        <v>44531</v>
      </c>
      <c r="L106" s="407">
        <v>0</v>
      </c>
      <c r="M106" s="407">
        <v>0</v>
      </c>
      <c r="N106" s="407">
        <v>0.83799999999999997</v>
      </c>
      <c r="O106" s="407">
        <v>0.83799999999999997</v>
      </c>
      <c r="P106" s="407">
        <v>0.83799999999999997</v>
      </c>
      <c r="Q106" s="407">
        <v>0.83799999999999997</v>
      </c>
      <c r="R106" s="407"/>
      <c r="S106" s="407">
        <v>710.52</v>
      </c>
      <c r="T106" s="407">
        <v>127.85</v>
      </c>
      <c r="U106" s="407"/>
      <c r="V106" s="407">
        <v>702.55405999999994</v>
      </c>
      <c r="W106" s="407">
        <v>702.55405999999994</v>
      </c>
      <c r="X106" s="407">
        <v>577.13898000000006</v>
      </c>
      <c r="Y106" s="407">
        <v>0</v>
      </c>
      <c r="Z106" s="407">
        <v>51.180914229619013</v>
      </c>
      <c r="AA106" s="407">
        <v>0</v>
      </c>
      <c r="AB106" s="407">
        <v>0</v>
      </c>
      <c r="AC106" s="407">
        <v>0</v>
      </c>
      <c r="AD106" s="407">
        <v>91.628976943357941</v>
      </c>
      <c r="AE106" s="407">
        <v>417.46418758018359</v>
      </c>
      <c r="AF106" s="407">
        <v>107.13611801474272</v>
      </c>
      <c r="AG106" s="407">
        <v>0</v>
      </c>
      <c r="AH106" s="407">
        <v>0</v>
      </c>
      <c r="AI106" s="407">
        <v>0</v>
      </c>
      <c r="AJ106" s="407">
        <v>0</v>
      </c>
      <c r="AK106" s="407">
        <v>0</v>
      </c>
      <c r="AL106" s="407">
        <v>7.9151592351397948</v>
      </c>
      <c r="AM106" s="407"/>
      <c r="AN106" s="407">
        <v>1.9196596388306835</v>
      </c>
      <c r="AO106" s="407">
        <v>0</v>
      </c>
      <c r="AP106" s="407">
        <v>0</v>
      </c>
      <c r="AQ106" s="407">
        <v>0</v>
      </c>
      <c r="AR106" s="407">
        <v>0</v>
      </c>
      <c r="AS106" s="407">
        <v>0</v>
      </c>
      <c r="AT106" s="407">
        <v>0</v>
      </c>
      <c r="AU106" s="407">
        <v>0</v>
      </c>
      <c r="AV106" s="407">
        <v>0</v>
      </c>
      <c r="AW106" s="407">
        <v>0</v>
      </c>
      <c r="AX106" s="407">
        <v>0</v>
      </c>
      <c r="AY106" s="407">
        <v>0</v>
      </c>
      <c r="AZ106" s="407">
        <v>0</v>
      </c>
      <c r="BA106" s="407"/>
      <c r="BB106" s="407">
        <v>0</v>
      </c>
      <c r="BC106" s="407">
        <v>0</v>
      </c>
      <c r="BD106" s="407">
        <v>0</v>
      </c>
      <c r="BE106" s="407">
        <v>0</v>
      </c>
      <c r="BF106" s="407">
        <v>0</v>
      </c>
      <c r="BG106" s="407">
        <v>25.306086298388809</v>
      </c>
      <c r="BH106" s="407">
        <v>0</v>
      </c>
      <c r="BI106" s="407">
        <v>1.46</v>
      </c>
      <c r="BJ106" s="407">
        <v>7.08</v>
      </c>
      <c r="BK106" s="407">
        <v>561.92999999999995</v>
      </c>
      <c r="BL106" s="407">
        <v>15</v>
      </c>
      <c r="BM106" s="407"/>
      <c r="BN106" s="407"/>
      <c r="BO106" s="407"/>
      <c r="BP106" s="407"/>
      <c r="BQ106" s="407"/>
      <c r="BR106" s="407"/>
      <c r="BS106" s="407"/>
      <c r="BT106" s="407"/>
      <c r="BU106" s="407"/>
      <c r="BV106" s="407">
        <v>132.44220431313153</v>
      </c>
      <c r="BW106" s="407"/>
      <c r="BX106" s="407"/>
      <c r="BY106" s="407"/>
      <c r="BZ106" s="407"/>
      <c r="CA106" s="407"/>
      <c r="CB106" s="407"/>
      <c r="CC106" s="407"/>
      <c r="CD106" s="407"/>
      <c r="CE106" s="407"/>
      <c r="CF106" s="407"/>
      <c r="CG106" s="407"/>
      <c r="CH106" s="407"/>
      <c r="CI106" s="407">
        <v>578.51639999999998</v>
      </c>
      <c r="CJ106" s="407">
        <v>-124.06765999999993</v>
      </c>
      <c r="CK106" s="407"/>
      <c r="CL106" s="407"/>
      <c r="CM106" s="407"/>
      <c r="CN106" s="407"/>
      <c r="CO106" s="407">
        <v>-128.78383999999994</v>
      </c>
      <c r="CP106" s="407">
        <v>3.3687600000000084</v>
      </c>
      <c r="CQ106" s="407"/>
      <c r="CR106" s="407">
        <v>-2.0003246680957432</v>
      </c>
      <c r="CS106" s="407">
        <v>0</v>
      </c>
      <c r="CT106" s="407">
        <v>0</v>
      </c>
      <c r="CU106" s="407">
        <v>0</v>
      </c>
      <c r="CV106" s="407">
        <v>0</v>
      </c>
      <c r="CW106" s="407">
        <v>0</v>
      </c>
      <c r="CX106" s="407">
        <v>0</v>
      </c>
      <c r="CY106" s="407">
        <v>0</v>
      </c>
      <c r="CZ106" s="407">
        <v>-4.8069216679650708</v>
      </c>
      <c r="DA106" s="407">
        <v>0</v>
      </c>
      <c r="DB106" s="407">
        <v>0</v>
      </c>
      <c r="DC106" s="407">
        <v>3.3711678159524041</v>
      </c>
      <c r="DD106" s="407">
        <v>0</v>
      </c>
      <c r="DE106" s="407">
        <v>0</v>
      </c>
      <c r="DF106" s="407">
        <v>0</v>
      </c>
      <c r="DG106" s="407">
        <v>0.79628667957804922</v>
      </c>
      <c r="DH106" s="407">
        <v>0</v>
      </c>
      <c r="DI106" s="407">
        <v>-1.1655661593810365</v>
      </c>
      <c r="DJ106" s="407"/>
      <c r="DK106" s="407">
        <v>0</v>
      </c>
      <c r="DL106" s="407">
        <v>0</v>
      </c>
      <c r="DM106" s="407">
        <v>0</v>
      </c>
      <c r="DN106" s="407">
        <v>0</v>
      </c>
      <c r="DO106" s="407">
        <v>-0.15103732534259784</v>
      </c>
      <c r="DP106" s="407">
        <v>-4.4254010937492039E-2</v>
      </c>
      <c r="DQ106" s="407">
        <v>0</v>
      </c>
      <c r="DR106" s="407">
        <v>0</v>
      </c>
      <c r="DS106" s="407"/>
      <c r="DT106" s="407"/>
      <c r="DU106" s="407"/>
      <c r="DV106" s="407">
        <v>417.46418758018359</v>
      </c>
      <c r="DW106" s="407">
        <v>0</v>
      </c>
      <c r="DX106" s="407">
        <v>0</v>
      </c>
      <c r="DY106" s="407">
        <v>-128.78383999999994</v>
      </c>
      <c r="DZ106" s="407">
        <v>3.3687600000000089</v>
      </c>
      <c r="EA106" s="407">
        <v>0</v>
      </c>
      <c r="EB106" s="407">
        <v>0</v>
      </c>
      <c r="EC106" s="407">
        <v>-123.40900364397442</v>
      </c>
      <c r="ED106" s="407">
        <v>0</v>
      </c>
      <c r="EE106" s="407">
        <v>0</v>
      </c>
      <c r="EF106" s="407">
        <v>0</v>
      </c>
      <c r="EG106" s="407">
        <v>0</v>
      </c>
      <c r="EH106" s="407">
        <v>0</v>
      </c>
      <c r="EI106" s="407">
        <v>0</v>
      </c>
      <c r="EJ106" s="407">
        <v>0</v>
      </c>
      <c r="EK106" s="407">
        <v>0</v>
      </c>
      <c r="EL106" s="407">
        <v>0</v>
      </c>
      <c r="EM106" s="407">
        <v>0</v>
      </c>
      <c r="EN106" s="407">
        <v>0</v>
      </c>
      <c r="EO106" s="407">
        <v>0</v>
      </c>
      <c r="EP106" s="407">
        <v>0</v>
      </c>
      <c r="EQ106" s="407">
        <v>0</v>
      </c>
      <c r="ER106" s="407">
        <v>0</v>
      </c>
      <c r="ES106" s="407">
        <v>0</v>
      </c>
      <c r="ET106" s="407">
        <v>0</v>
      </c>
      <c r="EU106" s="407">
        <v>0</v>
      </c>
      <c r="EV106" s="407">
        <v>207</v>
      </c>
      <c r="EW106" s="407">
        <v>0</v>
      </c>
      <c r="EX106" s="407">
        <v>0</v>
      </c>
      <c r="EY106" s="407">
        <v>0</v>
      </c>
      <c r="EZ106" s="407"/>
      <c r="FA106" s="407">
        <v>0</v>
      </c>
      <c r="FB106" s="407"/>
      <c r="FC106" s="407"/>
      <c r="FD106" s="407"/>
      <c r="FE106" s="407"/>
      <c r="FF106" s="407">
        <v>0</v>
      </c>
      <c r="FG106" s="407">
        <v>0</v>
      </c>
      <c r="FH106" s="407">
        <v>0</v>
      </c>
      <c r="FI106" s="407">
        <v>0</v>
      </c>
    </row>
    <row r="107" spans="1:165" s="846" customFormat="1">
      <c r="A107" s="407">
        <v>105</v>
      </c>
      <c r="B107" s="407" t="s">
        <v>1092</v>
      </c>
      <c r="C107" s="407" t="s">
        <v>2305</v>
      </c>
      <c r="D107" s="407" t="s">
        <v>1220</v>
      </c>
      <c r="E107" s="407" t="s">
        <v>1023</v>
      </c>
      <c r="F107" s="407" t="s">
        <v>2309</v>
      </c>
      <c r="G107" s="407" t="s">
        <v>96</v>
      </c>
      <c r="H107" s="407" t="s">
        <v>96</v>
      </c>
      <c r="I107" s="407" t="s">
        <v>96</v>
      </c>
      <c r="J107" s="407" t="s">
        <v>2306</v>
      </c>
      <c r="K107" s="815">
        <v>44531</v>
      </c>
      <c r="L107" s="407">
        <v>0</v>
      </c>
      <c r="M107" s="407">
        <v>0</v>
      </c>
      <c r="N107" s="407">
        <v>4.53</v>
      </c>
      <c r="O107" s="407">
        <v>4.53</v>
      </c>
      <c r="P107" s="407">
        <v>4.53</v>
      </c>
      <c r="Q107" s="407">
        <v>4.53</v>
      </c>
      <c r="R107" s="407"/>
      <c r="S107" s="407">
        <v>640</v>
      </c>
      <c r="T107" s="407">
        <v>127.85</v>
      </c>
      <c r="U107" s="407"/>
      <c r="V107" s="407">
        <v>3478.3605000000002</v>
      </c>
      <c r="W107" s="407">
        <v>3478.3605000000002</v>
      </c>
      <c r="X107" s="407">
        <v>2807.5128000000004</v>
      </c>
      <c r="Y107" s="407">
        <v>0</v>
      </c>
      <c r="Z107" s="407">
        <v>0</v>
      </c>
      <c r="AA107" s="407">
        <v>0</v>
      </c>
      <c r="AB107" s="407">
        <v>0</v>
      </c>
      <c r="AC107" s="407">
        <v>0</v>
      </c>
      <c r="AD107" s="407">
        <v>495.32131927614739</v>
      </c>
      <c r="AE107" s="407">
        <v>2256.6978159167443</v>
      </c>
      <c r="AF107" s="407">
        <v>579.14870478136584</v>
      </c>
      <c r="AG107" s="407">
        <v>0</v>
      </c>
      <c r="AH107" s="407">
        <v>0</v>
      </c>
      <c r="AI107" s="407">
        <v>0</v>
      </c>
      <c r="AJ107" s="407">
        <v>0</v>
      </c>
      <c r="AK107" s="407">
        <v>0</v>
      </c>
      <c r="AL107" s="407">
        <v>0</v>
      </c>
      <c r="AM107" s="407"/>
      <c r="AN107" s="407">
        <v>10.377157713488064</v>
      </c>
      <c r="AO107" s="407">
        <v>0</v>
      </c>
      <c r="AP107" s="407">
        <v>0</v>
      </c>
      <c r="AQ107" s="407">
        <v>0</v>
      </c>
      <c r="AR107" s="407">
        <v>0</v>
      </c>
      <c r="AS107" s="407">
        <v>0</v>
      </c>
      <c r="AT107" s="407">
        <v>0</v>
      </c>
      <c r="AU107" s="407">
        <v>0</v>
      </c>
      <c r="AV107" s="407">
        <v>0</v>
      </c>
      <c r="AW107" s="407">
        <v>0</v>
      </c>
      <c r="AX107" s="407">
        <v>0</v>
      </c>
      <c r="AY107" s="407">
        <v>0</v>
      </c>
      <c r="AZ107" s="407">
        <v>0</v>
      </c>
      <c r="BA107" s="407"/>
      <c r="BB107" s="407">
        <v>0</v>
      </c>
      <c r="BC107" s="407">
        <v>0</v>
      </c>
      <c r="BD107" s="407">
        <v>0</v>
      </c>
      <c r="BE107" s="407">
        <v>0</v>
      </c>
      <c r="BF107" s="407">
        <v>0</v>
      </c>
      <c r="BG107" s="407">
        <v>136.79781734093234</v>
      </c>
      <c r="BH107" s="407">
        <v>0</v>
      </c>
      <c r="BI107" s="407">
        <v>18.09</v>
      </c>
      <c r="BJ107" s="407">
        <v>83</v>
      </c>
      <c r="BK107" s="407">
        <v>588.52</v>
      </c>
      <c r="BL107" s="407">
        <v>2</v>
      </c>
      <c r="BM107" s="407"/>
      <c r="BN107" s="407"/>
      <c r="BO107" s="407"/>
      <c r="BP107" s="407"/>
      <c r="BQ107" s="407"/>
      <c r="BR107" s="407"/>
      <c r="BS107" s="407"/>
      <c r="BT107" s="407">
        <v>1824.9105</v>
      </c>
      <c r="BU107" s="407"/>
      <c r="BV107" s="407">
        <v>715.94652212229812</v>
      </c>
      <c r="BW107" s="407"/>
      <c r="BX107" s="407"/>
      <c r="BY107" s="407"/>
      <c r="BZ107" s="407"/>
      <c r="CA107" s="407"/>
      <c r="CB107" s="407"/>
      <c r="CC107" s="407"/>
      <c r="CD107" s="407"/>
      <c r="CE107" s="407"/>
      <c r="CF107" s="407"/>
      <c r="CG107" s="407"/>
      <c r="CH107" s="407"/>
      <c r="CI107" s="407">
        <v>982.60230000000001</v>
      </c>
      <c r="CJ107" s="407">
        <v>-234.86519999999996</v>
      </c>
      <c r="CK107" s="407"/>
      <c r="CL107" s="407"/>
      <c r="CM107" s="407"/>
      <c r="CN107" s="407"/>
      <c r="CO107" s="407">
        <v>-689.05830000000014</v>
      </c>
      <c r="CP107" s="407">
        <v>18.210600000000046</v>
      </c>
      <c r="CQ107" s="407"/>
      <c r="CR107" s="407">
        <v>-3.6960106929300309</v>
      </c>
      <c r="CS107" s="407">
        <v>0</v>
      </c>
      <c r="CT107" s="407">
        <v>0</v>
      </c>
      <c r="CU107" s="407">
        <v>0</v>
      </c>
      <c r="CV107" s="407">
        <v>0</v>
      </c>
      <c r="CW107" s="407">
        <v>0</v>
      </c>
      <c r="CX107" s="407">
        <v>0</v>
      </c>
      <c r="CY107" s="407">
        <v>0</v>
      </c>
      <c r="CZ107" s="407">
        <v>-25.984910687209776</v>
      </c>
      <c r="DA107" s="407">
        <v>0</v>
      </c>
      <c r="DB107" s="407">
        <v>0</v>
      </c>
      <c r="DC107" s="407">
        <v>18.223615997928846</v>
      </c>
      <c r="DD107" s="407">
        <v>0</v>
      </c>
      <c r="DE107" s="407">
        <v>0</v>
      </c>
      <c r="DF107" s="407">
        <v>0</v>
      </c>
      <c r="DG107" s="407">
        <v>4.3045091390078483</v>
      </c>
      <c r="DH107" s="407">
        <v>0</v>
      </c>
      <c r="DI107" s="407">
        <v>0</v>
      </c>
      <c r="DJ107" s="407"/>
      <c r="DK107" s="407">
        <v>0</v>
      </c>
      <c r="DL107" s="407">
        <v>0</v>
      </c>
      <c r="DM107" s="407">
        <v>0</v>
      </c>
      <c r="DN107" s="407">
        <v>0</v>
      </c>
      <c r="DO107" s="407">
        <v>0</v>
      </c>
      <c r="DP107" s="407">
        <v>-0.23922514265732708</v>
      </c>
      <c r="DQ107" s="407">
        <v>0</v>
      </c>
      <c r="DR107" s="407">
        <v>0</v>
      </c>
      <c r="DS107" s="407"/>
      <c r="DT107" s="407"/>
      <c r="DU107" s="407"/>
      <c r="DV107" s="407">
        <v>2256.6978159167443</v>
      </c>
      <c r="DW107" s="407">
        <v>0</v>
      </c>
      <c r="DX107" s="407">
        <v>0</v>
      </c>
      <c r="DY107" s="407">
        <v>-689.05830000000014</v>
      </c>
      <c r="DZ107" s="407">
        <v>18.210600000000113</v>
      </c>
      <c r="EA107" s="407">
        <v>0</v>
      </c>
      <c r="EB107" s="407">
        <v>0</v>
      </c>
      <c r="EC107" s="407">
        <v>-667.11549702530306</v>
      </c>
      <c r="ED107" s="407">
        <v>0</v>
      </c>
      <c r="EE107" s="407">
        <v>0</v>
      </c>
      <c r="EF107" s="407">
        <v>0</v>
      </c>
      <c r="EG107" s="407">
        <v>0</v>
      </c>
      <c r="EH107" s="407">
        <v>0</v>
      </c>
      <c r="EI107" s="407">
        <v>0</v>
      </c>
      <c r="EJ107" s="407">
        <v>0</v>
      </c>
      <c r="EK107" s="407">
        <v>0</v>
      </c>
      <c r="EL107" s="407">
        <v>0</v>
      </c>
      <c r="EM107" s="407">
        <v>0</v>
      </c>
      <c r="EN107" s="407">
        <v>0</v>
      </c>
      <c r="EO107" s="407">
        <v>0</v>
      </c>
      <c r="EP107" s="407">
        <v>0</v>
      </c>
      <c r="EQ107" s="407">
        <v>0</v>
      </c>
      <c r="ER107" s="407">
        <v>0</v>
      </c>
      <c r="ES107" s="407">
        <v>0</v>
      </c>
      <c r="ET107" s="407">
        <v>0</v>
      </c>
      <c r="EU107" s="407">
        <v>0</v>
      </c>
      <c r="EV107" s="407">
        <v>207</v>
      </c>
      <c r="EW107" s="407">
        <v>0</v>
      </c>
      <c r="EX107" s="407">
        <v>0</v>
      </c>
      <c r="EY107" s="407">
        <v>0</v>
      </c>
      <c r="EZ107" s="407"/>
      <c r="FA107" s="407">
        <v>0</v>
      </c>
      <c r="FB107" s="407"/>
      <c r="FC107" s="407"/>
      <c r="FD107" s="407"/>
      <c r="FE107" s="407"/>
      <c r="FF107" s="407">
        <v>0</v>
      </c>
      <c r="FG107" s="407">
        <v>0</v>
      </c>
      <c r="FH107" s="407">
        <v>0</v>
      </c>
      <c r="FI107" s="407">
        <v>0</v>
      </c>
    </row>
    <row r="108" spans="1:165" s="846" customFormat="1">
      <c r="A108" s="407">
        <v>106</v>
      </c>
      <c r="B108" s="407" t="s">
        <v>1092</v>
      </c>
      <c r="C108" s="407" t="s">
        <v>2305</v>
      </c>
      <c r="D108" s="407" t="s">
        <v>1220</v>
      </c>
      <c r="E108" s="407" t="s">
        <v>1023</v>
      </c>
      <c r="F108" s="407" t="s">
        <v>2310</v>
      </c>
      <c r="G108" s="407" t="s">
        <v>96</v>
      </c>
      <c r="H108" s="407" t="s">
        <v>96</v>
      </c>
      <c r="I108" s="407" t="s">
        <v>96</v>
      </c>
      <c r="J108" s="407" t="s">
        <v>2306</v>
      </c>
      <c r="K108" s="815">
        <v>44531</v>
      </c>
      <c r="L108" s="407">
        <v>0</v>
      </c>
      <c r="M108" s="407">
        <v>0</v>
      </c>
      <c r="N108" s="407">
        <v>10.077999999999999</v>
      </c>
      <c r="O108" s="407">
        <v>10.077999999999999</v>
      </c>
      <c r="P108" s="407">
        <v>10.077999999999999</v>
      </c>
      <c r="Q108" s="407">
        <v>10.077999999999999</v>
      </c>
      <c r="R108" s="407"/>
      <c r="S108" s="407">
        <v>640</v>
      </c>
      <c r="T108" s="407">
        <v>127.85</v>
      </c>
      <c r="U108" s="407"/>
      <c r="V108" s="407">
        <v>7738.3922999999995</v>
      </c>
      <c r="W108" s="407">
        <v>7738.3922999999995</v>
      </c>
      <c r="X108" s="407">
        <v>6245.9412799999991</v>
      </c>
      <c r="Y108" s="407">
        <v>0</v>
      </c>
      <c r="Z108" s="407">
        <v>0</v>
      </c>
      <c r="AA108" s="407">
        <v>0</v>
      </c>
      <c r="AB108" s="407">
        <v>0</v>
      </c>
      <c r="AC108" s="407">
        <v>0</v>
      </c>
      <c r="AD108" s="407">
        <v>1101.9532573211948</v>
      </c>
      <c r="AE108" s="407">
        <v>5020.5299313044034</v>
      </c>
      <c r="AF108" s="407">
        <v>1288.44605889329</v>
      </c>
      <c r="AG108" s="407">
        <v>0</v>
      </c>
      <c r="AH108" s="407">
        <v>0</v>
      </c>
      <c r="AI108" s="407">
        <v>0</v>
      </c>
      <c r="AJ108" s="407">
        <v>0</v>
      </c>
      <c r="AK108" s="407">
        <v>0</v>
      </c>
      <c r="AL108" s="407">
        <v>0</v>
      </c>
      <c r="AM108" s="407"/>
      <c r="AN108" s="407">
        <v>23.086312458395735</v>
      </c>
      <c r="AO108" s="407">
        <v>0</v>
      </c>
      <c r="AP108" s="407">
        <v>0</v>
      </c>
      <c r="AQ108" s="407">
        <v>0</v>
      </c>
      <c r="AR108" s="407">
        <v>0</v>
      </c>
      <c r="AS108" s="407">
        <v>0</v>
      </c>
      <c r="AT108" s="407">
        <v>0</v>
      </c>
      <c r="AU108" s="407">
        <v>0</v>
      </c>
      <c r="AV108" s="407">
        <v>0</v>
      </c>
      <c r="AW108" s="407">
        <v>0</v>
      </c>
      <c r="AX108" s="407">
        <v>0</v>
      </c>
      <c r="AY108" s="407">
        <v>0</v>
      </c>
      <c r="AZ108" s="407">
        <v>0</v>
      </c>
      <c r="BA108" s="407"/>
      <c r="BB108" s="407">
        <v>0</v>
      </c>
      <c r="BC108" s="407">
        <v>0</v>
      </c>
      <c r="BD108" s="407">
        <v>0</v>
      </c>
      <c r="BE108" s="407">
        <v>0</v>
      </c>
      <c r="BF108" s="407">
        <v>0</v>
      </c>
      <c r="BG108" s="407">
        <v>304.33739584148259</v>
      </c>
      <c r="BH108" s="407">
        <v>0</v>
      </c>
      <c r="BI108" s="407">
        <v>39.450000000000003</v>
      </c>
      <c r="BJ108" s="407">
        <v>185.54</v>
      </c>
      <c r="BK108" s="407">
        <v>1372.27</v>
      </c>
      <c r="BL108" s="407">
        <v>14</v>
      </c>
      <c r="BM108" s="407"/>
      <c r="BN108" s="407"/>
      <c r="BO108" s="407"/>
      <c r="BP108" s="407"/>
      <c r="BQ108" s="407"/>
      <c r="BR108" s="407"/>
      <c r="BS108" s="407"/>
      <c r="BT108" s="407">
        <v>2498.3361999999997</v>
      </c>
      <c r="BU108" s="407"/>
      <c r="BV108" s="407">
        <v>1592.7834547347725</v>
      </c>
      <c r="BW108" s="407"/>
      <c r="BX108" s="407"/>
      <c r="BY108" s="407"/>
      <c r="BZ108" s="407"/>
      <c r="CA108" s="407"/>
      <c r="CB108" s="407"/>
      <c r="CC108" s="407"/>
      <c r="CD108" s="407"/>
      <c r="CE108" s="407"/>
      <c r="CF108" s="407"/>
      <c r="CG108" s="407"/>
      <c r="CH108" s="407"/>
      <c r="CI108" s="407">
        <v>3748.3487999999998</v>
      </c>
      <c r="CJ108" s="407">
        <v>-894.71658000000025</v>
      </c>
      <c r="CK108" s="407"/>
      <c r="CL108" s="407"/>
      <c r="CM108" s="407"/>
      <c r="CN108" s="407"/>
      <c r="CO108" s="407">
        <v>-1532.9645800000001</v>
      </c>
      <c r="CP108" s="407">
        <v>40.513560000000098</v>
      </c>
      <c r="CQ108" s="407"/>
      <c r="CR108" s="407">
        <v>-8.2226039212696378</v>
      </c>
      <c r="CS108" s="407">
        <v>0</v>
      </c>
      <c r="CT108" s="407">
        <v>0</v>
      </c>
      <c r="CU108" s="407">
        <v>0</v>
      </c>
      <c r="CV108" s="407">
        <v>0</v>
      </c>
      <c r="CW108" s="407">
        <v>0</v>
      </c>
      <c r="CX108" s="407">
        <v>0</v>
      </c>
      <c r="CY108" s="407">
        <v>0</v>
      </c>
      <c r="CZ108" s="407">
        <v>-57.809256049823261</v>
      </c>
      <c r="DA108" s="407">
        <v>0</v>
      </c>
      <c r="DB108" s="407">
        <v>0</v>
      </c>
      <c r="DC108" s="407">
        <v>40.542517003780858</v>
      </c>
      <c r="DD108" s="407">
        <v>0</v>
      </c>
      <c r="DE108" s="407">
        <v>0</v>
      </c>
      <c r="DF108" s="407">
        <v>0</v>
      </c>
      <c r="DG108" s="407">
        <v>9.5763450558324621</v>
      </c>
      <c r="DH108" s="407">
        <v>0</v>
      </c>
      <c r="DI108" s="407">
        <v>0</v>
      </c>
      <c r="DJ108" s="407"/>
      <c r="DK108" s="407">
        <v>0</v>
      </c>
      <c r="DL108" s="407">
        <v>0</v>
      </c>
      <c r="DM108" s="407">
        <v>0</v>
      </c>
      <c r="DN108" s="407">
        <v>0</v>
      </c>
      <c r="DO108" s="407">
        <v>0</v>
      </c>
      <c r="DP108" s="407">
        <v>-0.53220993105971814</v>
      </c>
      <c r="DQ108" s="407">
        <v>0</v>
      </c>
      <c r="DR108" s="407">
        <v>0</v>
      </c>
      <c r="DS108" s="407"/>
      <c r="DT108" s="407"/>
      <c r="DU108" s="407"/>
      <c r="DV108" s="407">
        <v>5020.5299313044034</v>
      </c>
      <c r="DW108" s="407">
        <v>0</v>
      </c>
      <c r="DX108" s="407">
        <v>0</v>
      </c>
      <c r="DY108" s="407">
        <v>-1532.9645800000008</v>
      </c>
      <c r="DZ108" s="407">
        <v>40.513560000000098</v>
      </c>
      <c r="EA108" s="407">
        <v>0</v>
      </c>
      <c r="EB108" s="407">
        <v>0</v>
      </c>
      <c r="EC108" s="407">
        <v>-1484.1478982386325</v>
      </c>
      <c r="ED108" s="407">
        <v>0</v>
      </c>
      <c r="EE108" s="407">
        <v>0</v>
      </c>
      <c r="EF108" s="407">
        <v>0</v>
      </c>
      <c r="EG108" s="407">
        <v>0</v>
      </c>
      <c r="EH108" s="407">
        <v>0</v>
      </c>
      <c r="EI108" s="407">
        <v>0</v>
      </c>
      <c r="EJ108" s="407">
        <v>0</v>
      </c>
      <c r="EK108" s="407">
        <v>0</v>
      </c>
      <c r="EL108" s="407">
        <v>0</v>
      </c>
      <c r="EM108" s="407">
        <v>0</v>
      </c>
      <c r="EN108" s="407">
        <v>0</v>
      </c>
      <c r="EO108" s="407">
        <v>0</v>
      </c>
      <c r="EP108" s="407">
        <v>0</v>
      </c>
      <c r="EQ108" s="407">
        <v>0</v>
      </c>
      <c r="ER108" s="407">
        <v>0</v>
      </c>
      <c r="ES108" s="407">
        <v>0</v>
      </c>
      <c r="ET108" s="407">
        <v>0</v>
      </c>
      <c r="EU108" s="407">
        <v>0</v>
      </c>
      <c r="EV108" s="407">
        <v>207</v>
      </c>
      <c r="EW108" s="407">
        <v>0</v>
      </c>
      <c r="EX108" s="407">
        <v>0</v>
      </c>
      <c r="EY108" s="407">
        <v>0</v>
      </c>
      <c r="EZ108" s="407"/>
      <c r="FA108" s="407">
        <v>0</v>
      </c>
      <c r="FB108" s="407"/>
      <c r="FC108" s="407"/>
      <c r="FD108" s="407"/>
      <c r="FE108" s="407"/>
      <c r="FF108" s="407">
        <v>0</v>
      </c>
      <c r="FG108" s="407">
        <v>0</v>
      </c>
      <c r="FH108" s="407">
        <v>0</v>
      </c>
      <c r="FI108" s="407">
        <v>0</v>
      </c>
    </row>
    <row r="109" spans="1:165" s="846" customFormat="1">
      <c r="A109" s="407">
        <v>107</v>
      </c>
      <c r="B109" s="407" t="s">
        <v>1092</v>
      </c>
      <c r="C109" s="407" t="s">
        <v>2305</v>
      </c>
      <c r="D109" s="407" t="s">
        <v>1220</v>
      </c>
      <c r="E109" s="407" t="s">
        <v>1023</v>
      </c>
      <c r="F109" s="407" t="s">
        <v>2311</v>
      </c>
      <c r="G109" s="407" t="s">
        <v>96</v>
      </c>
      <c r="H109" s="407" t="s">
        <v>96</v>
      </c>
      <c r="I109" s="407" t="s">
        <v>96</v>
      </c>
      <c r="J109" s="407" t="s">
        <v>2306</v>
      </c>
      <c r="K109" s="815">
        <v>44531</v>
      </c>
      <c r="L109" s="407">
        <v>0</v>
      </c>
      <c r="M109" s="407">
        <v>0</v>
      </c>
      <c r="N109" s="407">
        <v>9.7309999999999999</v>
      </c>
      <c r="O109" s="407">
        <v>9.7309999999999999</v>
      </c>
      <c r="P109" s="407">
        <v>9.7309999999999999</v>
      </c>
      <c r="Q109" s="407">
        <v>9.7309999999999999</v>
      </c>
      <c r="R109" s="407"/>
      <c r="S109" s="407">
        <v>640</v>
      </c>
      <c r="T109" s="407">
        <v>127.85</v>
      </c>
      <c r="U109" s="407"/>
      <c r="V109" s="407">
        <v>7471.9483500000006</v>
      </c>
      <c r="W109" s="407">
        <v>7471.9483500000006</v>
      </c>
      <c r="X109" s="407">
        <v>6030.8845599999995</v>
      </c>
      <c r="Y109" s="407">
        <v>0</v>
      </c>
      <c r="Z109" s="407">
        <v>0</v>
      </c>
      <c r="AA109" s="407">
        <v>0</v>
      </c>
      <c r="AB109" s="407">
        <v>0</v>
      </c>
      <c r="AC109" s="407">
        <v>0</v>
      </c>
      <c r="AD109" s="407">
        <v>1064.0114255797328</v>
      </c>
      <c r="AE109" s="407">
        <v>4847.665882270604</v>
      </c>
      <c r="AF109" s="407">
        <v>1244.0830124122451</v>
      </c>
      <c r="AG109" s="407">
        <v>0</v>
      </c>
      <c r="AH109" s="407">
        <v>0</v>
      </c>
      <c r="AI109" s="407">
        <v>0</v>
      </c>
      <c r="AJ109" s="407">
        <v>0</v>
      </c>
      <c r="AK109" s="407">
        <v>0</v>
      </c>
      <c r="AL109" s="407">
        <v>0</v>
      </c>
      <c r="AM109" s="407"/>
      <c r="AN109" s="407">
        <v>22.291417596015968</v>
      </c>
      <c r="AO109" s="407">
        <v>0</v>
      </c>
      <c r="AP109" s="407">
        <v>0</v>
      </c>
      <c r="AQ109" s="407">
        <v>0</v>
      </c>
      <c r="AR109" s="407">
        <v>0</v>
      </c>
      <c r="AS109" s="407">
        <v>0</v>
      </c>
      <c r="AT109" s="407">
        <v>0</v>
      </c>
      <c r="AU109" s="407">
        <v>0</v>
      </c>
      <c r="AV109" s="407">
        <v>0</v>
      </c>
      <c r="AW109" s="407">
        <v>0</v>
      </c>
      <c r="AX109" s="407">
        <v>0</v>
      </c>
      <c r="AY109" s="407">
        <v>0</v>
      </c>
      <c r="AZ109" s="407">
        <v>0</v>
      </c>
      <c r="BA109" s="407"/>
      <c r="BB109" s="407">
        <v>0</v>
      </c>
      <c r="BC109" s="407">
        <v>0</v>
      </c>
      <c r="BD109" s="407">
        <v>0</v>
      </c>
      <c r="BE109" s="407">
        <v>0</v>
      </c>
      <c r="BF109" s="407">
        <v>0</v>
      </c>
      <c r="BG109" s="407">
        <v>293.85862263677984</v>
      </c>
      <c r="BH109" s="407">
        <v>0</v>
      </c>
      <c r="BI109" s="407">
        <v>39.520000000000003</v>
      </c>
      <c r="BJ109" s="407">
        <v>182.84</v>
      </c>
      <c r="BK109" s="407">
        <v>1696.04</v>
      </c>
      <c r="BL109" s="407">
        <v>105</v>
      </c>
      <c r="BM109" s="407"/>
      <c r="BN109" s="407"/>
      <c r="BO109" s="407"/>
      <c r="BP109" s="407"/>
      <c r="BQ109" s="407"/>
      <c r="BR109" s="407"/>
      <c r="BS109" s="407"/>
      <c r="BT109" s="407">
        <v>603.12737999999968</v>
      </c>
      <c r="BU109" s="407"/>
      <c r="BV109" s="407">
        <v>1537.9416350490251</v>
      </c>
      <c r="BW109" s="407"/>
      <c r="BX109" s="407"/>
      <c r="BY109" s="407"/>
      <c r="BZ109" s="407"/>
      <c r="CA109" s="407"/>
      <c r="CB109" s="407"/>
      <c r="CC109" s="407"/>
      <c r="CD109" s="407"/>
      <c r="CE109" s="407"/>
      <c r="CF109" s="407"/>
      <c r="CG109" s="407"/>
      <c r="CH109" s="407"/>
      <c r="CI109" s="407">
        <v>5427.1994000000004</v>
      </c>
      <c r="CJ109" s="407">
        <v>-1297.5354600000001</v>
      </c>
      <c r="CK109" s="407"/>
      <c r="CL109" s="407"/>
      <c r="CM109" s="407"/>
      <c r="CN109" s="407"/>
      <c r="CO109" s="407">
        <v>-1480.1824100000001</v>
      </c>
      <c r="CP109" s="407">
        <v>39.118620000000099</v>
      </c>
      <c r="CQ109" s="407"/>
      <c r="CR109" s="407">
        <v>-7.939487870398807</v>
      </c>
      <c r="CS109" s="407">
        <v>0</v>
      </c>
      <c r="CT109" s="407">
        <v>0</v>
      </c>
      <c r="CU109" s="407">
        <v>0</v>
      </c>
      <c r="CV109" s="407">
        <v>0</v>
      </c>
      <c r="CW109" s="407">
        <v>0</v>
      </c>
      <c r="CX109" s="407">
        <v>0</v>
      </c>
      <c r="CY109" s="407">
        <v>0</v>
      </c>
      <c r="CZ109" s="407">
        <v>-55.818800418816295</v>
      </c>
      <c r="DA109" s="407">
        <v>0</v>
      </c>
      <c r="DB109" s="407">
        <v>0</v>
      </c>
      <c r="DC109" s="407">
        <v>39.146579972592917</v>
      </c>
      <c r="DD109" s="407">
        <v>0</v>
      </c>
      <c r="DE109" s="407">
        <v>0</v>
      </c>
      <c r="DF109" s="407">
        <v>0</v>
      </c>
      <c r="DG109" s="407">
        <v>9.2466177553388889</v>
      </c>
      <c r="DH109" s="407">
        <v>0</v>
      </c>
      <c r="DI109" s="407">
        <v>0</v>
      </c>
      <c r="DJ109" s="407"/>
      <c r="DK109" s="407">
        <v>0</v>
      </c>
      <c r="DL109" s="407">
        <v>0</v>
      </c>
      <c r="DM109" s="407">
        <v>0</v>
      </c>
      <c r="DN109" s="407">
        <v>0</v>
      </c>
      <c r="DO109" s="407">
        <v>0</v>
      </c>
      <c r="DP109" s="407">
        <v>-0.51388517951400559</v>
      </c>
      <c r="DQ109" s="407">
        <v>0</v>
      </c>
      <c r="DR109" s="407">
        <v>0</v>
      </c>
      <c r="DS109" s="407"/>
      <c r="DT109" s="407"/>
      <c r="DU109" s="407"/>
      <c r="DV109" s="407">
        <v>4847.665882270604</v>
      </c>
      <c r="DW109" s="407">
        <v>0</v>
      </c>
      <c r="DX109" s="407">
        <v>0</v>
      </c>
      <c r="DY109" s="407">
        <v>-1480.1824100000003</v>
      </c>
      <c r="DZ109" s="407">
        <v>39.118619999999964</v>
      </c>
      <c r="EA109" s="407">
        <v>0</v>
      </c>
      <c r="EB109" s="407">
        <v>0</v>
      </c>
      <c r="EC109" s="407">
        <v>-1433.0465566342655</v>
      </c>
      <c r="ED109" s="407">
        <v>0</v>
      </c>
      <c r="EE109" s="407">
        <v>0</v>
      </c>
      <c r="EF109" s="407">
        <v>0</v>
      </c>
      <c r="EG109" s="407">
        <v>0</v>
      </c>
      <c r="EH109" s="407">
        <v>0</v>
      </c>
      <c r="EI109" s="407">
        <v>0</v>
      </c>
      <c r="EJ109" s="407">
        <v>0</v>
      </c>
      <c r="EK109" s="407">
        <v>0</v>
      </c>
      <c r="EL109" s="407">
        <v>0</v>
      </c>
      <c r="EM109" s="407">
        <v>0</v>
      </c>
      <c r="EN109" s="407">
        <v>0</v>
      </c>
      <c r="EO109" s="407">
        <v>0</v>
      </c>
      <c r="EP109" s="407">
        <v>0</v>
      </c>
      <c r="EQ109" s="407">
        <v>0</v>
      </c>
      <c r="ER109" s="407">
        <v>0</v>
      </c>
      <c r="ES109" s="407">
        <v>0</v>
      </c>
      <c r="ET109" s="407">
        <v>0</v>
      </c>
      <c r="EU109" s="407">
        <v>0</v>
      </c>
      <c r="EV109" s="407">
        <v>207</v>
      </c>
      <c r="EW109" s="407">
        <v>0</v>
      </c>
      <c r="EX109" s="407">
        <v>0</v>
      </c>
      <c r="EY109" s="407">
        <v>0</v>
      </c>
      <c r="EZ109" s="407"/>
      <c r="FA109" s="407">
        <v>0</v>
      </c>
      <c r="FB109" s="407"/>
      <c r="FC109" s="407"/>
      <c r="FD109" s="407"/>
      <c r="FE109" s="407"/>
      <c r="FF109" s="407">
        <v>0</v>
      </c>
      <c r="FG109" s="407">
        <v>0</v>
      </c>
      <c r="FH109" s="407">
        <v>0</v>
      </c>
      <c r="FI109" s="407">
        <v>0</v>
      </c>
    </row>
    <row r="110" spans="1:165" s="846" customFormat="1">
      <c r="A110" s="407">
        <v>108</v>
      </c>
      <c r="B110" s="407" t="s">
        <v>1092</v>
      </c>
      <c r="C110" s="407" t="s">
        <v>2305</v>
      </c>
      <c r="D110" s="407" t="s">
        <v>1220</v>
      </c>
      <c r="E110" s="407" t="s">
        <v>1023</v>
      </c>
      <c r="F110" s="407" t="s">
        <v>2312</v>
      </c>
      <c r="G110" s="407" t="s">
        <v>96</v>
      </c>
      <c r="H110" s="407" t="s">
        <v>96</v>
      </c>
      <c r="I110" s="407" t="s">
        <v>96</v>
      </c>
      <c r="J110" s="407" t="s">
        <v>2306</v>
      </c>
      <c r="K110" s="815">
        <v>44531</v>
      </c>
      <c r="L110" s="407">
        <v>0</v>
      </c>
      <c r="M110" s="407">
        <v>0</v>
      </c>
      <c r="N110" s="407">
        <v>2.1669999999999998</v>
      </c>
      <c r="O110" s="407">
        <v>2.1669999999999998</v>
      </c>
      <c r="P110" s="407">
        <v>2.1669999999999998</v>
      </c>
      <c r="Q110" s="407">
        <v>2.1669999999999998</v>
      </c>
      <c r="R110" s="407"/>
      <c r="S110" s="407">
        <v>640</v>
      </c>
      <c r="T110" s="407">
        <v>127.85</v>
      </c>
      <c r="U110" s="407"/>
      <c r="V110" s="407">
        <v>1663.9309499999999</v>
      </c>
      <c r="W110" s="407">
        <v>1663.9309499999999</v>
      </c>
      <c r="X110" s="407">
        <v>1343.0199199999997</v>
      </c>
      <c r="Y110" s="407">
        <v>0</v>
      </c>
      <c r="Z110" s="407">
        <v>0</v>
      </c>
      <c r="AA110" s="407">
        <v>0</v>
      </c>
      <c r="AB110" s="407">
        <v>0</v>
      </c>
      <c r="AC110" s="407">
        <v>0</v>
      </c>
      <c r="AD110" s="407">
        <v>236.94509908861176</v>
      </c>
      <c r="AE110" s="407">
        <v>1079.5285137067515</v>
      </c>
      <c r="AF110" s="407">
        <v>277.04530756318314</v>
      </c>
      <c r="AG110" s="407">
        <v>0</v>
      </c>
      <c r="AH110" s="407">
        <v>0</v>
      </c>
      <c r="AI110" s="407">
        <v>0</v>
      </c>
      <c r="AJ110" s="407">
        <v>0</v>
      </c>
      <c r="AK110" s="407">
        <v>0</v>
      </c>
      <c r="AL110" s="407">
        <v>0</v>
      </c>
      <c r="AM110" s="407"/>
      <c r="AN110" s="407">
        <v>4.9640840541122806</v>
      </c>
      <c r="AO110" s="407">
        <v>0</v>
      </c>
      <c r="AP110" s="407">
        <v>0</v>
      </c>
      <c r="AQ110" s="407">
        <v>0</v>
      </c>
      <c r="AR110" s="407">
        <v>0</v>
      </c>
      <c r="AS110" s="407">
        <v>0</v>
      </c>
      <c r="AT110" s="407">
        <v>0</v>
      </c>
      <c r="AU110" s="407">
        <v>0</v>
      </c>
      <c r="AV110" s="407">
        <v>0</v>
      </c>
      <c r="AW110" s="407">
        <v>0</v>
      </c>
      <c r="AX110" s="407">
        <v>0</v>
      </c>
      <c r="AY110" s="407">
        <v>0</v>
      </c>
      <c r="AZ110" s="407">
        <v>0</v>
      </c>
      <c r="BA110" s="407"/>
      <c r="BB110" s="407">
        <v>0</v>
      </c>
      <c r="BC110" s="407">
        <v>0</v>
      </c>
      <c r="BD110" s="407">
        <v>0</v>
      </c>
      <c r="BE110" s="407">
        <v>0</v>
      </c>
      <c r="BF110" s="407">
        <v>0</v>
      </c>
      <c r="BG110" s="407">
        <v>65.439485690463655</v>
      </c>
      <c r="BH110" s="407">
        <v>0</v>
      </c>
      <c r="BI110" s="407">
        <v>9.2100000000000009</v>
      </c>
      <c r="BJ110" s="407">
        <v>42.53</v>
      </c>
      <c r="BK110" s="407">
        <v>536.51</v>
      </c>
      <c r="BL110" s="407">
        <v>30</v>
      </c>
      <c r="BM110" s="407"/>
      <c r="BN110" s="407"/>
      <c r="BO110" s="407"/>
      <c r="BP110" s="407"/>
      <c r="BQ110" s="407"/>
      <c r="BR110" s="407"/>
      <c r="BS110" s="407"/>
      <c r="BT110" s="407"/>
      <c r="BU110" s="407"/>
      <c r="BV110" s="407">
        <v>342.48479325364679</v>
      </c>
      <c r="BW110" s="407"/>
      <c r="BX110" s="407"/>
      <c r="BY110" s="407"/>
      <c r="BZ110" s="407"/>
      <c r="CA110" s="407"/>
      <c r="CB110" s="407"/>
      <c r="CC110" s="407"/>
      <c r="CD110" s="407"/>
      <c r="CE110" s="407"/>
      <c r="CF110" s="407"/>
      <c r="CG110" s="407"/>
      <c r="CH110" s="407"/>
      <c r="CI110" s="407">
        <v>1344.8791999999999</v>
      </c>
      <c r="CJ110" s="407">
        <v>-319.08175000000006</v>
      </c>
      <c r="CK110" s="407"/>
      <c r="CL110" s="407"/>
      <c r="CM110" s="407"/>
      <c r="CN110" s="407"/>
      <c r="CO110" s="407">
        <v>-329.62236999999999</v>
      </c>
      <c r="CP110" s="407">
        <v>8.7113400000000212</v>
      </c>
      <c r="CQ110" s="407"/>
      <c r="CR110" s="407">
        <v>-1.7680474992450854</v>
      </c>
      <c r="CS110" s="407">
        <v>0</v>
      </c>
      <c r="CT110" s="407">
        <v>0</v>
      </c>
      <c r="CU110" s="407">
        <v>0</v>
      </c>
      <c r="CV110" s="407">
        <v>0</v>
      </c>
      <c r="CW110" s="407">
        <v>0</v>
      </c>
      <c r="CX110" s="407">
        <v>0</v>
      </c>
      <c r="CY110" s="407">
        <v>0</v>
      </c>
      <c r="CZ110" s="407">
        <v>-12.430309372888189</v>
      </c>
      <c r="DA110" s="407">
        <v>0</v>
      </c>
      <c r="DB110" s="407">
        <v>0</v>
      </c>
      <c r="DC110" s="407">
        <v>8.7175664166692854</v>
      </c>
      <c r="DD110" s="407">
        <v>0</v>
      </c>
      <c r="DE110" s="407">
        <v>0</v>
      </c>
      <c r="DF110" s="407">
        <v>0</v>
      </c>
      <c r="DG110" s="407">
        <v>2.0591327382406206</v>
      </c>
      <c r="DH110" s="407">
        <v>0</v>
      </c>
      <c r="DI110" s="407">
        <v>0</v>
      </c>
      <c r="DJ110" s="407"/>
      <c r="DK110" s="407">
        <v>0</v>
      </c>
      <c r="DL110" s="407">
        <v>0</v>
      </c>
      <c r="DM110" s="407">
        <v>0</v>
      </c>
      <c r="DN110" s="407">
        <v>0</v>
      </c>
      <c r="DO110" s="407">
        <v>0</v>
      </c>
      <c r="DP110" s="407">
        <v>-0.11443728126676067</v>
      </c>
      <c r="DQ110" s="407">
        <v>0</v>
      </c>
      <c r="DR110" s="407">
        <v>0</v>
      </c>
      <c r="DS110" s="407"/>
      <c r="DT110" s="407"/>
      <c r="DU110" s="407"/>
      <c r="DV110" s="407">
        <v>1079.5285137067515</v>
      </c>
      <c r="DW110" s="407">
        <v>0</v>
      </c>
      <c r="DX110" s="407">
        <v>0</v>
      </c>
      <c r="DY110" s="407">
        <v>-329.62237000000005</v>
      </c>
      <c r="DZ110" s="407">
        <v>8.7113400000000638</v>
      </c>
      <c r="EA110" s="407">
        <v>0</v>
      </c>
      <c r="EB110" s="407">
        <v>0</v>
      </c>
      <c r="EC110" s="407">
        <v>-319.12566932755658</v>
      </c>
      <c r="ED110" s="407">
        <v>0</v>
      </c>
      <c r="EE110" s="407">
        <v>0</v>
      </c>
      <c r="EF110" s="407">
        <v>0</v>
      </c>
      <c r="EG110" s="407">
        <v>0</v>
      </c>
      <c r="EH110" s="407">
        <v>0</v>
      </c>
      <c r="EI110" s="407">
        <v>0</v>
      </c>
      <c r="EJ110" s="407">
        <v>0</v>
      </c>
      <c r="EK110" s="407">
        <v>0</v>
      </c>
      <c r="EL110" s="407">
        <v>0</v>
      </c>
      <c r="EM110" s="407">
        <v>0</v>
      </c>
      <c r="EN110" s="407">
        <v>0</v>
      </c>
      <c r="EO110" s="407">
        <v>0</v>
      </c>
      <c r="EP110" s="407">
        <v>0</v>
      </c>
      <c r="EQ110" s="407">
        <v>0</v>
      </c>
      <c r="ER110" s="407">
        <v>0</v>
      </c>
      <c r="ES110" s="407">
        <v>0</v>
      </c>
      <c r="ET110" s="407">
        <v>0</v>
      </c>
      <c r="EU110" s="407">
        <v>0</v>
      </c>
      <c r="EV110" s="407">
        <v>207</v>
      </c>
      <c r="EW110" s="407">
        <v>0</v>
      </c>
      <c r="EX110" s="407">
        <v>0</v>
      </c>
      <c r="EY110" s="407">
        <v>0</v>
      </c>
      <c r="EZ110" s="407"/>
      <c r="FA110" s="407">
        <v>0</v>
      </c>
      <c r="FB110" s="407"/>
      <c r="FC110" s="407"/>
      <c r="FD110" s="407"/>
      <c r="FE110" s="407"/>
      <c r="FF110" s="407">
        <v>0</v>
      </c>
      <c r="FG110" s="407">
        <v>0</v>
      </c>
      <c r="FH110" s="407">
        <v>0</v>
      </c>
      <c r="FI110" s="407">
        <v>0</v>
      </c>
    </row>
    <row r="111" spans="1:165" s="846" customFormat="1">
      <c r="A111" s="407">
        <v>109</v>
      </c>
      <c r="B111" s="407" t="s">
        <v>1092</v>
      </c>
      <c r="C111" s="407" t="s">
        <v>2313</v>
      </c>
      <c r="D111" s="407" t="s">
        <v>1220</v>
      </c>
      <c r="E111" s="407" t="s">
        <v>1023</v>
      </c>
      <c r="F111" s="407" t="s">
        <v>1023</v>
      </c>
      <c r="G111" s="407" t="s">
        <v>96</v>
      </c>
      <c r="H111" s="407" t="s">
        <v>96</v>
      </c>
      <c r="I111" s="407" t="s">
        <v>1027</v>
      </c>
      <c r="J111" s="407" t="s">
        <v>2306</v>
      </c>
      <c r="K111" s="815">
        <v>44531</v>
      </c>
      <c r="L111" s="407">
        <v>0</v>
      </c>
      <c r="M111" s="407">
        <v>0</v>
      </c>
      <c r="N111" s="407">
        <v>2.7E-2</v>
      </c>
      <c r="O111" s="407">
        <v>2.7E-2</v>
      </c>
      <c r="P111" s="407">
        <v>2.7E-2</v>
      </c>
      <c r="Q111" s="407">
        <v>2.7E-2</v>
      </c>
      <c r="R111" s="407"/>
      <c r="S111" s="407">
        <v>1864.71</v>
      </c>
      <c r="T111" s="407">
        <v>127.85</v>
      </c>
      <c r="U111" s="407"/>
      <c r="V111" s="407">
        <v>53.799119999999995</v>
      </c>
      <c r="W111" s="407">
        <v>53.799119999999995</v>
      </c>
      <c r="X111" s="407">
        <v>41.909669999999998</v>
      </c>
      <c r="Y111" s="407">
        <v>0</v>
      </c>
      <c r="Z111" s="407">
        <v>1.6490270694507319</v>
      </c>
      <c r="AA111" s="407">
        <v>0</v>
      </c>
      <c r="AB111" s="407">
        <v>0</v>
      </c>
      <c r="AC111" s="407">
        <v>0</v>
      </c>
      <c r="AD111" s="407">
        <v>8.5595218330079597</v>
      </c>
      <c r="AE111" s="407">
        <v>39.006505014300807</v>
      </c>
      <c r="AF111" s="407">
        <v>3.4518796973723789</v>
      </c>
      <c r="AG111" s="407">
        <v>0</v>
      </c>
      <c r="AH111" s="407">
        <v>0</v>
      </c>
      <c r="AI111" s="407">
        <v>0</v>
      </c>
      <c r="AJ111" s="407">
        <v>0</v>
      </c>
      <c r="AK111" s="407">
        <v>0</v>
      </c>
      <c r="AL111" s="407">
        <v>0.2550230302491342</v>
      </c>
      <c r="AM111" s="407"/>
      <c r="AN111" s="407">
        <v>6.1850608888339445E-2</v>
      </c>
      <c r="AO111" s="407">
        <v>0</v>
      </c>
      <c r="AP111" s="407">
        <v>0</v>
      </c>
      <c r="AQ111" s="407">
        <v>0</v>
      </c>
      <c r="AR111" s="407">
        <v>0</v>
      </c>
      <c r="AS111" s="407">
        <v>0</v>
      </c>
      <c r="AT111" s="407">
        <v>0</v>
      </c>
      <c r="AU111" s="407">
        <v>0</v>
      </c>
      <c r="AV111" s="407">
        <v>0</v>
      </c>
      <c r="AW111" s="407">
        <v>0</v>
      </c>
      <c r="AX111" s="407">
        <v>0</v>
      </c>
      <c r="AY111" s="407">
        <v>0</v>
      </c>
      <c r="AZ111" s="407">
        <v>0</v>
      </c>
      <c r="BA111" s="407"/>
      <c r="BB111" s="407">
        <v>0</v>
      </c>
      <c r="BC111" s="407">
        <v>0</v>
      </c>
      <c r="BD111" s="407">
        <v>0</v>
      </c>
      <c r="BE111" s="407">
        <v>0</v>
      </c>
      <c r="BF111" s="407">
        <v>0</v>
      </c>
      <c r="BG111" s="407">
        <v>0.81535122918436498</v>
      </c>
      <c r="BH111" s="407">
        <v>0</v>
      </c>
      <c r="BI111" s="407">
        <v>0</v>
      </c>
      <c r="BJ111" s="407">
        <v>0</v>
      </c>
      <c r="BK111" s="407">
        <v>0</v>
      </c>
      <c r="BL111" s="407">
        <v>0</v>
      </c>
      <c r="BM111" s="407"/>
      <c r="BN111" s="407"/>
      <c r="BO111" s="407"/>
      <c r="BP111" s="407"/>
      <c r="BQ111" s="407"/>
      <c r="BR111" s="407"/>
      <c r="BS111" s="407"/>
      <c r="BT111" s="407"/>
      <c r="BU111" s="407"/>
      <c r="BV111" s="407">
        <v>4.2672309265567439</v>
      </c>
      <c r="BW111" s="407"/>
      <c r="BX111" s="407"/>
      <c r="BY111" s="407"/>
      <c r="BZ111" s="407"/>
      <c r="CA111" s="407"/>
      <c r="CB111" s="407"/>
      <c r="CC111" s="407"/>
      <c r="CD111" s="407"/>
      <c r="CE111" s="407"/>
      <c r="CF111" s="407"/>
      <c r="CG111" s="407"/>
      <c r="CH111" s="407"/>
      <c r="CI111" s="407">
        <v>46.566299999999998</v>
      </c>
      <c r="CJ111" s="407">
        <v>-7.2628199999999907</v>
      </c>
      <c r="CK111" s="407"/>
      <c r="CL111" s="407"/>
      <c r="CM111" s="407"/>
      <c r="CN111" s="407"/>
      <c r="CO111" s="407">
        <v>-11.997990000000003</v>
      </c>
      <c r="CP111" s="407">
        <v>0.10854000000000028</v>
      </c>
      <c r="CQ111" s="407"/>
      <c r="CR111" s="407">
        <v>-0.35861128790958396</v>
      </c>
      <c r="CS111" s="407">
        <v>0</v>
      </c>
      <c r="CT111" s="407">
        <v>0</v>
      </c>
      <c r="CU111" s="407">
        <v>0</v>
      </c>
      <c r="CV111" s="407">
        <v>0</v>
      </c>
      <c r="CW111" s="407">
        <v>0</v>
      </c>
      <c r="CX111" s="407">
        <v>0</v>
      </c>
      <c r="CY111" s="407">
        <v>0</v>
      </c>
      <c r="CZ111" s="407">
        <v>-0.44903863754738005</v>
      </c>
      <c r="DA111" s="407">
        <v>0</v>
      </c>
      <c r="DB111" s="407">
        <v>0</v>
      </c>
      <c r="DC111" s="407">
        <v>0.1086175787956023</v>
      </c>
      <c r="DD111" s="407">
        <v>0</v>
      </c>
      <c r="DE111" s="407">
        <v>0</v>
      </c>
      <c r="DF111" s="407">
        <v>0</v>
      </c>
      <c r="DG111" s="407">
        <v>2.5656014735808252E-2</v>
      </c>
      <c r="DH111" s="407">
        <v>0</v>
      </c>
      <c r="DI111" s="407">
        <v>-3.7554040934711042E-2</v>
      </c>
      <c r="DJ111" s="407"/>
      <c r="DK111" s="407">
        <v>0</v>
      </c>
      <c r="DL111" s="407">
        <v>0</v>
      </c>
      <c r="DM111" s="407">
        <v>0</v>
      </c>
      <c r="DN111" s="407">
        <v>0</v>
      </c>
      <c r="DO111" s="407">
        <v>-4.8663577377686673E-3</v>
      </c>
      <c r="DP111" s="407">
        <v>-1.425845221136382E-3</v>
      </c>
      <c r="DQ111" s="407">
        <v>0</v>
      </c>
      <c r="DR111" s="407">
        <v>0</v>
      </c>
      <c r="DS111" s="407"/>
      <c r="DT111" s="407"/>
      <c r="DU111" s="407"/>
      <c r="DV111" s="407">
        <v>39.006505014300807</v>
      </c>
      <c r="DW111" s="407">
        <v>0</v>
      </c>
      <c r="DX111" s="407">
        <v>0</v>
      </c>
      <c r="DY111" s="407">
        <v>-11.997990000000001</v>
      </c>
      <c r="DZ111" s="407">
        <v>0.10854000000000052</v>
      </c>
      <c r="EA111" s="407">
        <v>0</v>
      </c>
      <c r="EB111" s="407">
        <v>0</v>
      </c>
      <c r="EC111" s="407">
        <v>-11.530938611408306</v>
      </c>
      <c r="ED111" s="407">
        <v>0</v>
      </c>
      <c r="EE111" s="407">
        <v>0</v>
      </c>
      <c r="EF111" s="407">
        <v>0</v>
      </c>
      <c r="EG111" s="407">
        <v>0</v>
      </c>
      <c r="EH111" s="407">
        <v>0</v>
      </c>
      <c r="EI111" s="407">
        <v>0</v>
      </c>
      <c r="EJ111" s="407">
        <v>0</v>
      </c>
      <c r="EK111" s="407">
        <v>0</v>
      </c>
      <c r="EL111" s="407">
        <v>0</v>
      </c>
      <c r="EM111" s="407">
        <v>0</v>
      </c>
      <c r="EN111" s="407">
        <v>0</v>
      </c>
      <c r="EO111" s="407">
        <v>0</v>
      </c>
      <c r="EP111" s="407">
        <v>0</v>
      </c>
      <c r="EQ111" s="407">
        <v>0</v>
      </c>
      <c r="ER111" s="407">
        <v>0</v>
      </c>
      <c r="ES111" s="407">
        <v>0</v>
      </c>
      <c r="ET111" s="407">
        <v>0</v>
      </c>
      <c r="EU111" s="407">
        <v>0</v>
      </c>
      <c r="EV111" s="407">
        <v>207</v>
      </c>
      <c r="EW111" s="407">
        <v>0</v>
      </c>
      <c r="EX111" s="407">
        <v>0</v>
      </c>
      <c r="EY111" s="407">
        <v>0</v>
      </c>
      <c r="EZ111" s="407"/>
      <c r="FA111" s="407">
        <v>0</v>
      </c>
      <c r="FB111" s="407"/>
      <c r="FC111" s="407"/>
      <c r="FD111" s="407"/>
      <c r="FE111" s="407"/>
      <c r="FF111" s="407">
        <v>0</v>
      </c>
      <c r="FG111" s="407">
        <v>0</v>
      </c>
      <c r="FH111" s="407">
        <v>0</v>
      </c>
      <c r="FI111" s="407">
        <v>0</v>
      </c>
    </row>
    <row r="112" spans="1:165" s="846" customFormat="1">
      <c r="A112" s="407">
        <v>110</v>
      </c>
      <c r="B112" s="407" t="s">
        <v>1092</v>
      </c>
      <c r="C112" s="407" t="s">
        <v>2313</v>
      </c>
      <c r="D112" s="407" t="s">
        <v>1220</v>
      </c>
      <c r="E112" s="407" t="s">
        <v>1023</v>
      </c>
      <c r="F112" s="407" t="s">
        <v>1023</v>
      </c>
      <c r="G112" s="407" t="s">
        <v>96</v>
      </c>
      <c r="H112" s="407" t="s">
        <v>96</v>
      </c>
      <c r="I112" s="407" t="s">
        <v>2290</v>
      </c>
      <c r="J112" s="407" t="s">
        <v>2306</v>
      </c>
      <c r="K112" s="815">
        <v>44531</v>
      </c>
      <c r="L112" s="407">
        <v>0</v>
      </c>
      <c r="M112" s="407">
        <v>0</v>
      </c>
      <c r="N112" s="407">
        <v>0.28499999999999998</v>
      </c>
      <c r="O112" s="407">
        <v>0.28499999999999998</v>
      </c>
      <c r="P112" s="407">
        <v>0.28499999999999998</v>
      </c>
      <c r="Q112" s="407">
        <v>0.28499999999999998</v>
      </c>
      <c r="R112" s="407"/>
      <c r="S112" s="407">
        <v>455.34</v>
      </c>
      <c r="T112" s="407">
        <v>127.85</v>
      </c>
      <c r="U112" s="407"/>
      <c r="V112" s="407">
        <v>166.20914999999999</v>
      </c>
      <c r="W112" s="407">
        <v>166.20914999999999</v>
      </c>
      <c r="X112" s="407">
        <v>141.87299999999999</v>
      </c>
      <c r="Y112" s="407">
        <v>0</v>
      </c>
      <c r="Z112" s="407">
        <v>17.406396844202167</v>
      </c>
      <c r="AA112" s="407">
        <v>0</v>
      </c>
      <c r="AB112" s="407">
        <v>0</v>
      </c>
      <c r="AC112" s="407">
        <v>0</v>
      </c>
      <c r="AD112" s="407">
        <v>18.067289772924195</v>
      </c>
      <c r="AE112" s="407">
        <v>82.34702151359032</v>
      </c>
      <c r="AF112" s="407">
        <v>36.436507916708443</v>
      </c>
      <c r="AG112" s="407">
        <v>0</v>
      </c>
      <c r="AH112" s="407">
        <v>0</v>
      </c>
      <c r="AI112" s="407">
        <v>0</v>
      </c>
      <c r="AJ112" s="407">
        <v>0</v>
      </c>
      <c r="AK112" s="407">
        <v>0</v>
      </c>
      <c r="AL112" s="407">
        <v>2.6919097637408611</v>
      </c>
      <c r="AM112" s="407"/>
      <c r="AN112" s="407">
        <v>0.65286753826580524</v>
      </c>
      <c r="AO112" s="407">
        <v>0</v>
      </c>
      <c r="AP112" s="407">
        <v>0</v>
      </c>
      <c r="AQ112" s="407">
        <v>0</v>
      </c>
      <c r="AR112" s="407">
        <v>0</v>
      </c>
      <c r="AS112" s="407">
        <v>0</v>
      </c>
      <c r="AT112" s="407">
        <v>0</v>
      </c>
      <c r="AU112" s="407">
        <v>0</v>
      </c>
      <c r="AV112" s="407">
        <v>0</v>
      </c>
      <c r="AW112" s="407">
        <v>0</v>
      </c>
      <c r="AX112" s="407">
        <v>0</v>
      </c>
      <c r="AY112" s="407">
        <v>0</v>
      </c>
      <c r="AZ112" s="407">
        <v>0</v>
      </c>
      <c r="BA112" s="407"/>
      <c r="BB112" s="407">
        <v>0</v>
      </c>
      <c r="BC112" s="407">
        <v>0</v>
      </c>
      <c r="BD112" s="407">
        <v>0</v>
      </c>
      <c r="BE112" s="407">
        <v>0</v>
      </c>
      <c r="BF112" s="407">
        <v>0</v>
      </c>
      <c r="BG112" s="407">
        <v>8.6064851969460729</v>
      </c>
      <c r="BH112" s="407">
        <v>0</v>
      </c>
      <c r="BI112" s="407">
        <v>0</v>
      </c>
      <c r="BJ112" s="407">
        <v>0</v>
      </c>
      <c r="BK112" s="407">
        <v>0</v>
      </c>
      <c r="BL112" s="407">
        <v>0</v>
      </c>
      <c r="BM112" s="407"/>
      <c r="BN112" s="407"/>
      <c r="BO112" s="407"/>
      <c r="BP112" s="407"/>
      <c r="BQ112" s="407"/>
      <c r="BR112" s="407"/>
      <c r="BS112" s="407"/>
      <c r="BT112" s="407"/>
      <c r="BU112" s="407"/>
      <c r="BV112" s="407">
        <v>45.042993113654518</v>
      </c>
      <c r="BW112" s="407"/>
      <c r="BX112" s="407"/>
      <c r="BY112" s="407"/>
      <c r="BZ112" s="407"/>
      <c r="CA112" s="407"/>
      <c r="CB112" s="407"/>
      <c r="CC112" s="407"/>
      <c r="CD112" s="407"/>
      <c r="CE112" s="407"/>
      <c r="CF112" s="407"/>
      <c r="CG112" s="407"/>
      <c r="CH112" s="407"/>
      <c r="CI112" s="407">
        <v>144.36199999999999</v>
      </c>
      <c r="CJ112" s="407">
        <v>-21.877149999999972</v>
      </c>
      <c r="CK112" s="407"/>
      <c r="CL112" s="407"/>
      <c r="CM112" s="407"/>
      <c r="CN112" s="407"/>
      <c r="CO112" s="407">
        <v>-25.481849999999987</v>
      </c>
      <c r="CP112" s="407">
        <v>1.1457000000000028</v>
      </c>
      <c r="CQ112" s="407"/>
      <c r="CR112" s="407">
        <v>6.687968748266826E-3</v>
      </c>
      <c r="CS112" s="407">
        <v>0</v>
      </c>
      <c r="CT112" s="407">
        <v>0</v>
      </c>
      <c r="CU112" s="407">
        <v>0</v>
      </c>
      <c r="CV112" s="407">
        <v>0</v>
      </c>
      <c r="CW112" s="407">
        <v>0</v>
      </c>
      <c r="CX112" s="407">
        <v>0</v>
      </c>
      <c r="CY112" s="407">
        <v>0</v>
      </c>
      <c r="CZ112" s="407">
        <v>-0.94782294409510826</v>
      </c>
      <c r="DA112" s="407">
        <v>0</v>
      </c>
      <c r="DB112" s="407">
        <v>0</v>
      </c>
      <c r="DC112" s="407">
        <v>1.1465188872869092</v>
      </c>
      <c r="DD112" s="407">
        <v>0</v>
      </c>
      <c r="DE112" s="407">
        <v>0</v>
      </c>
      <c r="DF112" s="407">
        <v>0</v>
      </c>
      <c r="DG112" s="407">
        <v>0.27081348887797851</v>
      </c>
      <c r="DH112" s="407">
        <v>0</v>
      </c>
      <c r="DI112" s="407">
        <v>-0.39640376542194744</v>
      </c>
      <c r="DJ112" s="407"/>
      <c r="DK112" s="407">
        <v>0</v>
      </c>
      <c r="DL112" s="407">
        <v>0</v>
      </c>
      <c r="DM112" s="407">
        <v>0</v>
      </c>
      <c r="DN112" s="407">
        <v>0</v>
      </c>
      <c r="DO112" s="407">
        <v>-5.1367109454225179E-2</v>
      </c>
      <c r="DP112" s="407">
        <v>-1.5050588445328472E-2</v>
      </c>
      <c r="DQ112" s="407">
        <v>0</v>
      </c>
      <c r="DR112" s="407">
        <v>0</v>
      </c>
      <c r="DS112" s="407"/>
      <c r="DT112" s="407"/>
      <c r="DU112" s="407"/>
      <c r="DV112" s="407">
        <v>82.34702151359032</v>
      </c>
      <c r="DW112" s="407">
        <v>0</v>
      </c>
      <c r="DX112" s="407">
        <v>0</v>
      </c>
      <c r="DY112" s="407">
        <v>-25.481849999999994</v>
      </c>
      <c r="DZ112" s="407">
        <v>1.1456999999999979</v>
      </c>
      <c r="EA112" s="407">
        <v>0</v>
      </c>
      <c r="EB112" s="407">
        <v>0</v>
      </c>
      <c r="EC112" s="407">
        <v>-24.343079431428229</v>
      </c>
      <c r="ED112" s="407">
        <v>0</v>
      </c>
      <c r="EE112" s="407">
        <v>0</v>
      </c>
      <c r="EF112" s="407">
        <v>0</v>
      </c>
      <c r="EG112" s="407">
        <v>0</v>
      </c>
      <c r="EH112" s="407">
        <v>0</v>
      </c>
      <c r="EI112" s="407">
        <v>0</v>
      </c>
      <c r="EJ112" s="407">
        <v>0</v>
      </c>
      <c r="EK112" s="407">
        <v>0</v>
      </c>
      <c r="EL112" s="407">
        <v>0</v>
      </c>
      <c r="EM112" s="407">
        <v>0</v>
      </c>
      <c r="EN112" s="407">
        <v>0</v>
      </c>
      <c r="EO112" s="407">
        <v>0</v>
      </c>
      <c r="EP112" s="407">
        <v>0</v>
      </c>
      <c r="EQ112" s="407">
        <v>0</v>
      </c>
      <c r="ER112" s="407">
        <v>0</v>
      </c>
      <c r="ES112" s="407">
        <v>0</v>
      </c>
      <c r="ET112" s="407">
        <v>0</v>
      </c>
      <c r="EU112" s="407">
        <v>0</v>
      </c>
      <c r="EV112" s="407">
        <v>207</v>
      </c>
      <c r="EW112" s="407">
        <v>0</v>
      </c>
      <c r="EX112" s="407">
        <v>0</v>
      </c>
      <c r="EY112" s="407">
        <v>0</v>
      </c>
      <c r="EZ112" s="407"/>
      <c r="FA112" s="407">
        <v>0</v>
      </c>
      <c r="FB112" s="407"/>
      <c r="FC112" s="407"/>
      <c r="FD112" s="407"/>
      <c r="FE112" s="407"/>
      <c r="FF112" s="407">
        <v>0</v>
      </c>
      <c r="FG112" s="407">
        <v>0</v>
      </c>
      <c r="FH112" s="407">
        <v>0</v>
      </c>
      <c r="FI112" s="407">
        <v>0</v>
      </c>
    </row>
    <row r="113" spans="1:165" s="846" customFormat="1">
      <c r="A113" s="407">
        <v>111</v>
      </c>
      <c r="B113" s="407" t="s">
        <v>1092</v>
      </c>
      <c r="C113" s="407" t="s">
        <v>2313</v>
      </c>
      <c r="D113" s="407" t="s">
        <v>1220</v>
      </c>
      <c r="E113" s="407" t="s">
        <v>1023</v>
      </c>
      <c r="F113" s="407" t="s">
        <v>1023</v>
      </c>
      <c r="G113" s="407" t="s">
        <v>96</v>
      </c>
      <c r="H113" s="407" t="s">
        <v>96</v>
      </c>
      <c r="I113" s="407" t="s">
        <v>96</v>
      </c>
      <c r="J113" s="407" t="s">
        <v>2306</v>
      </c>
      <c r="K113" s="815">
        <v>44531</v>
      </c>
      <c r="L113" s="407">
        <v>0</v>
      </c>
      <c r="M113" s="407">
        <v>0</v>
      </c>
      <c r="N113" s="407">
        <v>0</v>
      </c>
      <c r="O113" s="407">
        <v>0</v>
      </c>
      <c r="P113" s="407">
        <v>0</v>
      </c>
      <c r="Q113" s="407">
        <v>0</v>
      </c>
      <c r="R113" s="407"/>
      <c r="S113" s="407"/>
      <c r="T113" s="407"/>
      <c r="U113" s="407"/>
      <c r="V113" s="407"/>
      <c r="W113" s="407"/>
      <c r="X113" s="407"/>
      <c r="Y113" s="407"/>
      <c r="Z113" s="407"/>
      <c r="AA113" s="407">
        <v>0</v>
      </c>
      <c r="AB113" s="407"/>
      <c r="AC113" s="407"/>
      <c r="AD113" s="407"/>
      <c r="AE113" s="407"/>
      <c r="AF113" s="407"/>
      <c r="AG113" s="407"/>
      <c r="AH113" s="407"/>
      <c r="AI113" s="407"/>
      <c r="AJ113" s="407"/>
      <c r="AK113" s="407"/>
      <c r="AL113" s="407"/>
      <c r="AM113" s="407"/>
      <c r="AN113" s="407"/>
      <c r="AO113" s="407"/>
      <c r="AP113" s="407"/>
      <c r="AQ113" s="407"/>
      <c r="AR113" s="407"/>
      <c r="AS113" s="407"/>
      <c r="AT113" s="407"/>
      <c r="AU113" s="407"/>
      <c r="AV113" s="407"/>
      <c r="AW113" s="407"/>
      <c r="AX113" s="407"/>
      <c r="AY113" s="407"/>
      <c r="AZ113" s="407">
        <v>0</v>
      </c>
      <c r="BA113" s="407"/>
      <c r="BB113" s="407"/>
      <c r="BC113" s="407"/>
      <c r="BD113" s="407"/>
      <c r="BE113" s="407"/>
      <c r="BF113" s="407"/>
      <c r="BG113" s="407"/>
      <c r="BH113" s="407"/>
      <c r="BI113" s="407">
        <v>0.74</v>
      </c>
      <c r="BJ113" s="407">
        <v>3.44</v>
      </c>
      <c r="BK113" s="407">
        <v>84.4</v>
      </c>
      <c r="BL113" s="407">
        <v>1</v>
      </c>
      <c r="BM113" s="407"/>
      <c r="BN113" s="407"/>
      <c r="BO113" s="407"/>
      <c r="BP113" s="407"/>
      <c r="BQ113" s="407"/>
      <c r="BR113" s="407"/>
      <c r="BS113" s="407"/>
      <c r="BT113" s="407"/>
      <c r="BU113" s="407"/>
      <c r="BV113" s="407"/>
      <c r="BW113" s="407"/>
      <c r="BX113" s="407"/>
      <c r="BY113" s="407"/>
      <c r="BZ113" s="407"/>
      <c r="CA113" s="407"/>
      <c r="CB113" s="407"/>
      <c r="CC113" s="407"/>
      <c r="CD113" s="407"/>
      <c r="CE113" s="407"/>
      <c r="CF113" s="407"/>
      <c r="CG113" s="407"/>
      <c r="CH113" s="407"/>
      <c r="CI113" s="407"/>
      <c r="CJ113" s="407">
        <v>-0.03</v>
      </c>
      <c r="CK113" s="407"/>
      <c r="CL113" s="407"/>
      <c r="CM113" s="407"/>
      <c r="CN113" s="407"/>
      <c r="CO113" s="407">
        <v>0</v>
      </c>
      <c r="CP113" s="407">
        <v>0</v>
      </c>
      <c r="CQ113" s="407"/>
      <c r="CR113" s="407"/>
      <c r="CS113" s="407"/>
      <c r="CT113" s="407"/>
      <c r="CU113" s="407"/>
      <c r="CV113" s="407"/>
      <c r="CW113" s="407"/>
      <c r="CX113" s="407"/>
      <c r="CY113" s="407"/>
      <c r="CZ113" s="407"/>
      <c r="DA113" s="407"/>
      <c r="DB113" s="407"/>
      <c r="DC113" s="407"/>
      <c r="DD113" s="407"/>
      <c r="DE113" s="407"/>
      <c r="DF113" s="407"/>
      <c r="DG113" s="407"/>
      <c r="DH113" s="407"/>
      <c r="DI113" s="407"/>
      <c r="DJ113" s="407"/>
      <c r="DK113" s="407">
        <v>0</v>
      </c>
      <c r="DL113" s="407"/>
      <c r="DM113" s="407"/>
      <c r="DN113" s="407"/>
      <c r="DO113" s="407"/>
      <c r="DP113" s="407"/>
      <c r="DQ113" s="407"/>
      <c r="DR113" s="407"/>
      <c r="DS113" s="407"/>
      <c r="DT113" s="407"/>
      <c r="DU113" s="407"/>
      <c r="DV113" s="407"/>
      <c r="DW113" s="407"/>
      <c r="DX113" s="407"/>
      <c r="DY113" s="407"/>
      <c r="DZ113" s="407"/>
      <c r="EA113" s="407"/>
      <c r="EB113" s="407"/>
      <c r="EC113" s="407"/>
      <c r="ED113" s="407"/>
      <c r="EE113" s="407"/>
      <c r="EF113" s="407"/>
      <c r="EG113" s="407"/>
      <c r="EH113" s="407"/>
      <c r="EI113" s="407"/>
      <c r="EJ113" s="407"/>
      <c r="EK113" s="407"/>
      <c r="EL113" s="407"/>
      <c r="EM113" s="407"/>
      <c r="EN113" s="407"/>
      <c r="EO113" s="407"/>
      <c r="EP113" s="407"/>
      <c r="EQ113" s="407"/>
      <c r="ER113" s="407"/>
      <c r="ES113" s="407"/>
      <c r="ET113" s="407"/>
      <c r="EU113" s="407"/>
      <c r="EV113" s="407">
        <v>207</v>
      </c>
      <c r="EW113" s="407"/>
      <c r="EX113" s="407"/>
      <c r="EY113" s="407"/>
      <c r="EZ113" s="407"/>
      <c r="FA113" s="407">
        <v>0</v>
      </c>
      <c r="FB113" s="407"/>
      <c r="FC113" s="407"/>
      <c r="FD113" s="407"/>
      <c r="FE113" s="407"/>
      <c r="FF113" s="407">
        <v>0</v>
      </c>
      <c r="FG113" s="407">
        <v>0</v>
      </c>
      <c r="FH113" s="407">
        <v>0</v>
      </c>
      <c r="FI113" s="407">
        <v>0</v>
      </c>
    </row>
    <row r="114" spans="1:165" s="846" customFormat="1">
      <c r="A114" s="407">
        <v>112</v>
      </c>
      <c r="B114" s="407" t="s">
        <v>2308</v>
      </c>
      <c r="C114" s="407" t="s">
        <v>2313</v>
      </c>
      <c r="D114" s="407" t="s">
        <v>1220</v>
      </c>
      <c r="E114" s="407" t="s">
        <v>1023</v>
      </c>
      <c r="F114" s="407" t="s">
        <v>1023</v>
      </c>
      <c r="G114" s="407" t="s">
        <v>96</v>
      </c>
      <c r="H114" s="407" t="s">
        <v>96</v>
      </c>
      <c r="I114" s="407" t="s">
        <v>96</v>
      </c>
      <c r="J114" s="407" t="s">
        <v>2306</v>
      </c>
      <c r="K114" s="815">
        <v>44531</v>
      </c>
      <c r="L114" s="407">
        <v>0</v>
      </c>
      <c r="M114" s="407">
        <v>0</v>
      </c>
      <c r="N114" s="407">
        <v>0</v>
      </c>
      <c r="O114" s="407">
        <v>0</v>
      </c>
      <c r="P114" s="407">
        <v>0</v>
      </c>
      <c r="Q114" s="407">
        <v>0</v>
      </c>
      <c r="R114" s="407"/>
      <c r="S114" s="407"/>
      <c r="T114" s="407"/>
      <c r="U114" s="407"/>
      <c r="V114" s="407"/>
      <c r="W114" s="407"/>
      <c r="X114" s="407"/>
      <c r="Y114" s="407"/>
      <c r="Z114" s="407"/>
      <c r="AA114" s="407">
        <v>0</v>
      </c>
      <c r="AB114" s="407"/>
      <c r="AC114" s="407"/>
      <c r="AD114" s="407"/>
      <c r="AE114" s="407"/>
      <c r="AF114" s="407"/>
      <c r="AG114" s="407"/>
      <c r="AH114" s="407"/>
      <c r="AI114" s="407"/>
      <c r="AJ114" s="407"/>
      <c r="AK114" s="407"/>
      <c r="AL114" s="407"/>
      <c r="AM114" s="407"/>
      <c r="AN114" s="407"/>
      <c r="AO114" s="407"/>
      <c r="AP114" s="407"/>
      <c r="AQ114" s="407"/>
      <c r="AR114" s="407"/>
      <c r="AS114" s="407"/>
      <c r="AT114" s="407"/>
      <c r="AU114" s="407"/>
      <c r="AV114" s="407"/>
      <c r="AW114" s="407"/>
      <c r="AX114" s="407"/>
      <c r="AY114" s="407"/>
      <c r="AZ114" s="407">
        <v>0</v>
      </c>
      <c r="BA114" s="407"/>
      <c r="BB114" s="407"/>
      <c r="BC114" s="407"/>
      <c r="BD114" s="407"/>
      <c r="BE114" s="407"/>
      <c r="BF114" s="407"/>
      <c r="BG114" s="407"/>
      <c r="BH114" s="407"/>
      <c r="BI114" s="407">
        <v>0.19</v>
      </c>
      <c r="BJ114" s="407">
        <v>0.92</v>
      </c>
      <c r="BK114" s="407">
        <v>90.66</v>
      </c>
      <c r="BL114" s="407">
        <v>1</v>
      </c>
      <c r="BM114" s="407"/>
      <c r="BN114" s="407"/>
      <c r="BO114" s="407"/>
      <c r="BP114" s="407"/>
      <c r="BQ114" s="407"/>
      <c r="BR114" s="407"/>
      <c r="BS114" s="407"/>
      <c r="BT114" s="407"/>
      <c r="BU114" s="407"/>
      <c r="BV114" s="407"/>
      <c r="BW114" s="407"/>
      <c r="BX114" s="407"/>
      <c r="BY114" s="407"/>
      <c r="BZ114" s="407"/>
      <c r="CA114" s="407"/>
      <c r="CB114" s="407"/>
      <c r="CC114" s="407"/>
      <c r="CD114" s="407"/>
      <c r="CE114" s="407"/>
      <c r="CF114" s="407"/>
      <c r="CG114" s="407"/>
      <c r="CH114" s="407"/>
      <c r="CI114" s="407"/>
      <c r="CJ114" s="407">
        <v>-0.03</v>
      </c>
      <c r="CK114" s="407"/>
      <c r="CL114" s="407"/>
      <c r="CM114" s="407"/>
      <c r="CN114" s="407"/>
      <c r="CO114" s="407">
        <v>0</v>
      </c>
      <c r="CP114" s="407">
        <v>0</v>
      </c>
      <c r="CQ114" s="407"/>
      <c r="CR114" s="407"/>
      <c r="CS114" s="407"/>
      <c r="CT114" s="407"/>
      <c r="CU114" s="407"/>
      <c r="CV114" s="407"/>
      <c r="CW114" s="407"/>
      <c r="CX114" s="407"/>
      <c r="CY114" s="407"/>
      <c r="CZ114" s="407"/>
      <c r="DA114" s="407"/>
      <c r="DB114" s="407"/>
      <c r="DC114" s="407"/>
      <c r="DD114" s="407"/>
      <c r="DE114" s="407"/>
      <c r="DF114" s="407"/>
      <c r="DG114" s="407"/>
      <c r="DH114" s="407"/>
      <c r="DI114" s="407"/>
      <c r="DJ114" s="407"/>
      <c r="DK114" s="407">
        <v>0</v>
      </c>
      <c r="DL114" s="407"/>
      <c r="DM114" s="407"/>
      <c r="DN114" s="407"/>
      <c r="DO114" s="407"/>
      <c r="DP114" s="407"/>
      <c r="DQ114" s="407"/>
      <c r="DR114" s="407"/>
      <c r="DS114" s="407"/>
      <c r="DT114" s="407"/>
      <c r="DU114" s="407"/>
      <c r="DV114" s="407"/>
      <c r="DW114" s="407"/>
      <c r="DX114" s="407"/>
      <c r="DY114" s="407"/>
      <c r="DZ114" s="407"/>
      <c r="EA114" s="407"/>
      <c r="EB114" s="407"/>
      <c r="EC114" s="407"/>
      <c r="ED114" s="407"/>
      <c r="EE114" s="407"/>
      <c r="EF114" s="407"/>
      <c r="EG114" s="407"/>
      <c r="EH114" s="407"/>
      <c r="EI114" s="407"/>
      <c r="EJ114" s="407"/>
      <c r="EK114" s="407"/>
      <c r="EL114" s="407"/>
      <c r="EM114" s="407"/>
      <c r="EN114" s="407"/>
      <c r="EO114" s="407"/>
      <c r="EP114" s="407"/>
      <c r="EQ114" s="407"/>
      <c r="ER114" s="407"/>
      <c r="ES114" s="407"/>
      <c r="ET114" s="407"/>
      <c r="EU114" s="407"/>
      <c r="EV114" s="407">
        <v>207</v>
      </c>
      <c r="EW114" s="407"/>
      <c r="EX114" s="407"/>
      <c r="EY114" s="407"/>
      <c r="EZ114" s="407"/>
      <c r="FA114" s="407">
        <v>0</v>
      </c>
      <c r="FB114" s="407"/>
      <c r="FC114" s="407"/>
      <c r="FD114" s="407"/>
      <c r="FE114" s="407"/>
      <c r="FF114" s="407">
        <v>0</v>
      </c>
      <c r="FG114" s="407">
        <v>0</v>
      </c>
      <c r="FH114" s="407">
        <v>0</v>
      </c>
      <c r="FI114" s="407">
        <v>0</v>
      </c>
    </row>
    <row r="115" spans="1:165" s="846" customFormat="1">
      <c r="A115" s="407">
        <v>113</v>
      </c>
      <c r="B115" s="407" t="s">
        <v>1092</v>
      </c>
      <c r="C115" s="407" t="s">
        <v>2313</v>
      </c>
      <c r="D115" s="407" t="s">
        <v>1220</v>
      </c>
      <c r="E115" s="407" t="s">
        <v>1023</v>
      </c>
      <c r="F115" s="407" t="s">
        <v>1023</v>
      </c>
      <c r="G115" s="407" t="s">
        <v>96</v>
      </c>
      <c r="H115" s="407" t="s">
        <v>96</v>
      </c>
      <c r="I115" s="407" t="s">
        <v>2314</v>
      </c>
      <c r="J115" s="407" t="s">
        <v>2306</v>
      </c>
      <c r="K115" s="815">
        <v>44531</v>
      </c>
      <c r="L115" s="407">
        <v>0</v>
      </c>
      <c r="M115" s="407">
        <v>0</v>
      </c>
      <c r="N115" s="407">
        <v>1.7999999999999999E-2</v>
      </c>
      <c r="O115" s="407">
        <v>1.7999999999999999E-2</v>
      </c>
      <c r="P115" s="407">
        <v>1.7999999999999999E-2</v>
      </c>
      <c r="Q115" s="407">
        <v>1.7999999999999999E-2</v>
      </c>
      <c r="R115" s="407"/>
      <c r="S115" s="407">
        <v>1160</v>
      </c>
      <c r="T115" s="407">
        <v>127.85</v>
      </c>
      <c r="U115" s="407"/>
      <c r="V115" s="407">
        <v>23.1813</v>
      </c>
      <c r="W115" s="407">
        <v>23.1813</v>
      </c>
      <c r="X115" s="407">
        <v>18.449639999999999</v>
      </c>
      <c r="Y115" s="407">
        <v>0</v>
      </c>
      <c r="Z115" s="407">
        <v>1.0993513796338212</v>
      </c>
      <c r="AA115" s="407">
        <v>0</v>
      </c>
      <c r="AB115" s="407">
        <v>0</v>
      </c>
      <c r="AC115" s="407">
        <v>0</v>
      </c>
      <c r="AD115" s="407">
        <v>3.4232778068925778</v>
      </c>
      <c r="AE115" s="407">
        <v>15.6025995897841</v>
      </c>
      <c r="AF115" s="407">
        <v>2.3012531315815856</v>
      </c>
      <c r="AG115" s="407">
        <v>0</v>
      </c>
      <c r="AH115" s="407">
        <v>0</v>
      </c>
      <c r="AI115" s="407">
        <v>0</v>
      </c>
      <c r="AJ115" s="407">
        <v>0</v>
      </c>
      <c r="AK115" s="407">
        <v>0</v>
      </c>
      <c r="AL115" s="407">
        <v>0.17001535349942279</v>
      </c>
      <c r="AM115" s="407"/>
      <c r="AN115" s="407">
        <v>4.1233739258892961E-2</v>
      </c>
      <c r="AO115" s="407">
        <v>0</v>
      </c>
      <c r="AP115" s="407">
        <v>0</v>
      </c>
      <c r="AQ115" s="407">
        <v>0</v>
      </c>
      <c r="AR115" s="407">
        <v>0</v>
      </c>
      <c r="AS115" s="407">
        <v>0</v>
      </c>
      <c r="AT115" s="407">
        <v>0</v>
      </c>
      <c r="AU115" s="407">
        <v>0</v>
      </c>
      <c r="AV115" s="407">
        <v>0</v>
      </c>
      <c r="AW115" s="407">
        <v>0</v>
      </c>
      <c r="AX115" s="407">
        <v>0</v>
      </c>
      <c r="AY115" s="407">
        <v>0</v>
      </c>
      <c r="AZ115" s="407">
        <v>0</v>
      </c>
      <c r="BA115" s="407"/>
      <c r="BB115" s="407">
        <v>0</v>
      </c>
      <c r="BC115" s="407">
        <v>0</v>
      </c>
      <c r="BD115" s="407">
        <v>0</v>
      </c>
      <c r="BE115" s="407">
        <v>0</v>
      </c>
      <c r="BF115" s="407">
        <v>0</v>
      </c>
      <c r="BG115" s="407">
        <v>0.54356748612290995</v>
      </c>
      <c r="BH115" s="407">
        <v>0</v>
      </c>
      <c r="BI115" s="407">
        <v>0</v>
      </c>
      <c r="BJ115" s="407">
        <v>0</v>
      </c>
      <c r="BK115" s="407">
        <v>0</v>
      </c>
      <c r="BL115" s="407">
        <v>0</v>
      </c>
      <c r="BM115" s="407"/>
      <c r="BN115" s="407"/>
      <c r="BO115" s="407"/>
      <c r="BP115" s="407"/>
      <c r="BQ115" s="407"/>
      <c r="BR115" s="407"/>
      <c r="BS115" s="407"/>
      <c r="BT115" s="407"/>
      <c r="BU115" s="407"/>
      <c r="BV115" s="407">
        <v>2.8448206177044955</v>
      </c>
      <c r="BW115" s="407"/>
      <c r="BX115" s="407"/>
      <c r="BY115" s="407"/>
      <c r="BZ115" s="407"/>
      <c r="CA115" s="407"/>
      <c r="CB115" s="407"/>
      <c r="CC115" s="407"/>
      <c r="CD115" s="407"/>
      <c r="CE115" s="407"/>
      <c r="CF115" s="407"/>
      <c r="CG115" s="407"/>
      <c r="CH115" s="407"/>
      <c r="CI115" s="407">
        <v>20.499600000000001</v>
      </c>
      <c r="CJ115" s="407">
        <v>-2.711700000000004</v>
      </c>
      <c r="CK115" s="407"/>
      <c r="CL115" s="407"/>
      <c r="CM115" s="407"/>
      <c r="CN115" s="407"/>
      <c r="CO115" s="407">
        <v>-4.8040199999999995</v>
      </c>
      <c r="CP115" s="407">
        <v>7.2360000000000174E-2</v>
      </c>
      <c r="CQ115" s="407"/>
      <c r="CR115" s="407">
        <v>-0.11930270248643193</v>
      </c>
      <c r="CS115" s="407">
        <v>0</v>
      </c>
      <c r="CT115" s="407">
        <v>0</v>
      </c>
      <c r="CU115" s="407">
        <v>0</v>
      </c>
      <c r="CV115" s="407">
        <v>0</v>
      </c>
      <c r="CW115" s="407">
        <v>0</v>
      </c>
      <c r="CX115" s="407">
        <v>0</v>
      </c>
      <c r="CY115" s="407">
        <v>0</v>
      </c>
      <c r="CZ115" s="407">
        <v>-0.17958760224496206</v>
      </c>
      <c r="DA115" s="407">
        <v>0</v>
      </c>
      <c r="DB115" s="407">
        <v>0</v>
      </c>
      <c r="DC115" s="407">
        <v>7.2411719197068347E-2</v>
      </c>
      <c r="DD115" s="407">
        <v>0</v>
      </c>
      <c r="DE115" s="407">
        <v>0</v>
      </c>
      <c r="DF115" s="407">
        <v>0</v>
      </c>
      <c r="DG115" s="407">
        <v>1.7104009823872168E-2</v>
      </c>
      <c r="DH115" s="407">
        <v>0</v>
      </c>
      <c r="DI115" s="407">
        <v>-2.5036027289807361E-2</v>
      </c>
      <c r="DJ115" s="407"/>
      <c r="DK115" s="407">
        <v>0</v>
      </c>
      <c r="DL115" s="407">
        <v>0</v>
      </c>
      <c r="DM115" s="407">
        <v>0</v>
      </c>
      <c r="DN115" s="407">
        <v>0</v>
      </c>
      <c r="DO115" s="407">
        <v>-3.244238491845769E-3</v>
      </c>
      <c r="DP115" s="407">
        <v>-9.5056348075758801E-4</v>
      </c>
      <c r="DQ115" s="407">
        <v>0</v>
      </c>
      <c r="DR115" s="407">
        <v>0</v>
      </c>
      <c r="DS115" s="407"/>
      <c r="DT115" s="407"/>
      <c r="DU115" s="407"/>
      <c r="DV115" s="407">
        <v>15.6025995897841</v>
      </c>
      <c r="DW115" s="407">
        <v>0</v>
      </c>
      <c r="DX115" s="407">
        <v>0</v>
      </c>
      <c r="DY115" s="407">
        <v>-4.8040200000000013</v>
      </c>
      <c r="DZ115" s="407">
        <v>7.2360000000000202E-2</v>
      </c>
      <c r="EA115" s="407">
        <v>0</v>
      </c>
      <c r="EB115" s="407">
        <v>0</v>
      </c>
      <c r="EC115" s="407">
        <v>-4.6123747303744604</v>
      </c>
      <c r="ED115" s="407">
        <v>0</v>
      </c>
      <c r="EE115" s="407">
        <v>0</v>
      </c>
      <c r="EF115" s="407">
        <v>0</v>
      </c>
      <c r="EG115" s="407">
        <v>0</v>
      </c>
      <c r="EH115" s="407">
        <v>0</v>
      </c>
      <c r="EI115" s="407">
        <v>0</v>
      </c>
      <c r="EJ115" s="407">
        <v>0</v>
      </c>
      <c r="EK115" s="407">
        <v>0</v>
      </c>
      <c r="EL115" s="407">
        <v>0</v>
      </c>
      <c r="EM115" s="407">
        <v>0</v>
      </c>
      <c r="EN115" s="407">
        <v>0</v>
      </c>
      <c r="EO115" s="407">
        <v>0</v>
      </c>
      <c r="EP115" s="407">
        <v>0</v>
      </c>
      <c r="EQ115" s="407">
        <v>0</v>
      </c>
      <c r="ER115" s="407">
        <v>0</v>
      </c>
      <c r="ES115" s="407">
        <v>0</v>
      </c>
      <c r="ET115" s="407">
        <v>0</v>
      </c>
      <c r="EU115" s="407">
        <v>0</v>
      </c>
      <c r="EV115" s="407">
        <v>207</v>
      </c>
      <c r="EW115" s="407">
        <v>0</v>
      </c>
      <c r="EX115" s="407">
        <v>0</v>
      </c>
      <c r="EY115" s="407">
        <v>0</v>
      </c>
      <c r="EZ115" s="407"/>
      <c r="FA115" s="407">
        <v>0</v>
      </c>
      <c r="FB115" s="407"/>
      <c r="FC115" s="407"/>
      <c r="FD115" s="407"/>
      <c r="FE115" s="407"/>
      <c r="FF115" s="407">
        <v>0</v>
      </c>
      <c r="FG115" s="407">
        <v>0</v>
      </c>
      <c r="FH115" s="407">
        <v>0</v>
      </c>
      <c r="FI115" s="407">
        <v>0</v>
      </c>
    </row>
    <row r="116" spans="1:165" s="846" customFormat="1">
      <c r="A116" s="407">
        <v>114</v>
      </c>
      <c r="B116" s="407" t="s">
        <v>2308</v>
      </c>
      <c r="C116" s="407" t="s">
        <v>2313</v>
      </c>
      <c r="D116" s="407" t="s">
        <v>1220</v>
      </c>
      <c r="E116" s="407" t="s">
        <v>1023</v>
      </c>
      <c r="F116" s="407" t="s">
        <v>1023</v>
      </c>
      <c r="G116" s="407" t="s">
        <v>96</v>
      </c>
      <c r="H116" s="407" t="s">
        <v>96</v>
      </c>
      <c r="I116" s="407" t="s">
        <v>2314</v>
      </c>
      <c r="J116" s="407" t="s">
        <v>2306</v>
      </c>
      <c r="K116" s="815">
        <v>44531</v>
      </c>
      <c r="L116" s="407">
        <v>0</v>
      </c>
      <c r="M116" s="407">
        <v>0</v>
      </c>
      <c r="N116" s="407">
        <v>5.7000000000000002E-2</v>
      </c>
      <c r="O116" s="407">
        <v>5.7000000000000002E-2</v>
      </c>
      <c r="P116" s="407">
        <v>5.7000000000000002E-2</v>
      </c>
      <c r="Q116" s="407">
        <v>5.7000000000000002E-2</v>
      </c>
      <c r="R116" s="407"/>
      <c r="S116" s="407">
        <v>1160</v>
      </c>
      <c r="T116" s="407">
        <v>127.85</v>
      </c>
      <c r="U116" s="407"/>
      <c r="V116" s="407">
        <v>73.407450000000011</v>
      </c>
      <c r="W116" s="407">
        <v>73.407450000000011</v>
      </c>
      <c r="X116" s="407">
        <v>58.423860000000005</v>
      </c>
      <c r="Y116" s="407">
        <v>0</v>
      </c>
      <c r="Z116" s="407">
        <v>3.481279368840434</v>
      </c>
      <c r="AA116" s="407">
        <v>0</v>
      </c>
      <c r="AB116" s="407">
        <v>0</v>
      </c>
      <c r="AC116" s="407">
        <v>0</v>
      </c>
      <c r="AD116" s="407">
        <v>10.840379721826498</v>
      </c>
      <c r="AE116" s="407">
        <v>49.40823203431632</v>
      </c>
      <c r="AF116" s="407">
        <v>7.287301583341689</v>
      </c>
      <c r="AG116" s="407">
        <v>0</v>
      </c>
      <c r="AH116" s="407">
        <v>0</v>
      </c>
      <c r="AI116" s="407">
        <v>0</v>
      </c>
      <c r="AJ116" s="407">
        <v>0</v>
      </c>
      <c r="AK116" s="407">
        <v>0</v>
      </c>
      <c r="AL116" s="407">
        <v>0.53838195274817224</v>
      </c>
      <c r="AM116" s="407"/>
      <c r="AN116" s="407">
        <v>0.13057350765316106</v>
      </c>
      <c r="AO116" s="407">
        <v>0</v>
      </c>
      <c r="AP116" s="407">
        <v>0</v>
      </c>
      <c r="AQ116" s="407">
        <v>0</v>
      </c>
      <c r="AR116" s="407">
        <v>0</v>
      </c>
      <c r="AS116" s="407">
        <v>0</v>
      </c>
      <c r="AT116" s="407">
        <v>0</v>
      </c>
      <c r="AU116" s="407">
        <v>0</v>
      </c>
      <c r="AV116" s="407">
        <v>0</v>
      </c>
      <c r="AW116" s="407">
        <v>0</v>
      </c>
      <c r="AX116" s="407">
        <v>0</v>
      </c>
      <c r="AY116" s="407">
        <v>0</v>
      </c>
      <c r="AZ116" s="407">
        <v>0</v>
      </c>
      <c r="BA116" s="407"/>
      <c r="BB116" s="407">
        <v>0</v>
      </c>
      <c r="BC116" s="407">
        <v>0</v>
      </c>
      <c r="BD116" s="407">
        <v>0</v>
      </c>
      <c r="BE116" s="407">
        <v>0</v>
      </c>
      <c r="BF116" s="407">
        <v>0</v>
      </c>
      <c r="BG116" s="407">
        <v>1.7212970393892149</v>
      </c>
      <c r="BH116" s="407">
        <v>0</v>
      </c>
      <c r="BI116" s="407">
        <v>0</v>
      </c>
      <c r="BJ116" s="407">
        <v>0</v>
      </c>
      <c r="BK116" s="407">
        <v>0</v>
      </c>
      <c r="BL116" s="407">
        <v>0</v>
      </c>
      <c r="BM116" s="407"/>
      <c r="BN116" s="407"/>
      <c r="BO116" s="407"/>
      <c r="BP116" s="407"/>
      <c r="BQ116" s="407"/>
      <c r="BR116" s="407"/>
      <c r="BS116" s="407"/>
      <c r="BT116" s="407"/>
      <c r="BU116" s="407"/>
      <c r="BV116" s="407">
        <v>9.0085986227309043</v>
      </c>
      <c r="BW116" s="407"/>
      <c r="BX116" s="407"/>
      <c r="BY116" s="407"/>
      <c r="BZ116" s="407"/>
      <c r="CA116" s="407"/>
      <c r="CB116" s="407"/>
      <c r="CC116" s="407"/>
      <c r="CD116" s="407"/>
      <c r="CE116" s="407"/>
      <c r="CF116" s="407"/>
      <c r="CG116" s="407"/>
      <c r="CH116" s="407"/>
      <c r="CI116" s="407">
        <v>61.498799999999996</v>
      </c>
      <c r="CJ116" s="407">
        <v>-11.938650000000031</v>
      </c>
      <c r="CK116" s="407"/>
      <c r="CL116" s="407"/>
      <c r="CM116" s="407"/>
      <c r="CN116" s="407"/>
      <c r="CO116" s="407">
        <v>-15.212730000000001</v>
      </c>
      <c r="CP116" s="407">
        <v>0.22914000000000059</v>
      </c>
      <c r="CQ116" s="407"/>
      <c r="CR116" s="407">
        <v>-0.37779189120703194</v>
      </c>
      <c r="CS116" s="407">
        <v>0</v>
      </c>
      <c r="CT116" s="407">
        <v>0</v>
      </c>
      <c r="CU116" s="407">
        <v>0</v>
      </c>
      <c r="CV116" s="407">
        <v>0</v>
      </c>
      <c r="CW116" s="407">
        <v>0</v>
      </c>
      <c r="CX116" s="407">
        <v>0</v>
      </c>
      <c r="CY116" s="407">
        <v>0</v>
      </c>
      <c r="CZ116" s="407">
        <v>-0.56869407377571335</v>
      </c>
      <c r="DA116" s="407">
        <v>0</v>
      </c>
      <c r="DB116" s="407">
        <v>0</v>
      </c>
      <c r="DC116" s="407">
        <v>0.22930377745738273</v>
      </c>
      <c r="DD116" s="407">
        <v>0</v>
      </c>
      <c r="DE116" s="407">
        <v>0</v>
      </c>
      <c r="DF116" s="407">
        <v>0</v>
      </c>
      <c r="DG116" s="407">
        <v>5.416269777559557E-2</v>
      </c>
      <c r="DH116" s="407">
        <v>0</v>
      </c>
      <c r="DI116" s="407">
        <v>-7.9280753084389755E-2</v>
      </c>
      <c r="DJ116" s="407"/>
      <c r="DK116" s="407">
        <v>0</v>
      </c>
      <c r="DL116" s="407">
        <v>0</v>
      </c>
      <c r="DM116" s="407">
        <v>0</v>
      </c>
      <c r="DN116" s="407">
        <v>0</v>
      </c>
      <c r="DO116" s="407">
        <v>-1.0273421890845014E-2</v>
      </c>
      <c r="DP116" s="407">
        <v>-3.0101176890657E-3</v>
      </c>
      <c r="DQ116" s="407">
        <v>0</v>
      </c>
      <c r="DR116" s="407">
        <v>0</v>
      </c>
      <c r="DS116" s="407"/>
      <c r="DT116" s="407"/>
      <c r="DU116" s="407"/>
      <c r="DV116" s="407">
        <v>49.40823203431632</v>
      </c>
      <c r="DW116" s="407">
        <v>0</v>
      </c>
      <c r="DX116" s="407">
        <v>0</v>
      </c>
      <c r="DY116" s="407">
        <v>-15.212730000000001</v>
      </c>
      <c r="DZ116" s="407">
        <v>0.22914000000000101</v>
      </c>
      <c r="EA116" s="407">
        <v>0</v>
      </c>
      <c r="EB116" s="407">
        <v>0</v>
      </c>
      <c r="EC116" s="407">
        <v>-14.605853312852453</v>
      </c>
      <c r="ED116" s="407">
        <v>0</v>
      </c>
      <c r="EE116" s="407">
        <v>0</v>
      </c>
      <c r="EF116" s="407">
        <v>0</v>
      </c>
      <c r="EG116" s="407">
        <v>0</v>
      </c>
      <c r="EH116" s="407">
        <v>0</v>
      </c>
      <c r="EI116" s="407">
        <v>0</v>
      </c>
      <c r="EJ116" s="407">
        <v>0</v>
      </c>
      <c r="EK116" s="407">
        <v>0</v>
      </c>
      <c r="EL116" s="407">
        <v>0</v>
      </c>
      <c r="EM116" s="407">
        <v>0</v>
      </c>
      <c r="EN116" s="407">
        <v>0</v>
      </c>
      <c r="EO116" s="407">
        <v>0</v>
      </c>
      <c r="EP116" s="407">
        <v>0</v>
      </c>
      <c r="EQ116" s="407">
        <v>0</v>
      </c>
      <c r="ER116" s="407">
        <v>0</v>
      </c>
      <c r="ES116" s="407">
        <v>0</v>
      </c>
      <c r="ET116" s="407">
        <v>0</v>
      </c>
      <c r="EU116" s="407">
        <v>0</v>
      </c>
      <c r="EV116" s="407">
        <v>207</v>
      </c>
      <c r="EW116" s="407">
        <v>0</v>
      </c>
      <c r="EX116" s="407">
        <v>0</v>
      </c>
      <c r="EY116" s="407">
        <v>0</v>
      </c>
      <c r="EZ116" s="407"/>
      <c r="FA116" s="407">
        <v>0</v>
      </c>
      <c r="FB116" s="407"/>
      <c r="FC116" s="407"/>
      <c r="FD116" s="407"/>
      <c r="FE116" s="407"/>
      <c r="FF116" s="407">
        <v>0</v>
      </c>
      <c r="FG116" s="407">
        <v>0</v>
      </c>
      <c r="FH116" s="407">
        <v>0</v>
      </c>
      <c r="FI116" s="407">
        <v>0</v>
      </c>
    </row>
    <row r="117" spans="1:165" s="846" customFormat="1">
      <c r="A117" s="407">
        <v>115</v>
      </c>
      <c r="B117" s="407" t="s">
        <v>1092</v>
      </c>
      <c r="C117" s="407" t="s">
        <v>2315</v>
      </c>
      <c r="D117" s="407" t="s">
        <v>648</v>
      </c>
      <c r="E117" s="407" t="s">
        <v>1024</v>
      </c>
      <c r="F117" s="407" t="s">
        <v>96</v>
      </c>
      <c r="G117" s="407" t="s">
        <v>96</v>
      </c>
      <c r="H117" s="407" t="s">
        <v>96</v>
      </c>
      <c r="I117" s="407" t="s">
        <v>1027</v>
      </c>
      <c r="J117" s="407" t="s">
        <v>2306</v>
      </c>
      <c r="K117" s="815">
        <v>44531</v>
      </c>
      <c r="L117" s="407">
        <v>0</v>
      </c>
      <c r="M117" s="407">
        <v>0</v>
      </c>
      <c r="N117" s="407">
        <v>4.0910000000000002</v>
      </c>
      <c r="O117" s="407">
        <v>4.0910000000000002</v>
      </c>
      <c r="P117" s="407">
        <v>4.0910000000000002</v>
      </c>
      <c r="Q117" s="407">
        <v>4.0910000000000002</v>
      </c>
      <c r="R117" s="407"/>
      <c r="S117" s="407">
        <v>2075.9499999999998</v>
      </c>
      <c r="T117" s="407">
        <v>127.85</v>
      </c>
      <c r="U117" s="407"/>
      <c r="V117" s="407">
        <v>9015.7457999999988</v>
      </c>
      <c r="W117" s="407">
        <v>9015.7457999999988</v>
      </c>
      <c r="X117" s="407">
        <v>7226.3833100000002</v>
      </c>
      <c r="Y117" s="407">
        <v>0</v>
      </c>
      <c r="Z117" s="407">
        <v>217.37658054729505</v>
      </c>
      <c r="AA117" s="407">
        <v>0</v>
      </c>
      <c r="AB117" s="407">
        <v>0</v>
      </c>
      <c r="AC117" s="407">
        <v>0</v>
      </c>
      <c r="AD117" s="407">
        <v>2577.3664812180023</v>
      </c>
      <c r="AE117" s="407">
        <v>5633.9769222869045</v>
      </c>
      <c r="AF117" s="407">
        <v>523.02369785001486</v>
      </c>
      <c r="AG117" s="407">
        <v>0</v>
      </c>
      <c r="AH117" s="407">
        <v>0</v>
      </c>
      <c r="AI117" s="407">
        <v>0</v>
      </c>
      <c r="AJ117" s="407">
        <v>0</v>
      </c>
      <c r="AK117" s="407">
        <v>0</v>
      </c>
      <c r="AL117" s="407">
        <v>38.64071173145215</v>
      </c>
      <c r="AM117" s="407"/>
      <c r="AN117" s="407">
        <v>4.1090172226166874</v>
      </c>
      <c r="AO117" s="407">
        <v>0</v>
      </c>
      <c r="AP117" s="407">
        <v>0</v>
      </c>
      <c r="AQ117" s="407">
        <v>0</v>
      </c>
      <c r="AR117" s="407">
        <v>0</v>
      </c>
      <c r="AS117" s="407">
        <v>0</v>
      </c>
      <c r="AT117" s="407">
        <v>0</v>
      </c>
      <c r="AU117" s="407">
        <v>0</v>
      </c>
      <c r="AV117" s="407">
        <v>0</v>
      </c>
      <c r="AW117" s="407">
        <v>0</v>
      </c>
      <c r="AX117" s="407">
        <v>0</v>
      </c>
      <c r="AY117" s="407">
        <v>0</v>
      </c>
      <c r="AZ117" s="407">
        <v>0</v>
      </c>
      <c r="BA117" s="407"/>
      <c r="BB117" s="407">
        <v>0</v>
      </c>
      <c r="BC117" s="407">
        <v>0</v>
      </c>
      <c r="BD117" s="407">
        <v>0</v>
      </c>
      <c r="BE117" s="407">
        <v>0</v>
      </c>
      <c r="BF117" s="407">
        <v>0</v>
      </c>
      <c r="BG117" s="407">
        <v>21.238763908902769</v>
      </c>
      <c r="BH117" s="407">
        <v>0</v>
      </c>
      <c r="BI117" s="407">
        <v>0</v>
      </c>
      <c r="BJ117" s="407">
        <v>0</v>
      </c>
      <c r="BK117" s="407">
        <v>0</v>
      </c>
      <c r="BL117" s="407">
        <v>0</v>
      </c>
      <c r="BM117" s="407"/>
      <c r="BN117" s="407"/>
      <c r="BO117" s="407"/>
      <c r="BP117" s="407"/>
      <c r="BQ117" s="407"/>
      <c r="BR117" s="407"/>
      <c r="BS117" s="407"/>
      <c r="BT117" s="407"/>
      <c r="BU117" s="407"/>
      <c r="BV117" s="407">
        <v>544.26246175891765</v>
      </c>
      <c r="BW117" s="407"/>
      <c r="BX117" s="407"/>
      <c r="BY117" s="407"/>
      <c r="BZ117" s="407"/>
      <c r="CA117" s="407"/>
      <c r="CB117" s="407"/>
      <c r="CC117" s="407"/>
      <c r="CD117" s="407"/>
      <c r="CE117" s="407"/>
      <c r="CF117" s="407"/>
      <c r="CG117" s="407"/>
      <c r="CH117" s="407"/>
      <c r="CI117" s="407">
        <v>7224.6168999999991</v>
      </c>
      <c r="CJ117" s="407">
        <v>-1791.1589000000004</v>
      </c>
      <c r="CK117" s="407"/>
      <c r="CL117" s="407"/>
      <c r="CM117" s="407"/>
      <c r="CN117" s="407"/>
      <c r="CO117" s="407">
        <v>-1805.8083099999994</v>
      </c>
      <c r="CP117" s="407">
        <v>16.445820000000044</v>
      </c>
      <c r="CQ117" s="407"/>
      <c r="CR117" s="407">
        <v>-123.86709508834656</v>
      </c>
      <c r="CS117" s="407">
        <v>0</v>
      </c>
      <c r="CT117" s="407">
        <v>0</v>
      </c>
      <c r="CU117" s="407">
        <v>0</v>
      </c>
      <c r="CV117" s="407">
        <v>0</v>
      </c>
      <c r="CW117" s="407">
        <v>0</v>
      </c>
      <c r="CX117" s="407">
        <v>0</v>
      </c>
      <c r="CY117" s="407">
        <v>0</v>
      </c>
      <c r="CZ117" s="407">
        <v>-135.21048906300302</v>
      </c>
      <c r="DA117" s="407">
        <v>0</v>
      </c>
      <c r="DB117" s="407">
        <v>0</v>
      </c>
      <c r="DC117" s="407">
        <v>16.457574624178164</v>
      </c>
      <c r="DD117" s="407">
        <v>0</v>
      </c>
      <c r="DE117" s="407">
        <v>0</v>
      </c>
      <c r="DF117" s="407">
        <v>0</v>
      </c>
      <c r="DG117" s="407">
        <v>0.66830345048015616</v>
      </c>
      <c r="DH117" s="407">
        <v>0</v>
      </c>
      <c r="DI117" s="407">
        <v>-4.9504154027262359</v>
      </c>
      <c r="DJ117" s="407"/>
      <c r="DK117" s="407">
        <v>0</v>
      </c>
      <c r="DL117" s="407">
        <v>0</v>
      </c>
      <c r="DM117" s="407">
        <v>0</v>
      </c>
      <c r="DN117" s="407">
        <v>0</v>
      </c>
      <c r="DO117" s="407">
        <v>-0.73734331500783412</v>
      </c>
      <c r="DP117" s="407">
        <v>-9.4725382267656144E-2</v>
      </c>
      <c r="DQ117" s="407">
        <v>0</v>
      </c>
      <c r="DR117" s="407">
        <v>0</v>
      </c>
      <c r="DS117" s="407"/>
      <c r="DT117" s="407"/>
      <c r="DU117" s="407"/>
      <c r="DV117" s="407">
        <v>5633.9769222869045</v>
      </c>
      <c r="DW117" s="407">
        <v>0</v>
      </c>
      <c r="DX117" s="407">
        <v>0</v>
      </c>
      <c r="DY117" s="407">
        <v>-1805.8083099999985</v>
      </c>
      <c r="DZ117" s="407">
        <v>16.445820000000026</v>
      </c>
      <c r="EA117" s="407">
        <v>0</v>
      </c>
      <c r="EB117" s="407">
        <v>0</v>
      </c>
      <c r="EC117" s="407">
        <v>-1665.4925122146528</v>
      </c>
      <c r="ED117" s="407">
        <v>0</v>
      </c>
      <c r="EE117" s="407">
        <v>0</v>
      </c>
      <c r="EF117" s="407">
        <v>0</v>
      </c>
      <c r="EG117" s="407">
        <v>0</v>
      </c>
      <c r="EH117" s="407">
        <v>0</v>
      </c>
      <c r="EI117" s="407">
        <v>0</v>
      </c>
      <c r="EJ117" s="407">
        <v>0</v>
      </c>
      <c r="EK117" s="407">
        <v>0</v>
      </c>
      <c r="EL117" s="407">
        <v>0</v>
      </c>
      <c r="EM117" s="407">
        <v>0</v>
      </c>
      <c r="EN117" s="407">
        <v>0</v>
      </c>
      <c r="EO117" s="407">
        <v>0</v>
      </c>
      <c r="EP117" s="407">
        <v>0</v>
      </c>
      <c r="EQ117" s="407">
        <v>0</v>
      </c>
      <c r="ER117" s="407">
        <v>0</v>
      </c>
      <c r="ES117" s="407">
        <v>0</v>
      </c>
      <c r="ET117" s="407">
        <v>0</v>
      </c>
      <c r="EU117" s="407">
        <v>0</v>
      </c>
      <c r="EV117" s="407">
        <v>207</v>
      </c>
      <c r="EW117" s="407">
        <v>0</v>
      </c>
      <c r="EX117" s="407">
        <v>0</v>
      </c>
      <c r="EY117" s="407">
        <v>0</v>
      </c>
      <c r="EZ117" s="407"/>
      <c r="FA117" s="407">
        <v>0</v>
      </c>
      <c r="FB117" s="407"/>
      <c r="FC117" s="407"/>
      <c r="FD117" s="407"/>
      <c r="FE117" s="407"/>
      <c r="FF117" s="407">
        <v>0</v>
      </c>
      <c r="FG117" s="407">
        <v>0</v>
      </c>
      <c r="FH117" s="407">
        <v>0</v>
      </c>
      <c r="FI117" s="407">
        <v>0</v>
      </c>
    </row>
    <row r="118" spans="1:165" s="846" customFormat="1">
      <c r="A118" s="407">
        <v>116</v>
      </c>
      <c r="B118" s="407" t="s">
        <v>1092</v>
      </c>
      <c r="C118" s="407" t="s">
        <v>2315</v>
      </c>
      <c r="D118" s="407" t="s">
        <v>648</v>
      </c>
      <c r="E118" s="407" t="s">
        <v>1024</v>
      </c>
      <c r="F118" s="407" t="s">
        <v>96</v>
      </c>
      <c r="G118" s="407" t="s">
        <v>96</v>
      </c>
      <c r="H118" s="407" t="s">
        <v>96</v>
      </c>
      <c r="I118" s="407" t="s">
        <v>2290</v>
      </c>
      <c r="J118" s="407" t="s">
        <v>2306</v>
      </c>
      <c r="K118" s="815">
        <v>44531</v>
      </c>
      <c r="L118" s="407">
        <v>0</v>
      </c>
      <c r="M118" s="407">
        <v>0</v>
      </c>
      <c r="N118" s="407">
        <v>53.637999999999998</v>
      </c>
      <c r="O118" s="407">
        <v>53.637999999999998</v>
      </c>
      <c r="P118" s="407">
        <v>53.637999999999998</v>
      </c>
      <c r="Q118" s="407">
        <v>53.637999999999998</v>
      </c>
      <c r="R118" s="407"/>
      <c r="S118" s="407">
        <v>68.78</v>
      </c>
      <c r="T118" s="407">
        <v>127.85</v>
      </c>
      <c r="U118" s="407"/>
      <c r="V118" s="407">
        <v>10546.839939999998</v>
      </c>
      <c r="W118" s="407">
        <v>10546.839939999998</v>
      </c>
      <c r="X118" s="407">
        <v>10695.4172</v>
      </c>
      <c r="Y118" s="407">
        <v>0</v>
      </c>
      <c r="Z118" s="407">
        <v>2850.0721162052823</v>
      </c>
      <c r="AA118" s="407">
        <v>0</v>
      </c>
      <c r="AB118" s="407">
        <v>0</v>
      </c>
      <c r="AC118" s="407">
        <v>0</v>
      </c>
      <c r="AD118" s="407">
        <v>0</v>
      </c>
      <c r="AE118" s="407">
        <v>0</v>
      </c>
      <c r="AF118" s="407">
        <v>6857.478637320728</v>
      </c>
      <c r="AG118" s="407">
        <v>0</v>
      </c>
      <c r="AH118" s="407">
        <v>0</v>
      </c>
      <c r="AI118" s="407">
        <v>0</v>
      </c>
      <c r="AJ118" s="407">
        <v>0</v>
      </c>
      <c r="AK118" s="407">
        <v>0</v>
      </c>
      <c r="AL118" s="407">
        <v>506.62686283344669</v>
      </c>
      <c r="AM118" s="407"/>
      <c r="AN118" s="407">
        <v>53.874227765024166</v>
      </c>
      <c r="AO118" s="407">
        <v>0</v>
      </c>
      <c r="AP118" s="407">
        <v>0</v>
      </c>
      <c r="AQ118" s="407">
        <v>0</v>
      </c>
      <c r="AR118" s="407">
        <v>0</v>
      </c>
      <c r="AS118" s="407">
        <v>0</v>
      </c>
      <c r="AT118" s="407">
        <v>0</v>
      </c>
      <c r="AU118" s="407">
        <v>0</v>
      </c>
      <c r="AV118" s="407">
        <v>0</v>
      </c>
      <c r="AW118" s="407">
        <v>0</v>
      </c>
      <c r="AX118" s="407">
        <v>0</v>
      </c>
      <c r="AY118" s="407">
        <v>0</v>
      </c>
      <c r="AZ118" s="407">
        <v>0</v>
      </c>
      <c r="BA118" s="407"/>
      <c r="BB118" s="407">
        <v>0</v>
      </c>
      <c r="BC118" s="407">
        <v>0</v>
      </c>
      <c r="BD118" s="407">
        <v>0</v>
      </c>
      <c r="BE118" s="407">
        <v>0</v>
      </c>
      <c r="BF118" s="407">
        <v>0</v>
      </c>
      <c r="BG118" s="407">
        <v>278.46610084227001</v>
      </c>
      <c r="BH118" s="407">
        <v>0</v>
      </c>
      <c r="BI118" s="407">
        <v>0</v>
      </c>
      <c r="BJ118" s="407">
        <v>0</v>
      </c>
      <c r="BK118" s="407">
        <v>0</v>
      </c>
      <c r="BL118" s="407">
        <v>0</v>
      </c>
      <c r="BM118" s="407"/>
      <c r="BN118" s="407"/>
      <c r="BO118" s="407"/>
      <c r="BP118" s="407"/>
      <c r="BQ118" s="407"/>
      <c r="BR118" s="407"/>
      <c r="BS118" s="407"/>
      <c r="BT118" s="407"/>
      <c r="BU118" s="407"/>
      <c r="BV118" s="407">
        <v>7135.944738162998</v>
      </c>
      <c r="BW118" s="407"/>
      <c r="BX118" s="407"/>
      <c r="BY118" s="407"/>
      <c r="BZ118" s="407"/>
      <c r="CA118" s="407"/>
      <c r="CB118" s="407"/>
      <c r="CC118" s="407"/>
      <c r="CD118" s="407"/>
      <c r="CE118" s="407"/>
      <c r="CF118" s="407"/>
      <c r="CG118" s="407"/>
      <c r="CH118" s="407"/>
      <c r="CI118" s="407">
        <v>10695.816000000001</v>
      </c>
      <c r="CJ118" s="407">
        <v>148.94606000000203</v>
      </c>
      <c r="CK118" s="407"/>
      <c r="CL118" s="407"/>
      <c r="CM118" s="407"/>
      <c r="CN118" s="407"/>
      <c r="CO118" s="407">
        <v>-67.047499999999999</v>
      </c>
      <c r="CP118" s="407">
        <v>215.62476000000055</v>
      </c>
      <c r="CQ118" s="407"/>
      <c r="CR118" s="407">
        <v>148.72573112017199</v>
      </c>
      <c r="CS118" s="407">
        <v>0</v>
      </c>
      <c r="CT118" s="407">
        <v>0</v>
      </c>
      <c r="CU118" s="407">
        <v>0</v>
      </c>
      <c r="CV118" s="407">
        <v>0</v>
      </c>
      <c r="CW118" s="407">
        <v>0</v>
      </c>
      <c r="CX118" s="407">
        <v>0</v>
      </c>
      <c r="CY118" s="407">
        <v>0</v>
      </c>
      <c r="CZ118" s="407">
        <v>0</v>
      </c>
      <c r="DA118" s="407">
        <v>0</v>
      </c>
      <c r="DB118" s="407">
        <v>0</v>
      </c>
      <c r="DC118" s="407">
        <v>215.77887746068609</v>
      </c>
      <c r="DD118" s="407">
        <v>0</v>
      </c>
      <c r="DE118" s="407">
        <v>0</v>
      </c>
      <c r="DF118" s="407">
        <v>0</v>
      </c>
      <c r="DG118" s="407">
        <v>8.7622733993778184</v>
      </c>
      <c r="DH118" s="407">
        <v>0</v>
      </c>
      <c r="DI118" s="407">
        <v>-64.905984202255695</v>
      </c>
      <c r="DJ118" s="407"/>
      <c r="DK118" s="407">
        <v>0</v>
      </c>
      <c r="DL118" s="407">
        <v>0</v>
      </c>
      <c r="DM118" s="407">
        <v>0</v>
      </c>
      <c r="DN118" s="407">
        <v>0</v>
      </c>
      <c r="DO118" s="407">
        <v>-9.6674702347568768</v>
      </c>
      <c r="DP118" s="407">
        <v>-1.2419653028776736</v>
      </c>
      <c r="DQ118" s="407">
        <v>0</v>
      </c>
      <c r="DR118" s="407">
        <v>0</v>
      </c>
      <c r="DS118" s="407"/>
      <c r="DT118" s="407"/>
      <c r="DU118" s="407"/>
      <c r="DV118" s="407">
        <v>0</v>
      </c>
      <c r="DW118" s="407">
        <v>0</v>
      </c>
      <c r="DX118" s="407">
        <v>0</v>
      </c>
      <c r="DY118" s="407">
        <v>-67.047499999999673</v>
      </c>
      <c r="DZ118" s="407">
        <v>215.62476000000061</v>
      </c>
      <c r="EA118" s="407">
        <v>0</v>
      </c>
      <c r="EB118" s="407">
        <v>0</v>
      </c>
      <c r="EC118" s="407">
        <v>0</v>
      </c>
      <c r="ED118" s="407">
        <v>0</v>
      </c>
      <c r="EE118" s="407">
        <v>0</v>
      </c>
      <c r="EF118" s="407">
        <v>0</v>
      </c>
      <c r="EG118" s="407">
        <v>0</v>
      </c>
      <c r="EH118" s="407">
        <v>0</v>
      </c>
      <c r="EI118" s="407">
        <v>0</v>
      </c>
      <c r="EJ118" s="407">
        <v>0</v>
      </c>
      <c r="EK118" s="407">
        <v>0</v>
      </c>
      <c r="EL118" s="407">
        <v>0</v>
      </c>
      <c r="EM118" s="407">
        <v>0</v>
      </c>
      <c r="EN118" s="407">
        <v>0</v>
      </c>
      <c r="EO118" s="407">
        <v>0</v>
      </c>
      <c r="EP118" s="407">
        <v>0</v>
      </c>
      <c r="EQ118" s="407">
        <v>0</v>
      </c>
      <c r="ER118" s="407">
        <v>0</v>
      </c>
      <c r="ES118" s="407">
        <v>0</v>
      </c>
      <c r="ET118" s="407">
        <v>0</v>
      </c>
      <c r="EU118" s="407">
        <v>0</v>
      </c>
      <c r="EV118" s="407">
        <v>207</v>
      </c>
      <c r="EW118" s="407">
        <v>0</v>
      </c>
      <c r="EX118" s="407">
        <v>0</v>
      </c>
      <c r="EY118" s="407">
        <v>0</v>
      </c>
      <c r="EZ118" s="407"/>
      <c r="FA118" s="407">
        <v>0</v>
      </c>
      <c r="FB118" s="407"/>
      <c r="FC118" s="407"/>
      <c r="FD118" s="407"/>
      <c r="FE118" s="407"/>
      <c r="FF118" s="407">
        <v>0</v>
      </c>
      <c r="FG118" s="407">
        <v>0</v>
      </c>
      <c r="FH118" s="407">
        <v>0</v>
      </c>
      <c r="FI118" s="407">
        <v>0</v>
      </c>
    </row>
    <row r="119" spans="1:165" s="846" customFormat="1">
      <c r="A119" s="407">
        <v>117</v>
      </c>
      <c r="B119" s="407" t="s">
        <v>1092</v>
      </c>
      <c r="C119" s="407" t="s">
        <v>2315</v>
      </c>
      <c r="D119" s="407" t="s">
        <v>648</v>
      </c>
      <c r="E119" s="407" t="s">
        <v>1024</v>
      </c>
      <c r="F119" s="407" t="s">
        <v>96</v>
      </c>
      <c r="G119" s="407" t="s">
        <v>96</v>
      </c>
      <c r="H119" s="407" t="s">
        <v>96</v>
      </c>
      <c r="I119" s="407" t="s">
        <v>96</v>
      </c>
      <c r="J119" s="407" t="s">
        <v>2306</v>
      </c>
      <c r="K119" s="815">
        <v>44531</v>
      </c>
      <c r="L119" s="407">
        <v>276</v>
      </c>
      <c r="M119" s="407">
        <v>276</v>
      </c>
      <c r="N119" s="407">
        <v>0</v>
      </c>
      <c r="O119" s="407">
        <v>0</v>
      </c>
      <c r="P119" s="407">
        <v>0</v>
      </c>
      <c r="Q119" s="407">
        <v>0</v>
      </c>
      <c r="R119" s="407">
        <v>39.56</v>
      </c>
      <c r="S119" s="407"/>
      <c r="T119" s="407"/>
      <c r="U119" s="407">
        <v>10918.560000000001</v>
      </c>
      <c r="V119" s="407"/>
      <c r="W119" s="407">
        <v>10918.560000000001</v>
      </c>
      <c r="X119" s="407">
        <v>8572.56</v>
      </c>
      <c r="Y119" s="407">
        <v>0</v>
      </c>
      <c r="Z119" s="407">
        <v>0</v>
      </c>
      <c r="AA119" s="407">
        <v>0</v>
      </c>
      <c r="AB119" s="407">
        <v>0</v>
      </c>
      <c r="AC119" s="407">
        <v>0</v>
      </c>
      <c r="AD119" s="407">
        <v>3634.9977768336166</v>
      </c>
      <c r="AE119" s="407">
        <v>7282.2412569988928</v>
      </c>
      <c r="AF119" s="407"/>
      <c r="AG119" s="407"/>
      <c r="AH119" s="407"/>
      <c r="AI119" s="407">
        <v>0</v>
      </c>
      <c r="AJ119" s="407">
        <v>0</v>
      </c>
      <c r="AK119" s="407">
        <v>0</v>
      </c>
      <c r="AL119" s="407">
        <v>0</v>
      </c>
      <c r="AM119" s="407"/>
      <c r="AN119" s="407">
        <v>0</v>
      </c>
      <c r="AO119" s="407">
        <v>0</v>
      </c>
      <c r="AP119" s="407">
        <v>0</v>
      </c>
      <c r="AQ119" s="407">
        <v>0</v>
      </c>
      <c r="AR119" s="407">
        <v>0</v>
      </c>
      <c r="AS119" s="407"/>
      <c r="AT119" s="407"/>
      <c r="AU119" s="407">
        <v>0</v>
      </c>
      <c r="AV119" s="407">
        <v>0</v>
      </c>
      <c r="AW119" s="407">
        <v>0</v>
      </c>
      <c r="AX119" s="407"/>
      <c r="AY119" s="407"/>
      <c r="AZ119" s="407">
        <v>0</v>
      </c>
      <c r="BA119" s="407"/>
      <c r="BB119" s="407">
        <v>0</v>
      </c>
      <c r="BC119" s="407">
        <v>0</v>
      </c>
      <c r="BD119" s="407">
        <v>0</v>
      </c>
      <c r="BE119" s="407">
        <v>0</v>
      </c>
      <c r="BF119" s="407"/>
      <c r="BG119" s="407">
        <v>0</v>
      </c>
      <c r="BH119" s="407">
        <v>0</v>
      </c>
      <c r="BI119" s="407">
        <v>103.75</v>
      </c>
      <c r="BJ119" s="407">
        <v>478.89</v>
      </c>
      <c r="BK119" s="407">
        <v>7743.18</v>
      </c>
      <c r="BL119" s="407">
        <v>1</v>
      </c>
      <c r="BM119" s="407"/>
      <c r="BN119" s="407"/>
      <c r="BO119" s="407"/>
      <c r="BP119" s="407"/>
      <c r="BQ119" s="407"/>
      <c r="BR119" s="407"/>
      <c r="BS119" s="407"/>
      <c r="BT119" s="407"/>
      <c r="BU119" s="407"/>
      <c r="BV119" s="407">
        <v>0</v>
      </c>
      <c r="BW119" s="407"/>
      <c r="BX119" s="407"/>
      <c r="BY119" s="407"/>
      <c r="BZ119" s="407"/>
      <c r="CA119" s="407"/>
      <c r="CB119" s="407"/>
      <c r="CC119" s="407"/>
      <c r="CD119" s="407"/>
      <c r="CE119" s="407"/>
      <c r="CF119" s="407"/>
      <c r="CG119" s="407"/>
      <c r="CH119" s="407"/>
      <c r="CI119" s="407">
        <v>8572.56</v>
      </c>
      <c r="CJ119" s="407">
        <v>-2346.0300000000025</v>
      </c>
      <c r="CK119" s="407"/>
      <c r="CL119" s="407"/>
      <c r="CM119" s="407"/>
      <c r="CN119" s="407"/>
      <c r="CO119" s="407">
        <v>-2346.0000000000009</v>
      </c>
      <c r="CP119" s="407">
        <v>0</v>
      </c>
      <c r="CQ119" s="407"/>
      <c r="CR119" s="407">
        <v>-190.69458330050475</v>
      </c>
      <c r="CS119" s="407">
        <v>0</v>
      </c>
      <c r="CT119" s="407">
        <v>0</v>
      </c>
      <c r="CU119" s="407">
        <v>0</v>
      </c>
      <c r="CV119" s="407">
        <v>0</v>
      </c>
      <c r="CW119" s="407"/>
      <c r="CX119" s="407"/>
      <c r="CY119" s="407"/>
      <c r="CZ119" s="407">
        <v>-190.69458330050475</v>
      </c>
      <c r="DA119" s="407">
        <v>0</v>
      </c>
      <c r="DB119" s="407">
        <v>0</v>
      </c>
      <c r="DC119" s="407"/>
      <c r="DD119" s="407"/>
      <c r="DE119" s="407">
        <v>0</v>
      </c>
      <c r="DF119" s="407">
        <v>0</v>
      </c>
      <c r="DG119" s="407">
        <v>0</v>
      </c>
      <c r="DH119" s="407">
        <v>0</v>
      </c>
      <c r="DI119" s="407">
        <v>0</v>
      </c>
      <c r="DJ119" s="407"/>
      <c r="DK119" s="407">
        <v>0</v>
      </c>
      <c r="DL119" s="407">
        <v>0</v>
      </c>
      <c r="DM119" s="407"/>
      <c r="DN119" s="407">
        <v>0</v>
      </c>
      <c r="DO119" s="407">
        <v>0</v>
      </c>
      <c r="DP119" s="407">
        <v>0</v>
      </c>
      <c r="DQ119" s="407">
        <v>0</v>
      </c>
      <c r="DR119" s="407">
        <v>0</v>
      </c>
      <c r="DS119" s="407"/>
      <c r="DT119" s="407"/>
      <c r="DU119" s="407">
        <v>7282.2412569988928</v>
      </c>
      <c r="DV119" s="407"/>
      <c r="DW119" s="407">
        <v>0</v>
      </c>
      <c r="DX119" s="407">
        <v>0</v>
      </c>
      <c r="DY119" s="407">
        <v>-2346.0000000000018</v>
      </c>
      <c r="DZ119" s="407"/>
      <c r="EA119" s="407">
        <v>0</v>
      </c>
      <c r="EB119" s="407"/>
      <c r="EC119" s="407">
        <v>-2152.745467893973</v>
      </c>
      <c r="ED119" s="407"/>
      <c r="EE119" s="407">
        <v>0</v>
      </c>
      <c r="EF119" s="407">
        <v>0</v>
      </c>
      <c r="EG119" s="407"/>
      <c r="EH119" s="407">
        <v>0</v>
      </c>
      <c r="EI119" s="407">
        <v>0</v>
      </c>
      <c r="EJ119" s="407">
        <v>0</v>
      </c>
      <c r="EK119" s="407">
        <v>0</v>
      </c>
      <c r="EL119" s="407">
        <v>0</v>
      </c>
      <c r="EM119" s="407"/>
      <c r="EN119" s="407"/>
      <c r="EO119" s="407">
        <v>0</v>
      </c>
      <c r="EP119" s="407">
        <v>0</v>
      </c>
      <c r="EQ119" s="407"/>
      <c r="ER119" s="407">
        <v>0</v>
      </c>
      <c r="ES119" s="407"/>
      <c r="ET119" s="407">
        <v>0</v>
      </c>
      <c r="EU119" s="407"/>
      <c r="EV119" s="407">
        <v>207</v>
      </c>
      <c r="EW119" s="407"/>
      <c r="EX119" s="407"/>
      <c r="EY119" s="407"/>
      <c r="EZ119" s="407"/>
      <c r="FA119" s="407">
        <v>0</v>
      </c>
      <c r="FB119" s="407"/>
      <c r="FC119" s="407"/>
      <c r="FD119" s="407"/>
      <c r="FE119" s="407"/>
      <c r="FF119" s="407">
        <v>0</v>
      </c>
      <c r="FG119" s="407">
        <v>0</v>
      </c>
      <c r="FH119" s="407">
        <v>0</v>
      </c>
      <c r="FI119" s="407">
        <v>0</v>
      </c>
    </row>
    <row r="120" spans="1:165" s="846" customFormat="1">
      <c r="A120" s="407">
        <v>118</v>
      </c>
      <c r="B120" s="407" t="s">
        <v>1092</v>
      </c>
      <c r="C120" s="407" t="s">
        <v>2305</v>
      </c>
      <c r="D120" s="407" t="s">
        <v>1221</v>
      </c>
      <c r="E120" s="407" t="s">
        <v>1051</v>
      </c>
      <c r="F120" s="407" t="s">
        <v>96</v>
      </c>
      <c r="G120" s="407" t="s">
        <v>96</v>
      </c>
      <c r="H120" s="407" t="s">
        <v>96</v>
      </c>
      <c r="I120" s="407" t="s">
        <v>96</v>
      </c>
      <c r="J120" s="407" t="s">
        <v>2306</v>
      </c>
      <c r="K120" s="815">
        <v>44531</v>
      </c>
      <c r="L120" s="407">
        <v>0</v>
      </c>
      <c r="M120" s="407">
        <v>0</v>
      </c>
      <c r="N120" s="407">
        <v>93.451999999999998</v>
      </c>
      <c r="O120" s="407">
        <v>93.451999999999998</v>
      </c>
      <c r="P120" s="407">
        <v>93.451999999999998</v>
      </c>
      <c r="Q120" s="407">
        <v>93.451999999999998</v>
      </c>
      <c r="R120" s="407"/>
      <c r="S120" s="407">
        <v>710.52</v>
      </c>
      <c r="T120" s="407">
        <v>127.85</v>
      </c>
      <c r="U120" s="407"/>
      <c r="V120" s="407">
        <v>78347.353239999997</v>
      </c>
      <c r="W120" s="407">
        <v>78347.353239999997</v>
      </c>
      <c r="X120" s="407">
        <v>64361.32692</v>
      </c>
      <c r="Y120" s="407">
        <v>0</v>
      </c>
      <c r="Z120" s="407">
        <v>5707.5880627522147</v>
      </c>
      <c r="AA120" s="407">
        <v>0</v>
      </c>
      <c r="AB120" s="407">
        <v>0</v>
      </c>
      <c r="AC120" s="407">
        <v>0</v>
      </c>
      <c r="AD120" s="407">
        <v>10218.271066003206</v>
      </c>
      <c r="AE120" s="407">
        <v>46554.729424514699</v>
      </c>
      <c r="AF120" s="407">
        <v>11947.594869586797</v>
      </c>
      <c r="AG120" s="407">
        <v>0</v>
      </c>
      <c r="AH120" s="407">
        <v>0</v>
      </c>
      <c r="AI120" s="407">
        <v>0</v>
      </c>
      <c r="AJ120" s="407">
        <v>0</v>
      </c>
      <c r="AK120" s="407">
        <v>0</v>
      </c>
      <c r="AL120" s="407">
        <v>882.68193417933674</v>
      </c>
      <c r="AM120" s="407"/>
      <c r="AN120" s="407">
        <v>214.07641117900363</v>
      </c>
      <c r="AO120" s="407">
        <v>0</v>
      </c>
      <c r="AP120" s="407">
        <v>0</v>
      </c>
      <c r="AQ120" s="407">
        <v>0</v>
      </c>
      <c r="AR120" s="407">
        <v>0</v>
      </c>
      <c r="AS120" s="407">
        <v>0</v>
      </c>
      <c r="AT120" s="407">
        <v>0</v>
      </c>
      <c r="AU120" s="407">
        <v>0</v>
      </c>
      <c r="AV120" s="407">
        <v>0</v>
      </c>
      <c r="AW120" s="407">
        <v>0</v>
      </c>
      <c r="AX120" s="407">
        <v>0</v>
      </c>
      <c r="AY120" s="407">
        <v>0</v>
      </c>
      <c r="AZ120" s="407">
        <v>0</v>
      </c>
      <c r="BA120" s="407"/>
      <c r="BB120" s="407">
        <v>0</v>
      </c>
      <c r="BC120" s="407">
        <v>0</v>
      </c>
      <c r="BD120" s="407">
        <v>0</v>
      </c>
      <c r="BE120" s="407">
        <v>0</v>
      </c>
      <c r="BF120" s="407">
        <v>0</v>
      </c>
      <c r="BG120" s="407">
        <v>2822.0815951754544</v>
      </c>
      <c r="BH120" s="407">
        <v>0</v>
      </c>
      <c r="BI120" s="407">
        <v>376.43</v>
      </c>
      <c r="BJ120" s="407">
        <v>1739.62</v>
      </c>
      <c r="BK120" s="407">
        <v>17504.740000000002</v>
      </c>
      <c r="BL120" s="407">
        <v>86</v>
      </c>
      <c r="BM120" s="407"/>
      <c r="BN120" s="407"/>
      <c r="BO120" s="407"/>
      <c r="BP120" s="407"/>
      <c r="BQ120" s="407"/>
      <c r="BR120" s="407"/>
      <c r="BS120" s="407"/>
      <c r="BT120" s="407"/>
      <c r="BU120" s="407"/>
      <c r="BV120" s="407">
        <v>14769.676464762251</v>
      </c>
      <c r="BW120" s="407"/>
      <c r="BX120" s="407"/>
      <c r="BY120" s="407"/>
      <c r="BZ120" s="407"/>
      <c r="CA120" s="407"/>
      <c r="CB120" s="407"/>
      <c r="CC120" s="407"/>
      <c r="CD120" s="407"/>
      <c r="CE120" s="407"/>
      <c r="CF120" s="407"/>
      <c r="CG120" s="407"/>
      <c r="CH120" s="407"/>
      <c r="CI120" s="407">
        <v>64359.949500000002</v>
      </c>
      <c r="CJ120" s="407">
        <v>-13987.433739999979</v>
      </c>
      <c r="CK120" s="407"/>
      <c r="CL120" s="407"/>
      <c r="CM120" s="407"/>
      <c r="CN120" s="407"/>
      <c r="CO120" s="407">
        <v>-14361.703359999996</v>
      </c>
      <c r="CP120" s="407">
        <v>375.67704000000094</v>
      </c>
      <c r="CQ120" s="407"/>
      <c r="CR120" s="407">
        <v>-223.07200582683072</v>
      </c>
      <c r="CS120" s="407">
        <v>0</v>
      </c>
      <c r="CT120" s="407">
        <v>0</v>
      </c>
      <c r="CU120" s="407">
        <v>0</v>
      </c>
      <c r="CV120" s="407">
        <v>0</v>
      </c>
      <c r="CW120" s="407">
        <v>0</v>
      </c>
      <c r="CX120" s="407">
        <v>0</v>
      </c>
      <c r="CY120" s="407">
        <v>0</v>
      </c>
      <c r="CZ120" s="407">
        <v>-536.05780872872492</v>
      </c>
      <c r="DA120" s="407">
        <v>0</v>
      </c>
      <c r="DB120" s="407">
        <v>0</v>
      </c>
      <c r="DC120" s="407">
        <v>375.9455545780238</v>
      </c>
      <c r="DD120" s="407">
        <v>0</v>
      </c>
      <c r="DE120" s="407">
        <v>0</v>
      </c>
      <c r="DF120" s="407">
        <v>0</v>
      </c>
      <c r="DG120" s="407">
        <v>88.800218114472955</v>
      </c>
      <c r="DH120" s="407">
        <v>0</v>
      </c>
      <c r="DI120" s="407">
        <v>-129.98149012706017</v>
      </c>
      <c r="DJ120" s="407"/>
      <c r="DK120" s="407">
        <v>0</v>
      </c>
      <c r="DL120" s="407">
        <v>0</v>
      </c>
      <c r="DM120" s="407">
        <v>0</v>
      </c>
      <c r="DN120" s="407">
        <v>0</v>
      </c>
      <c r="DO120" s="407">
        <v>-16.843365307776253</v>
      </c>
      <c r="DP120" s="407">
        <v>-4.9351143557643411</v>
      </c>
      <c r="DQ120" s="407">
        <v>0</v>
      </c>
      <c r="DR120" s="407">
        <v>0</v>
      </c>
      <c r="DS120" s="407"/>
      <c r="DT120" s="407"/>
      <c r="DU120" s="407"/>
      <c r="DV120" s="407">
        <v>46554.729424514699</v>
      </c>
      <c r="DW120" s="407">
        <v>0</v>
      </c>
      <c r="DX120" s="407">
        <v>0</v>
      </c>
      <c r="DY120" s="407">
        <v>-14361.70336</v>
      </c>
      <c r="DZ120" s="407">
        <v>375.67704000000049</v>
      </c>
      <c r="EA120" s="407">
        <v>0</v>
      </c>
      <c r="EB120" s="407">
        <v>0</v>
      </c>
      <c r="EC120" s="407">
        <v>-13762.312898015152</v>
      </c>
      <c r="ED120" s="407">
        <v>0</v>
      </c>
      <c r="EE120" s="407">
        <v>0</v>
      </c>
      <c r="EF120" s="407">
        <v>0</v>
      </c>
      <c r="EG120" s="407">
        <v>0</v>
      </c>
      <c r="EH120" s="407">
        <v>0</v>
      </c>
      <c r="EI120" s="407">
        <v>0</v>
      </c>
      <c r="EJ120" s="407">
        <v>0</v>
      </c>
      <c r="EK120" s="407">
        <v>0</v>
      </c>
      <c r="EL120" s="407">
        <v>0</v>
      </c>
      <c r="EM120" s="407">
        <v>0</v>
      </c>
      <c r="EN120" s="407">
        <v>0</v>
      </c>
      <c r="EO120" s="407">
        <v>0</v>
      </c>
      <c r="EP120" s="407">
        <v>0</v>
      </c>
      <c r="EQ120" s="407">
        <v>0</v>
      </c>
      <c r="ER120" s="407">
        <v>0</v>
      </c>
      <c r="ES120" s="407">
        <v>0</v>
      </c>
      <c r="ET120" s="407">
        <v>0</v>
      </c>
      <c r="EU120" s="407">
        <v>0</v>
      </c>
      <c r="EV120" s="407">
        <v>207</v>
      </c>
      <c r="EW120" s="407">
        <v>0</v>
      </c>
      <c r="EX120" s="407">
        <v>0</v>
      </c>
      <c r="EY120" s="407">
        <v>0</v>
      </c>
      <c r="EZ120" s="407"/>
      <c r="FA120" s="407">
        <v>0</v>
      </c>
      <c r="FB120" s="407"/>
      <c r="FC120" s="407"/>
      <c r="FD120" s="407"/>
      <c r="FE120" s="407"/>
      <c r="FF120" s="407">
        <v>0</v>
      </c>
      <c r="FG120" s="407">
        <v>0</v>
      </c>
      <c r="FH120" s="407">
        <v>0</v>
      </c>
      <c r="FI120" s="407">
        <v>0</v>
      </c>
    </row>
    <row r="121" spans="1:165" s="846" customFormat="1">
      <c r="A121" s="407">
        <v>119</v>
      </c>
      <c r="B121" s="407" t="s">
        <v>1092</v>
      </c>
      <c r="C121" s="407" t="s">
        <v>2315</v>
      </c>
      <c r="D121" s="407" t="s">
        <v>648</v>
      </c>
      <c r="E121" s="407" t="s">
        <v>1051</v>
      </c>
      <c r="F121" s="407" t="s">
        <v>96</v>
      </c>
      <c r="G121" s="407" t="s">
        <v>96</v>
      </c>
      <c r="H121" s="407" t="s">
        <v>96</v>
      </c>
      <c r="I121" s="407" t="s">
        <v>1027</v>
      </c>
      <c r="J121" s="407" t="s">
        <v>2306</v>
      </c>
      <c r="K121" s="815">
        <v>44531</v>
      </c>
      <c r="L121" s="407">
        <v>0</v>
      </c>
      <c r="M121" s="407">
        <v>0</v>
      </c>
      <c r="N121" s="407">
        <v>1.86</v>
      </c>
      <c r="O121" s="407">
        <v>1.86</v>
      </c>
      <c r="P121" s="407">
        <v>1.86</v>
      </c>
      <c r="Q121" s="407">
        <v>1.86</v>
      </c>
      <c r="R121" s="407"/>
      <c r="S121" s="407">
        <v>2075.9499999999998</v>
      </c>
      <c r="T121" s="407">
        <v>127.85</v>
      </c>
      <c r="U121" s="407"/>
      <c r="V121" s="407">
        <v>4099.0680000000002</v>
      </c>
      <c r="W121" s="407">
        <v>4099.0680000000002</v>
      </c>
      <c r="X121" s="407">
        <v>3285.5226000000002</v>
      </c>
      <c r="Y121" s="407">
        <v>0</v>
      </c>
      <c r="Z121" s="407">
        <v>98.831689029080607</v>
      </c>
      <c r="AA121" s="407">
        <v>0</v>
      </c>
      <c r="AB121" s="407">
        <v>0</v>
      </c>
      <c r="AC121" s="407">
        <v>0</v>
      </c>
      <c r="AD121" s="407">
        <v>1171.8165864251978</v>
      </c>
      <c r="AE121" s="407">
        <v>2561.5245845645663</v>
      </c>
      <c r="AF121" s="407">
        <v>237.79615693009723</v>
      </c>
      <c r="AG121" s="407">
        <v>0</v>
      </c>
      <c r="AH121" s="407">
        <v>0</v>
      </c>
      <c r="AI121" s="407">
        <v>0</v>
      </c>
      <c r="AJ121" s="407">
        <v>0</v>
      </c>
      <c r="AK121" s="407">
        <v>0</v>
      </c>
      <c r="AL121" s="407">
        <v>17.568253194940358</v>
      </c>
      <c r="AM121" s="407"/>
      <c r="AN121" s="407">
        <v>1.8681916485130869</v>
      </c>
      <c r="AO121" s="407">
        <v>0</v>
      </c>
      <c r="AP121" s="407">
        <v>0</v>
      </c>
      <c r="AQ121" s="407">
        <v>0</v>
      </c>
      <c r="AR121" s="407">
        <v>0</v>
      </c>
      <c r="AS121" s="407">
        <v>0</v>
      </c>
      <c r="AT121" s="407">
        <v>0</v>
      </c>
      <c r="AU121" s="407">
        <v>0</v>
      </c>
      <c r="AV121" s="407">
        <v>0</v>
      </c>
      <c r="AW121" s="407">
        <v>0</v>
      </c>
      <c r="AX121" s="407">
        <v>0</v>
      </c>
      <c r="AY121" s="407">
        <v>0</v>
      </c>
      <c r="AZ121" s="407">
        <v>0</v>
      </c>
      <c r="BA121" s="407"/>
      <c r="BB121" s="407">
        <v>0</v>
      </c>
      <c r="BC121" s="407">
        <v>0</v>
      </c>
      <c r="BD121" s="407">
        <v>0</v>
      </c>
      <c r="BE121" s="407">
        <v>0</v>
      </c>
      <c r="BF121" s="407">
        <v>0</v>
      </c>
      <c r="BG121" s="407">
        <v>9.6563434051721213</v>
      </c>
      <c r="BH121" s="407">
        <v>0</v>
      </c>
      <c r="BI121" s="407">
        <v>0</v>
      </c>
      <c r="BJ121" s="407">
        <v>0</v>
      </c>
      <c r="BK121" s="407">
        <v>0</v>
      </c>
      <c r="BL121" s="407">
        <v>0</v>
      </c>
      <c r="BM121" s="407"/>
      <c r="BN121" s="407"/>
      <c r="BO121" s="407"/>
      <c r="BP121" s="407"/>
      <c r="BQ121" s="407"/>
      <c r="BR121" s="407"/>
      <c r="BS121" s="407"/>
      <c r="BT121" s="407"/>
      <c r="BU121" s="407"/>
      <c r="BV121" s="407">
        <v>247.45250033526935</v>
      </c>
      <c r="BW121" s="407"/>
      <c r="BX121" s="407"/>
      <c r="BY121" s="407"/>
      <c r="BZ121" s="407"/>
      <c r="CA121" s="407"/>
      <c r="CB121" s="407"/>
      <c r="CC121" s="407"/>
      <c r="CD121" s="407"/>
      <c r="CE121" s="407"/>
      <c r="CF121" s="407"/>
      <c r="CG121" s="407"/>
      <c r="CH121" s="407"/>
      <c r="CI121" s="407">
        <v>3285.5226000000002</v>
      </c>
      <c r="CJ121" s="407">
        <v>-813.57540000000063</v>
      </c>
      <c r="CK121" s="407"/>
      <c r="CL121" s="407"/>
      <c r="CM121" s="407"/>
      <c r="CN121" s="407"/>
      <c r="CO121" s="407">
        <v>-821.02259999999978</v>
      </c>
      <c r="CP121" s="407">
        <v>7.4772000000000194</v>
      </c>
      <c r="CQ121" s="407"/>
      <c r="CR121" s="407">
        <v>-56.316987744885182</v>
      </c>
      <c r="CS121" s="407">
        <v>0</v>
      </c>
      <c r="CT121" s="407">
        <v>0</v>
      </c>
      <c r="CU121" s="407">
        <v>0</v>
      </c>
      <c r="CV121" s="407">
        <v>0</v>
      </c>
      <c r="CW121" s="407">
        <v>0</v>
      </c>
      <c r="CX121" s="407">
        <v>0</v>
      </c>
      <c r="CY121" s="407">
        <v>0</v>
      </c>
      <c r="CZ121" s="407">
        <v>-61.47433626428392</v>
      </c>
      <c r="DA121" s="407">
        <v>0</v>
      </c>
      <c r="DB121" s="407">
        <v>0</v>
      </c>
      <c r="DC121" s="407">
        <v>7.4825443170304027</v>
      </c>
      <c r="DD121" s="407">
        <v>0</v>
      </c>
      <c r="DE121" s="407">
        <v>0</v>
      </c>
      <c r="DF121" s="407">
        <v>0</v>
      </c>
      <c r="DG121" s="407">
        <v>0.30384854996164634</v>
      </c>
      <c r="DH121" s="407">
        <v>0</v>
      </c>
      <c r="DI121" s="407">
        <v>-2.2507388533538801</v>
      </c>
      <c r="DJ121" s="407"/>
      <c r="DK121" s="407">
        <v>0</v>
      </c>
      <c r="DL121" s="407">
        <v>0</v>
      </c>
      <c r="DM121" s="407">
        <v>0</v>
      </c>
      <c r="DN121" s="407">
        <v>0</v>
      </c>
      <c r="DO121" s="407">
        <v>-0.33523797749073125</v>
      </c>
      <c r="DP121" s="407">
        <v>-4.3067516748433343E-2</v>
      </c>
      <c r="DQ121" s="407">
        <v>0</v>
      </c>
      <c r="DR121" s="407">
        <v>0</v>
      </c>
      <c r="DS121" s="407"/>
      <c r="DT121" s="407"/>
      <c r="DU121" s="407"/>
      <c r="DV121" s="407">
        <v>2561.5245845645663</v>
      </c>
      <c r="DW121" s="407">
        <v>0</v>
      </c>
      <c r="DX121" s="407">
        <v>0</v>
      </c>
      <c r="DY121" s="407">
        <v>-821.02259999999978</v>
      </c>
      <c r="DZ121" s="407">
        <v>7.4772000000000389</v>
      </c>
      <c r="EA121" s="407">
        <v>0</v>
      </c>
      <c r="EB121" s="407">
        <v>0</v>
      </c>
      <c r="EC121" s="407">
        <v>-757.22710161800364</v>
      </c>
      <c r="ED121" s="407">
        <v>0</v>
      </c>
      <c r="EE121" s="407">
        <v>0</v>
      </c>
      <c r="EF121" s="407">
        <v>0</v>
      </c>
      <c r="EG121" s="407">
        <v>0</v>
      </c>
      <c r="EH121" s="407">
        <v>0</v>
      </c>
      <c r="EI121" s="407">
        <v>0</v>
      </c>
      <c r="EJ121" s="407">
        <v>0</v>
      </c>
      <c r="EK121" s="407">
        <v>0</v>
      </c>
      <c r="EL121" s="407">
        <v>0</v>
      </c>
      <c r="EM121" s="407">
        <v>0</v>
      </c>
      <c r="EN121" s="407">
        <v>0</v>
      </c>
      <c r="EO121" s="407">
        <v>0</v>
      </c>
      <c r="EP121" s="407">
        <v>0</v>
      </c>
      <c r="EQ121" s="407">
        <v>0</v>
      </c>
      <c r="ER121" s="407">
        <v>0</v>
      </c>
      <c r="ES121" s="407">
        <v>0</v>
      </c>
      <c r="ET121" s="407">
        <v>0</v>
      </c>
      <c r="EU121" s="407">
        <v>0</v>
      </c>
      <c r="EV121" s="407">
        <v>207</v>
      </c>
      <c r="EW121" s="407">
        <v>0</v>
      </c>
      <c r="EX121" s="407">
        <v>0</v>
      </c>
      <c r="EY121" s="407">
        <v>0</v>
      </c>
      <c r="EZ121" s="407"/>
      <c r="FA121" s="407">
        <v>0</v>
      </c>
      <c r="FB121" s="407"/>
      <c r="FC121" s="407"/>
      <c r="FD121" s="407"/>
      <c r="FE121" s="407"/>
      <c r="FF121" s="407">
        <v>0</v>
      </c>
      <c r="FG121" s="407">
        <v>0</v>
      </c>
      <c r="FH121" s="407">
        <v>0</v>
      </c>
      <c r="FI121" s="407">
        <v>0</v>
      </c>
    </row>
    <row r="122" spans="1:165" s="846" customFormat="1">
      <c r="A122" s="407">
        <v>120</v>
      </c>
      <c r="B122" s="407" t="s">
        <v>1092</v>
      </c>
      <c r="C122" s="407" t="s">
        <v>2315</v>
      </c>
      <c r="D122" s="407" t="s">
        <v>648</v>
      </c>
      <c r="E122" s="407" t="s">
        <v>1051</v>
      </c>
      <c r="F122" s="407" t="s">
        <v>96</v>
      </c>
      <c r="G122" s="407" t="s">
        <v>96</v>
      </c>
      <c r="H122" s="407" t="s">
        <v>96</v>
      </c>
      <c r="I122" s="407" t="s">
        <v>2290</v>
      </c>
      <c r="J122" s="407" t="s">
        <v>2306</v>
      </c>
      <c r="K122" s="815">
        <v>44531</v>
      </c>
      <c r="L122" s="407">
        <v>0</v>
      </c>
      <c r="M122" s="407">
        <v>0</v>
      </c>
      <c r="N122" s="407">
        <v>13.367000000000001</v>
      </c>
      <c r="O122" s="407">
        <v>13.367000000000001</v>
      </c>
      <c r="P122" s="407">
        <v>13.367000000000001</v>
      </c>
      <c r="Q122" s="407">
        <v>13.367000000000001</v>
      </c>
      <c r="R122" s="407"/>
      <c r="S122" s="407">
        <v>68.78</v>
      </c>
      <c r="T122" s="407">
        <v>127.85</v>
      </c>
      <c r="U122" s="407"/>
      <c r="V122" s="407">
        <v>2628.3532100000002</v>
      </c>
      <c r="W122" s="407">
        <v>2628.3532100000002</v>
      </c>
      <c r="X122" s="407">
        <v>2665.3798000000002</v>
      </c>
      <c r="Y122" s="407">
        <v>0</v>
      </c>
      <c r="Z122" s="407">
        <v>710.2597780923229</v>
      </c>
      <c r="AA122" s="407">
        <v>0</v>
      </c>
      <c r="AB122" s="407">
        <v>0</v>
      </c>
      <c r="AC122" s="407">
        <v>0</v>
      </c>
      <c r="AD122" s="407">
        <v>0</v>
      </c>
      <c r="AE122" s="407">
        <v>0</v>
      </c>
      <c r="AF122" s="407">
        <v>1708.9361449917255</v>
      </c>
      <c r="AG122" s="407">
        <v>0</v>
      </c>
      <c r="AH122" s="407">
        <v>0</v>
      </c>
      <c r="AI122" s="407">
        <v>0</v>
      </c>
      <c r="AJ122" s="407">
        <v>0</v>
      </c>
      <c r="AK122" s="407">
        <v>0</v>
      </c>
      <c r="AL122" s="407">
        <v>126.25529056815472</v>
      </c>
      <c r="AM122" s="407"/>
      <c r="AN122" s="407">
        <v>13.42586976649163</v>
      </c>
      <c r="AO122" s="407">
        <v>0</v>
      </c>
      <c r="AP122" s="407">
        <v>0</v>
      </c>
      <c r="AQ122" s="407">
        <v>0</v>
      </c>
      <c r="AR122" s="407">
        <v>0</v>
      </c>
      <c r="AS122" s="407">
        <v>0</v>
      </c>
      <c r="AT122" s="407">
        <v>0</v>
      </c>
      <c r="AU122" s="407">
        <v>0</v>
      </c>
      <c r="AV122" s="407">
        <v>0</v>
      </c>
      <c r="AW122" s="407">
        <v>0</v>
      </c>
      <c r="AX122" s="407">
        <v>0</v>
      </c>
      <c r="AY122" s="407">
        <v>0</v>
      </c>
      <c r="AZ122" s="407">
        <v>0</v>
      </c>
      <c r="BA122" s="407"/>
      <c r="BB122" s="407">
        <v>0</v>
      </c>
      <c r="BC122" s="407">
        <v>0</v>
      </c>
      <c r="BD122" s="407">
        <v>0</v>
      </c>
      <c r="BE122" s="407">
        <v>0</v>
      </c>
      <c r="BF122" s="407">
        <v>0</v>
      </c>
      <c r="BG122" s="407">
        <v>69.395882955341804</v>
      </c>
      <c r="BH122" s="407">
        <v>0</v>
      </c>
      <c r="BI122" s="407">
        <v>0</v>
      </c>
      <c r="BJ122" s="407">
        <v>0</v>
      </c>
      <c r="BK122" s="407">
        <v>0</v>
      </c>
      <c r="BL122" s="407">
        <v>0</v>
      </c>
      <c r="BM122" s="407"/>
      <c r="BN122" s="407"/>
      <c r="BO122" s="407"/>
      <c r="BP122" s="407"/>
      <c r="BQ122" s="407"/>
      <c r="BR122" s="407"/>
      <c r="BS122" s="407"/>
      <c r="BT122" s="407"/>
      <c r="BU122" s="407"/>
      <c r="BV122" s="407">
        <v>1778.3320279470674</v>
      </c>
      <c r="BW122" s="407"/>
      <c r="BX122" s="407"/>
      <c r="BY122" s="407"/>
      <c r="BZ122" s="407"/>
      <c r="CA122" s="407"/>
      <c r="CB122" s="407"/>
      <c r="CC122" s="407"/>
      <c r="CD122" s="407"/>
      <c r="CE122" s="407"/>
      <c r="CF122" s="407"/>
      <c r="CG122" s="407"/>
      <c r="CH122" s="407"/>
      <c r="CI122" s="407">
        <v>2665.9780000000001</v>
      </c>
      <c r="CJ122" s="407">
        <v>37.594789999999648</v>
      </c>
      <c r="CK122" s="407"/>
      <c r="CL122" s="407"/>
      <c r="CM122" s="407"/>
      <c r="CN122" s="407"/>
      <c r="CO122" s="407">
        <v>-16.708750000000002</v>
      </c>
      <c r="CP122" s="407">
        <v>53.735340000000143</v>
      </c>
      <c r="CQ122" s="407"/>
      <c r="CR122" s="407">
        <v>37.063590139142889</v>
      </c>
      <c r="CS122" s="407">
        <v>0</v>
      </c>
      <c r="CT122" s="407">
        <v>0</v>
      </c>
      <c r="CU122" s="407">
        <v>0</v>
      </c>
      <c r="CV122" s="407">
        <v>0</v>
      </c>
      <c r="CW122" s="407">
        <v>0</v>
      </c>
      <c r="CX122" s="407">
        <v>0</v>
      </c>
      <c r="CY122" s="407">
        <v>0</v>
      </c>
      <c r="CZ122" s="407">
        <v>0</v>
      </c>
      <c r="DA122" s="407">
        <v>0</v>
      </c>
      <c r="DB122" s="407">
        <v>0</v>
      </c>
      <c r="DC122" s="407">
        <v>53.773747250400675</v>
      </c>
      <c r="DD122" s="407">
        <v>0</v>
      </c>
      <c r="DE122" s="407">
        <v>0</v>
      </c>
      <c r="DF122" s="407">
        <v>0</v>
      </c>
      <c r="DG122" s="407">
        <v>2.1836255738372614</v>
      </c>
      <c r="DH122" s="407">
        <v>0</v>
      </c>
      <c r="DI122" s="407">
        <v>-16.175067877839524</v>
      </c>
      <c r="DJ122" s="407"/>
      <c r="DK122" s="407">
        <v>0</v>
      </c>
      <c r="DL122" s="407">
        <v>0</v>
      </c>
      <c r="DM122" s="407">
        <v>0</v>
      </c>
      <c r="DN122" s="407">
        <v>0</v>
      </c>
      <c r="DO122" s="407">
        <v>-2.4092075511390334</v>
      </c>
      <c r="DP122" s="407">
        <v>-0.30950725611629437</v>
      </c>
      <c r="DQ122" s="407">
        <v>0</v>
      </c>
      <c r="DR122" s="407">
        <v>0</v>
      </c>
      <c r="DS122" s="407"/>
      <c r="DT122" s="407"/>
      <c r="DU122" s="407"/>
      <c r="DV122" s="407">
        <v>0</v>
      </c>
      <c r="DW122" s="407">
        <v>0</v>
      </c>
      <c r="DX122" s="407">
        <v>0</v>
      </c>
      <c r="DY122" s="407">
        <v>-16.708750000000009</v>
      </c>
      <c r="DZ122" s="407">
        <v>53.735339999999951</v>
      </c>
      <c r="EA122" s="407">
        <v>0</v>
      </c>
      <c r="EB122" s="407">
        <v>0</v>
      </c>
      <c r="EC122" s="407">
        <v>0</v>
      </c>
      <c r="ED122" s="407">
        <v>0</v>
      </c>
      <c r="EE122" s="407">
        <v>0</v>
      </c>
      <c r="EF122" s="407">
        <v>0</v>
      </c>
      <c r="EG122" s="407">
        <v>0</v>
      </c>
      <c r="EH122" s="407">
        <v>0</v>
      </c>
      <c r="EI122" s="407">
        <v>0</v>
      </c>
      <c r="EJ122" s="407">
        <v>0</v>
      </c>
      <c r="EK122" s="407">
        <v>0</v>
      </c>
      <c r="EL122" s="407">
        <v>0</v>
      </c>
      <c r="EM122" s="407">
        <v>0</v>
      </c>
      <c r="EN122" s="407">
        <v>0</v>
      </c>
      <c r="EO122" s="407">
        <v>0</v>
      </c>
      <c r="EP122" s="407">
        <v>0</v>
      </c>
      <c r="EQ122" s="407">
        <v>0</v>
      </c>
      <c r="ER122" s="407">
        <v>0</v>
      </c>
      <c r="ES122" s="407">
        <v>0</v>
      </c>
      <c r="ET122" s="407">
        <v>0</v>
      </c>
      <c r="EU122" s="407">
        <v>0</v>
      </c>
      <c r="EV122" s="407">
        <v>207</v>
      </c>
      <c r="EW122" s="407">
        <v>0</v>
      </c>
      <c r="EX122" s="407">
        <v>0</v>
      </c>
      <c r="EY122" s="407">
        <v>0</v>
      </c>
      <c r="EZ122" s="407"/>
      <c r="FA122" s="407">
        <v>0</v>
      </c>
      <c r="FB122" s="407"/>
      <c r="FC122" s="407"/>
      <c r="FD122" s="407"/>
      <c r="FE122" s="407"/>
      <c r="FF122" s="407">
        <v>0</v>
      </c>
      <c r="FG122" s="407">
        <v>0</v>
      </c>
      <c r="FH122" s="407">
        <v>0</v>
      </c>
      <c r="FI122" s="407">
        <v>0</v>
      </c>
    </row>
    <row r="123" spans="1:165" s="846" customFormat="1">
      <c r="A123" s="407">
        <v>121</v>
      </c>
      <c r="B123" s="407" t="s">
        <v>1092</v>
      </c>
      <c r="C123" s="407" t="s">
        <v>2315</v>
      </c>
      <c r="D123" s="407" t="s">
        <v>648</v>
      </c>
      <c r="E123" s="407" t="s">
        <v>1051</v>
      </c>
      <c r="F123" s="407" t="s">
        <v>96</v>
      </c>
      <c r="G123" s="407" t="s">
        <v>96</v>
      </c>
      <c r="H123" s="407" t="s">
        <v>96</v>
      </c>
      <c r="I123" s="407" t="s">
        <v>96</v>
      </c>
      <c r="J123" s="407" t="s">
        <v>2306</v>
      </c>
      <c r="K123" s="815">
        <v>44531</v>
      </c>
      <c r="L123" s="407">
        <v>280</v>
      </c>
      <c r="M123" s="407">
        <v>280</v>
      </c>
      <c r="N123" s="407">
        <v>0</v>
      </c>
      <c r="O123" s="407">
        <v>0</v>
      </c>
      <c r="P123" s="407">
        <v>0</v>
      </c>
      <c r="Q123" s="407">
        <v>0</v>
      </c>
      <c r="R123" s="407">
        <v>39.56</v>
      </c>
      <c r="S123" s="407"/>
      <c r="T123" s="407"/>
      <c r="U123" s="407">
        <v>11076.800000000001</v>
      </c>
      <c r="V123" s="407"/>
      <c r="W123" s="407">
        <v>11076.800000000001</v>
      </c>
      <c r="X123" s="407">
        <v>8696.7999999999993</v>
      </c>
      <c r="Y123" s="407">
        <v>0</v>
      </c>
      <c r="Z123" s="407">
        <v>0</v>
      </c>
      <c r="AA123" s="407">
        <v>0</v>
      </c>
      <c r="AB123" s="407">
        <v>0</v>
      </c>
      <c r="AC123" s="407">
        <v>0</v>
      </c>
      <c r="AD123" s="407">
        <v>3687.6789040341037</v>
      </c>
      <c r="AE123" s="407">
        <v>7387.7809853611961</v>
      </c>
      <c r="AF123" s="407"/>
      <c r="AG123" s="407"/>
      <c r="AH123" s="407"/>
      <c r="AI123" s="407">
        <v>0</v>
      </c>
      <c r="AJ123" s="407">
        <v>0</v>
      </c>
      <c r="AK123" s="407">
        <v>0</v>
      </c>
      <c r="AL123" s="407">
        <v>0</v>
      </c>
      <c r="AM123" s="407"/>
      <c r="AN123" s="407">
        <v>0</v>
      </c>
      <c r="AO123" s="407">
        <v>0</v>
      </c>
      <c r="AP123" s="407">
        <v>0</v>
      </c>
      <c r="AQ123" s="407">
        <v>0</v>
      </c>
      <c r="AR123" s="407">
        <v>0</v>
      </c>
      <c r="AS123" s="407"/>
      <c r="AT123" s="407"/>
      <c r="AU123" s="407">
        <v>0</v>
      </c>
      <c r="AV123" s="407">
        <v>0</v>
      </c>
      <c r="AW123" s="407">
        <v>0</v>
      </c>
      <c r="AX123" s="407"/>
      <c r="AY123" s="407"/>
      <c r="AZ123" s="407">
        <v>0</v>
      </c>
      <c r="BA123" s="407"/>
      <c r="BB123" s="407">
        <v>0</v>
      </c>
      <c r="BC123" s="407">
        <v>0</v>
      </c>
      <c r="BD123" s="407">
        <v>0</v>
      </c>
      <c r="BE123" s="407">
        <v>0</v>
      </c>
      <c r="BF123" s="407"/>
      <c r="BG123" s="407">
        <v>0</v>
      </c>
      <c r="BH123" s="407">
        <v>0</v>
      </c>
      <c r="BI123" s="407">
        <v>113.39</v>
      </c>
      <c r="BJ123" s="407">
        <v>523.4</v>
      </c>
      <c r="BK123" s="407">
        <v>2640.92</v>
      </c>
      <c r="BL123" s="407">
        <v>2</v>
      </c>
      <c r="BM123" s="407"/>
      <c r="BN123" s="407"/>
      <c r="BO123" s="407"/>
      <c r="BP123" s="407"/>
      <c r="BQ123" s="407"/>
      <c r="BR123" s="407"/>
      <c r="BS123" s="407"/>
      <c r="BT123" s="407"/>
      <c r="BU123" s="407"/>
      <c r="BV123" s="407">
        <v>0</v>
      </c>
      <c r="BW123" s="407"/>
      <c r="BX123" s="407"/>
      <c r="BY123" s="407"/>
      <c r="BZ123" s="407"/>
      <c r="CA123" s="407"/>
      <c r="CB123" s="407"/>
      <c r="CC123" s="407"/>
      <c r="CD123" s="407"/>
      <c r="CE123" s="407"/>
      <c r="CF123" s="407"/>
      <c r="CG123" s="407"/>
      <c r="CH123" s="407"/>
      <c r="CI123" s="407">
        <v>8696.7999999999993</v>
      </c>
      <c r="CJ123" s="407">
        <v>-2380.0300000000025</v>
      </c>
      <c r="CK123" s="407"/>
      <c r="CL123" s="407"/>
      <c r="CM123" s="407"/>
      <c r="CN123" s="407"/>
      <c r="CO123" s="407">
        <v>-2380.0000000000009</v>
      </c>
      <c r="CP123" s="407">
        <v>0</v>
      </c>
      <c r="CQ123" s="407"/>
      <c r="CR123" s="407">
        <v>-193.45827291355545</v>
      </c>
      <c r="CS123" s="407">
        <v>0</v>
      </c>
      <c r="CT123" s="407">
        <v>0</v>
      </c>
      <c r="CU123" s="407">
        <v>0</v>
      </c>
      <c r="CV123" s="407">
        <v>0</v>
      </c>
      <c r="CW123" s="407"/>
      <c r="CX123" s="407"/>
      <c r="CY123" s="407"/>
      <c r="CZ123" s="407">
        <v>-193.45827291355545</v>
      </c>
      <c r="DA123" s="407">
        <v>0</v>
      </c>
      <c r="DB123" s="407">
        <v>0</v>
      </c>
      <c r="DC123" s="407"/>
      <c r="DD123" s="407"/>
      <c r="DE123" s="407">
        <v>0</v>
      </c>
      <c r="DF123" s="407">
        <v>0</v>
      </c>
      <c r="DG123" s="407">
        <v>0</v>
      </c>
      <c r="DH123" s="407">
        <v>0</v>
      </c>
      <c r="DI123" s="407">
        <v>0</v>
      </c>
      <c r="DJ123" s="407"/>
      <c r="DK123" s="407">
        <v>0</v>
      </c>
      <c r="DL123" s="407">
        <v>0</v>
      </c>
      <c r="DM123" s="407"/>
      <c r="DN123" s="407">
        <v>0</v>
      </c>
      <c r="DO123" s="407">
        <v>0</v>
      </c>
      <c r="DP123" s="407">
        <v>0</v>
      </c>
      <c r="DQ123" s="407">
        <v>0</v>
      </c>
      <c r="DR123" s="407">
        <v>0</v>
      </c>
      <c r="DS123" s="407"/>
      <c r="DT123" s="407"/>
      <c r="DU123" s="407">
        <v>7387.7809853611961</v>
      </c>
      <c r="DV123" s="407"/>
      <c r="DW123" s="407">
        <v>0</v>
      </c>
      <c r="DX123" s="407">
        <v>0</v>
      </c>
      <c r="DY123" s="407">
        <v>-2380.0000000000018</v>
      </c>
      <c r="DZ123" s="407"/>
      <c r="EA123" s="407">
        <v>0</v>
      </c>
      <c r="EB123" s="407"/>
      <c r="EC123" s="407">
        <v>-2183.944677573596</v>
      </c>
      <c r="ED123" s="407"/>
      <c r="EE123" s="407">
        <v>0</v>
      </c>
      <c r="EF123" s="407">
        <v>0</v>
      </c>
      <c r="EG123" s="407"/>
      <c r="EH123" s="407">
        <v>0</v>
      </c>
      <c r="EI123" s="407">
        <v>0</v>
      </c>
      <c r="EJ123" s="407">
        <v>0</v>
      </c>
      <c r="EK123" s="407">
        <v>0</v>
      </c>
      <c r="EL123" s="407">
        <v>0</v>
      </c>
      <c r="EM123" s="407"/>
      <c r="EN123" s="407"/>
      <c r="EO123" s="407">
        <v>0</v>
      </c>
      <c r="EP123" s="407">
        <v>0</v>
      </c>
      <c r="EQ123" s="407"/>
      <c r="ER123" s="407">
        <v>0</v>
      </c>
      <c r="ES123" s="407"/>
      <c r="ET123" s="407">
        <v>0</v>
      </c>
      <c r="EU123" s="407"/>
      <c r="EV123" s="407">
        <v>207</v>
      </c>
      <c r="EW123" s="407"/>
      <c r="EX123" s="407"/>
      <c r="EY123" s="407"/>
      <c r="EZ123" s="407"/>
      <c r="FA123" s="407">
        <v>0</v>
      </c>
      <c r="FB123" s="407"/>
      <c r="FC123" s="407"/>
      <c r="FD123" s="407"/>
      <c r="FE123" s="407"/>
      <c r="FF123" s="407">
        <v>0</v>
      </c>
      <c r="FG123" s="407">
        <v>0</v>
      </c>
      <c r="FH123" s="407">
        <v>0</v>
      </c>
      <c r="FI123" s="407">
        <v>0</v>
      </c>
    </row>
    <row r="124" spans="1:165" s="846" customFormat="1">
      <c r="A124" s="407">
        <v>122</v>
      </c>
      <c r="B124" s="407" t="s">
        <v>1092</v>
      </c>
      <c r="C124" s="407" t="s">
        <v>2305</v>
      </c>
      <c r="D124" s="407" t="s">
        <v>2316</v>
      </c>
      <c r="E124" s="407" t="s">
        <v>1028</v>
      </c>
      <c r="F124" s="407" t="s">
        <v>96</v>
      </c>
      <c r="G124" s="407" t="s">
        <v>96</v>
      </c>
      <c r="H124" s="407" t="s">
        <v>96</v>
      </c>
      <c r="I124" s="407" t="s">
        <v>96</v>
      </c>
      <c r="J124" s="407" t="s">
        <v>2306</v>
      </c>
      <c r="K124" s="815">
        <v>44531</v>
      </c>
      <c r="L124" s="407">
        <v>0</v>
      </c>
      <c r="M124" s="407">
        <v>0</v>
      </c>
      <c r="N124" s="407">
        <v>56.908999999999999</v>
      </c>
      <c r="O124" s="407">
        <v>56.908999999999999</v>
      </c>
      <c r="P124" s="407">
        <v>56.908999999999999</v>
      </c>
      <c r="Q124" s="407">
        <v>56.908999999999999</v>
      </c>
      <c r="R124" s="407"/>
      <c r="S124" s="407">
        <v>710.52</v>
      </c>
      <c r="T124" s="407">
        <v>127.85</v>
      </c>
      <c r="U124" s="407"/>
      <c r="V124" s="407">
        <v>47710.798329999998</v>
      </c>
      <c r="W124" s="407">
        <v>47710.798329999998</v>
      </c>
      <c r="X124" s="407">
        <v>39193.79739</v>
      </c>
      <c r="Y124" s="407">
        <v>0</v>
      </c>
      <c r="Z124" s="407">
        <v>3475.7215368656184</v>
      </c>
      <c r="AA124" s="407">
        <v>0</v>
      </c>
      <c r="AB124" s="407">
        <v>0</v>
      </c>
      <c r="AC124" s="407">
        <v>0</v>
      </c>
      <c r="AD124" s="407">
        <v>6222.569748054364</v>
      </c>
      <c r="AE124" s="407">
        <v>28350.202208831346</v>
      </c>
      <c r="AF124" s="407">
        <v>7275.6674702875816</v>
      </c>
      <c r="AG124" s="407">
        <v>0</v>
      </c>
      <c r="AH124" s="407">
        <v>0</v>
      </c>
      <c r="AI124" s="407">
        <v>0</v>
      </c>
      <c r="AJ124" s="407">
        <v>0</v>
      </c>
      <c r="AK124" s="407">
        <v>0</v>
      </c>
      <c r="AL124" s="407">
        <v>537.52243068325845</v>
      </c>
      <c r="AM124" s="407"/>
      <c r="AN124" s="407">
        <v>130.36504819357441</v>
      </c>
      <c r="AO124" s="407">
        <v>0</v>
      </c>
      <c r="AP124" s="407">
        <v>0</v>
      </c>
      <c r="AQ124" s="407">
        <v>0</v>
      </c>
      <c r="AR124" s="407">
        <v>0</v>
      </c>
      <c r="AS124" s="407">
        <v>0</v>
      </c>
      <c r="AT124" s="407">
        <v>0</v>
      </c>
      <c r="AU124" s="407">
        <v>0</v>
      </c>
      <c r="AV124" s="407">
        <v>0</v>
      </c>
      <c r="AW124" s="407">
        <v>0</v>
      </c>
      <c r="AX124" s="407">
        <v>0</v>
      </c>
      <c r="AY124" s="407">
        <v>0</v>
      </c>
      <c r="AZ124" s="407">
        <v>0</v>
      </c>
      <c r="BA124" s="407"/>
      <c r="BB124" s="407">
        <v>0</v>
      </c>
      <c r="BC124" s="407">
        <v>0</v>
      </c>
      <c r="BD124" s="407">
        <v>0</v>
      </c>
      <c r="BE124" s="407">
        <v>0</v>
      </c>
      <c r="BF124" s="407">
        <v>0</v>
      </c>
      <c r="BG124" s="407">
        <v>1718.5490037649267</v>
      </c>
      <c r="BH124" s="407">
        <v>0</v>
      </c>
      <c r="BI124" s="407">
        <v>162.87</v>
      </c>
      <c r="BJ124" s="407">
        <v>752.68</v>
      </c>
      <c r="BK124" s="407">
        <v>0</v>
      </c>
      <c r="BL124" s="407">
        <v>42</v>
      </c>
      <c r="BM124" s="407"/>
      <c r="BN124" s="407"/>
      <c r="BO124" s="407"/>
      <c r="BP124" s="407"/>
      <c r="BQ124" s="407"/>
      <c r="BR124" s="407">
        <v>4702.9597600000034</v>
      </c>
      <c r="BS124" s="407"/>
      <c r="BT124" s="407"/>
      <c r="BU124" s="407"/>
      <c r="BV124" s="407">
        <v>8994.2164740525077</v>
      </c>
      <c r="BW124" s="407"/>
      <c r="BX124" s="407"/>
      <c r="BY124" s="407"/>
      <c r="BZ124" s="407"/>
      <c r="CA124" s="407"/>
      <c r="CB124" s="407"/>
      <c r="CC124" s="407"/>
      <c r="CD124" s="407"/>
      <c r="CE124" s="407"/>
      <c r="CF124" s="407"/>
      <c r="CG124" s="407"/>
      <c r="CH124" s="407"/>
      <c r="CI124" s="407">
        <v>34491.443699999996</v>
      </c>
      <c r="CJ124" s="407">
        <v>-7494.3392300000123</v>
      </c>
      <c r="CK124" s="407"/>
      <c r="CL124" s="407"/>
      <c r="CM124" s="407"/>
      <c r="CN124" s="407"/>
      <c r="CO124" s="407">
        <v>-8745.7751199999966</v>
      </c>
      <c r="CP124" s="407">
        <v>228.77418000000057</v>
      </c>
      <c r="CQ124" s="407"/>
      <c r="CR124" s="407">
        <v>-135.84305075973316</v>
      </c>
      <c r="CS124" s="407">
        <v>0</v>
      </c>
      <c r="CT124" s="407">
        <v>0</v>
      </c>
      <c r="CU124" s="407">
        <v>0</v>
      </c>
      <c r="CV124" s="407">
        <v>0</v>
      </c>
      <c r="CW124" s="407">
        <v>0</v>
      </c>
      <c r="CX124" s="407">
        <v>0</v>
      </c>
      <c r="CY124" s="407">
        <v>0</v>
      </c>
      <c r="CZ124" s="407">
        <v>-326.44045966852536</v>
      </c>
      <c r="DA124" s="407">
        <v>0</v>
      </c>
      <c r="DB124" s="407">
        <v>0</v>
      </c>
      <c r="DC124" s="407">
        <v>228.93769598810923</v>
      </c>
      <c r="DD124" s="407">
        <v>0</v>
      </c>
      <c r="DE124" s="407">
        <v>0</v>
      </c>
      <c r="DF124" s="407">
        <v>0</v>
      </c>
      <c r="DG124" s="407">
        <v>54.076227503708196</v>
      </c>
      <c r="DH124" s="407">
        <v>0</v>
      </c>
      <c r="DI124" s="407">
        <v>-79.154182057536218</v>
      </c>
      <c r="DJ124" s="407"/>
      <c r="DK124" s="407">
        <v>0</v>
      </c>
      <c r="DL124" s="407">
        <v>0</v>
      </c>
      <c r="DM124" s="407">
        <v>0</v>
      </c>
      <c r="DN124" s="407">
        <v>0</v>
      </c>
      <c r="DO124" s="407">
        <v>-10.257020462913943</v>
      </c>
      <c r="DP124" s="407">
        <v>-3.0053120625796197</v>
      </c>
      <c r="DQ124" s="407">
        <v>0</v>
      </c>
      <c r="DR124" s="407">
        <v>0</v>
      </c>
      <c r="DS124" s="407"/>
      <c r="DT124" s="407"/>
      <c r="DU124" s="407"/>
      <c r="DV124" s="407">
        <v>28350.202208831346</v>
      </c>
      <c r="DW124" s="407">
        <v>0</v>
      </c>
      <c r="DX124" s="407">
        <v>0</v>
      </c>
      <c r="DY124" s="407">
        <v>-8745.7751199999984</v>
      </c>
      <c r="DZ124" s="407">
        <v>228.77418000000034</v>
      </c>
      <c r="EA124" s="407">
        <v>0</v>
      </c>
      <c r="EB124" s="407">
        <v>0</v>
      </c>
      <c r="EC124" s="407">
        <v>-8380.7672892302362</v>
      </c>
      <c r="ED124" s="407">
        <v>0</v>
      </c>
      <c r="EE124" s="407">
        <v>0</v>
      </c>
      <c r="EF124" s="407">
        <v>0</v>
      </c>
      <c r="EG124" s="407">
        <v>0</v>
      </c>
      <c r="EH124" s="407">
        <v>0</v>
      </c>
      <c r="EI124" s="407">
        <v>0</v>
      </c>
      <c r="EJ124" s="407">
        <v>0</v>
      </c>
      <c r="EK124" s="407">
        <v>0</v>
      </c>
      <c r="EL124" s="407">
        <v>0</v>
      </c>
      <c r="EM124" s="407">
        <v>0</v>
      </c>
      <c r="EN124" s="407">
        <v>0</v>
      </c>
      <c r="EO124" s="407">
        <v>0</v>
      </c>
      <c r="EP124" s="407">
        <v>0</v>
      </c>
      <c r="EQ124" s="407">
        <v>0</v>
      </c>
      <c r="ER124" s="407">
        <v>0</v>
      </c>
      <c r="ES124" s="407">
        <v>0</v>
      </c>
      <c r="ET124" s="407">
        <v>0</v>
      </c>
      <c r="EU124" s="407">
        <v>0</v>
      </c>
      <c r="EV124" s="407">
        <v>207</v>
      </c>
      <c r="EW124" s="407">
        <v>0</v>
      </c>
      <c r="EX124" s="407">
        <v>0</v>
      </c>
      <c r="EY124" s="407">
        <v>0</v>
      </c>
      <c r="EZ124" s="407"/>
      <c r="FA124" s="407">
        <v>0</v>
      </c>
      <c r="FB124" s="407"/>
      <c r="FC124" s="407"/>
      <c r="FD124" s="407"/>
      <c r="FE124" s="407"/>
      <c r="FF124" s="407">
        <v>0</v>
      </c>
      <c r="FG124" s="407">
        <v>0</v>
      </c>
      <c r="FH124" s="407">
        <v>0</v>
      </c>
      <c r="FI124" s="407">
        <v>0</v>
      </c>
    </row>
    <row r="125" spans="1:165" s="846" customFormat="1">
      <c r="A125" s="407">
        <v>123</v>
      </c>
      <c r="B125" s="407" t="s">
        <v>1092</v>
      </c>
      <c r="C125" s="407" t="s">
        <v>2305</v>
      </c>
      <c r="D125" s="407" t="s">
        <v>1221</v>
      </c>
      <c r="E125" s="407" t="s">
        <v>2317</v>
      </c>
      <c r="F125" s="407" t="s">
        <v>96</v>
      </c>
      <c r="G125" s="407" t="s">
        <v>96</v>
      </c>
      <c r="H125" s="407" t="s">
        <v>96</v>
      </c>
      <c r="I125" s="407" t="s">
        <v>96</v>
      </c>
      <c r="J125" s="407" t="s">
        <v>2306</v>
      </c>
      <c r="K125" s="815">
        <v>44531</v>
      </c>
      <c r="L125" s="407">
        <v>0</v>
      </c>
      <c r="M125" s="407">
        <v>0</v>
      </c>
      <c r="N125" s="407">
        <v>12.304</v>
      </c>
      <c r="O125" s="407">
        <v>12.304</v>
      </c>
      <c r="P125" s="407">
        <v>12.304</v>
      </c>
      <c r="Q125" s="407">
        <v>12.304</v>
      </c>
      <c r="R125" s="407"/>
      <c r="S125" s="407">
        <v>710.52</v>
      </c>
      <c r="T125" s="407">
        <v>127.85</v>
      </c>
      <c r="U125" s="407"/>
      <c r="V125" s="407">
        <v>10315.304479999999</v>
      </c>
      <c r="W125" s="407">
        <v>10315.304479999999</v>
      </c>
      <c r="X125" s="407">
        <v>8473.8878400000012</v>
      </c>
      <c r="Y125" s="407">
        <v>0</v>
      </c>
      <c r="Z125" s="407">
        <v>751.46774305636313</v>
      </c>
      <c r="AA125" s="407">
        <v>0</v>
      </c>
      <c r="AB125" s="407">
        <v>0</v>
      </c>
      <c r="AC125" s="407">
        <v>0</v>
      </c>
      <c r="AD125" s="407">
        <v>1345.3495612304012</v>
      </c>
      <c r="AE125" s="407">
        <v>6129.4503150197843</v>
      </c>
      <c r="AF125" s="407">
        <v>1573.034362832213</v>
      </c>
      <c r="AG125" s="407">
        <v>0</v>
      </c>
      <c r="AH125" s="407">
        <v>0</v>
      </c>
      <c r="AI125" s="407">
        <v>0</v>
      </c>
      <c r="AJ125" s="407">
        <v>0</v>
      </c>
      <c r="AK125" s="407">
        <v>0</v>
      </c>
      <c r="AL125" s="407">
        <v>116.21493941427212</v>
      </c>
      <c r="AM125" s="407"/>
      <c r="AN125" s="407">
        <v>28.185551546745501</v>
      </c>
      <c r="AO125" s="407">
        <v>0</v>
      </c>
      <c r="AP125" s="407">
        <v>0</v>
      </c>
      <c r="AQ125" s="407">
        <v>0</v>
      </c>
      <c r="AR125" s="407">
        <v>0</v>
      </c>
      <c r="AS125" s="407">
        <v>0</v>
      </c>
      <c r="AT125" s="407">
        <v>0</v>
      </c>
      <c r="AU125" s="407">
        <v>0</v>
      </c>
      <c r="AV125" s="407">
        <v>0</v>
      </c>
      <c r="AW125" s="407">
        <v>0</v>
      </c>
      <c r="AX125" s="407">
        <v>0</v>
      </c>
      <c r="AY125" s="407">
        <v>0</v>
      </c>
      <c r="AZ125" s="407">
        <v>0</v>
      </c>
      <c r="BA125" s="407"/>
      <c r="BB125" s="407">
        <v>0</v>
      </c>
      <c r="BC125" s="407">
        <v>0</v>
      </c>
      <c r="BD125" s="407">
        <v>0</v>
      </c>
      <c r="BE125" s="407">
        <v>0</v>
      </c>
      <c r="BF125" s="407">
        <v>0</v>
      </c>
      <c r="BG125" s="407">
        <v>371.55857495868247</v>
      </c>
      <c r="BH125" s="407">
        <v>0</v>
      </c>
      <c r="BI125" s="407">
        <v>30.48</v>
      </c>
      <c r="BJ125" s="407">
        <v>141.07</v>
      </c>
      <c r="BK125" s="407">
        <v>2281.12</v>
      </c>
      <c r="BL125" s="407">
        <v>18</v>
      </c>
      <c r="BM125" s="407"/>
      <c r="BN125" s="407"/>
      <c r="BO125" s="407"/>
      <c r="BP125" s="407"/>
      <c r="BQ125" s="407"/>
      <c r="BR125" s="407"/>
      <c r="BS125" s="407"/>
      <c r="BT125" s="407"/>
      <c r="BU125" s="407"/>
      <c r="BV125" s="407">
        <v>1944.5929377908956</v>
      </c>
      <c r="BW125" s="407"/>
      <c r="BX125" s="407"/>
      <c r="BY125" s="407"/>
      <c r="BZ125" s="407"/>
      <c r="CA125" s="407"/>
      <c r="CB125" s="407"/>
      <c r="CC125" s="407"/>
      <c r="CD125" s="407"/>
      <c r="CE125" s="407"/>
      <c r="CF125" s="407"/>
      <c r="CG125" s="407"/>
      <c r="CH125" s="407"/>
      <c r="CI125" s="407">
        <v>8471.1330000000016</v>
      </c>
      <c r="CJ125" s="407">
        <v>-1844.2014799999979</v>
      </c>
      <c r="CK125" s="407"/>
      <c r="CL125" s="407"/>
      <c r="CM125" s="407"/>
      <c r="CN125" s="407"/>
      <c r="CO125" s="407">
        <v>-1890.8787199999995</v>
      </c>
      <c r="CP125" s="407">
        <v>49.462080000000128</v>
      </c>
      <c r="CQ125" s="407"/>
      <c r="CR125" s="407">
        <v>-29.369922095764196</v>
      </c>
      <c r="CS125" s="407">
        <v>0</v>
      </c>
      <c r="CT125" s="407">
        <v>0</v>
      </c>
      <c r="CU125" s="407">
        <v>0</v>
      </c>
      <c r="CV125" s="407">
        <v>0</v>
      </c>
      <c r="CW125" s="407">
        <v>0</v>
      </c>
      <c r="CX125" s="407">
        <v>0</v>
      </c>
      <c r="CY125" s="407">
        <v>0</v>
      </c>
      <c r="CZ125" s="407">
        <v>-70.578000241816426</v>
      </c>
      <c r="DA125" s="407">
        <v>0</v>
      </c>
      <c r="DB125" s="407">
        <v>0</v>
      </c>
      <c r="DC125" s="407">
        <v>49.497432944484899</v>
      </c>
      <c r="DD125" s="407">
        <v>0</v>
      </c>
      <c r="DE125" s="407">
        <v>0</v>
      </c>
      <c r="DF125" s="407">
        <v>0</v>
      </c>
      <c r="DG125" s="407">
        <v>11.691540937384673</v>
      </c>
      <c r="DH125" s="407">
        <v>0</v>
      </c>
      <c r="DI125" s="407">
        <v>-17.113515542988353</v>
      </c>
      <c r="DJ125" s="407"/>
      <c r="DK125" s="407">
        <v>0</v>
      </c>
      <c r="DL125" s="407">
        <v>0</v>
      </c>
      <c r="DM125" s="407">
        <v>0</v>
      </c>
      <c r="DN125" s="407">
        <v>0</v>
      </c>
      <c r="DO125" s="407">
        <v>-2.217617244648352</v>
      </c>
      <c r="DP125" s="407">
        <v>-0.64976294818007219</v>
      </c>
      <c r="DQ125" s="407">
        <v>0</v>
      </c>
      <c r="DR125" s="407">
        <v>0</v>
      </c>
      <c r="DS125" s="407"/>
      <c r="DT125" s="407"/>
      <c r="DU125" s="407"/>
      <c r="DV125" s="407">
        <v>6129.4503150197843</v>
      </c>
      <c r="DW125" s="407">
        <v>0</v>
      </c>
      <c r="DX125" s="407">
        <v>0</v>
      </c>
      <c r="DY125" s="407">
        <v>-1890.8787199999988</v>
      </c>
      <c r="DZ125" s="407">
        <v>49.462080000000242</v>
      </c>
      <c r="EA125" s="407">
        <v>0</v>
      </c>
      <c r="EB125" s="407">
        <v>0</v>
      </c>
      <c r="EC125" s="407">
        <v>-1811.9622683000725</v>
      </c>
      <c r="ED125" s="407">
        <v>0</v>
      </c>
      <c r="EE125" s="407">
        <v>0</v>
      </c>
      <c r="EF125" s="407">
        <v>0</v>
      </c>
      <c r="EG125" s="407">
        <v>0</v>
      </c>
      <c r="EH125" s="407">
        <v>0</v>
      </c>
      <c r="EI125" s="407">
        <v>0</v>
      </c>
      <c r="EJ125" s="407">
        <v>0</v>
      </c>
      <c r="EK125" s="407">
        <v>0</v>
      </c>
      <c r="EL125" s="407">
        <v>0</v>
      </c>
      <c r="EM125" s="407">
        <v>0</v>
      </c>
      <c r="EN125" s="407">
        <v>0</v>
      </c>
      <c r="EO125" s="407">
        <v>0</v>
      </c>
      <c r="EP125" s="407">
        <v>0</v>
      </c>
      <c r="EQ125" s="407">
        <v>0</v>
      </c>
      <c r="ER125" s="407">
        <v>0</v>
      </c>
      <c r="ES125" s="407">
        <v>0</v>
      </c>
      <c r="ET125" s="407">
        <v>0</v>
      </c>
      <c r="EU125" s="407">
        <v>0</v>
      </c>
      <c r="EV125" s="407">
        <v>207</v>
      </c>
      <c r="EW125" s="407">
        <v>0</v>
      </c>
      <c r="EX125" s="407">
        <v>0</v>
      </c>
      <c r="EY125" s="407">
        <v>0</v>
      </c>
      <c r="EZ125" s="407"/>
      <c r="FA125" s="407">
        <v>0</v>
      </c>
      <c r="FB125" s="407"/>
      <c r="FC125" s="407"/>
      <c r="FD125" s="407"/>
      <c r="FE125" s="407"/>
      <c r="FF125" s="407">
        <v>0</v>
      </c>
      <c r="FG125" s="407">
        <v>0</v>
      </c>
      <c r="FH125" s="407">
        <v>0</v>
      </c>
      <c r="FI125" s="407">
        <v>0</v>
      </c>
    </row>
    <row r="126" spans="1:165" s="846" customFormat="1">
      <c r="A126" s="407">
        <v>124</v>
      </c>
      <c r="B126" s="407" t="s">
        <v>1092</v>
      </c>
      <c r="C126" s="407" t="s">
        <v>2305</v>
      </c>
      <c r="D126" s="407" t="s">
        <v>2318</v>
      </c>
      <c r="E126" s="407" t="s">
        <v>2319</v>
      </c>
      <c r="F126" s="407" t="s">
        <v>2320</v>
      </c>
      <c r="G126" s="407" t="s">
        <v>96</v>
      </c>
      <c r="H126" s="407" t="s">
        <v>96</v>
      </c>
      <c r="I126" s="407" t="s">
        <v>96</v>
      </c>
      <c r="J126" s="407" t="s">
        <v>2306</v>
      </c>
      <c r="K126" s="815">
        <v>44531</v>
      </c>
      <c r="L126" s="407">
        <v>0</v>
      </c>
      <c r="M126" s="407">
        <v>0</v>
      </c>
      <c r="N126" s="407">
        <v>40.347000000000001</v>
      </c>
      <c r="O126" s="407">
        <v>40.347000000000001</v>
      </c>
      <c r="P126" s="407">
        <v>40.347000000000001</v>
      </c>
      <c r="Q126" s="407">
        <v>40.347000000000001</v>
      </c>
      <c r="R126" s="407"/>
      <c r="S126" s="407">
        <v>390.79</v>
      </c>
      <c r="T126" s="407">
        <v>70.319999999999993</v>
      </c>
      <c r="U126" s="407"/>
      <c r="V126" s="407">
        <v>18604.405170000002</v>
      </c>
      <c r="W126" s="407">
        <v>18604.405170000002</v>
      </c>
      <c r="X126" s="407">
        <v>15283.040130000001</v>
      </c>
      <c r="Y126" s="407">
        <v>0</v>
      </c>
      <c r="Z126" s="407">
        <v>1355.307864597067</v>
      </c>
      <c r="AA126" s="407">
        <v>0</v>
      </c>
      <c r="AB126" s="407">
        <v>0</v>
      </c>
      <c r="AC126" s="407">
        <v>0</v>
      </c>
      <c r="AD126" s="407">
        <v>2426.4020083574123</v>
      </c>
      <c r="AE126" s="407">
        <v>11054.75556916911</v>
      </c>
      <c r="AF126" s="407">
        <v>2837.0423919420705</v>
      </c>
      <c r="AG126" s="407">
        <v>0</v>
      </c>
      <c r="AH126" s="407">
        <v>0</v>
      </c>
      <c r="AI126" s="407">
        <v>0</v>
      </c>
      <c r="AJ126" s="407">
        <v>0</v>
      </c>
      <c r="AK126" s="407">
        <v>0</v>
      </c>
      <c r="AL126" s="407">
        <v>209.59917817792592</v>
      </c>
      <c r="AM126" s="407"/>
      <c r="AN126" s="407">
        <v>50.833984601844875</v>
      </c>
      <c r="AO126" s="407">
        <v>0</v>
      </c>
      <c r="AP126" s="407">
        <v>0</v>
      </c>
      <c r="AQ126" s="407">
        <v>0</v>
      </c>
      <c r="AR126" s="407">
        <v>0</v>
      </c>
      <c r="AS126" s="407">
        <v>0</v>
      </c>
      <c r="AT126" s="407">
        <v>0</v>
      </c>
      <c r="AU126" s="407">
        <v>0</v>
      </c>
      <c r="AV126" s="407">
        <v>0</v>
      </c>
      <c r="AW126" s="407">
        <v>0</v>
      </c>
      <c r="AX126" s="407">
        <v>0</v>
      </c>
      <c r="AY126" s="407">
        <v>0</v>
      </c>
      <c r="AZ126" s="407">
        <v>0</v>
      </c>
      <c r="BA126" s="407"/>
      <c r="BB126" s="407">
        <v>0</v>
      </c>
      <c r="BC126" s="407">
        <v>0</v>
      </c>
      <c r="BD126" s="407">
        <v>0</v>
      </c>
      <c r="BE126" s="407">
        <v>0</v>
      </c>
      <c r="BF126" s="407">
        <v>0</v>
      </c>
      <c r="BG126" s="407">
        <v>670.12358607947863</v>
      </c>
      <c r="BH126" s="407">
        <v>0</v>
      </c>
      <c r="BI126" s="407">
        <v>62.69</v>
      </c>
      <c r="BJ126" s="407">
        <v>289.99</v>
      </c>
      <c r="BK126" s="407">
        <v>4689.5200000000004</v>
      </c>
      <c r="BL126" s="407">
        <v>36</v>
      </c>
      <c r="BM126" s="407"/>
      <c r="BN126" s="407"/>
      <c r="BO126" s="407"/>
      <c r="BP126" s="407"/>
      <c r="BQ126" s="407"/>
      <c r="BR126" s="407"/>
      <c r="BS126" s="407"/>
      <c r="BT126" s="407"/>
      <c r="BU126" s="407"/>
      <c r="BV126" s="407">
        <v>3507.1659780215491</v>
      </c>
      <c r="BW126" s="407"/>
      <c r="BX126" s="407"/>
      <c r="BY126" s="407"/>
      <c r="BZ126" s="407"/>
      <c r="CA126" s="407"/>
      <c r="CB126" s="407"/>
      <c r="CC126" s="407"/>
      <c r="CD126" s="407"/>
      <c r="CE126" s="407"/>
      <c r="CF126" s="407"/>
      <c r="CG126" s="407"/>
      <c r="CH126" s="407"/>
      <c r="CI126" s="407">
        <v>15284.176500000001</v>
      </c>
      <c r="CJ126" s="407">
        <v>-3320.2586699999993</v>
      </c>
      <c r="CK126" s="407"/>
      <c r="CL126" s="407"/>
      <c r="CM126" s="407"/>
      <c r="CN126" s="407"/>
      <c r="CO126" s="407">
        <v>-3410.5319100000015</v>
      </c>
      <c r="CP126" s="407">
        <v>89.16687000000033</v>
      </c>
      <c r="CQ126" s="407"/>
      <c r="CR126" s="407">
        <v>-52.970053294771787</v>
      </c>
      <c r="CS126" s="407">
        <v>0</v>
      </c>
      <c r="CT126" s="407">
        <v>0</v>
      </c>
      <c r="CU126" s="407">
        <v>0</v>
      </c>
      <c r="CV126" s="407">
        <v>0</v>
      </c>
      <c r="CW126" s="407">
        <v>0</v>
      </c>
      <c r="CX126" s="407">
        <v>0</v>
      </c>
      <c r="CY126" s="407">
        <v>0</v>
      </c>
      <c r="CZ126" s="407">
        <v>-127.29078483957392</v>
      </c>
      <c r="DA126" s="407">
        <v>0</v>
      </c>
      <c r="DB126" s="407">
        <v>0</v>
      </c>
      <c r="DC126" s="407">
        <v>89.270977719125767</v>
      </c>
      <c r="DD126" s="407">
        <v>0</v>
      </c>
      <c r="DE126" s="407">
        <v>0</v>
      </c>
      <c r="DF126" s="407">
        <v>0</v>
      </c>
      <c r="DG126" s="407">
        <v>21.086250911111392</v>
      </c>
      <c r="DH126" s="407">
        <v>0</v>
      </c>
      <c r="DI126" s="407">
        <v>-30.865040343560395</v>
      </c>
      <c r="DJ126" s="407"/>
      <c r="DK126" s="407">
        <v>0</v>
      </c>
      <c r="DL126" s="407">
        <v>0</v>
      </c>
      <c r="DM126" s="407">
        <v>0</v>
      </c>
      <c r="DN126" s="407">
        <v>0</v>
      </c>
      <c r="DO126" s="407">
        <v>-3.9995783187099505</v>
      </c>
      <c r="DP126" s="407">
        <v>-1.1718784231649408</v>
      </c>
      <c r="DQ126" s="407">
        <v>0</v>
      </c>
      <c r="DR126" s="407">
        <v>0</v>
      </c>
      <c r="DS126" s="407"/>
      <c r="DT126" s="407"/>
      <c r="DU126" s="407"/>
      <c r="DV126" s="407">
        <v>11054.75556916911</v>
      </c>
      <c r="DW126" s="407">
        <v>0</v>
      </c>
      <c r="DX126" s="407">
        <v>0</v>
      </c>
      <c r="DY126" s="407">
        <v>-3410.5319100000015</v>
      </c>
      <c r="DZ126" s="407">
        <v>89.166870000000017</v>
      </c>
      <c r="EA126" s="407">
        <v>0</v>
      </c>
      <c r="EB126" s="407">
        <v>0</v>
      </c>
      <c r="EC126" s="407">
        <v>-3267.9602488220826</v>
      </c>
      <c r="ED126" s="407">
        <v>0</v>
      </c>
      <c r="EE126" s="407">
        <v>0</v>
      </c>
      <c r="EF126" s="407">
        <v>0</v>
      </c>
      <c r="EG126" s="407">
        <v>0</v>
      </c>
      <c r="EH126" s="407">
        <v>0</v>
      </c>
      <c r="EI126" s="407">
        <v>0</v>
      </c>
      <c r="EJ126" s="407">
        <v>0</v>
      </c>
      <c r="EK126" s="407">
        <v>0</v>
      </c>
      <c r="EL126" s="407">
        <v>0</v>
      </c>
      <c r="EM126" s="407">
        <v>0</v>
      </c>
      <c r="EN126" s="407">
        <v>0</v>
      </c>
      <c r="EO126" s="407">
        <v>0</v>
      </c>
      <c r="EP126" s="407">
        <v>0</v>
      </c>
      <c r="EQ126" s="407">
        <v>0</v>
      </c>
      <c r="ER126" s="407">
        <v>0</v>
      </c>
      <c r="ES126" s="407">
        <v>0</v>
      </c>
      <c r="ET126" s="407">
        <v>0</v>
      </c>
      <c r="EU126" s="407">
        <v>0</v>
      </c>
      <c r="EV126" s="407">
        <v>207</v>
      </c>
      <c r="EW126" s="407">
        <v>0</v>
      </c>
      <c r="EX126" s="407">
        <v>0</v>
      </c>
      <c r="EY126" s="407">
        <v>0</v>
      </c>
      <c r="EZ126" s="407"/>
      <c r="FA126" s="407">
        <v>0</v>
      </c>
      <c r="FB126" s="407"/>
      <c r="FC126" s="407"/>
      <c r="FD126" s="407"/>
      <c r="FE126" s="407"/>
      <c r="FF126" s="407">
        <v>0</v>
      </c>
      <c r="FG126" s="407">
        <v>0</v>
      </c>
      <c r="FH126" s="407">
        <v>0</v>
      </c>
      <c r="FI126" s="407">
        <v>0</v>
      </c>
    </row>
    <row r="127" spans="1:165" s="846" customFormat="1">
      <c r="A127" s="407">
        <v>125</v>
      </c>
      <c r="B127" s="407" t="s">
        <v>1092</v>
      </c>
      <c r="C127" s="407" t="s">
        <v>2305</v>
      </c>
      <c r="D127" s="407" t="s">
        <v>1221</v>
      </c>
      <c r="E127" s="407" t="s">
        <v>1054</v>
      </c>
      <c r="F127" s="407" t="s">
        <v>2321</v>
      </c>
      <c r="G127" s="407" t="s">
        <v>96</v>
      </c>
      <c r="H127" s="407" t="s">
        <v>96</v>
      </c>
      <c r="I127" s="407" t="s">
        <v>96</v>
      </c>
      <c r="J127" s="407" t="s">
        <v>2306</v>
      </c>
      <c r="K127" s="815">
        <v>44531</v>
      </c>
      <c r="L127" s="407">
        <v>0</v>
      </c>
      <c r="M127" s="407">
        <v>0</v>
      </c>
      <c r="N127" s="407">
        <v>6.25</v>
      </c>
      <c r="O127" s="407">
        <v>5.875</v>
      </c>
      <c r="P127" s="407">
        <v>6.25</v>
      </c>
      <c r="Q127" s="407">
        <v>5.875</v>
      </c>
      <c r="R127" s="407"/>
      <c r="S127" s="407">
        <v>710.52</v>
      </c>
      <c r="T127" s="407">
        <v>127.85</v>
      </c>
      <c r="U127" s="407"/>
      <c r="V127" s="407">
        <v>5239.8125</v>
      </c>
      <c r="W127" s="407">
        <v>5239.8125</v>
      </c>
      <c r="X127" s="407">
        <v>4304.4375</v>
      </c>
      <c r="Y127" s="407">
        <v>0</v>
      </c>
      <c r="Z127" s="407">
        <v>381.71922903952128</v>
      </c>
      <c r="AA127" s="407">
        <v>0</v>
      </c>
      <c r="AB127" s="407">
        <v>0</v>
      </c>
      <c r="AC127" s="407">
        <v>0</v>
      </c>
      <c r="AD127" s="407">
        <v>683.39034116466246</v>
      </c>
      <c r="AE127" s="407">
        <v>3113.5455517615123</v>
      </c>
      <c r="AF127" s="407">
        <v>799.04622624360627</v>
      </c>
      <c r="AG127" s="407">
        <v>0</v>
      </c>
      <c r="AH127" s="407">
        <v>0</v>
      </c>
      <c r="AI127" s="407">
        <v>0</v>
      </c>
      <c r="AJ127" s="407">
        <v>0</v>
      </c>
      <c r="AK127" s="407">
        <v>0</v>
      </c>
      <c r="AL127" s="407">
        <v>59.033108853966255</v>
      </c>
      <c r="AM127" s="407"/>
      <c r="AN127" s="407">
        <v>14.317270576004502</v>
      </c>
      <c r="AO127" s="407">
        <v>0</v>
      </c>
      <c r="AP127" s="407">
        <v>0</v>
      </c>
      <c r="AQ127" s="407">
        <v>0</v>
      </c>
      <c r="AR127" s="407">
        <v>0</v>
      </c>
      <c r="AS127" s="407">
        <v>0</v>
      </c>
      <c r="AT127" s="407">
        <v>0</v>
      </c>
      <c r="AU127" s="407">
        <v>0</v>
      </c>
      <c r="AV127" s="407">
        <v>0</v>
      </c>
      <c r="AW127" s="407">
        <v>0</v>
      </c>
      <c r="AX127" s="407">
        <v>0</v>
      </c>
      <c r="AY127" s="407">
        <v>0</v>
      </c>
      <c r="AZ127" s="407">
        <v>0</v>
      </c>
      <c r="BA127" s="407"/>
      <c r="BB127" s="407">
        <v>0</v>
      </c>
      <c r="BC127" s="407">
        <v>0</v>
      </c>
      <c r="BD127" s="407">
        <v>0</v>
      </c>
      <c r="BE127" s="407">
        <v>0</v>
      </c>
      <c r="BF127" s="407">
        <v>0</v>
      </c>
      <c r="BG127" s="407">
        <v>188.73871045934374</v>
      </c>
      <c r="BH127" s="407">
        <v>0</v>
      </c>
      <c r="BI127" s="407">
        <v>35.020000000000003</v>
      </c>
      <c r="BJ127" s="407">
        <v>161.66</v>
      </c>
      <c r="BK127" s="407">
        <v>1126.17</v>
      </c>
      <c r="BL127" s="407">
        <v>1</v>
      </c>
      <c r="BM127" s="407"/>
      <c r="BN127" s="407"/>
      <c r="BO127" s="407"/>
      <c r="BP127" s="407"/>
      <c r="BQ127" s="407">
        <v>258.26625000000001</v>
      </c>
      <c r="BR127" s="407"/>
      <c r="BS127" s="407"/>
      <c r="BT127" s="407"/>
      <c r="BU127" s="407"/>
      <c r="BV127" s="407">
        <v>987.78493670295006</v>
      </c>
      <c r="BW127" s="407"/>
      <c r="BX127" s="407"/>
      <c r="BY127" s="407"/>
      <c r="BZ127" s="407"/>
      <c r="CA127" s="407"/>
      <c r="CB127" s="407"/>
      <c r="CC127" s="407"/>
      <c r="CD127" s="407"/>
      <c r="CE127" s="407"/>
      <c r="CF127" s="407"/>
      <c r="CG127" s="407"/>
      <c r="CH127" s="407"/>
      <c r="CI127" s="407">
        <v>4049.6148000000003</v>
      </c>
      <c r="CJ127" s="407">
        <v>-875.8389500000003</v>
      </c>
      <c r="CK127" s="407"/>
      <c r="CL127" s="407"/>
      <c r="CM127" s="407"/>
      <c r="CN127" s="407"/>
      <c r="CO127" s="407">
        <v>-960.49999999999966</v>
      </c>
      <c r="CP127" s="407">
        <v>25.125000000000064</v>
      </c>
      <c r="CQ127" s="407"/>
      <c r="CR127" s="407">
        <v>-14.918889231023968</v>
      </c>
      <c r="CS127" s="407">
        <v>0</v>
      </c>
      <c r="CT127" s="407">
        <v>0</v>
      </c>
      <c r="CU127" s="407">
        <v>0</v>
      </c>
      <c r="CV127" s="407">
        <v>0</v>
      </c>
      <c r="CW127" s="407">
        <v>0</v>
      </c>
      <c r="CX127" s="407">
        <v>0</v>
      </c>
      <c r="CY127" s="407">
        <v>0</v>
      </c>
      <c r="CZ127" s="407">
        <v>-35.851146091624969</v>
      </c>
      <c r="DA127" s="407">
        <v>0</v>
      </c>
      <c r="DB127" s="407">
        <v>0</v>
      </c>
      <c r="DC127" s="407">
        <v>25.14295805453753</v>
      </c>
      <c r="DD127" s="407">
        <v>0</v>
      </c>
      <c r="DE127" s="407">
        <v>0</v>
      </c>
      <c r="DF127" s="407">
        <v>0</v>
      </c>
      <c r="DG127" s="407">
        <v>5.9388922999556257</v>
      </c>
      <c r="DH127" s="407">
        <v>0</v>
      </c>
      <c r="DI127" s="407">
        <v>-8.6930650311831528</v>
      </c>
      <c r="DJ127" s="407"/>
      <c r="DK127" s="407">
        <v>0</v>
      </c>
      <c r="DL127" s="407">
        <v>0</v>
      </c>
      <c r="DM127" s="407">
        <v>0</v>
      </c>
      <c r="DN127" s="407">
        <v>0</v>
      </c>
      <c r="DO127" s="407">
        <v>-1.126471698557566</v>
      </c>
      <c r="DP127" s="407">
        <v>-0.33005676415194074</v>
      </c>
      <c r="DQ127" s="407">
        <v>0</v>
      </c>
      <c r="DR127" s="407">
        <v>0</v>
      </c>
      <c r="DS127" s="407"/>
      <c r="DT127" s="407"/>
      <c r="DU127" s="407"/>
      <c r="DV127" s="407">
        <v>3113.5455517615123</v>
      </c>
      <c r="DW127" s="407">
        <v>0</v>
      </c>
      <c r="DX127" s="407">
        <v>0</v>
      </c>
      <c r="DY127" s="407">
        <v>-960.5</v>
      </c>
      <c r="DZ127" s="407">
        <v>25.125</v>
      </c>
      <c r="EA127" s="407">
        <v>0</v>
      </c>
      <c r="EB127" s="407">
        <v>0</v>
      </c>
      <c r="EC127" s="407">
        <v>-920.41321333513088</v>
      </c>
      <c r="ED127" s="407">
        <v>0</v>
      </c>
      <c r="EE127" s="407">
        <v>0</v>
      </c>
      <c r="EF127" s="407">
        <v>0</v>
      </c>
      <c r="EG127" s="407">
        <v>0</v>
      </c>
      <c r="EH127" s="407">
        <v>0</v>
      </c>
      <c r="EI127" s="407">
        <v>0</v>
      </c>
      <c r="EJ127" s="407">
        <v>0</v>
      </c>
      <c r="EK127" s="407">
        <v>0</v>
      </c>
      <c r="EL127" s="407">
        <v>0</v>
      </c>
      <c r="EM127" s="407">
        <v>0</v>
      </c>
      <c r="EN127" s="407">
        <v>0</v>
      </c>
      <c r="EO127" s="407">
        <v>0</v>
      </c>
      <c r="EP127" s="407">
        <v>0</v>
      </c>
      <c r="EQ127" s="407">
        <v>0</v>
      </c>
      <c r="ER127" s="407">
        <v>0</v>
      </c>
      <c r="ES127" s="407">
        <v>0</v>
      </c>
      <c r="ET127" s="407">
        <v>0</v>
      </c>
      <c r="EU127" s="407">
        <v>0</v>
      </c>
      <c r="EV127" s="407">
        <v>207</v>
      </c>
      <c r="EW127" s="407">
        <v>0</v>
      </c>
      <c r="EX127" s="407">
        <v>0</v>
      </c>
      <c r="EY127" s="407">
        <v>0</v>
      </c>
      <c r="EZ127" s="407"/>
      <c r="FA127" s="407">
        <v>0</v>
      </c>
      <c r="FB127" s="407"/>
      <c r="FC127" s="407"/>
      <c r="FD127" s="407"/>
      <c r="FE127" s="407"/>
      <c r="FF127" s="407">
        <v>0</v>
      </c>
      <c r="FG127" s="407">
        <v>0</v>
      </c>
      <c r="FH127" s="407">
        <v>0</v>
      </c>
      <c r="FI127" s="407">
        <v>0</v>
      </c>
    </row>
    <row r="128" spans="1:165" s="846" customFormat="1">
      <c r="A128" s="407">
        <v>126</v>
      </c>
      <c r="B128" s="407" t="s">
        <v>1092</v>
      </c>
      <c r="C128" s="407" t="s">
        <v>2305</v>
      </c>
      <c r="D128" s="407" t="s">
        <v>1220</v>
      </c>
      <c r="E128" s="407" t="s">
        <v>1023</v>
      </c>
      <c r="F128" s="407" t="s">
        <v>1023</v>
      </c>
      <c r="G128" s="407" t="s">
        <v>96</v>
      </c>
      <c r="H128" s="407" t="s">
        <v>96</v>
      </c>
      <c r="I128" s="407" t="s">
        <v>96</v>
      </c>
      <c r="J128" s="407" t="s">
        <v>2306</v>
      </c>
      <c r="K128" s="815">
        <v>44562</v>
      </c>
      <c r="L128" s="407">
        <v>0</v>
      </c>
      <c r="M128" s="407">
        <v>0</v>
      </c>
      <c r="N128" s="407">
        <v>1096.056</v>
      </c>
      <c r="O128" s="407">
        <v>1096.056</v>
      </c>
      <c r="P128" s="407">
        <v>1096.056</v>
      </c>
      <c r="Q128" s="407">
        <v>1096.056</v>
      </c>
      <c r="R128" s="407"/>
      <c r="S128" s="407">
        <v>710.52</v>
      </c>
      <c r="T128" s="407">
        <v>127.85</v>
      </c>
      <c r="U128" s="407"/>
      <c r="V128" s="407">
        <v>918900.46872</v>
      </c>
      <c r="W128" s="407">
        <v>918900.46872</v>
      </c>
      <c r="X128" s="407">
        <v>754864.72776000004</v>
      </c>
      <c r="Y128" s="407">
        <v>0</v>
      </c>
      <c r="Z128" s="407">
        <v>66941.704208662646</v>
      </c>
      <c r="AA128" s="407">
        <v>0</v>
      </c>
      <c r="AB128" s="407">
        <v>0</v>
      </c>
      <c r="AC128" s="407">
        <v>0</v>
      </c>
      <c r="AD128" s="407">
        <v>119845.45340409206</v>
      </c>
      <c r="AE128" s="407">
        <v>546019.24532504263</v>
      </c>
      <c r="AF128" s="407">
        <v>140127.90568826592</v>
      </c>
      <c r="AG128" s="407">
        <v>0</v>
      </c>
      <c r="AH128" s="407">
        <v>0</v>
      </c>
      <c r="AI128" s="407">
        <v>0</v>
      </c>
      <c r="AJ128" s="407">
        <v>0</v>
      </c>
      <c r="AK128" s="407">
        <v>0</v>
      </c>
      <c r="AL128" s="407">
        <v>10352.574905286854</v>
      </c>
      <c r="AM128" s="407"/>
      <c r="AN128" s="407">
        <v>2510.8048509525106</v>
      </c>
      <c r="AO128" s="407">
        <v>0</v>
      </c>
      <c r="AP128" s="407">
        <v>0</v>
      </c>
      <c r="AQ128" s="407">
        <v>0</v>
      </c>
      <c r="AR128" s="407">
        <v>0</v>
      </c>
      <c r="AS128" s="407">
        <v>0</v>
      </c>
      <c r="AT128" s="407">
        <v>0</v>
      </c>
      <c r="AU128" s="407">
        <v>0</v>
      </c>
      <c r="AV128" s="407">
        <v>0</v>
      </c>
      <c r="AW128" s="407">
        <v>0</v>
      </c>
      <c r="AX128" s="407">
        <v>0</v>
      </c>
      <c r="AY128" s="407">
        <v>0</v>
      </c>
      <c r="AZ128" s="407">
        <v>0</v>
      </c>
      <c r="BA128" s="407"/>
      <c r="BB128" s="407">
        <v>0</v>
      </c>
      <c r="BC128" s="407">
        <v>0</v>
      </c>
      <c r="BD128" s="407">
        <v>0</v>
      </c>
      <c r="BE128" s="407">
        <v>0</v>
      </c>
      <c r="BF128" s="407">
        <v>0</v>
      </c>
      <c r="BG128" s="407">
        <v>33098.911364996238</v>
      </c>
      <c r="BH128" s="407">
        <v>0</v>
      </c>
      <c r="BI128" s="407">
        <v>4234.3500000000004</v>
      </c>
      <c r="BJ128" s="407">
        <v>19696.72</v>
      </c>
      <c r="BK128" s="407">
        <v>228954.29</v>
      </c>
      <c r="BL128" s="407">
        <v>6066</v>
      </c>
      <c r="BM128" s="407"/>
      <c r="BN128" s="407"/>
      <c r="BO128" s="407"/>
      <c r="BP128" s="407"/>
      <c r="BQ128" s="407"/>
      <c r="BR128" s="407"/>
      <c r="BS128" s="407"/>
      <c r="BT128" s="407"/>
      <c r="BU128" s="407"/>
      <c r="BV128" s="407">
        <v>173226.81705326214</v>
      </c>
      <c r="BW128" s="407"/>
      <c r="BX128" s="407"/>
      <c r="BY128" s="407"/>
      <c r="BZ128" s="407"/>
      <c r="CA128" s="407"/>
      <c r="CB128" s="407"/>
      <c r="CC128" s="407"/>
      <c r="CD128" s="407"/>
      <c r="CE128" s="407"/>
      <c r="CF128" s="407"/>
      <c r="CG128" s="407"/>
      <c r="CH128" s="407"/>
      <c r="CI128" s="407">
        <v>754867.48259999999</v>
      </c>
      <c r="CJ128" s="407">
        <v>-164033.01612000004</v>
      </c>
      <c r="CK128" s="407"/>
      <c r="CL128" s="407"/>
      <c r="CM128" s="407"/>
      <c r="CN128" s="407"/>
      <c r="CO128" s="407">
        <v>-168441.88607999994</v>
      </c>
      <c r="CP128" s="407">
        <v>4406.145120000011</v>
      </c>
      <c r="CQ128" s="407">
        <v>31</v>
      </c>
      <c r="CR128" s="407">
        <v>-2616.3100887999171</v>
      </c>
      <c r="CS128" s="407">
        <v>0</v>
      </c>
      <c r="CT128" s="407">
        <v>0</v>
      </c>
      <c r="CU128" s="407">
        <v>0</v>
      </c>
      <c r="CV128" s="407">
        <v>0</v>
      </c>
      <c r="CW128" s="407">
        <v>0</v>
      </c>
      <c r="CX128" s="407">
        <v>0</v>
      </c>
      <c r="CY128" s="407">
        <v>0</v>
      </c>
      <c r="CZ128" s="407">
        <v>-6287.178204896336</v>
      </c>
      <c r="DA128" s="407">
        <v>0</v>
      </c>
      <c r="DB128" s="407">
        <v>0</v>
      </c>
      <c r="DC128" s="407">
        <v>4409.2944053479005</v>
      </c>
      <c r="DD128" s="407">
        <v>0</v>
      </c>
      <c r="DE128" s="407">
        <v>0</v>
      </c>
      <c r="DF128" s="407">
        <v>0</v>
      </c>
      <c r="DG128" s="407">
        <v>1041.4973661952245</v>
      </c>
      <c r="DH128" s="407">
        <v>0</v>
      </c>
      <c r="DI128" s="407">
        <v>-1524.4937737309519</v>
      </c>
      <c r="DJ128" s="407"/>
      <c r="DK128" s="407">
        <v>0</v>
      </c>
      <c r="DL128" s="407">
        <v>0</v>
      </c>
      <c r="DM128" s="407">
        <v>0</v>
      </c>
      <c r="DN128" s="407">
        <v>0</v>
      </c>
      <c r="DO128" s="407">
        <v>-197.54817024547265</v>
      </c>
      <c r="DP128" s="407">
        <v>-57.881711470291066</v>
      </c>
      <c r="DQ128" s="407">
        <v>0</v>
      </c>
      <c r="DR128" s="407">
        <v>0</v>
      </c>
      <c r="DS128" s="407"/>
      <c r="DT128" s="407"/>
      <c r="DU128" s="407"/>
      <c r="DV128" s="407">
        <v>546019.24532504263</v>
      </c>
      <c r="DW128" s="407">
        <v>0</v>
      </c>
      <c r="DX128" s="407">
        <v>0</v>
      </c>
      <c r="DY128" s="407">
        <v>-168441.88607999997</v>
      </c>
      <c r="DZ128" s="407">
        <v>4406.1451200000301</v>
      </c>
      <c r="EA128" s="407">
        <v>0</v>
      </c>
      <c r="EB128" s="407">
        <v>0</v>
      </c>
      <c r="EC128" s="407">
        <v>-161411.9079928401</v>
      </c>
      <c r="ED128" s="407">
        <v>0</v>
      </c>
      <c r="EE128" s="407">
        <v>0</v>
      </c>
      <c r="EF128" s="407">
        <v>0</v>
      </c>
      <c r="EG128" s="407">
        <v>0</v>
      </c>
      <c r="EH128" s="407">
        <v>0</v>
      </c>
      <c r="EI128" s="407">
        <v>0</v>
      </c>
      <c r="EJ128" s="407">
        <v>0</v>
      </c>
      <c r="EK128" s="407">
        <v>0</v>
      </c>
      <c r="EL128" s="407">
        <v>0</v>
      </c>
      <c r="EM128" s="407">
        <v>0</v>
      </c>
      <c r="EN128" s="407">
        <v>0</v>
      </c>
      <c r="EO128" s="407">
        <v>0</v>
      </c>
      <c r="EP128" s="407">
        <v>0</v>
      </c>
      <c r="EQ128" s="407">
        <v>0</v>
      </c>
      <c r="ER128" s="407">
        <v>0</v>
      </c>
      <c r="ES128" s="407">
        <v>0</v>
      </c>
      <c r="ET128" s="407">
        <v>0</v>
      </c>
      <c r="EU128" s="407">
        <v>0</v>
      </c>
      <c r="EV128" s="407">
        <v>207</v>
      </c>
      <c r="EW128" s="407">
        <v>0</v>
      </c>
      <c r="EX128" s="407">
        <v>0</v>
      </c>
      <c r="EY128" s="407">
        <v>0</v>
      </c>
      <c r="EZ128" s="407"/>
      <c r="FA128" s="407">
        <v>0</v>
      </c>
      <c r="FB128" s="407"/>
      <c r="FC128" s="407"/>
      <c r="FD128" s="407"/>
      <c r="FE128" s="407"/>
      <c r="FF128" s="407">
        <v>0</v>
      </c>
      <c r="FG128" s="407">
        <v>0</v>
      </c>
      <c r="FH128" s="407">
        <v>0</v>
      </c>
      <c r="FI128" s="407">
        <v>0</v>
      </c>
    </row>
    <row r="129" spans="1:165" s="846" customFormat="1">
      <c r="A129" s="407">
        <v>127</v>
      </c>
      <c r="B129" s="407" t="s">
        <v>2307</v>
      </c>
      <c r="C129" s="407" t="s">
        <v>2305</v>
      </c>
      <c r="D129" s="407" t="s">
        <v>1220</v>
      </c>
      <c r="E129" s="407" t="s">
        <v>1023</v>
      </c>
      <c r="F129" s="407" t="s">
        <v>1023</v>
      </c>
      <c r="G129" s="407" t="s">
        <v>96</v>
      </c>
      <c r="H129" s="407" t="s">
        <v>96</v>
      </c>
      <c r="I129" s="407" t="s">
        <v>96</v>
      </c>
      <c r="J129" s="407" t="s">
        <v>2306</v>
      </c>
      <c r="K129" s="815">
        <v>44562</v>
      </c>
      <c r="L129" s="407">
        <v>0</v>
      </c>
      <c r="M129" s="407">
        <v>0</v>
      </c>
      <c r="N129" s="407">
        <v>-0.79900000000000004</v>
      </c>
      <c r="O129" s="407">
        <v>-0.79900000000000004</v>
      </c>
      <c r="P129" s="407">
        <v>-0.79900000000000004</v>
      </c>
      <c r="Q129" s="407">
        <v>-0.79900000000000004</v>
      </c>
      <c r="R129" s="407"/>
      <c r="S129" s="407">
        <v>710.52</v>
      </c>
      <c r="T129" s="407">
        <v>127.85</v>
      </c>
      <c r="U129" s="407"/>
      <c r="V129" s="407">
        <v>-669.85762999999997</v>
      </c>
      <c r="W129" s="407">
        <v>-669.85762999999997</v>
      </c>
      <c r="X129" s="407">
        <v>-550.27929000000006</v>
      </c>
      <c r="Y129" s="407">
        <v>0</v>
      </c>
      <c r="Z129" s="407">
        <v>-48.798986240412404</v>
      </c>
      <c r="AA129" s="407">
        <v>0</v>
      </c>
      <c r="AB129" s="407">
        <v>0</v>
      </c>
      <c r="AC129" s="407">
        <v>0</v>
      </c>
      <c r="AD129" s="407">
        <v>-87.364621214490455</v>
      </c>
      <c r="AE129" s="407">
        <v>-398.03566333719175</v>
      </c>
      <c r="AF129" s="407">
        <v>-102.15006956298262</v>
      </c>
      <c r="AG129" s="407">
        <v>0</v>
      </c>
      <c r="AH129" s="407">
        <v>0</v>
      </c>
      <c r="AI129" s="407">
        <v>0</v>
      </c>
      <c r="AJ129" s="407">
        <v>0</v>
      </c>
      <c r="AK129" s="407">
        <v>0</v>
      </c>
      <c r="AL129" s="407">
        <v>-7.5467926358910464</v>
      </c>
      <c r="AM129" s="407"/>
      <c r="AN129" s="407">
        <v>-1.8303198704364154</v>
      </c>
      <c r="AO129" s="407">
        <v>0</v>
      </c>
      <c r="AP129" s="407">
        <v>0</v>
      </c>
      <c r="AQ129" s="407">
        <v>0</v>
      </c>
      <c r="AR129" s="407">
        <v>0</v>
      </c>
      <c r="AS129" s="407">
        <v>0</v>
      </c>
      <c r="AT129" s="407">
        <v>0</v>
      </c>
      <c r="AU129" s="407">
        <v>0</v>
      </c>
      <c r="AV129" s="407">
        <v>0</v>
      </c>
      <c r="AW129" s="407">
        <v>0</v>
      </c>
      <c r="AX129" s="407">
        <v>0</v>
      </c>
      <c r="AY129" s="407">
        <v>0</v>
      </c>
      <c r="AZ129" s="407">
        <v>0</v>
      </c>
      <c r="BA129" s="407"/>
      <c r="BB129" s="407">
        <v>0</v>
      </c>
      <c r="BC129" s="407">
        <v>0</v>
      </c>
      <c r="BD129" s="407">
        <v>0</v>
      </c>
      <c r="BE129" s="407">
        <v>0</v>
      </c>
      <c r="BF129" s="407">
        <v>0</v>
      </c>
      <c r="BG129" s="407">
        <v>-24.128356745122506</v>
      </c>
      <c r="BH129" s="407">
        <v>0</v>
      </c>
      <c r="BI129" s="407">
        <v>-4.09</v>
      </c>
      <c r="BJ129" s="407">
        <v>-18.87</v>
      </c>
      <c r="BK129" s="407">
        <v>-179.59</v>
      </c>
      <c r="BL129" s="407">
        <v>0</v>
      </c>
      <c r="BM129" s="407"/>
      <c r="BN129" s="407"/>
      <c r="BO129" s="407"/>
      <c r="BP129" s="407"/>
      <c r="BQ129" s="407"/>
      <c r="BR129" s="407"/>
      <c r="BS129" s="407"/>
      <c r="BT129" s="407"/>
      <c r="BU129" s="407"/>
      <c r="BV129" s="407">
        <v>-126.27842630810513</v>
      </c>
      <c r="BW129" s="407"/>
      <c r="BX129" s="407"/>
      <c r="BY129" s="407"/>
      <c r="BZ129" s="407"/>
      <c r="CA129" s="407"/>
      <c r="CB129" s="407"/>
      <c r="CC129" s="407"/>
      <c r="CD129" s="407"/>
      <c r="CE129" s="407"/>
      <c r="CF129" s="407"/>
      <c r="CG129" s="407"/>
      <c r="CH129" s="407"/>
      <c r="CI129" s="407">
        <v>-550.96800000000007</v>
      </c>
      <c r="CJ129" s="407">
        <v>118.85962999999992</v>
      </c>
      <c r="CK129" s="407"/>
      <c r="CL129" s="407"/>
      <c r="CM129" s="407"/>
      <c r="CN129" s="407"/>
      <c r="CO129" s="407">
        <v>122.79031999999997</v>
      </c>
      <c r="CP129" s="407">
        <v>-3.2119800000000085</v>
      </c>
      <c r="CQ129" s="407">
        <v>31</v>
      </c>
      <c r="CR129" s="407">
        <v>1.9072307992942115</v>
      </c>
      <c r="CS129" s="407">
        <v>0</v>
      </c>
      <c r="CT129" s="407">
        <v>0</v>
      </c>
      <c r="CU129" s="407">
        <v>0</v>
      </c>
      <c r="CV129" s="407">
        <v>0</v>
      </c>
      <c r="CW129" s="407">
        <v>0</v>
      </c>
      <c r="CX129" s="407">
        <v>0</v>
      </c>
      <c r="CY129" s="407">
        <v>0</v>
      </c>
      <c r="CZ129" s="407">
        <v>4.5832105163533328</v>
      </c>
      <c r="DA129" s="407">
        <v>0</v>
      </c>
      <c r="DB129" s="407">
        <v>0</v>
      </c>
      <c r="DC129" s="407">
        <v>-3.2142757576920928</v>
      </c>
      <c r="DD129" s="407">
        <v>0</v>
      </c>
      <c r="DE129" s="407">
        <v>0</v>
      </c>
      <c r="DF129" s="407">
        <v>0</v>
      </c>
      <c r="DG129" s="407">
        <v>-0.7592279916263287</v>
      </c>
      <c r="DH129" s="407">
        <v>0</v>
      </c>
      <c r="DI129" s="407">
        <v>1.1113214335864541</v>
      </c>
      <c r="DJ129" s="407"/>
      <c r="DK129" s="407">
        <v>0</v>
      </c>
      <c r="DL129" s="407">
        <v>0</v>
      </c>
      <c r="DM129" s="407">
        <v>0</v>
      </c>
      <c r="DN129" s="407">
        <v>0</v>
      </c>
      <c r="DO129" s="407">
        <v>0.14400814194359857</v>
      </c>
      <c r="DP129" s="407">
        <v>4.2194456729183871E-2</v>
      </c>
      <c r="DQ129" s="407">
        <v>0</v>
      </c>
      <c r="DR129" s="407">
        <v>0</v>
      </c>
      <c r="DS129" s="407"/>
      <c r="DT129" s="407"/>
      <c r="DU129" s="407"/>
      <c r="DV129" s="407">
        <v>-398.03566333719175</v>
      </c>
      <c r="DW129" s="407">
        <v>0</v>
      </c>
      <c r="DX129" s="407">
        <v>0</v>
      </c>
      <c r="DY129" s="407">
        <v>122.79031999999989</v>
      </c>
      <c r="DZ129" s="407">
        <v>-3.2119799999999969</v>
      </c>
      <c r="EA129" s="407">
        <v>0</v>
      </c>
      <c r="EB129" s="407">
        <v>0</v>
      </c>
      <c r="EC129" s="407">
        <v>117.66562519276317</v>
      </c>
      <c r="ED129" s="407">
        <v>0</v>
      </c>
      <c r="EE129" s="407">
        <v>0</v>
      </c>
      <c r="EF129" s="407">
        <v>0</v>
      </c>
      <c r="EG129" s="407">
        <v>0</v>
      </c>
      <c r="EH129" s="407">
        <v>0</v>
      </c>
      <c r="EI129" s="407">
        <v>0</v>
      </c>
      <c r="EJ129" s="407">
        <v>0</v>
      </c>
      <c r="EK129" s="407">
        <v>0</v>
      </c>
      <c r="EL129" s="407">
        <v>0</v>
      </c>
      <c r="EM129" s="407">
        <v>0</v>
      </c>
      <c r="EN129" s="407">
        <v>0</v>
      </c>
      <c r="EO129" s="407">
        <v>0</v>
      </c>
      <c r="EP129" s="407">
        <v>0</v>
      </c>
      <c r="EQ129" s="407">
        <v>0</v>
      </c>
      <c r="ER129" s="407">
        <v>0</v>
      </c>
      <c r="ES129" s="407">
        <v>0</v>
      </c>
      <c r="ET129" s="407">
        <v>0</v>
      </c>
      <c r="EU129" s="407">
        <v>0</v>
      </c>
      <c r="EV129" s="407">
        <v>207</v>
      </c>
      <c r="EW129" s="407">
        <v>0</v>
      </c>
      <c r="EX129" s="407">
        <v>0</v>
      </c>
      <c r="EY129" s="407">
        <v>0</v>
      </c>
      <c r="EZ129" s="407"/>
      <c r="FA129" s="407">
        <v>0</v>
      </c>
      <c r="FB129" s="407"/>
      <c r="FC129" s="407"/>
      <c r="FD129" s="407"/>
      <c r="FE129" s="407"/>
      <c r="FF129" s="407">
        <v>0</v>
      </c>
      <c r="FG129" s="407">
        <v>0</v>
      </c>
      <c r="FH129" s="407">
        <v>0</v>
      </c>
      <c r="FI129" s="407">
        <v>0</v>
      </c>
    </row>
    <row r="130" spans="1:165" s="846" customFormat="1">
      <c r="A130" s="407">
        <v>128</v>
      </c>
      <c r="B130" s="407" t="s">
        <v>2308</v>
      </c>
      <c r="C130" s="407" t="s">
        <v>2305</v>
      </c>
      <c r="D130" s="407" t="s">
        <v>1220</v>
      </c>
      <c r="E130" s="407" t="s">
        <v>1023</v>
      </c>
      <c r="F130" s="407" t="s">
        <v>1023</v>
      </c>
      <c r="G130" s="407" t="s">
        <v>96</v>
      </c>
      <c r="H130" s="407" t="s">
        <v>96</v>
      </c>
      <c r="I130" s="407" t="s">
        <v>96</v>
      </c>
      <c r="J130" s="407" t="s">
        <v>2306</v>
      </c>
      <c r="K130" s="815">
        <v>44562</v>
      </c>
      <c r="L130" s="407">
        <v>0</v>
      </c>
      <c r="M130" s="407">
        <v>0</v>
      </c>
      <c r="N130" s="407">
        <v>1.014</v>
      </c>
      <c r="O130" s="407">
        <v>1.014</v>
      </c>
      <c r="P130" s="407">
        <v>1.014</v>
      </c>
      <c r="Q130" s="407">
        <v>1.014</v>
      </c>
      <c r="R130" s="407"/>
      <c r="S130" s="407">
        <v>710.52</v>
      </c>
      <c r="T130" s="407">
        <v>127.85</v>
      </c>
      <c r="U130" s="407"/>
      <c r="V130" s="407">
        <v>850.10717999999997</v>
      </c>
      <c r="W130" s="407">
        <v>850.10717999999997</v>
      </c>
      <c r="X130" s="407">
        <v>698.35194000000001</v>
      </c>
      <c r="Y130" s="407">
        <v>0</v>
      </c>
      <c r="Z130" s="407">
        <v>61.930127719371932</v>
      </c>
      <c r="AA130" s="407">
        <v>0</v>
      </c>
      <c r="AB130" s="407">
        <v>0</v>
      </c>
      <c r="AC130" s="407">
        <v>0</v>
      </c>
      <c r="AD130" s="407">
        <v>110.87324895055484</v>
      </c>
      <c r="AE130" s="407">
        <v>505.14163031778776</v>
      </c>
      <c r="AF130" s="407">
        <v>129.63725974576266</v>
      </c>
      <c r="AG130" s="407">
        <v>0</v>
      </c>
      <c r="AH130" s="407">
        <v>0</v>
      </c>
      <c r="AI130" s="407">
        <v>0</v>
      </c>
      <c r="AJ130" s="407">
        <v>0</v>
      </c>
      <c r="AK130" s="407">
        <v>0</v>
      </c>
      <c r="AL130" s="407">
        <v>9.5775315804674843</v>
      </c>
      <c r="AM130" s="407"/>
      <c r="AN130" s="407">
        <v>2.3228339782509702</v>
      </c>
      <c r="AO130" s="407">
        <v>0</v>
      </c>
      <c r="AP130" s="407">
        <v>0</v>
      </c>
      <c r="AQ130" s="407">
        <v>0</v>
      </c>
      <c r="AR130" s="407">
        <v>0</v>
      </c>
      <c r="AS130" s="407">
        <v>0</v>
      </c>
      <c r="AT130" s="407">
        <v>0</v>
      </c>
      <c r="AU130" s="407">
        <v>0</v>
      </c>
      <c r="AV130" s="407">
        <v>0</v>
      </c>
      <c r="AW130" s="407">
        <v>0</v>
      </c>
      <c r="AX130" s="407">
        <v>0</v>
      </c>
      <c r="AY130" s="407">
        <v>0</v>
      </c>
      <c r="AZ130" s="407">
        <v>0</v>
      </c>
      <c r="BA130" s="407"/>
      <c r="BB130" s="407">
        <v>0</v>
      </c>
      <c r="BC130" s="407">
        <v>0</v>
      </c>
      <c r="BD130" s="407">
        <v>0</v>
      </c>
      <c r="BE130" s="407">
        <v>0</v>
      </c>
      <c r="BF130" s="407">
        <v>0</v>
      </c>
      <c r="BG130" s="407">
        <v>30.620968384923927</v>
      </c>
      <c r="BH130" s="407">
        <v>0</v>
      </c>
      <c r="BI130" s="407">
        <v>2.5</v>
      </c>
      <c r="BJ130" s="407">
        <v>11.88</v>
      </c>
      <c r="BK130" s="407">
        <v>762.69</v>
      </c>
      <c r="BL130" s="407">
        <v>15</v>
      </c>
      <c r="BM130" s="407"/>
      <c r="BN130" s="407"/>
      <c r="BO130" s="407"/>
      <c r="BP130" s="407"/>
      <c r="BQ130" s="407"/>
      <c r="BR130" s="407"/>
      <c r="BS130" s="407"/>
      <c r="BT130" s="407"/>
      <c r="BU130" s="407"/>
      <c r="BV130" s="407">
        <v>160.25822813068658</v>
      </c>
      <c r="BW130" s="407"/>
      <c r="BX130" s="407"/>
      <c r="BY130" s="407"/>
      <c r="BZ130" s="407"/>
      <c r="CA130" s="407"/>
      <c r="CB130" s="407"/>
      <c r="CC130" s="407"/>
      <c r="CD130" s="407"/>
      <c r="CE130" s="407"/>
      <c r="CF130" s="407"/>
      <c r="CG130" s="407"/>
      <c r="CH130" s="407"/>
      <c r="CI130" s="407">
        <v>695.59710000000007</v>
      </c>
      <c r="CJ130" s="407">
        <v>-154.54007999999988</v>
      </c>
      <c r="CK130" s="407"/>
      <c r="CL130" s="407"/>
      <c r="CM130" s="407"/>
      <c r="CN130" s="407"/>
      <c r="CO130" s="407">
        <v>-155.83151999999995</v>
      </c>
      <c r="CP130" s="407">
        <v>4.0762800000000103</v>
      </c>
      <c r="CQ130" s="407">
        <v>31</v>
      </c>
      <c r="CR130" s="407">
        <v>-2.4204405888414726</v>
      </c>
      <c r="CS130" s="407">
        <v>0</v>
      </c>
      <c r="CT130" s="407">
        <v>0</v>
      </c>
      <c r="CU130" s="407">
        <v>0</v>
      </c>
      <c r="CV130" s="407">
        <v>0</v>
      </c>
      <c r="CW130" s="407">
        <v>0</v>
      </c>
      <c r="CX130" s="407">
        <v>0</v>
      </c>
      <c r="CY130" s="407">
        <v>0</v>
      </c>
      <c r="CZ130" s="407">
        <v>-5.8164899419052318</v>
      </c>
      <c r="DA130" s="407">
        <v>0</v>
      </c>
      <c r="DB130" s="407">
        <v>0</v>
      </c>
      <c r="DC130" s="407">
        <v>4.0791935147682068</v>
      </c>
      <c r="DD130" s="407">
        <v>0</v>
      </c>
      <c r="DE130" s="407">
        <v>0</v>
      </c>
      <c r="DF130" s="407">
        <v>0</v>
      </c>
      <c r="DG130" s="407">
        <v>0.96352588674480444</v>
      </c>
      <c r="DH130" s="407">
        <v>0</v>
      </c>
      <c r="DI130" s="407">
        <v>-1.4103628706591493</v>
      </c>
      <c r="DJ130" s="407"/>
      <c r="DK130" s="407">
        <v>0</v>
      </c>
      <c r="DL130" s="407">
        <v>0</v>
      </c>
      <c r="DM130" s="407">
        <v>0</v>
      </c>
      <c r="DN130" s="407">
        <v>0</v>
      </c>
      <c r="DO130" s="407">
        <v>-0.18275876837397753</v>
      </c>
      <c r="DP130" s="407">
        <v>-5.3548409416010578E-2</v>
      </c>
      <c r="DQ130" s="407">
        <v>0</v>
      </c>
      <c r="DR130" s="407">
        <v>0</v>
      </c>
      <c r="DS130" s="407"/>
      <c r="DT130" s="407"/>
      <c r="DU130" s="407"/>
      <c r="DV130" s="407">
        <v>505.14163031778776</v>
      </c>
      <c r="DW130" s="407">
        <v>0</v>
      </c>
      <c r="DX130" s="407">
        <v>0</v>
      </c>
      <c r="DY130" s="407">
        <v>-155.83151999999995</v>
      </c>
      <c r="DZ130" s="407">
        <v>4.0762800000000254</v>
      </c>
      <c r="EA130" s="407">
        <v>0</v>
      </c>
      <c r="EB130" s="407">
        <v>0</v>
      </c>
      <c r="EC130" s="407">
        <v>-149.32783973149168</v>
      </c>
      <c r="ED130" s="407">
        <v>0</v>
      </c>
      <c r="EE130" s="407">
        <v>0</v>
      </c>
      <c r="EF130" s="407">
        <v>0</v>
      </c>
      <c r="EG130" s="407">
        <v>0</v>
      </c>
      <c r="EH130" s="407">
        <v>0</v>
      </c>
      <c r="EI130" s="407">
        <v>0</v>
      </c>
      <c r="EJ130" s="407">
        <v>0</v>
      </c>
      <c r="EK130" s="407">
        <v>0</v>
      </c>
      <c r="EL130" s="407">
        <v>0</v>
      </c>
      <c r="EM130" s="407">
        <v>0</v>
      </c>
      <c r="EN130" s="407">
        <v>0</v>
      </c>
      <c r="EO130" s="407">
        <v>0</v>
      </c>
      <c r="EP130" s="407">
        <v>0</v>
      </c>
      <c r="EQ130" s="407">
        <v>0</v>
      </c>
      <c r="ER130" s="407">
        <v>0</v>
      </c>
      <c r="ES130" s="407">
        <v>0</v>
      </c>
      <c r="ET130" s="407">
        <v>0</v>
      </c>
      <c r="EU130" s="407">
        <v>0</v>
      </c>
      <c r="EV130" s="407">
        <v>207</v>
      </c>
      <c r="EW130" s="407">
        <v>0</v>
      </c>
      <c r="EX130" s="407">
        <v>0</v>
      </c>
      <c r="EY130" s="407">
        <v>0</v>
      </c>
      <c r="EZ130" s="407"/>
      <c r="FA130" s="407">
        <v>0</v>
      </c>
      <c r="FB130" s="407"/>
      <c r="FC130" s="407"/>
      <c r="FD130" s="407"/>
      <c r="FE130" s="407"/>
      <c r="FF130" s="407">
        <v>0</v>
      </c>
      <c r="FG130" s="407">
        <v>0</v>
      </c>
      <c r="FH130" s="407">
        <v>0</v>
      </c>
      <c r="FI130" s="407">
        <v>0</v>
      </c>
    </row>
    <row r="131" spans="1:165" s="846" customFormat="1">
      <c r="A131" s="407">
        <v>129</v>
      </c>
      <c r="B131" s="407" t="s">
        <v>1092</v>
      </c>
      <c r="C131" s="407" t="s">
        <v>2305</v>
      </c>
      <c r="D131" s="407" t="s">
        <v>1220</v>
      </c>
      <c r="E131" s="407" t="s">
        <v>1023</v>
      </c>
      <c r="F131" s="407" t="s">
        <v>2309</v>
      </c>
      <c r="G131" s="407" t="s">
        <v>96</v>
      </c>
      <c r="H131" s="407" t="s">
        <v>96</v>
      </c>
      <c r="I131" s="407" t="s">
        <v>96</v>
      </c>
      <c r="J131" s="407" t="s">
        <v>2306</v>
      </c>
      <c r="K131" s="815">
        <v>44562</v>
      </c>
      <c r="L131" s="407">
        <v>0</v>
      </c>
      <c r="M131" s="407">
        <v>0</v>
      </c>
      <c r="N131" s="407">
        <v>4.68</v>
      </c>
      <c r="O131" s="407">
        <v>4.68</v>
      </c>
      <c r="P131" s="407">
        <v>4.68</v>
      </c>
      <c r="Q131" s="407">
        <v>4.68</v>
      </c>
      <c r="R131" s="407"/>
      <c r="S131" s="407">
        <v>640</v>
      </c>
      <c r="T131" s="407">
        <v>127.85</v>
      </c>
      <c r="U131" s="407"/>
      <c r="V131" s="407">
        <v>3593.5379999999996</v>
      </c>
      <c r="W131" s="407">
        <v>3593.5379999999996</v>
      </c>
      <c r="X131" s="407">
        <v>2900.4767999999999</v>
      </c>
      <c r="Y131" s="407">
        <v>0</v>
      </c>
      <c r="Z131" s="407">
        <v>0</v>
      </c>
      <c r="AA131" s="407">
        <v>0</v>
      </c>
      <c r="AB131" s="407">
        <v>0</v>
      </c>
      <c r="AC131" s="407">
        <v>0</v>
      </c>
      <c r="AD131" s="407">
        <v>511.72268746409924</v>
      </c>
      <c r="AE131" s="407">
        <v>2331.4229091590205</v>
      </c>
      <c r="AF131" s="407">
        <v>598.32581421121233</v>
      </c>
      <c r="AG131" s="407">
        <v>0</v>
      </c>
      <c r="AH131" s="407">
        <v>0</v>
      </c>
      <c r="AI131" s="407">
        <v>0</v>
      </c>
      <c r="AJ131" s="407">
        <v>0</v>
      </c>
      <c r="AK131" s="407">
        <v>0</v>
      </c>
      <c r="AL131" s="407">
        <v>0</v>
      </c>
      <c r="AM131" s="407"/>
      <c r="AN131" s="407">
        <v>10.720772207312169</v>
      </c>
      <c r="AO131" s="407">
        <v>0</v>
      </c>
      <c r="AP131" s="407">
        <v>0</v>
      </c>
      <c r="AQ131" s="407">
        <v>0</v>
      </c>
      <c r="AR131" s="407">
        <v>0</v>
      </c>
      <c r="AS131" s="407">
        <v>0</v>
      </c>
      <c r="AT131" s="407">
        <v>0</v>
      </c>
      <c r="AU131" s="407">
        <v>0</v>
      </c>
      <c r="AV131" s="407">
        <v>0</v>
      </c>
      <c r="AW131" s="407">
        <v>0</v>
      </c>
      <c r="AX131" s="407">
        <v>0</v>
      </c>
      <c r="AY131" s="407">
        <v>0</v>
      </c>
      <c r="AZ131" s="407">
        <v>0</v>
      </c>
      <c r="BA131" s="407"/>
      <c r="BB131" s="407">
        <v>0</v>
      </c>
      <c r="BC131" s="407">
        <v>0</v>
      </c>
      <c r="BD131" s="407">
        <v>0</v>
      </c>
      <c r="BE131" s="407">
        <v>0</v>
      </c>
      <c r="BF131" s="407">
        <v>0</v>
      </c>
      <c r="BG131" s="407">
        <v>141.32754639195659</v>
      </c>
      <c r="BH131" s="407">
        <v>0</v>
      </c>
      <c r="BI131" s="407">
        <v>18.66</v>
      </c>
      <c r="BJ131" s="407">
        <v>85.08</v>
      </c>
      <c r="BK131" s="407">
        <v>665.65</v>
      </c>
      <c r="BL131" s="407">
        <v>0</v>
      </c>
      <c r="BM131" s="407"/>
      <c r="BN131" s="407"/>
      <c r="BO131" s="407"/>
      <c r="BP131" s="407"/>
      <c r="BQ131" s="407"/>
      <c r="BR131" s="407"/>
      <c r="BS131" s="407"/>
      <c r="BT131" s="407">
        <v>1885.3379999999997</v>
      </c>
      <c r="BU131" s="407"/>
      <c r="BV131" s="407">
        <v>739.65336060316895</v>
      </c>
      <c r="BW131" s="407"/>
      <c r="BX131" s="407"/>
      <c r="BY131" s="407"/>
      <c r="BZ131" s="407"/>
      <c r="CA131" s="407"/>
      <c r="CB131" s="407"/>
      <c r="CC131" s="407"/>
      <c r="CD131" s="407"/>
      <c r="CE131" s="407"/>
      <c r="CF131" s="407"/>
      <c r="CG131" s="407"/>
      <c r="CH131" s="407"/>
      <c r="CI131" s="407">
        <v>1015.1387999999998</v>
      </c>
      <c r="CJ131" s="407">
        <v>-242.64120000000014</v>
      </c>
      <c r="CK131" s="407"/>
      <c r="CL131" s="407"/>
      <c r="CM131" s="407"/>
      <c r="CN131" s="407"/>
      <c r="CO131" s="407">
        <v>-711.87480000000005</v>
      </c>
      <c r="CP131" s="407">
        <v>18.813600000000047</v>
      </c>
      <c r="CQ131" s="407">
        <v>31</v>
      </c>
      <c r="CR131" s="407">
        <v>-3.8183951529611022</v>
      </c>
      <c r="CS131" s="407">
        <v>0</v>
      </c>
      <c r="CT131" s="407">
        <v>0</v>
      </c>
      <c r="CU131" s="407">
        <v>0</v>
      </c>
      <c r="CV131" s="407">
        <v>0</v>
      </c>
      <c r="CW131" s="407">
        <v>0</v>
      </c>
      <c r="CX131" s="407">
        <v>0</v>
      </c>
      <c r="CY131" s="407">
        <v>0</v>
      </c>
      <c r="CZ131" s="407">
        <v>-26.845338193408736</v>
      </c>
      <c r="DA131" s="407">
        <v>0</v>
      </c>
      <c r="DB131" s="407">
        <v>0</v>
      </c>
      <c r="DC131" s="407">
        <v>18.827046991237694</v>
      </c>
      <c r="DD131" s="407">
        <v>0</v>
      </c>
      <c r="DE131" s="407">
        <v>0</v>
      </c>
      <c r="DF131" s="407">
        <v>0</v>
      </c>
      <c r="DG131" s="407">
        <v>4.4470425542067744</v>
      </c>
      <c r="DH131" s="407">
        <v>0</v>
      </c>
      <c r="DI131" s="407">
        <v>0</v>
      </c>
      <c r="DJ131" s="407"/>
      <c r="DK131" s="407">
        <v>0</v>
      </c>
      <c r="DL131" s="407">
        <v>0</v>
      </c>
      <c r="DM131" s="407">
        <v>0</v>
      </c>
      <c r="DN131" s="407">
        <v>0</v>
      </c>
      <c r="DO131" s="407">
        <v>0</v>
      </c>
      <c r="DP131" s="407">
        <v>-0.24714650499697299</v>
      </c>
      <c r="DQ131" s="407">
        <v>0</v>
      </c>
      <c r="DR131" s="407">
        <v>0</v>
      </c>
      <c r="DS131" s="407"/>
      <c r="DT131" s="407"/>
      <c r="DU131" s="407"/>
      <c r="DV131" s="407">
        <v>2331.4229091590205</v>
      </c>
      <c r="DW131" s="407">
        <v>0</v>
      </c>
      <c r="DX131" s="407">
        <v>0</v>
      </c>
      <c r="DY131" s="407">
        <v>-711.87480000000005</v>
      </c>
      <c r="DZ131" s="407">
        <v>18.813600000000065</v>
      </c>
      <c r="EA131" s="407">
        <v>0</v>
      </c>
      <c r="EB131" s="407">
        <v>0</v>
      </c>
      <c r="EC131" s="407">
        <v>-689.20541414534637</v>
      </c>
      <c r="ED131" s="407">
        <v>0</v>
      </c>
      <c r="EE131" s="407">
        <v>0</v>
      </c>
      <c r="EF131" s="407">
        <v>0</v>
      </c>
      <c r="EG131" s="407">
        <v>0</v>
      </c>
      <c r="EH131" s="407">
        <v>0</v>
      </c>
      <c r="EI131" s="407">
        <v>0</v>
      </c>
      <c r="EJ131" s="407">
        <v>0</v>
      </c>
      <c r="EK131" s="407">
        <v>0</v>
      </c>
      <c r="EL131" s="407">
        <v>0</v>
      </c>
      <c r="EM131" s="407">
        <v>0</v>
      </c>
      <c r="EN131" s="407">
        <v>0</v>
      </c>
      <c r="EO131" s="407">
        <v>0</v>
      </c>
      <c r="EP131" s="407">
        <v>0</v>
      </c>
      <c r="EQ131" s="407">
        <v>0</v>
      </c>
      <c r="ER131" s="407">
        <v>0</v>
      </c>
      <c r="ES131" s="407">
        <v>0</v>
      </c>
      <c r="ET131" s="407">
        <v>0</v>
      </c>
      <c r="EU131" s="407">
        <v>0</v>
      </c>
      <c r="EV131" s="407">
        <v>207</v>
      </c>
      <c r="EW131" s="407">
        <v>0</v>
      </c>
      <c r="EX131" s="407">
        <v>0</v>
      </c>
      <c r="EY131" s="407">
        <v>0</v>
      </c>
      <c r="EZ131" s="407"/>
      <c r="FA131" s="407">
        <v>0</v>
      </c>
      <c r="FB131" s="407"/>
      <c r="FC131" s="407"/>
      <c r="FD131" s="407"/>
      <c r="FE131" s="407"/>
      <c r="FF131" s="407">
        <v>0</v>
      </c>
      <c r="FG131" s="407">
        <v>0</v>
      </c>
      <c r="FH131" s="407">
        <v>0</v>
      </c>
      <c r="FI131" s="407">
        <v>0</v>
      </c>
    </row>
    <row r="132" spans="1:165" s="846" customFormat="1">
      <c r="A132" s="407">
        <v>130</v>
      </c>
      <c r="B132" s="407" t="s">
        <v>2307</v>
      </c>
      <c r="C132" s="407" t="s">
        <v>2305</v>
      </c>
      <c r="D132" s="407" t="s">
        <v>1220</v>
      </c>
      <c r="E132" s="407" t="s">
        <v>1023</v>
      </c>
      <c r="F132" s="407" t="s">
        <v>2309</v>
      </c>
      <c r="G132" s="407" t="s">
        <v>96</v>
      </c>
      <c r="H132" s="407" t="s">
        <v>96</v>
      </c>
      <c r="I132" s="407" t="s">
        <v>96</v>
      </c>
      <c r="J132" s="407" t="s">
        <v>2306</v>
      </c>
      <c r="K132" s="815">
        <v>44562</v>
      </c>
      <c r="L132" s="407">
        <v>0</v>
      </c>
      <c r="M132" s="407">
        <v>0</v>
      </c>
      <c r="N132" s="407">
        <v>0</v>
      </c>
      <c r="O132" s="407">
        <v>0</v>
      </c>
      <c r="P132" s="407">
        <v>0</v>
      </c>
      <c r="Q132" s="407">
        <v>0</v>
      </c>
      <c r="R132" s="407"/>
      <c r="S132" s="407"/>
      <c r="T132" s="407"/>
      <c r="U132" s="407"/>
      <c r="V132" s="407"/>
      <c r="W132" s="407"/>
      <c r="X132" s="407"/>
      <c r="Y132" s="407"/>
      <c r="Z132" s="407"/>
      <c r="AA132" s="407">
        <v>0</v>
      </c>
      <c r="AB132" s="407"/>
      <c r="AC132" s="407"/>
      <c r="AD132" s="407"/>
      <c r="AE132" s="407"/>
      <c r="AF132" s="407"/>
      <c r="AG132" s="407"/>
      <c r="AH132" s="407"/>
      <c r="AI132" s="407"/>
      <c r="AJ132" s="407"/>
      <c r="AK132" s="407"/>
      <c r="AL132" s="407"/>
      <c r="AM132" s="407"/>
      <c r="AN132" s="407"/>
      <c r="AO132" s="407"/>
      <c r="AP132" s="407"/>
      <c r="AQ132" s="407"/>
      <c r="AR132" s="407"/>
      <c r="AS132" s="407"/>
      <c r="AT132" s="407"/>
      <c r="AU132" s="407"/>
      <c r="AV132" s="407"/>
      <c r="AW132" s="407"/>
      <c r="AX132" s="407"/>
      <c r="AY132" s="407"/>
      <c r="AZ132" s="407">
        <v>0</v>
      </c>
      <c r="BA132" s="407"/>
      <c r="BB132" s="407"/>
      <c r="BC132" s="407"/>
      <c r="BD132" s="407"/>
      <c r="BE132" s="407"/>
      <c r="BF132" s="407"/>
      <c r="BG132" s="407"/>
      <c r="BH132" s="407"/>
      <c r="BI132" s="407">
        <v>0</v>
      </c>
      <c r="BJ132" s="407">
        <v>0</v>
      </c>
      <c r="BK132" s="407">
        <v>4.22</v>
      </c>
      <c r="BL132" s="407">
        <v>0</v>
      </c>
      <c r="BM132" s="407"/>
      <c r="BN132" s="407"/>
      <c r="BO132" s="407"/>
      <c r="BP132" s="407"/>
      <c r="BQ132" s="407"/>
      <c r="BR132" s="407"/>
      <c r="BS132" s="407"/>
      <c r="BT132" s="407"/>
      <c r="BU132" s="407"/>
      <c r="BV132" s="407"/>
      <c r="BW132" s="407"/>
      <c r="BX132" s="407"/>
      <c r="BY132" s="407"/>
      <c r="BZ132" s="407"/>
      <c r="CA132" s="407"/>
      <c r="CB132" s="407"/>
      <c r="CC132" s="407"/>
      <c r="CD132" s="407"/>
      <c r="CE132" s="407"/>
      <c r="CF132" s="407"/>
      <c r="CG132" s="407"/>
      <c r="CH132" s="407"/>
      <c r="CI132" s="407"/>
      <c r="CJ132" s="407">
        <v>-0.03</v>
      </c>
      <c r="CK132" s="407"/>
      <c r="CL132" s="407"/>
      <c r="CM132" s="407"/>
      <c r="CN132" s="407"/>
      <c r="CO132" s="407">
        <v>0</v>
      </c>
      <c r="CP132" s="407">
        <v>0</v>
      </c>
      <c r="CQ132" s="407">
        <v>31</v>
      </c>
      <c r="CR132" s="407"/>
      <c r="CS132" s="407"/>
      <c r="CT132" s="407"/>
      <c r="CU132" s="407"/>
      <c r="CV132" s="407"/>
      <c r="CW132" s="407"/>
      <c r="CX132" s="407"/>
      <c r="CY132" s="407"/>
      <c r="CZ132" s="407"/>
      <c r="DA132" s="407"/>
      <c r="DB132" s="407"/>
      <c r="DC132" s="407"/>
      <c r="DD132" s="407"/>
      <c r="DE132" s="407"/>
      <c r="DF132" s="407"/>
      <c r="DG132" s="407"/>
      <c r="DH132" s="407"/>
      <c r="DI132" s="407"/>
      <c r="DJ132" s="407"/>
      <c r="DK132" s="407">
        <v>0</v>
      </c>
      <c r="DL132" s="407"/>
      <c r="DM132" s="407"/>
      <c r="DN132" s="407"/>
      <c r="DO132" s="407"/>
      <c r="DP132" s="407"/>
      <c r="DQ132" s="407"/>
      <c r="DR132" s="407"/>
      <c r="DS132" s="407"/>
      <c r="DT132" s="407"/>
      <c r="DU132" s="407"/>
      <c r="DV132" s="407"/>
      <c r="DW132" s="407"/>
      <c r="DX132" s="407"/>
      <c r="DY132" s="407"/>
      <c r="DZ132" s="407"/>
      <c r="EA132" s="407"/>
      <c r="EB132" s="407"/>
      <c r="EC132" s="407"/>
      <c r="ED132" s="407"/>
      <c r="EE132" s="407"/>
      <c r="EF132" s="407"/>
      <c r="EG132" s="407"/>
      <c r="EH132" s="407"/>
      <c r="EI132" s="407"/>
      <c r="EJ132" s="407"/>
      <c r="EK132" s="407"/>
      <c r="EL132" s="407"/>
      <c r="EM132" s="407"/>
      <c r="EN132" s="407"/>
      <c r="EO132" s="407"/>
      <c r="EP132" s="407"/>
      <c r="EQ132" s="407"/>
      <c r="ER132" s="407"/>
      <c r="ES132" s="407"/>
      <c r="ET132" s="407"/>
      <c r="EU132" s="407"/>
      <c r="EV132" s="407">
        <v>207</v>
      </c>
      <c r="EW132" s="407"/>
      <c r="EX132" s="407"/>
      <c r="EY132" s="407"/>
      <c r="EZ132" s="407"/>
      <c r="FA132" s="407">
        <v>0</v>
      </c>
      <c r="FB132" s="407"/>
      <c r="FC132" s="407"/>
      <c r="FD132" s="407"/>
      <c r="FE132" s="407"/>
      <c r="FF132" s="407">
        <v>0</v>
      </c>
      <c r="FG132" s="407">
        <v>0</v>
      </c>
      <c r="FH132" s="407">
        <v>0</v>
      </c>
      <c r="FI132" s="407">
        <v>0</v>
      </c>
    </row>
    <row r="133" spans="1:165">
      <c r="A133" s="407">
        <v>131</v>
      </c>
      <c r="B133" s="407" t="s">
        <v>1092</v>
      </c>
      <c r="C133" s="407" t="s">
        <v>2305</v>
      </c>
      <c r="D133" s="407" t="s">
        <v>1220</v>
      </c>
      <c r="E133" s="407" t="s">
        <v>1023</v>
      </c>
      <c r="F133" s="407" t="s">
        <v>2310</v>
      </c>
      <c r="G133" s="407" t="s">
        <v>96</v>
      </c>
      <c r="H133" s="407" t="s">
        <v>96</v>
      </c>
      <c r="I133" s="407" t="s">
        <v>96</v>
      </c>
      <c r="J133" s="407" t="s">
        <v>2306</v>
      </c>
      <c r="K133" s="815">
        <v>44562</v>
      </c>
      <c r="L133" s="407">
        <v>0</v>
      </c>
      <c r="M133" s="407">
        <v>0</v>
      </c>
      <c r="N133" s="407">
        <v>10.484999999999999</v>
      </c>
      <c r="O133" s="407">
        <v>10.484999999999999</v>
      </c>
      <c r="P133" s="407">
        <v>10.484999999999999</v>
      </c>
      <c r="Q133" s="407">
        <v>10.484999999999999</v>
      </c>
      <c r="R133" s="407"/>
      <c r="S133" s="407">
        <v>640</v>
      </c>
      <c r="T133" s="407">
        <v>127.85</v>
      </c>
      <c r="U133" s="407"/>
      <c r="V133" s="407">
        <v>8050.9072499999993</v>
      </c>
      <c r="W133" s="407">
        <v>8050.9072499999993</v>
      </c>
      <c r="X133" s="407">
        <v>6498.1836000000003</v>
      </c>
      <c r="Y133" s="407">
        <v>0</v>
      </c>
      <c r="Z133" s="407">
        <v>0</v>
      </c>
      <c r="AA133" s="407">
        <v>0</v>
      </c>
      <c r="AB133" s="407">
        <v>0</v>
      </c>
      <c r="AC133" s="407">
        <v>0</v>
      </c>
      <c r="AD133" s="407">
        <v>1146.4556363378376</v>
      </c>
      <c r="AE133" s="407">
        <v>5223.2840176351128</v>
      </c>
      <c r="AF133" s="407">
        <v>1340.4799491462736</v>
      </c>
      <c r="AG133" s="407">
        <v>0</v>
      </c>
      <c r="AH133" s="407">
        <v>0</v>
      </c>
      <c r="AI133" s="407">
        <v>0</v>
      </c>
      <c r="AJ133" s="407">
        <v>0</v>
      </c>
      <c r="AK133" s="407">
        <v>0</v>
      </c>
      <c r="AL133" s="407">
        <v>0</v>
      </c>
      <c r="AM133" s="407"/>
      <c r="AN133" s="407">
        <v>24.018653118305149</v>
      </c>
      <c r="AO133" s="407">
        <v>0</v>
      </c>
      <c r="AP133" s="407">
        <v>0</v>
      </c>
      <c r="AQ133" s="407">
        <v>0</v>
      </c>
      <c r="AR133" s="407">
        <v>0</v>
      </c>
      <c r="AS133" s="407">
        <v>0</v>
      </c>
      <c r="AT133" s="407">
        <v>0</v>
      </c>
      <c r="AU133" s="407">
        <v>0</v>
      </c>
      <c r="AV133" s="407">
        <v>0</v>
      </c>
      <c r="AW133" s="407">
        <v>0</v>
      </c>
      <c r="AX133" s="407">
        <v>0</v>
      </c>
      <c r="AY133" s="407">
        <v>0</v>
      </c>
      <c r="AZ133" s="407">
        <v>0</v>
      </c>
      <c r="BA133" s="407"/>
      <c r="BB133" s="407">
        <v>0</v>
      </c>
      <c r="BC133" s="407">
        <v>0</v>
      </c>
      <c r="BD133" s="407">
        <v>0</v>
      </c>
      <c r="BE133" s="407">
        <v>0</v>
      </c>
      <c r="BF133" s="407">
        <v>0</v>
      </c>
      <c r="BG133" s="407">
        <v>316.62806066659505</v>
      </c>
      <c r="BH133" s="407">
        <v>0</v>
      </c>
      <c r="BI133" s="407">
        <v>40.65</v>
      </c>
      <c r="BJ133" s="407">
        <v>190.7</v>
      </c>
      <c r="BK133" s="407">
        <v>1552.04</v>
      </c>
      <c r="BL133" s="407">
        <v>19</v>
      </c>
      <c r="BM133" s="407"/>
      <c r="BN133" s="407"/>
      <c r="BO133" s="407"/>
      <c r="BP133" s="407"/>
      <c r="BQ133" s="407"/>
      <c r="BR133" s="407"/>
      <c r="BS133" s="407"/>
      <c r="BT133" s="407">
        <v>2599.2314999999999</v>
      </c>
      <c r="BU133" s="407"/>
      <c r="BV133" s="407">
        <v>1657.1080098128687</v>
      </c>
      <c r="BW133" s="407"/>
      <c r="BX133" s="407"/>
      <c r="BY133" s="407"/>
      <c r="BZ133" s="407"/>
      <c r="CA133" s="407"/>
      <c r="CB133" s="407"/>
      <c r="CC133" s="407"/>
      <c r="CD133" s="407"/>
      <c r="CE133" s="407"/>
      <c r="CF133" s="407"/>
      <c r="CG133" s="407"/>
      <c r="CH133" s="407"/>
      <c r="CI133" s="407">
        <v>3900.8114</v>
      </c>
      <c r="CJ133" s="407">
        <v>-929.76295000000073</v>
      </c>
      <c r="CK133" s="407"/>
      <c r="CL133" s="407"/>
      <c r="CM133" s="407"/>
      <c r="CN133" s="407"/>
      <c r="CO133" s="407">
        <v>-1594.8733500000001</v>
      </c>
      <c r="CP133" s="407">
        <v>42.149700000000102</v>
      </c>
      <c r="CQ133" s="407">
        <v>31</v>
      </c>
      <c r="CR133" s="407">
        <v>-8.5546737561535338</v>
      </c>
      <c r="CS133" s="407">
        <v>0</v>
      </c>
      <c r="CT133" s="407">
        <v>0</v>
      </c>
      <c r="CU133" s="407">
        <v>0</v>
      </c>
      <c r="CV133" s="407">
        <v>0</v>
      </c>
      <c r="CW133" s="407">
        <v>0</v>
      </c>
      <c r="CX133" s="407">
        <v>0</v>
      </c>
      <c r="CY133" s="407">
        <v>0</v>
      </c>
      <c r="CZ133" s="407">
        <v>-60.143882683309812</v>
      </c>
      <c r="DA133" s="407">
        <v>0</v>
      </c>
      <c r="DB133" s="407">
        <v>0</v>
      </c>
      <c r="DC133" s="407">
        <v>42.17982643229243</v>
      </c>
      <c r="DD133" s="407">
        <v>0</v>
      </c>
      <c r="DE133" s="407">
        <v>0</v>
      </c>
      <c r="DF133" s="407">
        <v>0</v>
      </c>
      <c r="DG133" s="407">
        <v>9.9630857224055376</v>
      </c>
      <c r="DH133" s="407">
        <v>0</v>
      </c>
      <c r="DI133" s="407">
        <v>0</v>
      </c>
      <c r="DJ133" s="407"/>
      <c r="DK133" s="407">
        <v>0</v>
      </c>
      <c r="DL133" s="407">
        <v>0</v>
      </c>
      <c r="DM133" s="407">
        <v>0</v>
      </c>
      <c r="DN133" s="407">
        <v>0</v>
      </c>
      <c r="DO133" s="407">
        <v>0</v>
      </c>
      <c r="DP133" s="407">
        <v>-0.55370322754129475</v>
      </c>
      <c r="DQ133" s="407">
        <v>0</v>
      </c>
      <c r="DR133" s="407">
        <v>0</v>
      </c>
      <c r="DS133" s="407"/>
      <c r="DT133" s="407"/>
      <c r="DU133" s="407"/>
      <c r="DV133" s="407">
        <v>5223.2840176351128</v>
      </c>
      <c r="DW133" s="407">
        <v>0</v>
      </c>
      <c r="DX133" s="407">
        <v>0</v>
      </c>
      <c r="DY133" s="407">
        <v>-1594.8733499999998</v>
      </c>
      <c r="DZ133" s="407">
        <v>42.149700000000166</v>
      </c>
      <c r="EA133" s="407">
        <v>0</v>
      </c>
      <c r="EB133" s="407">
        <v>0</v>
      </c>
      <c r="EC133" s="407">
        <v>-1544.0852066910156</v>
      </c>
      <c r="ED133" s="407">
        <v>0</v>
      </c>
      <c r="EE133" s="407">
        <v>0</v>
      </c>
      <c r="EF133" s="407">
        <v>0</v>
      </c>
      <c r="EG133" s="407">
        <v>0</v>
      </c>
      <c r="EH133" s="407">
        <v>0</v>
      </c>
      <c r="EI133" s="407">
        <v>0</v>
      </c>
      <c r="EJ133" s="407">
        <v>0</v>
      </c>
      <c r="EK133" s="407">
        <v>0</v>
      </c>
      <c r="EL133" s="407">
        <v>0</v>
      </c>
      <c r="EM133" s="407">
        <v>0</v>
      </c>
      <c r="EN133" s="407">
        <v>0</v>
      </c>
      <c r="EO133" s="407">
        <v>0</v>
      </c>
      <c r="EP133" s="407">
        <v>0</v>
      </c>
      <c r="EQ133" s="407">
        <v>0</v>
      </c>
      <c r="ER133" s="407">
        <v>0</v>
      </c>
      <c r="ES133" s="407">
        <v>0</v>
      </c>
      <c r="ET133" s="407">
        <v>0</v>
      </c>
      <c r="EU133" s="407">
        <v>0</v>
      </c>
      <c r="EV133" s="407">
        <v>207</v>
      </c>
      <c r="EW133" s="407">
        <v>0</v>
      </c>
      <c r="EX133" s="407">
        <v>0</v>
      </c>
      <c r="EY133" s="407">
        <v>0</v>
      </c>
      <c r="EZ133" s="407"/>
      <c r="FA133" s="407">
        <v>0</v>
      </c>
      <c r="FB133" s="407"/>
      <c r="FC133" s="407"/>
      <c r="FD133" s="407"/>
      <c r="FE133" s="407"/>
      <c r="FF133" s="407">
        <v>0</v>
      </c>
      <c r="FG133" s="407">
        <v>0</v>
      </c>
      <c r="FH133" s="407">
        <v>0</v>
      </c>
      <c r="FI133" s="407">
        <v>0</v>
      </c>
    </row>
    <row r="134" spans="1:165">
      <c r="A134" s="407">
        <v>132</v>
      </c>
      <c r="B134" s="407" t="s">
        <v>2307</v>
      </c>
      <c r="C134" s="407" t="s">
        <v>2305</v>
      </c>
      <c r="D134" s="407" t="s">
        <v>1220</v>
      </c>
      <c r="E134" s="407" t="s">
        <v>1023</v>
      </c>
      <c r="F134" s="407" t="s">
        <v>2310</v>
      </c>
      <c r="G134" s="407" t="s">
        <v>96</v>
      </c>
      <c r="H134" s="407" t="s">
        <v>96</v>
      </c>
      <c r="I134" s="407" t="s">
        <v>96</v>
      </c>
      <c r="J134" s="407" t="s">
        <v>2306</v>
      </c>
      <c r="K134" s="815">
        <v>44562</v>
      </c>
      <c r="L134" s="407">
        <v>0</v>
      </c>
      <c r="M134" s="407">
        <v>0</v>
      </c>
      <c r="N134" s="407">
        <v>0</v>
      </c>
      <c r="O134" s="407">
        <v>0</v>
      </c>
      <c r="P134" s="407">
        <v>0</v>
      </c>
      <c r="Q134" s="407">
        <v>0</v>
      </c>
      <c r="R134" s="407"/>
      <c r="S134" s="407"/>
      <c r="T134" s="407"/>
      <c r="U134" s="407"/>
      <c r="V134" s="407"/>
      <c r="W134" s="407"/>
      <c r="X134" s="407"/>
      <c r="Y134" s="407"/>
      <c r="Z134" s="407"/>
      <c r="AA134" s="407">
        <v>0</v>
      </c>
      <c r="AB134" s="407"/>
      <c r="AC134" s="407"/>
      <c r="AD134" s="407"/>
      <c r="AE134" s="407"/>
      <c r="AF134" s="407"/>
      <c r="AG134" s="407"/>
      <c r="AH134" s="407"/>
      <c r="AI134" s="407"/>
      <c r="AJ134" s="407"/>
      <c r="AK134" s="407"/>
      <c r="AL134" s="407"/>
      <c r="AM134" s="407"/>
      <c r="AN134" s="407"/>
      <c r="AO134" s="407"/>
      <c r="AP134" s="407"/>
      <c r="AQ134" s="407"/>
      <c r="AR134" s="407"/>
      <c r="AS134" s="407"/>
      <c r="AT134" s="407"/>
      <c r="AU134" s="407"/>
      <c r="AV134" s="407"/>
      <c r="AW134" s="407"/>
      <c r="AX134" s="407"/>
      <c r="AY134" s="407"/>
      <c r="AZ134" s="407">
        <v>0</v>
      </c>
      <c r="BA134" s="407"/>
      <c r="BB134" s="407"/>
      <c r="BC134" s="407"/>
      <c r="BD134" s="407"/>
      <c r="BE134" s="407"/>
      <c r="BF134" s="407"/>
      <c r="BG134" s="407"/>
      <c r="BH134" s="407"/>
      <c r="BI134" s="407">
        <v>0</v>
      </c>
      <c r="BJ134" s="407">
        <v>0</v>
      </c>
      <c r="BK134" s="407">
        <v>9.85</v>
      </c>
      <c r="BL134" s="407">
        <v>0</v>
      </c>
      <c r="BM134" s="407"/>
      <c r="BN134" s="407"/>
      <c r="BO134" s="407"/>
      <c r="BP134" s="407"/>
      <c r="BQ134" s="407"/>
      <c r="BR134" s="407"/>
      <c r="BS134" s="407"/>
      <c r="BT134" s="407"/>
      <c r="BU134" s="407"/>
      <c r="BV134" s="407"/>
      <c r="BW134" s="407"/>
      <c r="BX134" s="407"/>
      <c r="BY134" s="407"/>
      <c r="BZ134" s="407"/>
      <c r="CA134" s="407"/>
      <c r="CB134" s="407"/>
      <c r="CC134" s="407"/>
      <c r="CD134" s="407"/>
      <c r="CE134" s="407"/>
      <c r="CF134" s="407"/>
      <c r="CG134" s="407"/>
      <c r="CH134" s="407"/>
      <c r="CI134" s="407"/>
      <c r="CJ134" s="407">
        <v>-0.03</v>
      </c>
      <c r="CK134" s="407"/>
      <c r="CL134" s="407"/>
      <c r="CM134" s="407"/>
      <c r="CN134" s="407"/>
      <c r="CO134" s="407">
        <v>0</v>
      </c>
      <c r="CP134" s="407">
        <v>0</v>
      </c>
      <c r="CQ134" s="407">
        <v>31</v>
      </c>
      <c r="CR134" s="407"/>
      <c r="CS134" s="407"/>
      <c r="CT134" s="407"/>
      <c r="CU134" s="407"/>
      <c r="CV134" s="407"/>
      <c r="CW134" s="407"/>
      <c r="CX134" s="407"/>
      <c r="CY134" s="407"/>
      <c r="CZ134" s="407"/>
      <c r="DA134" s="407"/>
      <c r="DB134" s="407"/>
      <c r="DC134" s="407"/>
      <c r="DD134" s="407"/>
      <c r="DE134" s="407"/>
      <c r="DF134" s="407"/>
      <c r="DG134" s="407"/>
      <c r="DH134" s="407"/>
      <c r="DI134" s="407"/>
      <c r="DJ134" s="407"/>
      <c r="DK134" s="407">
        <v>0</v>
      </c>
      <c r="DL134" s="407"/>
      <c r="DM134" s="407"/>
      <c r="DN134" s="407"/>
      <c r="DO134" s="407"/>
      <c r="DP134" s="407"/>
      <c r="DQ134" s="407"/>
      <c r="DR134" s="407"/>
      <c r="DS134" s="407"/>
      <c r="DT134" s="407"/>
      <c r="DU134" s="407"/>
      <c r="DV134" s="407"/>
      <c r="DW134" s="407"/>
      <c r="DX134" s="407"/>
      <c r="DY134" s="407"/>
      <c r="DZ134" s="407"/>
      <c r="EA134" s="407"/>
      <c r="EB134" s="407"/>
      <c r="EC134" s="407"/>
      <c r="ED134" s="407"/>
      <c r="EE134" s="407"/>
      <c r="EF134" s="407"/>
      <c r="EG134" s="407"/>
      <c r="EH134" s="407"/>
      <c r="EI134" s="407"/>
      <c r="EJ134" s="407"/>
      <c r="EK134" s="407"/>
      <c r="EL134" s="407"/>
      <c r="EM134" s="407"/>
      <c r="EN134" s="407"/>
      <c r="EO134" s="407"/>
      <c r="EP134" s="407"/>
      <c r="EQ134" s="407"/>
      <c r="ER134" s="407"/>
      <c r="ES134" s="407"/>
      <c r="ET134" s="407"/>
      <c r="EU134" s="407"/>
      <c r="EV134" s="407">
        <v>207</v>
      </c>
      <c r="EW134" s="407"/>
      <c r="EX134" s="407"/>
      <c r="EY134" s="407"/>
      <c r="EZ134" s="407"/>
      <c r="FA134" s="407">
        <v>0</v>
      </c>
      <c r="FB134" s="407"/>
      <c r="FC134" s="407"/>
      <c r="FD134" s="407"/>
      <c r="FE134" s="407"/>
      <c r="FF134" s="407">
        <v>0</v>
      </c>
      <c r="FG134" s="407">
        <v>0</v>
      </c>
      <c r="FH134" s="407">
        <v>0</v>
      </c>
      <c r="FI134" s="407">
        <v>0</v>
      </c>
    </row>
    <row r="135" spans="1:165">
      <c r="A135" s="407">
        <v>133</v>
      </c>
      <c r="B135" s="407" t="s">
        <v>1092</v>
      </c>
      <c r="C135" s="407" t="s">
        <v>2305</v>
      </c>
      <c r="D135" s="407" t="s">
        <v>1220</v>
      </c>
      <c r="E135" s="407" t="s">
        <v>1023</v>
      </c>
      <c r="F135" s="407" t="s">
        <v>2311</v>
      </c>
      <c r="G135" s="407" t="s">
        <v>96</v>
      </c>
      <c r="H135" s="407" t="s">
        <v>96</v>
      </c>
      <c r="I135" s="407" t="s">
        <v>96</v>
      </c>
      <c r="J135" s="407" t="s">
        <v>2306</v>
      </c>
      <c r="K135" s="815">
        <v>44562</v>
      </c>
      <c r="L135" s="407">
        <v>0</v>
      </c>
      <c r="M135" s="407">
        <v>0</v>
      </c>
      <c r="N135" s="407">
        <v>11.601000000000001</v>
      </c>
      <c r="O135" s="407">
        <v>11.601000000000001</v>
      </c>
      <c r="P135" s="407">
        <v>11.601000000000001</v>
      </c>
      <c r="Q135" s="407">
        <v>11.601000000000001</v>
      </c>
      <c r="R135" s="407"/>
      <c r="S135" s="407">
        <v>640</v>
      </c>
      <c r="T135" s="407">
        <v>127.85</v>
      </c>
      <c r="U135" s="407"/>
      <c r="V135" s="407">
        <v>8907.8278499999997</v>
      </c>
      <c r="W135" s="407">
        <v>8907.8278499999997</v>
      </c>
      <c r="X135" s="407">
        <v>7189.8357600000008</v>
      </c>
      <c r="Y135" s="407">
        <v>0</v>
      </c>
      <c r="Z135" s="407">
        <v>0</v>
      </c>
      <c r="AA135" s="407">
        <v>0</v>
      </c>
      <c r="AB135" s="407">
        <v>0</v>
      </c>
      <c r="AC135" s="407">
        <v>0</v>
      </c>
      <c r="AD135" s="407">
        <v>1268.4818156562001</v>
      </c>
      <c r="AE135" s="407">
        <v>5779.2387113576497</v>
      </c>
      <c r="AF135" s="407">
        <v>1483.1576433043322</v>
      </c>
      <c r="AG135" s="407">
        <v>0</v>
      </c>
      <c r="AH135" s="407">
        <v>0</v>
      </c>
      <c r="AI135" s="407">
        <v>0</v>
      </c>
      <c r="AJ135" s="407">
        <v>0</v>
      </c>
      <c r="AK135" s="407">
        <v>0</v>
      </c>
      <c r="AL135" s="407">
        <v>0</v>
      </c>
      <c r="AM135" s="407"/>
      <c r="AN135" s="407">
        <v>26.575144952356517</v>
      </c>
      <c r="AO135" s="407">
        <v>0</v>
      </c>
      <c r="AP135" s="407">
        <v>0</v>
      </c>
      <c r="AQ135" s="407">
        <v>0</v>
      </c>
      <c r="AR135" s="407">
        <v>0</v>
      </c>
      <c r="AS135" s="407">
        <v>0</v>
      </c>
      <c r="AT135" s="407">
        <v>0</v>
      </c>
      <c r="AU135" s="407">
        <v>0</v>
      </c>
      <c r="AV135" s="407">
        <v>0</v>
      </c>
      <c r="AW135" s="407">
        <v>0</v>
      </c>
      <c r="AX135" s="407">
        <v>0</v>
      </c>
      <c r="AY135" s="407">
        <v>0</v>
      </c>
      <c r="AZ135" s="407">
        <v>0</v>
      </c>
      <c r="BA135" s="407"/>
      <c r="BB135" s="407">
        <v>0</v>
      </c>
      <c r="BC135" s="407">
        <v>0</v>
      </c>
      <c r="BD135" s="407">
        <v>0</v>
      </c>
      <c r="BE135" s="407">
        <v>0</v>
      </c>
      <c r="BF135" s="407">
        <v>0</v>
      </c>
      <c r="BG135" s="407">
        <v>350.32924480621551</v>
      </c>
      <c r="BH135" s="407">
        <v>0</v>
      </c>
      <c r="BI135" s="407">
        <v>45.41</v>
      </c>
      <c r="BJ135" s="407">
        <v>210.82</v>
      </c>
      <c r="BK135" s="407">
        <v>2105.5700000000002</v>
      </c>
      <c r="BL135" s="407">
        <v>86</v>
      </c>
      <c r="BM135" s="407"/>
      <c r="BN135" s="407"/>
      <c r="BO135" s="407"/>
      <c r="BP135" s="407"/>
      <c r="BQ135" s="407"/>
      <c r="BR135" s="407"/>
      <c r="BS135" s="407"/>
      <c r="BT135" s="407">
        <v>719.02997999999957</v>
      </c>
      <c r="BU135" s="407"/>
      <c r="BV135" s="407">
        <v>1833.4868881105476</v>
      </c>
      <c r="BW135" s="407"/>
      <c r="BX135" s="407"/>
      <c r="BY135" s="407"/>
      <c r="BZ135" s="407"/>
      <c r="CA135" s="407"/>
      <c r="CB135" s="407"/>
      <c r="CC135" s="407"/>
      <c r="CD135" s="407"/>
      <c r="CE135" s="407"/>
      <c r="CF135" s="407"/>
      <c r="CG135" s="407"/>
      <c r="CH135" s="407"/>
      <c r="CI135" s="407">
        <v>6470.2480000000005</v>
      </c>
      <c r="CJ135" s="407">
        <v>-1546.7690600000005</v>
      </c>
      <c r="CK135" s="407"/>
      <c r="CL135" s="407"/>
      <c r="CM135" s="407"/>
      <c r="CN135" s="407"/>
      <c r="CO135" s="407">
        <v>-1764.6281100000003</v>
      </c>
      <c r="CP135" s="407">
        <v>46.636020000000123</v>
      </c>
      <c r="CQ135" s="407">
        <v>31</v>
      </c>
      <c r="CR135" s="407">
        <v>-9.4652141387823576</v>
      </c>
      <c r="CS135" s="407">
        <v>0</v>
      </c>
      <c r="CT135" s="407">
        <v>0</v>
      </c>
      <c r="CU135" s="407">
        <v>0</v>
      </c>
      <c r="CV135" s="407">
        <v>0</v>
      </c>
      <c r="CW135" s="407">
        <v>0</v>
      </c>
      <c r="CX135" s="407">
        <v>0</v>
      </c>
      <c r="CY135" s="407">
        <v>0</v>
      </c>
      <c r="CZ135" s="407">
        <v>-66.545463329430504</v>
      </c>
      <c r="DA135" s="407">
        <v>0</v>
      </c>
      <c r="DB135" s="407">
        <v>0</v>
      </c>
      <c r="DC135" s="407">
        <v>46.669353022510677</v>
      </c>
      <c r="DD135" s="407">
        <v>0</v>
      </c>
      <c r="DE135" s="407">
        <v>0</v>
      </c>
      <c r="DF135" s="407">
        <v>0</v>
      </c>
      <c r="DG135" s="407">
        <v>11.023534331485621</v>
      </c>
      <c r="DH135" s="407">
        <v>0</v>
      </c>
      <c r="DI135" s="407">
        <v>0</v>
      </c>
      <c r="DJ135" s="407"/>
      <c r="DK135" s="407">
        <v>0</v>
      </c>
      <c r="DL135" s="407">
        <v>0</v>
      </c>
      <c r="DM135" s="407">
        <v>0</v>
      </c>
      <c r="DN135" s="407">
        <v>0</v>
      </c>
      <c r="DO135" s="407">
        <v>0</v>
      </c>
      <c r="DP135" s="407">
        <v>-0.61263816334826515</v>
      </c>
      <c r="DQ135" s="407">
        <v>0</v>
      </c>
      <c r="DR135" s="407">
        <v>0</v>
      </c>
      <c r="DS135" s="407"/>
      <c r="DT135" s="407"/>
      <c r="DU135" s="407"/>
      <c r="DV135" s="407">
        <v>5779.2387113576497</v>
      </c>
      <c r="DW135" s="407">
        <v>0</v>
      </c>
      <c r="DX135" s="407">
        <v>0</v>
      </c>
      <c r="DY135" s="407">
        <v>-1764.6281099999997</v>
      </c>
      <c r="DZ135" s="407">
        <v>46.636020000000144</v>
      </c>
      <c r="EA135" s="407">
        <v>0</v>
      </c>
      <c r="EB135" s="407">
        <v>0</v>
      </c>
      <c r="EC135" s="407">
        <v>-1708.4341900641375</v>
      </c>
      <c r="ED135" s="407">
        <v>0</v>
      </c>
      <c r="EE135" s="407">
        <v>0</v>
      </c>
      <c r="EF135" s="407">
        <v>0</v>
      </c>
      <c r="EG135" s="407">
        <v>0</v>
      </c>
      <c r="EH135" s="407">
        <v>0</v>
      </c>
      <c r="EI135" s="407">
        <v>0</v>
      </c>
      <c r="EJ135" s="407">
        <v>0</v>
      </c>
      <c r="EK135" s="407">
        <v>0</v>
      </c>
      <c r="EL135" s="407">
        <v>0</v>
      </c>
      <c r="EM135" s="407">
        <v>0</v>
      </c>
      <c r="EN135" s="407">
        <v>0</v>
      </c>
      <c r="EO135" s="407">
        <v>0</v>
      </c>
      <c r="EP135" s="407">
        <v>0</v>
      </c>
      <c r="EQ135" s="407">
        <v>0</v>
      </c>
      <c r="ER135" s="407">
        <v>0</v>
      </c>
      <c r="ES135" s="407">
        <v>0</v>
      </c>
      <c r="ET135" s="407">
        <v>0</v>
      </c>
      <c r="EU135" s="407">
        <v>0</v>
      </c>
      <c r="EV135" s="407">
        <v>207</v>
      </c>
      <c r="EW135" s="407">
        <v>0</v>
      </c>
      <c r="EX135" s="407">
        <v>0</v>
      </c>
      <c r="EY135" s="407">
        <v>0</v>
      </c>
      <c r="EZ135" s="407"/>
      <c r="FA135" s="407">
        <v>0</v>
      </c>
      <c r="FB135" s="407"/>
      <c r="FC135" s="407"/>
      <c r="FD135" s="407"/>
      <c r="FE135" s="407"/>
      <c r="FF135" s="407">
        <v>0</v>
      </c>
      <c r="FG135" s="407">
        <v>0</v>
      </c>
      <c r="FH135" s="407">
        <v>0</v>
      </c>
      <c r="FI135" s="407">
        <v>0</v>
      </c>
    </row>
    <row r="136" spans="1:165">
      <c r="A136" s="407">
        <v>134</v>
      </c>
      <c r="B136" s="407" t="s">
        <v>2307</v>
      </c>
      <c r="C136" s="407" t="s">
        <v>2305</v>
      </c>
      <c r="D136" s="407" t="s">
        <v>1220</v>
      </c>
      <c r="E136" s="407" t="s">
        <v>1023</v>
      </c>
      <c r="F136" s="407" t="s">
        <v>2311</v>
      </c>
      <c r="G136" s="407" t="s">
        <v>96</v>
      </c>
      <c r="H136" s="407" t="s">
        <v>96</v>
      </c>
      <c r="I136" s="407" t="s">
        <v>96</v>
      </c>
      <c r="J136" s="407" t="s">
        <v>2306</v>
      </c>
      <c r="K136" s="815">
        <v>44562</v>
      </c>
      <c r="L136" s="407">
        <v>0</v>
      </c>
      <c r="M136" s="407">
        <v>0</v>
      </c>
      <c r="N136" s="407">
        <v>0.02</v>
      </c>
      <c r="O136" s="407">
        <v>0.02</v>
      </c>
      <c r="P136" s="407">
        <v>0.02</v>
      </c>
      <c r="Q136" s="407">
        <v>0.02</v>
      </c>
      <c r="R136" s="407"/>
      <c r="S136" s="407">
        <v>640</v>
      </c>
      <c r="T136" s="407">
        <v>127.85</v>
      </c>
      <c r="U136" s="407"/>
      <c r="V136" s="407">
        <v>15.357000000000001</v>
      </c>
      <c r="W136" s="407">
        <v>15.357000000000001</v>
      </c>
      <c r="X136" s="407">
        <v>12.395199999999999</v>
      </c>
      <c r="Y136" s="407">
        <v>0</v>
      </c>
      <c r="Z136" s="407">
        <v>0</v>
      </c>
      <c r="AA136" s="407">
        <v>0</v>
      </c>
      <c r="AB136" s="407">
        <v>0</v>
      </c>
      <c r="AC136" s="407">
        <v>0</v>
      </c>
      <c r="AD136" s="407">
        <v>2.1868490917269199</v>
      </c>
      <c r="AE136" s="407">
        <v>9.9633457656368396</v>
      </c>
      <c r="AF136" s="407">
        <v>2.5569479239795401</v>
      </c>
      <c r="AG136" s="407">
        <v>0</v>
      </c>
      <c r="AH136" s="407">
        <v>0</v>
      </c>
      <c r="AI136" s="407">
        <v>0</v>
      </c>
      <c r="AJ136" s="407">
        <v>0</v>
      </c>
      <c r="AK136" s="407">
        <v>0</v>
      </c>
      <c r="AL136" s="407">
        <v>0</v>
      </c>
      <c r="AM136" s="407"/>
      <c r="AN136" s="407">
        <v>4.5815265843214402E-2</v>
      </c>
      <c r="AO136" s="407">
        <v>0</v>
      </c>
      <c r="AP136" s="407">
        <v>0</v>
      </c>
      <c r="AQ136" s="407">
        <v>0</v>
      </c>
      <c r="AR136" s="407">
        <v>0</v>
      </c>
      <c r="AS136" s="407">
        <v>0</v>
      </c>
      <c r="AT136" s="407">
        <v>0</v>
      </c>
      <c r="AU136" s="407">
        <v>0</v>
      </c>
      <c r="AV136" s="407">
        <v>0</v>
      </c>
      <c r="AW136" s="407">
        <v>0</v>
      </c>
      <c r="AX136" s="407">
        <v>0</v>
      </c>
      <c r="AY136" s="407">
        <v>0</v>
      </c>
      <c r="AZ136" s="407">
        <v>0</v>
      </c>
      <c r="BA136" s="407"/>
      <c r="BB136" s="407">
        <v>0</v>
      </c>
      <c r="BC136" s="407">
        <v>0</v>
      </c>
      <c r="BD136" s="407">
        <v>0</v>
      </c>
      <c r="BE136" s="407">
        <v>0</v>
      </c>
      <c r="BF136" s="407">
        <v>0</v>
      </c>
      <c r="BG136" s="407">
        <v>0.60396387346989999</v>
      </c>
      <c r="BH136" s="407">
        <v>0</v>
      </c>
      <c r="BI136" s="407">
        <v>0.09</v>
      </c>
      <c r="BJ136" s="407">
        <v>0.43</v>
      </c>
      <c r="BK136" s="407">
        <v>18.84</v>
      </c>
      <c r="BL136" s="407">
        <v>0</v>
      </c>
      <c r="BM136" s="407"/>
      <c r="BN136" s="407"/>
      <c r="BO136" s="407"/>
      <c r="BP136" s="407"/>
      <c r="BQ136" s="407"/>
      <c r="BR136" s="407"/>
      <c r="BS136" s="407"/>
      <c r="BT136" s="407">
        <v>1.2395999999999994</v>
      </c>
      <c r="BU136" s="407"/>
      <c r="BV136" s="407">
        <v>3.1609117974494403</v>
      </c>
      <c r="BW136" s="407"/>
      <c r="BX136" s="407"/>
      <c r="BY136" s="407"/>
      <c r="BZ136" s="407"/>
      <c r="CA136" s="407"/>
      <c r="CB136" s="407"/>
      <c r="CC136" s="407"/>
      <c r="CD136" s="407"/>
      <c r="CE136" s="407"/>
      <c r="CF136" s="407"/>
      <c r="CG136" s="407"/>
      <c r="CH136" s="407"/>
      <c r="CI136" s="407">
        <v>11.1556</v>
      </c>
      <c r="CJ136" s="407">
        <v>-2.6955999999999989</v>
      </c>
      <c r="CK136" s="407"/>
      <c r="CL136" s="407"/>
      <c r="CM136" s="407"/>
      <c r="CN136" s="407"/>
      <c r="CO136" s="407">
        <v>-3.0422000000000002</v>
      </c>
      <c r="CP136" s="407">
        <v>8.0400000000000207E-2</v>
      </c>
      <c r="CQ136" s="407">
        <v>31</v>
      </c>
      <c r="CR136" s="407">
        <v>-1.6317928004106363E-2</v>
      </c>
      <c r="CS136" s="407">
        <v>0</v>
      </c>
      <c r="CT136" s="407">
        <v>0</v>
      </c>
      <c r="CU136" s="407">
        <v>0</v>
      </c>
      <c r="CV136" s="407">
        <v>0</v>
      </c>
      <c r="CW136" s="407">
        <v>0</v>
      </c>
      <c r="CX136" s="407">
        <v>0</v>
      </c>
      <c r="CY136" s="407">
        <v>0</v>
      </c>
      <c r="CZ136" s="407">
        <v>-0.11472366749319951</v>
      </c>
      <c r="DA136" s="407">
        <v>0</v>
      </c>
      <c r="DB136" s="407">
        <v>0</v>
      </c>
      <c r="DC136" s="407">
        <v>8.0457465774520287E-2</v>
      </c>
      <c r="DD136" s="407">
        <v>0</v>
      </c>
      <c r="DE136" s="407">
        <v>0</v>
      </c>
      <c r="DF136" s="407">
        <v>0</v>
      </c>
      <c r="DG136" s="407">
        <v>1.9004455359858063E-2</v>
      </c>
      <c r="DH136" s="407">
        <v>0</v>
      </c>
      <c r="DI136" s="407">
        <v>0</v>
      </c>
      <c r="DJ136" s="407"/>
      <c r="DK136" s="407">
        <v>0</v>
      </c>
      <c r="DL136" s="407">
        <v>0</v>
      </c>
      <c r="DM136" s="407">
        <v>0</v>
      </c>
      <c r="DN136" s="407">
        <v>0</v>
      </c>
      <c r="DO136" s="407">
        <v>0</v>
      </c>
      <c r="DP136" s="407">
        <v>-1.0561816452862027E-3</v>
      </c>
      <c r="DQ136" s="407">
        <v>0</v>
      </c>
      <c r="DR136" s="407">
        <v>0</v>
      </c>
      <c r="DS136" s="407"/>
      <c r="DT136" s="407"/>
      <c r="DU136" s="407"/>
      <c r="DV136" s="407">
        <v>9.9633457656368396</v>
      </c>
      <c r="DW136" s="407">
        <v>0</v>
      </c>
      <c r="DX136" s="407">
        <v>0</v>
      </c>
      <c r="DY136" s="407">
        <v>-3.0422000000000011</v>
      </c>
      <c r="DZ136" s="407">
        <v>8.0400000000000027E-2</v>
      </c>
      <c r="EA136" s="407">
        <v>0</v>
      </c>
      <c r="EB136" s="407">
        <v>0</v>
      </c>
      <c r="EC136" s="407">
        <v>-2.9453222826724197</v>
      </c>
      <c r="ED136" s="407">
        <v>0</v>
      </c>
      <c r="EE136" s="407">
        <v>0</v>
      </c>
      <c r="EF136" s="407">
        <v>0</v>
      </c>
      <c r="EG136" s="407">
        <v>0</v>
      </c>
      <c r="EH136" s="407">
        <v>0</v>
      </c>
      <c r="EI136" s="407">
        <v>0</v>
      </c>
      <c r="EJ136" s="407">
        <v>0</v>
      </c>
      <c r="EK136" s="407">
        <v>0</v>
      </c>
      <c r="EL136" s="407">
        <v>0</v>
      </c>
      <c r="EM136" s="407">
        <v>0</v>
      </c>
      <c r="EN136" s="407">
        <v>0</v>
      </c>
      <c r="EO136" s="407">
        <v>0</v>
      </c>
      <c r="EP136" s="407">
        <v>0</v>
      </c>
      <c r="EQ136" s="407">
        <v>0</v>
      </c>
      <c r="ER136" s="407">
        <v>0</v>
      </c>
      <c r="ES136" s="407">
        <v>0</v>
      </c>
      <c r="ET136" s="407">
        <v>0</v>
      </c>
      <c r="EU136" s="407">
        <v>0</v>
      </c>
      <c r="EV136" s="407">
        <v>207</v>
      </c>
      <c r="EW136" s="407">
        <v>0</v>
      </c>
      <c r="EX136" s="407">
        <v>0</v>
      </c>
      <c r="EY136" s="407">
        <v>0</v>
      </c>
      <c r="EZ136" s="407"/>
      <c r="FA136" s="407">
        <v>0</v>
      </c>
      <c r="FB136" s="407"/>
      <c r="FC136" s="407"/>
      <c r="FD136" s="407"/>
      <c r="FE136" s="407"/>
      <c r="FF136" s="407">
        <v>0</v>
      </c>
      <c r="FG136" s="407">
        <v>0</v>
      </c>
      <c r="FH136" s="407">
        <v>0</v>
      </c>
      <c r="FI136" s="407">
        <v>0</v>
      </c>
    </row>
    <row r="137" spans="1:165">
      <c r="A137" s="407">
        <v>135</v>
      </c>
      <c r="B137" s="407" t="s">
        <v>1092</v>
      </c>
      <c r="C137" s="407" t="s">
        <v>2305</v>
      </c>
      <c r="D137" s="407" t="s">
        <v>1220</v>
      </c>
      <c r="E137" s="407" t="s">
        <v>1023</v>
      </c>
      <c r="F137" s="407" t="s">
        <v>2312</v>
      </c>
      <c r="G137" s="407" t="s">
        <v>96</v>
      </c>
      <c r="H137" s="407" t="s">
        <v>96</v>
      </c>
      <c r="I137" s="407" t="s">
        <v>96</v>
      </c>
      <c r="J137" s="407" t="s">
        <v>2306</v>
      </c>
      <c r="K137" s="815">
        <v>44562</v>
      </c>
      <c r="L137" s="407">
        <v>0</v>
      </c>
      <c r="M137" s="407">
        <v>0</v>
      </c>
      <c r="N137" s="407">
        <v>3.621</v>
      </c>
      <c r="O137" s="407">
        <v>3.621</v>
      </c>
      <c r="P137" s="407">
        <v>3.621</v>
      </c>
      <c r="Q137" s="407">
        <v>3.621</v>
      </c>
      <c r="R137" s="407"/>
      <c r="S137" s="407">
        <v>640</v>
      </c>
      <c r="T137" s="407">
        <v>127.85</v>
      </c>
      <c r="U137" s="407"/>
      <c r="V137" s="407">
        <v>2780.3848499999999</v>
      </c>
      <c r="W137" s="407">
        <v>2780.3848499999999</v>
      </c>
      <c r="X137" s="407">
        <v>2244.1509599999999</v>
      </c>
      <c r="Y137" s="407">
        <v>0</v>
      </c>
      <c r="Z137" s="407">
        <v>0</v>
      </c>
      <c r="AA137" s="407">
        <v>0</v>
      </c>
      <c r="AB137" s="407">
        <v>0</v>
      </c>
      <c r="AC137" s="407">
        <v>0</v>
      </c>
      <c r="AD137" s="407">
        <v>395.92902805715886</v>
      </c>
      <c r="AE137" s="407">
        <v>1803.8637508685499</v>
      </c>
      <c r="AF137" s="407">
        <v>462.93542163649568</v>
      </c>
      <c r="AG137" s="407">
        <v>0</v>
      </c>
      <c r="AH137" s="407">
        <v>0</v>
      </c>
      <c r="AI137" s="407">
        <v>0</v>
      </c>
      <c r="AJ137" s="407">
        <v>0</v>
      </c>
      <c r="AK137" s="407">
        <v>0</v>
      </c>
      <c r="AL137" s="407">
        <v>0</v>
      </c>
      <c r="AM137" s="407"/>
      <c r="AN137" s="407">
        <v>8.2948538809139674</v>
      </c>
      <c r="AO137" s="407">
        <v>0</v>
      </c>
      <c r="AP137" s="407">
        <v>0</v>
      </c>
      <c r="AQ137" s="407">
        <v>0</v>
      </c>
      <c r="AR137" s="407">
        <v>0</v>
      </c>
      <c r="AS137" s="407">
        <v>0</v>
      </c>
      <c r="AT137" s="407">
        <v>0</v>
      </c>
      <c r="AU137" s="407">
        <v>0</v>
      </c>
      <c r="AV137" s="407">
        <v>0</v>
      </c>
      <c r="AW137" s="407">
        <v>0</v>
      </c>
      <c r="AX137" s="407">
        <v>0</v>
      </c>
      <c r="AY137" s="407">
        <v>0</v>
      </c>
      <c r="AZ137" s="407">
        <v>0</v>
      </c>
      <c r="BA137" s="407"/>
      <c r="BB137" s="407">
        <v>0</v>
      </c>
      <c r="BC137" s="407">
        <v>0</v>
      </c>
      <c r="BD137" s="407">
        <v>0</v>
      </c>
      <c r="BE137" s="407">
        <v>0</v>
      </c>
      <c r="BF137" s="407">
        <v>0</v>
      </c>
      <c r="BG137" s="407">
        <v>109.34765929172539</v>
      </c>
      <c r="BH137" s="407">
        <v>0</v>
      </c>
      <c r="BI137" s="407">
        <v>14.34</v>
      </c>
      <c r="BJ137" s="407">
        <v>66.73</v>
      </c>
      <c r="BK137" s="407">
        <v>858.37</v>
      </c>
      <c r="BL137" s="407">
        <v>51</v>
      </c>
      <c r="BM137" s="407"/>
      <c r="BN137" s="407"/>
      <c r="BO137" s="407"/>
      <c r="BP137" s="407"/>
      <c r="BQ137" s="407"/>
      <c r="BR137" s="407"/>
      <c r="BS137" s="407"/>
      <c r="BT137" s="407"/>
      <c r="BU137" s="407"/>
      <c r="BV137" s="407">
        <v>572.28308092822112</v>
      </c>
      <c r="BW137" s="407"/>
      <c r="BX137" s="407"/>
      <c r="BY137" s="407"/>
      <c r="BZ137" s="407"/>
      <c r="CA137" s="407"/>
      <c r="CB137" s="407"/>
      <c r="CC137" s="407"/>
      <c r="CD137" s="407"/>
      <c r="CE137" s="407"/>
      <c r="CF137" s="407"/>
      <c r="CG137" s="407"/>
      <c r="CH137" s="407"/>
      <c r="CI137" s="407">
        <v>2243.5312000000004</v>
      </c>
      <c r="CJ137" s="407">
        <v>-536.88365000000022</v>
      </c>
      <c r="CK137" s="407"/>
      <c r="CL137" s="407"/>
      <c r="CM137" s="407"/>
      <c r="CN137" s="407"/>
      <c r="CO137" s="407">
        <v>-550.79031000000009</v>
      </c>
      <c r="CP137" s="407">
        <v>14.556420000000037</v>
      </c>
      <c r="CQ137" s="407">
        <v>31</v>
      </c>
      <c r="CR137" s="407">
        <v>-2.9543608651435989</v>
      </c>
      <c r="CS137" s="407">
        <v>0</v>
      </c>
      <c r="CT137" s="407">
        <v>0</v>
      </c>
      <c r="CU137" s="407">
        <v>0</v>
      </c>
      <c r="CV137" s="407">
        <v>0</v>
      </c>
      <c r="CW137" s="407">
        <v>0</v>
      </c>
      <c r="CX137" s="407">
        <v>0</v>
      </c>
      <c r="CY137" s="407">
        <v>0</v>
      </c>
      <c r="CZ137" s="407">
        <v>-20.770719999643802</v>
      </c>
      <c r="DA137" s="407">
        <v>0</v>
      </c>
      <c r="DB137" s="407">
        <v>0</v>
      </c>
      <c r="DC137" s="407">
        <v>14.566824178476907</v>
      </c>
      <c r="DD137" s="407">
        <v>0</v>
      </c>
      <c r="DE137" s="407">
        <v>0</v>
      </c>
      <c r="DF137" s="407">
        <v>0</v>
      </c>
      <c r="DG137" s="407">
        <v>3.4407566429022864</v>
      </c>
      <c r="DH137" s="407">
        <v>0</v>
      </c>
      <c r="DI137" s="407">
        <v>0</v>
      </c>
      <c r="DJ137" s="407"/>
      <c r="DK137" s="407">
        <v>0</v>
      </c>
      <c r="DL137" s="407">
        <v>0</v>
      </c>
      <c r="DM137" s="407">
        <v>0</v>
      </c>
      <c r="DN137" s="407">
        <v>0</v>
      </c>
      <c r="DO137" s="407">
        <v>0</v>
      </c>
      <c r="DP137" s="407">
        <v>-0.19122168687906793</v>
      </c>
      <c r="DQ137" s="407">
        <v>0</v>
      </c>
      <c r="DR137" s="407">
        <v>0</v>
      </c>
      <c r="DS137" s="407"/>
      <c r="DT137" s="407"/>
      <c r="DU137" s="407"/>
      <c r="DV137" s="407">
        <v>1803.8637508685499</v>
      </c>
      <c r="DW137" s="407">
        <v>0</v>
      </c>
      <c r="DX137" s="407">
        <v>0</v>
      </c>
      <c r="DY137" s="407">
        <v>-550.79031000000009</v>
      </c>
      <c r="DZ137" s="407">
        <v>14.55642000000006</v>
      </c>
      <c r="EA137" s="407">
        <v>0</v>
      </c>
      <c r="EB137" s="407">
        <v>0</v>
      </c>
      <c r="EC137" s="407">
        <v>-533.25059927784173</v>
      </c>
      <c r="ED137" s="407">
        <v>0</v>
      </c>
      <c r="EE137" s="407">
        <v>0</v>
      </c>
      <c r="EF137" s="407">
        <v>0</v>
      </c>
      <c r="EG137" s="407">
        <v>0</v>
      </c>
      <c r="EH137" s="407">
        <v>0</v>
      </c>
      <c r="EI137" s="407">
        <v>0</v>
      </c>
      <c r="EJ137" s="407">
        <v>0</v>
      </c>
      <c r="EK137" s="407">
        <v>0</v>
      </c>
      <c r="EL137" s="407">
        <v>0</v>
      </c>
      <c r="EM137" s="407">
        <v>0</v>
      </c>
      <c r="EN137" s="407">
        <v>0</v>
      </c>
      <c r="EO137" s="407">
        <v>0</v>
      </c>
      <c r="EP137" s="407">
        <v>0</v>
      </c>
      <c r="EQ137" s="407">
        <v>0</v>
      </c>
      <c r="ER137" s="407">
        <v>0</v>
      </c>
      <c r="ES137" s="407">
        <v>0</v>
      </c>
      <c r="ET137" s="407">
        <v>0</v>
      </c>
      <c r="EU137" s="407">
        <v>0</v>
      </c>
      <c r="EV137" s="407">
        <v>207</v>
      </c>
      <c r="EW137" s="407">
        <v>0</v>
      </c>
      <c r="EX137" s="407">
        <v>0</v>
      </c>
      <c r="EY137" s="407">
        <v>0</v>
      </c>
      <c r="EZ137" s="407"/>
      <c r="FA137" s="407">
        <v>0</v>
      </c>
      <c r="FB137" s="407"/>
      <c r="FC137" s="407"/>
      <c r="FD137" s="407"/>
      <c r="FE137" s="407"/>
      <c r="FF137" s="407">
        <v>0</v>
      </c>
      <c r="FG137" s="407">
        <v>0</v>
      </c>
      <c r="FH137" s="407">
        <v>0</v>
      </c>
      <c r="FI137" s="407">
        <v>0</v>
      </c>
    </row>
    <row r="138" spans="1:165">
      <c r="A138" s="407">
        <v>136</v>
      </c>
      <c r="B138" s="407" t="s">
        <v>2307</v>
      </c>
      <c r="C138" s="407" t="s">
        <v>2305</v>
      </c>
      <c r="D138" s="407" t="s">
        <v>1220</v>
      </c>
      <c r="E138" s="407" t="s">
        <v>1023</v>
      </c>
      <c r="F138" s="407" t="s">
        <v>2312</v>
      </c>
      <c r="G138" s="407" t="s">
        <v>96</v>
      </c>
      <c r="H138" s="407" t="s">
        <v>96</v>
      </c>
      <c r="I138" s="407" t="s">
        <v>96</v>
      </c>
      <c r="J138" s="407" t="s">
        <v>2306</v>
      </c>
      <c r="K138" s="815">
        <v>44562</v>
      </c>
      <c r="L138" s="407">
        <v>0</v>
      </c>
      <c r="M138" s="407">
        <v>0</v>
      </c>
      <c r="N138" s="407">
        <v>2.9000000000000001E-2</v>
      </c>
      <c r="O138" s="407">
        <v>2.9000000000000001E-2</v>
      </c>
      <c r="P138" s="407">
        <v>2.9000000000000001E-2</v>
      </c>
      <c r="Q138" s="407">
        <v>2.9000000000000001E-2</v>
      </c>
      <c r="R138" s="407"/>
      <c r="S138" s="407">
        <v>640</v>
      </c>
      <c r="T138" s="407">
        <v>127.85</v>
      </c>
      <c r="U138" s="407"/>
      <c r="V138" s="407">
        <v>22.267650000000003</v>
      </c>
      <c r="W138" s="407">
        <v>22.267650000000003</v>
      </c>
      <c r="X138" s="407">
        <v>17.973040000000001</v>
      </c>
      <c r="Y138" s="407">
        <v>0</v>
      </c>
      <c r="Z138" s="407">
        <v>0</v>
      </c>
      <c r="AA138" s="407">
        <v>0</v>
      </c>
      <c r="AB138" s="407">
        <v>0</v>
      </c>
      <c r="AC138" s="407">
        <v>0</v>
      </c>
      <c r="AD138" s="407">
        <v>3.1709311830040341</v>
      </c>
      <c r="AE138" s="407">
        <v>14.446851360173419</v>
      </c>
      <c r="AF138" s="407">
        <v>3.7075744897703329</v>
      </c>
      <c r="AG138" s="407">
        <v>0</v>
      </c>
      <c r="AH138" s="407">
        <v>0</v>
      </c>
      <c r="AI138" s="407">
        <v>0</v>
      </c>
      <c r="AJ138" s="407">
        <v>0</v>
      </c>
      <c r="AK138" s="407">
        <v>0</v>
      </c>
      <c r="AL138" s="407">
        <v>0</v>
      </c>
      <c r="AM138" s="407"/>
      <c r="AN138" s="407">
        <v>6.6432135472660886E-2</v>
      </c>
      <c r="AO138" s="407">
        <v>0</v>
      </c>
      <c r="AP138" s="407">
        <v>0</v>
      </c>
      <c r="AQ138" s="407">
        <v>0</v>
      </c>
      <c r="AR138" s="407">
        <v>0</v>
      </c>
      <c r="AS138" s="407">
        <v>0</v>
      </c>
      <c r="AT138" s="407">
        <v>0</v>
      </c>
      <c r="AU138" s="407">
        <v>0</v>
      </c>
      <c r="AV138" s="407">
        <v>0</v>
      </c>
      <c r="AW138" s="407">
        <v>0</v>
      </c>
      <c r="AX138" s="407">
        <v>0</v>
      </c>
      <c r="AY138" s="407">
        <v>0</v>
      </c>
      <c r="AZ138" s="407">
        <v>0</v>
      </c>
      <c r="BA138" s="407"/>
      <c r="BB138" s="407">
        <v>0</v>
      </c>
      <c r="BC138" s="407">
        <v>0</v>
      </c>
      <c r="BD138" s="407">
        <v>0</v>
      </c>
      <c r="BE138" s="407">
        <v>0</v>
      </c>
      <c r="BF138" s="407">
        <v>0</v>
      </c>
      <c r="BG138" s="407">
        <v>0.87574761653135502</v>
      </c>
      <c r="BH138" s="407">
        <v>0</v>
      </c>
      <c r="BI138" s="407">
        <v>0.14000000000000001</v>
      </c>
      <c r="BJ138" s="407">
        <v>0.62</v>
      </c>
      <c r="BK138" s="407">
        <v>6.91</v>
      </c>
      <c r="BL138" s="407">
        <v>0</v>
      </c>
      <c r="BM138" s="407"/>
      <c r="BN138" s="407"/>
      <c r="BO138" s="407"/>
      <c r="BP138" s="407"/>
      <c r="BQ138" s="407"/>
      <c r="BR138" s="407"/>
      <c r="BS138" s="407"/>
      <c r="BT138" s="407"/>
      <c r="BU138" s="407"/>
      <c r="BV138" s="407">
        <v>4.5833221063016882</v>
      </c>
      <c r="BW138" s="407"/>
      <c r="BX138" s="407"/>
      <c r="BY138" s="407"/>
      <c r="BZ138" s="407"/>
      <c r="CA138" s="407"/>
      <c r="CB138" s="407"/>
      <c r="CC138" s="407"/>
      <c r="CD138" s="407"/>
      <c r="CE138" s="407"/>
      <c r="CF138" s="407"/>
      <c r="CG138" s="407"/>
      <c r="CH138" s="407"/>
      <c r="CI138" s="407">
        <v>18.5928</v>
      </c>
      <c r="CJ138" s="407">
        <v>-3.7048500000000075</v>
      </c>
      <c r="CK138" s="407"/>
      <c r="CL138" s="407"/>
      <c r="CM138" s="407"/>
      <c r="CN138" s="407"/>
      <c r="CO138" s="407">
        <v>-4.4111900000000004</v>
      </c>
      <c r="CP138" s="407">
        <v>0.11658000000000031</v>
      </c>
      <c r="CQ138" s="407">
        <v>31</v>
      </c>
      <c r="CR138" s="407">
        <v>-2.3660995605957247E-2</v>
      </c>
      <c r="CS138" s="407">
        <v>0</v>
      </c>
      <c r="CT138" s="407">
        <v>0</v>
      </c>
      <c r="CU138" s="407">
        <v>0</v>
      </c>
      <c r="CV138" s="407">
        <v>0</v>
      </c>
      <c r="CW138" s="407">
        <v>0</v>
      </c>
      <c r="CX138" s="407">
        <v>0</v>
      </c>
      <c r="CY138" s="407">
        <v>0</v>
      </c>
      <c r="CZ138" s="407">
        <v>-0.16634931786513985</v>
      </c>
      <c r="DA138" s="407">
        <v>0</v>
      </c>
      <c r="DB138" s="407">
        <v>0</v>
      </c>
      <c r="DC138" s="407">
        <v>0.11666332537305468</v>
      </c>
      <c r="DD138" s="407">
        <v>0</v>
      </c>
      <c r="DE138" s="407">
        <v>0</v>
      </c>
      <c r="DF138" s="407">
        <v>0</v>
      </c>
      <c r="DG138" s="407">
        <v>2.7556460271794148E-2</v>
      </c>
      <c r="DH138" s="407">
        <v>0</v>
      </c>
      <c r="DI138" s="407">
        <v>0</v>
      </c>
      <c r="DJ138" s="407"/>
      <c r="DK138" s="407">
        <v>0</v>
      </c>
      <c r="DL138" s="407">
        <v>0</v>
      </c>
      <c r="DM138" s="407">
        <v>0</v>
      </c>
      <c r="DN138" s="407">
        <v>0</v>
      </c>
      <c r="DO138" s="407">
        <v>0</v>
      </c>
      <c r="DP138" s="407">
        <v>-1.5314633856649967E-3</v>
      </c>
      <c r="DQ138" s="407">
        <v>0</v>
      </c>
      <c r="DR138" s="407">
        <v>0</v>
      </c>
      <c r="DS138" s="407"/>
      <c r="DT138" s="407"/>
      <c r="DU138" s="407"/>
      <c r="DV138" s="407">
        <v>14.446851360173419</v>
      </c>
      <c r="DW138" s="407">
        <v>0</v>
      </c>
      <c r="DX138" s="407">
        <v>0</v>
      </c>
      <c r="DY138" s="407">
        <v>-4.4111900000000013</v>
      </c>
      <c r="DZ138" s="407">
        <v>0.11658000000000035</v>
      </c>
      <c r="EA138" s="407">
        <v>0</v>
      </c>
      <c r="EB138" s="407">
        <v>0</v>
      </c>
      <c r="EC138" s="407">
        <v>-4.2707173098750086</v>
      </c>
      <c r="ED138" s="407">
        <v>0</v>
      </c>
      <c r="EE138" s="407">
        <v>0</v>
      </c>
      <c r="EF138" s="407">
        <v>0</v>
      </c>
      <c r="EG138" s="407">
        <v>0</v>
      </c>
      <c r="EH138" s="407">
        <v>0</v>
      </c>
      <c r="EI138" s="407">
        <v>0</v>
      </c>
      <c r="EJ138" s="407">
        <v>0</v>
      </c>
      <c r="EK138" s="407">
        <v>0</v>
      </c>
      <c r="EL138" s="407">
        <v>0</v>
      </c>
      <c r="EM138" s="407">
        <v>0</v>
      </c>
      <c r="EN138" s="407">
        <v>0</v>
      </c>
      <c r="EO138" s="407">
        <v>0</v>
      </c>
      <c r="EP138" s="407">
        <v>0</v>
      </c>
      <c r="EQ138" s="407">
        <v>0</v>
      </c>
      <c r="ER138" s="407">
        <v>0</v>
      </c>
      <c r="ES138" s="407">
        <v>0</v>
      </c>
      <c r="ET138" s="407">
        <v>0</v>
      </c>
      <c r="EU138" s="407">
        <v>0</v>
      </c>
      <c r="EV138" s="407">
        <v>207</v>
      </c>
      <c r="EW138" s="407">
        <v>0</v>
      </c>
      <c r="EX138" s="407">
        <v>0</v>
      </c>
      <c r="EY138" s="407">
        <v>0</v>
      </c>
      <c r="EZ138" s="407"/>
      <c r="FA138" s="407">
        <v>0</v>
      </c>
      <c r="FB138" s="407"/>
      <c r="FC138" s="407"/>
      <c r="FD138" s="407"/>
      <c r="FE138" s="407"/>
      <c r="FF138" s="407">
        <v>0</v>
      </c>
      <c r="FG138" s="407">
        <v>0</v>
      </c>
      <c r="FH138" s="407">
        <v>0</v>
      </c>
      <c r="FI138" s="407">
        <v>0</v>
      </c>
    </row>
    <row r="139" spans="1:165">
      <c r="A139" s="407">
        <v>137</v>
      </c>
      <c r="B139" s="407" t="s">
        <v>1092</v>
      </c>
      <c r="C139" s="407" t="s">
        <v>2313</v>
      </c>
      <c r="D139" s="407" t="s">
        <v>1220</v>
      </c>
      <c r="E139" s="407" t="s">
        <v>1023</v>
      </c>
      <c r="F139" s="407" t="s">
        <v>1023</v>
      </c>
      <c r="G139" s="407" t="s">
        <v>96</v>
      </c>
      <c r="H139" s="407" t="s">
        <v>96</v>
      </c>
      <c r="I139" s="407" t="s">
        <v>1027</v>
      </c>
      <c r="J139" s="407" t="s">
        <v>2306</v>
      </c>
      <c r="K139" s="815">
        <v>44562</v>
      </c>
      <c r="L139" s="407">
        <v>0</v>
      </c>
      <c r="M139" s="407">
        <v>0</v>
      </c>
      <c r="N139" s="407">
        <v>2.9000000000000001E-2</v>
      </c>
      <c r="O139" s="407">
        <v>2.9000000000000001E-2</v>
      </c>
      <c r="P139" s="407">
        <v>2.9000000000000001E-2</v>
      </c>
      <c r="Q139" s="407">
        <v>2.9000000000000001E-2</v>
      </c>
      <c r="R139" s="407"/>
      <c r="S139" s="407">
        <v>1864.71</v>
      </c>
      <c r="T139" s="407">
        <v>127.85</v>
      </c>
      <c r="U139" s="407"/>
      <c r="V139" s="407">
        <v>57.784240000000004</v>
      </c>
      <c r="W139" s="407">
        <v>57.784240000000004</v>
      </c>
      <c r="X139" s="407">
        <v>45.014090000000003</v>
      </c>
      <c r="Y139" s="407">
        <v>0</v>
      </c>
      <c r="Z139" s="407">
        <v>1.7711772227433789</v>
      </c>
      <c r="AA139" s="407">
        <v>0</v>
      </c>
      <c r="AB139" s="407">
        <v>0</v>
      </c>
      <c r="AC139" s="407">
        <v>0</v>
      </c>
      <c r="AD139" s="407">
        <v>9.1935604873048469</v>
      </c>
      <c r="AE139" s="407">
        <v>41.895875756100871</v>
      </c>
      <c r="AF139" s="407">
        <v>3.7075744897703329</v>
      </c>
      <c r="AG139" s="407">
        <v>0</v>
      </c>
      <c r="AH139" s="407">
        <v>0</v>
      </c>
      <c r="AI139" s="407">
        <v>0</v>
      </c>
      <c r="AJ139" s="407">
        <v>0</v>
      </c>
      <c r="AK139" s="407">
        <v>0</v>
      </c>
      <c r="AL139" s="407">
        <v>0.27391362508240341</v>
      </c>
      <c r="AM139" s="407"/>
      <c r="AN139" s="407">
        <v>6.6432135472660886E-2</v>
      </c>
      <c r="AO139" s="407">
        <v>0</v>
      </c>
      <c r="AP139" s="407">
        <v>0</v>
      </c>
      <c r="AQ139" s="407">
        <v>0</v>
      </c>
      <c r="AR139" s="407">
        <v>0</v>
      </c>
      <c r="AS139" s="407">
        <v>0</v>
      </c>
      <c r="AT139" s="407">
        <v>0</v>
      </c>
      <c r="AU139" s="407">
        <v>0</v>
      </c>
      <c r="AV139" s="407">
        <v>0</v>
      </c>
      <c r="AW139" s="407">
        <v>0</v>
      </c>
      <c r="AX139" s="407">
        <v>0</v>
      </c>
      <c r="AY139" s="407">
        <v>0</v>
      </c>
      <c r="AZ139" s="407">
        <v>0</v>
      </c>
      <c r="BA139" s="407"/>
      <c r="BB139" s="407">
        <v>0</v>
      </c>
      <c r="BC139" s="407">
        <v>0</v>
      </c>
      <c r="BD139" s="407">
        <v>0</v>
      </c>
      <c r="BE139" s="407">
        <v>0</v>
      </c>
      <c r="BF139" s="407">
        <v>0</v>
      </c>
      <c r="BG139" s="407">
        <v>0.87574761653135502</v>
      </c>
      <c r="BH139" s="407">
        <v>0</v>
      </c>
      <c r="BI139" s="407">
        <v>0</v>
      </c>
      <c r="BJ139" s="407">
        <v>0</v>
      </c>
      <c r="BK139" s="407">
        <v>0</v>
      </c>
      <c r="BL139" s="407">
        <v>0</v>
      </c>
      <c r="BM139" s="407"/>
      <c r="BN139" s="407"/>
      <c r="BO139" s="407"/>
      <c r="BP139" s="407"/>
      <c r="BQ139" s="407"/>
      <c r="BR139" s="407"/>
      <c r="BS139" s="407"/>
      <c r="BT139" s="407"/>
      <c r="BU139" s="407"/>
      <c r="BV139" s="407">
        <v>4.5833221063016882</v>
      </c>
      <c r="BW139" s="407"/>
      <c r="BX139" s="407"/>
      <c r="BY139" s="407"/>
      <c r="BZ139" s="407"/>
      <c r="CA139" s="407"/>
      <c r="CB139" s="407"/>
      <c r="CC139" s="407"/>
      <c r="CD139" s="407"/>
      <c r="CE139" s="407"/>
      <c r="CF139" s="407"/>
      <c r="CG139" s="407"/>
      <c r="CH139" s="407"/>
      <c r="CI139" s="407">
        <v>46.566299999999998</v>
      </c>
      <c r="CJ139" s="407">
        <v>-11.24794</v>
      </c>
      <c r="CK139" s="407"/>
      <c r="CL139" s="407"/>
      <c r="CM139" s="407"/>
      <c r="CN139" s="407"/>
      <c r="CO139" s="407">
        <v>-12.886730000000004</v>
      </c>
      <c r="CP139" s="407">
        <v>0.11658000000000031</v>
      </c>
      <c r="CQ139" s="407">
        <v>31</v>
      </c>
      <c r="CR139" s="407">
        <v>-0.38517508701399983</v>
      </c>
      <c r="CS139" s="407">
        <v>0</v>
      </c>
      <c r="CT139" s="407">
        <v>0</v>
      </c>
      <c r="CU139" s="407">
        <v>0</v>
      </c>
      <c r="CV139" s="407">
        <v>0</v>
      </c>
      <c r="CW139" s="407">
        <v>0</v>
      </c>
      <c r="CX139" s="407">
        <v>0</v>
      </c>
      <c r="CY139" s="407">
        <v>0</v>
      </c>
      <c r="CZ139" s="407">
        <v>-0.48230075884718637</v>
      </c>
      <c r="DA139" s="407">
        <v>0</v>
      </c>
      <c r="DB139" s="407">
        <v>0</v>
      </c>
      <c r="DC139" s="407">
        <v>0.11666332537305468</v>
      </c>
      <c r="DD139" s="407">
        <v>0</v>
      </c>
      <c r="DE139" s="407">
        <v>0</v>
      </c>
      <c r="DF139" s="407">
        <v>0</v>
      </c>
      <c r="DG139" s="407">
        <v>2.7556460271794148E-2</v>
      </c>
      <c r="DH139" s="407">
        <v>0</v>
      </c>
      <c r="DI139" s="407">
        <v>-4.0335821744689859E-2</v>
      </c>
      <c r="DJ139" s="407"/>
      <c r="DK139" s="407">
        <v>0</v>
      </c>
      <c r="DL139" s="407">
        <v>0</v>
      </c>
      <c r="DM139" s="407">
        <v>0</v>
      </c>
      <c r="DN139" s="407">
        <v>0</v>
      </c>
      <c r="DO139" s="407">
        <v>-5.226828681307083E-3</v>
      </c>
      <c r="DP139" s="407">
        <v>-1.5314633856649967E-3</v>
      </c>
      <c r="DQ139" s="407">
        <v>0</v>
      </c>
      <c r="DR139" s="407">
        <v>0</v>
      </c>
      <c r="DS139" s="407"/>
      <c r="DT139" s="407"/>
      <c r="DU139" s="407"/>
      <c r="DV139" s="407">
        <v>41.895875756100871</v>
      </c>
      <c r="DW139" s="407">
        <v>0</v>
      </c>
      <c r="DX139" s="407">
        <v>0</v>
      </c>
      <c r="DY139" s="407">
        <v>-12.88673</v>
      </c>
      <c r="DZ139" s="407">
        <v>0.11658000000000035</v>
      </c>
      <c r="EA139" s="407">
        <v>0</v>
      </c>
      <c r="EB139" s="407">
        <v>0</v>
      </c>
      <c r="EC139" s="407">
        <v>-12.385082212253369</v>
      </c>
      <c r="ED139" s="407">
        <v>0</v>
      </c>
      <c r="EE139" s="407">
        <v>0</v>
      </c>
      <c r="EF139" s="407">
        <v>0</v>
      </c>
      <c r="EG139" s="407">
        <v>0</v>
      </c>
      <c r="EH139" s="407">
        <v>0</v>
      </c>
      <c r="EI139" s="407">
        <v>0</v>
      </c>
      <c r="EJ139" s="407">
        <v>0</v>
      </c>
      <c r="EK139" s="407">
        <v>0</v>
      </c>
      <c r="EL139" s="407">
        <v>0</v>
      </c>
      <c r="EM139" s="407">
        <v>0</v>
      </c>
      <c r="EN139" s="407">
        <v>0</v>
      </c>
      <c r="EO139" s="407">
        <v>0</v>
      </c>
      <c r="EP139" s="407">
        <v>0</v>
      </c>
      <c r="EQ139" s="407">
        <v>0</v>
      </c>
      <c r="ER139" s="407">
        <v>0</v>
      </c>
      <c r="ES139" s="407">
        <v>0</v>
      </c>
      <c r="ET139" s="407">
        <v>0</v>
      </c>
      <c r="EU139" s="407">
        <v>0</v>
      </c>
      <c r="EV139" s="407">
        <v>207</v>
      </c>
      <c r="EW139" s="407">
        <v>0</v>
      </c>
      <c r="EX139" s="407">
        <v>0</v>
      </c>
      <c r="EY139" s="407">
        <v>0</v>
      </c>
      <c r="EZ139" s="407"/>
      <c r="FA139" s="407">
        <v>0</v>
      </c>
      <c r="FB139" s="407"/>
      <c r="FC139" s="407"/>
      <c r="FD139" s="407"/>
      <c r="FE139" s="407"/>
      <c r="FF139" s="407">
        <v>0</v>
      </c>
      <c r="FG139" s="407">
        <v>0</v>
      </c>
      <c r="FH139" s="407">
        <v>0</v>
      </c>
      <c r="FI139" s="407">
        <v>0</v>
      </c>
    </row>
    <row r="140" spans="1:165">
      <c r="A140" s="407">
        <v>138</v>
      </c>
      <c r="B140" s="407" t="s">
        <v>1092</v>
      </c>
      <c r="C140" s="407" t="s">
        <v>2313</v>
      </c>
      <c r="D140" s="407" t="s">
        <v>1220</v>
      </c>
      <c r="E140" s="407" t="s">
        <v>1023</v>
      </c>
      <c r="F140" s="407" t="s">
        <v>1023</v>
      </c>
      <c r="G140" s="407" t="s">
        <v>96</v>
      </c>
      <c r="H140" s="407" t="s">
        <v>96</v>
      </c>
      <c r="I140" s="407" t="s">
        <v>2290</v>
      </c>
      <c r="J140" s="407" t="s">
        <v>2306</v>
      </c>
      <c r="K140" s="815">
        <v>44562</v>
      </c>
      <c r="L140" s="407">
        <v>0</v>
      </c>
      <c r="M140" s="407">
        <v>0</v>
      </c>
      <c r="N140" s="407">
        <v>0.26400000000000001</v>
      </c>
      <c r="O140" s="407">
        <v>0.26400000000000001</v>
      </c>
      <c r="P140" s="407">
        <v>0.26400000000000001</v>
      </c>
      <c r="Q140" s="407">
        <v>0.26400000000000001</v>
      </c>
      <c r="R140" s="407"/>
      <c r="S140" s="407">
        <v>455.34</v>
      </c>
      <c r="T140" s="407">
        <v>127.85</v>
      </c>
      <c r="U140" s="407"/>
      <c r="V140" s="407">
        <v>153.96216000000001</v>
      </c>
      <c r="W140" s="407">
        <v>153.96216000000001</v>
      </c>
      <c r="X140" s="407">
        <v>131.41920000000002</v>
      </c>
      <c r="Y140" s="407">
        <v>0</v>
      </c>
      <c r="Z140" s="407">
        <v>16.123820234629378</v>
      </c>
      <c r="AA140" s="407">
        <v>0</v>
      </c>
      <c r="AB140" s="407">
        <v>0</v>
      </c>
      <c r="AC140" s="407">
        <v>0</v>
      </c>
      <c r="AD140" s="407">
        <v>16.736015789656101</v>
      </c>
      <c r="AE140" s="407">
        <v>76.279346244167883</v>
      </c>
      <c r="AF140" s="407">
        <v>33.751712596529927</v>
      </c>
      <c r="AG140" s="407">
        <v>0</v>
      </c>
      <c r="AH140" s="407">
        <v>0</v>
      </c>
      <c r="AI140" s="407">
        <v>0</v>
      </c>
      <c r="AJ140" s="407">
        <v>0</v>
      </c>
      <c r="AK140" s="407">
        <v>0</v>
      </c>
      <c r="AL140" s="407">
        <v>2.4935585179915347</v>
      </c>
      <c r="AM140" s="407"/>
      <c r="AN140" s="407">
        <v>0.60476150913043014</v>
      </c>
      <c r="AO140" s="407">
        <v>0</v>
      </c>
      <c r="AP140" s="407">
        <v>0</v>
      </c>
      <c r="AQ140" s="407">
        <v>0</v>
      </c>
      <c r="AR140" s="407">
        <v>0</v>
      </c>
      <c r="AS140" s="407">
        <v>0</v>
      </c>
      <c r="AT140" s="407">
        <v>0</v>
      </c>
      <c r="AU140" s="407">
        <v>0</v>
      </c>
      <c r="AV140" s="407">
        <v>0</v>
      </c>
      <c r="AW140" s="407">
        <v>0</v>
      </c>
      <c r="AX140" s="407">
        <v>0</v>
      </c>
      <c r="AY140" s="407">
        <v>0</v>
      </c>
      <c r="AZ140" s="407">
        <v>0</v>
      </c>
      <c r="BA140" s="407"/>
      <c r="BB140" s="407">
        <v>0</v>
      </c>
      <c r="BC140" s="407">
        <v>0</v>
      </c>
      <c r="BD140" s="407">
        <v>0</v>
      </c>
      <c r="BE140" s="407">
        <v>0</v>
      </c>
      <c r="BF140" s="407">
        <v>0</v>
      </c>
      <c r="BG140" s="407">
        <v>7.97232312980268</v>
      </c>
      <c r="BH140" s="407">
        <v>0</v>
      </c>
      <c r="BI140" s="407">
        <v>0</v>
      </c>
      <c r="BJ140" s="407">
        <v>0</v>
      </c>
      <c r="BK140" s="407">
        <v>0</v>
      </c>
      <c r="BL140" s="407">
        <v>0</v>
      </c>
      <c r="BM140" s="407"/>
      <c r="BN140" s="407"/>
      <c r="BO140" s="407"/>
      <c r="BP140" s="407"/>
      <c r="BQ140" s="407"/>
      <c r="BR140" s="407"/>
      <c r="BS140" s="407"/>
      <c r="BT140" s="407"/>
      <c r="BU140" s="407"/>
      <c r="BV140" s="407">
        <v>41.724035726332609</v>
      </c>
      <c r="BW140" s="407"/>
      <c r="BX140" s="407"/>
      <c r="BY140" s="407"/>
      <c r="BZ140" s="407"/>
      <c r="CA140" s="407"/>
      <c r="CB140" s="407"/>
      <c r="CC140" s="407"/>
      <c r="CD140" s="407"/>
      <c r="CE140" s="407"/>
      <c r="CF140" s="407"/>
      <c r="CG140" s="407"/>
      <c r="CH140" s="407"/>
      <c r="CI140" s="407">
        <v>129.428</v>
      </c>
      <c r="CJ140" s="407">
        <v>-24.564160000000015</v>
      </c>
      <c r="CK140" s="407"/>
      <c r="CL140" s="407"/>
      <c r="CM140" s="407"/>
      <c r="CN140" s="407"/>
      <c r="CO140" s="407">
        <v>-23.604239999999994</v>
      </c>
      <c r="CP140" s="407">
        <v>1.0612800000000027</v>
      </c>
      <c r="CQ140" s="407">
        <v>31</v>
      </c>
      <c r="CR140" s="407">
        <v>6.1951710510328439E-3</v>
      </c>
      <c r="CS140" s="407">
        <v>0</v>
      </c>
      <c r="CT140" s="407">
        <v>0</v>
      </c>
      <c r="CU140" s="407">
        <v>0</v>
      </c>
      <c r="CV140" s="407">
        <v>0</v>
      </c>
      <c r="CW140" s="407">
        <v>0</v>
      </c>
      <c r="CX140" s="407">
        <v>0</v>
      </c>
      <c r="CY140" s="407">
        <v>0</v>
      </c>
      <c r="CZ140" s="407">
        <v>-0.8779833587407353</v>
      </c>
      <c r="DA140" s="407">
        <v>0</v>
      </c>
      <c r="DB140" s="407">
        <v>0</v>
      </c>
      <c r="DC140" s="407">
        <v>1.0620385482236685</v>
      </c>
      <c r="DD140" s="407">
        <v>0</v>
      </c>
      <c r="DE140" s="407">
        <v>0</v>
      </c>
      <c r="DF140" s="407">
        <v>0</v>
      </c>
      <c r="DG140" s="407">
        <v>0.25085881075012573</v>
      </c>
      <c r="DH140" s="407">
        <v>0</v>
      </c>
      <c r="DI140" s="407">
        <v>-0.36719506691717285</v>
      </c>
      <c r="DJ140" s="407"/>
      <c r="DK140" s="407">
        <v>0</v>
      </c>
      <c r="DL140" s="407">
        <v>0</v>
      </c>
      <c r="DM140" s="407">
        <v>0</v>
      </c>
      <c r="DN140" s="407">
        <v>0</v>
      </c>
      <c r="DO140" s="407">
        <v>-4.7582164547071315E-2</v>
      </c>
      <c r="DP140" s="407">
        <v>-1.394159771777792E-2</v>
      </c>
      <c r="DQ140" s="407">
        <v>0</v>
      </c>
      <c r="DR140" s="407">
        <v>0</v>
      </c>
      <c r="DS140" s="407"/>
      <c r="DT140" s="407"/>
      <c r="DU140" s="407"/>
      <c r="DV140" s="407">
        <v>76.279346244167883</v>
      </c>
      <c r="DW140" s="407">
        <v>0</v>
      </c>
      <c r="DX140" s="407">
        <v>0</v>
      </c>
      <c r="DY140" s="407">
        <v>-23.60423999999999</v>
      </c>
      <c r="DZ140" s="407">
        <v>1.0612800000000036</v>
      </c>
      <c r="EA140" s="407">
        <v>0</v>
      </c>
      <c r="EB140" s="407">
        <v>0</v>
      </c>
      <c r="EC140" s="407">
        <v>-22.549378841744044</v>
      </c>
      <c r="ED140" s="407">
        <v>0</v>
      </c>
      <c r="EE140" s="407">
        <v>0</v>
      </c>
      <c r="EF140" s="407">
        <v>0</v>
      </c>
      <c r="EG140" s="407">
        <v>0</v>
      </c>
      <c r="EH140" s="407">
        <v>0</v>
      </c>
      <c r="EI140" s="407">
        <v>0</v>
      </c>
      <c r="EJ140" s="407">
        <v>0</v>
      </c>
      <c r="EK140" s="407">
        <v>0</v>
      </c>
      <c r="EL140" s="407">
        <v>0</v>
      </c>
      <c r="EM140" s="407">
        <v>0</v>
      </c>
      <c r="EN140" s="407">
        <v>0</v>
      </c>
      <c r="EO140" s="407">
        <v>0</v>
      </c>
      <c r="EP140" s="407">
        <v>0</v>
      </c>
      <c r="EQ140" s="407">
        <v>0</v>
      </c>
      <c r="ER140" s="407">
        <v>0</v>
      </c>
      <c r="ES140" s="407">
        <v>0</v>
      </c>
      <c r="ET140" s="407">
        <v>0</v>
      </c>
      <c r="EU140" s="407">
        <v>0</v>
      </c>
      <c r="EV140" s="407">
        <v>207</v>
      </c>
      <c r="EW140" s="407">
        <v>0</v>
      </c>
      <c r="EX140" s="407">
        <v>0</v>
      </c>
      <c r="EY140" s="407">
        <v>0</v>
      </c>
      <c r="EZ140" s="407"/>
      <c r="FA140" s="407">
        <v>0</v>
      </c>
      <c r="FB140" s="407"/>
      <c r="FC140" s="407"/>
      <c r="FD140" s="407"/>
      <c r="FE140" s="407"/>
      <c r="FF140" s="407">
        <v>0</v>
      </c>
      <c r="FG140" s="407">
        <v>0</v>
      </c>
      <c r="FH140" s="407">
        <v>0</v>
      </c>
      <c r="FI140" s="407">
        <v>0</v>
      </c>
    </row>
    <row r="141" spans="1:165">
      <c r="A141" s="407">
        <v>139</v>
      </c>
      <c r="B141" s="407" t="s">
        <v>1092</v>
      </c>
      <c r="C141" s="407" t="s">
        <v>2313</v>
      </c>
      <c r="D141" s="407" t="s">
        <v>1220</v>
      </c>
      <c r="E141" s="407" t="s">
        <v>1023</v>
      </c>
      <c r="F141" s="407" t="s">
        <v>1023</v>
      </c>
      <c r="G141" s="407" t="s">
        <v>96</v>
      </c>
      <c r="H141" s="407" t="s">
        <v>96</v>
      </c>
      <c r="I141" s="407" t="s">
        <v>96</v>
      </c>
      <c r="J141" s="407" t="s">
        <v>2306</v>
      </c>
      <c r="K141" s="815">
        <v>44562</v>
      </c>
      <c r="L141" s="407">
        <v>0</v>
      </c>
      <c r="M141" s="407">
        <v>0</v>
      </c>
      <c r="N141" s="407">
        <v>0</v>
      </c>
      <c r="O141" s="407">
        <v>0</v>
      </c>
      <c r="P141" s="407">
        <v>0</v>
      </c>
      <c r="Q141" s="407">
        <v>0</v>
      </c>
      <c r="R141" s="407"/>
      <c r="S141" s="407"/>
      <c r="T141" s="407"/>
      <c r="U141" s="407"/>
      <c r="V141" s="407"/>
      <c r="W141" s="407"/>
      <c r="X141" s="407"/>
      <c r="Y141" s="407"/>
      <c r="Z141" s="407"/>
      <c r="AA141" s="407">
        <v>0</v>
      </c>
      <c r="AB141" s="407"/>
      <c r="AC141" s="407"/>
      <c r="AD141" s="407"/>
      <c r="AE141" s="407"/>
      <c r="AF141" s="407"/>
      <c r="AG141" s="407"/>
      <c r="AH141" s="407"/>
      <c r="AI141" s="407"/>
      <c r="AJ141" s="407"/>
      <c r="AK141" s="407"/>
      <c r="AL141" s="407"/>
      <c r="AM141" s="407"/>
      <c r="AN141" s="407"/>
      <c r="AO141" s="407"/>
      <c r="AP141" s="407"/>
      <c r="AQ141" s="407"/>
      <c r="AR141" s="407"/>
      <c r="AS141" s="407"/>
      <c r="AT141" s="407"/>
      <c r="AU141" s="407"/>
      <c r="AV141" s="407"/>
      <c r="AW141" s="407"/>
      <c r="AX141" s="407"/>
      <c r="AY141" s="407"/>
      <c r="AZ141" s="407">
        <v>0</v>
      </c>
      <c r="BA141" s="407"/>
      <c r="BB141" s="407"/>
      <c r="BC141" s="407"/>
      <c r="BD141" s="407"/>
      <c r="BE141" s="407"/>
      <c r="BF141" s="407"/>
      <c r="BG141" s="407"/>
      <c r="BH141" s="407"/>
      <c r="BI141" s="407">
        <v>0.66</v>
      </c>
      <c r="BJ141" s="407">
        <v>3.07</v>
      </c>
      <c r="BK141" s="407">
        <v>81.680000000000007</v>
      </c>
      <c r="BL141" s="407">
        <v>1</v>
      </c>
      <c r="BM141" s="407"/>
      <c r="BN141" s="407"/>
      <c r="BO141" s="407"/>
      <c r="BP141" s="407"/>
      <c r="BQ141" s="407"/>
      <c r="BR141" s="407"/>
      <c r="BS141" s="407"/>
      <c r="BT141" s="407"/>
      <c r="BU141" s="407"/>
      <c r="BV141" s="407"/>
      <c r="BW141" s="407"/>
      <c r="BX141" s="407"/>
      <c r="BY141" s="407"/>
      <c r="BZ141" s="407"/>
      <c r="CA141" s="407"/>
      <c r="CB141" s="407"/>
      <c r="CC141" s="407"/>
      <c r="CD141" s="407"/>
      <c r="CE141" s="407"/>
      <c r="CF141" s="407"/>
      <c r="CG141" s="407"/>
      <c r="CH141" s="407"/>
      <c r="CI141" s="407"/>
      <c r="CJ141" s="407">
        <v>-0.03</v>
      </c>
      <c r="CK141" s="407"/>
      <c r="CL141" s="407"/>
      <c r="CM141" s="407"/>
      <c r="CN141" s="407"/>
      <c r="CO141" s="407">
        <v>0</v>
      </c>
      <c r="CP141" s="407">
        <v>0</v>
      </c>
      <c r="CQ141" s="407">
        <v>31</v>
      </c>
      <c r="CR141" s="407"/>
      <c r="CS141" s="407"/>
      <c r="CT141" s="407"/>
      <c r="CU141" s="407"/>
      <c r="CV141" s="407"/>
      <c r="CW141" s="407"/>
      <c r="CX141" s="407"/>
      <c r="CY141" s="407"/>
      <c r="CZ141" s="407"/>
      <c r="DA141" s="407"/>
      <c r="DB141" s="407"/>
      <c r="DC141" s="407"/>
      <c r="DD141" s="407"/>
      <c r="DE141" s="407"/>
      <c r="DF141" s="407"/>
      <c r="DG141" s="407"/>
      <c r="DH141" s="407"/>
      <c r="DI141" s="407"/>
      <c r="DJ141" s="407"/>
      <c r="DK141" s="407">
        <v>0</v>
      </c>
      <c r="DL141" s="407"/>
      <c r="DM141" s="407"/>
      <c r="DN141" s="407"/>
      <c r="DO141" s="407"/>
      <c r="DP141" s="407"/>
      <c r="DQ141" s="407"/>
      <c r="DR141" s="407"/>
      <c r="DS141" s="407"/>
      <c r="DT141" s="407"/>
      <c r="DU141" s="407"/>
      <c r="DV141" s="407"/>
      <c r="DW141" s="407"/>
      <c r="DX141" s="407"/>
      <c r="DY141" s="407"/>
      <c r="DZ141" s="407"/>
      <c r="EA141" s="407"/>
      <c r="EB141" s="407"/>
      <c r="EC141" s="407"/>
      <c r="ED141" s="407"/>
      <c r="EE141" s="407"/>
      <c r="EF141" s="407"/>
      <c r="EG141" s="407"/>
      <c r="EH141" s="407"/>
      <c r="EI141" s="407"/>
      <c r="EJ141" s="407"/>
      <c r="EK141" s="407"/>
      <c r="EL141" s="407"/>
      <c r="EM141" s="407"/>
      <c r="EN141" s="407"/>
      <c r="EO141" s="407"/>
      <c r="EP141" s="407"/>
      <c r="EQ141" s="407"/>
      <c r="ER141" s="407"/>
      <c r="ES141" s="407"/>
      <c r="ET141" s="407"/>
      <c r="EU141" s="407"/>
      <c r="EV141" s="407">
        <v>207</v>
      </c>
      <c r="EW141" s="407"/>
      <c r="EX141" s="407"/>
      <c r="EY141" s="407"/>
      <c r="EZ141" s="407"/>
      <c r="FA141" s="407">
        <v>0</v>
      </c>
      <c r="FB141" s="407"/>
      <c r="FC141" s="407"/>
      <c r="FD141" s="407"/>
      <c r="FE141" s="407"/>
      <c r="FF141" s="407">
        <v>0</v>
      </c>
      <c r="FG141" s="407">
        <v>0</v>
      </c>
      <c r="FH141" s="407">
        <v>0</v>
      </c>
      <c r="FI141" s="407">
        <v>0</v>
      </c>
    </row>
    <row r="142" spans="1:165">
      <c r="A142" s="407">
        <v>140</v>
      </c>
      <c r="B142" s="407" t="s">
        <v>2308</v>
      </c>
      <c r="C142" s="407" t="s">
        <v>2313</v>
      </c>
      <c r="D142" s="407" t="s">
        <v>1220</v>
      </c>
      <c r="E142" s="407" t="s">
        <v>1023</v>
      </c>
      <c r="F142" s="407" t="s">
        <v>1023</v>
      </c>
      <c r="G142" s="407" t="s">
        <v>96</v>
      </c>
      <c r="H142" s="407" t="s">
        <v>96</v>
      </c>
      <c r="I142" s="407" t="s">
        <v>96</v>
      </c>
      <c r="J142" s="407" t="s">
        <v>2306</v>
      </c>
      <c r="K142" s="815">
        <v>44562</v>
      </c>
      <c r="L142" s="407">
        <v>0</v>
      </c>
      <c r="M142" s="407">
        <v>0</v>
      </c>
      <c r="N142" s="407">
        <v>0</v>
      </c>
      <c r="O142" s="407">
        <v>0</v>
      </c>
      <c r="P142" s="407">
        <v>0</v>
      </c>
      <c r="Q142" s="407">
        <v>0</v>
      </c>
      <c r="R142" s="407"/>
      <c r="S142" s="407"/>
      <c r="T142" s="407"/>
      <c r="U142" s="407"/>
      <c r="V142" s="407"/>
      <c r="W142" s="407"/>
      <c r="X142" s="407"/>
      <c r="Y142" s="407"/>
      <c r="Z142" s="407"/>
      <c r="AA142" s="407">
        <v>0</v>
      </c>
      <c r="AB142" s="407"/>
      <c r="AC142" s="407"/>
      <c r="AD142" s="407"/>
      <c r="AE142" s="407"/>
      <c r="AF142" s="407"/>
      <c r="AG142" s="407"/>
      <c r="AH142" s="407"/>
      <c r="AI142" s="407"/>
      <c r="AJ142" s="407"/>
      <c r="AK142" s="407"/>
      <c r="AL142" s="407"/>
      <c r="AM142" s="407"/>
      <c r="AN142" s="407"/>
      <c r="AO142" s="407"/>
      <c r="AP142" s="407"/>
      <c r="AQ142" s="407"/>
      <c r="AR142" s="407"/>
      <c r="AS142" s="407"/>
      <c r="AT142" s="407"/>
      <c r="AU142" s="407"/>
      <c r="AV142" s="407"/>
      <c r="AW142" s="407"/>
      <c r="AX142" s="407"/>
      <c r="AY142" s="407"/>
      <c r="AZ142" s="407">
        <v>0</v>
      </c>
      <c r="BA142" s="407"/>
      <c r="BB142" s="407"/>
      <c r="BC142" s="407"/>
      <c r="BD142" s="407"/>
      <c r="BE142" s="407"/>
      <c r="BF142" s="407"/>
      <c r="BG142" s="407"/>
      <c r="BH142" s="407"/>
      <c r="BI142" s="407">
        <v>0.12</v>
      </c>
      <c r="BJ142" s="407">
        <v>0.56000000000000005</v>
      </c>
      <c r="BK142" s="407">
        <v>70.260000000000005</v>
      </c>
      <c r="BL142" s="407">
        <v>1</v>
      </c>
      <c r="BM142" s="407"/>
      <c r="BN142" s="407"/>
      <c r="BO142" s="407"/>
      <c r="BP142" s="407"/>
      <c r="BQ142" s="407"/>
      <c r="BR142" s="407"/>
      <c r="BS142" s="407"/>
      <c r="BT142" s="407"/>
      <c r="BU142" s="407"/>
      <c r="BV142" s="407"/>
      <c r="BW142" s="407"/>
      <c r="BX142" s="407"/>
      <c r="BY142" s="407"/>
      <c r="BZ142" s="407"/>
      <c r="CA142" s="407"/>
      <c r="CB142" s="407"/>
      <c r="CC142" s="407"/>
      <c r="CD142" s="407"/>
      <c r="CE142" s="407"/>
      <c r="CF142" s="407"/>
      <c r="CG142" s="407"/>
      <c r="CH142" s="407"/>
      <c r="CI142" s="407"/>
      <c r="CJ142" s="407">
        <v>-0.03</v>
      </c>
      <c r="CK142" s="407"/>
      <c r="CL142" s="407"/>
      <c r="CM142" s="407"/>
      <c r="CN142" s="407"/>
      <c r="CO142" s="407">
        <v>0</v>
      </c>
      <c r="CP142" s="407">
        <v>0</v>
      </c>
      <c r="CQ142" s="407">
        <v>31</v>
      </c>
      <c r="CR142" s="407"/>
      <c r="CS142" s="407"/>
      <c r="CT142" s="407"/>
      <c r="CU142" s="407"/>
      <c r="CV142" s="407"/>
      <c r="CW142" s="407"/>
      <c r="CX142" s="407"/>
      <c r="CY142" s="407"/>
      <c r="CZ142" s="407"/>
      <c r="DA142" s="407"/>
      <c r="DB142" s="407"/>
      <c r="DC142" s="407"/>
      <c r="DD142" s="407"/>
      <c r="DE142" s="407"/>
      <c r="DF142" s="407"/>
      <c r="DG142" s="407"/>
      <c r="DH142" s="407"/>
      <c r="DI142" s="407"/>
      <c r="DJ142" s="407"/>
      <c r="DK142" s="407">
        <v>0</v>
      </c>
      <c r="DL142" s="407"/>
      <c r="DM142" s="407"/>
      <c r="DN142" s="407"/>
      <c r="DO142" s="407"/>
      <c r="DP142" s="407"/>
      <c r="DQ142" s="407"/>
      <c r="DR142" s="407"/>
      <c r="DS142" s="407"/>
      <c r="DT142" s="407"/>
      <c r="DU142" s="407"/>
      <c r="DV142" s="407"/>
      <c r="DW142" s="407"/>
      <c r="DX142" s="407"/>
      <c r="DY142" s="407"/>
      <c r="DZ142" s="407"/>
      <c r="EA142" s="407"/>
      <c r="EB142" s="407"/>
      <c r="EC142" s="407"/>
      <c r="ED142" s="407"/>
      <c r="EE142" s="407"/>
      <c r="EF142" s="407"/>
      <c r="EG142" s="407"/>
      <c r="EH142" s="407"/>
      <c r="EI142" s="407"/>
      <c r="EJ142" s="407"/>
      <c r="EK142" s="407"/>
      <c r="EL142" s="407"/>
      <c r="EM142" s="407"/>
      <c r="EN142" s="407"/>
      <c r="EO142" s="407"/>
      <c r="EP142" s="407"/>
      <c r="EQ142" s="407"/>
      <c r="ER142" s="407"/>
      <c r="ES142" s="407"/>
      <c r="ET142" s="407"/>
      <c r="EU142" s="407"/>
      <c r="EV142" s="407">
        <v>207</v>
      </c>
      <c r="EW142" s="407"/>
      <c r="EX142" s="407"/>
      <c r="EY142" s="407"/>
      <c r="EZ142" s="407"/>
      <c r="FA142" s="407">
        <v>0</v>
      </c>
      <c r="FB142" s="407"/>
      <c r="FC142" s="407"/>
      <c r="FD142" s="407"/>
      <c r="FE142" s="407"/>
      <c r="FF142" s="407">
        <v>0</v>
      </c>
      <c r="FG142" s="407">
        <v>0</v>
      </c>
      <c r="FH142" s="407">
        <v>0</v>
      </c>
      <c r="FI142" s="407">
        <v>0</v>
      </c>
    </row>
    <row r="143" spans="1:165">
      <c r="A143" s="407">
        <v>141</v>
      </c>
      <c r="B143" s="407" t="s">
        <v>1092</v>
      </c>
      <c r="C143" s="407" t="s">
        <v>2313</v>
      </c>
      <c r="D143" s="407" t="s">
        <v>1220</v>
      </c>
      <c r="E143" s="407" t="s">
        <v>1023</v>
      </c>
      <c r="F143" s="407" t="s">
        <v>1023</v>
      </c>
      <c r="G143" s="407" t="s">
        <v>96</v>
      </c>
      <c r="H143" s="407" t="s">
        <v>96</v>
      </c>
      <c r="I143" s="407" t="s">
        <v>2314</v>
      </c>
      <c r="J143" s="407" t="s">
        <v>2306</v>
      </c>
      <c r="K143" s="815">
        <v>44562</v>
      </c>
      <c r="L143" s="407">
        <v>0</v>
      </c>
      <c r="M143" s="407">
        <v>0</v>
      </c>
      <c r="N143" s="407">
        <v>0.02</v>
      </c>
      <c r="O143" s="407">
        <v>0.02</v>
      </c>
      <c r="P143" s="407">
        <v>0.02</v>
      </c>
      <c r="Q143" s="407">
        <v>0.02</v>
      </c>
      <c r="R143" s="407"/>
      <c r="S143" s="407">
        <v>1160</v>
      </c>
      <c r="T143" s="407">
        <v>127.85</v>
      </c>
      <c r="U143" s="407"/>
      <c r="V143" s="407">
        <v>25.756999999999998</v>
      </c>
      <c r="W143" s="407">
        <v>25.756999999999998</v>
      </c>
      <c r="X143" s="407">
        <v>20.499600000000001</v>
      </c>
      <c r="Y143" s="407">
        <v>0</v>
      </c>
      <c r="Z143" s="407">
        <v>1.221501532926468</v>
      </c>
      <c r="AA143" s="407">
        <v>0</v>
      </c>
      <c r="AB143" s="407">
        <v>0</v>
      </c>
      <c r="AC143" s="407">
        <v>0</v>
      </c>
      <c r="AD143" s="407">
        <v>3.8036420076584201</v>
      </c>
      <c r="AE143" s="407">
        <v>17.336221766426778</v>
      </c>
      <c r="AF143" s="407">
        <v>2.5569479239795401</v>
      </c>
      <c r="AG143" s="407">
        <v>0</v>
      </c>
      <c r="AH143" s="407">
        <v>0</v>
      </c>
      <c r="AI143" s="407">
        <v>0</v>
      </c>
      <c r="AJ143" s="407">
        <v>0</v>
      </c>
      <c r="AK143" s="407">
        <v>0</v>
      </c>
      <c r="AL143" s="407">
        <v>0.18890594833269203</v>
      </c>
      <c r="AM143" s="407"/>
      <c r="AN143" s="407">
        <v>4.5815265843214402E-2</v>
      </c>
      <c r="AO143" s="407">
        <v>0</v>
      </c>
      <c r="AP143" s="407">
        <v>0</v>
      </c>
      <c r="AQ143" s="407">
        <v>0</v>
      </c>
      <c r="AR143" s="407">
        <v>0</v>
      </c>
      <c r="AS143" s="407">
        <v>0</v>
      </c>
      <c r="AT143" s="407">
        <v>0</v>
      </c>
      <c r="AU143" s="407">
        <v>0</v>
      </c>
      <c r="AV143" s="407">
        <v>0</v>
      </c>
      <c r="AW143" s="407">
        <v>0</v>
      </c>
      <c r="AX143" s="407">
        <v>0</v>
      </c>
      <c r="AY143" s="407">
        <v>0</v>
      </c>
      <c r="AZ143" s="407">
        <v>0</v>
      </c>
      <c r="BA143" s="407"/>
      <c r="BB143" s="407">
        <v>0</v>
      </c>
      <c r="BC143" s="407">
        <v>0</v>
      </c>
      <c r="BD143" s="407">
        <v>0</v>
      </c>
      <c r="BE143" s="407">
        <v>0</v>
      </c>
      <c r="BF143" s="407">
        <v>0</v>
      </c>
      <c r="BG143" s="407">
        <v>0.60396387346989999</v>
      </c>
      <c r="BH143" s="407">
        <v>0</v>
      </c>
      <c r="BI143" s="407">
        <v>0</v>
      </c>
      <c r="BJ143" s="407">
        <v>0</v>
      </c>
      <c r="BK143" s="407">
        <v>0</v>
      </c>
      <c r="BL143" s="407">
        <v>0</v>
      </c>
      <c r="BM143" s="407"/>
      <c r="BN143" s="407"/>
      <c r="BO143" s="407"/>
      <c r="BP143" s="407"/>
      <c r="BQ143" s="407"/>
      <c r="BR143" s="407"/>
      <c r="BS143" s="407"/>
      <c r="BT143" s="407"/>
      <c r="BU143" s="407"/>
      <c r="BV143" s="407">
        <v>3.1609117974494403</v>
      </c>
      <c r="BW143" s="407"/>
      <c r="BX143" s="407"/>
      <c r="BY143" s="407"/>
      <c r="BZ143" s="407"/>
      <c r="CA143" s="407"/>
      <c r="CB143" s="407"/>
      <c r="CC143" s="407"/>
      <c r="CD143" s="407"/>
      <c r="CE143" s="407"/>
      <c r="CF143" s="407"/>
      <c r="CG143" s="407"/>
      <c r="CH143" s="407"/>
      <c r="CI143" s="407">
        <v>20.499600000000001</v>
      </c>
      <c r="CJ143" s="407">
        <v>-5.2874000000000017</v>
      </c>
      <c r="CK143" s="407"/>
      <c r="CL143" s="407"/>
      <c r="CM143" s="407"/>
      <c r="CN143" s="407"/>
      <c r="CO143" s="407">
        <v>-5.3377999999999997</v>
      </c>
      <c r="CP143" s="407">
        <v>8.0400000000000207E-2</v>
      </c>
      <c r="CQ143" s="407">
        <v>31</v>
      </c>
      <c r="CR143" s="407">
        <v>-0.13255855831826047</v>
      </c>
      <c r="CS143" s="407">
        <v>0</v>
      </c>
      <c r="CT143" s="407">
        <v>0</v>
      </c>
      <c r="CU143" s="407">
        <v>0</v>
      </c>
      <c r="CV143" s="407">
        <v>0</v>
      </c>
      <c r="CW143" s="407">
        <v>0</v>
      </c>
      <c r="CX143" s="407">
        <v>0</v>
      </c>
      <c r="CY143" s="407">
        <v>0</v>
      </c>
      <c r="CZ143" s="407">
        <v>-0.19954178027218017</v>
      </c>
      <c r="DA143" s="407">
        <v>0</v>
      </c>
      <c r="DB143" s="407">
        <v>0</v>
      </c>
      <c r="DC143" s="407">
        <v>8.0457465774520287E-2</v>
      </c>
      <c r="DD143" s="407">
        <v>0</v>
      </c>
      <c r="DE143" s="407">
        <v>0</v>
      </c>
      <c r="DF143" s="407">
        <v>0</v>
      </c>
      <c r="DG143" s="407">
        <v>1.9004455359858063E-2</v>
      </c>
      <c r="DH143" s="407">
        <v>0</v>
      </c>
      <c r="DI143" s="407">
        <v>-2.7817808099785957E-2</v>
      </c>
      <c r="DJ143" s="407"/>
      <c r="DK143" s="407">
        <v>0</v>
      </c>
      <c r="DL143" s="407">
        <v>0</v>
      </c>
      <c r="DM143" s="407">
        <v>0</v>
      </c>
      <c r="DN143" s="407">
        <v>0</v>
      </c>
      <c r="DO143" s="407">
        <v>-3.6047094353842124E-3</v>
      </c>
      <c r="DP143" s="407">
        <v>-1.0561816452862027E-3</v>
      </c>
      <c r="DQ143" s="407">
        <v>0</v>
      </c>
      <c r="DR143" s="407">
        <v>0</v>
      </c>
      <c r="DS143" s="407"/>
      <c r="DT143" s="407"/>
      <c r="DU143" s="407"/>
      <c r="DV143" s="407">
        <v>17.336221766426778</v>
      </c>
      <c r="DW143" s="407">
        <v>0</v>
      </c>
      <c r="DX143" s="407">
        <v>0</v>
      </c>
      <c r="DY143" s="407">
        <v>-5.3377999999999979</v>
      </c>
      <c r="DZ143" s="407">
        <v>8.0400000000000027E-2</v>
      </c>
      <c r="EA143" s="407">
        <v>0</v>
      </c>
      <c r="EB143" s="407">
        <v>0</v>
      </c>
      <c r="EC143" s="407">
        <v>-5.1248608115271761</v>
      </c>
      <c r="ED143" s="407">
        <v>0</v>
      </c>
      <c r="EE143" s="407">
        <v>0</v>
      </c>
      <c r="EF143" s="407">
        <v>0</v>
      </c>
      <c r="EG143" s="407">
        <v>0</v>
      </c>
      <c r="EH143" s="407">
        <v>0</v>
      </c>
      <c r="EI143" s="407">
        <v>0</v>
      </c>
      <c r="EJ143" s="407">
        <v>0</v>
      </c>
      <c r="EK143" s="407">
        <v>0</v>
      </c>
      <c r="EL143" s="407">
        <v>0</v>
      </c>
      <c r="EM143" s="407">
        <v>0</v>
      </c>
      <c r="EN143" s="407">
        <v>0</v>
      </c>
      <c r="EO143" s="407">
        <v>0</v>
      </c>
      <c r="EP143" s="407">
        <v>0</v>
      </c>
      <c r="EQ143" s="407">
        <v>0</v>
      </c>
      <c r="ER143" s="407">
        <v>0</v>
      </c>
      <c r="ES143" s="407">
        <v>0</v>
      </c>
      <c r="ET143" s="407">
        <v>0</v>
      </c>
      <c r="EU143" s="407">
        <v>0</v>
      </c>
      <c r="EV143" s="407">
        <v>207</v>
      </c>
      <c r="EW143" s="407">
        <v>0</v>
      </c>
      <c r="EX143" s="407">
        <v>0</v>
      </c>
      <c r="EY143" s="407">
        <v>0</v>
      </c>
      <c r="EZ143" s="407"/>
      <c r="FA143" s="407">
        <v>0</v>
      </c>
      <c r="FB143" s="407"/>
      <c r="FC143" s="407"/>
      <c r="FD143" s="407"/>
      <c r="FE143" s="407"/>
      <c r="FF143" s="407">
        <v>0</v>
      </c>
      <c r="FG143" s="407">
        <v>0</v>
      </c>
      <c r="FH143" s="407">
        <v>0</v>
      </c>
      <c r="FI143" s="407">
        <v>0</v>
      </c>
    </row>
    <row r="144" spans="1:165">
      <c r="A144" s="407">
        <v>142</v>
      </c>
      <c r="B144" s="407" t="s">
        <v>1092</v>
      </c>
      <c r="C144" s="407" t="s">
        <v>2315</v>
      </c>
      <c r="D144" s="407" t="s">
        <v>648</v>
      </c>
      <c r="E144" s="407" t="s">
        <v>1024</v>
      </c>
      <c r="F144" s="407" t="s">
        <v>96</v>
      </c>
      <c r="G144" s="407" t="s">
        <v>96</v>
      </c>
      <c r="H144" s="407" t="s">
        <v>96</v>
      </c>
      <c r="I144" s="407" t="s">
        <v>1027</v>
      </c>
      <c r="J144" s="407" t="s">
        <v>2306</v>
      </c>
      <c r="K144" s="815">
        <v>44562</v>
      </c>
      <c r="L144" s="407">
        <v>0</v>
      </c>
      <c r="M144" s="407">
        <v>0</v>
      </c>
      <c r="N144" s="407">
        <v>3.3220000000000001</v>
      </c>
      <c r="O144" s="407">
        <v>3.3220000000000001</v>
      </c>
      <c r="P144" s="407">
        <v>3.3220000000000001</v>
      </c>
      <c r="Q144" s="407">
        <v>3.3220000000000001</v>
      </c>
      <c r="R144" s="407"/>
      <c r="S144" s="407">
        <v>2075.9499999999998</v>
      </c>
      <c r="T144" s="407">
        <v>127.85</v>
      </c>
      <c r="U144" s="407"/>
      <c r="V144" s="407">
        <v>7321.0235999999995</v>
      </c>
      <c r="W144" s="407">
        <v>7321.0235999999995</v>
      </c>
      <c r="X144" s="407">
        <v>5868.0140200000005</v>
      </c>
      <c r="Y144" s="407">
        <v>0</v>
      </c>
      <c r="Z144" s="407">
        <v>176.51552201860525</v>
      </c>
      <c r="AA144" s="407">
        <v>0</v>
      </c>
      <c r="AB144" s="407">
        <v>0</v>
      </c>
      <c r="AC144" s="407">
        <v>0</v>
      </c>
      <c r="AD144" s="407">
        <v>2092.8896237121003</v>
      </c>
      <c r="AE144" s="407">
        <v>4574.9379945825212</v>
      </c>
      <c r="AF144" s="407">
        <v>424.70905017300157</v>
      </c>
      <c r="AG144" s="407">
        <v>0</v>
      </c>
      <c r="AH144" s="407">
        <v>0</v>
      </c>
      <c r="AI144" s="407">
        <v>0</v>
      </c>
      <c r="AJ144" s="407">
        <v>0</v>
      </c>
      <c r="AK144" s="407">
        <v>0</v>
      </c>
      <c r="AL144" s="407">
        <v>31.377278018060142</v>
      </c>
      <c r="AM144" s="407"/>
      <c r="AN144" s="407">
        <v>3.3366304604088572</v>
      </c>
      <c r="AO144" s="407">
        <v>0</v>
      </c>
      <c r="AP144" s="407">
        <v>0</v>
      </c>
      <c r="AQ144" s="407">
        <v>0</v>
      </c>
      <c r="AR144" s="407">
        <v>0</v>
      </c>
      <c r="AS144" s="407">
        <v>0</v>
      </c>
      <c r="AT144" s="407">
        <v>0</v>
      </c>
      <c r="AU144" s="407">
        <v>0</v>
      </c>
      <c r="AV144" s="407">
        <v>0</v>
      </c>
      <c r="AW144" s="407">
        <v>0</v>
      </c>
      <c r="AX144" s="407">
        <v>0</v>
      </c>
      <c r="AY144" s="407">
        <v>0</v>
      </c>
      <c r="AZ144" s="407">
        <v>0</v>
      </c>
      <c r="BA144" s="407"/>
      <c r="BB144" s="407">
        <v>0</v>
      </c>
      <c r="BC144" s="407">
        <v>0</v>
      </c>
      <c r="BD144" s="407">
        <v>0</v>
      </c>
      <c r="BE144" s="407">
        <v>0</v>
      </c>
      <c r="BF144" s="407">
        <v>0</v>
      </c>
      <c r="BG144" s="407">
        <v>17.246436984936445</v>
      </c>
      <c r="BH144" s="407">
        <v>0</v>
      </c>
      <c r="BI144" s="407">
        <v>0</v>
      </c>
      <c r="BJ144" s="407">
        <v>0</v>
      </c>
      <c r="BK144" s="407">
        <v>0</v>
      </c>
      <c r="BL144" s="407">
        <v>0</v>
      </c>
      <c r="BM144" s="407"/>
      <c r="BN144" s="407"/>
      <c r="BO144" s="407"/>
      <c r="BP144" s="407"/>
      <c r="BQ144" s="407"/>
      <c r="BR144" s="407"/>
      <c r="BS144" s="407"/>
      <c r="BT144" s="407"/>
      <c r="BU144" s="407"/>
      <c r="BV144" s="407">
        <v>441.95548715793802</v>
      </c>
      <c r="BW144" s="407"/>
      <c r="BX144" s="407"/>
      <c r="BY144" s="407"/>
      <c r="BZ144" s="407"/>
      <c r="CA144" s="407"/>
      <c r="CB144" s="407"/>
      <c r="CC144" s="407"/>
      <c r="CD144" s="407"/>
      <c r="CE144" s="407"/>
      <c r="CF144" s="407"/>
      <c r="CG144" s="407"/>
      <c r="CH144" s="407"/>
      <c r="CI144" s="407">
        <v>5864.4811999999993</v>
      </c>
      <c r="CJ144" s="407">
        <v>-1456.5724000000009</v>
      </c>
      <c r="CK144" s="407"/>
      <c r="CL144" s="407"/>
      <c r="CM144" s="407"/>
      <c r="CN144" s="407"/>
      <c r="CO144" s="407">
        <v>-1466.3640199999995</v>
      </c>
      <c r="CP144" s="407">
        <v>13.354440000000034</v>
      </c>
      <c r="CQ144" s="407">
        <v>31</v>
      </c>
      <c r="CR144" s="407">
        <v>-100.58335123038023</v>
      </c>
      <c r="CS144" s="407">
        <v>0</v>
      </c>
      <c r="CT144" s="407">
        <v>0</v>
      </c>
      <c r="CU144" s="407">
        <v>0</v>
      </c>
      <c r="CV144" s="407">
        <v>0</v>
      </c>
      <c r="CW144" s="407">
        <v>0</v>
      </c>
      <c r="CX144" s="407">
        <v>0</v>
      </c>
      <c r="CY144" s="407">
        <v>0</v>
      </c>
      <c r="CZ144" s="407">
        <v>-109.79448659674767</v>
      </c>
      <c r="DA144" s="407">
        <v>0</v>
      </c>
      <c r="DB144" s="407">
        <v>0</v>
      </c>
      <c r="DC144" s="407">
        <v>13.363985065147858</v>
      </c>
      <c r="DD144" s="407">
        <v>0</v>
      </c>
      <c r="DE144" s="407">
        <v>0</v>
      </c>
      <c r="DF144" s="407">
        <v>0</v>
      </c>
      <c r="DG144" s="407">
        <v>0.54268004460891817</v>
      </c>
      <c r="DH144" s="407">
        <v>0</v>
      </c>
      <c r="DI144" s="407">
        <v>-4.0198679950761402</v>
      </c>
      <c r="DJ144" s="407"/>
      <c r="DK144" s="407">
        <v>0</v>
      </c>
      <c r="DL144" s="407">
        <v>0</v>
      </c>
      <c r="DM144" s="407">
        <v>0</v>
      </c>
      <c r="DN144" s="407">
        <v>0</v>
      </c>
      <c r="DO144" s="407">
        <v>-0.59874223721731568</v>
      </c>
      <c r="DP144" s="407">
        <v>-7.6919511095857818E-2</v>
      </c>
      <c r="DQ144" s="407">
        <v>0</v>
      </c>
      <c r="DR144" s="407">
        <v>0</v>
      </c>
      <c r="DS144" s="407"/>
      <c r="DT144" s="407"/>
      <c r="DU144" s="407"/>
      <c r="DV144" s="407">
        <v>4574.9379945825212</v>
      </c>
      <c r="DW144" s="407">
        <v>0</v>
      </c>
      <c r="DX144" s="407">
        <v>0</v>
      </c>
      <c r="DY144" s="407">
        <v>-1466.3640199999991</v>
      </c>
      <c r="DZ144" s="407">
        <v>13.354440000000068</v>
      </c>
      <c r="EA144" s="407">
        <v>0</v>
      </c>
      <c r="EB144" s="407">
        <v>0</v>
      </c>
      <c r="EC144" s="407">
        <v>-1352.4238879435529</v>
      </c>
      <c r="ED144" s="407">
        <v>0</v>
      </c>
      <c r="EE144" s="407">
        <v>0</v>
      </c>
      <c r="EF144" s="407">
        <v>0</v>
      </c>
      <c r="EG144" s="407">
        <v>0</v>
      </c>
      <c r="EH144" s="407">
        <v>0</v>
      </c>
      <c r="EI144" s="407">
        <v>0</v>
      </c>
      <c r="EJ144" s="407">
        <v>0</v>
      </c>
      <c r="EK144" s="407">
        <v>0</v>
      </c>
      <c r="EL144" s="407">
        <v>0</v>
      </c>
      <c r="EM144" s="407">
        <v>0</v>
      </c>
      <c r="EN144" s="407">
        <v>0</v>
      </c>
      <c r="EO144" s="407">
        <v>0</v>
      </c>
      <c r="EP144" s="407">
        <v>0</v>
      </c>
      <c r="EQ144" s="407">
        <v>0</v>
      </c>
      <c r="ER144" s="407">
        <v>0</v>
      </c>
      <c r="ES144" s="407">
        <v>0</v>
      </c>
      <c r="ET144" s="407">
        <v>0</v>
      </c>
      <c r="EU144" s="407">
        <v>0</v>
      </c>
      <c r="EV144" s="407">
        <v>207</v>
      </c>
      <c r="EW144" s="407">
        <v>0</v>
      </c>
      <c r="EX144" s="407">
        <v>0</v>
      </c>
      <c r="EY144" s="407">
        <v>0</v>
      </c>
      <c r="EZ144" s="407"/>
      <c r="FA144" s="407">
        <v>0</v>
      </c>
      <c r="FB144" s="407"/>
      <c r="FC144" s="407"/>
      <c r="FD144" s="407"/>
      <c r="FE144" s="407"/>
      <c r="FF144" s="407">
        <v>0</v>
      </c>
      <c r="FG144" s="407">
        <v>0</v>
      </c>
      <c r="FH144" s="407">
        <v>0</v>
      </c>
      <c r="FI144" s="407">
        <v>0</v>
      </c>
    </row>
    <row r="145" spans="1:165">
      <c r="A145" s="407">
        <v>143</v>
      </c>
      <c r="B145" s="407" t="s">
        <v>1092</v>
      </c>
      <c r="C145" s="407" t="s">
        <v>2315</v>
      </c>
      <c r="D145" s="407" t="s">
        <v>648</v>
      </c>
      <c r="E145" s="407" t="s">
        <v>1024</v>
      </c>
      <c r="F145" s="407" t="s">
        <v>96</v>
      </c>
      <c r="G145" s="407" t="s">
        <v>96</v>
      </c>
      <c r="H145" s="407" t="s">
        <v>96</v>
      </c>
      <c r="I145" s="407" t="s">
        <v>2290</v>
      </c>
      <c r="J145" s="407" t="s">
        <v>2306</v>
      </c>
      <c r="K145" s="815">
        <v>44562</v>
      </c>
      <c r="L145" s="407">
        <v>0</v>
      </c>
      <c r="M145" s="407">
        <v>0</v>
      </c>
      <c r="N145" s="407">
        <v>81.281000000000006</v>
      </c>
      <c r="O145" s="407">
        <v>81.281000000000006</v>
      </c>
      <c r="P145" s="407">
        <v>81.281000000000006</v>
      </c>
      <c r="Q145" s="407">
        <v>81.281000000000006</v>
      </c>
      <c r="R145" s="407"/>
      <c r="S145" s="407">
        <v>68.78</v>
      </c>
      <c r="T145" s="407">
        <v>127.85</v>
      </c>
      <c r="U145" s="407"/>
      <c r="V145" s="407">
        <v>15982.283030000001</v>
      </c>
      <c r="W145" s="407">
        <v>15982.283030000001</v>
      </c>
      <c r="X145" s="407">
        <v>16207.431400000001</v>
      </c>
      <c r="Y145" s="407">
        <v>0</v>
      </c>
      <c r="Z145" s="407">
        <v>4318.8916752541409</v>
      </c>
      <c r="AA145" s="407">
        <v>0</v>
      </c>
      <c r="AB145" s="407">
        <v>0</v>
      </c>
      <c r="AC145" s="407">
        <v>0</v>
      </c>
      <c r="AD145" s="407">
        <v>0</v>
      </c>
      <c r="AE145" s="407">
        <v>0</v>
      </c>
      <c r="AF145" s="407">
        <v>10391.564210449051</v>
      </c>
      <c r="AG145" s="407">
        <v>0</v>
      </c>
      <c r="AH145" s="407">
        <v>0</v>
      </c>
      <c r="AI145" s="407">
        <v>0</v>
      </c>
      <c r="AJ145" s="407">
        <v>0</v>
      </c>
      <c r="AK145" s="407">
        <v>0</v>
      </c>
      <c r="AL145" s="407">
        <v>767.72321932147702</v>
      </c>
      <c r="AM145" s="407"/>
      <c r="AN145" s="407">
        <v>81.6389706359098</v>
      </c>
      <c r="AO145" s="407">
        <v>0</v>
      </c>
      <c r="AP145" s="407">
        <v>0</v>
      </c>
      <c r="AQ145" s="407">
        <v>0</v>
      </c>
      <c r="AR145" s="407">
        <v>0</v>
      </c>
      <c r="AS145" s="407">
        <v>0</v>
      </c>
      <c r="AT145" s="407">
        <v>0</v>
      </c>
      <c r="AU145" s="407">
        <v>0</v>
      </c>
      <c r="AV145" s="407">
        <v>0</v>
      </c>
      <c r="AW145" s="407">
        <v>0</v>
      </c>
      <c r="AX145" s="407">
        <v>0</v>
      </c>
      <c r="AY145" s="407">
        <v>0</v>
      </c>
      <c r="AZ145" s="407">
        <v>0</v>
      </c>
      <c r="BA145" s="407"/>
      <c r="BB145" s="407">
        <v>0</v>
      </c>
      <c r="BC145" s="407">
        <v>0</v>
      </c>
      <c r="BD145" s="407">
        <v>0</v>
      </c>
      <c r="BE145" s="407">
        <v>0</v>
      </c>
      <c r="BF145" s="407">
        <v>0</v>
      </c>
      <c r="BG145" s="407">
        <v>421.97701522354583</v>
      </c>
      <c r="BH145" s="407">
        <v>0</v>
      </c>
      <c r="BI145" s="407">
        <v>0</v>
      </c>
      <c r="BJ145" s="407">
        <v>0</v>
      </c>
      <c r="BK145" s="407">
        <v>0</v>
      </c>
      <c r="BL145" s="407">
        <v>0</v>
      </c>
      <c r="BM145" s="407"/>
      <c r="BN145" s="407"/>
      <c r="BO145" s="407"/>
      <c r="BP145" s="407"/>
      <c r="BQ145" s="407"/>
      <c r="BR145" s="407"/>
      <c r="BS145" s="407"/>
      <c r="BT145" s="407"/>
      <c r="BU145" s="407"/>
      <c r="BV145" s="407">
        <v>10813.541225672596</v>
      </c>
      <c r="BW145" s="407"/>
      <c r="BX145" s="407"/>
      <c r="BY145" s="407"/>
      <c r="BZ145" s="407"/>
      <c r="CA145" s="407"/>
      <c r="CB145" s="407"/>
      <c r="CC145" s="407"/>
      <c r="CD145" s="407"/>
      <c r="CE145" s="407"/>
      <c r="CF145" s="407"/>
      <c r="CG145" s="407"/>
      <c r="CH145" s="407"/>
      <c r="CI145" s="407">
        <v>16207.232000000002</v>
      </c>
      <c r="CJ145" s="407">
        <v>224.91897000000063</v>
      </c>
      <c r="CK145" s="407"/>
      <c r="CL145" s="407"/>
      <c r="CM145" s="407"/>
      <c r="CN145" s="407"/>
      <c r="CO145" s="407">
        <v>-101.60125000000001</v>
      </c>
      <c r="CP145" s="407">
        <v>326.74962000000085</v>
      </c>
      <c r="CQ145" s="407">
        <v>31</v>
      </c>
      <c r="CR145" s="407">
        <v>225.37335752971376</v>
      </c>
      <c r="CS145" s="407">
        <v>0</v>
      </c>
      <c r="CT145" s="407">
        <v>0</v>
      </c>
      <c r="CU145" s="407">
        <v>0</v>
      </c>
      <c r="CV145" s="407">
        <v>0</v>
      </c>
      <c r="CW145" s="407">
        <v>0</v>
      </c>
      <c r="CX145" s="407">
        <v>0</v>
      </c>
      <c r="CY145" s="407">
        <v>0</v>
      </c>
      <c r="CZ145" s="407">
        <v>0</v>
      </c>
      <c r="DA145" s="407">
        <v>0</v>
      </c>
      <c r="DB145" s="407">
        <v>0</v>
      </c>
      <c r="DC145" s="407">
        <v>326.98316378093841</v>
      </c>
      <c r="DD145" s="407">
        <v>0</v>
      </c>
      <c r="DE145" s="407">
        <v>0</v>
      </c>
      <c r="DF145" s="407">
        <v>0</v>
      </c>
      <c r="DG145" s="407">
        <v>13.278018273888449</v>
      </c>
      <c r="DH145" s="407">
        <v>0</v>
      </c>
      <c r="DI145" s="407">
        <v>-98.356077816913057</v>
      </c>
      <c r="DJ145" s="407"/>
      <c r="DK145" s="407">
        <v>0</v>
      </c>
      <c r="DL145" s="407">
        <v>0</v>
      </c>
      <c r="DM145" s="407">
        <v>0</v>
      </c>
      <c r="DN145" s="407">
        <v>0</v>
      </c>
      <c r="DO145" s="407">
        <v>-14.649719380873194</v>
      </c>
      <c r="DP145" s="407">
        <v>-1.8820273273276484</v>
      </c>
      <c r="DQ145" s="407">
        <v>0</v>
      </c>
      <c r="DR145" s="407">
        <v>0</v>
      </c>
      <c r="DS145" s="407"/>
      <c r="DT145" s="407"/>
      <c r="DU145" s="407"/>
      <c r="DV145" s="407">
        <v>0</v>
      </c>
      <c r="DW145" s="407">
        <v>0</v>
      </c>
      <c r="DX145" s="407">
        <v>0</v>
      </c>
      <c r="DY145" s="407">
        <v>-101.60124999999971</v>
      </c>
      <c r="DZ145" s="407">
        <v>326.7496200000005</v>
      </c>
      <c r="EA145" s="407">
        <v>0</v>
      </c>
      <c r="EB145" s="407">
        <v>0</v>
      </c>
      <c r="EC145" s="407">
        <v>0</v>
      </c>
      <c r="ED145" s="407">
        <v>0</v>
      </c>
      <c r="EE145" s="407">
        <v>0</v>
      </c>
      <c r="EF145" s="407">
        <v>0</v>
      </c>
      <c r="EG145" s="407">
        <v>0</v>
      </c>
      <c r="EH145" s="407">
        <v>0</v>
      </c>
      <c r="EI145" s="407">
        <v>0</v>
      </c>
      <c r="EJ145" s="407">
        <v>0</v>
      </c>
      <c r="EK145" s="407">
        <v>0</v>
      </c>
      <c r="EL145" s="407">
        <v>0</v>
      </c>
      <c r="EM145" s="407">
        <v>0</v>
      </c>
      <c r="EN145" s="407">
        <v>0</v>
      </c>
      <c r="EO145" s="407">
        <v>0</v>
      </c>
      <c r="EP145" s="407">
        <v>0</v>
      </c>
      <c r="EQ145" s="407">
        <v>0</v>
      </c>
      <c r="ER145" s="407">
        <v>0</v>
      </c>
      <c r="ES145" s="407">
        <v>0</v>
      </c>
      <c r="ET145" s="407">
        <v>0</v>
      </c>
      <c r="EU145" s="407">
        <v>0</v>
      </c>
      <c r="EV145" s="407">
        <v>207</v>
      </c>
      <c r="EW145" s="407">
        <v>0</v>
      </c>
      <c r="EX145" s="407">
        <v>0</v>
      </c>
      <c r="EY145" s="407">
        <v>0</v>
      </c>
      <c r="EZ145" s="407"/>
      <c r="FA145" s="407">
        <v>0</v>
      </c>
      <c r="FB145" s="407"/>
      <c r="FC145" s="407"/>
      <c r="FD145" s="407"/>
      <c r="FE145" s="407"/>
      <c r="FF145" s="407">
        <v>0</v>
      </c>
      <c r="FG145" s="407">
        <v>0</v>
      </c>
      <c r="FH145" s="407">
        <v>0</v>
      </c>
      <c r="FI145" s="407">
        <v>0</v>
      </c>
    </row>
    <row r="146" spans="1:165">
      <c r="A146" s="407">
        <v>144</v>
      </c>
      <c r="B146" s="407" t="s">
        <v>1092</v>
      </c>
      <c r="C146" s="407" t="s">
        <v>2315</v>
      </c>
      <c r="D146" s="407" t="s">
        <v>648</v>
      </c>
      <c r="E146" s="407" t="s">
        <v>1024</v>
      </c>
      <c r="F146" s="407" t="s">
        <v>96</v>
      </c>
      <c r="G146" s="407" t="s">
        <v>96</v>
      </c>
      <c r="H146" s="407" t="s">
        <v>96</v>
      </c>
      <c r="I146" s="407" t="s">
        <v>96</v>
      </c>
      <c r="J146" s="407" t="s">
        <v>2306</v>
      </c>
      <c r="K146" s="815">
        <v>44562</v>
      </c>
      <c r="L146" s="407">
        <v>163</v>
      </c>
      <c r="M146" s="407">
        <v>163</v>
      </c>
      <c r="N146" s="407">
        <v>0</v>
      </c>
      <c r="O146" s="407">
        <v>0</v>
      </c>
      <c r="P146" s="407">
        <v>0</v>
      </c>
      <c r="Q146" s="407">
        <v>0</v>
      </c>
      <c r="R146" s="407">
        <v>39.56</v>
      </c>
      <c r="S146" s="407"/>
      <c r="T146" s="407"/>
      <c r="U146" s="407">
        <v>6448.2800000000007</v>
      </c>
      <c r="V146" s="407"/>
      <c r="W146" s="407">
        <v>6448.2800000000007</v>
      </c>
      <c r="X146" s="407">
        <v>5062.78</v>
      </c>
      <c r="Y146" s="407">
        <v>0</v>
      </c>
      <c r="Z146" s="407">
        <v>0</v>
      </c>
      <c r="AA146" s="407">
        <v>0</v>
      </c>
      <c r="AB146" s="407">
        <v>0</v>
      </c>
      <c r="AC146" s="407">
        <v>0</v>
      </c>
      <c r="AD146" s="407">
        <v>2146.7559334198531</v>
      </c>
      <c r="AE146" s="407">
        <v>4300.7439307638388</v>
      </c>
      <c r="AF146" s="407"/>
      <c r="AG146" s="407"/>
      <c r="AH146" s="407"/>
      <c r="AI146" s="407">
        <v>0</v>
      </c>
      <c r="AJ146" s="407">
        <v>0</v>
      </c>
      <c r="AK146" s="407">
        <v>0</v>
      </c>
      <c r="AL146" s="407">
        <v>0</v>
      </c>
      <c r="AM146" s="407"/>
      <c r="AN146" s="407">
        <v>0</v>
      </c>
      <c r="AO146" s="407">
        <v>0</v>
      </c>
      <c r="AP146" s="407">
        <v>0</v>
      </c>
      <c r="AQ146" s="407">
        <v>0</v>
      </c>
      <c r="AR146" s="407">
        <v>0</v>
      </c>
      <c r="AS146" s="407"/>
      <c r="AT146" s="407"/>
      <c r="AU146" s="407">
        <v>0</v>
      </c>
      <c r="AV146" s="407">
        <v>0</v>
      </c>
      <c r="AW146" s="407">
        <v>0</v>
      </c>
      <c r="AX146" s="407"/>
      <c r="AY146" s="407"/>
      <c r="AZ146" s="407">
        <v>0</v>
      </c>
      <c r="BA146" s="407"/>
      <c r="BB146" s="407">
        <v>0</v>
      </c>
      <c r="BC146" s="407">
        <v>0</v>
      </c>
      <c r="BD146" s="407">
        <v>0</v>
      </c>
      <c r="BE146" s="407">
        <v>0</v>
      </c>
      <c r="BF146" s="407"/>
      <c r="BG146" s="407">
        <v>0</v>
      </c>
      <c r="BH146" s="407">
        <v>0</v>
      </c>
      <c r="BI146" s="407">
        <v>107.99</v>
      </c>
      <c r="BJ146" s="407">
        <v>498.45</v>
      </c>
      <c r="BK146" s="407">
        <v>8727.42</v>
      </c>
      <c r="BL146" s="407">
        <v>1</v>
      </c>
      <c r="BM146" s="407"/>
      <c r="BN146" s="407"/>
      <c r="BO146" s="407"/>
      <c r="BP146" s="407"/>
      <c r="BQ146" s="407"/>
      <c r="BR146" s="407"/>
      <c r="BS146" s="407"/>
      <c r="BT146" s="407"/>
      <c r="BU146" s="407"/>
      <c r="BV146" s="407">
        <v>0</v>
      </c>
      <c r="BW146" s="407"/>
      <c r="BX146" s="407"/>
      <c r="BY146" s="407"/>
      <c r="BZ146" s="407"/>
      <c r="CA146" s="407"/>
      <c r="CB146" s="407"/>
      <c r="CC146" s="407"/>
      <c r="CD146" s="407"/>
      <c r="CE146" s="407"/>
      <c r="CF146" s="407"/>
      <c r="CG146" s="407"/>
      <c r="CH146" s="407"/>
      <c r="CI146" s="407">
        <v>5062.78</v>
      </c>
      <c r="CJ146" s="407">
        <v>-1385.5300000000016</v>
      </c>
      <c r="CK146" s="407"/>
      <c r="CL146" s="407"/>
      <c r="CM146" s="407"/>
      <c r="CN146" s="407"/>
      <c r="CO146" s="407">
        <v>-1385.5000000000007</v>
      </c>
      <c r="CP146" s="407">
        <v>0</v>
      </c>
      <c r="CQ146" s="407">
        <v>31</v>
      </c>
      <c r="CR146" s="407">
        <v>-112.62035173181971</v>
      </c>
      <c r="CS146" s="407">
        <v>0</v>
      </c>
      <c r="CT146" s="407">
        <v>0</v>
      </c>
      <c r="CU146" s="407">
        <v>0</v>
      </c>
      <c r="CV146" s="407">
        <v>0</v>
      </c>
      <c r="CW146" s="407"/>
      <c r="CX146" s="407"/>
      <c r="CY146" s="407"/>
      <c r="CZ146" s="407">
        <v>-112.62035173181971</v>
      </c>
      <c r="DA146" s="407">
        <v>0</v>
      </c>
      <c r="DB146" s="407">
        <v>0</v>
      </c>
      <c r="DC146" s="407"/>
      <c r="DD146" s="407"/>
      <c r="DE146" s="407">
        <v>0</v>
      </c>
      <c r="DF146" s="407">
        <v>0</v>
      </c>
      <c r="DG146" s="407">
        <v>0</v>
      </c>
      <c r="DH146" s="407">
        <v>0</v>
      </c>
      <c r="DI146" s="407">
        <v>0</v>
      </c>
      <c r="DJ146" s="407"/>
      <c r="DK146" s="407">
        <v>0</v>
      </c>
      <c r="DL146" s="407">
        <v>0</v>
      </c>
      <c r="DM146" s="407"/>
      <c r="DN146" s="407">
        <v>0</v>
      </c>
      <c r="DO146" s="407">
        <v>0</v>
      </c>
      <c r="DP146" s="407">
        <v>0</v>
      </c>
      <c r="DQ146" s="407">
        <v>0</v>
      </c>
      <c r="DR146" s="407">
        <v>0</v>
      </c>
      <c r="DS146" s="407"/>
      <c r="DT146" s="407"/>
      <c r="DU146" s="407">
        <v>4300.7439307638388</v>
      </c>
      <c r="DV146" s="407"/>
      <c r="DW146" s="407">
        <v>0</v>
      </c>
      <c r="DX146" s="407">
        <v>0</v>
      </c>
      <c r="DY146" s="407">
        <v>-1385.5000000000009</v>
      </c>
      <c r="DZ146" s="407"/>
      <c r="EA146" s="407">
        <v>0</v>
      </c>
      <c r="EB146" s="407"/>
      <c r="EC146" s="407">
        <v>-1271.367794444629</v>
      </c>
      <c r="ED146" s="407"/>
      <c r="EE146" s="407">
        <v>0</v>
      </c>
      <c r="EF146" s="407">
        <v>0</v>
      </c>
      <c r="EG146" s="407"/>
      <c r="EH146" s="407">
        <v>0</v>
      </c>
      <c r="EI146" s="407">
        <v>0</v>
      </c>
      <c r="EJ146" s="407">
        <v>0</v>
      </c>
      <c r="EK146" s="407">
        <v>0</v>
      </c>
      <c r="EL146" s="407">
        <v>0</v>
      </c>
      <c r="EM146" s="407"/>
      <c r="EN146" s="407"/>
      <c r="EO146" s="407">
        <v>0</v>
      </c>
      <c r="EP146" s="407">
        <v>0</v>
      </c>
      <c r="EQ146" s="407"/>
      <c r="ER146" s="407">
        <v>0</v>
      </c>
      <c r="ES146" s="407"/>
      <c r="ET146" s="407">
        <v>0</v>
      </c>
      <c r="EU146" s="407"/>
      <c r="EV146" s="407">
        <v>207</v>
      </c>
      <c r="EW146" s="407"/>
      <c r="EX146" s="407"/>
      <c r="EY146" s="407"/>
      <c r="EZ146" s="407"/>
      <c r="FA146" s="407">
        <v>0</v>
      </c>
      <c r="FB146" s="407"/>
      <c r="FC146" s="407"/>
      <c r="FD146" s="407"/>
      <c r="FE146" s="407"/>
      <c r="FF146" s="407">
        <v>0</v>
      </c>
      <c r="FG146" s="407">
        <v>0</v>
      </c>
      <c r="FH146" s="407">
        <v>0</v>
      </c>
      <c r="FI146" s="407">
        <v>0</v>
      </c>
    </row>
    <row r="147" spans="1:165">
      <c r="A147" s="407">
        <v>145</v>
      </c>
      <c r="B147" s="407" t="s">
        <v>1092</v>
      </c>
      <c r="C147" s="407" t="s">
        <v>2305</v>
      </c>
      <c r="D147" s="407" t="s">
        <v>1221</v>
      </c>
      <c r="E147" s="407" t="s">
        <v>1051</v>
      </c>
      <c r="F147" s="407" t="s">
        <v>96</v>
      </c>
      <c r="G147" s="407" t="s">
        <v>96</v>
      </c>
      <c r="H147" s="407" t="s">
        <v>96</v>
      </c>
      <c r="I147" s="407" t="s">
        <v>96</v>
      </c>
      <c r="J147" s="407" t="s">
        <v>2306</v>
      </c>
      <c r="K147" s="815">
        <v>44562</v>
      </c>
      <c r="L147" s="407">
        <v>0</v>
      </c>
      <c r="M147" s="407">
        <v>0</v>
      </c>
      <c r="N147" s="407">
        <v>87.777000000000001</v>
      </c>
      <c r="O147" s="407">
        <v>87.777000000000001</v>
      </c>
      <c r="P147" s="407">
        <v>87.777000000000001</v>
      </c>
      <c r="Q147" s="407">
        <v>87.777000000000001</v>
      </c>
      <c r="R147" s="407"/>
      <c r="S147" s="407">
        <v>710.52</v>
      </c>
      <c r="T147" s="407">
        <v>127.85</v>
      </c>
      <c r="U147" s="407"/>
      <c r="V147" s="407">
        <v>73589.603489999994</v>
      </c>
      <c r="W147" s="407">
        <v>73589.603489999994</v>
      </c>
      <c r="X147" s="407">
        <v>60452.897670000006</v>
      </c>
      <c r="Y147" s="407">
        <v>0</v>
      </c>
      <c r="Z147" s="407">
        <v>5360.987002784329</v>
      </c>
      <c r="AA147" s="407">
        <v>0</v>
      </c>
      <c r="AB147" s="407">
        <v>0</v>
      </c>
      <c r="AC147" s="407">
        <v>0</v>
      </c>
      <c r="AD147" s="407">
        <v>9597.7526362256922</v>
      </c>
      <c r="AE147" s="407">
        <v>43727.630063515244</v>
      </c>
      <c r="AF147" s="407">
        <v>11222.060896157604</v>
      </c>
      <c r="AG147" s="407">
        <v>0</v>
      </c>
      <c r="AH147" s="407">
        <v>0</v>
      </c>
      <c r="AI147" s="407">
        <v>0</v>
      </c>
      <c r="AJ147" s="407">
        <v>0</v>
      </c>
      <c r="AK147" s="407">
        <v>0</v>
      </c>
      <c r="AL147" s="407">
        <v>829.07987133993538</v>
      </c>
      <c r="AM147" s="407"/>
      <c r="AN147" s="407">
        <v>201.07632949599153</v>
      </c>
      <c r="AO147" s="407">
        <v>0</v>
      </c>
      <c r="AP147" s="407">
        <v>0</v>
      </c>
      <c r="AQ147" s="407">
        <v>0</v>
      </c>
      <c r="AR147" s="407">
        <v>0</v>
      </c>
      <c r="AS147" s="407">
        <v>0</v>
      </c>
      <c r="AT147" s="407">
        <v>0</v>
      </c>
      <c r="AU147" s="407">
        <v>0</v>
      </c>
      <c r="AV147" s="407">
        <v>0</v>
      </c>
      <c r="AW147" s="407">
        <v>0</v>
      </c>
      <c r="AX147" s="407">
        <v>0</v>
      </c>
      <c r="AY147" s="407">
        <v>0</v>
      </c>
      <c r="AZ147" s="407">
        <v>0</v>
      </c>
      <c r="BA147" s="407"/>
      <c r="BB147" s="407">
        <v>0</v>
      </c>
      <c r="BC147" s="407">
        <v>0</v>
      </c>
      <c r="BD147" s="407">
        <v>0</v>
      </c>
      <c r="BE147" s="407">
        <v>0</v>
      </c>
      <c r="BF147" s="407">
        <v>0</v>
      </c>
      <c r="BG147" s="407">
        <v>2650.7068460783703</v>
      </c>
      <c r="BH147" s="407">
        <v>0</v>
      </c>
      <c r="BI147" s="407">
        <v>339.73</v>
      </c>
      <c r="BJ147" s="407">
        <v>1570.26</v>
      </c>
      <c r="BK147" s="407">
        <v>16424.77</v>
      </c>
      <c r="BL147" s="407">
        <v>87</v>
      </c>
      <c r="BM147" s="407"/>
      <c r="BN147" s="407"/>
      <c r="BO147" s="407"/>
      <c r="BP147" s="407"/>
      <c r="BQ147" s="407"/>
      <c r="BR147" s="407"/>
      <c r="BS147" s="407"/>
      <c r="BT147" s="407"/>
      <c r="BU147" s="407"/>
      <c r="BV147" s="407">
        <v>13872.767742235974</v>
      </c>
      <c r="BW147" s="407"/>
      <c r="BX147" s="407"/>
      <c r="BY147" s="407"/>
      <c r="BZ147" s="407"/>
      <c r="CA147" s="407"/>
      <c r="CB147" s="407"/>
      <c r="CC147" s="407"/>
      <c r="CD147" s="407"/>
      <c r="CE147" s="407"/>
      <c r="CF147" s="407"/>
      <c r="CG147" s="407"/>
      <c r="CH147" s="407"/>
      <c r="CI147" s="407">
        <v>60454.963800000005</v>
      </c>
      <c r="CJ147" s="407">
        <v>-13134.669689999988</v>
      </c>
      <c r="CK147" s="407"/>
      <c r="CL147" s="407"/>
      <c r="CM147" s="407"/>
      <c r="CN147" s="407"/>
      <c r="CO147" s="407">
        <v>-13489.569359999996</v>
      </c>
      <c r="CP147" s="407">
        <v>352.86354000000091</v>
      </c>
      <c r="CQ147" s="407">
        <v>31</v>
      </c>
      <c r="CR147" s="407">
        <v>-209.52565440505714</v>
      </c>
      <c r="CS147" s="407">
        <v>0</v>
      </c>
      <c r="CT147" s="407">
        <v>0</v>
      </c>
      <c r="CU147" s="407">
        <v>0</v>
      </c>
      <c r="CV147" s="407">
        <v>0</v>
      </c>
      <c r="CW147" s="407">
        <v>0</v>
      </c>
      <c r="CX147" s="407">
        <v>0</v>
      </c>
      <c r="CY147" s="407">
        <v>0</v>
      </c>
      <c r="CZ147" s="407">
        <v>-503.50496807753007</v>
      </c>
      <c r="DA147" s="407">
        <v>0</v>
      </c>
      <c r="DB147" s="407">
        <v>0</v>
      </c>
      <c r="DC147" s="407">
        <v>353.11574866450428</v>
      </c>
      <c r="DD147" s="407">
        <v>0</v>
      </c>
      <c r="DE147" s="407">
        <v>0</v>
      </c>
      <c r="DF147" s="407">
        <v>0</v>
      </c>
      <c r="DG147" s="407">
        <v>83.407703906113056</v>
      </c>
      <c r="DH147" s="407">
        <v>0</v>
      </c>
      <c r="DI147" s="407">
        <v>-122.08818707874525</v>
      </c>
      <c r="DJ147" s="407"/>
      <c r="DK147" s="407">
        <v>0</v>
      </c>
      <c r="DL147" s="407">
        <v>0</v>
      </c>
      <c r="DM147" s="407">
        <v>0</v>
      </c>
      <c r="DN147" s="407">
        <v>0</v>
      </c>
      <c r="DO147" s="407">
        <v>-15.820529005486037</v>
      </c>
      <c r="DP147" s="407">
        <v>-4.6354228139143743</v>
      </c>
      <c r="DQ147" s="407">
        <v>0</v>
      </c>
      <c r="DR147" s="407">
        <v>0</v>
      </c>
      <c r="DS147" s="407"/>
      <c r="DT147" s="407"/>
      <c r="DU147" s="407"/>
      <c r="DV147" s="407">
        <v>43727.630063515244</v>
      </c>
      <c r="DW147" s="407">
        <v>0</v>
      </c>
      <c r="DX147" s="407">
        <v>0</v>
      </c>
      <c r="DY147" s="407">
        <v>-13489.569359999994</v>
      </c>
      <c r="DZ147" s="407">
        <v>352.86354000000028</v>
      </c>
      <c r="EA147" s="407">
        <v>0</v>
      </c>
      <c r="EB147" s="407">
        <v>0</v>
      </c>
      <c r="EC147" s="407">
        <v>-12926.577700306847</v>
      </c>
      <c r="ED147" s="407">
        <v>0</v>
      </c>
      <c r="EE147" s="407">
        <v>0</v>
      </c>
      <c r="EF147" s="407">
        <v>0</v>
      </c>
      <c r="EG147" s="407">
        <v>0</v>
      </c>
      <c r="EH147" s="407">
        <v>0</v>
      </c>
      <c r="EI147" s="407">
        <v>0</v>
      </c>
      <c r="EJ147" s="407">
        <v>0</v>
      </c>
      <c r="EK147" s="407">
        <v>0</v>
      </c>
      <c r="EL147" s="407">
        <v>0</v>
      </c>
      <c r="EM147" s="407">
        <v>0</v>
      </c>
      <c r="EN147" s="407">
        <v>0</v>
      </c>
      <c r="EO147" s="407">
        <v>0</v>
      </c>
      <c r="EP147" s="407">
        <v>0</v>
      </c>
      <c r="EQ147" s="407">
        <v>0</v>
      </c>
      <c r="ER147" s="407">
        <v>0</v>
      </c>
      <c r="ES147" s="407">
        <v>0</v>
      </c>
      <c r="ET147" s="407">
        <v>0</v>
      </c>
      <c r="EU147" s="407">
        <v>0</v>
      </c>
      <c r="EV147" s="407">
        <v>207</v>
      </c>
      <c r="EW147" s="407">
        <v>0</v>
      </c>
      <c r="EX147" s="407">
        <v>0</v>
      </c>
      <c r="EY147" s="407">
        <v>0</v>
      </c>
      <c r="EZ147" s="407"/>
      <c r="FA147" s="407">
        <v>0</v>
      </c>
      <c r="FB147" s="407"/>
      <c r="FC147" s="407"/>
      <c r="FD147" s="407"/>
      <c r="FE147" s="407"/>
      <c r="FF147" s="407">
        <v>0</v>
      </c>
      <c r="FG147" s="407">
        <v>0</v>
      </c>
      <c r="FH147" s="407">
        <v>0</v>
      </c>
      <c r="FI147" s="407">
        <v>0</v>
      </c>
    </row>
    <row r="148" spans="1:165">
      <c r="A148" s="407">
        <v>146</v>
      </c>
      <c r="B148" s="407" t="s">
        <v>1092</v>
      </c>
      <c r="C148" s="407" t="s">
        <v>2315</v>
      </c>
      <c r="D148" s="407" t="s">
        <v>648</v>
      </c>
      <c r="E148" s="407" t="s">
        <v>1051</v>
      </c>
      <c r="F148" s="407" t="s">
        <v>96</v>
      </c>
      <c r="G148" s="407" t="s">
        <v>96</v>
      </c>
      <c r="H148" s="407" t="s">
        <v>96</v>
      </c>
      <c r="I148" s="407" t="s">
        <v>1027</v>
      </c>
      <c r="J148" s="407" t="s">
        <v>2306</v>
      </c>
      <c r="K148" s="815">
        <v>44562</v>
      </c>
      <c r="L148" s="407">
        <v>0</v>
      </c>
      <c r="M148" s="407">
        <v>0</v>
      </c>
      <c r="N148" s="407">
        <v>0.57099999999999995</v>
      </c>
      <c r="O148" s="407">
        <v>0.57099999999999995</v>
      </c>
      <c r="P148" s="407">
        <v>0.57099999999999995</v>
      </c>
      <c r="Q148" s="407">
        <v>0.57099999999999995</v>
      </c>
      <c r="R148" s="407"/>
      <c r="S148" s="407">
        <v>2075.9499999999998</v>
      </c>
      <c r="T148" s="407">
        <v>127.85</v>
      </c>
      <c r="U148" s="407"/>
      <c r="V148" s="407">
        <v>1258.3697999999997</v>
      </c>
      <c r="W148" s="407">
        <v>1258.3697999999997</v>
      </c>
      <c r="X148" s="407">
        <v>1008.62011</v>
      </c>
      <c r="Y148" s="407">
        <v>0</v>
      </c>
      <c r="Z148" s="407">
        <v>30.340265825594098</v>
      </c>
      <c r="AA148" s="407">
        <v>0</v>
      </c>
      <c r="AB148" s="407">
        <v>0</v>
      </c>
      <c r="AC148" s="407">
        <v>0</v>
      </c>
      <c r="AD148" s="407">
        <v>359.73509185418698</v>
      </c>
      <c r="AE148" s="407">
        <v>786.36050418621903</v>
      </c>
      <c r="AF148" s="407">
        <v>73.000863229615859</v>
      </c>
      <c r="AG148" s="407">
        <v>0</v>
      </c>
      <c r="AH148" s="407">
        <v>0</v>
      </c>
      <c r="AI148" s="407">
        <v>0</v>
      </c>
      <c r="AJ148" s="407">
        <v>0</v>
      </c>
      <c r="AK148" s="407">
        <v>0</v>
      </c>
      <c r="AL148" s="407">
        <v>5.3932648248983561</v>
      </c>
      <c r="AM148" s="407"/>
      <c r="AN148" s="407">
        <v>0.57351474801127555</v>
      </c>
      <c r="AO148" s="407">
        <v>0</v>
      </c>
      <c r="AP148" s="407">
        <v>0</v>
      </c>
      <c r="AQ148" s="407">
        <v>0</v>
      </c>
      <c r="AR148" s="407">
        <v>0</v>
      </c>
      <c r="AS148" s="407">
        <v>0</v>
      </c>
      <c r="AT148" s="407">
        <v>0</v>
      </c>
      <c r="AU148" s="407">
        <v>0</v>
      </c>
      <c r="AV148" s="407">
        <v>0</v>
      </c>
      <c r="AW148" s="407">
        <v>0</v>
      </c>
      <c r="AX148" s="407">
        <v>0</v>
      </c>
      <c r="AY148" s="407">
        <v>0</v>
      </c>
      <c r="AZ148" s="407">
        <v>0</v>
      </c>
      <c r="BA148" s="407"/>
      <c r="BB148" s="407">
        <v>0</v>
      </c>
      <c r="BC148" s="407">
        <v>0</v>
      </c>
      <c r="BD148" s="407">
        <v>0</v>
      </c>
      <c r="BE148" s="407">
        <v>0</v>
      </c>
      <c r="BF148" s="407">
        <v>0</v>
      </c>
      <c r="BG148" s="407">
        <v>2.9643935937383228</v>
      </c>
      <c r="BH148" s="407">
        <v>0</v>
      </c>
      <c r="BI148" s="407">
        <v>0</v>
      </c>
      <c r="BJ148" s="407">
        <v>0</v>
      </c>
      <c r="BK148" s="407">
        <v>0</v>
      </c>
      <c r="BL148" s="407">
        <v>0</v>
      </c>
      <c r="BM148" s="407"/>
      <c r="BN148" s="407"/>
      <c r="BO148" s="407"/>
      <c r="BP148" s="407"/>
      <c r="BQ148" s="407"/>
      <c r="BR148" s="407"/>
      <c r="BS148" s="407"/>
      <c r="BT148" s="407"/>
      <c r="BU148" s="407"/>
      <c r="BV148" s="407">
        <v>75.965256823354181</v>
      </c>
      <c r="BW148" s="407"/>
      <c r="BX148" s="407"/>
      <c r="BY148" s="407"/>
      <c r="BZ148" s="407"/>
      <c r="CA148" s="407"/>
      <c r="CB148" s="407"/>
      <c r="CC148" s="407"/>
      <c r="CD148" s="407"/>
      <c r="CE148" s="407"/>
      <c r="CF148" s="407"/>
      <c r="CG148" s="407"/>
      <c r="CH148" s="407"/>
      <c r="CI148" s="407">
        <v>1006.8536999999999</v>
      </c>
      <c r="CJ148" s="407">
        <v>-251.5460999999998</v>
      </c>
      <c r="CK148" s="407"/>
      <c r="CL148" s="407"/>
      <c r="CM148" s="407"/>
      <c r="CN148" s="407"/>
      <c r="CO148" s="407">
        <v>-252.04510999999991</v>
      </c>
      <c r="CP148" s="407">
        <v>2.2954200000000058</v>
      </c>
      <c r="CQ148" s="407">
        <v>31</v>
      </c>
      <c r="CR148" s="407">
        <v>-17.288709678671694</v>
      </c>
      <c r="CS148" s="407">
        <v>0</v>
      </c>
      <c r="CT148" s="407">
        <v>0</v>
      </c>
      <c r="CU148" s="407">
        <v>0</v>
      </c>
      <c r="CV148" s="407">
        <v>0</v>
      </c>
      <c r="CW148" s="407">
        <v>0</v>
      </c>
      <c r="CX148" s="407">
        <v>0</v>
      </c>
      <c r="CY148" s="407">
        <v>0</v>
      </c>
      <c r="CZ148" s="407">
        <v>-18.871960218766674</v>
      </c>
      <c r="DA148" s="407">
        <v>0</v>
      </c>
      <c r="DB148" s="407">
        <v>0</v>
      </c>
      <c r="DC148" s="407">
        <v>2.2970606478625513</v>
      </c>
      <c r="DD148" s="407">
        <v>0</v>
      </c>
      <c r="DE148" s="407">
        <v>0</v>
      </c>
      <c r="DF148" s="407">
        <v>0</v>
      </c>
      <c r="DG148" s="407">
        <v>9.3278237649515816E-2</v>
      </c>
      <c r="DH148" s="407">
        <v>0</v>
      </c>
      <c r="DI148" s="407">
        <v>-0.69095262648659883</v>
      </c>
      <c r="DJ148" s="407"/>
      <c r="DK148" s="407">
        <v>0</v>
      </c>
      <c r="DL148" s="407">
        <v>0</v>
      </c>
      <c r="DM148" s="407">
        <v>0</v>
      </c>
      <c r="DN148" s="407">
        <v>0</v>
      </c>
      <c r="DO148" s="407">
        <v>-0.10291445438021896</v>
      </c>
      <c r="DP148" s="407">
        <v>-1.3221264550191125E-2</v>
      </c>
      <c r="DQ148" s="407">
        <v>0</v>
      </c>
      <c r="DR148" s="407">
        <v>0</v>
      </c>
      <c r="DS148" s="407"/>
      <c r="DT148" s="407"/>
      <c r="DU148" s="407"/>
      <c r="DV148" s="407">
        <v>786.36050418621903</v>
      </c>
      <c r="DW148" s="407">
        <v>0</v>
      </c>
      <c r="DX148" s="407">
        <v>0</v>
      </c>
      <c r="DY148" s="407">
        <v>-252.0451099999998</v>
      </c>
      <c r="DZ148" s="407">
        <v>2.2954200000000071</v>
      </c>
      <c r="EA148" s="407">
        <v>0</v>
      </c>
      <c r="EB148" s="407">
        <v>0</v>
      </c>
      <c r="EC148" s="407">
        <v>-232.46057796982814</v>
      </c>
      <c r="ED148" s="407">
        <v>0</v>
      </c>
      <c r="EE148" s="407">
        <v>0</v>
      </c>
      <c r="EF148" s="407">
        <v>0</v>
      </c>
      <c r="EG148" s="407">
        <v>0</v>
      </c>
      <c r="EH148" s="407">
        <v>0</v>
      </c>
      <c r="EI148" s="407">
        <v>0</v>
      </c>
      <c r="EJ148" s="407">
        <v>0</v>
      </c>
      <c r="EK148" s="407">
        <v>0</v>
      </c>
      <c r="EL148" s="407">
        <v>0</v>
      </c>
      <c r="EM148" s="407">
        <v>0</v>
      </c>
      <c r="EN148" s="407">
        <v>0</v>
      </c>
      <c r="EO148" s="407">
        <v>0</v>
      </c>
      <c r="EP148" s="407">
        <v>0</v>
      </c>
      <c r="EQ148" s="407">
        <v>0</v>
      </c>
      <c r="ER148" s="407">
        <v>0</v>
      </c>
      <c r="ES148" s="407">
        <v>0</v>
      </c>
      <c r="ET148" s="407">
        <v>0</v>
      </c>
      <c r="EU148" s="407">
        <v>0</v>
      </c>
      <c r="EV148" s="407">
        <v>207</v>
      </c>
      <c r="EW148" s="407">
        <v>0</v>
      </c>
      <c r="EX148" s="407">
        <v>0</v>
      </c>
      <c r="EY148" s="407">
        <v>0</v>
      </c>
      <c r="EZ148" s="407"/>
      <c r="FA148" s="407">
        <v>0</v>
      </c>
      <c r="FB148" s="407"/>
      <c r="FC148" s="407"/>
      <c r="FD148" s="407"/>
      <c r="FE148" s="407"/>
      <c r="FF148" s="407">
        <v>0</v>
      </c>
      <c r="FG148" s="407">
        <v>0</v>
      </c>
      <c r="FH148" s="407">
        <v>0</v>
      </c>
      <c r="FI148" s="407">
        <v>0</v>
      </c>
    </row>
    <row r="149" spans="1:165">
      <c r="A149" s="407">
        <v>147</v>
      </c>
      <c r="B149" s="407" t="s">
        <v>1092</v>
      </c>
      <c r="C149" s="407" t="s">
        <v>2315</v>
      </c>
      <c r="D149" s="407" t="s">
        <v>648</v>
      </c>
      <c r="E149" s="407" t="s">
        <v>1051</v>
      </c>
      <c r="F149" s="407" t="s">
        <v>96</v>
      </c>
      <c r="G149" s="407" t="s">
        <v>96</v>
      </c>
      <c r="H149" s="407" t="s">
        <v>96</v>
      </c>
      <c r="I149" s="407" t="s">
        <v>2290</v>
      </c>
      <c r="J149" s="407" t="s">
        <v>2306</v>
      </c>
      <c r="K149" s="815">
        <v>44562</v>
      </c>
      <c r="L149" s="407">
        <v>0</v>
      </c>
      <c r="M149" s="407">
        <v>0</v>
      </c>
      <c r="N149" s="407">
        <v>11.331</v>
      </c>
      <c r="O149" s="407">
        <v>11.331</v>
      </c>
      <c r="P149" s="407">
        <v>11.331</v>
      </c>
      <c r="Q149" s="407">
        <v>11.331</v>
      </c>
      <c r="R149" s="407"/>
      <c r="S149" s="407">
        <v>68.78</v>
      </c>
      <c r="T149" s="407">
        <v>127.85</v>
      </c>
      <c r="U149" s="407"/>
      <c r="V149" s="407">
        <v>2228.0145299999999</v>
      </c>
      <c r="W149" s="407">
        <v>2228.0145299999999</v>
      </c>
      <c r="X149" s="407">
        <v>2259.4013999999997</v>
      </c>
      <c r="Y149" s="407">
        <v>0</v>
      </c>
      <c r="Z149" s="407">
        <v>602.0762733271572</v>
      </c>
      <c r="AA149" s="407">
        <v>0</v>
      </c>
      <c r="AB149" s="407">
        <v>0</v>
      </c>
      <c r="AC149" s="407">
        <v>0</v>
      </c>
      <c r="AD149" s="407">
        <v>0</v>
      </c>
      <c r="AE149" s="407">
        <v>0</v>
      </c>
      <c r="AF149" s="407">
        <v>1448.6388463306082</v>
      </c>
      <c r="AG149" s="407">
        <v>0</v>
      </c>
      <c r="AH149" s="407">
        <v>0</v>
      </c>
      <c r="AI149" s="407">
        <v>0</v>
      </c>
      <c r="AJ149" s="407">
        <v>0</v>
      </c>
      <c r="AK149" s="407">
        <v>0</v>
      </c>
      <c r="AL149" s="407">
        <v>107.02466502788666</v>
      </c>
      <c r="AM149" s="407"/>
      <c r="AN149" s="407">
        <v>11.380902994248272</v>
      </c>
      <c r="AO149" s="407">
        <v>0</v>
      </c>
      <c r="AP149" s="407">
        <v>0</v>
      </c>
      <c r="AQ149" s="407">
        <v>0</v>
      </c>
      <c r="AR149" s="407">
        <v>0</v>
      </c>
      <c r="AS149" s="407">
        <v>0</v>
      </c>
      <c r="AT149" s="407">
        <v>0</v>
      </c>
      <c r="AU149" s="407">
        <v>0</v>
      </c>
      <c r="AV149" s="407">
        <v>0</v>
      </c>
      <c r="AW149" s="407">
        <v>0</v>
      </c>
      <c r="AX149" s="407">
        <v>0</v>
      </c>
      <c r="AY149" s="407">
        <v>0</v>
      </c>
      <c r="AZ149" s="407">
        <v>0</v>
      </c>
      <c r="BA149" s="407"/>
      <c r="BB149" s="407">
        <v>0</v>
      </c>
      <c r="BC149" s="407">
        <v>0</v>
      </c>
      <c r="BD149" s="407">
        <v>0</v>
      </c>
      <c r="BE149" s="407">
        <v>0</v>
      </c>
      <c r="BF149" s="407">
        <v>0</v>
      </c>
      <c r="BG149" s="407">
        <v>58.825821034411454</v>
      </c>
      <c r="BH149" s="407">
        <v>0</v>
      </c>
      <c r="BI149" s="407">
        <v>0</v>
      </c>
      <c r="BJ149" s="407">
        <v>0</v>
      </c>
      <c r="BK149" s="407">
        <v>0</v>
      </c>
      <c r="BL149" s="407">
        <v>0</v>
      </c>
      <c r="BM149" s="407"/>
      <c r="BN149" s="407"/>
      <c r="BO149" s="407"/>
      <c r="BP149" s="407"/>
      <c r="BQ149" s="407"/>
      <c r="BR149" s="407"/>
      <c r="BS149" s="407"/>
      <c r="BT149" s="407"/>
      <c r="BU149" s="407"/>
      <c r="BV149" s="407">
        <v>1507.4646673650197</v>
      </c>
      <c r="BW149" s="407"/>
      <c r="BX149" s="407"/>
      <c r="BY149" s="407"/>
      <c r="BZ149" s="407"/>
      <c r="CA149" s="407"/>
      <c r="CB149" s="407"/>
      <c r="CC149" s="407"/>
      <c r="CD149" s="407"/>
      <c r="CE149" s="407"/>
      <c r="CF149" s="407"/>
      <c r="CG149" s="407"/>
      <c r="CH149" s="407"/>
      <c r="CI149" s="407">
        <v>2259.2020000000002</v>
      </c>
      <c r="CJ149" s="407">
        <v>31.157470000000103</v>
      </c>
      <c r="CK149" s="407"/>
      <c r="CL149" s="407"/>
      <c r="CM149" s="407"/>
      <c r="CN149" s="407"/>
      <c r="CO149" s="407">
        <v>-14.16375</v>
      </c>
      <c r="CP149" s="407">
        <v>45.550620000000116</v>
      </c>
      <c r="CQ149" s="407">
        <v>31</v>
      </c>
      <c r="CR149" s="407">
        <v>31.418234448015482</v>
      </c>
      <c r="CS149" s="407">
        <v>0</v>
      </c>
      <c r="CT149" s="407">
        <v>0</v>
      </c>
      <c r="CU149" s="407">
        <v>0</v>
      </c>
      <c r="CV149" s="407">
        <v>0</v>
      </c>
      <c r="CW149" s="407">
        <v>0</v>
      </c>
      <c r="CX149" s="407">
        <v>0</v>
      </c>
      <c r="CY149" s="407">
        <v>0</v>
      </c>
      <c r="CZ149" s="407">
        <v>0</v>
      </c>
      <c r="DA149" s="407">
        <v>0</v>
      </c>
      <c r="DB149" s="407">
        <v>0</v>
      </c>
      <c r="DC149" s="407">
        <v>45.583177234554569</v>
      </c>
      <c r="DD149" s="407">
        <v>0</v>
      </c>
      <c r="DE149" s="407">
        <v>0</v>
      </c>
      <c r="DF149" s="407">
        <v>0</v>
      </c>
      <c r="DG149" s="407">
        <v>1.8510257632340839</v>
      </c>
      <c r="DH149" s="407">
        <v>0</v>
      </c>
      <c r="DI149" s="407">
        <v>-13.711355885673697</v>
      </c>
      <c r="DJ149" s="407"/>
      <c r="DK149" s="407">
        <v>0</v>
      </c>
      <c r="DL149" s="407">
        <v>0</v>
      </c>
      <c r="DM149" s="407">
        <v>0</v>
      </c>
      <c r="DN149" s="407">
        <v>0</v>
      </c>
      <c r="DO149" s="407">
        <v>-2.042248130616926</v>
      </c>
      <c r="DP149" s="407">
        <v>-0.26236453348198729</v>
      </c>
      <c r="DQ149" s="407">
        <v>0</v>
      </c>
      <c r="DR149" s="407">
        <v>0</v>
      </c>
      <c r="DS149" s="407"/>
      <c r="DT149" s="407"/>
      <c r="DU149" s="407"/>
      <c r="DV149" s="407">
        <v>0</v>
      </c>
      <c r="DW149" s="407">
        <v>0</v>
      </c>
      <c r="DX149" s="407">
        <v>0</v>
      </c>
      <c r="DY149" s="407">
        <v>-14.16375000000005</v>
      </c>
      <c r="DZ149" s="407">
        <v>45.550619999999981</v>
      </c>
      <c r="EA149" s="407">
        <v>0</v>
      </c>
      <c r="EB149" s="407">
        <v>0</v>
      </c>
      <c r="EC149" s="407">
        <v>0</v>
      </c>
      <c r="ED149" s="407">
        <v>0</v>
      </c>
      <c r="EE149" s="407">
        <v>0</v>
      </c>
      <c r="EF149" s="407">
        <v>0</v>
      </c>
      <c r="EG149" s="407">
        <v>0</v>
      </c>
      <c r="EH149" s="407">
        <v>0</v>
      </c>
      <c r="EI149" s="407">
        <v>0</v>
      </c>
      <c r="EJ149" s="407">
        <v>0</v>
      </c>
      <c r="EK149" s="407">
        <v>0</v>
      </c>
      <c r="EL149" s="407">
        <v>0</v>
      </c>
      <c r="EM149" s="407">
        <v>0</v>
      </c>
      <c r="EN149" s="407">
        <v>0</v>
      </c>
      <c r="EO149" s="407">
        <v>0</v>
      </c>
      <c r="EP149" s="407">
        <v>0</v>
      </c>
      <c r="EQ149" s="407">
        <v>0</v>
      </c>
      <c r="ER149" s="407">
        <v>0</v>
      </c>
      <c r="ES149" s="407">
        <v>0</v>
      </c>
      <c r="ET149" s="407">
        <v>0</v>
      </c>
      <c r="EU149" s="407">
        <v>0</v>
      </c>
      <c r="EV149" s="407">
        <v>207</v>
      </c>
      <c r="EW149" s="407">
        <v>0</v>
      </c>
      <c r="EX149" s="407">
        <v>0</v>
      </c>
      <c r="EY149" s="407">
        <v>0</v>
      </c>
      <c r="EZ149" s="407"/>
      <c r="FA149" s="407">
        <v>0</v>
      </c>
      <c r="FB149" s="407"/>
      <c r="FC149" s="407"/>
      <c r="FD149" s="407"/>
      <c r="FE149" s="407"/>
      <c r="FF149" s="407">
        <v>0</v>
      </c>
      <c r="FG149" s="407">
        <v>0</v>
      </c>
      <c r="FH149" s="407">
        <v>0</v>
      </c>
      <c r="FI149" s="407">
        <v>0</v>
      </c>
    </row>
    <row r="150" spans="1:165">
      <c r="A150" s="407">
        <v>148</v>
      </c>
      <c r="B150" s="407" t="s">
        <v>1092</v>
      </c>
      <c r="C150" s="407" t="s">
        <v>2315</v>
      </c>
      <c r="D150" s="407" t="s">
        <v>648</v>
      </c>
      <c r="E150" s="407" t="s">
        <v>1051</v>
      </c>
      <c r="F150" s="407" t="s">
        <v>96</v>
      </c>
      <c r="G150" s="407" t="s">
        <v>96</v>
      </c>
      <c r="H150" s="407" t="s">
        <v>96</v>
      </c>
      <c r="I150" s="407" t="s">
        <v>96</v>
      </c>
      <c r="J150" s="407" t="s">
        <v>2306</v>
      </c>
      <c r="K150" s="815">
        <v>44562</v>
      </c>
      <c r="L150" s="407">
        <v>280</v>
      </c>
      <c r="M150" s="407">
        <v>280</v>
      </c>
      <c r="N150" s="407">
        <v>0</v>
      </c>
      <c r="O150" s="407">
        <v>0</v>
      </c>
      <c r="P150" s="407">
        <v>0</v>
      </c>
      <c r="Q150" s="407">
        <v>0</v>
      </c>
      <c r="R150" s="407">
        <v>39.56</v>
      </c>
      <c r="S150" s="407"/>
      <c r="T150" s="407"/>
      <c r="U150" s="407">
        <v>11076.800000000001</v>
      </c>
      <c r="V150" s="407"/>
      <c r="W150" s="407">
        <v>11076.800000000001</v>
      </c>
      <c r="X150" s="407">
        <v>8696.7999999999993</v>
      </c>
      <c r="Y150" s="407">
        <v>0</v>
      </c>
      <c r="Z150" s="407">
        <v>0</v>
      </c>
      <c r="AA150" s="407">
        <v>0</v>
      </c>
      <c r="AB150" s="407">
        <v>0</v>
      </c>
      <c r="AC150" s="407">
        <v>0</v>
      </c>
      <c r="AD150" s="407">
        <v>3687.6789040341037</v>
      </c>
      <c r="AE150" s="407">
        <v>7387.7809853611961</v>
      </c>
      <c r="AF150" s="407"/>
      <c r="AG150" s="407"/>
      <c r="AH150" s="407"/>
      <c r="AI150" s="407">
        <v>0</v>
      </c>
      <c r="AJ150" s="407">
        <v>0</v>
      </c>
      <c r="AK150" s="407">
        <v>0</v>
      </c>
      <c r="AL150" s="407">
        <v>0</v>
      </c>
      <c r="AM150" s="407"/>
      <c r="AN150" s="407">
        <v>0</v>
      </c>
      <c r="AO150" s="407">
        <v>0</v>
      </c>
      <c r="AP150" s="407">
        <v>0</v>
      </c>
      <c r="AQ150" s="407">
        <v>0</v>
      </c>
      <c r="AR150" s="407">
        <v>0</v>
      </c>
      <c r="AS150" s="407"/>
      <c r="AT150" s="407"/>
      <c r="AU150" s="407">
        <v>0</v>
      </c>
      <c r="AV150" s="407">
        <v>0</v>
      </c>
      <c r="AW150" s="407">
        <v>0</v>
      </c>
      <c r="AX150" s="407"/>
      <c r="AY150" s="407"/>
      <c r="AZ150" s="407">
        <v>0</v>
      </c>
      <c r="BA150" s="407"/>
      <c r="BB150" s="407">
        <v>0</v>
      </c>
      <c r="BC150" s="407">
        <v>0</v>
      </c>
      <c r="BD150" s="407">
        <v>0</v>
      </c>
      <c r="BE150" s="407">
        <v>0</v>
      </c>
      <c r="BF150" s="407"/>
      <c r="BG150" s="407">
        <v>0</v>
      </c>
      <c r="BH150" s="407">
        <v>0</v>
      </c>
      <c r="BI150" s="407">
        <v>92.1</v>
      </c>
      <c r="BJ150" s="407">
        <v>425.18</v>
      </c>
      <c r="BK150" s="407">
        <v>1858.44</v>
      </c>
      <c r="BL150" s="407">
        <v>2</v>
      </c>
      <c r="BM150" s="407"/>
      <c r="BN150" s="407"/>
      <c r="BO150" s="407"/>
      <c r="BP150" s="407"/>
      <c r="BQ150" s="407"/>
      <c r="BR150" s="407"/>
      <c r="BS150" s="407"/>
      <c r="BT150" s="407"/>
      <c r="BU150" s="407"/>
      <c r="BV150" s="407">
        <v>0</v>
      </c>
      <c r="BW150" s="407"/>
      <c r="BX150" s="407"/>
      <c r="BY150" s="407"/>
      <c r="BZ150" s="407"/>
      <c r="CA150" s="407"/>
      <c r="CB150" s="407"/>
      <c r="CC150" s="407"/>
      <c r="CD150" s="407"/>
      <c r="CE150" s="407"/>
      <c r="CF150" s="407"/>
      <c r="CG150" s="407"/>
      <c r="CH150" s="407"/>
      <c r="CI150" s="407">
        <v>8696.7999999999993</v>
      </c>
      <c r="CJ150" s="407">
        <v>-2380.0300000000025</v>
      </c>
      <c r="CK150" s="407"/>
      <c r="CL150" s="407"/>
      <c r="CM150" s="407"/>
      <c r="CN150" s="407"/>
      <c r="CO150" s="407">
        <v>-2380.0000000000009</v>
      </c>
      <c r="CP150" s="407">
        <v>0</v>
      </c>
      <c r="CQ150" s="407">
        <v>31</v>
      </c>
      <c r="CR150" s="407">
        <v>-193.45827291355545</v>
      </c>
      <c r="CS150" s="407">
        <v>0</v>
      </c>
      <c r="CT150" s="407">
        <v>0</v>
      </c>
      <c r="CU150" s="407">
        <v>0</v>
      </c>
      <c r="CV150" s="407">
        <v>0</v>
      </c>
      <c r="CW150" s="407"/>
      <c r="CX150" s="407"/>
      <c r="CY150" s="407"/>
      <c r="CZ150" s="407">
        <v>-193.45827291355545</v>
      </c>
      <c r="DA150" s="407">
        <v>0</v>
      </c>
      <c r="DB150" s="407">
        <v>0</v>
      </c>
      <c r="DC150" s="407"/>
      <c r="DD150" s="407"/>
      <c r="DE150" s="407">
        <v>0</v>
      </c>
      <c r="DF150" s="407">
        <v>0</v>
      </c>
      <c r="DG150" s="407">
        <v>0</v>
      </c>
      <c r="DH150" s="407">
        <v>0</v>
      </c>
      <c r="DI150" s="407">
        <v>0</v>
      </c>
      <c r="DJ150" s="407"/>
      <c r="DK150" s="407">
        <v>0</v>
      </c>
      <c r="DL150" s="407">
        <v>0</v>
      </c>
      <c r="DM150" s="407"/>
      <c r="DN150" s="407">
        <v>0</v>
      </c>
      <c r="DO150" s="407">
        <v>0</v>
      </c>
      <c r="DP150" s="407">
        <v>0</v>
      </c>
      <c r="DQ150" s="407">
        <v>0</v>
      </c>
      <c r="DR150" s="407">
        <v>0</v>
      </c>
      <c r="DS150" s="407"/>
      <c r="DT150" s="407"/>
      <c r="DU150" s="407">
        <v>7387.7809853611961</v>
      </c>
      <c r="DV150" s="407"/>
      <c r="DW150" s="407">
        <v>0</v>
      </c>
      <c r="DX150" s="407">
        <v>0</v>
      </c>
      <c r="DY150" s="407">
        <v>-2380.0000000000018</v>
      </c>
      <c r="DZ150" s="407"/>
      <c r="EA150" s="407">
        <v>0</v>
      </c>
      <c r="EB150" s="407"/>
      <c r="EC150" s="407">
        <v>-2183.944677573596</v>
      </c>
      <c r="ED150" s="407"/>
      <c r="EE150" s="407">
        <v>0</v>
      </c>
      <c r="EF150" s="407">
        <v>0</v>
      </c>
      <c r="EG150" s="407"/>
      <c r="EH150" s="407">
        <v>0</v>
      </c>
      <c r="EI150" s="407">
        <v>0</v>
      </c>
      <c r="EJ150" s="407">
        <v>0</v>
      </c>
      <c r="EK150" s="407">
        <v>0</v>
      </c>
      <c r="EL150" s="407">
        <v>0</v>
      </c>
      <c r="EM150" s="407"/>
      <c r="EN150" s="407"/>
      <c r="EO150" s="407">
        <v>0</v>
      </c>
      <c r="EP150" s="407">
        <v>0</v>
      </c>
      <c r="EQ150" s="407"/>
      <c r="ER150" s="407">
        <v>0</v>
      </c>
      <c r="ES150" s="407"/>
      <c r="ET150" s="407">
        <v>0</v>
      </c>
      <c r="EU150" s="407"/>
      <c r="EV150" s="407">
        <v>207</v>
      </c>
      <c r="EW150" s="407"/>
      <c r="EX150" s="407"/>
      <c r="EY150" s="407"/>
      <c r="EZ150" s="407"/>
      <c r="FA150" s="407">
        <v>0</v>
      </c>
      <c r="FB150" s="407"/>
      <c r="FC150" s="407"/>
      <c r="FD150" s="407"/>
      <c r="FE150" s="407"/>
      <c r="FF150" s="407">
        <v>0</v>
      </c>
      <c r="FG150" s="407">
        <v>0</v>
      </c>
      <c r="FH150" s="407">
        <v>0</v>
      </c>
      <c r="FI150" s="407">
        <v>0</v>
      </c>
    </row>
    <row r="151" spans="1:165">
      <c r="A151" s="407">
        <v>149</v>
      </c>
      <c r="B151" s="407" t="s">
        <v>1092</v>
      </c>
      <c r="C151" s="407" t="s">
        <v>2305</v>
      </c>
      <c r="D151" s="407" t="s">
        <v>2316</v>
      </c>
      <c r="E151" s="407" t="s">
        <v>1028</v>
      </c>
      <c r="F151" s="407" t="s">
        <v>96</v>
      </c>
      <c r="G151" s="407" t="s">
        <v>96</v>
      </c>
      <c r="H151" s="407" t="s">
        <v>96</v>
      </c>
      <c r="I151" s="407" t="s">
        <v>96</v>
      </c>
      <c r="J151" s="407" t="s">
        <v>2306</v>
      </c>
      <c r="K151" s="815">
        <v>44562</v>
      </c>
      <c r="L151" s="407">
        <v>0</v>
      </c>
      <c r="M151" s="407">
        <v>0</v>
      </c>
      <c r="N151" s="407">
        <v>59.033999999999999</v>
      </c>
      <c r="O151" s="407">
        <v>59.033999999999999</v>
      </c>
      <c r="P151" s="407">
        <v>59.033999999999999</v>
      </c>
      <c r="Q151" s="407">
        <v>59.033999999999999</v>
      </c>
      <c r="R151" s="407"/>
      <c r="S151" s="407">
        <v>710.52</v>
      </c>
      <c r="T151" s="407">
        <v>127.85</v>
      </c>
      <c r="U151" s="407"/>
      <c r="V151" s="407">
        <v>49492.334579999995</v>
      </c>
      <c r="W151" s="407">
        <v>49492.334579999995</v>
      </c>
      <c r="X151" s="407">
        <v>40657.306140000001</v>
      </c>
      <c r="Y151" s="407">
        <v>0</v>
      </c>
      <c r="Z151" s="407">
        <v>3605.5060747390557</v>
      </c>
      <c r="AA151" s="407">
        <v>0</v>
      </c>
      <c r="AB151" s="407">
        <v>0</v>
      </c>
      <c r="AC151" s="407">
        <v>0</v>
      </c>
      <c r="AD151" s="407">
        <v>6454.9224640503489</v>
      </c>
      <c r="AE151" s="407">
        <v>29408.80769643026</v>
      </c>
      <c r="AF151" s="407">
        <v>7547.3431872104075</v>
      </c>
      <c r="AG151" s="407">
        <v>0</v>
      </c>
      <c r="AH151" s="407">
        <v>0</v>
      </c>
      <c r="AI151" s="407">
        <v>0</v>
      </c>
      <c r="AJ151" s="407">
        <v>0</v>
      </c>
      <c r="AK151" s="407">
        <v>0</v>
      </c>
      <c r="AL151" s="407">
        <v>557.59368769360697</v>
      </c>
      <c r="AM151" s="407"/>
      <c r="AN151" s="407">
        <v>135.23292018941595</v>
      </c>
      <c r="AO151" s="407">
        <v>0</v>
      </c>
      <c r="AP151" s="407">
        <v>0</v>
      </c>
      <c r="AQ151" s="407">
        <v>0</v>
      </c>
      <c r="AR151" s="407">
        <v>0</v>
      </c>
      <c r="AS151" s="407">
        <v>0</v>
      </c>
      <c r="AT151" s="407">
        <v>0</v>
      </c>
      <c r="AU151" s="407">
        <v>0</v>
      </c>
      <c r="AV151" s="407">
        <v>0</v>
      </c>
      <c r="AW151" s="407">
        <v>0</v>
      </c>
      <c r="AX151" s="407">
        <v>0</v>
      </c>
      <c r="AY151" s="407">
        <v>0</v>
      </c>
      <c r="AZ151" s="407">
        <v>0</v>
      </c>
      <c r="BA151" s="407"/>
      <c r="BB151" s="407">
        <v>0</v>
      </c>
      <c r="BC151" s="407">
        <v>0</v>
      </c>
      <c r="BD151" s="407">
        <v>0</v>
      </c>
      <c r="BE151" s="407">
        <v>0</v>
      </c>
      <c r="BF151" s="407">
        <v>0</v>
      </c>
      <c r="BG151" s="407">
        <v>1782.7201653211037</v>
      </c>
      <c r="BH151" s="407">
        <v>0</v>
      </c>
      <c r="BI151" s="407">
        <v>163.26</v>
      </c>
      <c r="BJ151" s="407">
        <v>754.36</v>
      </c>
      <c r="BK151" s="407">
        <v>0</v>
      </c>
      <c r="BL151" s="407">
        <v>38</v>
      </c>
      <c r="BM151" s="407"/>
      <c r="BN151" s="407"/>
      <c r="BO151" s="407"/>
      <c r="BP151" s="407"/>
      <c r="BQ151" s="407"/>
      <c r="BR151" s="407">
        <v>4878.569760000004</v>
      </c>
      <c r="BS151" s="407"/>
      <c r="BT151" s="407"/>
      <c r="BU151" s="407"/>
      <c r="BV151" s="407">
        <v>9330.0633525315116</v>
      </c>
      <c r="BW151" s="407"/>
      <c r="BX151" s="407"/>
      <c r="BY151" s="407"/>
      <c r="BZ151" s="407"/>
      <c r="CA151" s="407"/>
      <c r="CB151" s="407"/>
      <c r="CC151" s="407"/>
      <c r="CD151" s="407"/>
      <c r="CE151" s="407"/>
      <c r="CF151" s="407"/>
      <c r="CG151" s="407"/>
      <c r="CH151" s="407"/>
      <c r="CI151" s="407">
        <v>35776.312100000003</v>
      </c>
      <c r="CJ151" s="407">
        <v>-7777.2320800000016</v>
      </c>
      <c r="CK151" s="407"/>
      <c r="CL151" s="407"/>
      <c r="CM151" s="407"/>
      <c r="CN151" s="407"/>
      <c r="CO151" s="407">
        <v>-9072.3451199999963</v>
      </c>
      <c r="CP151" s="407">
        <v>237.31668000000059</v>
      </c>
      <c r="CQ151" s="407">
        <v>31</v>
      </c>
      <c r="CR151" s="407">
        <v>-140.91547309828456</v>
      </c>
      <c r="CS151" s="407">
        <v>0</v>
      </c>
      <c r="CT151" s="407">
        <v>0</v>
      </c>
      <c r="CU151" s="407">
        <v>0</v>
      </c>
      <c r="CV151" s="407">
        <v>0</v>
      </c>
      <c r="CW151" s="407">
        <v>0</v>
      </c>
      <c r="CX151" s="407">
        <v>0</v>
      </c>
      <c r="CY151" s="407">
        <v>0</v>
      </c>
      <c r="CZ151" s="407">
        <v>-338.62984933967709</v>
      </c>
      <c r="DA151" s="407">
        <v>0</v>
      </c>
      <c r="DB151" s="407">
        <v>0</v>
      </c>
      <c r="DC151" s="407">
        <v>237.48630172665162</v>
      </c>
      <c r="DD151" s="407">
        <v>0</v>
      </c>
      <c r="DE151" s="407">
        <v>0</v>
      </c>
      <c r="DF151" s="407">
        <v>0</v>
      </c>
      <c r="DG151" s="407">
        <v>56.095450885693026</v>
      </c>
      <c r="DH151" s="407">
        <v>0</v>
      </c>
      <c r="DI151" s="407">
        <v>-82.109824168138402</v>
      </c>
      <c r="DJ151" s="407"/>
      <c r="DK151" s="407">
        <v>0</v>
      </c>
      <c r="DL151" s="407">
        <v>0</v>
      </c>
      <c r="DM151" s="407">
        <v>0</v>
      </c>
      <c r="DN151" s="407">
        <v>0</v>
      </c>
      <c r="DO151" s="407">
        <v>-10.640020840423517</v>
      </c>
      <c r="DP151" s="407">
        <v>-3.1175313623913041</v>
      </c>
      <c r="DQ151" s="407">
        <v>0</v>
      </c>
      <c r="DR151" s="407">
        <v>0</v>
      </c>
      <c r="DS151" s="407"/>
      <c r="DT151" s="407"/>
      <c r="DU151" s="407"/>
      <c r="DV151" s="407">
        <v>29408.80769643026</v>
      </c>
      <c r="DW151" s="407">
        <v>0</v>
      </c>
      <c r="DX151" s="407">
        <v>0</v>
      </c>
      <c r="DY151" s="407">
        <v>-9072.3451199999981</v>
      </c>
      <c r="DZ151" s="407">
        <v>237.31668000000082</v>
      </c>
      <c r="EA151" s="407">
        <v>0</v>
      </c>
      <c r="EB151" s="407">
        <v>0</v>
      </c>
      <c r="EC151" s="407">
        <v>-8693.7077817641803</v>
      </c>
      <c r="ED151" s="407">
        <v>0</v>
      </c>
      <c r="EE151" s="407">
        <v>0</v>
      </c>
      <c r="EF151" s="407">
        <v>0</v>
      </c>
      <c r="EG151" s="407">
        <v>0</v>
      </c>
      <c r="EH151" s="407">
        <v>0</v>
      </c>
      <c r="EI151" s="407">
        <v>0</v>
      </c>
      <c r="EJ151" s="407">
        <v>0</v>
      </c>
      <c r="EK151" s="407">
        <v>0</v>
      </c>
      <c r="EL151" s="407">
        <v>0</v>
      </c>
      <c r="EM151" s="407">
        <v>0</v>
      </c>
      <c r="EN151" s="407">
        <v>0</v>
      </c>
      <c r="EO151" s="407">
        <v>0</v>
      </c>
      <c r="EP151" s="407">
        <v>0</v>
      </c>
      <c r="EQ151" s="407">
        <v>0</v>
      </c>
      <c r="ER151" s="407">
        <v>0</v>
      </c>
      <c r="ES151" s="407">
        <v>0</v>
      </c>
      <c r="ET151" s="407">
        <v>0</v>
      </c>
      <c r="EU151" s="407">
        <v>0</v>
      </c>
      <c r="EV151" s="407">
        <v>207</v>
      </c>
      <c r="EW151" s="407">
        <v>0</v>
      </c>
      <c r="EX151" s="407">
        <v>0</v>
      </c>
      <c r="EY151" s="407">
        <v>0</v>
      </c>
      <c r="EZ151" s="407"/>
      <c r="FA151" s="407">
        <v>0</v>
      </c>
      <c r="FB151" s="407"/>
      <c r="FC151" s="407"/>
      <c r="FD151" s="407"/>
      <c r="FE151" s="407"/>
      <c r="FF151" s="407">
        <v>0</v>
      </c>
      <c r="FG151" s="407">
        <v>0</v>
      </c>
      <c r="FH151" s="407">
        <v>0</v>
      </c>
      <c r="FI151" s="407">
        <v>0</v>
      </c>
    </row>
    <row r="152" spans="1:165">
      <c r="A152" s="407">
        <v>150</v>
      </c>
      <c r="B152" s="407" t="s">
        <v>1092</v>
      </c>
      <c r="C152" s="407" t="s">
        <v>2305</v>
      </c>
      <c r="D152" s="407" t="s">
        <v>1221</v>
      </c>
      <c r="E152" s="407" t="s">
        <v>2317</v>
      </c>
      <c r="F152" s="407" t="s">
        <v>96</v>
      </c>
      <c r="G152" s="407" t="s">
        <v>96</v>
      </c>
      <c r="H152" s="407" t="s">
        <v>96</v>
      </c>
      <c r="I152" s="407" t="s">
        <v>96</v>
      </c>
      <c r="J152" s="407" t="s">
        <v>2306</v>
      </c>
      <c r="K152" s="815">
        <v>44562</v>
      </c>
      <c r="L152" s="407">
        <v>0</v>
      </c>
      <c r="M152" s="407">
        <v>0</v>
      </c>
      <c r="N152" s="407">
        <v>7.01</v>
      </c>
      <c r="O152" s="407">
        <v>7.01</v>
      </c>
      <c r="P152" s="407">
        <v>7.01</v>
      </c>
      <c r="Q152" s="407">
        <v>7.01</v>
      </c>
      <c r="R152" s="407"/>
      <c r="S152" s="407">
        <v>710.52</v>
      </c>
      <c r="T152" s="407">
        <v>127.85</v>
      </c>
      <c r="U152" s="407"/>
      <c r="V152" s="407">
        <v>5876.9736999999996</v>
      </c>
      <c r="W152" s="407">
        <v>5876.9736999999996</v>
      </c>
      <c r="X152" s="407">
        <v>4827.8571000000002</v>
      </c>
      <c r="Y152" s="407">
        <v>0</v>
      </c>
      <c r="Z152" s="407">
        <v>428.13628729072707</v>
      </c>
      <c r="AA152" s="407">
        <v>0</v>
      </c>
      <c r="AB152" s="407">
        <v>0</v>
      </c>
      <c r="AC152" s="407">
        <v>0</v>
      </c>
      <c r="AD152" s="407">
        <v>766.49060665028537</v>
      </c>
      <c r="AE152" s="407">
        <v>3492.1526908557121</v>
      </c>
      <c r="AF152" s="407">
        <v>896.21024735482865</v>
      </c>
      <c r="AG152" s="407">
        <v>0</v>
      </c>
      <c r="AH152" s="407">
        <v>0</v>
      </c>
      <c r="AI152" s="407">
        <v>0</v>
      </c>
      <c r="AJ152" s="407">
        <v>0</v>
      </c>
      <c r="AK152" s="407">
        <v>0</v>
      </c>
      <c r="AL152" s="407">
        <v>66.211534890608547</v>
      </c>
      <c r="AM152" s="407"/>
      <c r="AN152" s="407">
        <v>16.058250678046647</v>
      </c>
      <c r="AO152" s="407">
        <v>0</v>
      </c>
      <c r="AP152" s="407">
        <v>0</v>
      </c>
      <c r="AQ152" s="407">
        <v>0</v>
      </c>
      <c r="AR152" s="407">
        <v>0</v>
      </c>
      <c r="AS152" s="407">
        <v>0</v>
      </c>
      <c r="AT152" s="407">
        <v>0</v>
      </c>
      <c r="AU152" s="407">
        <v>0</v>
      </c>
      <c r="AV152" s="407">
        <v>0</v>
      </c>
      <c r="AW152" s="407">
        <v>0</v>
      </c>
      <c r="AX152" s="407">
        <v>0</v>
      </c>
      <c r="AY152" s="407">
        <v>0</v>
      </c>
      <c r="AZ152" s="407">
        <v>0</v>
      </c>
      <c r="BA152" s="407"/>
      <c r="BB152" s="407">
        <v>0</v>
      </c>
      <c r="BC152" s="407">
        <v>0</v>
      </c>
      <c r="BD152" s="407">
        <v>0</v>
      </c>
      <c r="BE152" s="407">
        <v>0</v>
      </c>
      <c r="BF152" s="407">
        <v>0</v>
      </c>
      <c r="BG152" s="407">
        <v>211.68933765119993</v>
      </c>
      <c r="BH152" s="407">
        <v>0</v>
      </c>
      <c r="BI152" s="407">
        <v>15.97</v>
      </c>
      <c r="BJ152" s="407">
        <v>74.14</v>
      </c>
      <c r="BK152" s="407">
        <v>1297.92</v>
      </c>
      <c r="BL152" s="407">
        <v>18</v>
      </c>
      <c r="BM152" s="407"/>
      <c r="BN152" s="407"/>
      <c r="BO152" s="407"/>
      <c r="BP152" s="407"/>
      <c r="BQ152" s="407"/>
      <c r="BR152" s="407"/>
      <c r="BS152" s="407"/>
      <c r="BT152" s="407"/>
      <c r="BU152" s="407"/>
      <c r="BV152" s="407">
        <v>1107.8995850060287</v>
      </c>
      <c r="BW152" s="407"/>
      <c r="BX152" s="407"/>
      <c r="BY152" s="407"/>
      <c r="BZ152" s="407"/>
      <c r="CA152" s="407"/>
      <c r="CB152" s="407"/>
      <c r="CC152" s="407"/>
      <c r="CD152" s="407"/>
      <c r="CE152" s="407"/>
      <c r="CF152" s="407"/>
      <c r="CG152" s="407"/>
      <c r="CH152" s="407"/>
      <c r="CI152" s="407">
        <v>4827.8571000000002</v>
      </c>
      <c r="CJ152" s="407">
        <v>-1049.1466</v>
      </c>
      <c r="CK152" s="407"/>
      <c r="CL152" s="407"/>
      <c r="CM152" s="407"/>
      <c r="CN152" s="407"/>
      <c r="CO152" s="407">
        <v>-1077.2967999999996</v>
      </c>
      <c r="CP152" s="407">
        <v>28.18020000000007</v>
      </c>
      <c r="CQ152" s="407">
        <v>31</v>
      </c>
      <c r="CR152" s="407">
        <v>-16.733026161517046</v>
      </c>
      <c r="CS152" s="407">
        <v>0</v>
      </c>
      <c r="CT152" s="407">
        <v>0</v>
      </c>
      <c r="CU152" s="407">
        <v>0</v>
      </c>
      <c r="CV152" s="407">
        <v>0</v>
      </c>
      <c r="CW152" s="407">
        <v>0</v>
      </c>
      <c r="CX152" s="407">
        <v>0</v>
      </c>
      <c r="CY152" s="407">
        <v>0</v>
      </c>
      <c r="CZ152" s="407">
        <v>-40.210645456366478</v>
      </c>
      <c r="DA152" s="407">
        <v>0</v>
      </c>
      <c r="DB152" s="407">
        <v>0</v>
      </c>
      <c r="DC152" s="407">
        <v>28.200341753969383</v>
      </c>
      <c r="DD152" s="407">
        <v>0</v>
      </c>
      <c r="DE152" s="407">
        <v>0</v>
      </c>
      <c r="DF152" s="407">
        <v>0</v>
      </c>
      <c r="DG152" s="407">
        <v>6.6610616036302304</v>
      </c>
      <c r="DH152" s="407">
        <v>0</v>
      </c>
      <c r="DI152" s="407">
        <v>-9.7501417389750031</v>
      </c>
      <c r="DJ152" s="407"/>
      <c r="DK152" s="407">
        <v>0</v>
      </c>
      <c r="DL152" s="407">
        <v>0</v>
      </c>
      <c r="DM152" s="407">
        <v>0</v>
      </c>
      <c r="DN152" s="407">
        <v>0</v>
      </c>
      <c r="DO152" s="407">
        <v>-1.2634506571021547</v>
      </c>
      <c r="DP152" s="407">
        <v>-0.37019166667281489</v>
      </c>
      <c r="DQ152" s="407">
        <v>0</v>
      </c>
      <c r="DR152" s="407">
        <v>0</v>
      </c>
      <c r="DS152" s="407"/>
      <c r="DT152" s="407"/>
      <c r="DU152" s="407"/>
      <c r="DV152" s="407">
        <v>3492.1526908557121</v>
      </c>
      <c r="DW152" s="407">
        <v>0</v>
      </c>
      <c r="DX152" s="407">
        <v>0</v>
      </c>
      <c r="DY152" s="407">
        <v>-1077.2967999999992</v>
      </c>
      <c r="DZ152" s="407">
        <v>28.180200000000013</v>
      </c>
      <c r="EA152" s="407">
        <v>0</v>
      </c>
      <c r="EB152" s="407">
        <v>0</v>
      </c>
      <c r="EC152" s="407">
        <v>-1032.3354600766829</v>
      </c>
      <c r="ED152" s="407">
        <v>0</v>
      </c>
      <c r="EE152" s="407">
        <v>0</v>
      </c>
      <c r="EF152" s="407">
        <v>0</v>
      </c>
      <c r="EG152" s="407">
        <v>0</v>
      </c>
      <c r="EH152" s="407">
        <v>0</v>
      </c>
      <c r="EI152" s="407">
        <v>0</v>
      </c>
      <c r="EJ152" s="407">
        <v>0</v>
      </c>
      <c r="EK152" s="407">
        <v>0</v>
      </c>
      <c r="EL152" s="407">
        <v>0</v>
      </c>
      <c r="EM152" s="407">
        <v>0</v>
      </c>
      <c r="EN152" s="407">
        <v>0</v>
      </c>
      <c r="EO152" s="407">
        <v>0</v>
      </c>
      <c r="EP152" s="407">
        <v>0</v>
      </c>
      <c r="EQ152" s="407">
        <v>0</v>
      </c>
      <c r="ER152" s="407">
        <v>0</v>
      </c>
      <c r="ES152" s="407">
        <v>0</v>
      </c>
      <c r="ET152" s="407">
        <v>0</v>
      </c>
      <c r="EU152" s="407">
        <v>0</v>
      </c>
      <c r="EV152" s="407">
        <v>207</v>
      </c>
      <c r="EW152" s="407">
        <v>0</v>
      </c>
      <c r="EX152" s="407">
        <v>0</v>
      </c>
      <c r="EY152" s="407">
        <v>0</v>
      </c>
      <c r="EZ152" s="407"/>
      <c r="FA152" s="407">
        <v>0</v>
      </c>
      <c r="FB152" s="407"/>
      <c r="FC152" s="407"/>
      <c r="FD152" s="407"/>
      <c r="FE152" s="407"/>
      <c r="FF152" s="407">
        <v>0</v>
      </c>
      <c r="FG152" s="407">
        <v>0</v>
      </c>
      <c r="FH152" s="407">
        <v>0</v>
      </c>
      <c r="FI152" s="407">
        <v>0</v>
      </c>
    </row>
    <row r="153" spans="1:165">
      <c r="A153" s="407">
        <v>151</v>
      </c>
      <c r="B153" s="407" t="s">
        <v>1092</v>
      </c>
      <c r="C153" s="407" t="s">
        <v>2305</v>
      </c>
      <c r="D153" s="407" t="s">
        <v>2318</v>
      </c>
      <c r="E153" s="407" t="s">
        <v>2319</v>
      </c>
      <c r="F153" s="407" t="s">
        <v>2320</v>
      </c>
      <c r="G153" s="407" t="s">
        <v>96</v>
      </c>
      <c r="H153" s="407" t="s">
        <v>96</v>
      </c>
      <c r="I153" s="407" t="s">
        <v>96</v>
      </c>
      <c r="J153" s="407" t="s">
        <v>2306</v>
      </c>
      <c r="K153" s="815">
        <v>44562</v>
      </c>
      <c r="L153" s="407">
        <v>0</v>
      </c>
      <c r="M153" s="407">
        <v>0</v>
      </c>
      <c r="N153" s="407">
        <v>41.988</v>
      </c>
      <c r="O153" s="407">
        <v>41.988</v>
      </c>
      <c r="P153" s="407">
        <v>41.988</v>
      </c>
      <c r="Q153" s="407">
        <v>41.988</v>
      </c>
      <c r="R153" s="407"/>
      <c r="S153" s="407">
        <v>390.79</v>
      </c>
      <c r="T153" s="407">
        <v>70.319999999999993</v>
      </c>
      <c r="U153" s="407"/>
      <c r="V153" s="407">
        <v>19361.08668</v>
      </c>
      <c r="W153" s="407">
        <v>19361.08668</v>
      </c>
      <c r="X153" s="407">
        <v>15904.63452</v>
      </c>
      <c r="Y153" s="407">
        <v>0</v>
      </c>
      <c r="Z153" s="407">
        <v>1410.4311750242061</v>
      </c>
      <c r="AA153" s="407">
        <v>0</v>
      </c>
      <c r="AB153" s="407">
        <v>0</v>
      </c>
      <c r="AC153" s="407">
        <v>0</v>
      </c>
      <c r="AD153" s="407">
        <v>2525.0890407443185</v>
      </c>
      <c r="AE153" s="407">
        <v>11504.376455207886</v>
      </c>
      <c r="AF153" s="407">
        <v>2952.4310593814571</v>
      </c>
      <c r="AG153" s="407">
        <v>0</v>
      </c>
      <c r="AH153" s="407">
        <v>0</v>
      </c>
      <c r="AI153" s="407">
        <v>0</v>
      </c>
      <c r="AJ153" s="407">
        <v>0</v>
      </c>
      <c r="AK153" s="407">
        <v>0</v>
      </c>
      <c r="AL153" s="407">
        <v>218.12403136130945</v>
      </c>
      <c r="AM153" s="407"/>
      <c r="AN153" s="407">
        <v>52.901513011184541</v>
      </c>
      <c r="AO153" s="407">
        <v>0</v>
      </c>
      <c r="AP153" s="407">
        <v>0</v>
      </c>
      <c r="AQ153" s="407">
        <v>0</v>
      </c>
      <c r="AR153" s="407">
        <v>0</v>
      </c>
      <c r="AS153" s="407">
        <v>0</v>
      </c>
      <c r="AT153" s="407">
        <v>0</v>
      </c>
      <c r="AU153" s="407">
        <v>0</v>
      </c>
      <c r="AV153" s="407">
        <v>0</v>
      </c>
      <c r="AW153" s="407">
        <v>0</v>
      </c>
      <c r="AX153" s="407">
        <v>0</v>
      </c>
      <c r="AY153" s="407">
        <v>0</v>
      </c>
      <c r="AZ153" s="407">
        <v>0</v>
      </c>
      <c r="BA153" s="407"/>
      <c r="BB153" s="407">
        <v>0</v>
      </c>
      <c r="BC153" s="407">
        <v>0</v>
      </c>
      <c r="BD153" s="407">
        <v>0</v>
      </c>
      <c r="BE153" s="407">
        <v>0</v>
      </c>
      <c r="BF153" s="407">
        <v>0</v>
      </c>
      <c r="BG153" s="407">
        <v>697.37896577949164</v>
      </c>
      <c r="BH153" s="407">
        <v>0</v>
      </c>
      <c r="BI153" s="407">
        <v>60.16</v>
      </c>
      <c r="BJ153" s="407">
        <v>278.37</v>
      </c>
      <c r="BK153" s="407">
        <v>4874.05</v>
      </c>
      <c r="BL153" s="407">
        <v>36</v>
      </c>
      <c r="BM153" s="407"/>
      <c r="BN153" s="407"/>
      <c r="BO153" s="407"/>
      <c r="BP153" s="407"/>
      <c r="BQ153" s="407"/>
      <c r="BR153" s="407"/>
      <c r="BS153" s="407"/>
      <c r="BT153" s="407"/>
      <c r="BU153" s="407"/>
      <c r="BV153" s="407">
        <v>3649.8100251609485</v>
      </c>
      <c r="BW153" s="407"/>
      <c r="BX153" s="407"/>
      <c r="BY153" s="407"/>
      <c r="BZ153" s="407"/>
      <c r="CA153" s="407"/>
      <c r="CB153" s="407"/>
      <c r="CC153" s="407"/>
      <c r="CD153" s="407"/>
      <c r="CE153" s="407"/>
      <c r="CF153" s="407"/>
      <c r="CG153" s="407"/>
      <c r="CH153" s="407"/>
      <c r="CI153" s="407">
        <v>15905.392100000001</v>
      </c>
      <c r="CJ153" s="407">
        <v>-3455.7245799999946</v>
      </c>
      <c r="CK153" s="407"/>
      <c r="CL153" s="407"/>
      <c r="CM153" s="407"/>
      <c r="CN153" s="407"/>
      <c r="CO153" s="407">
        <v>-3549.245640000001</v>
      </c>
      <c r="CP153" s="407">
        <v>92.793480000000329</v>
      </c>
      <c r="CQ153" s="407">
        <v>31</v>
      </c>
      <c r="CR153" s="407">
        <v>-55.124460250847733</v>
      </c>
      <c r="CS153" s="407">
        <v>0</v>
      </c>
      <c r="CT153" s="407">
        <v>0</v>
      </c>
      <c r="CU153" s="407">
        <v>0</v>
      </c>
      <c r="CV153" s="407">
        <v>0</v>
      </c>
      <c r="CW153" s="407">
        <v>0</v>
      </c>
      <c r="CX153" s="407">
        <v>0</v>
      </c>
      <c r="CY153" s="407">
        <v>0</v>
      </c>
      <c r="CZ153" s="407">
        <v>-132.46797714437344</v>
      </c>
      <c r="DA153" s="407">
        <v>0</v>
      </c>
      <c r="DB153" s="407">
        <v>0</v>
      </c>
      <c r="DC153" s="407">
        <v>92.901822005865142</v>
      </c>
      <c r="DD153" s="407">
        <v>0</v>
      </c>
      <c r="DE153" s="407">
        <v>0</v>
      </c>
      <c r="DF153" s="407">
        <v>0</v>
      </c>
      <c r="DG153" s="407">
        <v>21.943874470363198</v>
      </c>
      <c r="DH153" s="407">
        <v>0</v>
      </c>
      <c r="DI153" s="407">
        <v>-32.120388478583664</v>
      </c>
      <c r="DJ153" s="407"/>
      <c r="DK153" s="407">
        <v>0</v>
      </c>
      <c r="DL153" s="407">
        <v>0</v>
      </c>
      <c r="DM153" s="407">
        <v>0</v>
      </c>
      <c r="DN153" s="407">
        <v>0</v>
      </c>
      <c r="DO153" s="407">
        <v>-4.1622498437552338</v>
      </c>
      <c r="DP153" s="407">
        <v>-1.2195412603625968</v>
      </c>
      <c r="DQ153" s="407">
        <v>0</v>
      </c>
      <c r="DR153" s="407">
        <v>0</v>
      </c>
      <c r="DS153" s="407"/>
      <c r="DT153" s="407"/>
      <c r="DU153" s="407"/>
      <c r="DV153" s="407">
        <v>11504.376455207886</v>
      </c>
      <c r="DW153" s="407">
        <v>0</v>
      </c>
      <c r="DX153" s="407">
        <v>0</v>
      </c>
      <c r="DY153" s="407">
        <v>-3549.2456399999992</v>
      </c>
      <c r="DZ153" s="407">
        <v>92.793480000000272</v>
      </c>
      <c r="EA153" s="407">
        <v>0</v>
      </c>
      <c r="EB153" s="407">
        <v>0</v>
      </c>
      <c r="EC153" s="407">
        <v>-3400.8752801333821</v>
      </c>
      <c r="ED153" s="407">
        <v>0</v>
      </c>
      <c r="EE153" s="407">
        <v>0</v>
      </c>
      <c r="EF153" s="407">
        <v>0</v>
      </c>
      <c r="EG153" s="407">
        <v>0</v>
      </c>
      <c r="EH153" s="407">
        <v>0</v>
      </c>
      <c r="EI153" s="407">
        <v>0</v>
      </c>
      <c r="EJ153" s="407">
        <v>0</v>
      </c>
      <c r="EK153" s="407">
        <v>0</v>
      </c>
      <c r="EL153" s="407">
        <v>0</v>
      </c>
      <c r="EM153" s="407">
        <v>0</v>
      </c>
      <c r="EN153" s="407">
        <v>0</v>
      </c>
      <c r="EO153" s="407">
        <v>0</v>
      </c>
      <c r="EP153" s="407">
        <v>0</v>
      </c>
      <c r="EQ153" s="407">
        <v>0</v>
      </c>
      <c r="ER153" s="407">
        <v>0</v>
      </c>
      <c r="ES153" s="407">
        <v>0</v>
      </c>
      <c r="ET153" s="407">
        <v>0</v>
      </c>
      <c r="EU153" s="407">
        <v>0</v>
      </c>
      <c r="EV153" s="407">
        <v>207</v>
      </c>
      <c r="EW153" s="407">
        <v>0</v>
      </c>
      <c r="EX153" s="407">
        <v>0</v>
      </c>
      <c r="EY153" s="407">
        <v>0</v>
      </c>
      <c r="EZ153" s="407"/>
      <c r="FA153" s="407">
        <v>0</v>
      </c>
      <c r="FB153" s="407"/>
      <c r="FC153" s="407"/>
      <c r="FD153" s="407"/>
      <c r="FE153" s="407"/>
      <c r="FF153" s="407">
        <v>0</v>
      </c>
      <c r="FG153" s="407">
        <v>0</v>
      </c>
      <c r="FH153" s="407">
        <v>0</v>
      </c>
      <c r="FI153" s="407">
        <v>0</v>
      </c>
    </row>
    <row r="154" spans="1:165">
      <c r="A154" s="407">
        <v>152</v>
      </c>
      <c r="B154" s="407" t="s">
        <v>1092</v>
      </c>
      <c r="C154" s="407" t="s">
        <v>2305</v>
      </c>
      <c r="D154" s="407" t="s">
        <v>1221</v>
      </c>
      <c r="E154" s="407" t="s">
        <v>1054</v>
      </c>
      <c r="F154" s="407" t="s">
        <v>2321</v>
      </c>
      <c r="G154" s="407" t="s">
        <v>96</v>
      </c>
      <c r="H154" s="407" t="s">
        <v>96</v>
      </c>
      <c r="I154" s="407" t="s">
        <v>96</v>
      </c>
      <c r="J154" s="407" t="s">
        <v>2306</v>
      </c>
      <c r="K154" s="815">
        <v>44562</v>
      </c>
      <c r="L154" s="407">
        <v>0</v>
      </c>
      <c r="M154" s="407">
        <v>0</v>
      </c>
      <c r="N154" s="407">
        <v>7.6</v>
      </c>
      <c r="O154" s="407">
        <v>7.1440000000000001</v>
      </c>
      <c r="P154" s="407">
        <v>7.6</v>
      </c>
      <c r="Q154" s="407">
        <v>7.1440000000000001</v>
      </c>
      <c r="R154" s="407"/>
      <c r="S154" s="407">
        <v>710.52</v>
      </c>
      <c r="T154" s="407">
        <v>127.85</v>
      </c>
      <c r="U154" s="407"/>
      <c r="V154" s="407">
        <v>6371.6119999999992</v>
      </c>
      <c r="W154" s="407">
        <v>6371.6119999999992</v>
      </c>
      <c r="X154" s="407">
        <v>5234.1959999999999</v>
      </c>
      <c r="Y154" s="407">
        <v>0</v>
      </c>
      <c r="Z154" s="407">
        <v>464.17058251205782</v>
      </c>
      <c r="AA154" s="407">
        <v>0</v>
      </c>
      <c r="AB154" s="407">
        <v>0</v>
      </c>
      <c r="AC154" s="407">
        <v>0</v>
      </c>
      <c r="AD154" s="407">
        <v>831.00265485622947</v>
      </c>
      <c r="AE154" s="407">
        <v>3786.0713909419987</v>
      </c>
      <c r="AF154" s="407">
        <v>971.64021111222507</v>
      </c>
      <c r="AG154" s="407">
        <v>0</v>
      </c>
      <c r="AH154" s="407">
        <v>0</v>
      </c>
      <c r="AI154" s="407">
        <v>0</v>
      </c>
      <c r="AJ154" s="407">
        <v>0</v>
      </c>
      <c r="AK154" s="407">
        <v>0</v>
      </c>
      <c r="AL154" s="407">
        <v>71.784260366422956</v>
      </c>
      <c r="AM154" s="407"/>
      <c r="AN154" s="407">
        <v>17.409801020421472</v>
      </c>
      <c r="AO154" s="407">
        <v>0</v>
      </c>
      <c r="AP154" s="407">
        <v>0</v>
      </c>
      <c r="AQ154" s="407">
        <v>0</v>
      </c>
      <c r="AR154" s="407">
        <v>0</v>
      </c>
      <c r="AS154" s="407">
        <v>0</v>
      </c>
      <c r="AT154" s="407">
        <v>0</v>
      </c>
      <c r="AU154" s="407">
        <v>0</v>
      </c>
      <c r="AV154" s="407">
        <v>0</v>
      </c>
      <c r="AW154" s="407">
        <v>0</v>
      </c>
      <c r="AX154" s="407">
        <v>0</v>
      </c>
      <c r="AY154" s="407">
        <v>0</v>
      </c>
      <c r="AZ154" s="407">
        <v>0</v>
      </c>
      <c r="BA154" s="407"/>
      <c r="BB154" s="407">
        <v>0</v>
      </c>
      <c r="BC154" s="407">
        <v>0</v>
      </c>
      <c r="BD154" s="407">
        <v>0</v>
      </c>
      <c r="BE154" s="407">
        <v>0</v>
      </c>
      <c r="BF154" s="407">
        <v>0</v>
      </c>
      <c r="BG154" s="407">
        <v>229.50627191856196</v>
      </c>
      <c r="BH154" s="407">
        <v>0</v>
      </c>
      <c r="BI154" s="407">
        <v>42.59</v>
      </c>
      <c r="BJ154" s="407">
        <v>196.57</v>
      </c>
      <c r="BK154" s="407">
        <v>1369.43</v>
      </c>
      <c r="BL154" s="407">
        <v>1</v>
      </c>
      <c r="BM154" s="407"/>
      <c r="BN154" s="407"/>
      <c r="BO154" s="407"/>
      <c r="BP154" s="407"/>
      <c r="BQ154" s="407">
        <v>314.05175999999966</v>
      </c>
      <c r="BR154" s="407"/>
      <c r="BS154" s="407"/>
      <c r="BT154" s="407"/>
      <c r="BU154" s="407"/>
      <c r="BV154" s="407">
        <v>1201.1464830307871</v>
      </c>
      <c r="BW154" s="407"/>
      <c r="BX154" s="407"/>
      <c r="BY154" s="407"/>
      <c r="BZ154" s="407"/>
      <c r="CA154" s="407"/>
      <c r="CB154" s="407"/>
      <c r="CC154" s="407"/>
      <c r="CD154" s="407"/>
      <c r="CE154" s="407"/>
      <c r="CF154" s="407"/>
      <c r="CG154" s="407"/>
      <c r="CH154" s="407"/>
      <c r="CI154" s="407">
        <v>4917.3894</v>
      </c>
      <c r="CJ154" s="407">
        <v>-1071.9558800000013</v>
      </c>
      <c r="CK154" s="407"/>
      <c r="CL154" s="407"/>
      <c r="CM154" s="407"/>
      <c r="CN154" s="407"/>
      <c r="CO154" s="407">
        <v>-1167.9679999999996</v>
      </c>
      <c r="CP154" s="407">
        <v>30.552000000000078</v>
      </c>
      <c r="CQ154" s="407">
        <v>31</v>
      </c>
      <c r="CR154" s="407">
        <v>-18.141369304925774</v>
      </c>
      <c r="CS154" s="407">
        <v>0</v>
      </c>
      <c r="CT154" s="407">
        <v>0</v>
      </c>
      <c r="CU154" s="407">
        <v>0</v>
      </c>
      <c r="CV154" s="407">
        <v>0</v>
      </c>
      <c r="CW154" s="407">
        <v>0</v>
      </c>
      <c r="CX154" s="407">
        <v>0</v>
      </c>
      <c r="CY154" s="407">
        <v>0</v>
      </c>
      <c r="CZ154" s="407">
        <v>-43.59499364741589</v>
      </c>
      <c r="DA154" s="407">
        <v>0</v>
      </c>
      <c r="DB154" s="407">
        <v>0</v>
      </c>
      <c r="DC154" s="407">
        <v>30.57383699431773</v>
      </c>
      <c r="DD154" s="407">
        <v>0</v>
      </c>
      <c r="DE154" s="407">
        <v>0</v>
      </c>
      <c r="DF154" s="407">
        <v>0</v>
      </c>
      <c r="DG154" s="407">
        <v>7.2216930367460748</v>
      </c>
      <c r="DH154" s="407">
        <v>0</v>
      </c>
      <c r="DI154" s="407">
        <v>-10.570767077918674</v>
      </c>
      <c r="DJ154" s="407"/>
      <c r="DK154" s="407">
        <v>0</v>
      </c>
      <c r="DL154" s="407">
        <v>0</v>
      </c>
      <c r="DM154" s="407">
        <v>0</v>
      </c>
      <c r="DN154" s="407">
        <v>0</v>
      </c>
      <c r="DO154" s="407">
        <v>-1.3697895854459858</v>
      </c>
      <c r="DP154" s="407">
        <v>-0.40134902520875926</v>
      </c>
      <c r="DQ154" s="407">
        <v>0</v>
      </c>
      <c r="DR154" s="407">
        <v>0</v>
      </c>
      <c r="DS154" s="407"/>
      <c r="DT154" s="407"/>
      <c r="DU154" s="407"/>
      <c r="DV154" s="407">
        <v>3786.0713909419987</v>
      </c>
      <c r="DW154" s="407">
        <v>0</v>
      </c>
      <c r="DX154" s="407">
        <v>0</v>
      </c>
      <c r="DY154" s="407">
        <v>-1167.9679999999989</v>
      </c>
      <c r="DZ154" s="407">
        <v>30.552000000000021</v>
      </c>
      <c r="EA154" s="407">
        <v>0</v>
      </c>
      <c r="EB154" s="407">
        <v>0</v>
      </c>
      <c r="EC154" s="407">
        <v>-1119.2224674155191</v>
      </c>
      <c r="ED154" s="407">
        <v>0</v>
      </c>
      <c r="EE154" s="407">
        <v>0</v>
      </c>
      <c r="EF154" s="407">
        <v>0</v>
      </c>
      <c r="EG154" s="407">
        <v>0</v>
      </c>
      <c r="EH154" s="407">
        <v>0</v>
      </c>
      <c r="EI154" s="407">
        <v>0</v>
      </c>
      <c r="EJ154" s="407">
        <v>0</v>
      </c>
      <c r="EK154" s="407">
        <v>0</v>
      </c>
      <c r="EL154" s="407">
        <v>0</v>
      </c>
      <c r="EM154" s="407">
        <v>0</v>
      </c>
      <c r="EN154" s="407">
        <v>0</v>
      </c>
      <c r="EO154" s="407">
        <v>0</v>
      </c>
      <c r="EP154" s="407">
        <v>0</v>
      </c>
      <c r="EQ154" s="407">
        <v>0</v>
      </c>
      <c r="ER154" s="407">
        <v>0</v>
      </c>
      <c r="ES154" s="407">
        <v>0</v>
      </c>
      <c r="ET154" s="407">
        <v>0</v>
      </c>
      <c r="EU154" s="407">
        <v>0</v>
      </c>
      <c r="EV154" s="407">
        <v>207</v>
      </c>
      <c r="EW154" s="407">
        <v>0</v>
      </c>
      <c r="EX154" s="407">
        <v>0</v>
      </c>
      <c r="EY154" s="407">
        <v>0</v>
      </c>
      <c r="EZ154" s="407"/>
      <c r="FA154" s="407">
        <v>0</v>
      </c>
      <c r="FB154" s="407"/>
      <c r="FC154" s="407"/>
      <c r="FD154" s="407"/>
      <c r="FE154" s="407"/>
      <c r="FF154" s="407">
        <v>0</v>
      </c>
      <c r="FG154" s="407">
        <v>0</v>
      </c>
      <c r="FH154" s="407">
        <v>0</v>
      </c>
      <c r="FI154" s="407">
        <v>0</v>
      </c>
    </row>
    <row r="155" spans="1:165">
      <c r="A155" s="407">
        <v>153</v>
      </c>
      <c r="B155" s="407" t="s">
        <v>1092</v>
      </c>
      <c r="C155" s="407" t="s">
        <v>2305</v>
      </c>
      <c r="D155" s="407" t="s">
        <v>1220</v>
      </c>
      <c r="E155" s="407" t="s">
        <v>1023</v>
      </c>
      <c r="F155" s="407" t="s">
        <v>1023</v>
      </c>
      <c r="G155" s="407" t="s">
        <v>96</v>
      </c>
      <c r="H155" s="407" t="s">
        <v>96</v>
      </c>
      <c r="I155" s="407" t="s">
        <v>96</v>
      </c>
      <c r="J155" s="407" t="s">
        <v>2306</v>
      </c>
      <c r="K155" s="815">
        <v>44593</v>
      </c>
      <c r="L155" s="407">
        <v>0</v>
      </c>
      <c r="M155" s="407">
        <v>0</v>
      </c>
      <c r="N155" s="407">
        <v>990.07399999999996</v>
      </c>
      <c r="O155" s="407">
        <v>990.07399999999996</v>
      </c>
      <c r="P155" s="407">
        <v>990.07399999999996</v>
      </c>
      <c r="Q155" s="407">
        <v>990.07399999999996</v>
      </c>
      <c r="R155" s="407"/>
      <c r="S155" s="407">
        <v>710.52</v>
      </c>
      <c r="T155" s="407">
        <v>127.85</v>
      </c>
      <c r="U155" s="407"/>
      <c r="V155" s="407">
        <v>830048.3393799999</v>
      </c>
      <c r="W155" s="407">
        <v>830048.3393799999</v>
      </c>
      <c r="X155" s="407">
        <v>681873.86453999998</v>
      </c>
      <c r="Y155" s="407">
        <v>0</v>
      </c>
      <c r="Z155" s="407">
        <v>60468.845435531992</v>
      </c>
      <c r="AA155" s="407">
        <v>0</v>
      </c>
      <c r="AB155" s="407">
        <v>0</v>
      </c>
      <c r="AC155" s="407">
        <v>0</v>
      </c>
      <c r="AD155" s="407">
        <v>108257.12138212191</v>
      </c>
      <c r="AE155" s="407">
        <v>493222.47977835638</v>
      </c>
      <c r="AF155" s="407">
        <v>126578.38294430594</v>
      </c>
      <c r="AG155" s="407">
        <v>0</v>
      </c>
      <c r="AH155" s="407">
        <v>0</v>
      </c>
      <c r="AI155" s="407">
        <v>0</v>
      </c>
      <c r="AJ155" s="407">
        <v>0</v>
      </c>
      <c r="AK155" s="407">
        <v>0</v>
      </c>
      <c r="AL155" s="407">
        <v>9351.5433944770848</v>
      </c>
      <c r="AM155" s="407"/>
      <c r="AN155" s="407">
        <v>2268.0251757227329</v>
      </c>
      <c r="AO155" s="407">
        <v>0</v>
      </c>
      <c r="AP155" s="407">
        <v>0</v>
      </c>
      <c r="AQ155" s="407">
        <v>0</v>
      </c>
      <c r="AR155" s="407">
        <v>0</v>
      </c>
      <c r="AS155" s="407">
        <v>0</v>
      </c>
      <c r="AT155" s="407">
        <v>0</v>
      </c>
      <c r="AU155" s="407">
        <v>0</v>
      </c>
      <c r="AV155" s="407">
        <v>0</v>
      </c>
      <c r="AW155" s="407">
        <v>0</v>
      </c>
      <c r="AX155" s="407">
        <v>0</v>
      </c>
      <c r="AY155" s="407">
        <v>0</v>
      </c>
      <c r="AZ155" s="407">
        <v>0</v>
      </c>
      <c r="BA155" s="407"/>
      <c r="BB155" s="407">
        <v>0</v>
      </c>
      <c r="BC155" s="407">
        <v>0</v>
      </c>
      <c r="BD155" s="407">
        <v>0</v>
      </c>
      <c r="BE155" s="407">
        <v>0</v>
      </c>
      <c r="BF155" s="407">
        <v>0</v>
      </c>
      <c r="BG155" s="407">
        <v>29898.446403091886</v>
      </c>
      <c r="BH155" s="407">
        <v>0</v>
      </c>
      <c r="BI155" s="407">
        <v>3641.05</v>
      </c>
      <c r="BJ155" s="407">
        <v>16954.75</v>
      </c>
      <c r="BK155" s="407">
        <v>195870.72</v>
      </c>
      <c r="BL155" s="407">
        <v>5995</v>
      </c>
      <c r="BM155" s="407"/>
      <c r="BN155" s="407"/>
      <c r="BO155" s="407"/>
      <c r="BP155" s="407"/>
      <c r="BQ155" s="407"/>
      <c r="BR155" s="407"/>
      <c r="BS155" s="407"/>
      <c r="BT155" s="407"/>
      <c r="BU155" s="407"/>
      <c r="BV155" s="407">
        <v>156476.82934739781</v>
      </c>
      <c r="BW155" s="407"/>
      <c r="BX155" s="407"/>
      <c r="BY155" s="407"/>
      <c r="BZ155" s="407"/>
      <c r="CA155" s="407"/>
      <c r="CB155" s="407"/>
      <c r="CC155" s="407"/>
      <c r="CD155" s="407"/>
      <c r="CE155" s="407"/>
      <c r="CF155" s="407"/>
      <c r="CG155" s="407"/>
      <c r="CH155" s="407"/>
      <c r="CI155" s="407">
        <v>681871.10970000003</v>
      </c>
      <c r="CJ155" s="407">
        <v>-148177.2596799999</v>
      </c>
      <c r="CK155" s="407"/>
      <c r="CL155" s="407"/>
      <c r="CM155" s="407"/>
      <c r="CN155" s="407"/>
      <c r="CO155" s="407">
        <v>-152154.57231999995</v>
      </c>
      <c r="CP155" s="407">
        <v>3980.0974800000099</v>
      </c>
      <c r="CQ155" s="407">
        <v>29</v>
      </c>
      <c r="CR155" s="407">
        <v>-2363.3286938427482</v>
      </c>
      <c r="CS155" s="407">
        <v>0</v>
      </c>
      <c r="CT155" s="407">
        <v>0</v>
      </c>
      <c r="CU155" s="407">
        <v>0</v>
      </c>
      <c r="CV155" s="407">
        <v>0</v>
      </c>
      <c r="CW155" s="407">
        <v>0</v>
      </c>
      <c r="CX155" s="407">
        <v>0</v>
      </c>
      <c r="CY155" s="407">
        <v>0</v>
      </c>
      <c r="CZ155" s="407">
        <v>-5679.2460184830998</v>
      </c>
      <c r="DA155" s="407">
        <v>0</v>
      </c>
      <c r="DB155" s="407">
        <v>0</v>
      </c>
      <c r="DC155" s="407">
        <v>3982.9422484621318</v>
      </c>
      <c r="DD155" s="407">
        <v>0</v>
      </c>
      <c r="DE155" s="407">
        <v>0</v>
      </c>
      <c r="DF155" s="407">
        <v>0</v>
      </c>
      <c r="DG155" s="407">
        <v>940.79085679780474</v>
      </c>
      <c r="DH155" s="407">
        <v>0</v>
      </c>
      <c r="DI155" s="407">
        <v>-1377.0844268293731</v>
      </c>
      <c r="DJ155" s="407"/>
      <c r="DK155" s="407">
        <v>0</v>
      </c>
      <c r="DL155" s="407">
        <v>0</v>
      </c>
      <c r="DM155" s="407">
        <v>0</v>
      </c>
      <c r="DN155" s="407">
        <v>0</v>
      </c>
      <c r="DO155" s="407">
        <v>-178.4464544764287</v>
      </c>
      <c r="DP155" s="407">
        <v>-52.284899313754977</v>
      </c>
      <c r="DQ155" s="407">
        <v>0</v>
      </c>
      <c r="DR155" s="407">
        <v>0</v>
      </c>
      <c r="DS155" s="407"/>
      <c r="DT155" s="407"/>
      <c r="DU155" s="407"/>
      <c r="DV155" s="407">
        <v>493222.47977835638</v>
      </c>
      <c r="DW155" s="407">
        <v>0</v>
      </c>
      <c r="DX155" s="407">
        <v>0</v>
      </c>
      <c r="DY155" s="407">
        <v>-152154.57231999992</v>
      </c>
      <c r="DZ155" s="407">
        <v>3980.0974800000113</v>
      </c>
      <c r="EA155" s="407">
        <v>0</v>
      </c>
      <c r="EB155" s="407">
        <v>0</v>
      </c>
      <c r="EC155" s="407">
        <v>-145804.35068473063</v>
      </c>
      <c r="ED155" s="407">
        <v>0</v>
      </c>
      <c r="EE155" s="407">
        <v>0</v>
      </c>
      <c r="EF155" s="407">
        <v>0</v>
      </c>
      <c r="EG155" s="407">
        <v>0</v>
      </c>
      <c r="EH155" s="407">
        <v>0</v>
      </c>
      <c r="EI155" s="407">
        <v>0</v>
      </c>
      <c r="EJ155" s="407">
        <v>0</v>
      </c>
      <c r="EK155" s="407">
        <v>0</v>
      </c>
      <c r="EL155" s="407">
        <v>0</v>
      </c>
      <c r="EM155" s="407">
        <v>0</v>
      </c>
      <c r="EN155" s="407">
        <v>0</v>
      </c>
      <c r="EO155" s="407">
        <v>0</v>
      </c>
      <c r="EP155" s="407">
        <v>0</v>
      </c>
      <c r="EQ155" s="407">
        <v>0</v>
      </c>
      <c r="ER155" s="407">
        <v>0</v>
      </c>
      <c r="ES155" s="407">
        <v>0</v>
      </c>
      <c r="ET155" s="407">
        <v>0</v>
      </c>
      <c r="EU155" s="407">
        <v>0</v>
      </c>
      <c r="EV155" s="407">
        <v>207</v>
      </c>
      <c r="EW155" s="407">
        <v>0</v>
      </c>
      <c r="EX155" s="407">
        <v>0</v>
      </c>
      <c r="EY155" s="407">
        <v>0</v>
      </c>
      <c r="EZ155" s="407"/>
      <c r="FA155" s="407">
        <v>0</v>
      </c>
      <c r="FB155" s="407"/>
      <c r="FC155" s="407"/>
      <c r="FD155" s="407"/>
      <c r="FE155" s="407"/>
      <c r="FF155" s="407">
        <v>0</v>
      </c>
      <c r="FG155" s="407">
        <v>0</v>
      </c>
      <c r="FH155" s="407">
        <v>0</v>
      </c>
      <c r="FI155" s="407">
        <v>0</v>
      </c>
    </row>
    <row r="156" spans="1:165">
      <c r="A156" s="407">
        <v>154</v>
      </c>
      <c r="B156" s="407" t="s">
        <v>2307</v>
      </c>
      <c r="C156" s="407" t="s">
        <v>2305</v>
      </c>
      <c r="D156" s="407" t="s">
        <v>1220</v>
      </c>
      <c r="E156" s="407" t="s">
        <v>1023</v>
      </c>
      <c r="F156" s="407" t="s">
        <v>1023</v>
      </c>
      <c r="G156" s="407" t="s">
        <v>96</v>
      </c>
      <c r="H156" s="407" t="s">
        <v>96</v>
      </c>
      <c r="I156" s="407" t="s">
        <v>96</v>
      </c>
      <c r="J156" s="407" t="s">
        <v>2306</v>
      </c>
      <c r="K156" s="815">
        <v>44593</v>
      </c>
      <c r="L156" s="407">
        <v>0</v>
      </c>
      <c r="M156" s="407">
        <v>0</v>
      </c>
      <c r="N156" s="407">
        <v>-0.109</v>
      </c>
      <c r="O156" s="407">
        <v>-0.109</v>
      </c>
      <c r="P156" s="407">
        <v>-0.109</v>
      </c>
      <c r="Q156" s="407">
        <v>-0.109</v>
      </c>
      <c r="R156" s="407"/>
      <c r="S156" s="407">
        <v>710.52</v>
      </c>
      <c r="T156" s="407">
        <v>127.85</v>
      </c>
      <c r="U156" s="407"/>
      <c r="V156" s="407">
        <v>-91.382329999999996</v>
      </c>
      <c r="W156" s="407">
        <v>-91.382329999999996</v>
      </c>
      <c r="X156" s="407">
        <v>-75.069389999999999</v>
      </c>
      <c r="Y156" s="407">
        <v>0</v>
      </c>
      <c r="Z156" s="407">
        <v>-6.6571833544492511</v>
      </c>
      <c r="AA156" s="407">
        <v>0</v>
      </c>
      <c r="AB156" s="407">
        <v>0</v>
      </c>
      <c r="AC156" s="407">
        <v>0</v>
      </c>
      <c r="AD156" s="407">
        <v>-11.918327549911714</v>
      </c>
      <c r="AE156" s="407">
        <v>-54.300234422720777</v>
      </c>
      <c r="AF156" s="407">
        <v>-13.935366185688492</v>
      </c>
      <c r="AG156" s="407">
        <v>0</v>
      </c>
      <c r="AH156" s="407">
        <v>0</v>
      </c>
      <c r="AI156" s="407">
        <v>0</v>
      </c>
      <c r="AJ156" s="407">
        <v>0</v>
      </c>
      <c r="AK156" s="407">
        <v>0</v>
      </c>
      <c r="AL156" s="407">
        <v>-1.0295374184131714</v>
      </c>
      <c r="AM156" s="407"/>
      <c r="AN156" s="407">
        <v>-0.24969319884551849</v>
      </c>
      <c r="AO156" s="407">
        <v>0</v>
      </c>
      <c r="AP156" s="407">
        <v>0</v>
      </c>
      <c r="AQ156" s="407">
        <v>0</v>
      </c>
      <c r="AR156" s="407">
        <v>0</v>
      </c>
      <c r="AS156" s="407">
        <v>0</v>
      </c>
      <c r="AT156" s="407">
        <v>0</v>
      </c>
      <c r="AU156" s="407">
        <v>0</v>
      </c>
      <c r="AV156" s="407">
        <v>0</v>
      </c>
      <c r="AW156" s="407">
        <v>0</v>
      </c>
      <c r="AX156" s="407">
        <v>0</v>
      </c>
      <c r="AY156" s="407">
        <v>0</v>
      </c>
      <c r="AZ156" s="407">
        <v>0</v>
      </c>
      <c r="BA156" s="407"/>
      <c r="BB156" s="407">
        <v>0</v>
      </c>
      <c r="BC156" s="407">
        <v>0</v>
      </c>
      <c r="BD156" s="407">
        <v>0</v>
      </c>
      <c r="BE156" s="407">
        <v>0</v>
      </c>
      <c r="BF156" s="407">
        <v>0</v>
      </c>
      <c r="BG156" s="407">
        <v>-3.2916031104109549</v>
      </c>
      <c r="BH156" s="407">
        <v>0</v>
      </c>
      <c r="BI156" s="407">
        <v>-0.61</v>
      </c>
      <c r="BJ156" s="407">
        <v>-2.82</v>
      </c>
      <c r="BK156" s="407">
        <v>-19.149999999999999</v>
      </c>
      <c r="BL156" s="407">
        <v>0</v>
      </c>
      <c r="BM156" s="407"/>
      <c r="BN156" s="407"/>
      <c r="BO156" s="407"/>
      <c r="BP156" s="407"/>
      <c r="BQ156" s="407"/>
      <c r="BR156" s="407"/>
      <c r="BS156" s="407"/>
      <c r="BT156" s="407"/>
      <c r="BU156" s="407"/>
      <c r="BV156" s="407">
        <v>-17.226969296099448</v>
      </c>
      <c r="BW156" s="407"/>
      <c r="BX156" s="407"/>
      <c r="BY156" s="407"/>
      <c r="BZ156" s="407"/>
      <c r="CA156" s="407"/>
      <c r="CB156" s="407"/>
      <c r="CC156" s="407"/>
      <c r="CD156" s="407"/>
      <c r="CE156" s="407"/>
      <c r="CF156" s="407"/>
      <c r="CG156" s="407"/>
      <c r="CH156" s="407"/>
      <c r="CI156" s="407">
        <v>-75.758099999999999</v>
      </c>
      <c r="CJ156" s="407">
        <v>15.594229999999982</v>
      </c>
      <c r="CK156" s="407"/>
      <c r="CL156" s="407"/>
      <c r="CM156" s="407"/>
      <c r="CN156" s="407"/>
      <c r="CO156" s="407">
        <v>16.751119999999993</v>
      </c>
      <c r="CP156" s="407">
        <v>-0.43818000000000112</v>
      </c>
      <c r="CQ156" s="407">
        <v>29</v>
      </c>
      <c r="CR156" s="407">
        <v>0.26018542818905388</v>
      </c>
      <c r="CS156" s="407">
        <v>0</v>
      </c>
      <c r="CT156" s="407">
        <v>0</v>
      </c>
      <c r="CU156" s="407">
        <v>0</v>
      </c>
      <c r="CV156" s="407">
        <v>0</v>
      </c>
      <c r="CW156" s="407">
        <v>0</v>
      </c>
      <c r="CX156" s="407">
        <v>0</v>
      </c>
      <c r="CY156" s="407">
        <v>0</v>
      </c>
      <c r="CZ156" s="407">
        <v>0.62524398783793877</v>
      </c>
      <c r="DA156" s="407">
        <v>0</v>
      </c>
      <c r="DB156" s="407">
        <v>0</v>
      </c>
      <c r="DC156" s="407">
        <v>-0.43849318847113672</v>
      </c>
      <c r="DD156" s="407">
        <v>0</v>
      </c>
      <c r="DE156" s="407">
        <v>0</v>
      </c>
      <c r="DF156" s="407">
        <v>0</v>
      </c>
      <c r="DG156" s="407">
        <v>-0.10357428171122596</v>
      </c>
      <c r="DH156" s="407">
        <v>0</v>
      </c>
      <c r="DI156" s="407">
        <v>0.15160705414383369</v>
      </c>
      <c r="DJ156" s="407"/>
      <c r="DK156" s="407">
        <v>0</v>
      </c>
      <c r="DL156" s="407">
        <v>0</v>
      </c>
      <c r="DM156" s="407">
        <v>0</v>
      </c>
      <c r="DN156" s="407">
        <v>0</v>
      </c>
      <c r="DO156" s="407">
        <v>1.9645666422843711E-2</v>
      </c>
      <c r="DP156" s="407">
        <v>5.7561899668098215E-3</v>
      </c>
      <c r="DQ156" s="407">
        <v>0</v>
      </c>
      <c r="DR156" s="407">
        <v>0</v>
      </c>
      <c r="DS156" s="407"/>
      <c r="DT156" s="407"/>
      <c r="DU156" s="407"/>
      <c r="DV156" s="407">
        <v>-54.300234422720777</v>
      </c>
      <c r="DW156" s="407">
        <v>0</v>
      </c>
      <c r="DX156" s="407">
        <v>0</v>
      </c>
      <c r="DY156" s="407">
        <v>16.75112</v>
      </c>
      <c r="DZ156" s="407">
        <v>-0.4381800000000009</v>
      </c>
      <c r="EA156" s="407">
        <v>0</v>
      </c>
      <c r="EB156" s="407">
        <v>0</v>
      </c>
      <c r="EC156" s="407">
        <v>16.052006440564689</v>
      </c>
      <c r="ED156" s="407">
        <v>0</v>
      </c>
      <c r="EE156" s="407">
        <v>0</v>
      </c>
      <c r="EF156" s="407">
        <v>0</v>
      </c>
      <c r="EG156" s="407">
        <v>0</v>
      </c>
      <c r="EH156" s="407">
        <v>0</v>
      </c>
      <c r="EI156" s="407">
        <v>0</v>
      </c>
      <c r="EJ156" s="407">
        <v>0</v>
      </c>
      <c r="EK156" s="407">
        <v>0</v>
      </c>
      <c r="EL156" s="407">
        <v>0</v>
      </c>
      <c r="EM156" s="407">
        <v>0</v>
      </c>
      <c r="EN156" s="407">
        <v>0</v>
      </c>
      <c r="EO156" s="407">
        <v>0</v>
      </c>
      <c r="EP156" s="407">
        <v>0</v>
      </c>
      <c r="EQ156" s="407">
        <v>0</v>
      </c>
      <c r="ER156" s="407">
        <v>0</v>
      </c>
      <c r="ES156" s="407">
        <v>0</v>
      </c>
      <c r="ET156" s="407">
        <v>0</v>
      </c>
      <c r="EU156" s="407">
        <v>0</v>
      </c>
      <c r="EV156" s="407">
        <v>207</v>
      </c>
      <c r="EW156" s="407">
        <v>0</v>
      </c>
      <c r="EX156" s="407">
        <v>0</v>
      </c>
      <c r="EY156" s="407">
        <v>0</v>
      </c>
      <c r="EZ156" s="407"/>
      <c r="FA156" s="407">
        <v>0</v>
      </c>
      <c r="FB156" s="407"/>
      <c r="FC156" s="407"/>
      <c r="FD156" s="407"/>
      <c r="FE156" s="407"/>
      <c r="FF156" s="407">
        <v>0</v>
      </c>
      <c r="FG156" s="407">
        <v>0</v>
      </c>
      <c r="FH156" s="407">
        <v>0</v>
      </c>
      <c r="FI156" s="407">
        <v>0</v>
      </c>
    </row>
    <row r="157" spans="1:165">
      <c r="A157" s="407">
        <v>155</v>
      </c>
      <c r="B157" s="407" t="s">
        <v>2308</v>
      </c>
      <c r="C157" s="407" t="s">
        <v>2305</v>
      </c>
      <c r="D157" s="407" t="s">
        <v>1220</v>
      </c>
      <c r="E157" s="407" t="s">
        <v>1023</v>
      </c>
      <c r="F157" s="407" t="s">
        <v>1023</v>
      </c>
      <c r="G157" s="407" t="s">
        <v>96</v>
      </c>
      <c r="H157" s="407" t="s">
        <v>96</v>
      </c>
      <c r="I157" s="407" t="s">
        <v>96</v>
      </c>
      <c r="J157" s="407" t="s">
        <v>2306</v>
      </c>
      <c r="K157" s="815">
        <v>44593</v>
      </c>
      <c r="L157" s="407">
        <v>0</v>
      </c>
      <c r="M157" s="407">
        <v>0</v>
      </c>
      <c r="N157" s="407">
        <v>1.32</v>
      </c>
      <c r="O157" s="407">
        <v>1.32</v>
      </c>
      <c r="P157" s="407">
        <v>1.32</v>
      </c>
      <c r="Q157" s="407">
        <v>1.32</v>
      </c>
      <c r="R157" s="407"/>
      <c r="S157" s="407">
        <v>710.52</v>
      </c>
      <c r="T157" s="407">
        <v>127.85</v>
      </c>
      <c r="U157" s="407"/>
      <c r="V157" s="407">
        <v>1106.6484</v>
      </c>
      <c r="W157" s="407">
        <v>1106.6484</v>
      </c>
      <c r="X157" s="407">
        <v>909.09720000000004</v>
      </c>
      <c r="Y157" s="407">
        <v>0</v>
      </c>
      <c r="Z157" s="407">
        <v>80.619101173146902</v>
      </c>
      <c r="AA157" s="407">
        <v>0</v>
      </c>
      <c r="AB157" s="407">
        <v>0</v>
      </c>
      <c r="AC157" s="407">
        <v>0</v>
      </c>
      <c r="AD157" s="407">
        <v>144.33204005397673</v>
      </c>
      <c r="AE157" s="407">
        <v>657.58082053203145</v>
      </c>
      <c r="AF157" s="407">
        <v>168.75856298264964</v>
      </c>
      <c r="AG157" s="407">
        <v>0</v>
      </c>
      <c r="AH157" s="407">
        <v>0</v>
      </c>
      <c r="AI157" s="407">
        <v>0</v>
      </c>
      <c r="AJ157" s="407">
        <v>0</v>
      </c>
      <c r="AK157" s="407">
        <v>0</v>
      </c>
      <c r="AL157" s="407">
        <v>12.467792589957673</v>
      </c>
      <c r="AM157" s="407"/>
      <c r="AN157" s="407">
        <v>3.0238075456521507</v>
      </c>
      <c r="AO157" s="407">
        <v>0</v>
      </c>
      <c r="AP157" s="407">
        <v>0</v>
      </c>
      <c r="AQ157" s="407">
        <v>0</v>
      </c>
      <c r="AR157" s="407">
        <v>0</v>
      </c>
      <c r="AS157" s="407">
        <v>0</v>
      </c>
      <c r="AT157" s="407">
        <v>0</v>
      </c>
      <c r="AU157" s="407">
        <v>0</v>
      </c>
      <c r="AV157" s="407">
        <v>0</v>
      </c>
      <c r="AW157" s="407">
        <v>0</v>
      </c>
      <c r="AX157" s="407">
        <v>0</v>
      </c>
      <c r="AY157" s="407">
        <v>0</v>
      </c>
      <c r="AZ157" s="407">
        <v>0</v>
      </c>
      <c r="BA157" s="407"/>
      <c r="BB157" s="407">
        <v>0</v>
      </c>
      <c r="BC157" s="407">
        <v>0</v>
      </c>
      <c r="BD157" s="407">
        <v>0</v>
      </c>
      <c r="BE157" s="407">
        <v>0</v>
      </c>
      <c r="BF157" s="407">
        <v>0</v>
      </c>
      <c r="BG157" s="407">
        <v>39.861615649013402</v>
      </c>
      <c r="BH157" s="407">
        <v>0</v>
      </c>
      <c r="BI157" s="407">
        <v>3.25</v>
      </c>
      <c r="BJ157" s="407">
        <v>15.49</v>
      </c>
      <c r="BK157" s="407">
        <v>721.22</v>
      </c>
      <c r="BL157" s="407">
        <v>17</v>
      </c>
      <c r="BM157" s="407"/>
      <c r="BN157" s="407"/>
      <c r="BO157" s="407"/>
      <c r="BP157" s="407"/>
      <c r="BQ157" s="407"/>
      <c r="BR157" s="407"/>
      <c r="BS157" s="407"/>
      <c r="BT157" s="407"/>
      <c r="BU157" s="407"/>
      <c r="BV157" s="407">
        <v>208.62017863166304</v>
      </c>
      <c r="BW157" s="407"/>
      <c r="BX157" s="407"/>
      <c r="BY157" s="407"/>
      <c r="BZ157" s="407"/>
      <c r="CA157" s="407"/>
      <c r="CB157" s="407"/>
      <c r="CC157" s="407"/>
      <c r="CD157" s="407"/>
      <c r="CE157" s="407"/>
      <c r="CF157" s="407"/>
      <c r="CG157" s="407"/>
      <c r="CH157" s="407"/>
      <c r="CI157" s="407">
        <v>909.09720000000004</v>
      </c>
      <c r="CJ157" s="407">
        <v>-197.58119999999997</v>
      </c>
      <c r="CK157" s="407"/>
      <c r="CL157" s="407"/>
      <c r="CM157" s="407"/>
      <c r="CN157" s="407"/>
      <c r="CO157" s="407">
        <v>-202.85759999999993</v>
      </c>
      <c r="CP157" s="407">
        <v>5.3064000000000133</v>
      </c>
      <c r="CQ157" s="407">
        <v>29</v>
      </c>
      <c r="CR157" s="407">
        <v>-3.1508694055923456</v>
      </c>
      <c r="CS157" s="407">
        <v>0</v>
      </c>
      <c r="CT157" s="407">
        <v>0</v>
      </c>
      <c r="CU157" s="407">
        <v>0</v>
      </c>
      <c r="CV157" s="407">
        <v>0</v>
      </c>
      <c r="CW157" s="407">
        <v>0</v>
      </c>
      <c r="CX157" s="407">
        <v>0</v>
      </c>
      <c r="CY157" s="407">
        <v>0</v>
      </c>
      <c r="CZ157" s="407">
        <v>-7.5717620545511863</v>
      </c>
      <c r="DA157" s="407">
        <v>0</v>
      </c>
      <c r="DB157" s="407">
        <v>0</v>
      </c>
      <c r="DC157" s="407">
        <v>5.3101927411183567</v>
      </c>
      <c r="DD157" s="407">
        <v>0</v>
      </c>
      <c r="DE157" s="407">
        <v>0</v>
      </c>
      <c r="DF157" s="407">
        <v>0</v>
      </c>
      <c r="DG157" s="407">
        <v>1.2542940537506269</v>
      </c>
      <c r="DH157" s="407">
        <v>0</v>
      </c>
      <c r="DI157" s="407">
        <v>-1.835975334585882</v>
      </c>
      <c r="DJ157" s="407"/>
      <c r="DK157" s="407">
        <v>0</v>
      </c>
      <c r="DL157" s="407">
        <v>0</v>
      </c>
      <c r="DM157" s="407">
        <v>0</v>
      </c>
      <c r="DN157" s="407">
        <v>0</v>
      </c>
      <c r="DO157" s="407">
        <v>-0.23791082273535658</v>
      </c>
      <c r="DP157" s="407">
        <v>-6.9707988588889602E-2</v>
      </c>
      <c r="DQ157" s="407">
        <v>0</v>
      </c>
      <c r="DR157" s="407">
        <v>0</v>
      </c>
      <c r="DS157" s="407"/>
      <c r="DT157" s="407"/>
      <c r="DU157" s="407"/>
      <c r="DV157" s="407">
        <v>657.58082053203145</v>
      </c>
      <c r="DW157" s="407">
        <v>0</v>
      </c>
      <c r="DX157" s="407">
        <v>0</v>
      </c>
      <c r="DY157" s="407">
        <v>-202.85759999999993</v>
      </c>
      <c r="DZ157" s="407">
        <v>5.3064000000000249</v>
      </c>
      <c r="EA157" s="407">
        <v>0</v>
      </c>
      <c r="EB157" s="407">
        <v>0</v>
      </c>
      <c r="EC157" s="407">
        <v>-194.39127065637973</v>
      </c>
      <c r="ED157" s="407">
        <v>0</v>
      </c>
      <c r="EE157" s="407">
        <v>0</v>
      </c>
      <c r="EF157" s="407">
        <v>0</v>
      </c>
      <c r="EG157" s="407">
        <v>0</v>
      </c>
      <c r="EH157" s="407">
        <v>0</v>
      </c>
      <c r="EI157" s="407">
        <v>0</v>
      </c>
      <c r="EJ157" s="407">
        <v>0</v>
      </c>
      <c r="EK157" s="407">
        <v>0</v>
      </c>
      <c r="EL157" s="407">
        <v>0</v>
      </c>
      <c r="EM157" s="407">
        <v>0</v>
      </c>
      <c r="EN157" s="407">
        <v>0</v>
      </c>
      <c r="EO157" s="407">
        <v>0</v>
      </c>
      <c r="EP157" s="407">
        <v>0</v>
      </c>
      <c r="EQ157" s="407">
        <v>0</v>
      </c>
      <c r="ER157" s="407">
        <v>0</v>
      </c>
      <c r="ES157" s="407">
        <v>0</v>
      </c>
      <c r="ET157" s="407">
        <v>0</v>
      </c>
      <c r="EU157" s="407">
        <v>0</v>
      </c>
      <c r="EV157" s="407">
        <v>207</v>
      </c>
      <c r="EW157" s="407">
        <v>0</v>
      </c>
      <c r="EX157" s="407">
        <v>0</v>
      </c>
      <c r="EY157" s="407">
        <v>0</v>
      </c>
      <c r="EZ157" s="407"/>
      <c r="FA157" s="407">
        <v>0</v>
      </c>
      <c r="FB157" s="407"/>
      <c r="FC157" s="407"/>
      <c r="FD157" s="407"/>
      <c r="FE157" s="407"/>
      <c r="FF157" s="407">
        <v>0</v>
      </c>
      <c r="FG157" s="407">
        <v>0</v>
      </c>
      <c r="FH157" s="407">
        <v>0</v>
      </c>
      <c r="FI157" s="407">
        <v>0</v>
      </c>
    </row>
    <row r="158" spans="1:165">
      <c r="A158" s="407">
        <v>156</v>
      </c>
      <c r="B158" s="407" t="s">
        <v>1092</v>
      </c>
      <c r="C158" s="407" t="s">
        <v>2305</v>
      </c>
      <c r="D158" s="407" t="s">
        <v>1220</v>
      </c>
      <c r="E158" s="407" t="s">
        <v>1023</v>
      </c>
      <c r="F158" s="407" t="s">
        <v>2309</v>
      </c>
      <c r="G158" s="407" t="s">
        <v>96</v>
      </c>
      <c r="H158" s="407" t="s">
        <v>96</v>
      </c>
      <c r="I158" s="407" t="s">
        <v>96</v>
      </c>
      <c r="J158" s="407" t="s">
        <v>2306</v>
      </c>
      <c r="K158" s="815">
        <v>44593</v>
      </c>
      <c r="L158" s="407">
        <v>0</v>
      </c>
      <c r="M158" s="407">
        <v>0</v>
      </c>
      <c r="N158" s="407">
        <v>6.87</v>
      </c>
      <c r="O158" s="407">
        <v>6.87</v>
      </c>
      <c r="P158" s="407">
        <v>6.87</v>
      </c>
      <c r="Q158" s="407">
        <v>6.87</v>
      </c>
      <c r="R158" s="407"/>
      <c r="S158" s="407">
        <v>640</v>
      </c>
      <c r="T158" s="407">
        <v>127.85</v>
      </c>
      <c r="U158" s="407"/>
      <c r="V158" s="407">
        <v>5275.1295</v>
      </c>
      <c r="W158" s="407">
        <v>5275.1295</v>
      </c>
      <c r="X158" s="407">
        <v>4257.7511999999997</v>
      </c>
      <c r="Y158" s="407">
        <v>0</v>
      </c>
      <c r="Z158" s="407">
        <v>0</v>
      </c>
      <c r="AA158" s="407">
        <v>0</v>
      </c>
      <c r="AB158" s="407">
        <v>0</v>
      </c>
      <c r="AC158" s="407">
        <v>0</v>
      </c>
      <c r="AD158" s="407">
        <v>751.18266300819698</v>
      </c>
      <c r="AE158" s="407">
        <v>3422.4092704962545</v>
      </c>
      <c r="AF158" s="407">
        <v>878.31161188697195</v>
      </c>
      <c r="AG158" s="407">
        <v>0</v>
      </c>
      <c r="AH158" s="407">
        <v>0</v>
      </c>
      <c r="AI158" s="407">
        <v>0</v>
      </c>
      <c r="AJ158" s="407">
        <v>0</v>
      </c>
      <c r="AK158" s="407">
        <v>0</v>
      </c>
      <c r="AL158" s="407">
        <v>0</v>
      </c>
      <c r="AM158" s="407"/>
      <c r="AN158" s="407">
        <v>15.737543817144148</v>
      </c>
      <c r="AO158" s="407">
        <v>0</v>
      </c>
      <c r="AP158" s="407">
        <v>0</v>
      </c>
      <c r="AQ158" s="407">
        <v>0</v>
      </c>
      <c r="AR158" s="407">
        <v>0</v>
      </c>
      <c r="AS158" s="407">
        <v>0</v>
      </c>
      <c r="AT158" s="407">
        <v>0</v>
      </c>
      <c r="AU158" s="407">
        <v>0</v>
      </c>
      <c r="AV158" s="407">
        <v>0</v>
      </c>
      <c r="AW158" s="407">
        <v>0</v>
      </c>
      <c r="AX158" s="407">
        <v>0</v>
      </c>
      <c r="AY158" s="407">
        <v>0</v>
      </c>
      <c r="AZ158" s="407">
        <v>0</v>
      </c>
      <c r="BA158" s="407"/>
      <c r="BB158" s="407">
        <v>0</v>
      </c>
      <c r="BC158" s="407">
        <v>0</v>
      </c>
      <c r="BD158" s="407">
        <v>0</v>
      </c>
      <c r="BE158" s="407">
        <v>0</v>
      </c>
      <c r="BF158" s="407">
        <v>0</v>
      </c>
      <c r="BG158" s="407">
        <v>207.46159053691065</v>
      </c>
      <c r="BH158" s="407">
        <v>0</v>
      </c>
      <c r="BI158" s="407">
        <v>25.18</v>
      </c>
      <c r="BJ158" s="407">
        <v>115.2</v>
      </c>
      <c r="BK158" s="407">
        <v>825.8</v>
      </c>
      <c r="BL158" s="407">
        <v>9</v>
      </c>
      <c r="BM158" s="407"/>
      <c r="BN158" s="407"/>
      <c r="BO158" s="407"/>
      <c r="BP158" s="407"/>
      <c r="BQ158" s="407"/>
      <c r="BR158" s="407"/>
      <c r="BS158" s="407"/>
      <c r="BT158" s="407">
        <v>2767.5795000000003</v>
      </c>
      <c r="BU158" s="407"/>
      <c r="BV158" s="407">
        <v>1085.7732024238826</v>
      </c>
      <c r="BW158" s="407"/>
      <c r="BX158" s="407"/>
      <c r="BY158" s="407"/>
      <c r="BZ158" s="407"/>
      <c r="CA158" s="407"/>
      <c r="CB158" s="407"/>
      <c r="CC158" s="407"/>
      <c r="CD158" s="407"/>
      <c r="CE158" s="407"/>
      <c r="CF158" s="407"/>
      <c r="CG158" s="407"/>
      <c r="CH158" s="407"/>
      <c r="CI158" s="407">
        <v>1490.1717000000001</v>
      </c>
      <c r="CJ158" s="407">
        <v>-356.17079999999987</v>
      </c>
      <c r="CK158" s="407"/>
      <c r="CL158" s="407"/>
      <c r="CM158" s="407"/>
      <c r="CN158" s="407"/>
      <c r="CO158" s="407">
        <v>-1044.9957000000002</v>
      </c>
      <c r="CP158" s="407">
        <v>27.617400000000071</v>
      </c>
      <c r="CQ158" s="407">
        <v>29</v>
      </c>
      <c r="CR158" s="407">
        <v>-5.6052082694106957</v>
      </c>
      <c r="CS158" s="407">
        <v>0</v>
      </c>
      <c r="CT158" s="407">
        <v>0</v>
      </c>
      <c r="CU158" s="407">
        <v>0</v>
      </c>
      <c r="CV158" s="407">
        <v>0</v>
      </c>
      <c r="CW158" s="407">
        <v>0</v>
      </c>
      <c r="CX158" s="407">
        <v>0</v>
      </c>
      <c r="CY158" s="407">
        <v>0</v>
      </c>
      <c r="CZ158" s="407">
        <v>-39.407579783914116</v>
      </c>
      <c r="DA158" s="407">
        <v>0</v>
      </c>
      <c r="DB158" s="407">
        <v>0</v>
      </c>
      <c r="DC158" s="407">
        <v>27.637139493547807</v>
      </c>
      <c r="DD158" s="407">
        <v>0</v>
      </c>
      <c r="DE158" s="407">
        <v>0</v>
      </c>
      <c r="DF158" s="407">
        <v>0</v>
      </c>
      <c r="DG158" s="407">
        <v>6.5280304161112213</v>
      </c>
      <c r="DH158" s="407">
        <v>0</v>
      </c>
      <c r="DI158" s="407">
        <v>0</v>
      </c>
      <c r="DJ158" s="407"/>
      <c r="DK158" s="407">
        <v>0</v>
      </c>
      <c r="DL158" s="407">
        <v>0</v>
      </c>
      <c r="DM158" s="407">
        <v>0</v>
      </c>
      <c r="DN158" s="407">
        <v>0</v>
      </c>
      <c r="DO158" s="407">
        <v>0</v>
      </c>
      <c r="DP158" s="407">
        <v>-0.36279839515581358</v>
      </c>
      <c r="DQ158" s="407">
        <v>0</v>
      </c>
      <c r="DR158" s="407">
        <v>0</v>
      </c>
      <c r="DS158" s="407"/>
      <c r="DT158" s="407"/>
      <c r="DU158" s="407"/>
      <c r="DV158" s="407">
        <v>3422.4092704962545</v>
      </c>
      <c r="DW158" s="407">
        <v>0</v>
      </c>
      <c r="DX158" s="407">
        <v>0</v>
      </c>
      <c r="DY158" s="407">
        <v>-1044.9957000000004</v>
      </c>
      <c r="DZ158" s="407">
        <v>27.617400000000089</v>
      </c>
      <c r="EA158" s="407">
        <v>0</v>
      </c>
      <c r="EB158" s="407">
        <v>0</v>
      </c>
      <c r="EC158" s="407">
        <v>-1011.718204097976</v>
      </c>
      <c r="ED158" s="407">
        <v>0</v>
      </c>
      <c r="EE158" s="407">
        <v>0</v>
      </c>
      <c r="EF158" s="407">
        <v>0</v>
      </c>
      <c r="EG158" s="407">
        <v>0</v>
      </c>
      <c r="EH158" s="407">
        <v>0</v>
      </c>
      <c r="EI158" s="407">
        <v>0</v>
      </c>
      <c r="EJ158" s="407">
        <v>0</v>
      </c>
      <c r="EK158" s="407">
        <v>0</v>
      </c>
      <c r="EL158" s="407">
        <v>0</v>
      </c>
      <c r="EM158" s="407">
        <v>0</v>
      </c>
      <c r="EN158" s="407">
        <v>0</v>
      </c>
      <c r="EO158" s="407">
        <v>0</v>
      </c>
      <c r="EP158" s="407">
        <v>0</v>
      </c>
      <c r="EQ158" s="407">
        <v>0</v>
      </c>
      <c r="ER158" s="407">
        <v>0</v>
      </c>
      <c r="ES158" s="407">
        <v>0</v>
      </c>
      <c r="ET158" s="407">
        <v>0</v>
      </c>
      <c r="EU158" s="407">
        <v>0</v>
      </c>
      <c r="EV158" s="407">
        <v>207</v>
      </c>
      <c r="EW158" s="407">
        <v>0</v>
      </c>
      <c r="EX158" s="407">
        <v>0</v>
      </c>
      <c r="EY158" s="407">
        <v>0</v>
      </c>
      <c r="EZ158" s="407"/>
      <c r="FA158" s="407">
        <v>0</v>
      </c>
      <c r="FB158" s="407"/>
      <c r="FC158" s="407"/>
      <c r="FD158" s="407"/>
      <c r="FE158" s="407"/>
      <c r="FF158" s="407">
        <v>0</v>
      </c>
      <c r="FG158" s="407">
        <v>0</v>
      </c>
      <c r="FH158" s="407">
        <v>0</v>
      </c>
      <c r="FI158" s="407">
        <v>0</v>
      </c>
    </row>
    <row r="159" spans="1:165">
      <c r="A159" s="407">
        <v>157</v>
      </c>
      <c r="B159" s="407" t="s">
        <v>1092</v>
      </c>
      <c r="C159" s="407" t="s">
        <v>2305</v>
      </c>
      <c r="D159" s="407" t="s">
        <v>1220</v>
      </c>
      <c r="E159" s="407" t="s">
        <v>1023</v>
      </c>
      <c r="F159" s="407" t="s">
        <v>2310</v>
      </c>
      <c r="G159" s="407" t="s">
        <v>96</v>
      </c>
      <c r="H159" s="407" t="s">
        <v>96</v>
      </c>
      <c r="I159" s="407" t="s">
        <v>96</v>
      </c>
      <c r="J159" s="407" t="s">
        <v>2306</v>
      </c>
      <c r="K159" s="815">
        <v>44593</v>
      </c>
      <c r="L159" s="407">
        <v>0</v>
      </c>
      <c r="M159" s="407">
        <v>0</v>
      </c>
      <c r="N159" s="407">
        <v>14.499000000000001</v>
      </c>
      <c r="O159" s="407">
        <v>14.499000000000001</v>
      </c>
      <c r="P159" s="407">
        <v>14.499000000000001</v>
      </c>
      <c r="Q159" s="407">
        <v>14.499000000000001</v>
      </c>
      <c r="R159" s="407"/>
      <c r="S159" s="407">
        <v>640</v>
      </c>
      <c r="T159" s="407">
        <v>127.85</v>
      </c>
      <c r="U159" s="407"/>
      <c r="V159" s="407">
        <v>11133.057150000001</v>
      </c>
      <c r="W159" s="407">
        <v>11133.057150000001</v>
      </c>
      <c r="X159" s="407">
        <v>8985.9002400000008</v>
      </c>
      <c r="Y159" s="407">
        <v>0</v>
      </c>
      <c r="Z159" s="407">
        <v>0</v>
      </c>
      <c r="AA159" s="407">
        <v>0</v>
      </c>
      <c r="AB159" s="407">
        <v>0</v>
      </c>
      <c r="AC159" s="407">
        <v>0</v>
      </c>
      <c r="AD159" s="407">
        <v>1585.3562490474305</v>
      </c>
      <c r="AE159" s="407">
        <v>7222.9275127984274</v>
      </c>
      <c r="AF159" s="407">
        <v>1853.6593974889674</v>
      </c>
      <c r="AG159" s="407">
        <v>0</v>
      </c>
      <c r="AH159" s="407">
        <v>0</v>
      </c>
      <c r="AI159" s="407">
        <v>0</v>
      </c>
      <c r="AJ159" s="407">
        <v>0</v>
      </c>
      <c r="AK159" s="407">
        <v>0</v>
      </c>
      <c r="AL159" s="407">
        <v>0</v>
      </c>
      <c r="AM159" s="407"/>
      <c r="AN159" s="407">
        <v>33.213776973038286</v>
      </c>
      <c r="AO159" s="407">
        <v>0</v>
      </c>
      <c r="AP159" s="407">
        <v>0</v>
      </c>
      <c r="AQ159" s="407">
        <v>0</v>
      </c>
      <c r="AR159" s="407">
        <v>0</v>
      </c>
      <c r="AS159" s="407">
        <v>0</v>
      </c>
      <c r="AT159" s="407">
        <v>0</v>
      </c>
      <c r="AU159" s="407">
        <v>0</v>
      </c>
      <c r="AV159" s="407">
        <v>0</v>
      </c>
      <c r="AW159" s="407">
        <v>0</v>
      </c>
      <c r="AX159" s="407">
        <v>0</v>
      </c>
      <c r="AY159" s="407">
        <v>0</v>
      </c>
      <c r="AZ159" s="407">
        <v>0</v>
      </c>
      <c r="BA159" s="407"/>
      <c r="BB159" s="407">
        <v>0</v>
      </c>
      <c r="BC159" s="407">
        <v>0</v>
      </c>
      <c r="BD159" s="407">
        <v>0</v>
      </c>
      <c r="BE159" s="407">
        <v>0</v>
      </c>
      <c r="BF159" s="407">
        <v>0</v>
      </c>
      <c r="BG159" s="407">
        <v>437.84361007200397</v>
      </c>
      <c r="BH159" s="407">
        <v>0</v>
      </c>
      <c r="BI159" s="407">
        <v>52</v>
      </c>
      <c r="BJ159" s="407">
        <v>244.48</v>
      </c>
      <c r="BK159" s="407">
        <v>1922.92</v>
      </c>
      <c r="BL159" s="407">
        <v>35</v>
      </c>
      <c r="BM159" s="407"/>
      <c r="BN159" s="407"/>
      <c r="BO159" s="407"/>
      <c r="BP159" s="407"/>
      <c r="BQ159" s="407"/>
      <c r="BR159" s="407"/>
      <c r="BS159" s="407"/>
      <c r="BT159" s="407">
        <v>3594.3020999999999</v>
      </c>
      <c r="BU159" s="407"/>
      <c r="BV159" s="407">
        <v>2291.5030075609716</v>
      </c>
      <c r="BW159" s="407"/>
      <c r="BX159" s="407"/>
      <c r="BY159" s="407"/>
      <c r="BZ159" s="407"/>
      <c r="CA159" s="407"/>
      <c r="CB159" s="407"/>
      <c r="CC159" s="407"/>
      <c r="CD159" s="407"/>
      <c r="CE159" s="407"/>
      <c r="CF159" s="407"/>
      <c r="CG159" s="407"/>
      <c r="CH159" s="407"/>
      <c r="CI159" s="407">
        <v>5391.97</v>
      </c>
      <c r="CJ159" s="407">
        <v>-1287.8942900000002</v>
      </c>
      <c r="CK159" s="407"/>
      <c r="CL159" s="407"/>
      <c r="CM159" s="407"/>
      <c r="CN159" s="407"/>
      <c r="CO159" s="407">
        <v>-2205.4428900000003</v>
      </c>
      <c r="CP159" s="407">
        <v>58.285980000000151</v>
      </c>
      <c r="CQ159" s="407">
        <v>29</v>
      </c>
      <c r="CR159" s="407">
        <v>-11.829681906577662</v>
      </c>
      <c r="CS159" s="407">
        <v>0</v>
      </c>
      <c r="CT159" s="407">
        <v>0</v>
      </c>
      <c r="CU159" s="407">
        <v>0</v>
      </c>
      <c r="CV159" s="407">
        <v>0</v>
      </c>
      <c r="CW159" s="407">
        <v>0</v>
      </c>
      <c r="CX159" s="407">
        <v>0</v>
      </c>
      <c r="CY159" s="407">
        <v>0</v>
      </c>
      <c r="CZ159" s="407">
        <v>-83.168922749194962</v>
      </c>
      <c r="DA159" s="407">
        <v>0</v>
      </c>
      <c r="DB159" s="407">
        <v>0</v>
      </c>
      <c r="DC159" s="407">
        <v>58.327639813238648</v>
      </c>
      <c r="DD159" s="407">
        <v>0</v>
      </c>
      <c r="DE159" s="407">
        <v>0</v>
      </c>
      <c r="DF159" s="407">
        <v>0</v>
      </c>
      <c r="DG159" s="407">
        <v>13.777279913129121</v>
      </c>
      <c r="DH159" s="407">
        <v>0</v>
      </c>
      <c r="DI159" s="407">
        <v>0</v>
      </c>
      <c r="DJ159" s="407"/>
      <c r="DK159" s="407">
        <v>0</v>
      </c>
      <c r="DL159" s="407">
        <v>0</v>
      </c>
      <c r="DM159" s="407">
        <v>0</v>
      </c>
      <c r="DN159" s="407">
        <v>0</v>
      </c>
      <c r="DO159" s="407">
        <v>0</v>
      </c>
      <c r="DP159" s="407">
        <v>-0.7656788837502404</v>
      </c>
      <c r="DQ159" s="407">
        <v>0</v>
      </c>
      <c r="DR159" s="407">
        <v>0</v>
      </c>
      <c r="DS159" s="407"/>
      <c r="DT159" s="407"/>
      <c r="DU159" s="407"/>
      <c r="DV159" s="407">
        <v>7222.9275127984274</v>
      </c>
      <c r="DW159" s="407">
        <v>0</v>
      </c>
      <c r="DX159" s="407">
        <v>0</v>
      </c>
      <c r="DY159" s="407">
        <v>-2205.4428900000003</v>
      </c>
      <c r="DZ159" s="407">
        <v>58.285980000000109</v>
      </c>
      <c r="EA159" s="407">
        <v>0</v>
      </c>
      <c r="EB159" s="407">
        <v>0</v>
      </c>
      <c r="EC159" s="407">
        <v>-2135.2113888233707</v>
      </c>
      <c r="ED159" s="407">
        <v>0</v>
      </c>
      <c r="EE159" s="407">
        <v>0</v>
      </c>
      <c r="EF159" s="407">
        <v>0</v>
      </c>
      <c r="EG159" s="407">
        <v>0</v>
      </c>
      <c r="EH159" s="407">
        <v>0</v>
      </c>
      <c r="EI159" s="407">
        <v>0</v>
      </c>
      <c r="EJ159" s="407">
        <v>0</v>
      </c>
      <c r="EK159" s="407">
        <v>0</v>
      </c>
      <c r="EL159" s="407">
        <v>0</v>
      </c>
      <c r="EM159" s="407">
        <v>0</v>
      </c>
      <c r="EN159" s="407">
        <v>0</v>
      </c>
      <c r="EO159" s="407">
        <v>0</v>
      </c>
      <c r="EP159" s="407">
        <v>0</v>
      </c>
      <c r="EQ159" s="407">
        <v>0</v>
      </c>
      <c r="ER159" s="407">
        <v>0</v>
      </c>
      <c r="ES159" s="407">
        <v>0</v>
      </c>
      <c r="ET159" s="407">
        <v>0</v>
      </c>
      <c r="EU159" s="407">
        <v>0</v>
      </c>
      <c r="EV159" s="407">
        <v>207</v>
      </c>
      <c r="EW159" s="407">
        <v>0</v>
      </c>
      <c r="EX159" s="407">
        <v>0</v>
      </c>
      <c r="EY159" s="407">
        <v>0</v>
      </c>
      <c r="EZ159" s="407"/>
      <c r="FA159" s="407">
        <v>0</v>
      </c>
      <c r="FB159" s="407"/>
      <c r="FC159" s="407"/>
      <c r="FD159" s="407"/>
      <c r="FE159" s="407"/>
      <c r="FF159" s="407">
        <v>0</v>
      </c>
      <c r="FG159" s="407">
        <v>0</v>
      </c>
      <c r="FH159" s="407">
        <v>0</v>
      </c>
      <c r="FI159" s="407">
        <v>0</v>
      </c>
    </row>
    <row r="160" spans="1:165">
      <c r="A160" s="407">
        <v>158</v>
      </c>
      <c r="B160" s="407" t="s">
        <v>1092</v>
      </c>
      <c r="C160" s="407" t="s">
        <v>2305</v>
      </c>
      <c r="D160" s="407" t="s">
        <v>1220</v>
      </c>
      <c r="E160" s="407" t="s">
        <v>1023</v>
      </c>
      <c r="F160" s="407" t="s">
        <v>2311</v>
      </c>
      <c r="G160" s="407" t="s">
        <v>96</v>
      </c>
      <c r="H160" s="407" t="s">
        <v>96</v>
      </c>
      <c r="I160" s="407" t="s">
        <v>96</v>
      </c>
      <c r="J160" s="407" t="s">
        <v>2306</v>
      </c>
      <c r="K160" s="815">
        <v>44593</v>
      </c>
      <c r="L160" s="407">
        <v>0</v>
      </c>
      <c r="M160" s="407">
        <v>0</v>
      </c>
      <c r="N160" s="407">
        <v>13.962</v>
      </c>
      <c r="O160" s="407">
        <v>13.962</v>
      </c>
      <c r="P160" s="407">
        <v>13.962</v>
      </c>
      <c r="Q160" s="407">
        <v>13.962</v>
      </c>
      <c r="R160" s="407"/>
      <c r="S160" s="407">
        <v>640</v>
      </c>
      <c r="T160" s="407">
        <v>127.85</v>
      </c>
      <c r="U160" s="407"/>
      <c r="V160" s="407">
        <v>10720.7217</v>
      </c>
      <c r="W160" s="407">
        <v>10720.7217</v>
      </c>
      <c r="X160" s="407">
        <v>8653.0891200000005</v>
      </c>
      <c r="Y160" s="407">
        <v>0</v>
      </c>
      <c r="Z160" s="407">
        <v>0</v>
      </c>
      <c r="AA160" s="407">
        <v>0</v>
      </c>
      <c r="AB160" s="407">
        <v>0</v>
      </c>
      <c r="AC160" s="407">
        <v>0</v>
      </c>
      <c r="AD160" s="407">
        <v>1526.6393509345628</v>
      </c>
      <c r="AE160" s="407">
        <v>6955.4116789910777</v>
      </c>
      <c r="AF160" s="407">
        <v>1785.0053457301167</v>
      </c>
      <c r="AG160" s="407">
        <v>0</v>
      </c>
      <c r="AH160" s="407">
        <v>0</v>
      </c>
      <c r="AI160" s="407">
        <v>0</v>
      </c>
      <c r="AJ160" s="407">
        <v>0</v>
      </c>
      <c r="AK160" s="407">
        <v>0</v>
      </c>
      <c r="AL160" s="407">
        <v>0</v>
      </c>
      <c r="AM160" s="407"/>
      <c r="AN160" s="407">
        <v>31.983637085147976</v>
      </c>
      <c r="AO160" s="407">
        <v>0</v>
      </c>
      <c r="AP160" s="407">
        <v>0</v>
      </c>
      <c r="AQ160" s="407">
        <v>0</v>
      </c>
      <c r="AR160" s="407">
        <v>0</v>
      </c>
      <c r="AS160" s="407">
        <v>0</v>
      </c>
      <c r="AT160" s="407">
        <v>0</v>
      </c>
      <c r="AU160" s="407">
        <v>0</v>
      </c>
      <c r="AV160" s="407">
        <v>0</v>
      </c>
      <c r="AW160" s="407">
        <v>0</v>
      </c>
      <c r="AX160" s="407">
        <v>0</v>
      </c>
      <c r="AY160" s="407">
        <v>0</v>
      </c>
      <c r="AZ160" s="407">
        <v>0</v>
      </c>
      <c r="BA160" s="407"/>
      <c r="BB160" s="407">
        <v>0</v>
      </c>
      <c r="BC160" s="407">
        <v>0</v>
      </c>
      <c r="BD160" s="407">
        <v>0</v>
      </c>
      <c r="BE160" s="407">
        <v>0</v>
      </c>
      <c r="BF160" s="407">
        <v>0</v>
      </c>
      <c r="BG160" s="407">
        <v>421.62718006933716</v>
      </c>
      <c r="BH160" s="407">
        <v>0</v>
      </c>
      <c r="BI160" s="407">
        <v>50.62</v>
      </c>
      <c r="BJ160" s="407">
        <v>235.9</v>
      </c>
      <c r="BK160" s="407">
        <v>2385.73</v>
      </c>
      <c r="BL160" s="407">
        <v>133</v>
      </c>
      <c r="BM160" s="407"/>
      <c r="BN160" s="407"/>
      <c r="BO160" s="407"/>
      <c r="BP160" s="407"/>
      <c r="BQ160" s="407"/>
      <c r="BR160" s="407"/>
      <c r="BS160" s="407"/>
      <c r="BT160" s="407">
        <v>865.36475999999948</v>
      </c>
      <c r="BU160" s="407"/>
      <c r="BV160" s="407">
        <v>2206.632525799454</v>
      </c>
      <c r="BW160" s="407"/>
      <c r="BX160" s="407"/>
      <c r="BY160" s="407"/>
      <c r="BZ160" s="407"/>
      <c r="CA160" s="407"/>
      <c r="CB160" s="407"/>
      <c r="CC160" s="407"/>
      <c r="CD160" s="407"/>
      <c r="CE160" s="407"/>
      <c r="CF160" s="407"/>
      <c r="CG160" s="407"/>
      <c r="CH160" s="407"/>
      <c r="CI160" s="407">
        <v>7786.6088</v>
      </c>
      <c r="CJ160" s="407">
        <v>-1862.0009200000004</v>
      </c>
      <c r="CK160" s="407"/>
      <c r="CL160" s="407"/>
      <c r="CM160" s="407"/>
      <c r="CN160" s="407"/>
      <c r="CO160" s="407">
        <v>-2123.7598200000002</v>
      </c>
      <c r="CP160" s="407">
        <v>56.127240000000143</v>
      </c>
      <c r="CQ160" s="407">
        <v>29</v>
      </c>
      <c r="CR160" s="407">
        <v>-11.391545539667277</v>
      </c>
      <c r="CS160" s="407">
        <v>0</v>
      </c>
      <c r="CT160" s="407">
        <v>0</v>
      </c>
      <c r="CU160" s="407">
        <v>0</v>
      </c>
      <c r="CV160" s="407">
        <v>0</v>
      </c>
      <c r="CW160" s="407">
        <v>0</v>
      </c>
      <c r="CX160" s="407">
        <v>0</v>
      </c>
      <c r="CY160" s="407">
        <v>0</v>
      </c>
      <c r="CZ160" s="407">
        <v>-80.088592277002817</v>
      </c>
      <c r="DA160" s="407">
        <v>0</v>
      </c>
      <c r="DB160" s="407">
        <v>0</v>
      </c>
      <c r="DC160" s="407">
        <v>56.167356857192772</v>
      </c>
      <c r="DD160" s="407">
        <v>0</v>
      </c>
      <c r="DE160" s="407">
        <v>0</v>
      </c>
      <c r="DF160" s="407">
        <v>0</v>
      </c>
      <c r="DG160" s="407">
        <v>13.267010286716868</v>
      </c>
      <c r="DH160" s="407">
        <v>0</v>
      </c>
      <c r="DI160" s="407">
        <v>0</v>
      </c>
      <c r="DJ160" s="407"/>
      <c r="DK160" s="407">
        <v>0</v>
      </c>
      <c r="DL160" s="407">
        <v>0</v>
      </c>
      <c r="DM160" s="407">
        <v>0</v>
      </c>
      <c r="DN160" s="407">
        <v>0</v>
      </c>
      <c r="DO160" s="407">
        <v>0</v>
      </c>
      <c r="DP160" s="407">
        <v>-0.73732040657430176</v>
      </c>
      <c r="DQ160" s="407">
        <v>0</v>
      </c>
      <c r="DR160" s="407">
        <v>0</v>
      </c>
      <c r="DS160" s="407"/>
      <c r="DT160" s="407"/>
      <c r="DU160" s="407"/>
      <c r="DV160" s="407">
        <v>6955.4116789910777</v>
      </c>
      <c r="DW160" s="407">
        <v>0</v>
      </c>
      <c r="DX160" s="407">
        <v>0</v>
      </c>
      <c r="DY160" s="407">
        <v>-2123.7598200000002</v>
      </c>
      <c r="DZ160" s="407">
        <v>56.127240000000029</v>
      </c>
      <c r="EA160" s="407">
        <v>0</v>
      </c>
      <c r="EB160" s="407">
        <v>0</v>
      </c>
      <c r="EC160" s="407">
        <v>-2056.1294855336164</v>
      </c>
      <c r="ED160" s="407">
        <v>0</v>
      </c>
      <c r="EE160" s="407">
        <v>0</v>
      </c>
      <c r="EF160" s="407">
        <v>0</v>
      </c>
      <c r="EG160" s="407">
        <v>0</v>
      </c>
      <c r="EH160" s="407">
        <v>0</v>
      </c>
      <c r="EI160" s="407">
        <v>0</v>
      </c>
      <c r="EJ160" s="407">
        <v>0</v>
      </c>
      <c r="EK160" s="407">
        <v>0</v>
      </c>
      <c r="EL160" s="407">
        <v>0</v>
      </c>
      <c r="EM160" s="407">
        <v>0</v>
      </c>
      <c r="EN160" s="407">
        <v>0</v>
      </c>
      <c r="EO160" s="407">
        <v>0</v>
      </c>
      <c r="EP160" s="407">
        <v>0</v>
      </c>
      <c r="EQ160" s="407">
        <v>0</v>
      </c>
      <c r="ER160" s="407">
        <v>0</v>
      </c>
      <c r="ES160" s="407">
        <v>0</v>
      </c>
      <c r="ET160" s="407">
        <v>0</v>
      </c>
      <c r="EU160" s="407">
        <v>0</v>
      </c>
      <c r="EV160" s="407">
        <v>207</v>
      </c>
      <c r="EW160" s="407">
        <v>0</v>
      </c>
      <c r="EX160" s="407">
        <v>0</v>
      </c>
      <c r="EY160" s="407">
        <v>0</v>
      </c>
      <c r="EZ160" s="407"/>
      <c r="FA160" s="407">
        <v>0</v>
      </c>
      <c r="FB160" s="407"/>
      <c r="FC160" s="407"/>
      <c r="FD160" s="407"/>
      <c r="FE160" s="407"/>
      <c r="FF160" s="407">
        <v>0</v>
      </c>
      <c r="FG160" s="407">
        <v>0</v>
      </c>
      <c r="FH160" s="407">
        <v>0</v>
      </c>
      <c r="FI160" s="407">
        <v>0</v>
      </c>
    </row>
    <row r="161" spans="1:165">
      <c r="A161" s="407">
        <v>159</v>
      </c>
      <c r="B161" s="407" t="s">
        <v>1092</v>
      </c>
      <c r="C161" s="407" t="s">
        <v>2305</v>
      </c>
      <c r="D161" s="407" t="s">
        <v>1220</v>
      </c>
      <c r="E161" s="407" t="s">
        <v>1023</v>
      </c>
      <c r="F161" s="407" t="s">
        <v>2312</v>
      </c>
      <c r="G161" s="407" t="s">
        <v>96</v>
      </c>
      <c r="H161" s="407" t="s">
        <v>96</v>
      </c>
      <c r="I161" s="407" t="s">
        <v>96</v>
      </c>
      <c r="J161" s="407" t="s">
        <v>2306</v>
      </c>
      <c r="K161" s="815">
        <v>44593</v>
      </c>
      <c r="L161" s="407">
        <v>0</v>
      </c>
      <c r="M161" s="407">
        <v>0</v>
      </c>
      <c r="N161" s="407">
        <v>5.1289999999999996</v>
      </c>
      <c r="O161" s="407">
        <v>5.1289999999999996</v>
      </c>
      <c r="P161" s="407">
        <v>5.1289999999999996</v>
      </c>
      <c r="Q161" s="407">
        <v>5.1289999999999996</v>
      </c>
      <c r="R161" s="407"/>
      <c r="S161" s="407">
        <v>640</v>
      </c>
      <c r="T161" s="407">
        <v>127.85</v>
      </c>
      <c r="U161" s="407"/>
      <c r="V161" s="407">
        <v>3938.3026499999996</v>
      </c>
      <c r="W161" s="407">
        <v>3938.3026499999996</v>
      </c>
      <c r="X161" s="407">
        <v>3178.7490399999997</v>
      </c>
      <c r="Y161" s="407">
        <v>0</v>
      </c>
      <c r="Z161" s="407">
        <v>0</v>
      </c>
      <c r="AA161" s="407">
        <v>0</v>
      </c>
      <c r="AB161" s="407">
        <v>0</v>
      </c>
      <c r="AC161" s="407">
        <v>0</v>
      </c>
      <c r="AD161" s="407">
        <v>560.81744957336855</v>
      </c>
      <c r="AE161" s="407">
        <v>2555.1000215975673</v>
      </c>
      <c r="AF161" s="407">
        <v>655.72929510455299</v>
      </c>
      <c r="AG161" s="407">
        <v>0</v>
      </c>
      <c r="AH161" s="407">
        <v>0</v>
      </c>
      <c r="AI161" s="407">
        <v>0</v>
      </c>
      <c r="AJ161" s="407">
        <v>0</v>
      </c>
      <c r="AK161" s="407">
        <v>0</v>
      </c>
      <c r="AL161" s="407">
        <v>0</v>
      </c>
      <c r="AM161" s="407"/>
      <c r="AN161" s="407">
        <v>11.749324925492333</v>
      </c>
      <c r="AO161" s="407">
        <v>0</v>
      </c>
      <c r="AP161" s="407">
        <v>0</v>
      </c>
      <c r="AQ161" s="407">
        <v>0</v>
      </c>
      <c r="AR161" s="407">
        <v>0</v>
      </c>
      <c r="AS161" s="407">
        <v>0</v>
      </c>
      <c r="AT161" s="407">
        <v>0</v>
      </c>
      <c r="AU161" s="407">
        <v>0</v>
      </c>
      <c r="AV161" s="407">
        <v>0</v>
      </c>
      <c r="AW161" s="407">
        <v>0</v>
      </c>
      <c r="AX161" s="407">
        <v>0</v>
      </c>
      <c r="AY161" s="407">
        <v>0</v>
      </c>
      <c r="AZ161" s="407">
        <v>0</v>
      </c>
      <c r="BA161" s="407"/>
      <c r="BB161" s="407">
        <v>0</v>
      </c>
      <c r="BC161" s="407">
        <v>0</v>
      </c>
      <c r="BD161" s="407">
        <v>0</v>
      </c>
      <c r="BE161" s="407">
        <v>0</v>
      </c>
      <c r="BF161" s="407">
        <v>0</v>
      </c>
      <c r="BG161" s="407">
        <v>154.88653535135583</v>
      </c>
      <c r="BH161" s="407">
        <v>0</v>
      </c>
      <c r="BI161" s="407">
        <v>16.73</v>
      </c>
      <c r="BJ161" s="407">
        <v>77.16</v>
      </c>
      <c r="BK161" s="407">
        <v>1208.7</v>
      </c>
      <c r="BL161" s="407">
        <v>52</v>
      </c>
      <c r="BM161" s="407"/>
      <c r="BN161" s="407"/>
      <c r="BO161" s="407"/>
      <c r="BP161" s="407"/>
      <c r="BQ161" s="407"/>
      <c r="BR161" s="407"/>
      <c r="BS161" s="407"/>
      <c r="BT161" s="407"/>
      <c r="BU161" s="407"/>
      <c r="BV161" s="407">
        <v>810.61583045590885</v>
      </c>
      <c r="BW161" s="407"/>
      <c r="BX161" s="407"/>
      <c r="BY161" s="407"/>
      <c r="BZ161" s="407"/>
      <c r="CA161" s="407"/>
      <c r="CB161" s="407"/>
      <c r="CC161" s="407"/>
      <c r="CD161" s="407"/>
      <c r="CE161" s="407"/>
      <c r="CF161" s="407"/>
      <c r="CG161" s="407"/>
      <c r="CH161" s="407"/>
      <c r="CI161" s="407">
        <v>3179.3688000000002</v>
      </c>
      <c r="CJ161" s="407">
        <v>-758.96385000000009</v>
      </c>
      <c r="CK161" s="407"/>
      <c r="CL161" s="407"/>
      <c r="CM161" s="407"/>
      <c r="CN161" s="407"/>
      <c r="CO161" s="407">
        <v>-780.17219</v>
      </c>
      <c r="CP161" s="407">
        <v>20.618580000000051</v>
      </c>
      <c r="CQ161" s="407">
        <v>29</v>
      </c>
      <c r="CR161" s="407">
        <v>-4.1847326366535071</v>
      </c>
      <c r="CS161" s="407">
        <v>0</v>
      </c>
      <c r="CT161" s="407">
        <v>0</v>
      </c>
      <c r="CU161" s="407">
        <v>0</v>
      </c>
      <c r="CV161" s="407">
        <v>0</v>
      </c>
      <c r="CW161" s="407">
        <v>0</v>
      </c>
      <c r="CX161" s="407">
        <v>0</v>
      </c>
      <c r="CY161" s="407">
        <v>0</v>
      </c>
      <c r="CZ161" s="407">
        <v>-29.420884528631063</v>
      </c>
      <c r="DA161" s="407">
        <v>0</v>
      </c>
      <c r="DB161" s="407">
        <v>0</v>
      </c>
      <c r="DC161" s="407">
        <v>20.633317097875761</v>
      </c>
      <c r="DD161" s="407">
        <v>0</v>
      </c>
      <c r="DE161" s="407">
        <v>0</v>
      </c>
      <c r="DF161" s="407">
        <v>0</v>
      </c>
      <c r="DG161" s="407">
        <v>4.8736925770355981</v>
      </c>
      <c r="DH161" s="407">
        <v>0</v>
      </c>
      <c r="DI161" s="407">
        <v>0</v>
      </c>
      <c r="DJ161" s="407"/>
      <c r="DK161" s="407">
        <v>0</v>
      </c>
      <c r="DL161" s="407">
        <v>0</v>
      </c>
      <c r="DM161" s="407">
        <v>0</v>
      </c>
      <c r="DN161" s="407">
        <v>0</v>
      </c>
      <c r="DO161" s="407">
        <v>0</v>
      </c>
      <c r="DP161" s="407">
        <v>-0.27085778293364804</v>
      </c>
      <c r="DQ161" s="407">
        <v>0</v>
      </c>
      <c r="DR161" s="407">
        <v>0</v>
      </c>
      <c r="DS161" s="407"/>
      <c r="DT161" s="407"/>
      <c r="DU161" s="407"/>
      <c r="DV161" s="407">
        <v>2555.1000215975673</v>
      </c>
      <c r="DW161" s="407">
        <v>0</v>
      </c>
      <c r="DX161" s="407">
        <v>0</v>
      </c>
      <c r="DY161" s="407">
        <v>-780.17218999999977</v>
      </c>
      <c r="DZ161" s="407">
        <v>20.618580000000065</v>
      </c>
      <c r="EA161" s="407">
        <v>0</v>
      </c>
      <c r="EB161" s="407">
        <v>0</v>
      </c>
      <c r="EC161" s="407">
        <v>-755.32789939134204</v>
      </c>
      <c r="ED161" s="407">
        <v>0</v>
      </c>
      <c r="EE161" s="407">
        <v>0</v>
      </c>
      <c r="EF161" s="407">
        <v>0</v>
      </c>
      <c r="EG161" s="407">
        <v>0</v>
      </c>
      <c r="EH161" s="407">
        <v>0</v>
      </c>
      <c r="EI161" s="407">
        <v>0</v>
      </c>
      <c r="EJ161" s="407">
        <v>0</v>
      </c>
      <c r="EK161" s="407">
        <v>0</v>
      </c>
      <c r="EL161" s="407">
        <v>0</v>
      </c>
      <c r="EM161" s="407">
        <v>0</v>
      </c>
      <c r="EN161" s="407">
        <v>0</v>
      </c>
      <c r="EO161" s="407">
        <v>0</v>
      </c>
      <c r="EP161" s="407">
        <v>0</v>
      </c>
      <c r="EQ161" s="407">
        <v>0</v>
      </c>
      <c r="ER161" s="407">
        <v>0</v>
      </c>
      <c r="ES161" s="407">
        <v>0</v>
      </c>
      <c r="ET161" s="407">
        <v>0</v>
      </c>
      <c r="EU161" s="407">
        <v>0</v>
      </c>
      <c r="EV161" s="407">
        <v>207</v>
      </c>
      <c r="EW161" s="407">
        <v>0</v>
      </c>
      <c r="EX161" s="407">
        <v>0</v>
      </c>
      <c r="EY161" s="407">
        <v>0</v>
      </c>
      <c r="EZ161" s="407"/>
      <c r="FA161" s="407">
        <v>0</v>
      </c>
      <c r="FB161" s="407"/>
      <c r="FC161" s="407"/>
      <c r="FD161" s="407"/>
      <c r="FE161" s="407"/>
      <c r="FF161" s="407">
        <v>0</v>
      </c>
      <c r="FG161" s="407">
        <v>0</v>
      </c>
      <c r="FH161" s="407">
        <v>0</v>
      </c>
      <c r="FI161" s="407">
        <v>0</v>
      </c>
    </row>
    <row r="162" spans="1:165">
      <c r="A162" s="407">
        <v>160</v>
      </c>
      <c r="B162" s="407" t="s">
        <v>1092</v>
      </c>
      <c r="C162" s="407" t="s">
        <v>2313</v>
      </c>
      <c r="D162" s="407" t="s">
        <v>1220</v>
      </c>
      <c r="E162" s="407" t="s">
        <v>1023</v>
      </c>
      <c r="F162" s="407" t="s">
        <v>1023</v>
      </c>
      <c r="G162" s="407" t="s">
        <v>96</v>
      </c>
      <c r="H162" s="407" t="s">
        <v>96</v>
      </c>
      <c r="I162" s="407" t="s">
        <v>1027</v>
      </c>
      <c r="J162" s="407" t="s">
        <v>2306</v>
      </c>
      <c r="K162" s="815">
        <v>44593</v>
      </c>
      <c r="L162" s="407">
        <v>0</v>
      </c>
      <c r="M162" s="407">
        <v>0</v>
      </c>
      <c r="N162" s="407">
        <v>2.9000000000000001E-2</v>
      </c>
      <c r="O162" s="407">
        <v>2.9000000000000001E-2</v>
      </c>
      <c r="P162" s="407">
        <v>2.9000000000000001E-2</v>
      </c>
      <c r="Q162" s="407">
        <v>2.9000000000000001E-2</v>
      </c>
      <c r="R162" s="407"/>
      <c r="S162" s="407">
        <v>1864.71</v>
      </c>
      <c r="T162" s="407">
        <v>127.85</v>
      </c>
      <c r="U162" s="407"/>
      <c r="V162" s="407">
        <v>57.784240000000004</v>
      </c>
      <c r="W162" s="407">
        <v>57.784240000000004</v>
      </c>
      <c r="X162" s="407">
        <v>45.014090000000003</v>
      </c>
      <c r="Y162" s="407">
        <v>0</v>
      </c>
      <c r="Z162" s="407">
        <v>1.7711772227433789</v>
      </c>
      <c r="AA162" s="407">
        <v>0</v>
      </c>
      <c r="AB162" s="407">
        <v>0</v>
      </c>
      <c r="AC162" s="407">
        <v>0</v>
      </c>
      <c r="AD162" s="407">
        <v>9.1935604873048469</v>
      </c>
      <c r="AE162" s="407">
        <v>41.895875756100871</v>
      </c>
      <c r="AF162" s="407">
        <v>3.7075744897703329</v>
      </c>
      <c r="AG162" s="407">
        <v>0</v>
      </c>
      <c r="AH162" s="407">
        <v>0</v>
      </c>
      <c r="AI162" s="407">
        <v>0</v>
      </c>
      <c r="AJ162" s="407">
        <v>0</v>
      </c>
      <c r="AK162" s="407">
        <v>0</v>
      </c>
      <c r="AL162" s="407">
        <v>0.27391362508240341</v>
      </c>
      <c r="AM162" s="407"/>
      <c r="AN162" s="407">
        <v>6.6432135472660886E-2</v>
      </c>
      <c r="AO162" s="407">
        <v>0</v>
      </c>
      <c r="AP162" s="407">
        <v>0</v>
      </c>
      <c r="AQ162" s="407">
        <v>0</v>
      </c>
      <c r="AR162" s="407">
        <v>0</v>
      </c>
      <c r="AS162" s="407">
        <v>0</v>
      </c>
      <c r="AT162" s="407">
        <v>0</v>
      </c>
      <c r="AU162" s="407">
        <v>0</v>
      </c>
      <c r="AV162" s="407">
        <v>0</v>
      </c>
      <c r="AW162" s="407">
        <v>0</v>
      </c>
      <c r="AX162" s="407">
        <v>0</v>
      </c>
      <c r="AY162" s="407">
        <v>0</v>
      </c>
      <c r="AZ162" s="407">
        <v>0</v>
      </c>
      <c r="BA162" s="407"/>
      <c r="BB162" s="407">
        <v>0</v>
      </c>
      <c r="BC162" s="407">
        <v>0</v>
      </c>
      <c r="BD162" s="407">
        <v>0</v>
      </c>
      <c r="BE162" s="407">
        <v>0</v>
      </c>
      <c r="BF162" s="407">
        <v>0</v>
      </c>
      <c r="BG162" s="407">
        <v>0.87574761653135502</v>
      </c>
      <c r="BH162" s="407">
        <v>0</v>
      </c>
      <c r="BI162" s="407">
        <v>0</v>
      </c>
      <c r="BJ162" s="407">
        <v>0</v>
      </c>
      <c r="BK162" s="407">
        <v>0</v>
      </c>
      <c r="BL162" s="407">
        <v>0</v>
      </c>
      <c r="BM162" s="407"/>
      <c r="BN162" s="407"/>
      <c r="BO162" s="407"/>
      <c r="BP162" s="407"/>
      <c r="BQ162" s="407"/>
      <c r="BR162" s="407"/>
      <c r="BS162" s="407"/>
      <c r="BT162" s="407"/>
      <c r="BU162" s="407"/>
      <c r="BV162" s="407">
        <v>4.5833221063016882</v>
      </c>
      <c r="BW162" s="407"/>
      <c r="BX162" s="407"/>
      <c r="BY162" s="407"/>
      <c r="BZ162" s="407"/>
      <c r="CA162" s="407"/>
      <c r="CB162" s="407"/>
      <c r="CC162" s="407"/>
      <c r="CD162" s="407"/>
      <c r="CE162" s="407"/>
      <c r="CF162" s="407"/>
      <c r="CG162" s="407"/>
      <c r="CH162" s="407"/>
      <c r="CI162" s="407">
        <v>46.566299999999998</v>
      </c>
      <c r="CJ162" s="407">
        <v>-11.24794</v>
      </c>
      <c r="CK162" s="407"/>
      <c r="CL162" s="407"/>
      <c r="CM162" s="407"/>
      <c r="CN162" s="407"/>
      <c r="CO162" s="407">
        <v>-12.886730000000004</v>
      </c>
      <c r="CP162" s="407">
        <v>0.11658000000000031</v>
      </c>
      <c r="CQ162" s="407">
        <v>29</v>
      </c>
      <c r="CR162" s="407">
        <v>-0.38517508701399983</v>
      </c>
      <c r="CS162" s="407">
        <v>0</v>
      </c>
      <c r="CT162" s="407">
        <v>0</v>
      </c>
      <c r="CU162" s="407">
        <v>0</v>
      </c>
      <c r="CV162" s="407">
        <v>0</v>
      </c>
      <c r="CW162" s="407">
        <v>0</v>
      </c>
      <c r="CX162" s="407">
        <v>0</v>
      </c>
      <c r="CY162" s="407">
        <v>0</v>
      </c>
      <c r="CZ162" s="407">
        <v>-0.48230075884718637</v>
      </c>
      <c r="DA162" s="407">
        <v>0</v>
      </c>
      <c r="DB162" s="407">
        <v>0</v>
      </c>
      <c r="DC162" s="407">
        <v>0.11666332537305468</v>
      </c>
      <c r="DD162" s="407">
        <v>0</v>
      </c>
      <c r="DE162" s="407">
        <v>0</v>
      </c>
      <c r="DF162" s="407">
        <v>0</v>
      </c>
      <c r="DG162" s="407">
        <v>2.7556460271794148E-2</v>
      </c>
      <c r="DH162" s="407">
        <v>0</v>
      </c>
      <c r="DI162" s="407">
        <v>-4.0335821744689859E-2</v>
      </c>
      <c r="DJ162" s="407"/>
      <c r="DK162" s="407">
        <v>0</v>
      </c>
      <c r="DL162" s="407">
        <v>0</v>
      </c>
      <c r="DM162" s="407">
        <v>0</v>
      </c>
      <c r="DN162" s="407">
        <v>0</v>
      </c>
      <c r="DO162" s="407">
        <v>-5.226828681307083E-3</v>
      </c>
      <c r="DP162" s="407">
        <v>-1.5314633856649967E-3</v>
      </c>
      <c r="DQ162" s="407">
        <v>0</v>
      </c>
      <c r="DR162" s="407">
        <v>0</v>
      </c>
      <c r="DS162" s="407"/>
      <c r="DT162" s="407"/>
      <c r="DU162" s="407"/>
      <c r="DV162" s="407">
        <v>41.895875756100871</v>
      </c>
      <c r="DW162" s="407">
        <v>0</v>
      </c>
      <c r="DX162" s="407">
        <v>0</v>
      </c>
      <c r="DY162" s="407">
        <v>-12.88673</v>
      </c>
      <c r="DZ162" s="407">
        <v>0.11658000000000035</v>
      </c>
      <c r="EA162" s="407">
        <v>0</v>
      </c>
      <c r="EB162" s="407">
        <v>0</v>
      </c>
      <c r="EC162" s="407">
        <v>-12.385082212253369</v>
      </c>
      <c r="ED162" s="407">
        <v>0</v>
      </c>
      <c r="EE162" s="407">
        <v>0</v>
      </c>
      <c r="EF162" s="407">
        <v>0</v>
      </c>
      <c r="EG162" s="407">
        <v>0</v>
      </c>
      <c r="EH162" s="407">
        <v>0</v>
      </c>
      <c r="EI162" s="407">
        <v>0</v>
      </c>
      <c r="EJ162" s="407">
        <v>0</v>
      </c>
      <c r="EK162" s="407">
        <v>0</v>
      </c>
      <c r="EL162" s="407">
        <v>0</v>
      </c>
      <c r="EM162" s="407">
        <v>0</v>
      </c>
      <c r="EN162" s="407">
        <v>0</v>
      </c>
      <c r="EO162" s="407">
        <v>0</v>
      </c>
      <c r="EP162" s="407">
        <v>0</v>
      </c>
      <c r="EQ162" s="407">
        <v>0</v>
      </c>
      <c r="ER162" s="407">
        <v>0</v>
      </c>
      <c r="ES162" s="407">
        <v>0</v>
      </c>
      <c r="ET162" s="407">
        <v>0</v>
      </c>
      <c r="EU162" s="407">
        <v>0</v>
      </c>
      <c r="EV162" s="407">
        <v>207</v>
      </c>
      <c r="EW162" s="407">
        <v>0</v>
      </c>
      <c r="EX162" s="407">
        <v>0</v>
      </c>
      <c r="EY162" s="407">
        <v>0</v>
      </c>
      <c r="EZ162" s="407"/>
      <c r="FA162" s="407">
        <v>0</v>
      </c>
      <c r="FB162" s="407"/>
      <c r="FC162" s="407"/>
      <c r="FD162" s="407"/>
      <c r="FE162" s="407"/>
      <c r="FF162" s="407">
        <v>0</v>
      </c>
      <c r="FG162" s="407">
        <v>0</v>
      </c>
      <c r="FH162" s="407">
        <v>0</v>
      </c>
      <c r="FI162" s="407">
        <v>0</v>
      </c>
    </row>
    <row r="163" spans="1:165">
      <c r="A163" s="407">
        <v>161</v>
      </c>
      <c r="B163" s="407" t="s">
        <v>1092</v>
      </c>
      <c r="C163" s="407" t="s">
        <v>2313</v>
      </c>
      <c r="D163" s="407" t="s">
        <v>1220</v>
      </c>
      <c r="E163" s="407" t="s">
        <v>1023</v>
      </c>
      <c r="F163" s="407" t="s">
        <v>1023</v>
      </c>
      <c r="G163" s="407" t="s">
        <v>96</v>
      </c>
      <c r="H163" s="407" t="s">
        <v>96</v>
      </c>
      <c r="I163" s="407" t="s">
        <v>2290</v>
      </c>
      <c r="J163" s="407" t="s">
        <v>2306</v>
      </c>
      <c r="K163" s="815">
        <v>44593</v>
      </c>
      <c r="L163" s="407">
        <v>0</v>
      </c>
      <c r="M163" s="407">
        <v>0</v>
      </c>
      <c r="N163" s="407">
        <v>0.27400000000000002</v>
      </c>
      <c r="O163" s="407">
        <v>0.27400000000000002</v>
      </c>
      <c r="P163" s="407">
        <v>0.27400000000000002</v>
      </c>
      <c r="Q163" s="407">
        <v>0.27400000000000002</v>
      </c>
      <c r="R163" s="407"/>
      <c r="S163" s="407">
        <v>455.34</v>
      </c>
      <c r="T163" s="407">
        <v>127.85</v>
      </c>
      <c r="U163" s="407"/>
      <c r="V163" s="407">
        <v>159.79406</v>
      </c>
      <c r="W163" s="407">
        <v>159.79406</v>
      </c>
      <c r="X163" s="407">
        <v>136.39720000000003</v>
      </c>
      <c r="Y163" s="407">
        <v>0</v>
      </c>
      <c r="Z163" s="407">
        <v>16.734571001092615</v>
      </c>
      <c r="AA163" s="407">
        <v>0</v>
      </c>
      <c r="AB163" s="407">
        <v>0</v>
      </c>
      <c r="AC163" s="407">
        <v>0</v>
      </c>
      <c r="AD163" s="407">
        <v>17.369955781688528</v>
      </c>
      <c r="AE163" s="407">
        <v>79.168715420083345</v>
      </c>
      <c r="AF163" s="407">
        <v>35.030186558519702</v>
      </c>
      <c r="AG163" s="407">
        <v>0</v>
      </c>
      <c r="AH163" s="407">
        <v>0</v>
      </c>
      <c r="AI163" s="407">
        <v>0</v>
      </c>
      <c r="AJ163" s="407">
        <v>0</v>
      </c>
      <c r="AK163" s="407">
        <v>0</v>
      </c>
      <c r="AL163" s="407">
        <v>2.588011492157881</v>
      </c>
      <c r="AM163" s="407"/>
      <c r="AN163" s="407">
        <v>0.62766914205203739</v>
      </c>
      <c r="AO163" s="407">
        <v>0</v>
      </c>
      <c r="AP163" s="407">
        <v>0</v>
      </c>
      <c r="AQ163" s="407">
        <v>0</v>
      </c>
      <c r="AR163" s="407">
        <v>0</v>
      </c>
      <c r="AS163" s="407">
        <v>0</v>
      </c>
      <c r="AT163" s="407">
        <v>0</v>
      </c>
      <c r="AU163" s="407">
        <v>0</v>
      </c>
      <c r="AV163" s="407">
        <v>0</v>
      </c>
      <c r="AW163" s="407">
        <v>0</v>
      </c>
      <c r="AX163" s="407">
        <v>0</v>
      </c>
      <c r="AY163" s="407">
        <v>0</v>
      </c>
      <c r="AZ163" s="407">
        <v>0</v>
      </c>
      <c r="BA163" s="407"/>
      <c r="BB163" s="407">
        <v>0</v>
      </c>
      <c r="BC163" s="407">
        <v>0</v>
      </c>
      <c r="BD163" s="407">
        <v>0</v>
      </c>
      <c r="BE163" s="407">
        <v>0</v>
      </c>
      <c r="BF163" s="407">
        <v>0</v>
      </c>
      <c r="BG163" s="407">
        <v>8.2743050665376305</v>
      </c>
      <c r="BH163" s="407">
        <v>0</v>
      </c>
      <c r="BI163" s="407">
        <v>0</v>
      </c>
      <c r="BJ163" s="407">
        <v>0</v>
      </c>
      <c r="BK163" s="407">
        <v>0</v>
      </c>
      <c r="BL163" s="407">
        <v>0</v>
      </c>
      <c r="BM163" s="407"/>
      <c r="BN163" s="407"/>
      <c r="BO163" s="407"/>
      <c r="BP163" s="407"/>
      <c r="BQ163" s="407"/>
      <c r="BR163" s="407"/>
      <c r="BS163" s="407"/>
      <c r="BT163" s="407"/>
      <c r="BU163" s="407"/>
      <c r="BV163" s="407">
        <v>43.304491625057331</v>
      </c>
      <c r="BW163" s="407"/>
      <c r="BX163" s="407"/>
      <c r="BY163" s="407"/>
      <c r="BZ163" s="407"/>
      <c r="CA163" s="407"/>
      <c r="CB163" s="407"/>
      <c r="CC163" s="407"/>
      <c r="CD163" s="407"/>
      <c r="CE163" s="407"/>
      <c r="CF163" s="407"/>
      <c r="CG163" s="407"/>
      <c r="CH163" s="407"/>
      <c r="CI163" s="407">
        <v>134.40600000000001</v>
      </c>
      <c r="CJ163" s="407">
        <v>-25.418059999999997</v>
      </c>
      <c r="CK163" s="407"/>
      <c r="CL163" s="407"/>
      <c r="CM163" s="407"/>
      <c r="CN163" s="407"/>
      <c r="CO163" s="407">
        <v>-24.498339999999992</v>
      </c>
      <c r="CP163" s="407">
        <v>1.1014800000000029</v>
      </c>
      <c r="CQ163" s="407">
        <v>29</v>
      </c>
      <c r="CR163" s="407">
        <v>6.4298366211374969E-3</v>
      </c>
      <c r="CS163" s="407">
        <v>0</v>
      </c>
      <c r="CT163" s="407">
        <v>0</v>
      </c>
      <c r="CU163" s="407">
        <v>0</v>
      </c>
      <c r="CV163" s="407">
        <v>0</v>
      </c>
      <c r="CW163" s="407">
        <v>0</v>
      </c>
      <c r="CX163" s="407">
        <v>0</v>
      </c>
      <c r="CY163" s="407">
        <v>0</v>
      </c>
      <c r="CZ163" s="407">
        <v>-0.91124030414757939</v>
      </c>
      <c r="DA163" s="407">
        <v>0</v>
      </c>
      <c r="DB163" s="407">
        <v>0</v>
      </c>
      <c r="DC163" s="407">
        <v>1.102267281110926</v>
      </c>
      <c r="DD163" s="407">
        <v>0</v>
      </c>
      <c r="DE163" s="407">
        <v>0</v>
      </c>
      <c r="DF163" s="407">
        <v>0</v>
      </c>
      <c r="DG163" s="407">
        <v>0.2603610384300552</v>
      </c>
      <c r="DH163" s="407">
        <v>0</v>
      </c>
      <c r="DI163" s="407">
        <v>-0.38110397096706805</v>
      </c>
      <c r="DJ163" s="407"/>
      <c r="DK163" s="407">
        <v>0</v>
      </c>
      <c r="DL163" s="407">
        <v>0</v>
      </c>
      <c r="DM163" s="407">
        <v>0</v>
      </c>
      <c r="DN163" s="407">
        <v>0</v>
      </c>
      <c r="DO163" s="407">
        <v>-4.9384519264763949E-2</v>
      </c>
      <c r="DP163" s="407">
        <v>-1.4469688540421077E-2</v>
      </c>
      <c r="DQ163" s="407">
        <v>0</v>
      </c>
      <c r="DR163" s="407">
        <v>0</v>
      </c>
      <c r="DS163" s="407"/>
      <c r="DT163" s="407"/>
      <c r="DU163" s="407"/>
      <c r="DV163" s="407">
        <v>79.168715420083345</v>
      </c>
      <c r="DW163" s="407">
        <v>0</v>
      </c>
      <c r="DX163" s="407">
        <v>0</v>
      </c>
      <c r="DY163" s="407">
        <v>-24.498339999999985</v>
      </c>
      <c r="DZ163" s="407">
        <v>1.1014800000000022</v>
      </c>
      <c r="EA163" s="407">
        <v>0</v>
      </c>
      <c r="EB163" s="407">
        <v>0</v>
      </c>
      <c r="EC163" s="407">
        <v>-23.403521979688904</v>
      </c>
      <c r="ED163" s="407">
        <v>0</v>
      </c>
      <c r="EE163" s="407">
        <v>0</v>
      </c>
      <c r="EF163" s="407">
        <v>0</v>
      </c>
      <c r="EG163" s="407">
        <v>0</v>
      </c>
      <c r="EH163" s="407">
        <v>0</v>
      </c>
      <c r="EI163" s="407">
        <v>0</v>
      </c>
      <c r="EJ163" s="407">
        <v>0</v>
      </c>
      <c r="EK163" s="407">
        <v>0</v>
      </c>
      <c r="EL163" s="407">
        <v>0</v>
      </c>
      <c r="EM163" s="407">
        <v>0</v>
      </c>
      <c r="EN163" s="407">
        <v>0</v>
      </c>
      <c r="EO163" s="407">
        <v>0</v>
      </c>
      <c r="EP163" s="407">
        <v>0</v>
      </c>
      <c r="EQ163" s="407">
        <v>0</v>
      </c>
      <c r="ER163" s="407">
        <v>0</v>
      </c>
      <c r="ES163" s="407">
        <v>0</v>
      </c>
      <c r="ET163" s="407">
        <v>0</v>
      </c>
      <c r="EU163" s="407">
        <v>0</v>
      </c>
      <c r="EV163" s="407">
        <v>207</v>
      </c>
      <c r="EW163" s="407">
        <v>0</v>
      </c>
      <c r="EX163" s="407">
        <v>0</v>
      </c>
      <c r="EY163" s="407">
        <v>0</v>
      </c>
      <c r="EZ163" s="407"/>
      <c r="FA163" s="407">
        <v>0</v>
      </c>
      <c r="FB163" s="407"/>
      <c r="FC163" s="407"/>
      <c r="FD163" s="407"/>
      <c r="FE163" s="407"/>
      <c r="FF163" s="407">
        <v>0</v>
      </c>
      <c r="FG163" s="407">
        <v>0</v>
      </c>
      <c r="FH163" s="407">
        <v>0</v>
      </c>
      <c r="FI163" s="407">
        <v>0</v>
      </c>
    </row>
    <row r="164" spans="1:165">
      <c r="A164" s="407">
        <v>162</v>
      </c>
      <c r="B164" s="407" t="s">
        <v>1092</v>
      </c>
      <c r="C164" s="407" t="s">
        <v>2313</v>
      </c>
      <c r="D164" s="407" t="s">
        <v>1220</v>
      </c>
      <c r="E164" s="407" t="s">
        <v>1023</v>
      </c>
      <c r="F164" s="407" t="s">
        <v>1023</v>
      </c>
      <c r="G164" s="407" t="s">
        <v>96</v>
      </c>
      <c r="H164" s="407" t="s">
        <v>96</v>
      </c>
      <c r="I164" s="407" t="s">
        <v>96</v>
      </c>
      <c r="J164" s="407" t="s">
        <v>2306</v>
      </c>
      <c r="K164" s="815">
        <v>44593</v>
      </c>
      <c r="L164" s="407">
        <v>0</v>
      </c>
      <c r="M164" s="407">
        <v>0</v>
      </c>
      <c r="N164" s="407">
        <v>0</v>
      </c>
      <c r="O164" s="407">
        <v>0</v>
      </c>
      <c r="P164" s="407">
        <v>0</v>
      </c>
      <c r="Q164" s="407">
        <v>0</v>
      </c>
      <c r="R164" s="407"/>
      <c r="S164" s="407"/>
      <c r="T164" s="407"/>
      <c r="U164" s="407"/>
      <c r="V164" s="407"/>
      <c r="W164" s="407"/>
      <c r="X164" s="407"/>
      <c r="Y164" s="407"/>
      <c r="Z164" s="407"/>
      <c r="AA164" s="407">
        <v>0</v>
      </c>
      <c r="AB164" s="407"/>
      <c r="AC164" s="407"/>
      <c r="AD164" s="407"/>
      <c r="AE164" s="407"/>
      <c r="AF164" s="407"/>
      <c r="AG164" s="407"/>
      <c r="AH164" s="407"/>
      <c r="AI164" s="407"/>
      <c r="AJ164" s="407"/>
      <c r="AK164" s="407"/>
      <c r="AL164" s="407"/>
      <c r="AM164" s="407"/>
      <c r="AN164" s="407"/>
      <c r="AO164" s="407"/>
      <c r="AP164" s="407"/>
      <c r="AQ164" s="407"/>
      <c r="AR164" s="407"/>
      <c r="AS164" s="407"/>
      <c r="AT164" s="407"/>
      <c r="AU164" s="407"/>
      <c r="AV164" s="407"/>
      <c r="AW164" s="407"/>
      <c r="AX164" s="407"/>
      <c r="AY164" s="407"/>
      <c r="AZ164" s="407">
        <v>0</v>
      </c>
      <c r="BA164" s="407"/>
      <c r="BB164" s="407"/>
      <c r="BC164" s="407"/>
      <c r="BD164" s="407"/>
      <c r="BE164" s="407"/>
      <c r="BF164" s="407"/>
      <c r="BG164" s="407"/>
      <c r="BH164" s="407"/>
      <c r="BI164" s="407">
        <v>0.57999999999999996</v>
      </c>
      <c r="BJ164" s="407">
        <v>2.68</v>
      </c>
      <c r="BK164" s="407">
        <v>83.66</v>
      </c>
      <c r="BL164" s="407">
        <v>1</v>
      </c>
      <c r="BM164" s="407"/>
      <c r="BN164" s="407"/>
      <c r="BO164" s="407"/>
      <c r="BP164" s="407"/>
      <c r="BQ164" s="407"/>
      <c r="BR164" s="407"/>
      <c r="BS164" s="407"/>
      <c r="BT164" s="407"/>
      <c r="BU164" s="407"/>
      <c r="BV164" s="407"/>
      <c r="BW164" s="407"/>
      <c r="BX164" s="407"/>
      <c r="BY164" s="407"/>
      <c r="BZ164" s="407"/>
      <c r="CA164" s="407"/>
      <c r="CB164" s="407"/>
      <c r="CC164" s="407"/>
      <c r="CD164" s="407"/>
      <c r="CE164" s="407"/>
      <c r="CF164" s="407"/>
      <c r="CG164" s="407"/>
      <c r="CH164" s="407"/>
      <c r="CI164" s="407"/>
      <c r="CJ164" s="407">
        <v>-0.03</v>
      </c>
      <c r="CK164" s="407"/>
      <c r="CL164" s="407"/>
      <c r="CM164" s="407"/>
      <c r="CN164" s="407"/>
      <c r="CO164" s="407">
        <v>0</v>
      </c>
      <c r="CP164" s="407">
        <v>0</v>
      </c>
      <c r="CQ164" s="407">
        <v>29</v>
      </c>
      <c r="CR164" s="407"/>
      <c r="CS164" s="407"/>
      <c r="CT164" s="407"/>
      <c r="CU164" s="407"/>
      <c r="CV164" s="407"/>
      <c r="CW164" s="407"/>
      <c r="CX164" s="407"/>
      <c r="CY164" s="407"/>
      <c r="CZ164" s="407"/>
      <c r="DA164" s="407"/>
      <c r="DB164" s="407"/>
      <c r="DC164" s="407"/>
      <c r="DD164" s="407"/>
      <c r="DE164" s="407"/>
      <c r="DF164" s="407"/>
      <c r="DG164" s="407"/>
      <c r="DH164" s="407"/>
      <c r="DI164" s="407"/>
      <c r="DJ164" s="407"/>
      <c r="DK164" s="407">
        <v>0</v>
      </c>
      <c r="DL164" s="407"/>
      <c r="DM164" s="407"/>
      <c r="DN164" s="407"/>
      <c r="DO164" s="407"/>
      <c r="DP164" s="407"/>
      <c r="DQ164" s="407"/>
      <c r="DR164" s="407"/>
      <c r="DS164" s="407"/>
      <c r="DT164" s="407"/>
      <c r="DU164" s="407"/>
      <c r="DV164" s="407"/>
      <c r="DW164" s="407"/>
      <c r="DX164" s="407"/>
      <c r="DY164" s="407"/>
      <c r="DZ164" s="407"/>
      <c r="EA164" s="407"/>
      <c r="EB164" s="407"/>
      <c r="EC164" s="407"/>
      <c r="ED164" s="407"/>
      <c r="EE164" s="407"/>
      <c r="EF164" s="407"/>
      <c r="EG164" s="407"/>
      <c r="EH164" s="407"/>
      <c r="EI164" s="407"/>
      <c r="EJ164" s="407"/>
      <c r="EK164" s="407"/>
      <c r="EL164" s="407"/>
      <c r="EM164" s="407"/>
      <c r="EN164" s="407"/>
      <c r="EO164" s="407"/>
      <c r="EP164" s="407"/>
      <c r="EQ164" s="407"/>
      <c r="ER164" s="407"/>
      <c r="ES164" s="407"/>
      <c r="ET164" s="407"/>
      <c r="EU164" s="407"/>
      <c r="EV164" s="407">
        <v>207</v>
      </c>
      <c r="EW164" s="407"/>
      <c r="EX164" s="407"/>
      <c r="EY164" s="407"/>
      <c r="EZ164" s="407"/>
      <c r="FA164" s="407">
        <v>0</v>
      </c>
      <c r="FB164" s="407"/>
      <c r="FC164" s="407"/>
      <c r="FD164" s="407"/>
      <c r="FE164" s="407"/>
      <c r="FF164" s="407">
        <v>0</v>
      </c>
      <c r="FG164" s="407">
        <v>0</v>
      </c>
      <c r="FH164" s="407">
        <v>0</v>
      </c>
      <c r="FI164" s="407">
        <v>0</v>
      </c>
    </row>
    <row r="165" spans="1:165">
      <c r="A165" s="407">
        <v>163</v>
      </c>
      <c r="B165" s="407" t="s">
        <v>2308</v>
      </c>
      <c r="C165" s="407" t="s">
        <v>2313</v>
      </c>
      <c r="D165" s="407" t="s">
        <v>1220</v>
      </c>
      <c r="E165" s="407" t="s">
        <v>1023</v>
      </c>
      <c r="F165" s="407" t="s">
        <v>1023</v>
      </c>
      <c r="G165" s="407" t="s">
        <v>96</v>
      </c>
      <c r="H165" s="407" t="s">
        <v>96</v>
      </c>
      <c r="I165" s="407" t="s">
        <v>96</v>
      </c>
      <c r="J165" s="407" t="s">
        <v>2306</v>
      </c>
      <c r="K165" s="815">
        <v>44593</v>
      </c>
      <c r="L165" s="407">
        <v>0</v>
      </c>
      <c r="M165" s="407">
        <v>0</v>
      </c>
      <c r="N165" s="407">
        <v>0</v>
      </c>
      <c r="O165" s="407">
        <v>0</v>
      </c>
      <c r="P165" s="407">
        <v>0</v>
      </c>
      <c r="Q165" s="407">
        <v>0</v>
      </c>
      <c r="R165" s="407"/>
      <c r="S165" s="407"/>
      <c r="T165" s="407"/>
      <c r="U165" s="407"/>
      <c r="V165" s="407"/>
      <c r="W165" s="407"/>
      <c r="X165" s="407"/>
      <c r="Y165" s="407"/>
      <c r="Z165" s="407"/>
      <c r="AA165" s="407">
        <v>0</v>
      </c>
      <c r="AB165" s="407"/>
      <c r="AC165" s="407"/>
      <c r="AD165" s="407"/>
      <c r="AE165" s="407"/>
      <c r="AF165" s="407"/>
      <c r="AG165" s="407"/>
      <c r="AH165" s="407"/>
      <c r="AI165" s="407"/>
      <c r="AJ165" s="407"/>
      <c r="AK165" s="407"/>
      <c r="AL165" s="407"/>
      <c r="AM165" s="407"/>
      <c r="AN165" s="407"/>
      <c r="AO165" s="407"/>
      <c r="AP165" s="407"/>
      <c r="AQ165" s="407"/>
      <c r="AR165" s="407"/>
      <c r="AS165" s="407"/>
      <c r="AT165" s="407"/>
      <c r="AU165" s="407"/>
      <c r="AV165" s="407"/>
      <c r="AW165" s="407"/>
      <c r="AX165" s="407"/>
      <c r="AY165" s="407"/>
      <c r="AZ165" s="407">
        <v>0</v>
      </c>
      <c r="BA165" s="407"/>
      <c r="BB165" s="407"/>
      <c r="BC165" s="407"/>
      <c r="BD165" s="407"/>
      <c r="BE165" s="407"/>
      <c r="BF165" s="407"/>
      <c r="BG165" s="407"/>
      <c r="BH165" s="407"/>
      <c r="BI165" s="407">
        <v>0.1</v>
      </c>
      <c r="BJ165" s="407">
        <v>0.48</v>
      </c>
      <c r="BK165" s="407">
        <v>66.16</v>
      </c>
      <c r="BL165" s="407">
        <v>1</v>
      </c>
      <c r="BM165" s="407"/>
      <c r="BN165" s="407"/>
      <c r="BO165" s="407"/>
      <c r="BP165" s="407"/>
      <c r="BQ165" s="407"/>
      <c r="BR165" s="407"/>
      <c r="BS165" s="407"/>
      <c r="BT165" s="407"/>
      <c r="BU165" s="407"/>
      <c r="BV165" s="407"/>
      <c r="BW165" s="407"/>
      <c r="BX165" s="407"/>
      <c r="BY165" s="407"/>
      <c r="BZ165" s="407"/>
      <c r="CA165" s="407"/>
      <c r="CB165" s="407"/>
      <c r="CC165" s="407"/>
      <c r="CD165" s="407"/>
      <c r="CE165" s="407"/>
      <c r="CF165" s="407"/>
      <c r="CG165" s="407"/>
      <c r="CH165" s="407"/>
      <c r="CI165" s="407"/>
      <c r="CJ165" s="407">
        <v>-0.03</v>
      </c>
      <c r="CK165" s="407"/>
      <c r="CL165" s="407"/>
      <c r="CM165" s="407"/>
      <c r="CN165" s="407"/>
      <c r="CO165" s="407">
        <v>0</v>
      </c>
      <c r="CP165" s="407">
        <v>0</v>
      </c>
      <c r="CQ165" s="407">
        <v>29</v>
      </c>
      <c r="CR165" s="407"/>
      <c r="CS165" s="407"/>
      <c r="CT165" s="407"/>
      <c r="CU165" s="407"/>
      <c r="CV165" s="407"/>
      <c r="CW165" s="407"/>
      <c r="CX165" s="407"/>
      <c r="CY165" s="407"/>
      <c r="CZ165" s="407"/>
      <c r="DA165" s="407"/>
      <c r="DB165" s="407"/>
      <c r="DC165" s="407"/>
      <c r="DD165" s="407"/>
      <c r="DE165" s="407"/>
      <c r="DF165" s="407"/>
      <c r="DG165" s="407"/>
      <c r="DH165" s="407"/>
      <c r="DI165" s="407"/>
      <c r="DJ165" s="407"/>
      <c r="DK165" s="407">
        <v>0</v>
      </c>
      <c r="DL165" s="407"/>
      <c r="DM165" s="407"/>
      <c r="DN165" s="407"/>
      <c r="DO165" s="407"/>
      <c r="DP165" s="407"/>
      <c r="DQ165" s="407"/>
      <c r="DR165" s="407"/>
      <c r="DS165" s="407"/>
      <c r="DT165" s="407"/>
      <c r="DU165" s="407"/>
      <c r="DV165" s="407"/>
      <c r="DW165" s="407"/>
      <c r="DX165" s="407"/>
      <c r="DY165" s="407"/>
      <c r="DZ165" s="407"/>
      <c r="EA165" s="407"/>
      <c r="EB165" s="407"/>
      <c r="EC165" s="407"/>
      <c r="ED165" s="407"/>
      <c r="EE165" s="407"/>
      <c r="EF165" s="407"/>
      <c r="EG165" s="407"/>
      <c r="EH165" s="407"/>
      <c r="EI165" s="407"/>
      <c r="EJ165" s="407"/>
      <c r="EK165" s="407"/>
      <c r="EL165" s="407"/>
      <c r="EM165" s="407"/>
      <c r="EN165" s="407"/>
      <c r="EO165" s="407"/>
      <c r="EP165" s="407"/>
      <c r="EQ165" s="407"/>
      <c r="ER165" s="407"/>
      <c r="ES165" s="407"/>
      <c r="ET165" s="407"/>
      <c r="EU165" s="407"/>
      <c r="EV165" s="407">
        <v>207</v>
      </c>
      <c r="EW165" s="407"/>
      <c r="EX165" s="407"/>
      <c r="EY165" s="407"/>
      <c r="EZ165" s="407"/>
      <c r="FA165" s="407">
        <v>0</v>
      </c>
      <c r="FB165" s="407"/>
      <c r="FC165" s="407"/>
      <c r="FD165" s="407"/>
      <c r="FE165" s="407"/>
      <c r="FF165" s="407">
        <v>0</v>
      </c>
      <c r="FG165" s="407">
        <v>0</v>
      </c>
      <c r="FH165" s="407">
        <v>0</v>
      </c>
      <c r="FI165" s="407">
        <v>0</v>
      </c>
    </row>
    <row r="166" spans="1:165">
      <c r="A166" s="407">
        <v>164</v>
      </c>
      <c r="B166" s="407" t="s">
        <v>1092</v>
      </c>
      <c r="C166" s="407" t="s">
        <v>2313</v>
      </c>
      <c r="D166" s="407" t="s">
        <v>1220</v>
      </c>
      <c r="E166" s="407" t="s">
        <v>1023</v>
      </c>
      <c r="F166" s="407" t="s">
        <v>1023</v>
      </c>
      <c r="G166" s="407" t="s">
        <v>96</v>
      </c>
      <c r="H166" s="407" t="s">
        <v>96</v>
      </c>
      <c r="I166" s="407" t="s">
        <v>2314</v>
      </c>
      <c r="J166" s="407" t="s">
        <v>2306</v>
      </c>
      <c r="K166" s="815">
        <v>44593</v>
      </c>
      <c r="L166" s="407">
        <v>0</v>
      </c>
      <c r="M166" s="407">
        <v>0</v>
      </c>
      <c r="N166" s="407">
        <v>0.02</v>
      </c>
      <c r="O166" s="407">
        <v>0.02</v>
      </c>
      <c r="P166" s="407">
        <v>0.02</v>
      </c>
      <c r="Q166" s="407">
        <v>0.02</v>
      </c>
      <c r="R166" s="407"/>
      <c r="S166" s="407">
        <v>1160</v>
      </c>
      <c r="T166" s="407">
        <v>127.85</v>
      </c>
      <c r="U166" s="407"/>
      <c r="V166" s="407">
        <v>25.756999999999998</v>
      </c>
      <c r="W166" s="407">
        <v>25.756999999999998</v>
      </c>
      <c r="X166" s="407">
        <v>20.499600000000001</v>
      </c>
      <c r="Y166" s="407">
        <v>0</v>
      </c>
      <c r="Z166" s="407">
        <v>1.221501532926468</v>
      </c>
      <c r="AA166" s="407">
        <v>0</v>
      </c>
      <c r="AB166" s="407">
        <v>0</v>
      </c>
      <c r="AC166" s="407">
        <v>0</v>
      </c>
      <c r="AD166" s="407">
        <v>3.8036420076584201</v>
      </c>
      <c r="AE166" s="407">
        <v>17.336221766426778</v>
      </c>
      <c r="AF166" s="407">
        <v>2.5569479239795401</v>
      </c>
      <c r="AG166" s="407">
        <v>0</v>
      </c>
      <c r="AH166" s="407">
        <v>0</v>
      </c>
      <c r="AI166" s="407">
        <v>0</v>
      </c>
      <c r="AJ166" s="407">
        <v>0</v>
      </c>
      <c r="AK166" s="407">
        <v>0</v>
      </c>
      <c r="AL166" s="407">
        <v>0.18890594833269203</v>
      </c>
      <c r="AM166" s="407"/>
      <c r="AN166" s="407">
        <v>4.5815265843214402E-2</v>
      </c>
      <c r="AO166" s="407">
        <v>0</v>
      </c>
      <c r="AP166" s="407">
        <v>0</v>
      </c>
      <c r="AQ166" s="407">
        <v>0</v>
      </c>
      <c r="AR166" s="407">
        <v>0</v>
      </c>
      <c r="AS166" s="407">
        <v>0</v>
      </c>
      <c r="AT166" s="407">
        <v>0</v>
      </c>
      <c r="AU166" s="407">
        <v>0</v>
      </c>
      <c r="AV166" s="407">
        <v>0</v>
      </c>
      <c r="AW166" s="407">
        <v>0</v>
      </c>
      <c r="AX166" s="407">
        <v>0</v>
      </c>
      <c r="AY166" s="407">
        <v>0</v>
      </c>
      <c r="AZ166" s="407">
        <v>0</v>
      </c>
      <c r="BA166" s="407"/>
      <c r="BB166" s="407">
        <v>0</v>
      </c>
      <c r="BC166" s="407">
        <v>0</v>
      </c>
      <c r="BD166" s="407">
        <v>0</v>
      </c>
      <c r="BE166" s="407">
        <v>0</v>
      </c>
      <c r="BF166" s="407">
        <v>0</v>
      </c>
      <c r="BG166" s="407">
        <v>0.60396387346989999</v>
      </c>
      <c r="BH166" s="407">
        <v>0</v>
      </c>
      <c r="BI166" s="407">
        <v>0</v>
      </c>
      <c r="BJ166" s="407">
        <v>0</v>
      </c>
      <c r="BK166" s="407">
        <v>0</v>
      </c>
      <c r="BL166" s="407">
        <v>0</v>
      </c>
      <c r="BM166" s="407"/>
      <c r="BN166" s="407"/>
      <c r="BO166" s="407"/>
      <c r="BP166" s="407"/>
      <c r="BQ166" s="407"/>
      <c r="BR166" s="407"/>
      <c r="BS166" s="407"/>
      <c r="BT166" s="407"/>
      <c r="BU166" s="407"/>
      <c r="BV166" s="407">
        <v>3.1609117974494403</v>
      </c>
      <c r="BW166" s="407"/>
      <c r="BX166" s="407"/>
      <c r="BY166" s="407"/>
      <c r="BZ166" s="407"/>
      <c r="CA166" s="407"/>
      <c r="CB166" s="407"/>
      <c r="CC166" s="407"/>
      <c r="CD166" s="407"/>
      <c r="CE166" s="407"/>
      <c r="CF166" s="407"/>
      <c r="CG166" s="407"/>
      <c r="CH166" s="407"/>
      <c r="CI166" s="407">
        <v>20.499600000000001</v>
      </c>
      <c r="CJ166" s="407">
        <v>-5.2874000000000017</v>
      </c>
      <c r="CK166" s="407"/>
      <c r="CL166" s="407"/>
      <c r="CM166" s="407"/>
      <c r="CN166" s="407"/>
      <c r="CO166" s="407">
        <v>-5.3377999999999997</v>
      </c>
      <c r="CP166" s="407">
        <v>8.0400000000000207E-2</v>
      </c>
      <c r="CQ166" s="407">
        <v>29</v>
      </c>
      <c r="CR166" s="407">
        <v>-0.13255855831826047</v>
      </c>
      <c r="CS166" s="407">
        <v>0</v>
      </c>
      <c r="CT166" s="407">
        <v>0</v>
      </c>
      <c r="CU166" s="407">
        <v>0</v>
      </c>
      <c r="CV166" s="407">
        <v>0</v>
      </c>
      <c r="CW166" s="407">
        <v>0</v>
      </c>
      <c r="CX166" s="407">
        <v>0</v>
      </c>
      <c r="CY166" s="407">
        <v>0</v>
      </c>
      <c r="CZ166" s="407">
        <v>-0.19954178027218017</v>
      </c>
      <c r="DA166" s="407">
        <v>0</v>
      </c>
      <c r="DB166" s="407">
        <v>0</v>
      </c>
      <c r="DC166" s="407">
        <v>8.0457465774520287E-2</v>
      </c>
      <c r="DD166" s="407">
        <v>0</v>
      </c>
      <c r="DE166" s="407">
        <v>0</v>
      </c>
      <c r="DF166" s="407">
        <v>0</v>
      </c>
      <c r="DG166" s="407">
        <v>1.9004455359858063E-2</v>
      </c>
      <c r="DH166" s="407">
        <v>0</v>
      </c>
      <c r="DI166" s="407">
        <v>-2.7817808099785957E-2</v>
      </c>
      <c r="DJ166" s="407"/>
      <c r="DK166" s="407">
        <v>0</v>
      </c>
      <c r="DL166" s="407">
        <v>0</v>
      </c>
      <c r="DM166" s="407">
        <v>0</v>
      </c>
      <c r="DN166" s="407">
        <v>0</v>
      </c>
      <c r="DO166" s="407">
        <v>-3.6047094353842124E-3</v>
      </c>
      <c r="DP166" s="407">
        <v>-1.0561816452862027E-3</v>
      </c>
      <c r="DQ166" s="407">
        <v>0</v>
      </c>
      <c r="DR166" s="407">
        <v>0</v>
      </c>
      <c r="DS166" s="407"/>
      <c r="DT166" s="407"/>
      <c r="DU166" s="407"/>
      <c r="DV166" s="407">
        <v>17.336221766426778</v>
      </c>
      <c r="DW166" s="407">
        <v>0</v>
      </c>
      <c r="DX166" s="407">
        <v>0</v>
      </c>
      <c r="DY166" s="407">
        <v>-5.3377999999999979</v>
      </c>
      <c r="DZ166" s="407">
        <v>8.0400000000000027E-2</v>
      </c>
      <c r="EA166" s="407">
        <v>0</v>
      </c>
      <c r="EB166" s="407">
        <v>0</v>
      </c>
      <c r="EC166" s="407">
        <v>-5.1248608115271761</v>
      </c>
      <c r="ED166" s="407">
        <v>0</v>
      </c>
      <c r="EE166" s="407">
        <v>0</v>
      </c>
      <c r="EF166" s="407">
        <v>0</v>
      </c>
      <c r="EG166" s="407">
        <v>0</v>
      </c>
      <c r="EH166" s="407">
        <v>0</v>
      </c>
      <c r="EI166" s="407">
        <v>0</v>
      </c>
      <c r="EJ166" s="407">
        <v>0</v>
      </c>
      <c r="EK166" s="407">
        <v>0</v>
      </c>
      <c r="EL166" s="407">
        <v>0</v>
      </c>
      <c r="EM166" s="407">
        <v>0</v>
      </c>
      <c r="EN166" s="407">
        <v>0</v>
      </c>
      <c r="EO166" s="407">
        <v>0</v>
      </c>
      <c r="EP166" s="407">
        <v>0</v>
      </c>
      <c r="EQ166" s="407">
        <v>0</v>
      </c>
      <c r="ER166" s="407">
        <v>0</v>
      </c>
      <c r="ES166" s="407">
        <v>0</v>
      </c>
      <c r="ET166" s="407">
        <v>0</v>
      </c>
      <c r="EU166" s="407">
        <v>0</v>
      </c>
      <c r="EV166" s="407">
        <v>207</v>
      </c>
      <c r="EW166" s="407">
        <v>0</v>
      </c>
      <c r="EX166" s="407">
        <v>0</v>
      </c>
      <c r="EY166" s="407">
        <v>0</v>
      </c>
      <c r="EZ166" s="407"/>
      <c r="FA166" s="407">
        <v>0</v>
      </c>
      <c r="FB166" s="407"/>
      <c r="FC166" s="407"/>
      <c r="FD166" s="407"/>
      <c r="FE166" s="407"/>
      <c r="FF166" s="407">
        <v>0</v>
      </c>
      <c r="FG166" s="407">
        <v>0</v>
      </c>
      <c r="FH166" s="407">
        <v>0</v>
      </c>
      <c r="FI166" s="407">
        <v>0</v>
      </c>
    </row>
    <row r="167" spans="1:165">
      <c r="A167" s="407">
        <v>165</v>
      </c>
      <c r="B167" s="407" t="s">
        <v>1092</v>
      </c>
      <c r="C167" s="407" t="s">
        <v>2315</v>
      </c>
      <c r="D167" s="407" t="s">
        <v>648</v>
      </c>
      <c r="E167" s="407" t="s">
        <v>1024</v>
      </c>
      <c r="F167" s="407" t="s">
        <v>96</v>
      </c>
      <c r="G167" s="407" t="s">
        <v>96</v>
      </c>
      <c r="H167" s="407" t="s">
        <v>96</v>
      </c>
      <c r="I167" s="407" t="s">
        <v>1027</v>
      </c>
      <c r="J167" s="407" t="s">
        <v>2306</v>
      </c>
      <c r="K167" s="815">
        <v>44593</v>
      </c>
      <c r="L167" s="407">
        <v>0</v>
      </c>
      <c r="M167" s="407">
        <v>0</v>
      </c>
      <c r="N167" s="407">
        <v>2.738</v>
      </c>
      <c r="O167" s="407">
        <v>2.738</v>
      </c>
      <c r="P167" s="407">
        <v>2.738</v>
      </c>
      <c r="Q167" s="407">
        <v>2.738</v>
      </c>
      <c r="R167" s="407"/>
      <c r="S167" s="407">
        <v>2075.9499999999998</v>
      </c>
      <c r="T167" s="407">
        <v>127.85</v>
      </c>
      <c r="U167" s="407"/>
      <c r="V167" s="407">
        <v>6034.0043999999989</v>
      </c>
      <c r="W167" s="407">
        <v>6034.0043999999989</v>
      </c>
      <c r="X167" s="407">
        <v>4836.4305799999993</v>
      </c>
      <c r="Y167" s="407">
        <v>0</v>
      </c>
      <c r="Z167" s="407">
        <v>145.48449707614122</v>
      </c>
      <c r="AA167" s="407">
        <v>0</v>
      </c>
      <c r="AB167" s="407">
        <v>0</v>
      </c>
      <c r="AC167" s="407">
        <v>0</v>
      </c>
      <c r="AD167" s="407">
        <v>1724.9644159312857</v>
      </c>
      <c r="AE167" s="407">
        <v>3770.674361579453</v>
      </c>
      <c r="AF167" s="407">
        <v>350.04617079279899</v>
      </c>
      <c r="AG167" s="407">
        <v>0</v>
      </c>
      <c r="AH167" s="407">
        <v>0</v>
      </c>
      <c r="AI167" s="407">
        <v>0</v>
      </c>
      <c r="AJ167" s="407">
        <v>0</v>
      </c>
      <c r="AK167" s="407">
        <v>0</v>
      </c>
      <c r="AL167" s="407">
        <v>25.861224326745536</v>
      </c>
      <c r="AM167" s="407"/>
      <c r="AN167" s="407">
        <v>2.7500584589402322</v>
      </c>
      <c r="AO167" s="407">
        <v>0</v>
      </c>
      <c r="AP167" s="407">
        <v>0</v>
      </c>
      <c r="AQ167" s="407">
        <v>0</v>
      </c>
      <c r="AR167" s="407">
        <v>0</v>
      </c>
      <c r="AS167" s="407">
        <v>0</v>
      </c>
      <c r="AT167" s="407">
        <v>0</v>
      </c>
      <c r="AU167" s="407">
        <v>0</v>
      </c>
      <c r="AV167" s="407">
        <v>0</v>
      </c>
      <c r="AW167" s="407">
        <v>0</v>
      </c>
      <c r="AX167" s="407">
        <v>0</v>
      </c>
      <c r="AY167" s="407">
        <v>0</v>
      </c>
      <c r="AZ167" s="407">
        <v>0</v>
      </c>
      <c r="BA167" s="407"/>
      <c r="BB167" s="407">
        <v>0</v>
      </c>
      <c r="BC167" s="407">
        <v>0</v>
      </c>
      <c r="BD167" s="407">
        <v>0</v>
      </c>
      <c r="BE167" s="407">
        <v>0</v>
      </c>
      <c r="BF167" s="407">
        <v>0</v>
      </c>
      <c r="BG167" s="407">
        <v>14.214552819011434</v>
      </c>
      <c r="BH167" s="407">
        <v>0</v>
      </c>
      <c r="BI167" s="407">
        <v>0</v>
      </c>
      <c r="BJ167" s="407">
        <v>0</v>
      </c>
      <c r="BK167" s="407">
        <v>0</v>
      </c>
      <c r="BL167" s="407">
        <v>0</v>
      </c>
      <c r="BM167" s="407"/>
      <c r="BN167" s="407"/>
      <c r="BO167" s="407"/>
      <c r="BP167" s="407"/>
      <c r="BQ167" s="407"/>
      <c r="BR167" s="407"/>
      <c r="BS167" s="407"/>
      <c r="BT167" s="407"/>
      <c r="BU167" s="407"/>
      <c r="BV167" s="407">
        <v>364.26072361181042</v>
      </c>
      <c r="BW167" s="407"/>
      <c r="BX167" s="407"/>
      <c r="BY167" s="407"/>
      <c r="BZ167" s="407"/>
      <c r="CA167" s="407"/>
      <c r="CB167" s="407"/>
      <c r="CC167" s="407"/>
      <c r="CD167" s="407"/>
      <c r="CE167" s="407"/>
      <c r="CF167" s="407"/>
      <c r="CG167" s="407"/>
      <c r="CH167" s="407"/>
      <c r="CI167" s="407">
        <v>4839.9634000000005</v>
      </c>
      <c r="CJ167" s="407">
        <v>-1194.070999999999</v>
      </c>
      <c r="CK167" s="407"/>
      <c r="CL167" s="407"/>
      <c r="CM167" s="407"/>
      <c r="CN167" s="407"/>
      <c r="CO167" s="407">
        <v>-1208.5805799999996</v>
      </c>
      <c r="CP167" s="407">
        <v>11.006760000000028</v>
      </c>
      <c r="CQ167" s="407">
        <v>29</v>
      </c>
      <c r="CR167" s="407">
        <v>-82.901028196502466</v>
      </c>
      <c r="CS167" s="407">
        <v>0</v>
      </c>
      <c r="CT167" s="407">
        <v>0</v>
      </c>
      <c r="CU167" s="407">
        <v>0</v>
      </c>
      <c r="CV167" s="407">
        <v>0</v>
      </c>
      <c r="CW167" s="407">
        <v>0</v>
      </c>
      <c r="CX167" s="407">
        <v>0</v>
      </c>
      <c r="CY167" s="407">
        <v>0</v>
      </c>
      <c r="CZ167" s="407">
        <v>-90.492867038499526</v>
      </c>
      <c r="DA167" s="407">
        <v>0</v>
      </c>
      <c r="DB167" s="407">
        <v>0</v>
      </c>
      <c r="DC167" s="407">
        <v>11.014627064531851</v>
      </c>
      <c r="DD167" s="407">
        <v>0</v>
      </c>
      <c r="DE167" s="407">
        <v>0</v>
      </c>
      <c r="DF167" s="407">
        <v>0</v>
      </c>
      <c r="DG167" s="407">
        <v>0.44727813429837937</v>
      </c>
      <c r="DH167" s="407">
        <v>0</v>
      </c>
      <c r="DI167" s="407">
        <v>-3.3131843981091151</v>
      </c>
      <c r="DJ167" s="407"/>
      <c r="DK167" s="407">
        <v>0</v>
      </c>
      <c r="DL167" s="407">
        <v>0</v>
      </c>
      <c r="DM167" s="407">
        <v>0</v>
      </c>
      <c r="DN167" s="407">
        <v>0</v>
      </c>
      <c r="DO167" s="407">
        <v>-0.49348472170409607</v>
      </c>
      <c r="DP167" s="407">
        <v>-6.3397237020005548E-2</v>
      </c>
      <c r="DQ167" s="407">
        <v>0</v>
      </c>
      <c r="DR167" s="407">
        <v>0</v>
      </c>
      <c r="DS167" s="407"/>
      <c r="DT167" s="407"/>
      <c r="DU167" s="407"/>
      <c r="DV167" s="407">
        <v>3770.674361579453</v>
      </c>
      <c r="DW167" s="407">
        <v>0</v>
      </c>
      <c r="DX167" s="407">
        <v>0</v>
      </c>
      <c r="DY167" s="407">
        <v>-1208.5805799999998</v>
      </c>
      <c r="DZ167" s="407">
        <v>11.006760000000043</v>
      </c>
      <c r="EA167" s="407">
        <v>0</v>
      </c>
      <c r="EB167" s="407">
        <v>0</v>
      </c>
      <c r="EC167" s="407">
        <v>-1114.6708624892981</v>
      </c>
      <c r="ED167" s="407">
        <v>0</v>
      </c>
      <c r="EE167" s="407">
        <v>0</v>
      </c>
      <c r="EF167" s="407">
        <v>0</v>
      </c>
      <c r="EG167" s="407">
        <v>0</v>
      </c>
      <c r="EH167" s="407">
        <v>0</v>
      </c>
      <c r="EI167" s="407">
        <v>0</v>
      </c>
      <c r="EJ167" s="407">
        <v>0</v>
      </c>
      <c r="EK167" s="407">
        <v>0</v>
      </c>
      <c r="EL167" s="407">
        <v>0</v>
      </c>
      <c r="EM167" s="407">
        <v>0</v>
      </c>
      <c r="EN167" s="407">
        <v>0</v>
      </c>
      <c r="EO167" s="407">
        <v>0</v>
      </c>
      <c r="EP167" s="407">
        <v>0</v>
      </c>
      <c r="EQ167" s="407">
        <v>0</v>
      </c>
      <c r="ER167" s="407">
        <v>0</v>
      </c>
      <c r="ES167" s="407">
        <v>0</v>
      </c>
      <c r="ET167" s="407">
        <v>0</v>
      </c>
      <c r="EU167" s="407">
        <v>0</v>
      </c>
      <c r="EV167" s="407">
        <v>207</v>
      </c>
      <c r="EW167" s="407">
        <v>0</v>
      </c>
      <c r="EX167" s="407">
        <v>0</v>
      </c>
      <c r="EY167" s="407">
        <v>0</v>
      </c>
      <c r="EZ167" s="407"/>
      <c r="FA167" s="407">
        <v>0</v>
      </c>
      <c r="FB167" s="407"/>
      <c r="FC167" s="407"/>
      <c r="FD167" s="407"/>
      <c r="FE167" s="407"/>
      <c r="FF167" s="407">
        <v>0</v>
      </c>
      <c r="FG167" s="407">
        <v>0</v>
      </c>
      <c r="FH167" s="407">
        <v>0</v>
      </c>
      <c r="FI167" s="407">
        <v>0</v>
      </c>
    </row>
    <row r="168" spans="1:165">
      <c r="A168" s="407">
        <v>166</v>
      </c>
      <c r="B168" s="407" t="s">
        <v>1092</v>
      </c>
      <c r="C168" s="407" t="s">
        <v>2315</v>
      </c>
      <c r="D168" s="407" t="s">
        <v>648</v>
      </c>
      <c r="E168" s="407" t="s">
        <v>1024</v>
      </c>
      <c r="F168" s="407" t="s">
        <v>96</v>
      </c>
      <c r="G168" s="407" t="s">
        <v>96</v>
      </c>
      <c r="H168" s="407" t="s">
        <v>96</v>
      </c>
      <c r="I168" s="407" t="s">
        <v>2290</v>
      </c>
      <c r="J168" s="407" t="s">
        <v>2306</v>
      </c>
      <c r="K168" s="815">
        <v>44593</v>
      </c>
      <c r="L168" s="407">
        <v>0</v>
      </c>
      <c r="M168" s="407">
        <v>0</v>
      </c>
      <c r="N168" s="407">
        <v>110.997</v>
      </c>
      <c r="O168" s="407">
        <v>110.997</v>
      </c>
      <c r="P168" s="407">
        <v>110.997</v>
      </c>
      <c r="Q168" s="407">
        <v>110.997</v>
      </c>
      <c r="R168" s="407"/>
      <c r="S168" s="407">
        <v>68.78</v>
      </c>
      <c r="T168" s="407">
        <v>127.85</v>
      </c>
      <c r="U168" s="407"/>
      <c r="V168" s="407">
        <v>21825.340110000001</v>
      </c>
      <c r="W168" s="407">
        <v>21825.340110000001</v>
      </c>
      <c r="X168" s="407">
        <v>22132.801800000001</v>
      </c>
      <c r="Y168" s="407">
        <v>0</v>
      </c>
      <c r="Z168" s="407">
        <v>5897.8607457854087</v>
      </c>
      <c r="AA168" s="407">
        <v>0</v>
      </c>
      <c r="AB168" s="407">
        <v>0</v>
      </c>
      <c r="AC168" s="407">
        <v>0</v>
      </c>
      <c r="AD168" s="407">
        <v>0</v>
      </c>
      <c r="AE168" s="407">
        <v>0</v>
      </c>
      <c r="AF168" s="407">
        <v>14190.677435897849</v>
      </c>
      <c r="AG168" s="407">
        <v>0</v>
      </c>
      <c r="AH168" s="407">
        <v>0</v>
      </c>
      <c r="AI168" s="407">
        <v>0</v>
      </c>
      <c r="AJ168" s="407">
        <v>0</v>
      </c>
      <c r="AK168" s="407">
        <v>0</v>
      </c>
      <c r="AL168" s="407">
        <v>1048.3996773541908</v>
      </c>
      <c r="AM168" s="407"/>
      <c r="AN168" s="407">
        <v>111.48584323118661</v>
      </c>
      <c r="AO168" s="407">
        <v>0</v>
      </c>
      <c r="AP168" s="407">
        <v>0</v>
      </c>
      <c r="AQ168" s="407">
        <v>0</v>
      </c>
      <c r="AR168" s="407">
        <v>0</v>
      </c>
      <c r="AS168" s="407">
        <v>0</v>
      </c>
      <c r="AT168" s="407">
        <v>0</v>
      </c>
      <c r="AU168" s="407">
        <v>0</v>
      </c>
      <c r="AV168" s="407">
        <v>0</v>
      </c>
      <c r="AW168" s="407">
        <v>0</v>
      </c>
      <c r="AX168" s="407">
        <v>0</v>
      </c>
      <c r="AY168" s="407">
        <v>0</v>
      </c>
      <c r="AZ168" s="407">
        <v>0</v>
      </c>
      <c r="BA168" s="407"/>
      <c r="BB168" s="407">
        <v>0</v>
      </c>
      <c r="BC168" s="407">
        <v>0</v>
      </c>
      <c r="BD168" s="407">
        <v>0</v>
      </c>
      <c r="BE168" s="407">
        <v>0</v>
      </c>
      <c r="BF168" s="407">
        <v>0</v>
      </c>
      <c r="BG168" s="407">
        <v>576.25008007736017</v>
      </c>
      <c r="BH168" s="407">
        <v>0</v>
      </c>
      <c r="BI168" s="407">
        <v>0</v>
      </c>
      <c r="BJ168" s="407">
        <v>0</v>
      </c>
      <c r="BK168" s="407">
        <v>0</v>
      </c>
      <c r="BL168" s="407">
        <v>0</v>
      </c>
      <c r="BM168" s="407"/>
      <c r="BN168" s="407"/>
      <c r="BO168" s="407"/>
      <c r="BP168" s="407"/>
      <c r="BQ168" s="407"/>
      <c r="BR168" s="407"/>
      <c r="BS168" s="407"/>
      <c r="BT168" s="407"/>
      <c r="BU168" s="407"/>
      <c r="BV168" s="407">
        <v>14766.927515975209</v>
      </c>
      <c r="BW168" s="407"/>
      <c r="BX168" s="407"/>
      <c r="BY168" s="407"/>
      <c r="BZ168" s="407"/>
      <c r="CA168" s="407"/>
      <c r="CB168" s="407"/>
      <c r="CC168" s="407"/>
      <c r="CD168" s="407"/>
      <c r="CE168" s="407"/>
      <c r="CF168" s="407"/>
      <c r="CG168" s="407"/>
      <c r="CH168" s="407"/>
      <c r="CI168" s="407">
        <v>22133.4</v>
      </c>
      <c r="CJ168" s="407">
        <v>308.02989000000161</v>
      </c>
      <c r="CK168" s="407"/>
      <c r="CL168" s="407"/>
      <c r="CM168" s="407"/>
      <c r="CN168" s="407"/>
      <c r="CO168" s="407">
        <v>-138.74625</v>
      </c>
      <c r="CP168" s="407">
        <v>446.20794000000114</v>
      </c>
      <c r="CQ168" s="407">
        <v>29</v>
      </c>
      <c r="CR168" s="407">
        <v>307.76893204716544</v>
      </c>
      <c r="CS168" s="407">
        <v>0</v>
      </c>
      <c r="CT168" s="407">
        <v>0</v>
      </c>
      <c r="CU168" s="407">
        <v>0</v>
      </c>
      <c r="CV168" s="407">
        <v>0</v>
      </c>
      <c r="CW168" s="407">
        <v>0</v>
      </c>
      <c r="CX168" s="407">
        <v>0</v>
      </c>
      <c r="CY168" s="407">
        <v>0</v>
      </c>
      <c r="CZ168" s="407">
        <v>0</v>
      </c>
      <c r="DA168" s="407">
        <v>0</v>
      </c>
      <c r="DB168" s="407">
        <v>0</v>
      </c>
      <c r="DC168" s="407">
        <v>446.52686642872141</v>
      </c>
      <c r="DD168" s="407">
        <v>0</v>
      </c>
      <c r="DE168" s="407">
        <v>0</v>
      </c>
      <c r="DF168" s="407">
        <v>0</v>
      </c>
      <c r="DG168" s="407">
        <v>18.132407258114426</v>
      </c>
      <c r="DH168" s="407">
        <v>0</v>
      </c>
      <c r="DI168" s="407">
        <v>-134.31465618587208</v>
      </c>
      <c r="DJ168" s="407"/>
      <c r="DK168" s="407">
        <v>0</v>
      </c>
      <c r="DL168" s="407">
        <v>0</v>
      </c>
      <c r="DM168" s="407">
        <v>0</v>
      </c>
      <c r="DN168" s="407">
        <v>0</v>
      </c>
      <c r="DO168" s="407">
        <v>-20.005596659967068</v>
      </c>
      <c r="DP168" s="407">
        <v>-2.5700887938311041</v>
      </c>
      <c r="DQ168" s="407">
        <v>0</v>
      </c>
      <c r="DR168" s="407">
        <v>0</v>
      </c>
      <c r="DS168" s="407"/>
      <c r="DT168" s="407"/>
      <c r="DU168" s="407"/>
      <c r="DV168" s="407">
        <v>0</v>
      </c>
      <c r="DW168" s="407">
        <v>0</v>
      </c>
      <c r="DX168" s="407">
        <v>0</v>
      </c>
      <c r="DY168" s="407">
        <v>-138.74625000000015</v>
      </c>
      <c r="DZ168" s="407">
        <v>446.20794000000024</v>
      </c>
      <c r="EA168" s="407">
        <v>0</v>
      </c>
      <c r="EB168" s="407">
        <v>0</v>
      </c>
      <c r="EC168" s="407">
        <v>0</v>
      </c>
      <c r="ED168" s="407">
        <v>0</v>
      </c>
      <c r="EE168" s="407">
        <v>0</v>
      </c>
      <c r="EF168" s="407">
        <v>0</v>
      </c>
      <c r="EG168" s="407">
        <v>0</v>
      </c>
      <c r="EH168" s="407">
        <v>0</v>
      </c>
      <c r="EI168" s="407">
        <v>0</v>
      </c>
      <c r="EJ168" s="407">
        <v>0</v>
      </c>
      <c r="EK168" s="407">
        <v>0</v>
      </c>
      <c r="EL168" s="407">
        <v>0</v>
      </c>
      <c r="EM168" s="407">
        <v>0</v>
      </c>
      <c r="EN168" s="407">
        <v>0</v>
      </c>
      <c r="EO168" s="407">
        <v>0</v>
      </c>
      <c r="EP168" s="407">
        <v>0</v>
      </c>
      <c r="EQ168" s="407">
        <v>0</v>
      </c>
      <c r="ER168" s="407">
        <v>0</v>
      </c>
      <c r="ES168" s="407">
        <v>0</v>
      </c>
      <c r="ET168" s="407">
        <v>0</v>
      </c>
      <c r="EU168" s="407">
        <v>0</v>
      </c>
      <c r="EV168" s="407">
        <v>207</v>
      </c>
      <c r="EW168" s="407">
        <v>0</v>
      </c>
      <c r="EX168" s="407">
        <v>0</v>
      </c>
      <c r="EY168" s="407">
        <v>0</v>
      </c>
      <c r="EZ168" s="407"/>
      <c r="FA168" s="407">
        <v>0</v>
      </c>
      <c r="FB168" s="407"/>
      <c r="FC168" s="407"/>
      <c r="FD168" s="407"/>
      <c r="FE168" s="407"/>
      <c r="FF168" s="407">
        <v>0</v>
      </c>
      <c r="FG168" s="407">
        <v>0</v>
      </c>
      <c r="FH168" s="407">
        <v>0</v>
      </c>
      <c r="FI168" s="407">
        <v>0</v>
      </c>
    </row>
    <row r="169" spans="1:165">
      <c r="A169" s="407">
        <v>167</v>
      </c>
      <c r="B169" s="407" t="s">
        <v>1092</v>
      </c>
      <c r="C169" s="407" t="s">
        <v>2315</v>
      </c>
      <c r="D169" s="407" t="s">
        <v>648</v>
      </c>
      <c r="E169" s="407" t="s">
        <v>1024</v>
      </c>
      <c r="F169" s="407" t="s">
        <v>96</v>
      </c>
      <c r="G169" s="407" t="s">
        <v>96</v>
      </c>
      <c r="H169" s="407" t="s">
        <v>96</v>
      </c>
      <c r="I169" s="407" t="s">
        <v>96</v>
      </c>
      <c r="J169" s="407" t="s">
        <v>2306</v>
      </c>
      <c r="K169" s="815">
        <v>44593</v>
      </c>
      <c r="L169" s="407">
        <v>500</v>
      </c>
      <c r="M169" s="407">
        <v>500</v>
      </c>
      <c r="N169" s="407">
        <v>0</v>
      </c>
      <c r="O169" s="407">
        <v>0</v>
      </c>
      <c r="P169" s="407">
        <v>0</v>
      </c>
      <c r="Q169" s="407">
        <v>0</v>
      </c>
      <c r="R169" s="407">
        <v>39.56</v>
      </c>
      <c r="S169" s="407"/>
      <c r="T169" s="407"/>
      <c r="U169" s="407">
        <v>19780</v>
      </c>
      <c r="V169" s="407"/>
      <c r="W169" s="407">
        <v>19780</v>
      </c>
      <c r="X169" s="407">
        <v>15530</v>
      </c>
      <c r="Y169" s="407">
        <v>0</v>
      </c>
      <c r="Z169" s="407">
        <v>0</v>
      </c>
      <c r="AA169" s="407">
        <v>0</v>
      </c>
      <c r="AB169" s="407">
        <v>0</v>
      </c>
      <c r="AC169" s="407">
        <v>0</v>
      </c>
      <c r="AD169" s="407">
        <v>6585.1409000608992</v>
      </c>
      <c r="AE169" s="407">
        <v>13192.466045287849</v>
      </c>
      <c r="AF169" s="407"/>
      <c r="AG169" s="407"/>
      <c r="AH169" s="407"/>
      <c r="AI169" s="407">
        <v>0</v>
      </c>
      <c r="AJ169" s="407">
        <v>0</v>
      </c>
      <c r="AK169" s="407">
        <v>0</v>
      </c>
      <c r="AL169" s="407">
        <v>0</v>
      </c>
      <c r="AM169" s="407"/>
      <c r="AN169" s="407">
        <v>0</v>
      </c>
      <c r="AO169" s="407">
        <v>0</v>
      </c>
      <c r="AP169" s="407">
        <v>0</v>
      </c>
      <c r="AQ169" s="407">
        <v>0</v>
      </c>
      <c r="AR169" s="407">
        <v>0</v>
      </c>
      <c r="AS169" s="407"/>
      <c r="AT169" s="407"/>
      <c r="AU169" s="407">
        <v>0</v>
      </c>
      <c r="AV169" s="407">
        <v>0</v>
      </c>
      <c r="AW169" s="407">
        <v>0</v>
      </c>
      <c r="AX169" s="407"/>
      <c r="AY169" s="407"/>
      <c r="AZ169" s="407">
        <v>0</v>
      </c>
      <c r="BA169" s="407"/>
      <c r="BB169" s="407">
        <v>0</v>
      </c>
      <c r="BC169" s="407">
        <v>0</v>
      </c>
      <c r="BD169" s="407">
        <v>0</v>
      </c>
      <c r="BE169" s="407">
        <v>0</v>
      </c>
      <c r="BF169" s="407"/>
      <c r="BG169" s="407">
        <v>0</v>
      </c>
      <c r="BH169" s="407">
        <v>0</v>
      </c>
      <c r="BI169" s="407">
        <v>137.68</v>
      </c>
      <c r="BJ169" s="407">
        <v>635.42999999999995</v>
      </c>
      <c r="BK169" s="407">
        <v>10764.39</v>
      </c>
      <c r="BL169" s="407">
        <v>1</v>
      </c>
      <c r="BM169" s="407"/>
      <c r="BN169" s="407"/>
      <c r="BO169" s="407"/>
      <c r="BP169" s="407"/>
      <c r="BQ169" s="407"/>
      <c r="BR169" s="407"/>
      <c r="BS169" s="407"/>
      <c r="BT169" s="407"/>
      <c r="BU169" s="407"/>
      <c r="BV169" s="407">
        <v>0</v>
      </c>
      <c r="BW169" s="407"/>
      <c r="BX169" s="407"/>
      <c r="BY169" s="407"/>
      <c r="BZ169" s="407"/>
      <c r="CA169" s="407"/>
      <c r="CB169" s="407"/>
      <c r="CC169" s="407"/>
      <c r="CD169" s="407"/>
      <c r="CE169" s="407"/>
      <c r="CF169" s="407"/>
      <c r="CG169" s="407"/>
      <c r="CH169" s="407"/>
      <c r="CI169" s="407">
        <v>15530</v>
      </c>
      <c r="CJ169" s="407">
        <v>-4250.0299999999952</v>
      </c>
      <c r="CK169" s="407"/>
      <c r="CL169" s="407"/>
      <c r="CM169" s="407"/>
      <c r="CN169" s="407"/>
      <c r="CO169" s="407">
        <v>-4250.0000000000018</v>
      </c>
      <c r="CP169" s="407">
        <v>0</v>
      </c>
      <c r="CQ169" s="407">
        <v>29</v>
      </c>
      <c r="CR169" s="407">
        <v>-345.46120163134856</v>
      </c>
      <c r="CS169" s="407">
        <v>0</v>
      </c>
      <c r="CT169" s="407">
        <v>0</v>
      </c>
      <c r="CU169" s="407">
        <v>0</v>
      </c>
      <c r="CV169" s="407">
        <v>0</v>
      </c>
      <c r="CW169" s="407"/>
      <c r="CX169" s="407"/>
      <c r="CY169" s="407"/>
      <c r="CZ169" s="407">
        <v>-345.46120163134856</v>
      </c>
      <c r="DA169" s="407">
        <v>0</v>
      </c>
      <c r="DB169" s="407">
        <v>0</v>
      </c>
      <c r="DC169" s="407"/>
      <c r="DD169" s="407"/>
      <c r="DE169" s="407">
        <v>0</v>
      </c>
      <c r="DF169" s="407">
        <v>0</v>
      </c>
      <c r="DG169" s="407">
        <v>0</v>
      </c>
      <c r="DH169" s="407">
        <v>0</v>
      </c>
      <c r="DI169" s="407">
        <v>0</v>
      </c>
      <c r="DJ169" s="407"/>
      <c r="DK169" s="407">
        <v>0</v>
      </c>
      <c r="DL169" s="407">
        <v>0</v>
      </c>
      <c r="DM169" s="407"/>
      <c r="DN169" s="407">
        <v>0</v>
      </c>
      <c r="DO169" s="407">
        <v>0</v>
      </c>
      <c r="DP169" s="407">
        <v>0</v>
      </c>
      <c r="DQ169" s="407">
        <v>0</v>
      </c>
      <c r="DR169" s="407">
        <v>0</v>
      </c>
      <c r="DS169" s="407"/>
      <c r="DT169" s="407"/>
      <c r="DU169" s="407">
        <v>13192.466045287849</v>
      </c>
      <c r="DV169" s="407"/>
      <c r="DW169" s="407">
        <v>0</v>
      </c>
      <c r="DX169" s="407">
        <v>0</v>
      </c>
      <c r="DY169" s="407">
        <v>-4250</v>
      </c>
      <c r="DZ169" s="407"/>
      <c r="EA169" s="407">
        <v>0</v>
      </c>
      <c r="EB169" s="407"/>
      <c r="EC169" s="407">
        <v>-3899.9012099528481</v>
      </c>
      <c r="ED169" s="407"/>
      <c r="EE169" s="407">
        <v>0</v>
      </c>
      <c r="EF169" s="407">
        <v>0</v>
      </c>
      <c r="EG169" s="407"/>
      <c r="EH169" s="407">
        <v>0</v>
      </c>
      <c r="EI169" s="407">
        <v>0</v>
      </c>
      <c r="EJ169" s="407">
        <v>0</v>
      </c>
      <c r="EK169" s="407">
        <v>0</v>
      </c>
      <c r="EL169" s="407">
        <v>0</v>
      </c>
      <c r="EM169" s="407"/>
      <c r="EN169" s="407"/>
      <c r="EO169" s="407">
        <v>0</v>
      </c>
      <c r="EP169" s="407">
        <v>0</v>
      </c>
      <c r="EQ169" s="407"/>
      <c r="ER169" s="407">
        <v>0</v>
      </c>
      <c r="ES169" s="407"/>
      <c r="ET169" s="407">
        <v>0</v>
      </c>
      <c r="EU169" s="407"/>
      <c r="EV169" s="407">
        <v>207</v>
      </c>
      <c r="EW169" s="407"/>
      <c r="EX169" s="407"/>
      <c r="EY169" s="407"/>
      <c r="EZ169" s="407"/>
      <c r="FA169" s="407">
        <v>0</v>
      </c>
      <c r="FB169" s="407"/>
      <c r="FC169" s="407"/>
      <c r="FD169" s="407"/>
      <c r="FE169" s="407"/>
      <c r="FF169" s="407">
        <v>0</v>
      </c>
      <c r="FG169" s="407">
        <v>0</v>
      </c>
      <c r="FH169" s="407">
        <v>0</v>
      </c>
      <c r="FI169" s="407">
        <v>0</v>
      </c>
    </row>
    <row r="170" spans="1:165">
      <c r="A170" s="407">
        <v>168</v>
      </c>
      <c r="B170" s="407" t="s">
        <v>1092</v>
      </c>
      <c r="C170" s="407" t="s">
        <v>2305</v>
      </c>
      <c r="D170" s="407" t="s">
        <v>1221</v>
      </c>
      <c r="E170" s="407" t="s">
        <v>1051</v>
      </c>
      <c r="F170" s="407" t="s">
        <v>96</v>
      </c>
      <c r="G170" s="407" t="s">
        <v>96</v>
      </c>
      <c r="H170" s="407" t="s">
        <v>96</v>
      </c>
      <c r="I170" s="407" t="s">
        <v>96</v>
      </c>
      <c r="J170" s="407" t="s">
        <v>2306</v>
      </c>
      <c r="K170" s="815">
        <v>44593</v>
      </c>
      <c r="L170" s="407">
        <v>0</v>
      </c>
      <c r="M170" s="407">
        <v>0</v>
      </c>
      <c r="N170" s="407">
        <v>99.113</v>
      </c>
      <c r="O170" s="407">
        <v>99.113</v>
      </c>
      <c r="P170" s="407">
        <v>99.113</v>
      </c>
      <c r="Q170" s="407">
        <v>99.113</v>
      </c>
      <c r="R170" s="407"/>
      <c r="S170" s="407">
        <v>710.52</v>
      </c>
      <c r="T170" s="407">
        <v>127.85</v>
      </c>
      <c r="U170" s="407"/>
      <c r="V170" s="407">
        <v>83093.365809999988</v>
      </c>
      <c r="W170" s="407">
        <v>83093.365809999988</v>
      </c>
      <c r="X170" s="407">
        <v>68260.114230000007</v>
      </c>
      <c r="Y170" s="407">
        <v>0</v>
      </c>
      <c r="Z170" s="407">
        <v>6053.3340716470511</v>
      </c>
      <c r="AA170" s="407">
        <v>0</v>
      </c>
      <c r="AB170" s="407">
        <v>0</v>
      </c>
      <c r="AC170" s="407">
        <v>0</v>
      </c>
      <c r="AD170" s="407">
        <v>10837.258701416511</v>
      </c>
      <c r="AE170" s="407">
        <v>49374.854443478202</v>
      </c>
      <c r="AF170" s="407">
        <v>12671.338979469207</v>
      </c>
      <c r="AG170" s="407">
        <v>0</v>
      </c>
      <c r="AH170" s="407">
        <v>0</v>
      </c>
      <c r="AI170" s="407">
        <v>0</v>
      </c>
      <c r="AJ170" s="407">
        <v>0</v>
      </c>
      <c r="AK170" s="407">
        <v>0</v>
      </c>
      <c r="AL170" s="407">
        <v>936.1517628549052</v>
      </c>
      <c r="AM170" s="407"/>
      <c r="AN170" s="407">
        <v>227.04442217592546</v>
      </c>
      <c r="AO170" s="407">
        <v>0</v>
      </c>
      <c r="AP170" s="407">
        <v>0</v>
      </c>
      <c r="AQ170" s="407">
        <v>0</v>
      </c>
      <c r="AR170" s="407">
        <v>0</v>
      </c>
      <c r="AS170" s="407">
        <v>0</v>
      </c>
      <c r="AT170" s="407">
        <v>0</v>
      </c>
      <c r="AU170" s="407">
        <v>0</v>
      </c>
      <c r="AV170" s="407">
        <v>0</v>
      </c>
      <c r="AW170" s="407">
        <v>0</v>
      </c>
      <c r="AX170" s="407">
        <v>0</v>
      </c>
      <c r="AY170" s="407">
        <v>0</v>
      </c>
      <c r="AZ170" s="407">
        <v>0</v>
      </c>
      <c r="BA170" s="407"/>
      <c r="BB170" s="407">
        <v>0</v>
      </c>
      <c r="BC170" s="407">
        <v>0</v>
      </c>
      <c r="BD170" s="407">
        <v>0</v>
      </c>
      <c r="BE170" s="407">
        <v>0</v>
      </c>
      <c r="BF170" s="407">
        <v>0</v>
      </c>
      <c r="BG170" s="407">
        <v>2993.0335695611097</v>
      </c>
      <c r="BH170" s="407">
        <v>0</v>
      </c>
      <c r="BI170" s="407">
        <v>398.26</v>
      </c>
      <c r="BJ170" s="407">
        <v>1840.1</v>
      </c>
      <c r="BK170" s="407">
        <v>18563.97</v>
      </c>
      <c r="BL170" s="407">
        <v>86</v>
      </c>
      <c r="BM170" s="407"/>
      <c r="BN170" s="407"/>
      <c r="BO170" s="407"/>
      <c r="BP170" s="407"/>
      <c r="BQ170" s="407"/>
      <c r="BR170" s="407"/>
      <c r="BS170" s="407"/>
      <c r="BT170" s="407"/>
      <c r="BU170" s="407"/>
      <c r="BV170" s="407">
        <v>15664.372549030317</v>
      </c>
      <c r="BW170" s="407"/>
      <c r="BX170" s="407"/>
      <c r="BY170" s="407"/>
      <c r="BZ170" s="407"/>
      <c r="CA170" s="407"/>
      <c r="CB170" s="407"/>
      <c r="CC170" s="407"/>
      <c r="CD170" s="407"/>
      <c r="CE170" s="407"/>
      <c r="CF170" s="407"/>
      <c r="CG170" s="407"/>
      <c r="CH170" s="407"/>
      <c r="CI170" s="407">
        <v>68258.0481</v>
      </c>
      <c r="CJ170" s="407">
        <v>-14835.347709999973</v>
      </c>
      <c r="CK170" s="407"/>
      <c r="CL170" s="407"/>
      <c r="CM170" s="407"/>
      <c r="CN170" s="407"/>
      <c r="CO170" s="407">
        <v>-15231.685839999995</v>
      </c>
      <c r="CP170" s="407">
        <v>398.43426000000102</v>
      </c>
      <c r="CQ170" s="407">
        <v>29</v>
      </c>
      <c r="CR170" s="407">
        <v>-236.5849389367213</v>
      </c>
      <c r="CS170" s="407">
        <v>0</v>
      </c>
      <c r="CT170" s="407">
        <v>0</v>
      </c>
      <c r="CU170" s="407">
        <v>0</v>
      </c>
      <c r="CV170" s="407">
        <v>0</v>
      </c>
      <c r="CW170" s="407">
        <v>0</v>
      </c>
      <c r="CX170" s="407">
        <v>0</v>
      </c>
      <c r="CY170" s="407">
        <v>0</v>
      </c>
      <c r="CZ170" s="407">
        <v>-568.53034281267537</v>
      </c>
      <c r="DA170" s="407">
        <v>0</v>
      </c>
      <c r="DB170" s="407">
        <v>0</v>
      </c>
      <c r="DC170" s="407">
        <v>398.71904026550146</v>
      </c>
      <c r="DD170" s="407">
        <v>0</v>
      </c>
      <c r="DE170" s="407">
        <v>0</v>
      </c>
      <c r="DF170" s="407">
        <v>0</v>
      </c>
      <c r="DG170" s="407">
        <v>94.179429204080407</v>
      </c>
      <c r="DH170" s="407">
        <v>0</v>
      </c>
      <c r="DI170" s="407">
        <v>-137.85532070970385</v>
      </c>
      <c r="DJ170" s="407"/>
      <c r="DK170" s="407">
        <v>0</v>
      </c>
      <c r="DL170" s="407">
        <v>0</v>
      </c>
      <c r="DM170" s="407">
        <v>0</v>
      </c>
      <c r="DN170" s="407">
        <v>0</v>
      </c>
      <c r="DO170" s="407">
        <v>-17.863678313461719</v>
      </c>
      <c r="DP170" s="407">
        <v>-5.2340665704626019</v>
      </c>
      <c r="DQ170" s="407">
        <v>0</v>
      </c>
      <c r="DR170" s="407">
        <v>0</v>
      </c>
      <c r="DS170" s="407"/>
      <c r="DT170" s="407"/>
      <c r="DU170" s="407"/>
      <c r="DV170" s="407">
        <v>49374.854443478202</v>
      </c>
      <c r="DW170" s="407">
        <v>0</v>
      </c>
      <c r="DX170" s="407">
        <v>0</v>
      </c>
      <c r="DY170" s="407">
        <v>-15231.685839999991</v>
      </c>
      <c r="DZ170" s="407">
        <v>398.43426000000181</v>
      </c>
      <c r="EA170" s="407">
        <v>0</v>
      </c>
      <c r="EB170" s="407">
        <v>0</v>
      </c>
      <c r="EC170" s="407">
        <v>-14595.986370125574</v>
      </c>
      <c r="ED170" s="407">
        <v>0</v>
      </c>
      <c r="EE170" s="407">
        <v>0</v>
      </c>
      <c r="EF170" s="407">
        <v>0</v>
      </c>
      <c r="EG170" s="407">
        <v>0</v>
      </c>
      <c r="EH170" s="407">
        <v>0</v>
      </c>
      <c r="EI170" s="407">
        <v>0</v>
      </c>
      <c r="EJ170" s="407">
        <v>0</v>
      </c>
      <c r="EK170" s="407">
        <v>0</v>
      </c>
      <c r="EL170" s="407">
        <v>0</v>
      </c>
      <c r="EM170" s="407">
        <v>0</v>
      </c>
      <c r="EN170" s="407">
        <v>0</v>
      </c>
      <c r="EO170" s="407">
        <v>0</v>
      </c>
      <c r="EP170" s="407">
        <v>0</v>
      </c>
      <c r="EQ170" s="407">
        <v>0</v>
      </c>
      <c r="ER170" s="407">
        <v>0</v>
      </c>
      <c r="ES170" s="407">
        <v>0</v>
      </c>
      <c r="ET170" s="407">
        <v>0</v>
      </c>
      <c r="EU170" s="407">
        <v>0</v>
      </c>
      <c r="EV170" s="407">
        <v>207</v>
      </c>
      <c r="EW170" s="407">
        <v>0</v>
      </c>
      <c r="EX170" s="407">
        <v>0</v>
      </c>
      <c r="EY170" s="407">
        <v>0</v>
      </c>
      <c r="EZ170" s="407"/>
      <c r="FA170" s="407">
        <v>0</v>
      </c>
      <c r="FB170" s="407"/>
      <c r="FC170" s="407"/>
      <c r="FD170" s="407"/>
      <c r="FE170" s="407"/>
      <c r="FF170" s="407">
        <v>0</v>
      </c>
      <c r="FG170" s="407">
        <v>0</v>
      </c>
      <c r="FH170" s="407">
        <v>0</v>
      </c>
      <c r="FI170" s="407">
        <v>0</v>
      </c>
    </row>
    <row r="171" spans="1:165">
      <c r="A171" s="407">
        <v>169</v>
      </c>
      <c r="B171" s="407" t="s">
        <v>1092</v>
      </c>
      <c r="C171" s="407" t="s">
        <v>2315</v>
      </c>
      <c r="D171" s="407" t="s">
        <v>648</v>
      </c>
      <c r="E171" s="407" t="s">
        <v>1051</v>
      </c>
      <c r="F171" s="407" t="s">
        <v>96</v>
      </c>
      <c r="G171" s="407" t="s">
        <v>96</v>
      </c>
      <c r="H171" s="407" t="s">
        <v>96</v>
      </c>
      <c r="I171" s="407" t="s">
        <v>1027</v>
      </c>
      <c r="J171" s="407" t="s">
        <v>2306</v>
      </c>
      <c r="K171" s="815">
        <v>44593</v>
      </c>
      <c r="L171" s="407">
        <v>0</v>
      </c>
      <c r="M171" s="407">
        <v>0</v>
      </c>
      <c r="N171" s="407">
        <v>2.359</v>
      </c>
      <c r="O171" s="407">
        <v>2.359</v>
      </c>
      <c r="P171" s="407">
        <v>2.359</v>
      </c>
      <c r="Q171" s="407">
        <v>2.359</v>
      </c>
      <c r="R171" s="407"/>
      <c r="S171" s="407">
        <v>2075.9499999999998</v>
      </c>
      <c r="T171" s="407">
        <v>127.85</v>
      </c>
      <c r="U171" s="407"/>
      <c r="V171" s="407">
        <v>5198.7641999999996</v>
      </c>
      <c r="W171" s="407">
        <v>5198.7641999999996</v>
      </c>
      <c r="X171" s="407">
        <v>4166.96119</v>
      </c>
      <c r="Y171" s="407">
        <v>0</v>
      </c>
      <c r="Z171" s="407">
        <v>125.34621205354901</v>
      </c>
      <c r="AA171" s="407">
        <v>0</v>
      </c>
      <c r="AB171" s="407">
        <v>0</v>
      </c>
      <c r="AC171" s="407">
        <v>0</v>
      </c>
      <c r="AD171" s="407">
        <v>1486.1910362242156</v>
      </c>
      <c r="AE171" s="407">
        <v>3248.7292983805442</v>
      </c>
      <c r="AF171" s="407">
        <v>301.59200763338674</v>
      </c>
      <c r="AG171" s="407">
        <v>0</v>
      </c>
      <c r="AH171" s="407">
        <v>0</v>
      </c>
      <c r="AI171" s="407">
        <v>0</v>
      </c>
      <c r="AJ171" s="407">
        <v>0</v>
      </c>
      <c r="AK171" s="407">
        <v>0</v>
      </c>
      <c r="AL171" s="407">
        <v>22.281456605841022</v>
      </c>
      <c r="AM171" s="407"/>
      <c r="AN171" s="407">
        <v>2.3693893004528879</v>
      </c>
      <c r="AO171" s="407">
        <v>0</v>
      </c>
      <c r="AP171" s="407">
        <v>0</v>
      </c>
      <c r="AQ171" s="407">
        <v>0</v>
      </c>
      <c r="AR171" s="407">
        <v>0</v>
      </c>
      <c r="AS171" s="407">
        <v>0</v>
      </c>
      <c r="AT171" s="407">
        <v>0</v>
      </c>
      <c r="AU171" s="407">
        <v>0</v>
      </c>
      <c r="AV171" s="407">
        <v>0</v>
      </c>
      <c r="AW171" s="407">
        <v>0</v>
      </c>
      <c r="AX171" s="407">
        <v>0</v>
      </c>
      <c r="AY171" s="407">
        <v>0</v>
      </c>
      <c r="AZ171" s="407">
        <v>0</v>
      </c>
      <c r="BA171" s="407"/>
      <c r="BB171" s="407">
        <v>0</v>
      </c>
      <c r="BC171" s="407">
        <v>0</v>
      </c>
      <c r="BD171" s="407">
        <v>0</v>
      </c>
      <c r="BE171" s="407">
        <v>0</v>
      </c>
      <c r="BF171" s="407">
        <v>0</v>
      </c>
      <c r="BG171" s="407">
        <v>12.246943060645718</v>
      </c>
      <c r="BH171" s="407">
        <v>0</v>
      </c>
      <c r="BI171" s="407">
        <v>0</v>
      </c>
      <c r="BJ171" s="407">
        <v>0</v>
      </c>
      <c r="BK171" s="407">
        <v>0</v>
      </c>
      <c r="BL171" s="407">
        <v>0</v>
      </c>
      <c r="BM171" s="407"/>
      <c r="BN171" s="407"/>
      <c r="BO171" s="407"/>
      <c r="BP171" s="407"/>
      <c r="BQ171" s="407"/>
      <c r="BR171" s="407"/>
      <c r="BS171" s="407"/>
      <c r="BT171" s="407"/>
      <c r="BU171" s="407"/>
      <c r="BV171" s="407">
        <v>313.83895069403246</v>
      </c>
      <c r="BW171" s="407"/>
      <c r="BX171" s="407"/>
      <c r="BY171" s="407"/>
      <c r="BZ171" s="407"/>
      <c r="CA171" s="407"/>
      <c r="CB171" s="407"/>
      <c r="CC171" s="407"/>
      <c r="CD171" s="407"/>
      <c r="CE171" s="407"/>
      <c r="CF171" s="407"/>
      <c r="CG171" s="407"/>
      <c r="CH171" s="407"/>
      <c r="CI171" s="407">
        <v>4168.7275999999993</v>
      </c>
      <c r="CJ171" s="407">
        <v>-1030.066600000001</v>
      </c>
      <c r="CK171" s="407"/>
      <c r="CL171" s="407"/>
      <c r="CM171" s="407"/>
      <c r="CN171" s="407"/>
      <c r="CO171" s="407">
        <v>-1041.2861899999996</v>
      </c>
      <c r="CP171" s="407">
        <v>9.4831800000000239</v>
      </c>
      <c r="CQ171" s="407">
        <v>29</v>
      </c>
      <c r="CR171" s="407">
        <v>-71.425684994721905</v>
      </c>
      <c r="CS171" s="407">
        <v>0</v>
      </c>
      <c r="CT171" s="407">
        <v>0</v>
      </c>
      <c r="CU171" s="407">
        <v>0</v>
      </c>
      <c r="CV171" s="407">
        <v>0</v>
      </c>
      <c r="CW171" s="407">
        <v>0</v>
      </c>
      <c r="CX171" s="407">
        <v>0</v>
      </c>
      <c r="CY171" s="407">
        <v>0</v>
      </c>
      <c r="CZ171" s="407">
        <v>-77.966644756691039</v>
      </c>
      <c r="DA171" s="407">
        <v>0</v>
      </c>
      <c r="DB171" s="407">
        <v>0</v>
      </c>
      <c r="DC171" s="407">
        <v>9.4899580881046859</v>
      </c>
      <c r="DD171" s="407">
        <v>0</v>
      </c>
      <c r="DE171" s="407">
        <v>0</v>
      </c>
      <c r="DF171" s="407">
        <v>0</v>
      </c>
      <c r="DG171" s="407">
        <v>0.38536490825780589</v>
      </c>
      <c r="DH171" s="407">
        <v>0</v>
      </c>
      <c r="DI171" s="407">
        <v>-2.8545661048719495</v>
      </c>
      <c r="DJ171" s="407"/>
      <c r="DK171" s="407">
        <v>0</v>
      </c>
      <c r="DL171" s="407">
        <v>0</v>
      </c>
      <c r="DM171" s="407">
        <v>0</v>
      </c>
      <c r="DN171" s="407">
        <v>0</v>
      </c>
      <c r="DO171" s="407">
        <v>-0.42517547790356502</v>
      </c>
      <c r="DP171" s="407">
        <v>-5.4621651618039557E-2</v>
      </c>
      <c r="DQ171" s="407">
        <v>0</v>
      </c>
      <c r="DR171" s="407">
        <v>0</v>
      </c>
      <c r="DS171" s="407"/>
      <c r="DT171" s="407"/>
      <c r="DU171" s="407"/>
      <c r="DV171" s="407">
        <v>3248.7292983805442</v>
      </c>
      <c r="DW171" s="407">
        <v>0</v>
      </c>
      <c r="DX171" s="407">
        <v>0</v>
      </c>
      <c r="DY171" s="407">
        <v>-1041.2861899999998</v>
      </c>
      <c r="DZ171" s="407">
        <v>9.4831800000000612</v>
      </c>
      <c r="EA171" s="407">
        <v>0</v>
      </c>
      <c r="EB171" s="407">
        <v>0</v>
      </c>
      <c r="EC171" s="407">
        <v>-960.37566275100608</v>
      </c>
      <c r="ED171" s="407">
        <v>0</v>
      </c>
      <c r="EE171" s="407">
        <v>0</v>
      </c>
      <c r="EF171" s="407">
        <v>0</v>
      </c>
      <c r="EG171" s="407">
        <v>0</v>
      </c>
      <c r="EH171" s="407">
        <v>0</v>
      </c>
      <c r="EI171" s="407">
        <v>0</v>
      </c>
      <c r="EJ171" s="407">
        <v>0</v>
      </c>
      <c r="EK171" s="407">
        <v>0</v>
      </c>
      <c r="EL171" s="407">
        <v>0</v>
      </c>
      <c r="EM171" s="407">
        <v>0</v>
      </c>
      <c r="EN171" s="407">
        <v>0</v>
      </c>
      <c r="EO171" s="407">
        <v>0</v>
      </c>
      <c r="EP171" s="407">
        <v>0</v>
      </c>
      <c r="EQ171" s="407">
        <v>0</v>
      </c>
      <c r="ER171" s="407">
        <v>0</v>
      </c>
      <c r="ES171" s="407">
        <v>0</v>
      </c>
      <c r="ET171" s="407">
        <v>0</v>
      </c>
      <c r="EU171" s="407">
        <v>0</v>
      </c>
      <c r="EV171" s="407">
        <v>207</v>
      </c>
      <c r="EW171" s="407">
        <v>0</v>
      </c>
      <c r="EX171" s="407">
        <v>0</v>
      </c>
      <c r="EY171" s="407">
        <v>0</v>
      </c>
      <c r="EZ171" s="407"/>
      <c r="FA171" s="407">
        <v>0</v>
      </c>
      <c r="FB171" s="407"/>
      <c r="FC171" s="407"/>
      <c r="FD171" s="407"/>
      <c r="FE171" s="407"/>
      <c r="FF171" s="407">
        <v>0</v>
      </c>
      <c r="FG171" s="407">
        <v>0</v>
      </c>
      <c r="FH171" s="407">
        <v>0</v>
      </c>
      <c r="FI171" s="407">
        <v>0</v>
      </c>
    </row>
    <row r="172" spans="1:165">
      <c r="A172" s="407">
        <v>170</v>
      </c>
      <c r="B172" s="407" t="s">
        <v>1092</v>
      </c>
      <c r="C172" s="407" t="s">
        <v>2315</v>
      </c>
      <c r="D172" s="407" t="s">
        <v>648</v>
      </c>
      <c r="E172" s="407" t="s">
        <v>1051</v>
      </c>
      <c r="F172" s="407" t="s">
        <v>96</v>
      </c>
      <c r="G172" s="407" t="s">
        <v>96</v>
      </c>
      <c r="H172" s="407" t="s">
        <v>96</v>
      </c>
      <c r="I172" s="407" t="s">
        <v>2290</v>
      </c>
      <c r="J172" s="407" t="s">
        <v>2306</v>
      </c>
      <c r="K172" s="815">
        <v>44593</v>
      </c>
      <c r="L172" s="407">
        <v>0</v>
      </c>
      <c r="M172" s="407">
        <v>0</v>
      </c>
      <c r="N172" s="407">
        <v>29.956</v>
      </c>
      <c r="O172" s="407">
        <v>29.956</v>
      </c>
      <c r="P172" s="407">
        <v>29.956</v>
      </c>
      <c r="Q172" s="407">
        <v>29.956</v>
      </c>
      <c r="R172" s="407"/>
      <c r="S172" s="407">
        <v>68.78</v>
      </c>
      <c r="T172" s="407">
        <v>127.85</v>
      </c>
      <c r="U172" s="407"/>
      <c r="V172" s="407">
        <v>5890.2482799999998</v>
      </c>
      <c r="W172" s="407">
        <v>5890.2482799999998</v>
      </c>
      <c r="X172" s="407">
        <v>5973.2263999999996</v>
      </c>
      <c r="Y172" s="407">
        <v>0</v>
      </c>
      <c r="Z172" s="407">
        <v>1591.7215465350207</v>
      </c>
      <c r="AA172" s="407">
        <v>0</v>
      </c>
      <c r="AB172" s="407">
        <v>0</v>
      </c>
      <c r="AC172" s="407">
        <v>0</v>
      </c>
      <c r="AD172" s="407">
        <v>0</v>
      </c>
      <c r="AE172" s="407">
        <v>0</v>
      </c>
      <c r="AF172" s="407">
        <v>3829.7966005365547</v>
      </c>
      <c r="AG172" s="407">
        <v>0</v>
      </c>
      <c r="AH172" s="407">
        <v>0</v>
      </c>
      <c r="AI172" s="407">
        <v>0</v>
      </c>
      <c r="AJ172" s="407">
        <v>0</v>
      </c>
      <c r="AK172" s="407">
        <v>0</v>
      </c>
      <c r="AL172" s="407">
        <v>282.94332941270608</v>
      </c>
      <c r="AM172" s="407"/>
      <c r="AN172" s="407">
        <v>30.087929582181733</v>
      </c>
      <c r="AO172" s="407">
        <v>0</v>
      </c>
      <c r="AP172" s="407">
        <v>0</v>
      </c>
      <c r="AQ172" s="407">
        <v>0</v>
      </c>
      <c r="AR172" s="407">
        <v>0</v>
      </c>
      <c r="AS172" s="407">
        <v>0</v>
      </c>
      <c r="AT172" s="407">
        <v>0</v>
      </c>
      <c r="AU172" s="407">
        <v>0</v>
      </c>
      <c r="AV172" s="407">
        <v>0</v>
      </c>
      <c r="AW172" s="407">
        <v>0</v>
      </c>
      <c r="AX172" s="407">
        <v>0</v>
      </c>
      <c r="AY172" s="407">
        <v>0</v>
      </c>
      <c r="AZ172" s="407">
        <v>0</v>
      </c>
      <c r="BA172" s="407"/>
      <c r="BB172" s="407">
        <v>0</v>
      </c>
      <c r="BC172" s="407">
        <v>0</v>
      </c>
      <c r="BD172" s="407">
        <v>0</v>
      </c>
      <c r="BE172" s="407">
        <v>0</v>
      </c>
      <c r="BF172" s="407">
        <v>0</v>
      </c>
      <c r="BG172" s="407">
        <v>155.51904464803013</v>
      </c>
      <c r="BH172" s="407">
        <v>0</v>
      </c>
      <c r="BI172" s="407">
        <v>0</v>
      </c>
      <c r="BJ172" s="407">
        <v>0</v>
      </c>
      <c r="BK172" s="407">
        <v>0</v>
      </c>
      <c r="BL172" s="407">
        <v>0</v>
      </c>
      <c r="BM172" s="407"/>
      <c r="BN172" s="407"/>
      <c r="BO172" s="407"/>
      <c r="BP172" s="407"/>
      <c r="BQ172" s="407"/>
      <c r="BR172" s="407"/>
      <c r="BS172" s="407"/>
      <c r="BT172" s="407"/>
      <c r="BU172" s="407"/>
      <c r="BV172" s="407">
        <v>3985.3156451845848</v>
      </c>
      <c r="BW172" s="407"/>
      <c r="BX172" s="407"/>
      <c r="BY172" s="407"/>
      <c r="BZ172" s="407"/>
      <c r="CA172" s="407"/>
      <c r="CB172" s="407"/>
      <c r="CC172" s="407"/>
      <c r="CD172" s="407"/>
      <c r="CE172" s="407"/>
      <c r="CF172" s="407"/>
      <c r="CG172" s="407"/>
      <c r="CH172" s="407"/>
      <c r="CI172" s="407">
        <v>5974.0240000000003</v>
      </c>
      <c r="CJ172" s="407">
        <v>83.745719999999892</v>
      </c>
      <c r="CK172" s="407"/>
      <c r="CL172" s="407"/>
      <c r="CM172" s="407"/>
      <c r="CN172" s="407"/>
      <c r="CO172" s="407">
        <v>-37.445</v>
      </c>
      <c r="CP172" s="407">
        <v>120.42312000000031</v>
      </c>
      <c r="CQ172" s="407">
        <v>29</v>
      </c>
      <c r="CR172" s="407">
        <v>83.061038842536618</v>
      </c>
      <c r="CS172" s="407">
        <v>0</v>
      </c>
      <c r="CT172" s="407">
        <v>0</v>
      </c>
      <c r="CU172" s="407">
        <v>0</v>
      </c>
      <c r="CV172" s="407">
        <v>0</v>
      </c>
      <c r="CW172" s="407">
        <v>0</v>
      </c>
      <c r="CX172" s="407">
        <v>0</v>
      </c>
      <c r="CY172" s="407">
        <v>0</v>
      </c>
      <c r="CZ172" s="407">
        <v>0</v>
      </c>
      <c r="DA172" s="407">
        <v>0</v>
      </c>
      <c r="DB172" s="407">
        <v>0</v>
      </c>
      <c r="DC172" s="407">
        <v>120.5091922370766</v>
      </c>
      <c r="DD172" s="407">
        <v>0</v>
      </c>
      <c r="DE172" s="407">
        <v>0</v>
      </c>
      <c r="DF172" s="407">
        <v>0</v>
      </c>
      <c r="DG172" s="407">
        <v>4.8935952487371424</v>
      </c>
      <c r="DH172" s="407">
        <v>0</v>
      </c>
      <c r="DI172" s="407">
        <v>-36.248996285520889</v>
      </c>
      <c r="DJ172" s="407"/>
      <c r="DK172" s="407">
        <v>0</v>
      </c>
      <c r="DL172" s="407">
        <v>0</v>
      </c>
      <c r="DM172" s="407">
        <v>0</v>
      </c>
      <c r="DN172" s="407">
        <v>0</v>
      </c>
      <c r="DO172" s="407">
        <v>-5.3991337923184233</v>
      </c>
      <c r="DP172" s="407">
        <v>-0.69361856543874367</v>
      </c>
      <c r="DQ172" s="407">
        <v>0</v>
      </c>
      <c r="DR172" s="407">
        <v>0</v>
      </c>
      <c r="DS172" s="407"/>
      <c r="DT172" s="407"/>
      <c r="DU172" s="407"/>
      <c r="DV172" s="407">
        <v>0</v>
      </c>
      <c r="DW172" s="407">
        <v>0</v>
      </c>
      <c r="DX172" s="407">
        <v>0</v>
      </c>
      <c r="DY172" s="407">
        <v>-37.445000000000164</v>
      </c>
      <c r="DZ172" s="407">
        <v>120.42312000000038</v>
      </c>
      <c r="EA172" s="407">
        <v>0</v>
      </c>
      <c r="EB172" s="407">
        <v>0</v>
      </c>
      <c r="EC172" s="407">
        <v>0</v>
      </c>
      <c r="ED172" s="407">
        <v>0</v>
      </c>
      <c r="EE172" s="407">
        <v>0</v>
      </c>
      <c r="EF172" s="407">
        <v>0</v>
      </c>
      <c r="EG172" s="407">
        <v>0</v>
      </c>
      <c r="EH172" s="407">
        <v>0</v>
      </c>
      <c r="EI172" s="407">
        <v>0</v>
      </c>
      <c r="EJ172" s="407">
        <v>0</v>
      </c>
      <c r="EK172" s="407">
        <v>0</v>
      </c>
      <c r="EL172" s="407">
        <v>0</v>
      </c>
      <c r="EM172" s="407">
        <v>0</v>
      </c>
      <c r="EN172" s="407">
        <v>0</v>
      </c>
      <c r="EO172" s="407">
        <v>0</v>
      </c>
      <c r="EP172" s="407">
        <v>0</v>
      </c>
      <c r="EQ172" s="407">
        <v>0</v>
      </c>
      <c r="ER172" s="407">
        <v>0</v>
      </c>
      <c r="ES172" s="407">
        <v>0</v>
      </c>
      <c r="ET172" s="407">
        <v>0</v>
      </c>
      <c r="EU172" s="407">
        <v>0</v>
      </c>
      <c r="EV172" s="407">
        <v>207</v>
      </c>
      <c r="EW172" s="407">
        <v>0</v>
      </c>
      <c r="EX172" s="407">
        <v>0</v>
      </c>
      <c r="EY172" s="407">
        <v>0</v>
      </c>
      <c r="EZ172" s="407"/>
      <c r="FA172" s="407">
        <v>0</v>
      </c>
      <c r="FB172" s="407"/>
      <c r="FC172" s="407"/>
      <c r="FD172" s="407"/>
      <c r="FE172" s="407"/>
      <c r="FF172" s="407">
        <v>0</v>
      </c>
      <c r="FG172" s="407">
        <v>0</v>
      </c>
      <c r="FH172" s="407">
        <v>0</v>
      </c>
      <c r="FI172" s="407">
        <v>0</v>
      </c>
    </row>
    <row r="173" spans="1:165">
      <c r="A173" s="407">
        <v>171</v>
      </c>
      <c r="B173" s="407" t="s">
        <v>1092</v>
      </c>
      <c r="C173" s="407" t="s">
        <v>2315</v>
      </c>
      <c r="D173" s="407" t="s">
        <v>648</v>
      </c>
      <c r="E173" s="407" t="s">
        <v>1051</v>
      </c>
      <c r="F173" s="407" t="s">
        <v>96</v>
      </c>
      <c r="G173" s="407" t="s">
        <v>96</v>
      </c>
      <c r="H173" s="407" t="s">
        <v>96</v>
      </c>
      <c r="I173" s="407" t="s">
        <v>96</v>
      </c>
      <c r="J173" s="407" t="s">
        <v>2306</v>
      </c>
      <c r="K173" s="815">
        <v>44593</v>
      </c>
      <c r="L173" s="407">
        <v>280</v>
      </c>
      <c r="M173" s="407">
        <v>280</v>
      </c>
      <c r="N173" s="407">
        <v>0</v>
      </c>
      <c r="O173" s="407">
        <v>0</v>
      </c>
      <c r="P173" s="407">
        <v>0</v>
      </c>
      <c r="Q173" s="407">
        <v>0</v>
      </c>
      <c r="R173" s="407">
        <v>39.56</v>
      </c>
      <c r="S173" s="407"/>
      <c r="T173" s="407"/>
      <c r="U173" s="407">
        <v>11076.800000000001</v>
      </c>
      <c r="V173" s="407"/>
      <c r="W173" s="407">
        <v>11076.800000000001</v>
      </c>
      <c r="X173" s="407">
        <v>8696.7999999999993</v>
      </c>
      <c r="Y173" s="407">
        <v>0</v>
      </c>
      <c r="Z173" s="407">
        <v>0</v>
      </c>
      <c r="AA173" s="407">
        <v>0</v>
      </c>
      <c r="AB173" s="407">
        <v>0</v>
      </c>
      <c r="AC173" s="407">
        <v>0</v>
      </c>
      <c r="AD173" s="407">
        <v>3687.6789040341037</v>
      </c>
      <c r="AE173" s="407">
        <v>7387.7809853611961</v>
      </c>
      <c r="AF173" s="407"/>
      <c r="AG173" s="407"/>
      <c r="AH173" s="407"/>
      <c r="AI173" s="407">
        <v>0</v>
      </c>
      <c r="AJ173" s="407">
        <v>0</v>
      </c>
      <c r="AK173" s="407">
        <v>0</v>
      </c>
      <c r="AL173" s="407">
        <v>0</v>
      </c>
      <c r="AM173" s="407"/>
      <c r="AN173" s="407">
        <v>0</v>
      </c>
      <c r="AO173" s="407">
        <v>0</v>
      </c>
      <c r="AP173" s="407">
        <v>0</v>
      </c>
      <c r="AQ173" s="407">
        <v>0</v>
      </c>
      <c r="AR173" s="407">
        <v>0</v>
      </c>
      <c r="AS173" s="407"/>
      <c r="AT173" s="407"/>
      <c r="AU173" s="407">
        <v>0</v>
      </c>
      <c r="AV173" s="407">
        <v>0</v>
      </c>
      <c r="AW173" s="407">
        <v>0</v>
      </c>
      <c r="AX173" s="407"/>
      <c r="AY173" s="407"/>
      <c r="AZ173" s="407">
        <v>0</v>
      </c>
      <c r="BA173" s="407"/>
      <c r="BB173" s="407">
        <v>0</v>
      </c>
      <c r="BC173" s="407">
        <v>0</v>
      </c>
      <c r="BD173" s="407">
        <v>0</v>
      </c>
      <c r="BE173" s="407">
        <v>0</v>
      </c>
      <c r="BF173" s="407"/>
      <c r="BG173" s="407">
        <v>0</v>
      </c>
      <c r="BH173" s="407">
        <v>0</v>
      </c>
      <c r="BI173" s="407">
        <v>158.02000000000001</v>
      </c>
      <c r="BJ173" s="407">
        <v>729.38</v>
      </c>
      <c r="BK173" s="407">
        <v>4551.54</v>
      </c>
      <c r="BL173" s="407">
        <v>2</v>
      </c>
      <c r="BM173" s="407"/>
      <c r="BN173" s="407"/>
      <c r="BO173" s="407"/>
      <c r="BP173" s="407"/>
      <c r="BQ173" s="407"/>
      <c r="BR173" s="407"/>
      <c r="BS173" s="407"/>
      <c r="BT173" s="407"/>
      <c r="BU173" s="407"/>
      <c r="BV173" s="407">
        <v>0</v>
      </c>
      <c r="BW173" s="407"/>
      <c r="BX173" s="407"/>
      <c r="BY173" s="407"/>
      <c r="BZ173" s="407"/>
      <c r="CA173" s="407"/>
      <c r="CB173" s="407"/>
      <c r="CC173" s="407"/>
      <c r="CD173" s="407"/>
      <c r="CE173" s="407"/>
      <c r="CF173" s="407"/>
      <c r="CG173" s="407"/>
      <c r="CH173" s="407"/>
      <c r="CI173" s="407">
        <v>8696.7999999999993</v>
      </c>
      <c r="CJ173" s="407">
        <v>-2380.0300000000025</v>
      </c>
      <c r="CK173" s="407"/>
      <c r="CL173" s="407"/>
      <c r="CM173" s="407"/>
      <c r="CN173" s="407"/>
      <c r="CO173" s="407">
        <v>-2380.0000000000009</v>
      </c>
      <c r="CP173" s="407">
        <v>0</v>
      </c>
      <c r="CQ173" s="407">
        <v>29</v>
      </c>
      <c r="CR173" s="407">
        <v>-193.45827291355545</v>
      </c>
      <c r="CS173" s="407">
        <v>0</v>
      </c>
      <c r="CT173" s="407">
        <v>0</v>
      </c>
      <c r="CU173" s="407">
        <v>0</v>
      </c>
      <c r="CV173" s="407">
        <v>0</v>
      </c>
      <c r="CW173" s="407"/>
      <c r="CX173" s="407"/>
      <c r="CY173" s="407"/>
      <c r="CZ173" s="407">
        <v>-193.45827291355545</v>
      </c>
      <c r="DA173" s="407">
        <v>0</v>
      </c>
      <c r="DB173" s="407">
        <v>0</v>
      </c>
      <c r="DC173" s="407"/>
      <c r="DD173" s="407"/>
      <c r="DE173" s="407">
        <v>0</v>
      </c>
      <c r="DF173" s="407">
        <v>0</v>
      </c>
      <c r="DG173" s="407">
        <v>0</v>
      </c>
      <c r="DH173" s="407">
        <v>0</v>
      </c>
      <c r="DI173" s="407">
        <v>0</v>
      </c>
      <c r="DJ173" s="407"/>
      <c r="DK173" s="407">
        <v>0</v>
      </c>
      <c r="DL173" s="407">
        <v>0</v>
      </c>
      <c r="DM173" s="407"/>
      <c r="DN173" s="407">
        <v>0</v>
      </c>
      <c r="DO173" s="407">
        <v>0</v>
      </c>
      <c r="DP173" s="407">
        <v>0</v>
      </c>
      <c r="DQ173" s="407">
        <v>0</v>
      </c>
      <c r="DR173" s="407">
        <v>0</v>
      </c>
      <c r="DS173" s="407"/>
      <c r="DT173" s="407"/>
      <c r="DU173" s="407">
        <v>7387.7809853611961</v>
      </c>
      <c r="DV173" s="407"/>
      <c r="DW173" s="407">
        <v>0</v>
      </c>
      <c r="DX173" s="407">
        <v>0</v>
      </c>
      <c r="DY173" s="407">
        <v>-2380.0000000000018</v>
      </c>
      <c r="DZ173" s="407"/>
      <c r="EA173" s="407">
        <v>0</v>
      </c>
      <c r="EB173" s="407"/>
      <c r="EC173" s="407">
        <v>-2183.944677573596</v>
      </c>
      <c r="ED173" s="407"/>
      <c r="EE173" s="407">
        <v>0</v>
      </c>
      <c r="EF173" s="407">
        <v>0</v>
      </c>
      <c r="EG173" s="407"/>
      <c r="EH173" s="407">
        <v>0</v>
      </c>
      <c r="EI173" s="407">
        <v>0</v>
      </c>
      <c r="EJ173" s="407">
        <v>0</v>
      </c>
      <c r="EK173" s="407">
        <v>0</v>
      </c>
      <c r="EL173" s="407">
        <v>0</v>
      </c>
      <c r="EM173" s="407"/>
      <c r="EN173" s="407"/>
      <c r="EO173" s="407">
        <v>0</v>
      </c>
      <c r="EP173" s="407">
        <v>0</v>
      </c>
      <c r="EQ173" s="407"/>
      <c r="ER173" s="407">
        <v>0</v>
      </c>
      <c r="ES173" s="407"/>
      <c r="ET173" s="407">
        <v>0</v>
      </c>
      <c r="EU173" s="407"/>
      <c r="EV173" s="407">
        <v>207</v>
      </c>
      <c r="EW173" s="407"/>
      <c r="EX173" s="407"/>
      <c r="EY173" s="407"/>
      <c r="EZ173" s="407"/>
      <c r="FA173" s="407">
        <v>0</v>
      </c>
      <c r="FB173" s="407"/>
      <c r="FC173" s="407"/>
      <c r="FD173" s="407"/>
      <c r="FE173" s="407"/>
      <c r="FF173" s="407">
        <v>0</v>
      </c>
      <c r="FG173" s="407">
        <v>0</v>
      </c>
      <c r="FH173" s="407">
        <v>0</v>
      </c>
      <c r="FI173" s="407">
        <v>0</v>
      </c>
    </row>
    <row r="174" spans="1:165">
      <c r="A174" s="407">
        <v>172</v>
      </c>
      <c r="B174" s="407" t="s">
        <v>1092</v>
      </c>
      <c r="C174" s="407" t="s">
        <v>2305</v>
      </c>
      <c r="D174" s="407" t="s">
        <v>2316</v>
      </c>
      <c r="E174" s="407" t="s">
        <v>1028</v>
      </c>
      <c r="F174" s="407" t="s">
        <v>96</v>
      </c>
      <c r="G174" s="407" t="s">
        <v>96</v>
      </c>
      <c r="H174" s="407" t="s">
        <v>96</v>
      </c>
      <c r="I174" s="407" t="s">
        <v>96</v>
      </c>
      <c r="J174" s="407" t="s">
        <v>2306</v>
      </c>
      <c r="K174" s="815">
        <v>44593</v>
      </c>
      <c r="L174" s="407">
        <v>0</v>
      </c>
      <c r="M174" s="407">
        <v>0</v>
      </c>
      <c r="N174" s="407">
        <v>61.593000000000004</v>
      </c>
      <c r="O174" s="407">
        <v>61.593000000000004</v>
      </c>
      <c r="P174" s="407">
        <v>61.593000000000004</v>
      </c>
      <c r="Q174" s="407">
        <v>61.593000000000004</v>
      </c>
      <c r="R174" s="407"/>
      <c r="S174" s="407">
        <v>710.52</v>
      </c>
      <c r="T174" s="407">
        <v>127.85</v>
      </c>
      <c r="U174" s="407"/>
      <c r="V174" s="407">
        <v>51637.723410000006</v>
      </c>
      <c r="W174" s="407">
        <v>51637.723410000006</v>
      </c>
      <c r="X174" s="407">
        <v>42419.715029999999</v>
      </c>
      <c r="Y174" s="407">
        <v>0</v>
      </c>
      <c r="Z174" s="407">
        <v>3761.7971958769976</v>
      </c>
      <c r="AA174" s="407">
        <v>0</v>
      </c>
      <c r="AB174" s="407">
        <v>0</v>
      </c>
      <c r="AC174" s="407">
        <v>0</v>
      </c>
      <c r="AD174" s="407">
        <v>6734.7298053368095</v>
      </c>
      <c r="AE174" s="407">
        <v>30683.617787143496</v>
      </c>
      <c r="AF174" s="407">
        <v>7874.5046740835905</v>
      </c>
      <c r="AG174" s="407">
        <v>0</v>
      </c>
      <c r="AH174" s="407">
        <v>0</v>
      </c>
      <c r="AI174" s="407">
        <v>0</v>
      </c>
      <c r="AJ174" s="407">
        <v>0</v>
      </c>
      <c r="AK174" s="407">
        <v>0</v>
      </c>
      <c r="AL174" s="407">
        <v>581.76420378277498</v>
      </c>
      <c r="AM174" s="407"/>
      <c r="AN174" s="407">
        <v>141.09498345405524</v>
      </c>
      <c r="AO174" s="407">
        <v>0</v>
      </c>
      <c r="AP174" s="407">
        <v>0</v>
      </c>
      <c r="AQ174" s="407">
        <v>0</v>
      </c>
      <c r="AR174" s="407">
        <v>0</v>
      </c>
      <c r="AS174" s="407">
        <v>0</v>
      </c>
      <c r="AT174" s="407">
        <v>0</v>
      </c>
      <c r="AU174" s="407">
        <v>0</v>
      </c>
      <c r="AV174" s="407">
        <v>0</v>
      </c>
      <c r="AW174" s="407">
        <v>0</v>
      </c>
      <c r="AX174" s="407">
        <v>0</v>
      </c>
      <c r="AY174" s="407">
        <v>0</v>
      </c>
      <c r="AZ174" s="407">
        <v>0</v>
      </c>
      <c r="BA174" s="407"/>
      <c r="BB174" s="407">
        <v>0</v>
      </c>
      <c r="BC174" s="407">
        <v>0</v>
      </c>
      <c r="BD174" s="407">
        <v>0</v>
      </c>
      <c r="BE174" s="407">
        <v>0</v>
      </c>
      <c r="BF174" s="407">
        <v>0</v>
      </c>
      <c r="BG174" s="407">
        <v>1859.9973429315776</v>
      </c>
      <c r="BH174" s="407">
        <v>0</v>
      </c>
      <c r="BI174" s="407">
        <v>150.68</v>
      </c>
      <c r="BJ174" s="407">
        <v>696.19</v>
      </c>
      <c r="BK174" s="407">
        <v>0</v>
      </c>
      <c r="BL174" s="407">
        <v>37</v>
      </c>
      <c r="BM174" s="407"/>
      <c r="BN174" s="407"/>
      <c r="BO174" s="407"/>
      <c r="BP174" s="407"/>
      <c r="BQ174" s="407"/>
      <c r="BR174" s="407">
        <v>5090.0455200000042</v>
      </c>
      <c r="BS174" s="407"/>
      <c r="BT174" s="407"/>
      <c r="BU174" s="407"/>
      <c r="BV174" s="407">
        <v>9734.5020170151674</v>
      </c>
      <c r="BW174" s="407"/>
      <c r="BX174" s="407"/>
      <c r="BY174" s="407"/>
      <c r="BZ174" s="407"/>
      <c r="CA174" s="407"/>
      <c r="CB174" s="407"/>
      <c r="CC174" s="407"/>
      <c r="CD174" s="407"/>
      <c r="CE174" s="407"/>
      <c r="CF174" s="407"/>
      <c r="CG174" s="407"/>
      <c r="CH174" s="407"/>
      <c r="CI174" s="407">
        <v>37327.851300000002</v>
      </c>
      <c r="CJ174" s="407">
        <v>-8113.6463100000037</v>
      </c>
      <c r="CK174" s="407"/>
      <c r="CL174" s="407"/>
      <c r="CM174" s="407"/>
      <c r="CN174" s="407"/>
      <c r="CO174" s="407">
        <v>-9465.6122399999967</v>
      </c>
      <c r="CP174" s="407">
        <v>247.60386000000065</v>
      </c>
      <c r="CQ174" s="407">
        <v>29</v>
      </c>
      <c r="CR174" s="407">
        <v>-147.02386310503789</v>
      </c>
      <c r="CS174" s="407">
        <v>0</v>
      </c>
      <c r="CT174" s="407">
        <v>0</v>
      </c>
      <c r="CU174" s="407">
        <v>0</v>
      </c>
      <c r="CV174" s="407">
        <v>0</v>
      </c>
      <c r="CW174" s="407">
        <v>0</v>
      </c>
      <c r="CX174" s="407">
        <v>0</v>
      </c>
      <c r="CY174" s="407">
        <v>0</v>
      </c>
      <c r="CZ174" s="407">
        <v>-353.3087425954327</v>
      </c>
      <c r="DA174" s="407">
        <v>0</v>
      </c>
      <c r="DB174" s="407">
        <v>0</v>
      </c>
      <c r="DC174" s="407">
        <v>247.78083447250174</v>
      </c>
      <c r="DD174" s="407">
        <v>0</v>
      </c>
      <c r="DE174" s="407">
        <v>0</v>
      </c>
      <c r="DF174" s="407">
        <v>0</v>
      </c>
      <c r="DG174" s="407">
        <v>58.527070948986648</v>
      </c>
      <c r="DH174" s="407">
        <v>0</v>
      </c>
      <c r="DI174" s="407">
        <v>-85.6691127145059</v>
      </c>
      <c r="DJ174" s="407"/>
      <c r="DK174" s="407">
        <v>0</v>
      </c>
      <c r="DL174" s="407">
        <v>0</v>
      </c>
      <c r="DM174" s="407">
        <v>0</v>
      </c>
      <c r="DN174" s="407">
        <v>0</v>
      </c>
      <c r="DO174" s="407">
        <v>-11.101243412680901</v>
      </c>
      <c r="DP174" s="407">
        <v>-3.2526698039056612</v>
      </c>
      <c r="DQ174" s="407">
        <v>0</v>
      </c>
      <c r="DR174" s="407">
        <v>0</v>
      </c>
      <c r="DS174" s="407"/>
      <c r="DT174" s="407"/>
      <c r="DU174" s="407"/>
      <c r="DV174" s="407">
        <v>30683.617787143496</v>
      </c>
      <c r="DW174" s="407">
        <v>0</v>
      </c>
      <c r="DX174" s="407">
        <v>0</v>
      </c>
      <c r="DY174" s="407">
        <v>-9465.6122400000022</v>
      </c>
      <c r="DZ174" s="407">
        <v>247.60386000000017</v>
      </c>
      <c r="EA174" s="407">
        <v>0</v>
      </c>
      <c r="EB174" s="407">
        <v>0</v>
      </c>
      <c r="EC174" s="407">
        <v>-9070.5617678321178</v>
      </c>
      <c r="ED174" s="407">
        <v>0</v>
      </c>
      <c r="EE174" s="407">
        <v>0</v>
      </c>
      <c r="EF174" s="407">
        <v>0</v>
      </c>
      <c r="EG174" s="407">
        <v>0</v>
      </c>
      <c r="EH174" s="407">
        <v>0</v>
      </c>
      <c r="EI174" s="407">
        <v>0</v>
      </c>
      <c r="EJ174" s="407">
        <v>0</v>
      </c>
      <c r="EK174" s="407">
        <v>0</v>
      </c>
      <c r="EL174" s="407">
        <v>0</v>
      </c>
      <c r="EM174" s="407">
        <v>0</v>
      </c>
      <c r="EN174" s="407">
        <v>0</v>
      </c>
      <c r="EO174" s="407">
        <v>0</v>
      </c>
      <c r="EP174" s="407">
        <v>0</v>
      </c>
      <c r="EQ174" s="407">
        <v>0</v>
      </c>
      <c r="ER174" s="407">
        <v>0</v>
      </c>
      <c r="ES174" s="407">
        <v>0</v>
      </c>
      <c r="ET174" s="407">
        <v>0</v>
      </c>
      <c r="EU174" s="407">
        <v>0</v>
      </c>
      <c r="EV174" s="407">
        <v>207</v>
      </c>
      <c r="EW174" s="407">
        <v>0</v>
      </c>
      <c r="EX174" s="407">
        <v>0</v>
      </c>
      <c r="EY174" s="407">
        <v>0</v>
      </c>
      <c r="EZ174" s="407"/>
      <c r="FA174" s="407">
        <v>0</v>
      </c>
      <c r="FB174" s="407"/>
      <c r="FC174" s="407"/>
      <c r="FD174" s="407"/>
      <c r="FE174" s="407"/>
      <c r="FF174" s="407">
        <v>0</v>
      </c>
      <c r="FG174" s="407">
        <v>0</v>
      </c>
      <c r="FH174" s="407">
        <v>0</v>
      </c>
      <c r="FI174" s="407">
        <v>0</v>
      </c>
    </row>
    <row r="175" spans="1:165">
      <c r="A175" s="407">
        <v>173</v>
      </c>
      <c r="B175" s="407" t="s">
        <v>2308</v>
      </c>
      <c r="C175" s="407" t="s">
        <v>2305</v>
      </c>
      <c r="D175" s="407" t="s">
        <v>2316</v>
      </c>
      <c r="E175" s="407" t="s">
        <v>1028</v>
      </c>
      <c r="F175" s="407" t="s">
        <v>96</v>
      </c>
      <c r="G175" s="407" t="s">
        <v>96</v>
      </c>
      <c r="H175" s="407" t="s">
        <v>96</v>
      </c>
      <c r="I175" s="407" t="s">
        <v>96</v>
      </c>
      <c r="J175" s="407" t="s">
        <v>2306</v>
      </c>
      <c r="K175" s="815">
        <v>44593</v>
      </c>
      <c r="L175" s="407">
        <v>0</v>
      </c>
      <c r="M175" s="407">
        <v>0</v>
      </c>
      <c r="N175" s="407">
        <v>0.122</v>
      </c>
      <c r="O175" s="407">
        <v>0.122</v>
      </c>
      <c r="P175" s="407">
        <v>0.122</v>
      </c>
      <c r="Q175" s="407">
        <v>0.122</v>
      </c>
      <c r="R175" s="407"/>
      <c r="S175" s="407">
        <v>710.52</v>
      </c>
      <c r="T175" s="407">
        <v>127.85</v>
      </c>
      <c r="U175" s="407"/>
      <c r="V175" s="407">
        <v>102.28113999999999</v>
      </c>
      <c r="W175" s="407">
        <v>102.28113999999999</v>
      </c>
      <c r="X175" s="407">
        <v>84.022620000000003</v>
      </c>
      <c r="Y175" s="407">
        <v>0</v>
      </c>
      <c r="Z175" s="407">
        <v>7.4511593508514551</v>
      </c>
      <c r="AA175" s="407">
        <v>0</v>
      </c>
      <c r="AB175" s="407">
        <v>0</v>
      </c>
      <c r="AC175" s="407">
        <v>0</v>
      </c>
      <c r="AD175" s="407">
        <v>13.339779459534212</v>
      </c>
      <c r="AE175" s="407">
        <v>60.776409170384724</v>
      </c>
      <c r="AF175" s="407">
        <v>15.597382336275192</v>
      </c>
      <c r="AG175" s="407">
        <v>0</v>
      </c>
      <c r="AH175" s="407">
        <v>0</v>
      </c>
      <c r="AI175" s="407">
        <v>0</v>
      </c>
      <c r="AJ175" s="407">
        <v>0</v>
      </c>
      <c r="AK175" s="407">
        <v>0</v>
      </c>
      <c r="AL175" s="407">
        <v>1.1523262848294213</v>
      </c>
      <c r="AM175" s="407"/>
      <c r="AN175" s="407">
        <v>0.27947312164360788</v>
      </c>
      <c r="AO175" s="407">
        <v>0</v>
      </c>
      <c r="AP175" s="407">
        <v>0</v>
      </c>
      <c r="AQ175" s="407">
        <v>0</v>
      </c>
      <c r="AR175" s="407">
        <v>0</v>
      </c>
      <c r="AS175" s="407">
        <v>0</v>
      </c>
      <c r="AT175" s="407">
        <v>0</v>
      </c>
      <c r="AU175" s="407">
        <v>0</v>
      </c>
      <c r="AV175" s="407">
        <v>0</v>
      </c>
      <c r="AW175" s="407">
        <v>0</v>
      </c>
      <c r="AX175" s="407">
        <v>0</v>
      </c>
      <c r="AY175" s="407">
        <v>0</v>
      </c>
      <c r="AZ175" s="407">
        <v>0</v>
      </c>
      <c r="BA175" s="407"/>
      <c r="BB175" s="407">
        <v>0</v>
      </c>
      <c r="BC175" s="407">
        <v>0</v>
      </c>
      <c r="BD175" s="407">
        <v>0</v>
      </c>
      <c r="BE175" s="407">
        <v>0</v>
      </c>
      <c r="BF175" s="407">
        <v>0</v>
      </c>
      <c r="BG175" s="407">
        <v>3.6841796281663899</v>
      </c>
      <c r="BH175" s="407">
        <v>0</v>
      </c>
      <c r="BI175" s="407">
        <v>0.23</v>
      </c>
      <c r="BJ175" s="407">
        <v>1.1000000000000001</v>
      </c>
      <c r="BK175" s="407">
        <v>0</v>
      </c>
      <c r="BL175" s="407">
        <v>1</v>
      </c>
      <c r="BM175" s="407"/>
      <c r="BN175" s="407"/>
      <c r="BO175" s="407"/>
      <c r="BP175" s="407"/>
      <c r="BQ175" s="407"/>
      <c r="BR175" s="407">
        <v>10.082080000000008</v>
      </c>
      <c r="BS175" s="407"/>
      <c r="BT175" s="407"/>
      <c r="BU175" s="407"/>
      <c r="BV175" s="407">
        <v>19.281561964441583</v>
      </c>
      <c r="BW175" s="407"/>
      <c r="BX175" s="407"/>
      <c r="BY175" s="407"/>
      <c r="BZ175" s="407"/>
      <c r="CA175" s="407"/>
      <c r="CB175" s="407"/>
      <c r="CC175" s="407"/>
      <c r="CD175" s="407"/>
      <c r="CE175" s="407"/>
      <c r="CF175" s="407"/>
      <c r="CG175" s="407"/>
      <c r="CH175" s="407"/>
      <c r="CI175" s="407">
        <v>72.728399999999993</v>
      </c>
      <c r="CJ175" s="407">
        <v>-17.309540000000013</v>
      </c>
      <c r="CK175" s="407"/>
      <c r="CL175" s="407"/>
      <c r="CM175" s="407"/>
      <c r="CN175" s="407"/>
      <c r="CO175" s="407">
        <v>-18.748959999999993</v>
      </c>
      <c r="CP175" s="407">
        <v>0.49044000000000126</v>
      </c>
      <c r="CQ175" s="407">
        <v>29</v>
      </c>
      <c r="CR175" s="407">
        <v>-0.29121671778959524</v>
      </c>
      <c r="CS175" s="407">
        <v>0</v>
      </c>
      <c r="CT175" s="407">
        <v>0</v>
      </c>
      <c r="CU175" s="407">
        <v>0</v>
      </c>
      <c r="CV175" s="407">
        <v>0</v>
      </c>
      <c r="CW175" s="407">
        <v>0</v>
      </c>
      <c r="CX175" s="407">
        <v>0</v>
      </c>
      <c r="CY175" s="407">
        <v>0</v>
      </c>
      <c r="CZ175" s="407">
        <v>-0.6998143717085199</v>
      </c>
      <c r="DA175" s="407">
        <v>0</v>
      </c>
      <c r="DB175" s="407">
        <v>0</v>
      </c>
      <c r="DC175" s="407">
        <v>0.49079054122457322</v>
      </c>
      <c r="DD175" s="407">
        <v>0</v>
      </c>
      <c r="DE175" s="407">
        <v>0</v>
      </c>
      <c r="DF175" s="407">
        <v>0</v>
      </c>
      <c r="DG175" s="407">
        <v>0.11592717769513383</v>
      </c>
      <c r="DH175" s="407">
        <v>0</v>
      </c>
      <c r="DI175" s="407">
        <v>-0.16968862940869478</v>
      </c>
      <c r="DJ175" s="407"/>
      <c r="DK175" s="407">
        <v>0</v>
      </c>
      <c r="DL175" s="407">
        <v>0</v>
      </c>
      <c r="DM175" s="407">
        <v>0</v>
      </c>
      <c r="DN175" s="407">
        <v>0</v>
      </c>
      <c r="DO175" s="407">
        <v>-2.198872755584369E-2</v>
      </c>
      <c r="DP175" s="407">
        <v>-6.4427080362459144E-3</v>
      </c>
      <c r="DQ175" s="407">
        <v>0</v>
      </c>
      <c r="DR175" s="407">
        <v>0</v>
      </c>
      <c r="DS175" s="407"/>
      <c r="DT175" s="407"/>
      <c r="DU175" s="407"/>
      <c r="DV175" s="407">
        <v>60.776409170384724</v>
      </c>
      <c r="DW175" s="407">
        <v>0</v>
      </c>
      <c r="DX175" s="407">
        <v>0</v>
      </c>
      <c r="DY175" s="407">
        <v>-18.748959999999983</v>
      </c>
      <c r="DZ175" s="407">
        <v>0.49043999999999954</v>
      </c>
      <c r="EA175" s="407">
        <v>0</v>
      </c>
      <c r="EB175" s="407">
        <v>0</v>
      </c>
      <c r="EC175" s="407">
        <v>-17.966465924301765</v>
      </c>
      <c r="ED175" s="407">
        <v>0</v>
      </c>
      <c r="EE175" s="407">
        <v>0</v>
      </c>
      <c r="EF175" s="407">
        <v>0</v>
      </c>
      <c r="EG175" s="407">
        <v>0</v>
      </c>
      <c r="EH175" s="407">
        <v>0</v>
      </c>
      <c r="EI175" s="407">
        <v>0</v>
      </c>
      <c r="EJ175" s="407">
        <v>0</v>
      </c>
      <c r="EK175" s="407">
        <v>0</v>
      </c>
      <c r="EL175" s="407">
        <v>0</v>
      </c>
      <c r="EM175" s="407">
        <v>0</v>
      </c>
      <c r="EN175" s="407">
        <v>0</v>
      </c>
      <c r="EO175" s="407">
        <v>0</v>
      </c>
      <c r="EP175" s="407">
        <v>0</v>
      </c>
      <c r="EQ175" s="407">
        <v>0</v>
      </c>
      <c r="ER175" s="407">
        <v>0</v>
      </c>
      <c r="ES175" s="407">
        <v>0</v>
      </c>
      <c r="ET175" s="407">
        <v>0</v>
      </c>
      <c r="EU175" s="407">
        <v>0</v>
      </c>
      <c r="EV175" s="407">
        <v>207</v>
      </c>
      <c r="EW175" s="407">
        <v>0</v>
      </c>
      <c r="EX175" s="407">
        <v>0</v>
      </c>
      <c r="EY175" s="407">
        <v>0</v>
      </c>
      <c r="EZ175" s="407"/>
      <c r="FA175" s="407">
        <v>0</v>
      </c>
      <c r="FB175" s="407"/>
      <c r="FC175" s="407"/>
      <c r="FD175" s="407"/>
      <c r="FE175" s="407"/>
      <c r="FF175" s="407">
        <v>0</v>
      </c>
      <c r="FG175" s="407">
        <v>0</v>
      </c>
      <c r="FH175" s="407">
        <v>0</v>
      </c>
      <c r="FI175" s="407">
        <v>0</v>
      </c>
    </row>
    <row r="176" spans="1:165">
      <c r="A176" s="407">
        <v>174</v>
      </c>
      <c r="B176" s="407" t="s">
        <v>1092</v>
      </c>
      <c r="C176" s="407" t="s">
        <v>2305</v>
      </c>
      <c r="D176" s="407" t="s">
        <v>1221</v>
      </c>
      <c r="E176" s="407" t="s">
        <v>2317</v>
      </c>
      <c r="F176" s="407" t="s">
        <v>96</v>
      </c>
      <c r="G176" s="407" t="s">
        <v>96</v>
      </c>
      <c r="H176" s="407" t="s">
        <v>96</v>
      </c>
      <c r="I176" s="407" t="s">
        <v>96</v>
      </c>
      <c r="J176" s="407" t="s">
        <v>2306</v>
      </c>
      <c r="K176" s="815">
        <v>44593</v>
      </c>
      <c r="L176" s="407">
        <v>0</v>
      </c>
      <c r="M176" s="407">
        <v>0</v>
      </c>
      <c r="N176" s="407">
        <v>7.4349999999999996</v>
      </c>
      <c r="O176" s="407">
        <v>7.4349999999999996</v>
      </c>
      <c r="P176" s="407">
        <v>7.4349999999999996</v>
      </c>
      <c r="Q176" s="407">
        <v>7.4349999999999996</v>
      </c>
      <c r="R176" s="407"/>
      <c r="S176" s="407">
        <v>710.52</v>
      </c>
      <c r="T176" s="407">
        <v>127.85</v>
      </c>
      <c r="U176" s="407"/>
      <c r="V176" s="407">
        <v>6233.2809499999994</v>
      </c>
      <c r="W176" s="407">
        <v>6233.2809499999994</v>
      </c>
      <c r="X176" s="407">
        <v>5120.5588500000003</v>
      </c>
      <c r="Y176" s="407">
        <v>0</v>
      </c>
      <c r="Z176" s="407">
        <v>454.09319486541449</v>
      </c>
      <c r="AA176" s="407">
        <v>0</v>
      </c>
      <c r="AB176" s="407">
        <v>0</v>
      </c>
      <c r="AC176" s="407">
        <v>0</v>
      </c>
      <c r="AD176" s="407">
        <v>812.96114984948247</v>
      </c>
      <c r="AE176" s="407">
        <v>3703.8737883754952</v>
      </c>
      <c r="AF176" s="407">
        <v>950.54539073939395</v>
      </c>
      <c r="AG176" s="407">
        <v>0</v>
      </c>
      <c r="AH176" s="407">
        <v>0</v>
      </c>
      <c r="AI176" s="407">
        <v>0</v>
      </c>
      <c r="AJ176" s="407">
        <v>0</v>
      </c>
      <c r="AK176" s="407">
        <v>0</v>
      </c>
      <c r="AL176" s="407">
        <v>70.225786292678251</v>
      </c>
      <c r="AM176" s="407"/>
      <c r="AN176" s="407">
        <v>17.031825077214954</v>
      </c>
      <c r="AO176" s="407">
        <v>0</v>
      </c>
      <c r="AP176" s="407">
        <v>0</v>
      </c>
      <c r="AQ176" s="407">
        <v>0</v>
      </c>
      <c r="AR176" s="407">
        <v>0</v>
      </c>
      <c r="AS176" s="407">
        <v>0</v>
      </c>
      <c r="AT176" s="407">
        <v>0</v>
      </c>
      <c r="AU176" s="407">
        <v>0</v>
      </c>
      <c r="AV176" s="407">
        <v>0</v>
      </c>
      <c r="AW176" s="407">
        <v>0</v>
      </c>
      <c r="AX176" s="407">
        <v>0</v>
      </c>
      <c r="AY176" s="407">
        <v>0</v>
      </c>
      <c r="AZ176" s="407">
        <v>0</v>
      </c>
      <c r="BA176" s="407"/>
      <c r="BB176" s="407">
        <v>0</v>
      </c>
      <c r="BC176" s="407">
        <v>0</v>
      </c>
      <c r="BD176" s="407">
        <v>0</v>
      </c>
      <c r="BE176" s="407">
        <v>0</v>
      </c>
      <c r="BF176" s="407">
        <v>0</v>
      </c>
      <c r="BG176" s="407">
        <v>224.52356996243529</v>
      </c>
      <c r="BH176" s="407">
        <v>0</v>
      </c>
      <c r="BI176" s="407">
        <v>14.4</v>
      </c>
      <c r="BJ176" s="407">
        <v>66.900000000000006</v>
      </c>
      <c r="BK176" s="407">
        <v>1373.46</v>
      </c>
      <c r="BL176" s="407">
        <v>18</v>
      </c>
      <c r="BM176" s="407"/>
      <c r="BN176" s="407"/>
      <c r="BO176" s="407"/>
      <c r="BP176" s="407"/>
      <c r="BQ176" s="407"/>
      <c r="BR176" s="407"/>
      <c r="BS176" s="407"/>
      <c r="BT176" s="407"/>
      <c r="BU176" s="407"/>
      <c r="BV176" s="407">
        <v>1175.0689607018292</v>
      </c>
      <c r="BW176" s="407"/>
      <c r="BX176" s="407"/>
      <c r="BY176" s="407"/>
      <c r="BZ176" s="407"/>
      <c r="CA176" s="407"/>
      <c r="CB176" s="407"/>
      <c r="CC176" s="407"/>
      <c r="CD176" s="407"/>
      <c r="CE176" s="407"/>
      <c r="CF176" s="407"/>
      <c r="CG176" s="407"/>
      <c r="CH176" s="407"/>
      <c r="CI176" s="407">
        <v>5124.0024000000003</v>
      </c>
      <c r="CJ176" s="407">
        <v>-1109.3085499999997</v>
      </c>
      <c r="CK176" s="407"/>
      <c r="CL176" s="407"/>
      <c r="CM176" s="407"/>
      <c r="CN176" s="407"/>
      <c r="CO176" s="407">
        <v>-1142.6107999999995</v>
      </c>
      <c r="CP176" s="407">
        <v>29.888700000000075</v>
      </c>
      <c r="CQ176" s="407">
        <v>29</v>
      </c>
      <c r="CR176" s="407">
        <v>-17.747510629225872</v>
      </c>
      <c r="CS176" s="407">
        <v>0</v>
      </c>
      <c r="CT176" s="407">
        <v>0</v>
      </c>
      <c r="CU176" s="407">
        <v>0</v>
      </c>
      <c r="CV176" s="407">
        <v>0</v>
      </c>
      <c r="CW176" s="407">
        <v>0</v>
      </c>
      <c r="CX176" s="407">
        <v>0</v>
      </c>
      <c r="CY176" s="407">
        <v>0</v>
      </c>
      <c r="CZ176" s="407">
        <v>-42.648523390597006</v>
      </c>
      <c r="DA176" s="407">
        <v>0</v>
      </c>
      <c r="DB176" s="407">
        <v>0</v>
      </c>
      <c r="DC176" s="407">
        <v>29.910062901677861</v>
      </c>
      <c r="DD176" s="407">
        <v>0</v>
      </c>
      <c r="DE176" s="407">
        <v>0</v>
      </c>
      <c r="DF176" s="407">
        <v>0</v>
      </c>
      <c r="DG176" s="407">
        <v>7.0649062800272304</v>
      </c>
      <c r="DH176" s="407">
        <v>0</v>
      </c>
      <c r="DI176" s="407">
        <v>-10.341270161095451</v>
      </c>
      <c r="DJ176" s="407"/>
      <c r="DK176" s="407">
        <v>0</v>
      </c>
      <c r="DL176" s="407">
        <v>0</v>
      </c>
      <c r="DM176" s="407">
        <v>0</v>
      </c>
      <c r="DN176" s="407">
        <v>0</v>
      </c>
      <c r="DO176" s="407">
        <v>-1.3400507326040696</v>
      </c>
      <c r="DP176" s="407">
        <v>-0.39263552663514645</v>
      </c>
      <c r="DQ176" s="407">
        <v>0</v>
      </c>
      <c r="DR176" s="407">
        <v>0</v>
      </c>
      <c r="DS176" s="407"/>
      <c r="DT176" s="407"/>
      <c r="DU176" s="407"/>
      <c r="DV176" s="407">
        <v>3703.8737883754952</v>
      </c>
      <c r="DW176" s="407">
        <v>0</v>
      </c>
      <c r="DX176" s="407">
        <v>0</v>
      </c>
      <c r="DY176" s="407">
        <v>-1142.6107999999995</v>
      </c>
      <c r="DZ176" s="407">
        <v>29.888700000000085</v>
      </c>
      <c r="EA176" s="407">
        <v>0</v>
      </c>
      <c r="EB176" s="407">
        <v>0</v>
      </c>
      <c r="EC176" s="407">
        <v>-1094.9235585834722</v>
      </c>
      <c r="ED176" s="407">
        <v>0</v>
      </c>
      <c r="EE176" s="407">
        <v>0</v>
      </c>
      <c r="EF176" s="407">
        <v>0</v>
      </c>
      <c r="EG176" s="407">
        <v>0</v>
      </c>
      <c r="EH176" s="407">
        <v>0</v>
      </c>
      <c r="EI176" s="407">
        <v>0</v>
      </c>
      <c r="EJ176" s="407">
        <v>0</v>
      </c>
      <c r="EK176" s="407">
        <v>0</v>
      </c>
      <c r="EL176" s="407">
        <v>0</v>
      </c>
      <c r="EM176" s="407">
        <v>0</v>
      </c>
      <c r="EN176" s="407">
        <v>0</v>
      </c>
      <c r="EO176" s="407">
        <v>0</v>
      </c>
      <c r="EP176" s="407">
        <v>0</v>
      </c>
      <c r="EQ176" s="407">
        <v>0</v>
      </c>
      <c r="ER176" s="407">
        <v>0</v>
      </c>
      <c r="ES176" s="407">
        <v>0</v>
      </c>
      <c r="ET176" s="407">
        <v>0</v>
      </c>
      <c r="EU176" s="407">
        <v>0</v>
      </c>
      <c r="EV176" s="407">
        <v>207</v>
      </c>
      <c r="EW176" s="407">
        <v>0</v>
      </c>
      <c r="EX176" s="407">
        <v>0</v>
      </c>
      <c r="EY176" s="407">
        <v>0</v>
      </c>
      <c r="EZ176" s="407"/>
      <c r="FA176" s="407">
        <v>0</v>
      </c>
      <c r="FB176" s="407"/>
      <c r="FC176" s="407"/>
      <c r="FD176" s="407"/>
      <c r="FE176" s="407"/>
      <c r="FF176" s="407">
        <v>0</v>
      </c>
      <c r="FG176" s="407">
        <v>0</v>
      </c>
      <c r="FH176" s="407">
        <v>0</v>
      </c>
      <c r="FI176" s="407">
        <v>0</v>
      </c>
    </row>
    <row r="177" spans="1:165">
      <c r="A177" s="407">
        <v>175</v>
      </c>
      <c r="B177" s="407" t="s">
        <v>1092</v>
      </c>
      <c r="C177" s="407" t="s">
        <v>2305</v>
      </c>
      <c r="D177" s="407" t="s">
        <v>2318</v>
      </c>
      <c r="E177" s="407" t="s">
        <v>2319</v>
      </c>
      <c r="F177" s="407" t="s">
        <v>2320</v>
      </c>
      <c r="G177" s="407" t="s">
        <v>96</v>
      </c>
      <c r="H177" s="407" t="s">
        <v>96</v>
      </c>
      <c r="I177" s="407" t="s">
        <v>96</v>
      </c>
      <c r="J177" s="407" t="s">
        <v>2306</v>
      </c>
      <c r="K177" s="815">
        <v>44593</v>
      </c>
      <c r="L177" s="407">
        <v>0</v>
      </c>
      <c r="M177" s="407">
        <v>0</v>
      </c>
      <c r="N177" s="407">
        <v>41.677</v>
      </c>
      <c r="O177" s="407">
        <v>41.677</v>
      </c>
      <c r="P177" s="407">
        <v>41.677</v>
      </c>
      <c r="Q177" s="407">
        <v>41.677</v>
      </c>
      <c r="R177" s="407"/>
      <c r="S177" s="407">
        <v>390.79</v>
      </c>
      <c r="T177" s="407">
        <v>70.319999999999993</v>
      </c>
      <c r="U177" s="407"/>
      <c r="V177" s="407">
        <v>19217.68147</v>
      </c>
      <c r="W177" s="407">
        <v>19217.68147</v>
      </c>
      <c r="X177" s="407">
        <v>15786.830829999999</v>
      </c>
      <c r="Y177" s="407">
        <v>0</v>
      </c>
      <c r="Z177" s="407">
        <v>1399.9842831638525</v>
      </c>
      <c r="AA177" s="407">
        <v>0</v>
      </c>
      <c r="AB177" s="407">
        <v>0</v>
      </c>
      <c r="AC177" s="407">
        <v>0</v>
      </c>
      <c r="AD177" s="407">
        <v>2506.3860138873242</v>
      </c>
      <c r="AE177" s="407">
        <v>11419.164940547276</v>
      </c>
      <c r="AF177" s="407">
        <v>2930.5627622616221</v>
      </c>
      <c r="AG177" s="407">
        <v>0</v>
      </c>
      <c r="AH177" s="407">
        <v>0</v>
      </c>
      <c r="AI177" s="407">
        <v>0</v>
      </c>
      <c r="AJ177" s="407">
        <v>0</v>
      </c>
      <c r="AK177" s="407">
        <v>0</v>
      </c>
      <c r="AL177" s="407">
        <v>216.50841323819412</v>
      </c>
      <c r="AM177" s="407"/>
      <c r="AN177" s="407">
        <v>52.509677950060443</v>
      </c>
      <c r="AO177" s="407">
        <v>0</v>
      </c>
      <c r="AP177" s="407">
        <v>0</v>
      </c>
      <c r="AQ177" s="407">
        <v>0</v>
      </c>
      <c r="AR177" s="407">
        <v>0</v>
      </c>
      <c r="AS177" s="407">
        <v>0</v>
      </c>
      <c r="AT177" s="407">
        <v>0</v>
      </c>
      <c r="AU177" s="407">
        <v>0</v>
      </c>
      <c r="AV177" s="407">
        <v>0</v>
      </c>
      <c r="AW177" s="407">
        <v>0</v>
      </c>
      <c r="AX177" s="407">
        <v>0</v>
      </c>
      <c r="AY177" s="407">
        <v>0</v>
      </c>
      <c r="AZ177" s="407">
        <v>0</v>
      </c>
      <c r="BA177" s="407"/>
      <c r="BB177" s="407">
        <v>0</v>
      </c>
      <c r="BC177" s="407">
        <v>0</v>
      </c>
      <c r="BD177" s="407">
        <v>0</v>
      </c>
      <c r="BE177" s="407">
        <v>0</v>
      </c>
      <c r="BF177" s="407">
        <v>0</v>
      </c>
      <c r="BG177" s="407">
        <v>692.21356475164021</v>
      </c>
      <c r="BH177" s="407">
        <v>0</v>
      </c>
      <c r="BI177" s="407">
        <v>50.75</v>
      </c>
      <c r="BJ177" s="407">
        <v>235.18</v>
      </c>
      <c r="BK177" s="407">
        <v>4826.9399999999996</v>
      </c>
      <c r="BL177" s="407">
        <v>36</v>
      </c>
      <c r="BM177" s="407"/>
      <c r="BN177" s="407"/>
      <c r="BO177" s="407"/>
      <c r="BP177" s="407"/>
      <c r="BQ177" s="407"/>
      <c r="BR177" s="407"/>
      <c r="BS177" s="407"/>
      <c r="BT177" s="407"/>
      <c r="BU177" s="407"/>
      <c r="BV177" s="407">
        <v>3622.7763270132623</v>
      </c>
      <c r="BW177" s="407"/>
      <c r="BX177" s="407"/>
      <c r="BY177" s="407"/>
      <c r="BZ177" s="407"/>
      <c r="CA177" s="407"/>
      <c r="CB177" s="407"/>
      <c r="CC177" s="407"/>
      <c r="CD177" s="407"/>
      <c r="CE177" s="407"/>
      <c r="CF177" s="407"/>
      <c r="CG177" s="407"/>
      <c r="CH177" s="407"/>
      <c r="CI177" s="407">
        <v>15787.967199999999</v>
      </c>
      <c r="CJ177" s="407">
        <v>-3429.7442699999992</v>
      </c>
      <c r="CK177" s="407"/>
      <c r="CL177" s="407"/>
      <c r="CM177" s="407"/>
      <c r="CN177" s="407"/>
      <c r="CO177" s="407">
        <v>-3522.956810000001</v>
      </c>
      <c r="CP177" s="407">
        <v>92.106170000000333</v>
      </c>
      <c r="CQ177" s="407">
        <v>29</v>
      </c>
      <c r="CR177" s="407">
        <v>-54.716160090370977</v>
      </c>
      <c r="CS177" s="407">
        <v>0</v>
      </c>
      <c r="CT177" s="407">
        <v>0</v>
      </c>
      <c r="CU177" s="407">
        <v>0</v>
      </c>
      <c r="CV177" s="407">
        <v>0</v>
      </c>
      <c r="CW177" s="407">
        <v>0</v>
      </c>
      <c r="CX177" s="407">
        <v>0</v>
      </c>
      <c r="CY177" s="407">
        <v>0</v>
      </c>
      <c r="CZ177" s="407">
        <v>-131.4868029781378</v>
      </c>
      <c r="DA177" s="407">
        <v>0</v>
      </c>
      <c r="DB177" s="407">
        <v>0</v>
      </c>
      <c r="DC177" s="407">
        <v>92.21370952982852</v>
      </c>
      <c r="DD177" s="407">
        <v>0</v>
      </c>
      <c r="DE177" s="407">
        <v>0</v>
      </c>
      <c r="DF177" s="407">
        <v>0</v>
      </c>
      <c r="DG177" s="407">
        <v>21.781338865898078</v>
      </c>
      <c r="DH177" s="407">
        <v>0</v>
      </c>
      <c r="DI177" s="407">
        <v>-31.882476674810277</v>
      </c>
      <c r="DJ177" s="407"/>
      <c r="DK177" s="407">
        <v>0</v>
      </c>
      <c r="DL177" s="407">
        <v>0</v>
      </c>
      <c r="DM177" s="407">
        <v>0</v>
      </c>
      <c r="DN177" s="407">
        <v>0</v>
      </c>
      <c r="DO177" s="407">
        <v>-4.1314205663091457</v>
      </c>
      <c r="DP177" s="407">
        <v>-1.2105082668412805</v>
      </c>
      <c r="DQ177" s="407">
        <v>0</v>
      </c>
      <c r="DR177" s="407">
        <v>0</v>
      </c>
      <c r="DS177" s="407"/>
      <c r="DT177" s="407"/>
      <c r="DU177" s="407"/>
      <c r="DV177" s="407">
        <v>11419.164940547276</v>
      </c>
      <c r="DW177" s="407">
        <v>0</v>
      </c>
      <c r="DX177" s="407">
        <v>0</v>
      </c>
      <c r="DY177" s="407">
        <v>-3522.9568100000015</v>
      </c>
      <c r="DZ177" s="407">
        <v>92.10617000000002</v>
      </c>
      <c r="EA177" s="407">
        <v>0</v>
      </c>
      <c r="EB177" s="407">
        <v>0</v>
      </c>
      <c r="EC177" s="407">
        <v>-3375.6854113108257</v>
      </c>
      <c r="ED177" s="407">
        <v>0</v>
      </c>
      <c r="EE177" s="407">
        <v>0</v>
      </c>
      <c r="EF177" s="407">
        <v>0</v>
      </c>
      <c r="EG177" s="407">
        <v>0</v>
      </c>
      <c r="EH177" s="407">
        <v>0</v>
      </c>
      <c r="EI177" s="407">
        <v>0</v>
      </c>
      <c r="EJ177" s="407">
        <v>0</v>
      </c>
      <c r="EK177" s="407">
        <v>0</v>
      </c>
      <c r="EL177" s="407">
        <v>0</v>
      </c>
      <c r="EM177" s="407">
        <v>0</v>
      </c>
      <c r="EN177" s="407">
        <v>0</v>
      </c>
      <c r="EO177" s="407">
        <v>0</v>
      </c>
      <c r="EP177" s="407">
        <v>0</v>
      </c>
      <c r="EQ177" s="407">
        <v>0</v>
      </c>
      <c r="ER177" s="407">
        <v>0</v>
      </c>
      <c r="ES177" s="407">
        <v>0</v>
      </c>
      <c r="ET177" s="407">
        <v>0</v>
      </c>
      <c r="EU177" s="407">
        <v>0</v>
      </c>
      <c r="EV177" s="407">
        <v>207</v>
      </c>
      <c r="EW177" s="407">
        <v>0</v>
      </c>
      <c r="EX177" s="407">
        <v>0</v>
      </c>
      <c r="EY177" s="407">
        <v>0</v>
      </c>
      <c r="EZ177" s="407"/>
      <c r="FA177" s="407">
        <v>0</v>
      </c>
      <c r="FB177" s="407"/>
      <c r="FC177" s="407"/>
      <c r="FD177" s="407"/>
      <c r="FE177" s="407"/>
      <c r="FF177" s="407">
        <v>0</v>
      </c>
      <c r="FG177" s="407">
        <v>0</v>
      </c>
      <c r="FH177" s="407">
        <v>0</v>
      </c>
      <c r="FI177" s="407">
        <v>0</v>
      </c>
    </row>
    <row r="178" spans="1:165">
      <c r="A178" s="407">
        <v>176</v>
      </c>
      <c r="B178" s="407" t="s">
        <v>1092</v>
      </c>
      <c r="C178" s="407" t="s">
        <v>2305</v>
      </c>
      <c r="D178" s="407" t="s">
        <v>1221</v>
      </c>
      <c r="E178" s="407" t="s">
        <v>1054</v>
      </c>
      <c r="F178" s="407" t="s">
        <v>2321</v>
      </c>
      <c r="G178" s="407" t="s">
        <v>96</v>
      </c>
      <c r="H178" s="407" t="s">
        <v>96</v>
      </c>
      <c r="I178" s="407" t="s">
        <v>96</v>
      </c>
      <c r="J178" s="407" t="s">
        <v>2306</v>
      </c>
      <c r="K178" s="815">
        <v>44593</v>
      </c>
      <c r="L178" s="407">
        <v>0</v>
      </c>
      <c r="M178" s="407">
        <v>0</v>
      </c>
      <c r="N178" s="407">
        <v>7.3</v>
      </c>
      <c r="O178" s="407">
        <v>6.8620000000000001</v>
      </c>
      <c r="P178" s="407">
        <v>7.3</v>
      </c>
      <c r="Q178" s="407">
        <v>6.8620000000000001</v>
      </c>
      <c r="R178" s="407"/>
      <c r="S178" s="407">
        <v>710.52</v>
      </c>
      <c r="T178" s="407">
        <v>127.85</v>
      </c>
      <c r="U178" s="407"/>
      <c r="V178" s="407">
        <v>6120.1009999999997</v>
      </c>
      <c r="W178" s="407">
        <v>6120.1009999999997</v>
      </c>
      <c r="X178" s="407">
        <v>5027.5830000000005</v>
      </c>
      <c r="Y178" s="407">
        <v>0</v>
      </c>
      <c r="Z178" s="407">
        <v>445.84805951816082</v>
      </c>
      <c r="AA178" s="407">
        <v>0</v>
      </c>
      <c r="AB178" s="407">
        <v>0</v>
      </c>
      <c r="AC178" s="407">
        <v>0</v>
      </c>
      <c r="AD178" s="407">
        <v>798.19991848032578</v>
      </c>
      <c r="AE178" s="407">
        <v>3636.6212044574463</v>
      </c>
      <c r="AF178" s="407">
        <v>933.28599225253208</v>
      </c>
      <c r="AG178" s="407">
        <v>0</v>
      </c>
      <c r="AH178" s="407">
        <v>0</v>
      </c>
      <c r="AI178" s="407">
        <v>0</v>
      </c>
      <c r="AJ178" s="407">
        <v>0</v>
      </c>
      <c r="AK178" s="407">
        <v>0</v>
      </c>
      <c r="AL178" s="407">
        <v>68.950671141432579</v>
      </c>
      <c r="AM178" s="407"/>
      <c r="AN178" s="407">
        <v>16.722572032773257</v>
      </c>
      <c r="AO178" s="407">
        <v>0</v>
      </c>
      <c r="AP178" s="407">
        <v>0</v>
      </c>
      <c r="AQ178" s="407">
        <v>0</v>
      </c>
      <c r="AR178" s="407">
        <v>0</v>
      </c>
      <c r="AS178" s="407">
        <v>0</v>
      </c>
      <c r="AT178" s="407">
        <v>0</v>
      </c>
      <c r="AU178" s="407">
        <v>0</v>
      </c>
      <c r="AV178" s="407">
        <v>0</v>
      </c>
      <c r="AW178" s="407">
        <v>0</v>
      </c>
      <c r="AX178" s="407">
        <v>0</v>
      </c>
      <c r="AY178" s="407">
        <v>0</v>
      </c>
      <c r="AZ178" s="407">
        <v>0</v>
      </c>
      <c r="BA178" s="407"/>
      <c r="BB178" s="407">
        <v>0</v>
      </c>
      <c r="BC178" s="407">
        <v>0</v>
      </c>
      <c r="BD178" s="407">
        <v>0</v>
      </c>
      <c r="BE178" s="407">
        <v>0</v>
      </c>
      <c r="BF178" s="407">
        <v>0</v>
      </c>
      <c r="BG178" s="407">
        <v>220.44681381651347</v>
      </c>
      <c r="BH178" s="407">
        <v>0</v>
      </c>
      <c r="BI178" s="407">
        <v>40.909999999999997</v>
      </c>
      <c r="BJ178" s="407">
        <v>188.81</v>
      </c>
      <c r="BK178" s="407">
        <v>1315.37</v>
      </c>
      <c r="BL178" s="407">
        <v>1</v>
      </c>
      <c r="BM178" s="407"/>
      <c r="BN178" s="407"/>
      <c r="BO178" s="407"/>
      <c r="BP178" s="407"/>
      <c r="BQ178" s="407">
        <v>301.6549799999998</v>
      </c>
      <c r="BR178" s="407"/>
      <c r="BS178" s="407"/>
      <c r="BT178" s="407"/>
      <c r="BU178" s="407"/>
      <c r="BV178" s="407">
        <v>1153.7328060690456</v>
      </c>
      <c r="BW178" s="407"/>
      <c r="BX178" s="407"/>
      <c r="BY178" s="407"/>
      <c r="BZ178" s="407"/>
      <c r="CA178" s="407"/>
      <c r="CB178" s="407"/>
      <c r="CC178" s="407"/>
      <c r="CD178" s="407"/>
      <c r="CE178" s="407"/>
      <c r="CF178" s="407"/>
      <c r="CG178" s="407"/>
      <c r="CH178" s="407"/>
      <c r="CI178" s="407">
        <v>4724.5506000000005</v>
      </c>
      <c r="CJ178" s="407">
        <v>-1028.3743400000003</v>
      </c>
      <c r="CK178" s="407"/>
      <c r="CL178" s="407"/>
      <c r="CM178" s="407"/>
      <c r="CN178" s="407"/>
      <c r="CO178" s="407">
        <v>-1121.8639999999996</v>
      </c>
      <c r="CP178" s="407">
        <v>29.346000000000075</v>
      </c>
      <c r="CQ178" s="407">
        <v>29</v>
      </c>
      <c r="CR178" s="407">
        <v>-17.425262621836737</v>
      </c>
      <c r="CS178" s="407">
        <v>0</v>
      </c>
      <c r="CT178" s="407">
        <v>0</v>
      </c>
      <c r="CU178" s="407">
        <v>0</v>
      </c>
      <c r="CV178" s="407">
        <v>0</v>
      </c>
      <c r="CW178" s="407">
        <v>0</v>
      </c>
      <c r="CX178" s="407">
        <v>0</v>
      </c>
      <c r="CY178" s="407">
        <v>0</v>
      </c>
      <c r="CZ178" s="407">
        <v>-41.874138635017971</v>
      </c>
      <c r="DA178" s="407">
        <v>0</v>
      </c>
      <c r="DB178" s="407">
        <v>0</v>
      </c>
      <c r="DC178" s="407">
        <v>29.366975007699921</v>
      </c>
      <c r="DD178" s="407">
        <v>0</v>
      </c>
      <c r="DE178" s="407">
        <v>0</v>
      </c>
      <c r="DF178" s="407">
        <v>0</v>
      </c>
      <c r="DG178" s="407">
        <v>6.936626206348194</v>
      </c>
      <c r="DH178" s="407">
        <v>0</v>
      </c>
      <c r="DI178" s="407">
        <v>-10.153499956421854</v>
      </c>
      <c r="DJ178" s="407"/>
      <c r="DK178" s="407">
        <v>0</v>
      </c>
      <c r="DL178" s="407">
        <v>0</v>
      </c>
      <c r="DM178" s="407">
        <v>0</v>
      </c>
      <c r="DN178" s="407">
        <v>0</v>
      </c>
      <c r="DO178" s="407">
        <v>-1.315718943915229</v>
      </c>
      <c r="DP178" s="407">
        <v>-0.38550630052946744</v>
      </c>
      <c r="DQ178" s="407">
        <v>0</v>
      </c>
      <c r="DR178" s="407">
        <v>0</v>
      </c>
      <c r="DS178" s="407"/>
      <c r="DT178" s="407"/>
      <c r="DU178" s="407"/>
      <c r="DV178" s="407">
        <v>3636.6212044574463</v>
      </c>
      <c r="DW178" s="407">
        <v>0</v>
      </c>
      <c r="DX178" s="407">
        <v>0</v>
      </c>
      <c r="DY178" s="407">
        <v>-1121.8639999999991</v>
      </c>
      <c r="DZ178" s="407">
        <v>29.346000000000004</v>
      </c>
      <c r="EA178" s="407">
        <v>0</v>
      </c>
      <c r="EB178" s="407">
        <v>0</v>
      </c>
      <c r="EC178" s="407">
        <v>-1075.0426331754329</v>
      </c>
      <c r="ED178" s="407">
        <v>0</v>
      </c>
      <c r="EE178" s="407">
        <v>0</v>
      </c>
      <c r="EF178" s="407">
        <v>0</v>
      </c>
      <c r="EG178" s="407">
        <v>0</v>
      </c>
      <c r="EH178" s="407">
        <v>0</v>
      </c>
      <c r="EI178" s="407">
        <v>0</v>
      </c>
      <c r="EJ178" s="407">
        <v>0</v>
      </c>
      <c r="EK178" s="407">
        <v>0</v>
      </c>
      <c r="EL178" s="407">
        <v>0</v>
      </c>
      <c r="EM178" s="407">
        <v>0</v>
      </c>
      <c r="EN178" s="407">
        <v>0</v>
      </c>
      <c r="EO178" s="407">
        <v>0</v>
      </c>
      <c r="EP178" s="407">
        <v>0</v>
      </c>
      <c r="EQ178" s="407">
        <v>0</v>
      </c>
      <c r="ER178" s="407">
        <v>0</v>
      </c>
      <c r="ES178" s="407">
        <v>0</v>
      </c>
      <c r="ET178" s="407">
        <v>0</v>
      </c>
      <c r="EU178" s="407">
        <v>0</v>
      </c>
      <c r="EV178" s="407">
        <v>207</v>
      </c>
      <c r="EW178" s="407">
        <v>0</v>
      </c>
      <c r="EX178" s="407">
        <v>0</v>
      </c>
      <c r="EY178" s="407">
        <v>0</v>
      </c>
      <c r="EZ178" s="407"/>
      <c r="FA178" s="407">
        <v>0</v>
      </c>
      <c r="FB178" s="407"/>
      <c r="FC178" s="407"/>
      <c r="FD178" s="407"/>
      <c r="FE178" s="407"/>
      <c r="FF178" s="407">
        <v>0</v>
      </c>
      <c r="FG178" s="407">
        <v>0</v>
      </c>
      <c r="FH178" s="407">
        <v>0</v>
      </c>
      <c r="FI178" s="407">
        <v>0</v>
      </c>
    </row>
    <row r="179" spans="1:165">
      <c r="A179" s="407">
        <v>177</v>
      </c>
      <c r="B179" s="407" t="s">
        <v>1092</v>
      </c>
      <c r="C179" s="407" t="s">
        <v>2305</v>
      </c>
      <c r="D179" s="407" t="s">
        <v>1220</v>
      </c>
      <c r="E179" s="407" t="s">
        <v>1023</v>
      </c>
      <c r="F179" s="407" t="s">
        <v>1023</v>
      </c>
      <c r="G179" s="407" t="s">
        <v>96</v>
      </c>
      <c r="H179" s="407" t="s">
        <v>96</v>
      </c>
      <c r="I179" s="407" t="s">
        <v>96</v>
      </c>
      <c r="J179" s="407" t="s">
        <v>2306</v>
      </c>
      <c r="K179" s="815">
        <v>44621</v>
      </c>
      <c r="L179" s="407">
        <v>0</v>
      </c>
      <c r="M179" s="407">
        <v>0</v>
      </c>
      <c r="N179" s="407">
        <v>918.66</v>
      </c>
      <c r="O179" s="407">
        <v>918.66</v>
      </c>
      <c r="P179" s="407">
        <v>918.66</v>
      </c>
      <c r="Q179" s="407">
        <v>918.66</v>
      </c>
      <c r="R179" s="407"/>
      <c r="S179" s="407">
        <v>710.52</v>
      </c>
      <c r="T179" s="407">
        <v>127.85</v>
      </c>
      <c r="U179" s="407"/>
      <c r="V179" s="407">
        <v>770176.98419999995</v>
      </c>
      <c r="W179" s="407">
        <v>770176.98419999995</v>
      </c>
      <c r="X179" s="407">
        <v>632690.32860000001</v>
      </c>
      <c r="Y179" s="407">
        <v>0</v>
      </c>
      <c r="Z179" s="407">
        <v>56107.229911911454</v>
      </c>
      <c r="AA179" s="407">
        <v>0</v>
      </c>
      <c r="AB179" s="407">
        <v>0</v>
      </c>
      <c r="AC179" s="407">
        <v>0</v>
      </c>
      <c r="AD179" s="407">
        <v>100448.53933029261</v>
      </c>
      <c r="AE179" s="407">
        <v>457646.36105299694</v>
      </c>
      <c r="AF179" s="407">
        <v>117448.2889921522</v>
      </c>
      <c r="AG179" s="407">
        <v>0</v>
      </c>
      <c r="AH179" s="407">
        <v>0</v>
      </c>
      <c r="AI179" s="407">
        <v>0</v>
      </c>
      <c r="AJ179" s="407">
        <v>0</v>
      </c>
      <c r="AK179" s="407">
        <v>0</v>
      </c>
      <c r="AL179" s="407">
        <v>8677.0169247655413</v>
      </c>
      <c r="AM179" s="407"/>
      <c r="AN179" s="407">
        <v>2104.4326059763671</v>
      </c>
      <c r="AO179" s="407">
        <v>0</v>
      </c>
      <c r="AP179" s="407">
        <v>0</v>
      </c>
      <c r="AQ179" s="407">
        <v>0</v>
      </c>
      <c r="AR179" s="407">
        <v>0</v>
      </c>
      <c r="AS179" s="407">
        <v>0</v>
      </c>
      <c r="AT179" s="407">
        <v>0</v>
      </c>
      <c r="AU179" s="407">
        <v>0</v>
      </c>
      <c r="AV179" s="407">
        <v>0</v>
      </c>
      <c r="AW179" s="407">
        <v>0</v>
      </c>
      <c r="AX179" s="407">
        <v>0</v>
      </c>
      <c r="AY179" s="407">
        <v>0</v>
      </c>
      <c r="AZ179" s="407">
        <v>0</v>
      </c>
      <c r="BA179" s="407"/>
      <c r="BB179" s="407">
        <v>0</v>
      </c>
      <c r="BC179" s="407">
        <v>0</v>
      </c>
      <c r="BD179" s="407">
        <v>0</v>
      </c>
      <c r="BE179" s="407">
        <v>0</v>
      </c>
      <c r="BF179" s="407">
        <v>0</v>
      </c>
      <c r="BG179" s="407">
        <v>27741.872600092913</v>
      </c>
      <c r="BH179" s="407">
        <v>0</v>
      </c>
      <c r="BI179" s="407">
        <v>3677.84</v>
      </c>
      <c r="BJ179" s="407">
        <v>17120.349999999999</v>
      </c>
      <c r="BK179" s="407">
        <v>176988.57</v>
      </c>
      <c r="BL179" s="407">
        <v>5776</v>
      </c>
      <c r="BM179" s="407"/>
      <c r="BN179" s="407"/>
      <c r="BO179" s="407"/>
      <c r="BP179" s="407"/>
      <c r="BQ179" s="407"/>
      <c r="BR179" s="407"/>
      <c r="BS179" s="407"/>
      <c r="BT179" s="407"/>
      <c r="BU179" s="407"/>
      <c r="BV179" s="407">
        <v>145190.1615922451</v>
      </c>
      <c r="BW179" s="407"/>
      <c r="BX179" s="407"/>
      <c r="BY179" s="407"/>
      <c r="BZ179" s="407"/>
      <c r="CA179" s="407"/>
      <c r="CB179" s="407"/>
      <c r="CC179" s="407"/>
      <c r="CD179" s="407"/>
      <c r="CE179" s="407"/>
      <c r="CF179" s="407"/>
      <c r="CG179" s="407"/>
      <c r="CH179" s="407"/>
      <c r="CI179" s="407">
        <v>632690.32860000001</v>
      </c>
      <c r="CJ179" s="407">
        <v>-137486.68559999997</v>
      </c>
      <c r="CK179" s="407"/>
      <c r="CL179" s="407"/>
      <c r="CM179" s="407"/>
      <c r="CN179" s="407"/>
      <c r="CO179" s="407">
        <v>-141179.66879999996</v>
      </c>
      <c r="CP179" s="407">
        <v>3693.0132000000094</v>
      </c>
      <c r="CQ179" s="407">
        <v>31</v>
      </c>
      <c r="CR179" s="407">
        <v>-2192.8618849555496</v>
      </c>
      <c r="CS179" s="407">
        <v>0</v>
      </c>
      <c r="CT179" s="407">
        <v>0</v>
      </c>
      <c r="CU179" s="407">
        <v>0</v>
      </c>
      <c r="CV179" s="407">
        <v>0</v>
      </c>
      <c r="CW179" s="407">
        <v>0</v>
      </c>
      <c r="CX179" s="407">
        <v>0</v>
      </c>
      <c r="CY179" s="407">
        <v>0</v>
      </c>
      <c r="CZ179" s="407">
        <v>-5269.6022189651412</v>
      </c>
      <c r="DA179" s="407">
        <v>0</v>
      </c>
      <c r="DB179" s="407">
        <v>0</v>
      </c>
      <c r="DC179" s="407">
        <v>3695.6527754210401</v>
      </c>
      <c r="DD179" s="407">
        <v>0</v>
      </c>
      <c r="DE179" s="407">
        <v>0</v>
      </c>
      <c r="DF179" s="407">
        <v>0</v>
      </c>
      <c r="DG179" s="407">
        <v>872.93164804435946</v>
      </c>
      <c r="DH179" s="407">
        <v>0</v>
      </c>
      <c r="DI179" s="407">
        <v>-1277.7553794474661</v>
      </c>
      <c r="DJ179" s="407"/>
      <c r="DK179" s="407">
        <v>0</v>
      </c>
      <c r="DL179" s="407">
        <v>0</v>
      </c>
      <c r="DM179" s="407">
        <v>0</v>
      </c>
      <c r="DN179" s="407">
        <v>0</v>
      </c>
      <c r="DO179" s="407">
        <v>-165.57511849550247</v>
      </c>
      <c r="DP179" s="407">
        <v>-48.513591512931271</v>
      </c>
      <c r="DQ179" s="407">
        <v>0</v>
      </c>
      <c r="DR179" s="407">
        <v>0</v>
      </c>
      <c r="DS179" s="407"/>
      <c r="DT179" s="407"/>
      <c r="DU179" s="407"/>
      <c r="DV179" s="407">
        <v>457646.36105299694</v>
      </c>
      <c r="DW179" s="407">
        <v>0</v>
      </c>
      <c r="DX179" s="407">
        <v>0</v>
      </c>
      <c r="DY179" s="407">
        <v>-141179.66879999993</v>
      </c>
      <c r="DZ179" s="407">
        <v>3693.0132000000012</v>
      </c>
      <c r="EA179" s="407">
        <v>0</v>
      </c>
      <c r="EB179" s="407">
        <v>0</v>
      </c>
      <c r="EC179" s="407">
        <v>-135287.48840999225</v>
      </c>
      <c r="ED179" s="407">
        <v>0</v>
      </c>
      <c r="EE179" s="407">
        <v>0</v>
      </c>
      <c r="EF179" s="407">
        <v>0</v>
      </c>
      <c r="EG179" s="407">
        <v>0</v>
      </c>
      <c r="EH179" s="407">
        <v>0</v>
      </c>
      <c r="EI179" s="407">
        <v>0</v>
      </c>
      <c r="EJ179" s="407">
        <v>0</v>
      </c>
      <c r="EK179" s="407">
        <v>0</v>
      </c>
      <c r="EL179" s="407">
        <v>0</v>
      </c>
      <c r="EM179" s="407">
        <v>0</v>
      </c>
      <c r="EN179" s="407">
        <v>0</v>
      </c>
      <c r="EO179" s="407">
        <v>0</v>
      </c>
      <c r="EP179" s="407">
        <v>0</v>
      </c>
      <c r="EQ179" s="407">
        <v>0</v>
      </c>
      <c r="ER179" s="407">
        <v>0</v>
      </c>
      <c r="ES179" s="407">
        <v>0</v>
      </c>
      <c r="ET179" s="407">
        <v>0</v>
      </c>
      <c r="EU179" s="407">
        <v>0</v>
      </c>
      <c r="EV179" s="407">
        <v>207</v>
      </c>
      <c r="EW179" s="407">
        <v>0</v>
      </c>
      <c r="EX179" s="407">
        <v>0</v>
      </c>
      <c r="EY179" s="407">
        <v>0</v>
      </c>
      <c r="EZ179" s="407"/>
      <c r="FA179" s="407">
        <v>0</v>
      </c>
      <c r="FB179" s="407"/>
      <c r="FC179" s="407"/>
      <c r="FD179" s="407"/>
      <c r="FE179" s="407"/>
      <c r="FF179" s="407">
        <v>0</v>
      </c>
      <c r="FG179" s="407">
        <v>0</v>
      </c>
      <c r="FH179" s="407">
        <v>0</v>
      </c>
      <c r="FI179" s="407">
        <v>0</v>
      </c>
    </row>
    <row r="180" spans="1:165">
      <c r="A180" s="407">
        <v>178</v>
      </c>
      <c r="B180" s="407" t="s">
        <v>2307</v>
      </c>
      <c r="C180" s="407" t="s">
        <v>2305</v>
      </c>
      <c r="D180" s="407" t="s">
        <v>1220</v>
      </c>
      <c r="E180" s="407" t="s">
        <v>1023</v>
      </c>
      <c r="F180" s="407" t="s">
        <v>1023</v>
      </c>
      <c r="G180" s="407" t="s">
        <v>96</v>
      </c>
      <c r="H180" s="407" t="s">
        <v>96</v>
      </c>
      <c r="I180" s="407" t="s">
        <v>96</v>
      </c>
      <c r="J180" s="407" t="s">
        <v>2306</v>
      </c>
      <c r="K180" s="815">
        <v>44621</v>
      </c>
      <c r="L180" s="407">
        <v>0</v>
      </c>
      <c r="M180" s="407">
        <v>0</v>
      </c>
      <c r="N180" s="407">
        <v>-0.158</v>
      </c>
      <c r="O180" s="407">
        <v>-0.158</v>
      </c>
      <c r="P180" s="407">
        <v>-0.158</v>
      </c>
      <c r="Q180" s="407">
        <v>-0.158</v>
      </c>
      <c r="R180" s="407"/>
      <c r="S180" s="407">
        <v>710.52</v>
      </c>
      <c r="T180" s="407">
        <v>127.85</v>
      </c>
      <c r="U180" s="407"/>
      <c r="V180" s="407">
        <v>-132.46245999999999</v>
      </c>
      <c r="W180" s="407">
        <v>-132.46245999999999</v>
      </c>
      <c r="X180" s="407">
        <v>-108.81618</v>
      </c>
      <c r="Y180" s="407">
        <v>0</v>
      </c>
      <c r="Z180" s="407">
        <v>-9.6498621101190984</v>
      </c>
      <c r="AA180" s="407">
        <v>0</v>
      </c>
      <c r="AB180" s="407">
        <v>0</v>
      </c>
      <c r="AC180" s="407">
        <v>0</v>
      </c>
      <c r="AD180" s="407">
        <v>-17.276107824642668</v>
      </c>
      <c r="AE180" s="407">
        <v>-78.710431548531034</v>
      </c>
      <c r="AF180" s="407">
        <v>-20.199888599438367</v>
      </c>
      <c r="AG180" s="407">
        <v>0</v>
      </c>
      <c r="AH180" s="407">
        <v>0</v>
      </c>
      <c r="AI180" s="407">
        <v>0</v>
      </c>
      <c r="AJ180" s="407">
        <v>0</v>
      </c>
      <c r="AK180" s="407">
        <v>0</v>
      </c>
      <c r="AL180" s="407">
        <v>-1.4923569918282669</v>
      </c>
      <c r="AM180" s="407"/>
      <c r="AN180" s="407">
        <v>-0.36194060016139379</v>
      </c>
      <c r="AO180" s="407">
        <v>0</v>
      </c>
      <c r="AP180" s="407">
        <v>0</v>
      </c>
      <c r="AQ180" s="407">
        <v>0</v>
      </c>
      <c r="AR180" s="407">
        <v>0</v>
      </c>
      <c r="AS180" s="407">
        <v>0</v>
      </c>
      <c r="AT180" s="407">
        <v>0</v>
      </c>
      <c r="AU180" s="407">
        <v>0</v>
      </c>
      <c r="AV180" s="407">
        <v>0</v>
      </c>
      <c r="AW180" s="407">
        <v>0</v>
      </c>
      <c r="AX180" s="407">
        <v>0</v>
      </c>
      <c r="AY180" s="407">
        <v>0</v>
      </c>
      <c r="AZ180" s="407">
        <v>0</v>
      </c>
      <c r="BA180" s="407"/>
      <c r="BB180" s="407">
        <v>0</v>
      </c>
      <c r="BC180" s="407">
        <v>0</v>
      </c>
      <c r="BD180" s="407">
        <v>0</v>
      </c>
      <c r="BE180" s="407">
        <v>0</v>
      </c>
      <c r="BF180" s="407">
        <v>0</v>
      </c>
      <c r="BG180" s="407">
        <v>-4.77131460041221</v>
      </c>
      <c r="BH180" s="407">
        <v>0</v>
      </c>
      <c r="BI180" s="407">
        <v>-0.88</v>
      </c>
      <c r="BJ180" s="407">
        <v>-4.09</v>
      </c>
      <c r="BK180" s="407">
        <v>-19.04</v>
      </c>
      <c r="BL180" s="407">
        <v>0</v>
      </c>
      <c r="BM180" s="407"/>
      <c r="BN180" s="407"/>
      <c r="BO180" s="407"/>
      <c r="BP180" s="407"/>
      <c r="BQ180" s="407"/>
      <c r="BR180" s="407"/>
      <c r="BS180" s="407"/>
      <c r="BT180" s="407"/>
      <c r="BU180" s="407"/>
      <c r="BV180" s="407">
        <v>-24.971203199850578</v>
      </c>
      <c r="BW180" s="407"/>
      <c r="BX180" s="407"/>
      <c r="BY180" s="407"/>
      <c r="BZ180" s="407"/>
      <c r="CA180" s="407"/>
      <c r="CB180" s="407"/>
      <c r="CC180" s="407"/>
      <c r="CD180" s="407"/>
      <c r="CE180" s="407"/>
      <c r="CF180" s="407"/>
      <c r="CG180" s="407"/>
      <c r="CH180" s="407"/>
      <c r="CI180" s="407">
        <v>-110.1936</v>
      </c>
      <c r="CJ180" s="407">
        <v>22.238859999999988</v>
      </c>
      <c r="CK180" s="407"/>
      <c r="CL180" s="407"/>
      <c r="CM180" s="407"/>
      <c r="CN180" s="407"/>
      <c r="CO180" s="407">
        <v>24.281439999999993</v>
      </c>
      <c r="CP180" s="407">
        <v>-0.63516000000000161</v>
      </c>
      <c r="CQ180" s="407">
        <v>31</v>
      </c>
      <c r="CR180" s="407">
        <v>0.37714951976030164</v>
      </c>
      <c r="CS180" s="407">
        <v>0</v>
      </c>
      <c r="CT180" s="407">
        <v>0</v>
      </c>
      <c r="CU180" s="407">
        <v>0</v>
      </c>
      <c r="CV180" s="407">
        <v>0</v>
      </c>
      <c r="CW180" s="407">
        <v>0</v>
      </c>
      <c r="CX180" s="407">
        <v>0</v>
      </c>
      <c r="CY180" s="407">
        <v>0</v>
      </c>
      <c r="CZ180" s="407">
        <v>0.90631697319627946</v>
      </c>
      <c r="DA180" s="407">
        <v>0</v>
      </c>
      <c r="DB180" s="407">
        <v>0</v>
      </c>
      <c r="DC180" s="407">
        <v>-0.6356139796187108</v>
      </c>
      <c r="DD180" s="407">
        <v>0</v>
      </c>
      <c r="DE180" s="407">
        <v>0</v>
      </c>
      <c r="DF180" s="407">
        <v>0</v>
      </c>
      <c r="DG180" s="407">
        <v>-0.15013519734287861</v>
      </c>
      <c r="DH180" s="407">
        <v>0</v>
      </c>
      <c r="DI180" s="407">
        <v>0.21976068398831039</v>
      </c>
      <c r="DJ180" s="407"/>
      <c r="DK180" s="407">
        <v>0</v>
      </c>
      <c r="DL180" s="407">
        <v>0</v>
      </c>
      <c r="DM180" s="407">
        <v>0</v>
      </c>
      <c r="DN180" s="407">
        <v>0</v>
      </c>
      <c r="DO180" s="407">
        <v>2.8477204539535173E-2</v>
      </c>
      <c r="DP180" s="407">
        <v>8.3438349977610349E-3</v>
      </c>
      <c r="DQ180" s="407">
        <v>0</v>
      </c>
      <c r="DR180" s="407">
        <v>0</v>
      </c>
      <c r="DS180" s="407"/>
      <c r="DT180" s="407"/>
      <c r="DU180" s="407"/>
      <c r="DV180" s="407">
        <v>-78.710431548531034</v>
      </c>
      <c r="DW180" s="407">
        <v>0</v>
      </c>
      <c r="DX180" s="407">
        <v>0</v>
      </c>
      <c r="DY180" s="407">
        <v>24.281439999999989</v>
      </c>
      <c r="DZ180" s="407">
        <v>-0.63516000000000261</v>
      </c>
      <c r="EA180" s="407">
        <v>0</v>
      </c>
      <c r="EB180" s="407">
        <v>0</v>
      </c>
      <c r="EC180" s="407">
        <v>23.268046033112114</v>
      </c>
      <c r="ED180" s="407">
        <v>0</v>
      </c>
      <c r="EE180" s="407">
        <v>0</v>
      </c>
      <c r="EF180" s="407">
        <v>0</v>
      </c>
      <c r="EG180" s="407">
        <v>0</v>
      </c>
      <c r="EH180" s="407">
        <v>0</v>
      </c>
      <c r="EI180" s="407">
        <v>0</v>
      </c>
      <c r="EJ180" s="407">
        <v>0</v>
      </c>
      <c r="EK180" s="407">
        <v>0</v>
      </c>
      <c r="EL180" s="407">
        <v>0</v>
      </c>
      <c r="EM180" s="407">
        <v>0</v>
      </c>
      <c r="EN180" s="407">
        <v>0</v>
      </c>
      <c r="EO180" s="407">
        <v>0</v>
      </c>
      <c r="EP180" s="407">
        <v>0</v>
      </c>
      <c r="EQ180" s="407">
        <v>0</v>
      </c>
      <c r="ER180" s="407">
        <v>0</v>
      </c>
      <c r="ES180" s="407">
        <v>0</v>
      </c>
      <c r="ET180" s="407">
        <v>0</v>
      </c>
      <c r="EU180" s="407">
        <v>0</v>
      </c>
      <c r="EV180" s="407">
        <v>207</v>
      </c>
      <c r="EW180" s="407">
        <v>0</v>
      </c>
      <c r="EX180" s="407">
        <v>0</v>
      </c>
      <c r="EY180" s="407">
        <v>0</v>
      </c>
      <c r="EZ180" s="407"/>
      <c r="FA180" s="407">
        <v>0</v>
      </c>
      <c r="FB180" s="407"/>
      <c r="FC180" s="407"/>
      <c r="FD180" s="407"/>
      <c r="FE180" s="407"/>
      <c r="FF180" s="407">
        <v>0</v>
      </c>
      <c r="FG180" s="407">
        <v>0</v>
      </c>
      <c r="FH180" s="407">
        <v>0</v>
      </c>
      <c r="FI180" s="407">
        <v>0</v>
      </c>
    </row>
    <row r="181" spans="1:165">
      <c r="A181" s="407">
        <v>179</v>
      </c>
      <c r="B181" s="407" t="s">
        <v>2308</v>
      </c>
      <c r="C181" s="407" t="s">
        <v>2305</v>
      </c>
      <c r="D181" s="407" t="s">
        <v>1220</v>
      </c>
      <c r="E181" s="407" t="s">
        <v>1023</v>
      </c>
      <c r="F181" s="407" t="s">
        <v>1023</v>
      </c>
      <c r="G181" s="407" t="s">
        <v>96</v>
      </c>
      <c r="H181" s="407" t="s">
        <v>96</v>
      </c>
      <c r="I181" s="407" t="s">
        <v>96</v>
      </c>
      <c r="J181" s="407" t="s">
        <v>2306</v>
      </c>
      <c r="K181" s="815">
        <v>44621</v>
      </c>
      <c r="L181" s="407">
        <v>0</v>
      </c>
      <c r="M181" s="407">
        <v>0</v>
      </c>
      <c r="N181" s="407">
        <v>1.3049999999999999</v>
      </c>
      <c r="O181" s="407">
        <v>1.3049999999999999</v>
      </c>
      <c r="P181" s="407">
        <v>1.3049999999999999</v>
      </c>
      <c r="Q181" s="407">
        <v>1.3049999999999999</v>
      </c>
      <c r="R181" s="407"/>
      <c r="S181" s="407">
        <v>710.52</v>
      </c>
      <c r="T181" s="407">
        <v>127.85</v>
      </c>
      <c r="U181" s="407"/>
      <c r="V181" s="407">
        <v>1094.07285</v>
      </c>
      <c r="W181" s="407">
        <v>1094.07285</v>
      </c>
      <c r="X181" s="407">
        <v>898.76655000000005</v>
      </c>
      <c r="Y181" s="407">
        <v>0</v>
      </c>
      <c r="Z181" s="407">
        <v>79.702975023452041</v>
      </c>
      <c r="AA181" s="407">
        <v>0</v>
      </c>
      <c r="AB181" s="407">
        <v>0</v>
      </c>
      <c r="AC181" s="407">
        <v>0</v>
      </c>
      <c r="AD181" s="407">
        <v>142.69190323518151</v>
      </c>
      <c r="AE181" s="407">
        <v>650.10831120780381</v>
      </c>
      <c r="AF181" s="407">
        <v>166.84085203966498</v>
      </c>
      <c r="AG181" s="407">
        <v>0</v>
      </c>
      <c r="AH181" s="407">
        <v>0</v>
      </c>
      <c r="AI181" s="407">
        <v>0</v>
      </c>
      <c r="AJ181" s="407">
        <v>0</v>
      </c>
      <c r="AK181" s="407">
        <v>0</v>
      </c>
      <c r="AL181" s="407">
        <v>12.326113128708153</v>
      </c>
      <c r="AM181" s="407"/>
      <c r="AN181" s="407">
        <v>2.9894460962697398</v>
      </c>
      <c r="AO181" s="407">
        <v>0</v>
      </c>
      <c r="AP181" s="407">
        <v>0</v>
      </c>
      <c r="AQ181" s="407">
        <v>0</v>
      </c>
      <c r="AR181" s="407">
        <v>0</v>
      </c>
      <c r="AS181" s="407">
        <v>0</v>
      </c>
      <c r="AT181" s="407">
        <v>0</v>
      </c>
      <c r="AU181" s="407">
        <v>0</v>
      </c>
      <c r="AV181" s="407">
        <v>0</v>
      </c>
      <c r="AW181" s="407">
        <v>0</v>
      </c>
      <c r="AX181" s="407">
        <v>0</v>
      </c>
      <c r="AY181" s="407">
        <v>0</v>
      </c>
      <c r="AZ181" s="407">
        <v>0</v>
      </c>
      <c r="BA181" s="407"/>
      <c r="BB181" s="407">
        <v>0</v>
      </c>
      <c r="BC181" s="407">
        <v>0</v>
      </c>
      <c r="BD181" s="407">
        <v>0</v>
      </c>
      <c r="BE181" s="407">
        <v>0</v>
      </c>
      <c r="BF181" s="407">
        <v>0</v>
      </c>
      <c r="BG181" s="407">
        <v>39.408642743910974</v>
      </c>
      <c r="BH181" s="407">
        <v>0</v>
      </c>
      <c r="BI181" s="407">
        <v>3.64</v>
      </c>
      <c r="BJ181" s="407">
        <v>17.190000000000001</v>
      </c>
      <c r="BK181" s="407">
        <v>681.85</v>
      </c>
      <c r="BL181" s="407">
        <v>18</v>
      </c>
      <c r="BM181" s="407"/>
      <c r="BN181" s="407"/>
      <c r="BO181" s="407"/>
      <c r="BP181" s="407"/>
      <c r="BQ181" s="407"/>
      <c r="BR181" s="407"/>
      <c r="BS181" s="407"/>
      <c r="BT181" s="407"/>
      <c r="BU181" s="407"/>
      <c r="BV181" s="407">
        <v>206.24949478357595</v>
      </c>
      <c r="BW181" s="407"/>
      <c r="BX181" s="407"/>
      <c r="BY181" s="407"/>
      <c r="BZ181" s="407"/>
      <c r="CA181" s="407"/>
      <c r="CB181" s="407"/>
      <c r="CC181" s="407"/>
      <c r="CD181" s="407"/>
      <c r="CE181" s="407"/>
      <c r="CF181" s="407"/>
      <c r="CG181" s="407"/>
      <c r="CH181" s="407"/>
      <c r="CI181" s="407">
        <v>902.21010000000001</v>
      </c>
      <c r="CJ181" s="407">
        <v>-191.89274999999998</v>
      </c>
      <c r="CK181" s="407"/>
      <c r="CL181" s="407"/>
      <c r="CM181" s="407"/>
      <c r="CN181" s="407"/>
      <c r="CO181" s="407">
        <v>-200.55239999999992</v>
      </c>
      <c r="CP181" s="407">
        <v>5.2461000000000135</v>
      </c>
      <c r="CQ181" s="407">
        <v>31</v>
      </c>
      <c r="CR181" s="407">
        <v>-3.115064071437871</v>
      </c>
      <c r="CS181" s="407">
        <v>0</v>
      </c>
      <c r="CT181" s="407">
        <v>0</v>
      </c>
      <c r="CU181" s="407">
        <v>0</v>
      </c>
      <c r="CV181" s="407">
        <v>0</v>
      </c>
      <c r="CW181" s="407">
        <v>0</v>
      </c>
      <c r="CX181" s="407">
        <v>0</v>
      </c>
      <c r="CY181" s="407">
        <v>0</v>
      </c>
      <c r="CZ181" s="407">
        <v>-7.4857193039312904</v>
      </c>
      <c r="DA181" s="407">
        <v>0</v>
      </c>
      <c r="DB181" s="407">
        <v>0</v>
      </c>
      <c r="DC181" s="407">
        <v>5.2498496417874492</v>
      </c>
      <c r="DD181" s="407">
        <v>0</v>
      </c>
      <c r="DE181" s="407">
        <v>0</v>
      </c>
      <c r="DF181" s="407">
        <v>0</v>
      </c>
      <c r="DG181" s="407">
        <v>1.24004071223073</v>
      </c>
      <c r="DH181" s="407">
        <v>0</v>
      </c>
      <c r="DI181" s="407">
        <v>-1.815111978511041</v>
      </c>
      <c r="DJ181" s="407"/>
      <c r="DK181" s="407">
        <v>0</v>
      </c>
      <c r="DL181" s="407">
        <v>0</v>
      </c>
      <c r="DM181" s="407">
        <v>0</v>
      </c>
      <c r="DN181" s="407">
        <v>0</v>
      </c>
      <c r="DO181" s="407">
        <v>-0.23520729065881874</v>
      </c>
      <c r="DP181" s="407">
        <v>-6.8915852354924922E-2</v>
      </c>
      <c r="DQ181" s="407">
        <v>0</v>
      </c>
      <c r="DR181" s="407">
        <v>0</v>
      </c>
      <c r="DS181" s="407"/>
      <c r="DT181" s="407"/>
      <c r="DU181" s="407"/>
      <c r="DV181" s="407">
        <v>650.10831120780381</v>
      </c>
      <c r="DW181" s="407">
        <v>0</v>
      </c>
      <c r="DX181" s="407">
        <v>0</v>
      </c>
      <c r="DY181" s="407">
        <v>-200.55239999999992</v>
      </c>
      <c r="DZ181" s="407">
        <v>5.2461000000000126</v>
      </c>
      <c r="EA181" s="407">
        <v>0</v>
      </c>
      <c r="EB181" s="407">
        <v>0</v>
      </c>
      <c r="EC181" s="407">
        <v>-192.18227894437541</v>
      </c>
      <c r="ED181" s="407">
        <v>0</v>
      </c>
      <c r="EE181" s="407">
        <v>0</v>
      </c>
      <c r="EF181" s="407">
        <v>0</v>
      </c>
      <c r="EG181" s="407">
        <v>0</v>
      </c>
      <c r="EH181" s="407">
        <v>0</v>
      </c>
      <c r="EI181" s="407">
        <v>0</v>
      </c>
      <c r="EJ181" s="407">
        <v>0</v>
      </c>
      <c r="EK181" s="407">
        <v>0</v>
      </c>
      <c r="EL181" s="407">
        <v>0</v>
      </c>
      <c r="EM181" s="407">
        <v>0</v>
      </c>
      <c r="EN181" s="407">
        <v>0</v>
      </c>
      <c r="EO181" s="407">
        <v>0</v>
      </c>
      <c r="EP181" s="407">
        <v>0</v>
      </c>
      <c r="EQ181" s="407">
        <v>0</v>
      </c>
      <c r="ER181" s="407">
        <v>0</v>
      </c>
      <c r="ES181" s="407">
        <v>0</v>
      </c>
      <c r="ET181" s="407">
        <v>0</v>
      </c>
      <c r="EU181" s="407">
        <v>0</v>
      </c>
      <c r="EV181" s="407">
        <v>207</v>
      </c>
      <c r="EW181" s="407">
        <v>0</v>
      </c>
      <c r="EX181" s="407">
        <v>0</v>
      </c>
      <c r="EY181" s="407">
        <v>0</v>
      </c>
      <c r="EZ181" s="407"/>
      <c r="FA181" s="407">
        <v>0</v>
      </c>
      <c r="FB181" s="407"/>
      <c r="FC181" s="407"/>
      <c r="FD181" s="407"/>
      <c r="FE181" s="407"/>
      <c r="FF181" s="407">
        <v>0</v>
      </c>
      <c r="FG181" s="407">
        <v>0</v>
      </c>
      <c r="FH181" s="407">
        <v>0</v>
      </c>
      <c r="FI181" s="407">
        <v>0</v>
      </c>
    </row>
    <row r="182" spans="1:165">
      <c r="A182" s="407">
        <v>180</v>
      </c>
      <c r="B182" s="407" t="s">
        <v>1092</v>
      </c>
      <c r="C182" s="407" t="s">
        <v>2305</v>
      </c>
      <c r="D182" s="407" t="s">
        <v>1220</v>
      </c>
      <c r="E182" s="407" t="s">
        <v>1023</v>
      </c>
      <c r="F182" s="407" t="s">
        <v>2309</v>
      </c>
      <c r="G182" s="407" t="s">
        <v>96</v>
      </c>
      <c r="H182" s="407" t="s">
        <v>96</v>
      </c>
      <c r="I182" s="407" t="s">
        <v>96</v>
      </c>
      <c r="J182" s="407" t="s">
        <v>2306</v>
      </c>
      <c r="K182" s="815">
        <v>44621</v>
      </c>
      <c r="L182" s="407">
        <v>0</v>
      </c>
      <c r="M182" s="407">
        <v>0</v>
      </c>
      <c r="N182" s="407">
        <v>13.53</v>
      </c>
      <c r="O182" s="407">
        <v>13.53</v>
      </c>
      <c r="P182" s="407">
        <v>13.53</v>
      </c>
      <c r="Q182" s="407">
        <v>13.53</v>
      </c>
      <c r="R182" s="407"/>
      <c r="S182" s="407">
        <v>640</v>
      </c>
      <c r="T182" s="407">
        <v>127.85</v>
      </c>
      <c r="U182" s="407"/>
      <c r="V182" s="407">
        <v>10389.010499999999</v>
      </c>
      <c r="W182" s="407">
        <v>10389.010499999999</v>
      </c>
      <c r="X182" s="407">
        <v>8385.3527999999988</v>
      </c>
      <c r="Y182" s="407">
        <v>0</v>
      </c>
      <c r="Z182" s="407">
        <v>0</v>
      </c>
      <c r="AA182" s="407">
        <v>0</v>
      </c>
      <c r="AB182" s="407">
        <v>0</v>
      </c>
      <c r="AC182" s="407">
        <v>0</v>
      </c>
      <c r="AD182" s="407">
        <v>1479.4034105532612</v>
      </c>
      <c r="AE182" s="407">
        <v>6740.2034104533222</v>
      </c>
      <c r="AF182" s="407">
        <v>1729.7752705721587</v>
      </c>
      <c r="AG182" s="407">
        <v>0</v>
      </c>
      <c r="AH182" s="407">
        <v>0</v>
      </c>
      <c r="AI182" s="407">
        <v>0</v>
      </c>
      <c r="AJ182" s="407">
        <v>0</v>
      </c>
      <c r="AK182" s="407">
        <v>0</v>
      </c>
      <c r="AL182" s="407">
        <v>0</v>
      </c>
      <c r="AM182" s="407"/>
      <c r="AN182" s="407">
        <v>30.994027342934544</v>
      </c>
      <c r="AO182" s="407">
        <v>0</v>
      </c>
      <c r="AP182" s="407">
        <v>0</v>
      </c>
      <c r="AQ182" s="407">
        <v>0</v>
      </c>
      <c r="AR182" s="407">
        <v>0</v>
      </c>
      <c r="AS182" s="407">
        <v>0</v>
      </c>
      <c r="AT182" s="407">
        <v>0</v>
      </c>
      <c r="AU182" s="407">
        <v>0</v>
      </c>
      <c r="AV182" s="407">
        <v>0</v>
      </c>
      <c r="AW182" s="407">
        <v>0</v>
      </c>
      <c r="AX182" s="407">
        <v>0</v>
      </c>
      <c r="AY182" s="407">
        <v>0</v>
      </c>
      <c r="AZ182" s="407">
        <v>0</v>
      </c>
      <c r="BA182" s="407"/>
      <c r="BB182" s="407">
        <v>0</v>
      </c>
      <c r="BC182" s="407">
        <v>0</v>
      </c>
      <c r="BD182" s="407">
        <v>0</v>
      </c>
      <c r="BE182" s="407">
        <v>0</v>
      </c>
      <c r="BF182" s="407">
        <v>0</v>
      </c>
      <c r="BG182" s="407">
        <v>408.58156040238731</v>
      </c>
      <c r="BH182" s="407">
        <v>0</v>
      </c>
      <c r="BI182" s="407">
        <v>49.8</v>
      </c>
      <c r="BJ182" s="407">
        <v>231.9</v>
      </c>
      <c r="BK182" s="407">
        <v>1354.99</v>
      </c>
      <c r="BL182" s="407">
        <v>34</v>
      </c>
      <c r="BM182" s="407"/>
      <c r="BN182" s="407"/>
      <c r="BO182" s="407"/>
      <c r="BP182" s="407"/>
      <c r="BQ182" s="407"/>
      <c r="BR182" s="407"/>
      <c r="BS182" s="407"/>
      <c r="BT182" s="407">
        <v>5450.5604999999996</v>
      </c>
      <c r="BU182" s="407"/>
      <c r="BV182" s="407">
        <v>2138.356830974546</v>
      </c>
      <c r="BW182" s="407"/>
      <c r="BX182" s="407"/>
      <c r="BY182" s="407"/>
      <c r="BZ182" s="407"/>
      <c r="CA182" s="407"/>
      <c r="CB182" s="407"/>
      <c r="CC182" s="407"/>
      <c r="CD182" s="407"/>
      <c r="CE182" s="407"/>
      <c r="CF182" s="407"/>
      <c r="CG182" s="407"/>
      <c r="CH182" s="407"/>
      <c r="CI182" s="407">
        <v>2934.7923000000001</v>
      </c>
      <c r="CJ182" s="407">
        <v>-701.42520000000059</v>
      </c>
      <c r="CK182" s="407"/>
      <c r="CL182" s="407"/>
      <c r="CM182" s="407"/>
      <c r="CN182" s="407"/>
      <c r="CO182" s="407">
        <v>-2058.0482999999999</v>
      </c>
      <c r="CP182" s="407">
        <v>54.390600000000134</v>
      </c>
      <c r="CQ182" s="407">
        <v>31</v>
      </c>
      <c r="CR182" s="407">
        <v>-11.039078294778847</v>
      </c>
      <c r="CS182" s="407">
        <v>0</v>
      </c>
      <c r="CT182" s="407">
        <v>0</v>
      </c>
      <c r="CU182" s="407">
        <v>0</v>
      </c>
      <c r="CV182" s="407">
        <v>0</v>
      </c>
      <c r="CW182" s="407">
        <v>0</v>
      </c>
      <c r="CX182" s="407">
        <v>0</v>
      </c>
      <c r="CY182" s="407">
        <v>0</v>
      </c>
      <c r="CZ182" s="407">
        <v>-77.610561059149632</v>
      </c>
      <c r="DA182" s="407">
        <v>0</v>
      </c>
      <c r="DB182" s="407">
        <v>0</v>
      </c>
      <c r="DC182" s="407">
        <v>54.429475596462908</v>
      </c>
      <c r="DD182" s="407">
        <v>0</v>
      </c>
      <c r="DE182" s="407">
        <v>0</v>
      </c>
      <c r="DF182" s="407">
        <v>0</v>
      </c>
      <c r="DG182" s="407">
        <v>12.856514050943929</v>
      </c>
      <c r="DH182" s="407">
        <v>0</v>
      </c>
      <c r="DI182" s="407">
        <v>0</v>
      </c>
      <c r="DJ182" s="407"/>
      <c r="DK182" s="407">
        <v>0</v>
      </c>
      <c r="DL182" s="407">
        <v>0</v>
      </c>
      <c r="DM182" s="407">
        <v>0</v>
      </c>
      <c r="DN182" s="407">
        <v>0</v>
      </c>
      <c r="DO182" s="407">
        <v>0</v>
      </c>
      <c r="DP182" s="407">
        <v>-0.71450688303611898</v>
      </c>
      <c r="DQ182" s="407">
        <v>0</v>
      </c>
      <c r="DR182" s="407">
        <v>0</v>
      </c>
      <c r="DS182" s="407"/>
      <c r="DT182" s="407"/>
      <c r="DU182" s="407"/>
      <c r="DV182" s="407">
        <v>6740.2034104533222</v>
      </c>
      <c r="DW182" s="407">
        <v>0</v>
      </c>
      <c r="DX182" s="407">
        <v>0</v>
      </c>
      <c r="DY182" s="407">
        <v>-2058.0482999999995</v>
      </c>
      <c r="DZ182" s="407">
        <v>54.390600000000177</v>
      </c>
      <c r="EA182" s="407">
        <v>0</v>
      </c>
      <c r="EB182" s="407">
        <v>0</v>
      </c>
      <c r="EC182" s="407">
        <v>-1992.5105242278923</v>
      </c>
      <c r="ED182" s="407">
        <v>0</v>
      </c>
      <c r="EE182" s="407">
        <v>0</v>
      </c>
      <c r="EF182" s="407">
        <v>0</v>
      </c>
      <c r="EG182" s="407">
        <v>0</v>
      </c>
      <c r="EH182" s="407">
        <v>0</v>
      </c>
      <c r="EI182" s="407">
        <v>0</v>
      </c>
      <c r="EJ182" s="407">
        <v>0</v>
      </c>
      <c r="EK182" s="407">
        <v>0</v>
      </c>
      <c r="EL182" s="407">
        <v>0</v>
      </c>
      <c r="EM182" s="407">
        <v>0</v>
      </c>
      <c r="EN182" s="407">
        <v>0</v>
      </c>
      <c r="EO182" s="407">
        <v>0</v>
      </c>
      <c r="EP182" s="407">
        <v>0</v>
      </c>
      <c r="EQ182" s="407">
        <v>0</v>
      </c>
      <c r="ER182" s="407">
        <v>0</v>
      </c>
      <c r="ES182" s="407">
        <v>0</v>
      </c>
      <c r="ET182" s="407">
        <v>0</v>
      </c>
      <c r="EU182" s="407">
        <v>0</v>
      </c>
      <c r="EV182" s="407">
        <v>207</v>
      </c>
      <c r="EW182" s="407">
        <v>0</v>
      </c>
      <c r="EX182" s="407">
        <v>0</v>
      </c>
      <c r="EY182" s="407">
        <v>0</v>
      </c>
      <c r="EZ182" s="407"/>
      <c r="FA182" s="407">
        <v>0</v>
      </c>
      <c r="FB182" s="407"/>
      <c r="FC182" s="407"/>
      <c r="FD182" s="407"/>
      <c r="FE182" s="407"/>
      <c r="FF182" s="407">
        <v>0</v>
      </c>
      <c r="FG182" s="407">
        <v>0</v>
      </c>
      <c r="FH182" s="407">
        <v>0</v>
      </c>
      <c r="FI182" s="407">
        <v>0</v>
      </c>
    </row>
    <row r="183" spans="1:165">
      <c r="A183" s="407">
        <v>181</v>
      </c>
      <c r="B183" s="407" t="s">
        <v>1092</v>
      </c>
      <c r="C183" s="407" t="s">
        <v>2305</v>
      </c>
      <c r="D183" s="407" t="s">
        <v>1220</v>
      </c>
      <c r="E183" s="407" t="s">
        <v>1023</v>
      </c>
      <c r="F183" s="407" t="s">
        <v>2310</v>
      </c>
      <c r="G183" s="407" t="s">
        <v>96</v>
      </c>
      <c r="H183" s="407" t="s">
        <v>96</v>
      </c>
      <c r="I183" s="407" t="s">
        <v>96</v>
      </c>
      <c r="J183" s="407" t="s">
        <v>2306</v>
      </c>
      <c r="K183" s="815">
        <v>44621</v>
      </c>
      <c r="L183" s="407">
        <v>0</v>
      </c>
      <c r="M183" s="407">
        <v>0</v>
      </c>
      <c r="N183" s="407">
        <v>26.244</v>
      </c>
      <c r="O183" s="407">
        <v>26.244</v>
      </c>
      <c r="P183" s="407">
        <v>26.244</v>
      </c>
      <c r="Q183" s="407">
        <v>26.244</v>
      </c>
      <c r="R183" s="407"/>
      <c r="S183" s="407">
        <v>640</v>
      </c>
      <c r="T183" s="407">
        <v>127.85</v>
      </c>
      <c r="U183" s="407"/>
      <c r="V183" s="407">
        <v>20151.455399999999</v>
      </c>
      <c r="W183" s="407">
        <v>20151.455399999999</v>
      </c>
      <c r="X183" s="407">
        <v>16264.98144</v>
      </c>
      <c r="Y183" s="407">
        <v>0</v>
      </c>
      <c r="Z183" s="407">
        <v>0</v>
      </c>
      <c r="AA183" s="407">
        <v>0</v>
      </c>
      <c r="AB183" s="407">
        <v>0</v>
      </c>
      <c r="AC183" s="407">
        <v>0</v>
      </c>
      <c r="AD183" s="407">
        <v>2869.583378164064</v>
      </c>
      <c r="AE183" s="407">
        <v>13073.902313668661</v>
      </c>
      <c r="AF183" s="407">
        <v>3355.2270658459524</v>
      </c>
      <c r="AG183" s="407">
        <v>0</v>
      </c>
      <c r="AH183" s="407">
        <v>0</v>
      </c>
      <c r="AI183" s="407">
        <v>0</v>
      </c>
      <c r="AJ183" s="407">
        <v>0</v>
      </c>
      <c r="AK183" s="407">
        <v>0</v>
      </c>
      <c r="AL183" s="407">
        <v>0</v>
      </c>
      <c r="AM183" s="407"/>
      <c r="AN183" s="407">
        <v>60.118791839465942</v>
      </c>
      <c r="AO183" s="407">
        <v>0</v>
      </c>
      <c r="AP183" s="407">
        <v>0</v>
      </c>
      <c r="AQ183" s="407">
        <v>0</v>
      </c>
      <c r="AR183" s="407">
        <v>0</v>
      </c>
      <c r="AS183" s="407">
        <v>0</v>
      </c>
      <c r="AT183" s="407">
        <v>0</v>
      </c>
      <c r="AU183" s="407">
        <v>0</v>
      </c>
      <c r="AV183" s="407">
        <v>0</v>
      </c>
      <c r="AW183" s="407">
        <v>0</v>
      </c>
      <c r="AX183" s="407">
        <v>0</v>
      </c>
      <c r="AY183" s="407">
        <v>0</v>
      </c>
      <c r="AZ183" s="407">
        <v>0</v>
      </c>
      <c r="BA183" s="407"/>
      <c r="BB183" s="407">
        <v>0</v>
      </c>
      <c r="BC183" s="407">
        <v>0</v>
      </c>
      <c r="BD183" s="407">
        <v>0</v>
      </c>
      <c r="BE183" s="407">
        <v>0</v>
      </c>
      <c r="BF183" s="407">
        <v>0</v>
      </c>
      <c r="BG183" s="407">
        <v>792.52139476720276</v>
      </c>
      <c r="BH183" s="407">
        <v>0</v>
      </c>
      <c r="BI183" s="407">
        <v>96.87</v>
      </c>
      <c r="BJ183" s="407">
        <v>453.81</v>
      </c>
      <c r="BK183" s="407">
        <v>3153.29</v>
      </c>
      <c r="BL183" s="407">
        <v>109</v>
      </c>
      <c r="BM183" s="407"/>
      <c r="BN183" s="407"/>
      <c r="BO183" s="407"/>
      <c r="BP183" s="407"/>
      <c r="BQ183" s="407"/>
      <c r="BR183" s="407"/>
      <c r="BS183" s="407"/>
      <c r="BT183" s="407">
        <v>6505.8875999999991</v>
      </c>
      <c r="BU183" s="407"/>
      <c r="BV183" s="407">
        <v>4147.7484606131547</v>
      </c>
      <c r="BW183" s="407"/>
      <c r="BX183" s="407"/>
      <c r="BY183" s="407"/>
      <c r="BZ183" s="407"/>
      <c r="CA183" s="407"/>
      <c r="CB183" s="407"/>
      <c r="CC183" s="407"/>
      <c r="CD183" s="407"/>
      <c r="CE183" s="407"/>
      <c r="CF183" s="407"/>
      <c r="CG183" s="407"/>
      <c r="CH183" s="407"/>
      <c r="CI183" s="407">
        <v>9757.6064000000006</v>
      </c>
      <c r="CJ183" s="407">
        <v>-2333.2968399999991</v>
      </c>
      <c r="CK183" s="407"/>
      <c r="CL183" s="407"/>
      <c r="CM183" s="407"/>
      <c r="CN183" s="407"/>
      <c r="CO183" s="407">
        <v>-3991.9748400000003</v>
      </c>
      <c r="CP183" s="407">
        <v>105.50088000000027</v>
      </c>
      <c r="CQ183" s="407">
        <v>31</v>
      </c>
      <c r="CR183" s="407">
        <v>-21.412385126989648</v>
      </c>
      <c r="CS183" s="407">
        <v>0</v>
      </c>
      <c r="CT183" s="407">
        <v>0</v>
      </c>
      <c r="CU183" s="407">
        <v>0</v>
      </c>
      <c r="CV183" s="407">
        <v>0</v>
      </c>
      <c r="CW183" s="407">
        <v>0</v>
      </c>
      <c r="CX183" s="407">
        <v>0</v>
      </c>
      <c r="CY183" s="407">
        <v>0</v>
      </c>
      <c r="CZ183" s="407">
        <v>-150.54039648457638</v>
      </c>
      <c r="DA183" s="407">
        <v>0</v>
      </c>
      <c r="DB183" s="407">
        <v>0</v>
      </c>
      <c r="DC183" s="407">
        <v>105.57628658932526</v>
      </c>
      <c r="DD183" s="407">
        <v>0</v>
      </c>
      <c r="DE183" s="407">
        <v>0</v>
      </c>
      <c r="DF183" s="407">
        <v>0</v>
      </c>
      <c r="DG183" s="407">
        <v>24.937646323205627</v>
      </c>
      <c r="DH183" s="407">
        <v>0</v>
      </c>
      <c r="DI183" s="407">
        <v>0</v>
      </c>
      <c r="DJ183" s="407"/>
      <c r="DK183" s="407">
        <v>0</v>
      </c>
      <c r="DL183" s="407">
        <v>0</v>
      </c>
      <c r="DM183" s="407">
        <v>0</v>
      </c>
      <c r="DN183" s="407">
        <v>0</v>
      </c>
      <c r="DO183" s="407">
        <v>0</v>
      </c>
      <c r="DP183" s="407">
        <v>-1.3859215549445665</v>
      </c>
      <c r="DQ183" s="407">
        <v>0</v>
      </c>
      <c r="DR183" s="407">
        <v>0</v>
      </c>
      <c r="DS183" s="407"/>
      <c r="DT183" s="407"/>
      <c r="DU183" s="407"/>
      <c r="DV183" s="407">
        <v>13073.902313668661</v>
      </c>
      <c r="DW183" s="407">
        <v>0</v>
      </c>
      <c r="DX183" s="407">
        <v>0</v>
      </c>
      <c r="DY183" s="407">
        <v>-3991.9748400000008</v>
      </c>
      <c r="DZ183" s="407">
        <v>105.50088000000005</v>
      </c>
      <c r="EA183" s="407">
        <v>0</v>
      </c>
      <c r="EB183" s="407">
        <v>0</v>
      </c>
      <c r="EC183" s="407">
        <v>-3864.8518993227499</v>
      </c>
      <c r="ED183" s="407">
        <v>0</v>
      </c>
      <c r="EE183" s="407">
        <v>0</v>
      </c>
      <c r="EF183" s="407">
        <v>0</v>
      </c>
      <c r="EG183" s="407">
        <v>0</v>
      </c>
      <c r="EH183" s="407">
        <v>0</v>
      </c>
      <c r="EI183" s="407">
        <v>0</v>
      </c>
      <c r="EJ183" s="407">
        <v>0</v>
      </c>
      <c r="EK183" s="407">
        <v>0</v>
      </c>
      <c r="EL183" s="407">
        <v>0</v>
      </c>
      <c r="EM183" s="407">
        <v>0</v>
      </c>
      <c r="EN183" s="407">
        <v>0</v>
      </c>
      <c r="EO183" s="407">
        <v>0</v>
      </c>
      <c r="EP183" s="407">
        <v>0</v>
      </c>
      <c r="EQ183" s="407">
        <v>0</v>
      </c>
      <c r="ER183" s="407">
        <v>0</v>
      </c>
      <c r="ES183" s="407">
        <v>0</v>
      </c>
      <c r="ET183" s="407">
        <v>0</v>
      </c>
      <c r="EU183" s="407">
        <v>0</v>
      </c>
      <c r="EV183" s="407">
        <v>207</v>
      </c>
      <c r="EW183" s="407">
        <v>0</v>
      </c>
      <c r="EX183" s="407">
        <v>0</v>
      </c>
      <c r="EY183" s="407">
        <v>0</v>
      </c>
      <c r="EZ183" s="407"/>
      <c r="FA183" s="407">
        <v>0</v>
      </c>
      <c r="FB183" s="407"/>
      <c r="FC183" s="407"/>
      <c r="FD183" s="407"/>
      <c r="FE183" s="407"/>
      <c r="FF183" s="407">
        <v>0</v>
      </c>
      <c r="FG183" s="407">
        <v>0</v>
      </c>
      <c r="FH183" s="407">
        <v>0</v>
      </c>
      <c r="FI183" s="407">
        <v>0</v>
      </c>
    </row>
    <row r="184" spans="1:165">
      <c r="A184" s="407">
        <v>182</v>
      </c>
      <c r="B184" s="407" t="s">
        <v>1092</v>
      </c>
      <c r="C184" s="407" t="s">
        <v>2305</v>
      </c>
      <c r="D184" s="407" t="s">
        <v>1220</v>
      </c>
      <c r="E184" s="407" t="s">
        <v>1023</v>
      </c>
      <c r="F184" s="407" t="s">
        <v>2311</v>
      </c>
      <c r="G184" s="407" t="s">
        <v>96</v>
      </c>
      <c r="H184" s="407" t="s">
        <v>96</v>
      </c>
      <c r="I184" s="407" t="s">
        <v>96</v>
      </c>
      <c r="J184" s="407" t="s">
        <v>2306</v>
      </c>
      <c r="K184" s="815">
        <v>44621</v>
      </c>
      <c r="L184" s="407">
        <v>0</v>
      </c>
      <c r="M184" s="407">
        <v>0</v>
      </c>
      <c r="N184" s="407">
        <v>21.436</v>
      </c>
      <c r="O184" s="407">
        <v>21.436</v>
      </c>
      <c r="P184" s="407">
        <v>21.436</v>
      </c>
      <c r="Q184" s="407">
        <v>21.436</v>
      </c>
      <c r="R184" s="407"/>
      <c r="S184" s="407">
        <v>640</v>
      </c>
      <c r="T184" s="407">
        <v>127.85</v>
      </c>
      <c r="U184" s="407"/>
      <c r="V184" s="407">
        <v>16459.632600000001</v>
      </c>
      <c r="W184" s="407">
        <v>16459.632600000001</v>
      </c>
      <c r="X184" s="407">
        <v>13285.175359999999</v>
      </c>
      <c r="Y184" s="407">
        <v>0</v>
      </c>
      <c r="Z184" s="407">
        <v>0</v>
      </c>
      <c r="AA184" s="407">
        <v>0</v>
      </c>
      <c r="AB184" s="407">
        <v>0</v>
      </c>
      <c r="AC184" s="407">
        <v>0</v>
      </c>
      <c r="AD184" s="407">
        <v>2343.8648565129129</v>
      </c>
      <c r="AE184" s="407">
        <v>10678.713991609566</v>
      </c>
      <c r="AF184" s="407">
        <v>2740.5367849212707</v>
      </c>
      <c r="AG184" s="407">
        <v>0</v>
      </c>
      <c r="AH184" s="407">
        <v>0</v>
      </c>
      <c r="AI184" s="407">
        <v>0</v>
      </c>
      <c r="AJ184" s="407">
        <v>0</v>
      </c>
      <c r="AK184" s="407">
        <v>0</v>
      </c>
      <c r="AL184" s="407">
        <v>0</v>
      </c>
      <c r="AM184" s="407"/>
      <c r="AN184" s="407">
        <v>49.104801930757198</v>
      </c>
      <c r="AO184" s="407">
        <v>0</v>
      </c>
      <c r="AP184" s="407">
        <v>0</v>
      </c>
      <c r="AQ184" s="407">
        <v>0</v>
      </c>
      <c r="AR184" s="407">
        <v>0</v>
      </c>
      <c r="AS184" s="407">
        <v>0</v>
      </c>
      <c r="AT184" s="407">
        <v>0</v>
      </c>
      <c r="AU184" s="407">
        <v>0</v>
      </c>
      <c r="AV184" s="407">
        <v>0</v>
      </c>
      <c r="AW184" s="407">
        <v>0</v>
      </c>
      <c r="AX184" s="407">
        <v>0</v>
      </c>
      <c r="AY184" s="407">
        <v>0</v>
      </c>
      <c r="AZ184" s="407">
        <v>0</v>
      </c>
      <c r="BA184" s="407"/>
      <c r="BB184" s="407">
        <v>0</v>
      </c>
      <c r="BC184" s="407">
        <v>0</v>
      </c>
      <c r="BD184" s="407">
        <v>0</v>
      </c>
      <c r="BE184" s="407">
        <v>0</v>
      </c>
      <c r="BF184" s="407">
        <v>0</v>
      </c>
      <c r="BG184" s="407">
        <v>647.32847958503874</v>
      </c>
      <c r="BH184" s="407">
        <v>0</v>
      </c>
      <c r="BI184" s="407">
        <v>79.62</v>
      </c>
      <c r="BJ184" s="407">
        <v>369.8</v>
      </c>
      <c r="BK184" s="407">
        <v>3615.34</v>
      </c>
      <c r="BL184" s="407">
        <v>232</v>
      </c>
      <c r="BM184" s="407"/>
      <c r="BN184" s="407"/>
      <c r="BO184" s="407"/>
      <c r="BP184" s="407"/>
      <c r="BQ184" s="407"/>
      <c r="BR184" s="407"/>
      <c r="BS184" s="407"/>
      <c r="BT184" s="407">
        <v>1328.6032799999991</v>
      </c>
      <c r="BU184" s="407"/>
      <c r="BV184" s="407">
        <v>3387.8652645063094</v>
      </c>
      <c r="BW184" s="407"/>
      <c r="BX184" s="407"/>
      <c r="BY184" s="407"/>
      <c r="BZ184" s="407"/>
      <c r="CA184" s="407"/>
      <c r="CB184" s="407"/>
      <c r="CC184" s="407"/>
      <c r="CD184" s="407"/>
      <c r="CE184" s="407"/>
      <c r="CF184" s="407"/>
      <c r="CG184" s="407"/>
      <c r="CH184" s="407"/>
      <c r="CI184" s="407">
        <v>11958.803200000002</v>
      </c>
      <c r="CJ184" s="407">
        <v>-2854.7889599999999</v>
      </c>
      <c r="CK184" s="407"/>
      <c r="CL184" s="407"/>
      <c r="CM184" s="407"/>
      <c r="CN184" s="407"/>
      <c r="CO184" s="407">
        <v>-3260.6299600000002</v>
      </c>
      <c r="CP184" s="407">
        <v>86.172720000000226</v>
      </c>
      <c r="CQ184" s="407">
        <v>31</v>
      </c>
      <c r="CR184" s="407">
        <v>-17.489555234800719</v>
      </c>
      <c r="CS184" s="407">
        <v>0</v>
      </c>
      <c r="CT184" s="407">
        <v>0</v>
      </c>
      <c r="CU184" s="407">
        <v>0</v>
      </c>
      <c r="CV184" s="407">
        <v>0</v>
      </c>
      <c r="CW184" s="407">
        <v>0</v>
      </c>
      <c r="CX184" s="407">
        <v>0</v>
      </c>
      <c r="CY184" s="407">
        <v>0</v>
      </c>
      <c r="CZ184" s="407">
        <v>-122.96082681921143</v>
      </c>
      <c r="DA184" s="407">
        <v>0</v>
      </c>
      <c r="DB184" s="407">
        <v>0</v>
      </c>
      <c r="DC184" s="407">
        <v>86.234311817131129</v>
      </c>
      <c r="DD184" s="407">
        <v>0</v>
      </c>
      <c r="DE184" s="407">
        <v>0</v>
      </c>
      <c r="DF184" s="407">
        <v>0</v>
      </c>
      <c r="DG184" s="407">
        <v>20.368975254695897</v>
      </c>
      <c r="DH184" s="407">
        <v>0</v>
      </c>
      <c r="DI184" s="407">
        <v>0</v>
      </c>
      <c r="DJ184" s="407"/>
      <c r="DK184" s="407">
        <v>0</v>
      </c>
      <c r="DL184" s="407">
        <v>0</v>
      </c>
      <c r="DM184" s="407">
        <v>0</v>
      </c>
      <c r="DN184" s="407">
        <v>0</v>
      </c>
      <c r="DO184" s="407">
        <v>0</v>
      </c>
      <c r="DP184" s="407">
        <v>-1.1320154874177604</v>
      </c>
      <c r="DQ184" s="407">
        <v>0</v>
      </c>
      <c r="DR184" s="407">
        <v>0</v>
      </c>
      <c r="DS184" s="407"/>
      <c r="DT184" s="407"/>
      <c r="DU184" s="407"/>
      <c r="DV184" s="407">
        <v>10678.713991609566</v>
      </c>
      <c r="DW184" s="407">
        <v>0</v>
      </c>
      <c r="DX184" s="407">
        <v>0</v>
      </c>
      <c r="DY184" s="407">
        <v>-3260.629960000002</v>
      </c>
      <c r="DZ184" s="407">
        <v>86.172720000000027</v>
      </c>
      <c r="EA184" s="407">
        <v>0</v>
      </c>
      <c r="EB184" s="407">
        <v>0</v>
      </c>
      <c r="EC184" s="407">
        <v>-3156.7964225682999</v>
      </c>
      <c r="ED184" s="407">
        <v>0</v>
      </c>
      <c r="EE184" s="407">
        <v>0</v>
      </c>
      <c r="EF184" s="407">
        <v>0</v>
      </c>
      <c r="EG184" s="407">
        <v>0</v>
      </c>
      <c r="EH184" s="407">
        <v>0</v>
      </c>
      <c r="EI184" s="407">
        <v>0</v>
      </c>
      <c r="EJ184" s="407">
        <v>0</v>
      </c>
      <c r="EK184" s="407">
        <v>0</v>
      </c>
      <c r="EL184" s="407">
        <v>0</v>
      </c>
      <c r="EM184" s="407">
        <v>0</v>
      </c>
      <c r="EN184" s="407">
        <v>0</v>
      </c>
      <c r="EO184" s="407">
        <v>0</v>
      </c>
      <c r="EP184" s="407">
        <v>0</v>
      </c>
      <c r="EQ184" s="407">
        <v>0</v>
      </c>
      <c r="ER184" s="407">
        <v>0</v>
      </c>
      <c r="ES184" s="407">
        <v>0</v>
      </c>
      <c r="ET184" s="407">
        <v>0</v>
      </c>
      <c r="EU184" s="407">
        <v>0</v>
      </c>
      <c r="EV184" s="407">
        <v>207</v>
      </c>
      <c r="EW184" s="407">
        <v>0</v>
      </c>
      <c r="EX184" s="407">
        <v>0</v>
      </c>
      <c r="EY184" s="407">
        <v>0</v>
      </c>
      <c r="EZ184" s="407"/>
      <c r="FA184" s="407">
        <v>0</v>
      </c>
      <c r="FB184" s="407"/>
      <c r="FC184" s="407"/>
      <c r="FD184" s="407"/>
      <c r="FE184" s="407"/>
      <c r="FF184" s="407">
        <v>0</v>
      </c>
      <c r="FG184" s="407">
        <v>0</v>
      </c>
      <c r="FH184" s="407">
        <v>0</v>
      </c>
      <c r="FI184" s="407">
        <v>0</v>
      </c>
    </row>
    <row r="185" spans="1:165">
      <c r="A185" s="407">
        <v>183</v>
      </c>
      <c r="B185" s="407" t="s">
        <v>1092</v>
      </c>
      <c r="C185" s="407" t="s">
        <v>2305</v>
      </c>
      <c r="D185" s="407" t="s">
        <v>1220</v>
      </c>
      <c r="E185" s="407" t="s">
        <v>1023</v>
      </c>
      <c r="F185" s="407" t="s">
        <v>2312</v>
      </c>
      <c r="G185" s="407" t="s">
        <v>96</v>
      </c>
      <c r="H185" s="407" t="s">
        <v>96</v>
      </c>
      <c r="I185" s="407" t="s">
        <v>96</v>
      </c>
      <c r="J185" s="407" t="s">
        <v>2306</v>
      </c>
      <c r="K185" s="815">
        <v>44621</v>
      </c>
      <c r="L185" s="407">
        <v>0</v>
      </c>
      <c r="M185" s="407">
        <v>0</v>
      </c>
      <c r="N185" s="407">
        <v>7.258</v>
      </c>
      <c r="O185" s="407">
        <v>7.258</v>
      </c>
      <c r="P185" s="407">
        <v>7.258</v>
      </c>
      <c r="Q185" s="407">
        <v>7.258</v>
      </c>
      <c r="R185" s="407"/>
      <c r="S185" s="407">
        <v>640</v>
      </c>
      <c r="T185" s="407">
        <v>127.85</v>
      </c>
      <c r="U185" s="407"/>
      <c r="V185" s="407">
        <v>5573.0553</v>
      </c>
      <c r="W185" s="407">
        <v>5573.0553</v>
      </c>
      <c r="X185" s="407">
        <v>4498.2180799999996</v>
      </c>
      <c r="Y185" s="407">
        <v>0</v>
      </c>
      <c r="Z185" s="407">
        <v>0</v>
      </c>
      <c r="AA185" s="407">
        <v>0</v>
      </c>
      <c r="AB185" s="407">
        <v>0</v>
      </c>
      <c r="AC185" s="407">
        <v>0</v>
      </c>
      <c r="AD185" s="407">
        <v>793.60753538769927</v>
      </c>
      <c r="AE185" s="407">
        <v>3615.698178349609</v>
      </c>
      <c r="AF185" s="407">
        <v>927.91640161217504</v>
      </c>
      <c r="AG185" s="407">
        <v>0</v>
      </c>
      <c r="AH185" s="407">
        <v>0</v>
      </c>
      <c r="AI185" s="407">
        <v>0</v>
      </c>
      <c r="AJ185" s="407">
        <v>0</v>
      </c>
      <c r="AK185" s="407">
        <v>0</v>
      </c>
      <c r="AL185" s="407">
        <v>0</v>
      </c>
      <c r="AM185" s="407"/>
      <c r="AN185" s="407">
        <v>16.626359974502506</v>
      </c>
      <c r="AO185" s="407">
        <v>0</v>
      </c>
      <c r="AP185" s="407">
        <v>0</v>
      </c>
      <c r="AQ185" s="407">
        <v>0</v>
      </c>
      <c r="AR185" s="407">
        <v>0</v>
      </c>
      <c r="AS185" s="407">
        <v>0</v>
      </c>
      <c r="AT185" s="407">
        <v>0</v>
      </c>
      <c r="AU185" s="407">
        <v>0</v>
      </c>
      <c r="AV185" s="407">
        <v>0</v>
      </c>
      <c r="AW185" s="407">
        <v>0</v>
      </c>
      <c r="AX185" s="407">
        <v>0</v>
      </c>
      <c r="AY185" s="407">
        <v>0</v>
      </c>
      <c r="AZ185" s="407">
        <v>0</v>
      </c>
      <c r="BA185" s="407"/>
      <c r="BB185" s="407">
        <v>0</v>
      </c>
      <c r="BC185" s="407">
        <v>0</v>
      </c>
      <c r="BD185" s="407">
        <v>0</v>
      </c>
      <c r="BE185" s="407">
        <v>0</v>
      </c>
      <c r="BF185" s="407">
        <v>0</v>
      </c>
      <c r="BG185" s="407">
        <v>219.17848968222671</v>
      </c>
      <c r="BH185" s="407">
        <v>0</v>
      </c>
      <c r="BI185" s="407">
        <v>23.8</v>
      </c>
      <c r="BJ185" s="407">
        <v>109.8</v>
      </c>
      <c r="BK185" s="407">
        <v>1710.65</v>
      </c>
      <c r="BL185" s="407">
        <v>76</v>
      </c>
      <c r="BM185" s="407"/>
      <c r="BN185" s="407"/>
      <c r="BO185" s="407"/>
      <c r="BP185" s="407"/>
      <c r="BQ185" s="407"/>
      <c r="BR185" s="407"/>
      <c r="BS185" s="407"/>
      <c r="BT185" s="407"/>
      <c r="BU185" s="407"/>
      <c r="BV185" s="407">
        <v>1147.0948912944018</v>
      </c>
      <c r="BW185" s="407"/>
      <c r="BX185" s="407"/>
      <c r="BY185" s="407"/>
      <c r="BZ185" s="407"/>
      <c r="CA185" s="407"/>
      <c r="CB185" s="407"/>
      <c r="CC185" s="407"/>
      <c r="CD185" s="407"/>
      <c r="CE185" s="407"/>
      <c r="CF185" s="407"/>
      <c r="CG185" s="407"/>
      <c r="CH185" s="407"/>
      <c r="CI185" s="407">
        <v>4499.4575999999997</v>
      </c>
      <c r="CJ185" s="407">
        <v>-1073.6277000000009</v>
      </c>
      <c r="CK185" s="407"/>
      <c r="CL185" s="407"/>
      <c r="CM185" s="407"/>
      <c r="CN185" s="407"/>
      <c r="CO185" s="407">
        <v>-1104.0143800000001</v>
      </c>
      <c r="CP185" s="407">
        <v>29.177160000000075</v>
      </c>
      <c r="CQ185" s="407">
        <v>31</v>
      </c>
      <c r="CR185" s="407">
        <v>-5.9217760726908182</v>
      </c>
      <c r="CS185" s="407">
        <v>0</v>
      </c>
      <c r="CT185" s="407">
        <v>0</v>
      </c>
      <c r="CU185" s="407">
        <v>0</v>
      </c>
      <c r="CV185" s="407">
        <v>0</v>
      </c>
      <c r="CW185" s="407">
        <v>0</v>
      </c>
      <c r="CX185" s="407">
        <v>0</v>
      </c>
      <c r="CY185" s="407">
        <v>0</v>
      </c>
      <c r="CZ185" s="407">
        <v>-41.633218933282251</v>
      </c>
      <c r="DA185" s="407">
        <v>0</v>
      </c>
      <c r="DB185" s="407">
        <v>0</v>
      </c>
      <c r="DC185" s="407">
        <v>29.198014329573425</v>
      </c>
      <c r="DD185" s="407">
        <v>0</v>
      </c>
      <c r="DE185" s="407">
        <v>0</v>
      </c>
      <c r="DF185" s="407">
        <v>0</v>
      </c>
      <c r="DG185" s="407">
        <v>6.8967168500924743</v>
      </c>
      <c r="DH185" s="407">
        <v>0</v>
      </c>
      <c r="DI185" s="407">
        <v>0</v>
      </c>
      <c r="DJ185" s="407"/>
      <c r="DK185" s="407">
        <v>0</v>
      </c>
      <c r="DL185" s="407">
        <v>0</v>
      </c>
      <c r="DM185" s="407">
        <v>0</v>
      </c>
      <c r="DN185" s="407">
        <v>0</v>
      </c>
      <c r="DO185" s="407">
        <v>0</v>
      </c>
      <c r="DP185" s="407">
        <v>-0.38328831907436367</v>
      </c>
      <c r="DQ185" s="407">
        <v>0</v>
      </c>
      <c r="DR185" s="407">
        <v>0</v>
      </c>
      <c r="DS185" s="407"/>
      <c r="DT185" s="407"/>
      <c r="DU185" s="407"/>
      <c r="DV185" s="407">
        <v>3615.698178349609</v>
      </c>
      <c r="DW185" s="407">
        <v>0</v>
      </c>
      <c r="DX185" s="407">
        <v>0</v>
      </c>
      <c r="DY185" s="407">
        <v>-1104.0143800000001</v>
      </c>
      <c r="DZ185" s="407">
        <v>29.177160000000072</v>
      </c>
      <c r="EA185" s="407">
        <v>0</v>
      </c>
      <c r="EB185" s="407">
        <v>0</v>
      </c>
      <c r="EC185" s="407">
        <v>-1068.8574563818211</v>
      </c>
      <c r="ED185" s="407">
        <v>0</v>
      </c>
      <c r="EE185" s="407">
        <v>0</v>
      </c>
      <c r="EF185" s="407">
        <v>0</v>
      </c>
      <c r="EG185" s="407">
        <v>0</v>
      </c>
      <c r="EH185" s="407">
        <v>0</v>
      </c>
      <c r="EI185" s="407">
        <v>0</v>
      </c>
      <c r="EJ185" s="407">
        <v>0</v>
      </c>
      <c r="EK185" s="407">
        <v>0</v>
      </c>
      <c r="EL185" s="407">
        <v>0</v>
      </c>
      <c r="EM185" s="407">
        <v>0</v>
      </c>
      <c r="EN185" s="407">
        <v>0</v>
      </c>
      <c r="EO185" s="407">
        <v>0</v>
      </c>
      <c r="EP185" s="407">
        <v>0</v>
      </c>
      <c r="EQ185" s="407">
        <v>0</v>
      </c>
      <c r="ER185" s="407">
        <v>0</v>
      </c>
      <c r="ES185" s="407">
        <v>0</v>
      </c>
      <c r="ET185" s="407">
        <v>0</v>
      </c>
      <c r="EU185" s="407">
        <v>0</v>
      </c>
      <c r="EV185" s="407">
        <v>207</v>
      </c>
      <c r="EW185" s="407">
        <v>0</v>
      </c>
      <c r="EX185" s="407">
        <v>0</v>
      </c>
      <c r="EY185" s="407">
        <v>0</v>
      </c>
      <c r="EZ185" s="407"/>
      <c r="FA185" s="407">
        <v>0</v>
      </c>
      <c r="FB185" s="407"/>
      <c r="FC185" s="407"/>
      <c r="FD185" s="407"/>
      <c r="FE185" s="407"/>
      <c r="FF185" s="407">
        <v>0</v>
      </c>
      <c r="FG185" s="407">
        <v>0</v>
      </c>
      <c r="FH185" s="407">
        <v>0</v>
      </c>
      <c r="FI185" s="407">
        <v>0</v>
      </c>
    </row>
    <row r="186" spans="1:165">
      <c r="A186" s="407">
        <v>184</v>
      </c>
      <c r="B186" s="407" t="s">
        <v>1092</v>
      </c>
      <c r="C186" s="407" t="s">
        <v>2313</v>
      </c>
      <c r="D186" s="407" t="s">
        <v>1220</v>
      </c>
      <c r="E186" s="407" t="s">
        <v>1023</v>
      </c>
      <c r="F186" s="407" t="s">
        <v>1023</v>
      </c>
      <c r="G186" s="407" t="s">
        <v>96</v>
      </c>
      <c r="H186" s="407" t="s">
        <v>96</v>
      </c>
      <c r="I186" s="407" t="s">
        <v>1027</v>
      </c>
      <c r="J186" s="407" t="s">
        <v>2306</v>
      </c>
      <c r="K186" s="815">
        <v>44621</v>
      </c>
      <c r="L186" s="407">
        <v>0</v>
      </c>
      <c r="M186" s="407">
        <v>0</v>
      </c>
      <c r="N186" s="407">
        <v>2.4E-2</v>
      </c>
      <c r="O186" s="407">
        <v>2.4E-2</v>
      </c>
      <c r="P186" s="407">
        <v>2.4E-2</v>
      </c>
      <c r="Q186" s="407">
        <v>2.4E-2</v>
      </c>
      <c r="R186" s="407"/>
      <c r="S186" s="407">
        <v>1864.71</v>
      </c>
      <c r="T186" s="407">
        <v>127.85</v>
      </c>
      <c r="U186" s="407"/>
      <c r="V186" s="407">
        <v>47.821439999999996</v>
      </c>
      <c r="W186" s="407">
        <v>47.821439999999996</v>
      </c>
      <c r="X186" s="407">
        <v>37.253039999999999</v>
      </c>
      <c r="Y186" s="407">
        <v>0</v>
      </c>
      <c r="Z186" s="407">
        <v>1.4658018395117618</v>
      </c>
      <c r="AA186" s="407">
        <v>0</v>
      </c>
      <c r="AB186" s="407">
        <v>0</v>
      </c>
      <c r="AC186" s="407">
        <v>0</v>
      </c>
      <c r="AD186" s="407">
        <v>7.6084638515626315</v>
      </c>
      <c r="AE186" s="407">
        <v>34.672448901600717</v>
      </c>
      <c r="AF186" s="407">
        <v>3.0683375087754481</v>
      </c>
      <c r="AG186" s="407">
        <v>0</v>
      </c>
      <c r="AH186" s="407">
        <v>0</v>
      </c>
      <c r="AI186" s="407">
        <v>0</v>
      </c>
      <c r="AJ186" s="407">
        <v>0</v>
      </c>
      <c r="AK186" s="407">
        <v>0</v>
      </c>
      <c r="AL186" s="407">
        <v>0.22668713799923043</v>
      </c>
      <c r="AM186" s="407"/>
      <c r="AN186" s="407">
        <v>5.4978319011857284E-2</v>
      </c>
      <c r="AO186" s="407">
        <v>0</v>
      </c>
      <c r="AP186" s="407">
        <v>0</v>
      </c>
      <c r="AQ186" s="407">
        <v>0</v>
      </c>
      <c r="AR186" s="407">
        <v>0</v>
      </c>
      <c r="AS186" s="407">
        <v>0</v>
      </c>
      <c r="AT186" s="407">
        <v>0</v>
      </c>
      <c r="AU186" s="407">
        <v>0</v>
      </c>
      <c r="AV186" s="407">
        <v>0</v>
      </c>
      <c r="AW186" s="407">
        <v>0</v>
      </c>
      <c r="AX186" s="407">
        <v>0</v>
      </c>
      <c r="AY186" s="407">
        <v>0</v>
      </c>
      <c r="AZ186" s="407">
        <v>0</v>
      </c>
      <c r="BA186" s="407"/>
      <c r="BB186" s="407">
        <v>0</v>
      </c>
      <c r="BC186" s="407">
        <v>0</v>
      </c>
      <c r="BD186" s="407">
        <v>0</v>
      </c>
      <c r="BE186" s="407">
        <v>0</v>
      </c>
      <c r="BF186" s="407">
        <v>0</v>
      </c>
      <c r="BG186" s="407">
        <v>0.72475664816387997</v>
      </c>
      <c r="BH186" s="407">
        <v>0</v>
      </c>
      <c r="BI186" s="407">
        <v>0</v>
      </c>
      <c r="BJ186" s="407">
        <v>0</v>
      </c>
      <c r="BK186" s="407">
        <v>0</v>
      </c>
      <c r="BL186" s="407">
        <v>0</v>
      </c>
      <c r="BM186" s="407"/>
      <c r="BN186" s="407"/>
      <c r="BO186" s="407"/>
      <c r="BP186" s="407"/>
      <c r="BQ186" s="407"/>
      <c r="BR186" s="407"/>
      <c r="BS186" s="407"/>
      <c r="BT186" s="407"/>
      <c r="BU186" s="407"/>
      <c r="BV186" s="407">
        <v>3.7930941569393282</v>
      </c>
      <c r="BW186" s="407"/>
      <c r="BX186" s="407"/>
      <c r="BY186" s="407"/>
      <c r="BZ186" s="407"/>
      <c r="CA186" s="407"/>
      <c r="CB186" s="407"/>
      <c r="CC186" s="407"/>
      <c r="CD186" s="407"/>
      <c r="CE186" s="407"/>
      <c r="CF186" s="407"/>
      <c r="CG186" s="407"/>
      <c r="CH186" s="407"/>
      <c r="CI186" s="407">
        <v>31.0442</v>
      </c>
      <c r="CJ186" s="407">
        <v>-16.80723999999999</v>
      </c>
      <c r="CK186" s="407"/>
      <c r="CL186" s="407"/>
      <c r="CM186" s="407"/>
      <c r="CN186" s="407"/>
      <c r="CO186" s="407">
        <v>-10.664880000000004</v>
      </c>
      <c r="CP186" s="407">
        <v>9.6480000000000246E-2</v>
      </c>
      <c r="CQ186" s="407">
        <v>31</v>
      </c>
      <c r="CR186" s="407">
        <v>-0.31876558925296372</v>
      </c>
      <c r="CS186" s="407">
        <v>0</v>
      </c>
      <c r="CT186" s="407">
        <v>0</v>
      </c>
      <c r="CU186" s="407">
        <v>0</v>
      </c>
      <c r="CV186" s="407">
        <v>0</v>
      </c>
      <c r="CW186" s="407">
        <v>0</v>
      </c>
      <c r="CX186" s="407">
        <v>0</v>
      </c>
      <c r="CY186" s="407">
        <v>0</v>
      </c>
      <c r="CZ186" s="407">
        <v>-0.39914545559767056</v>
      </c>
      <c r="DA186" s="407">
        <v>0</v>
      </c>
      <c r="DB186" s="407">
        <v>0</v>
      </c>
      <c r="DC186" s="407">
        <v>9.6548958929424167E-2</v>
      </c>
      <c r="DD186" s="407">
        <v>0</v>
      </c>
      <c r="DE186" s="407">
        <v>0</v>
      </c>
      <c r="DF186" s="407">
        <v>0</v>
      </c>
      <c r="DG186" s="407">
        <v>2.2805346431829632E-2</v>
      </c>
      <c r="DH186" s="407">
        <v>0</v>
      </c>
      <c r="DI186" s="407">
        <v>-3.338136971974337E-2</v>
      </c>
      <c r="DJ186" s="407"/>
      <c r="DK186" s="407">
        <v>0</v>
      </c>
      <c r="DL186" s="407">
        <v>0</v>
      </c>
      <c r="DM186" s="407">
        <v>0</v>
      </c>
      <c r="DN186" s="407">
        <v>0</v>
      </c>
      <c r="DO186" s="407">
        <v>-4.3256513224610438E-3</v>
      </c>
      <c r="DP186" s="407">
        <v>-1.2674179743434461E-3</v>
      </c>
      <c r="DQ186" s="407">
        <v>0</v>
      </c>
      <c r="DR186" s="407">
        <v>0</v>
      </c>
      <c r="DS186" s="407"/>
      <c r="DT186" s="407"/>
      <c r="DU186" s="407"/>
      <c r="DV186" s="407">
        <v>34.672448901600717</v>
      </c>
      <c r="DW186" s="407">
        <v>0</v>
      </c>
      <c r="DX186" s="407">
        <v>0</v>
      </c>
      <c r="DY186" s="407">
        <v>-10.664879999999997</v>
      </c>
      <c r="DZ186" s="407">
        <v>9.6480000000000121E-2</v>
      </c>
      <c r="EA186" s="407">
        <v>0</v>
      </c>
      <c r="EB186" s="407">
        <v>0</v>
      </c>
      <c r="EC186" s="407">
        <v>-10.249723210140715</v>
      </c>
      <c r="ED186" s="407">
        <v>0</v>
      </c>
      <c r="EE186" s="407">
        <v>0</v>
      </c>
      <c r="EF186" s="407">
        <v>0</v>
      </c>
      <c r="EG186" s="407">
        <v>0</v>
      </c>
      <c r="EH186" s="407">
        <v>0</v>
      </c>
      <c r="EI186" s="407">
        <v>0</v>
      </c>
      <c r="EJ186" s="407">
        <v>0</v>
      </c>
      <c r="EK186" s="407">
        <v>0</v>
      </c>
      <c r="EL186" s="407">
        <v>0</v>
      </c>
      <c r="EM186" s="407">
        <v>0</v>
      </c>
      <c r="EN186" s="407">
        <v>0</v>
      </c>
      <c r="EO186" s="407">
        <v>0</v>
      </c>
      <c r="EP186" s="407">
        <v>0</v>
      </c>
      <c r="EQ186" s="407">
        <v>0</v>
      </c>
      <c r="ER186" s="407">
        <v>0</v>
      </c>
      <c r="ES186" s="407">
        <v>0</v>
      </c>
      <c r="ET186" s="407">
        <v>0</v>
      </c>
      <c r="EU186" s="407">
        <v>0</v>
      </c>
      <c r="EV186" s="407">
        <v>207</v>
      </c>
      <c r="EW186" s="407">
        <v>0</v>
      </c>
      <c r="EX186" s="407">
        <v>0</v>
      </c>
      <c r="EY186" s="407">
        <v>0</v>
      </c>
      <c r="EZ186" s="407"/>
      <c r="FA186" s="407">
        <v>0</v>
      </c>
      <c r="FB186" s="407"/>
      <c r="FC186" s="407"/>
      <c r="FD186" s="407"/>
      <c r="FE186" s="407"/>
      <c r="FF186" s="407">
        <v>0</v>
      </c>
      <c r="FG186" s="407">
        <v>0</v>
      </c>
      <c r="FH186" s="407">
        <v>0</v>
      </c>
      <c r="FI186" s="407">
        <v>0</v>
      </c>
    </row>
    <row r="187" spans="1:165">
      <c r="A187" s="407">
        <v>185</v>
      </c>
      <c r="B187" s="407" t="s">
        <v>1092</v>
      </c>
      <c r="C187" s="407" t="s">
        <v>2313</v>
      </c>
      <c r="D187" s="407" t="s">
        <v>1220</v>
      </c>
      <c r="E187" s="407" t="s">
        <v>1023</v>
      </c>
      <c r="F187" s="407" t="s">
        <v>1023</v>
      </c>
      <c r="G187" s="407" t="s">
        <v>96</v>
      </c>
      <c r="H187" s="407" t="s">
        <v>96</v>
      </c>
      <c r="I187" s="407" t="s">
        <v>2290</v>
      </c>
      <c r="J187" s="407" t="s">
        <v>2306</v>
      </c>
      <c r="K187" s="815">
        <v>44621</v>
      </c>
      <c r="L187" s="407">
        <v>0</v>
      </c>
      <c r="M187" s="407">
        <v>0</v>
      </c>
      <c r="N187" s="407">
        <v>0.21</v>
      </c>
      <c r="O187" s="407">
        <v>0.21</v>
      </c>
      <c r="P187" s="407">
        <v>0.21</v>
      </c>
      <c r="Q187" s="407">
        <v>0.21</v>
      </c>
      <c r="R187" s="407"/>
      <c r="S187" s="407">
        <v>455.34</v>
      </c>
      <c r="T187" s="407">
        <v>127.85</v>
      </c>
      <c r="U187" s="407"/>
      <c r="V187" s="407">
        <v>122.4699</v>
      </c>
      <c r="W187" s="407">
        <v>122.4699</v>
      </c>
      <c r="X187" s="407">
        <v>104.538</v>
      </c>
      <c r="Y187" s="407">
        <v>0</v>
      </c>
      <c r="Z187" s="407">
        <v>12.825766095727914</v>
      </c>
      <c r="AA187" s="407">
        <v>0</v>
      </c>
      <c r="AB187" s="407">
        <v>0</v>
      </c>
      <c r="AC187" s="407">
        <v>0</v>
      </c>
      <c r="AD187" s="407">
        <v>13.312739832680988</v>
      </c>
      <c r="AE187" s="407">
        <v>60.676752694224447</v>
      </c>
      <c r="AF187" s="407">
        <v>26.847953201785167</v>
      </c>
      <c r="AG187" s="407">
        <v>0</v>
      </c>
      <c r="AH187" s="407">
        <v>0</v>
      </c>
      <c r="AI187" s="407">
        <v>0</v>
      </c>
      <c r="AJ187" s="407">
        <v>0</v>
      </c>
      <c r="AK187" s="407">
        <v>0</v>
      </c>
      <c r="AL187" s="407">
        <v>1.9835124574932661</v>
      </c>
      <c r="AM187" s="407"/>
      <c r="AN187" s="407">
        <v>0.48106029135375122</v>
      </c>
      <c r="AO187" s="407">
        <v>0</v>
      </c>
      <c r="AP187" s="407">
        <v>0</v>
      </c>
      <c r="AQ187" s="407">
        <v>0</v>
      </c>
      <c r="AR187" s="407">
        <v>0</v>
      </c>
      <c r="AS187" s="407">
        <v>0</v>
      </c>
      <c r="AT187" s="407">
        <v>0</v>
      </c>
      <c r="AU187" s="407">
        <v>0</v>
      </c>
      <c r="AV187" s="407">
        <v>0</v>
      </c>
      <c r="AW187" s="407">
        <v>0</v>
      </c>
      <c r="AX187" s="407">
        <v>0</v>
      </c>
      <c r="AY187" s="407">
        <v>0</v>
      </c>
      <c r="AZ187" s="407">
        <v>0</v>
      </c>
      <c r="BA187" s="407"/>
      <c r="BB187" s="407">
        <v>0</v>
      </c>
      <c r="BC187" s="407">
        <v>0</v>
      </c>
      <c r="BD187" s="407">
        <v>0</v>
      </c>
      <c r="BE187" s="407">
        <v>0</v>
      </c>
      <c r="BF187" s="407">
        <v>0</v>
      </c>
      <c r="BG187" s="407">
        <v>6.3416206714339491</v>
      </c>
      <c r="BH187" s="407">
        <v>0</v>
      </c>
      <c r="BI187" s="407">
        <v>0</v>
      </c>
      <c r="BJ187" s="407">
        <v>0</v>
      </c>
      <c r="BK187" s="407">
        <v>0</v>
      </c>
      <c r="BL187" s="407">
        <v>0</v>
      </c>
      <c r="BM187" s="407"/>
      <c r="BN187" s="407"/>
      <c r="BO187" s="407"/>
      <c r="BP187" s="407"/>
      <c r="BQ187" s="407"/>
      <c r="BR187" s="407"/>
      <c r="BS187" s="407"/>
      <c r="BT187" s="407"/>
      <c r="BU187" s="407"/>
      <c r="BV187" s="407">
        <v>33.189573873219118</v>
      </c>
      <c r="BW187" s="407"/>
      <c r="BX187" s="407"/>
      <c r="BY187" s="407"/>
      <c r="BZ187" s="407"/>
      <c r="CA187" s="407"/>
      <c r="CB187" s="407"/>
      <c r="CC187" s="407"/>
      <c r="CD187" s="407"/>
      <c r="CE187" s="407"/>
      <c r="CF187" s="407"/>
      <c r="CG187" s="407"/>
      <c r="CH187" s="407"/>
      <c r="CI187" s="407">
        <v>104.538</v>
      </c>
      <c r="CJ187" s="407">
        <v>-17.961900000000014</v>
      </c>
      <c r="CK187" s="407"/>
      <c r="CL187" s="407"/>
      <c r="CM187" s="407"/>
      <c r="CN187" s="407"/>
      <c r="CO187" s="407">
        <v>-18.776099999999992</v>
      </c>
      <c r="CP187" s="407">
        <v>0.84420000000000217</v>
      </c>
      <c r="CQ187" s="407">
        <v>31</v>
      </c>
      <c r="CR187" s="407">
        <v>4.9279769724037692E-3</v>
      </c>
      <c r="CS187" s="407">
        <v>0</v>
      </c>
      <c r="CT187" s="407">
        <v>0</v>
      </c>
      <c r="CU187" s="407">
        <v>0</v>
      </c>
      <c r="CV187" s="407">
        <v>0</v>
      </c>
      <c r="CW187" s="407">
        <v>0</v>
      </c>
      <c r="CX187" s="407">
        <v>0</v>
      </c>
      <c r="CY187" s="407">
        <v>0</v>
      </c>
      <c r="CZ187" s="407">
        <v>-0.69839585354376688</v>
      </c>
      <c r="DA187" s="407">
        <v>0</v>
      </c>
      <c r="DB187" s="407">
        <v>0</v>
      </c>
      <c r="DC187" s="407">
        <v>0.8448033906324639</v>
      </c>
      <c r="DD187" s="407">
        <v>0</v>
      </c>
      <c r="DE187" s="407">
        <v>0</v>
      </c>
      <c r="DF187" s="407">
        <v>0</v>
      </c>
      <c r="DG187" s="407">
        <v>0.19954678127850922</v>
      </c>
      <c r="DH187" s="407">
        <v>0</v>
      </c>
      <c r="DI187" s="407">
        <v>-0.29208698504775299</v>
      </c>
      <c r="DJ187" s="407"/>
      <c r="DK187" s="407">
        <v>0</v>
      </c>
      <c r="DL187" s="407">
        <v>0</v>
      </c>
      <c r="DM187" s="407">
        <v>0</v>
      </c>
      <c r="DN187" s="407">
        <v>0</v>
      </c>
      <c r="DO187" s="407">
        <v>-3.7849449071534202E-2</v>
      </c>
      <c r="DP187" s="407">
        <v>-1.1089907275505184E-2</v>
      </c>
      <c r="DQ187" s="407">
        <v>0</v>
      </c>
      <c r="DR187" s="407">
        <v>0</v>
      </c>
      <c r="DS187" s="407"/>
      <c r="DT187" s="407"/>
      <c r="DU187" s="407"/>
      <c r="DV187" s="407">
        <v>60.676752694224447</v>
      </c>
      <c r="DW187" s="407">
        <v>0</v>
      </c>
      <c r="DX187" s="407">
        <v>0</v>
      </c>
      <c r="DY187" s="407">
        <v>-18.7761</v>
      </c>
      <c r="DZ187" s="407">
        <v>0.84420000000000073</v>
      </c>
      <c r="EA187" s="407">
        <v>0</v>
      </c>
      <c r="EB187" s="407">
        <v>0</v>
      </c>
      <c r="EC187" s="407">
        <v>-17.937005896841853</v>
      </c>
      <c r="ED187" s="407">
        <v>0</v>
      </c>
      <c r="EE187" s="407">
        <v>0</v>
      </c>
      <c r="EF187" s="407">
        <v>0</v>
      </c>
      <c r="EG187" s="407">
        <v>0</v>
      </c>
      <c r="EH187" s="407">
        <v>0</v>
      </c>
      <c r="EI187" s="407">
        <v>0</v>
      </c>
      <c r="EJ187" s="407">
        <v>0</v>
      </c>
      <c r="EK187" s="407">
        <v>0</v>
      </c>
      <c r="EL187" s="407">
        <v>0</v>
      </c>
      <c r="EM187" s="407">
        <v>0</v>
      </c>
      <c r="EN187" s="407">
        <v>0</v>
      </c>
      <c r="EO187" s="407">
        <v>0</v>
      </c>
      <c r="EP187" s="407">
        <v>0</v>
      </c>
      <c r="EQ187" s="407">
        <v>0</v>
      </c>
      <c r="ER187" s="407">
        <v>0</v>
      </c>
      <c r="ES187" s="407">
        <v>0</v>
      </c>
      <c r="ET187" s="407">
        <v>0</v>
      </c>
      <c r="EU187" s="407">
        <v>0</v>
      </c>
      <c r="EV187" s="407">
        <v>207</v>
      </c>
      <c r="EW187" s="407">
        <v>0</v>
      </c>
      <c r="EX187" s="407">
        <v>0</v>
      </c>
      <c r="EY187" s="407">
        <v>0</v>
      </c>
      <c r="EZ187" s="407"/>
      <c r="FA187" s="407">
        <v>0</v>
      </c>
      <c r="FB187" s="407"/>
      <c r="FC187" s="407"/>
      <c r="FD187" s="407"/>
      <c r="FE187" s="407"/>
      <c r="FF187" s="407">
        <v>0</v>
      </c>
      <c r="FG187" s="407">
        <v>0</v>
      </c>
      <c r="FH187" s="407">
        <v>0</v>
      </c>
      <c r="FI187" s="407">
        <v>0</v>
      </c>
    </row>
    <row r="188" spans="1:165">
      <c r="A188" s="407">
        <v>186</v>
      </c>
      <c r="B188" s="407" t="s">
        <v>2308</v>
      </c>
      <c r="C188" s="407" t="s">
        <v>2313</v>
      </c>
      <c r="D188" s="407" t="s">
        <v>1220</v>
      </c>
      <c r="E188" s="407" t="s">
        <v>1023</v>
      </c>
      <c r="F188" s="407" t="s">
        <v>1023</v>
      </c>
      <c r="G188" s="407" t="s">
        <v>96</v>
      </c>
      <c r="H188" s="407" t="s">
        <v>96</v>
      </c>
      <c r="I188" s="407" t="s">
        <v>96</v>
      </c>
      <c r="J188" s="407" t="s">
        <v>2306</v>
      </c>
      <c r="K188" s="815">
        <v>44621</v>
      </c>
      <c r="L188" s="407">
        <v>0</v>
      </c>
      <c r="M188" s="407">
        <v>0</v>
      </c>
      <c r="N188" s="407">
        <v>0</v>
      </c>
      <c r="O188" s="407">
        <v>0</v>
      </c>
      <c r="P188" s="407">
        <v>0</v>
      </c>
      <c r="Q188" s="407">
        <v>0</v>
      </c>
      <c r="R188" s="407"/>
      <c r="S188" s="407"/>
      <c r="T188" s="407"/>
      <c r="U188" s="407"/>
      <c r="V188" s="407"/>
      <c r="W188" s="407"/>
      <c r="X188" s="407"/>
      <c r="Y188" s="407"/>
      <c r="Z188" s="407"/>
      <c r="AA188" s="407">
        <v>0</v>
      </c>
      <c r="AB188" s="407"/>
      <c r="AC188" s="407"/>
      <c r="AD188" s="407"/>
      <c r="AE188" s="407"/>
      <c r="AF188" s="407"/>
      <c r="AG188" s="407"/>
      <c r="AH188" s="407"/>
      <c r="AI188" s="407"/>
      <c r="AJ188" s="407"/>
      <c r="AK188" s="407"/>
      <c r="AL188" s="407"/>
      <c r="AM188" s="407"/>
      <c r="AN188" s="407"/>
      <c r="AO188" s="407"/>
      <c r="AP188" s="407"/>
      <c r="AQ188" s="407"/>
      <c r="AR188" s="407"/>
      <c r="AS188" s="407"/>
      <c r="AT188" s="407"/>
      <c r="AU188" s="407"/>
      <c r="AV188" s="407"/>
      <c r="AW188" s="407"/>
      <c r="AX188" s="407"/>
      <c r="AY188" s="407"/>
      <c r="AZ188" s="407">
        <v>0</v>
      </c>
      <c r="BA188" s="407"/>
      <c r="BB188" s="407"/>
      <c r="BC188" s="407"/>
      <c r="BD188" s="407"/>
      <c r="BE188" s="407"/>
      <c r="BF188" s="407"/>
      <c r="BG188" s="407"/>
      <c r="BH188" s="407"/>
      <c r="BI188" s="407">
        <v>0.13</v>
      </c>
      <c r="BJ188" s="407">
        <v>0.63</v>
      </c>
      <c r="BK188" s="407">
        <v>79.56</v>
      </c>
      <c r="BL188" s="407">
        <v>1</v>
      </c>
      <c r="BM188" s="407"/>
      <c r="BN188" s="407"/>
      <c r="BO188" s="407"/>
      <c r="BP188" s="407"/>
      <c r="BQ188" s="407"/>
      <c r="BR188" s="407"/>
      <c r="BS188" s="407"/>
      <c r="BT188" s="407"/>
      <c r="BU188" s="407"/>
      <c r="BV188" s="407"/>
      <c r="BW188" s="407"/>
      <c r="BX188" s="407"/>
      <c r="BY188" s="407"/>
      <c r="BZ188" s="407"/>
      <c r="CA188" s="407"/>
      <c r="CB188" s="407"/>
      <c r="CC188" s="407"/>
      <c r="CD188" s="407"/>
      <c r="CE188" s="407"/>
      <c r="CF188" s="407"/>
      <c r="CG188" s="407"/>
      <c r="CH188" s="407"/>
      <c r="CI188" s="407"/>
      <c r="CJ188" s="407">
        <v>-0.03</v>
      </c>
      <c r="CK188" s="407"/>
      <c r="CL188" s="407"/>
      <c r="CM188" s="407"/>
      <c r="CN188" s="407"/>
      <c r="CO188" s="407">
        <v>0</v>
      </c>
      <c r="CP188" s="407">
        <v>0</v>
      </c>
      <c r="CQ188" s="407">
        <v>31</v>
      </c>
      <c r="CR188" s="407"/>
      <c r="CS188" s="407"/>
      <c r="CT188" s="407"/>
      <c r="CU188" s="407"/>
      <c r="CV188" s="407"/>
      <c r="CW188" s="407"/>
      <c r="CX188" s="407"/>
      <c r="CY188" s="407"/>
      <c r="CZ188" s="407"/>
      <c r="DA188" s="407"/>
      <c r="DB188" s="407"/>
      <c r="DC188" s="407"/>
      <c r="DD188" s="407"/>
      <c r="DE188" s="407"/>
      <c r="DF188" s="407"/>
      <c r="DG188" s="407"/>
      <c r="DH188" s="407"/>
      <c r="DI188" s="407"/>
      <c r="DJ188" s="407"/>
      <c r="DK188" s="407">
        <v>0</v>
      </c>
      <c r="DL188" s="407"/>
      <c r="DM188" s="407"/>
      <c r="DN188" s="407"/>
      <c r="DO188" s="407"/>
      <c r="DP188" s="407"/>
      <c r="DQ188" s="407"/>
      <c r="DR188" s="407"/>
      <c r="DS188" s="407"/>
      <c r="DT188" s="407"/>
      <c r="DU188" s="407"/>
      <c r="DV188" s="407"/>
      <c r="DW188" s="407"/>
      <c r="DX188" s="407"/>
      <c r="DY188" s="407"/>
      <c r="DZ188" s="407"/>
      <c r="EA188" s="407"/>
      <c r="EB188" s="407"/>
      <c r="EC188" s="407"/>
      <c r="ED188" s="407"/>
      <c r="EE188" s="407"/>
      <c r="EF188" s="407"/>
      <c r="EG188" s="407"/>
      <c r="EH188" s="407"/>
      <c r="EI188" s="407"/>
      <c r="EJ188" s="407"/>
      <c r="EK188" s="407"/>
      <c r="EL188" s="407"/>
      <c r="EM188" s="407"/>
      <c r="EN188" s="407"/>
      <c r="EO188" s="407"/>
      <c r="EP188" s="407"/>
      <c r="EQ188" s="407"/>
      <c r="ER188" s="407"/>
      <c r="ES188" s="407"/>
      <c r="ET188" s="407"/>
      <c r="EU188" s="407"/>
      <c r="EV188" s="407">
        <v>207</v>
      </c>
      <c r="EW188" s="407"/>
      <c r="EX188" s="407"/>
      <c r="EY188" s="407"/>
      <c r="EZ188" s="407"/>
      <c r="FA188" s="407">
        <v>0</v>
      </c>
      <c r="FB188" s="407"/>
      <c r="FC188" s="407"/>
      <c r="FD188" s="407"/>
      <c r="FE188" s="407"/>
      <c r="FF188" s="407">
        <v>0</v>
      </c>
      <c r="FG188" s="407">
        <v>0</v>
      </c>
      <c r="FH188" s="407">
        <v>0</v>
      </c>
      <c r="FI188" s="407">
        <v>0</v>
      </c>
    </row>
    <row r="189" spans="1:165">
      <c r="A189" s="407">
        <v>187</v>
      </c>
      <c r="B189" s="407" t="s">
        <v>1092</v>
      </c>
      <c r="C189" s="407" t="s">
        <v>2313</v>
      </c>
      <c r="D189" s="407" t="s">
        <v>1220</v>
      </c>
      <c r="E189" s="407" t="s">
        <v>1023</v>
      </c>
      <c r="F189" s="407" t="s">
        <v>1023</v>
      </c>
      <c r="G189" s="407" t="s">
        <v>96</v>
      </c>
      <c r="H189" s="407" t="s">
        <v>96</v>
      </c>
      <c r="I189" s="407" t="s">
        <v>2314</v>
      </c>
      <c r="J189" s="407" t="s">
        <v>2306</v>
      </c>
      <c r="K189" s="815">
        <v>44621</v>
      </c>
      <c r="L189" s="407">
        <v>0</v>
      </c>
      <c r="M189" s="407">
        <v>0</v>
      </c>
      <c r="N189" s="407">
        <v>1.4999999999999999E-2</v>
      </c>
      <c r="O189" s="407">
        <v>1.4999999999999999E-2</v>
      </c>
      <c r="P189" s="407">
        <v>1.4999999999999999E-2</v>
      </c>
      <c r="Q189" s="407">
        <v>1.4999999999999999E-2</v>
      </c>
      <c r="R189" s="407"/>
      <c r="S189" s="407">
        <v>1160</v>
      </c>
      <c r="T189" s="407">
        <v>127.85</v>
      </c>
      <c r="U189" s="407"/>
      <c r="V189" s="407">
        <v>19.317749999999997</v>
      </c>
      <c r="W189" s="407">
        <v>19.317749999999997</v>
      </c>
      <c r="X189" s="407">
        <v>15.374699999999999</v>
      </c>
      <c r="Y189" s="407">
        <v>0</v>
      </c>
      <c r="Z189" s="407">
        <v>0.91612614969485096</v>
      </c>
      <c r="AA189" s="407">
        <v>0</v>
      </c>
      <c r="AB189" s="407">
        <v>0</v>
      </c>
      <c r="AC189" s="407">
        <v>0</v>
      </c>
      <c r="AD189" s="407">
        <v>2.8527315057438147</v>
      </c>
      <c r="AE189" s="407">
        <v>13.002166324820084</v>
      </c>
      <c r="AF189" s="407">
        <v>1.9177109429846548</v>
      </c>
      <c r="AG189" s="407">
        <v>0</v>
      </c>
      <c r="AH189" s="407">
        <v>0</v>
      </c>
      <c r="AI189" s="407">
        <v>0</v>
      </c>
      <c r="AJ189" s="407">
        <v>0</v>
      </c>
      <c r="AK189" s="407">
        <v>0</v>
      </c>
      <c r="AL189" s="407">
        <v>0.141679461249519</v>
      </c>
      <c r="AM189" s="407"/>
      <c r="AN189" s="407">
        <v>3.43614493824108E-2</v>
      </c>
      <c r="AO189" s="407">
        <v>0</v>
      </c>
      <c r="AP189" s="407">
        <v>0</v>
      </c>
      <c r="AQ189" s="407">
        <v>0</v>
      </c>
      <c r="AR189" s="407">
        <v>0</v>
      </c>
      <c r="AS189" s="407">
        <v>0</v>
      </c>
      <c r="AT189" s="407">
        <v>0</v>
      </c>
      <c r="AU189" s="407">
        <v>0</v>
      </c>
      <c r="AV189" s="407">
        <v>0</v>
      </c>
      <c r="AW189" s="407">
        <v>0</v>
      </c>
      <c r="AX189" s="407">
        <v>0</v>
      </c>
      <c r="AY189" s="407">
        <v>0</v>
      </c>
      <c r="AZ189" s="407">
        <v>0</v>
      </c>
      <c r="BA189" s="407"/>
      <c r="BB189" s="407">
        <v>0</v>
      </c>
      <c r="BC189" s="407">
        <v>0</v>
      </c>
      <c r="BD189" s="407">
        <v>0</v>
      </c>
      <c r="BE189" s="407">
        <v>0</v>
      </c>
      <c r="BF189" s="407">
        <v>0</v>
      </c>
      <c r="BG189" s="407">
        <v>0.45297290510242494</v>
      </c>
      <c r="BH189" s="407">
        <v>0</v>
      </c>
      <c r="BI189" s="407">
        <v>0</v>
      </c>
      <c r="BJ189" s="407">
        <v>0</v>
      </c>
      <c r="BK189" s="407">
        <v>0</v>
      </c>
      <c r="BL189" s="407">
        <v>0</v>
      </c>
      <c r="BM189" s="407"/>
      <c r="BN189" s="407"/>
      <c r="BO189" s="407"/>
      <c r="BP189" s="407"/>
      <c r="BQ189" s="407"/>
      <c r="BR189" s="407"/>
      <c r="BS189" s="407"/>
      <c r="BT189" s="407"/>
      <c r="BU189" s="407"/>
      <c r="BV189" s="407">
        <v>2.3706838480870798</v>
      </c>
      <c r="BW189" s="407"/>
      <c r="BX189" s="407"/>
      <c r="BY189" s="407"/>
      <c r="BZ189" s="407"/>
      <c r="CA189" s="407"/>
      <c r="CB189" s="407"/>
      <c r="CC189" s="407"/>
      <c r="CD189" s="407"/>
      <c r="CE189" s="407"/>
      <c r="CF189" s="407"/>
      <c r="CG189" s="407"/>
      <c r="CH189" s="407"/>
      <c r="CI189" s="407">
        <v>20.499600000000001</v>
      </c>
      <c r="CJ189" s="407">
        <v>1.1518499999999996</v>
      </c>
      <c r="CK189" s="407"/>
      <c r="CL189" s="407"/>
      <c r="CM189" s="407"/>
      <c r="CN189" s="407"/>
      <c r="CO189" s="407">
        <v>-4.0033499999999993</v>
      </c>
      <c r="CP189" s="407">
        <v>6.0300000000000152E-2</v>
      </c>
      <c r="CQ189" s="407">
        <v>31</v>
      </c>
      <c r="CR189" s="407">
        <v>-9.9418918738694906E-2</v>
      </c>
      <c r="CS189" s="407">
        <v>0</v>
      </c>
      <c r="CT189" s="407">
        <v>0</v>
      </c>
      <c r="CU189" s="407">
        <v>0</v>
      </c>
      <c r="CV189" s="407">
        <v>0</v>
      </c>
      <c r="CW189" s="407">
        <v>0</v>
      </c>
      <c r="CX189" s="407">
        <v>0</v>
      </c>
      <c r="CY189" s="407">
        <v>0</v>
      </c>
      <c r="CZ189" s="407">
        <v>-0.1496563352041349</v>
      </c>
      <c r="DA189" s="407">
        <v>0</v>
      </c>
      <c r="DB189" s="407">
        <v>0</v>
      </c>
      <c r="DC189" s="407">
        <v>6.0343099330890215E-2</v>
      </c>
      <c r="DD189" s="407">
        <v>0</v>
      </c>
      <c r="DE189" s="407">
        <v>0</v>
      </c>
      <c r="DF189" s="407">
        <v>0</v>
      </c>
      <c r="DG189" s="407">
        <v>1.4253341519893548E-2</v>
      </c>
      <c r="DH189" s="407">
        <v>0</v>
      </c>
      <c r="DI189" s="407">
        <v>-2.0863356074839468E-2</v>
      </c>
      <c r="DJ189" s="407"/>
      <c r="DK189" s="407">
        <v>0</v>
      </c>
      <c r="DL189" s="407">
        <v>0</v>
      </c>
      <c r="DM189" s="407">
        <v>0</v>
      </c>
      <c r="DN189" s="407">
        <v>0</v>
      </c>
      <c r="DO189" s="407">
        <v>-2.7035320765381454E-3</v>
      </c>
      <c r="DP189" s="407">
        <v>-7.9213623396465205E-4</v>
      </c>
      <c r="DQ189" s="407">
        <v>0</v>
      </c>
      <c r="DR189" s="407">
        <v>0</v>
      </c>
      <c r="DS189" s="407"/>
      <c r="DT189" s="407"/>
      <c r="DU189" s="407"/>
      <c r="DV189" s="407">
        <v>13.002166324820084</v>
      </c>
      <c r="DW189" s="407">
        <v>0</v>
      </c>
      <c r="DX189" s="407">
        <v>0</v>
      </c>
      <c r="DY189" s="407">
        <v>-4.0033499999999993</v>
      </c>
      <c r="DZ189" s="407">
        <v>6.0300000000000242E-2</v>
      </c>
      <c r="EA189" s="407">
        <v>0</v>
      </c>
      <c r="EB189" s="407">
        <v>0</v>
      </c>
      <c r="EC189" s="407">
        <v>-3.8436456086453834</v>
      </c>
      <c r="ED189" s="407">
        <v>0</v>
      </c>
      <c r="EE189" s="407">
        <v>0</v>
      </c>
      <c r="EF189" s="407">
        <v>0</v>
      </c>
      <c r="EG189" s="407">
        <v>0</v>
      </c>
      <c r="EH189" s="407">
        <v>0</v>
      </c>
      <c r="EI189" s="407">
        <v>0</v>
      </c>
      <c r="EJ189" s="407">
        <v>0</v>
      </c>
      <c r="EK189" s="407">
        <v>0</v>
      </c>
      <c r="EL189" s="407">
        <v>0</v>
      </c>
      <c r="EM189" s="407">
        <v>0</v>
      </c>
      <c r="EN189" s="407">
        <v>0</v>
      </c>
      <c r="EO189" s="407">
        <v>0</v>
      </c>
      <c r="EP189" s="407">
        <v>0</v>
      </c>
      <c r="EQ189" s="407">
        <v>0</v>
      </c>
      <c r="ER189" s="407">
        <v>0</v>
      </c>
      <c r="ES189" s="407">
        <v>0</v>
      </c>
      <c r="ET189" s="407">
        <v>0</v>
      </c>
      <c r="EU189" s="407">
        <v>0</v>
      </c>
      <c r="EV189" s="407">
        <v>207</v>
      </c>
      <c r="EW189" s="407">
        <v>0</v>
      </c>
      <c r="EX189" s="407">
        <v>0</v>
      </c>
      <c r="EY189" s="407">
        <v>0</v>
      </c>
      <c r="EZ189" s="407"/>
      <c r="FA189" s="407">
        <v>0</v>
      </c>
      <c r="FB189" s="407"/>
      <c r="FC189" s="407"/>
      <c r="FD189" s="407"/>
      <c r="FE189" s="407"/>
      <c r="FF189" s="407">
        <v>0</v>
      </c>
      <c r="FG189" s="407">
        <v>0</v>
      </c>
      <c r="FH189" s="407">
        <v>0</v>
      </c>
      <c r="FI189" s="407">
        <v>0</v>
      </c>
    </row>
    <row r="190" spans="1:165">
      <c r="A190" s="407">
        <v>188</v>
      </c>
      <c r="B190" s="407" t="s">
        <v>1092</v>
      </c>
      <c r="C190" s="407" t="s">
        <v>2315</v>
      </c>
      <c r="D190" s="407" t="s">
        <v>648</v>
      </c>
      <c r="E190" s="407" t="s">
        <v>1024</v>
      </c>
      <c r="F190" s="407" t="s">
        <v>96</v>
      </c>
      <c r="G190" s="407" t="s">
        <v>96</v>
      </c>
      <c r="H190" s="407" t="s">
        <v>96</v>
      </c>
      <c r="I190" s="407" t="s">
        <v>1027</v>
      </c>
      <c r="J190" s="407" t="s">
        <v>2306</v>
      </c>
      <c r="K190" s="815">
        <v>44621</v>
      </c>
      <c r="L190" s="407">
        <v>0</v>
      </c>
      <c r="M190" s="407">
        <v>0</v>
      </c>
      <c r="N190" s="407">
        <v>7.2510000000000003</v>
      </c>
      <c r="O190" s="407">
        <v>7.2510000000000003</v>
      </c>
      <c r="P190" s="407">
        <v>7.2510000000000003</v>
      </c>
      <c r="Q190" s="407">
        <v>7.2510000000000003</v>
      </c>
      <c r="R190" s="407"/>
      <c r="S190" s="407">
        <v>2075.9499999999998</v>
      </c>
      <c r="T190" s="407">
        <v>127.85</v>
      </c>
      <c r="U190" s="407"/>
      <c r="V190" s="407">
        <v>15979.753799999999</v>
      </c>
      <c r="W190" s="407">
        <v>15979.753799999999</v>
      </c>
      <c r="X190" s="407">
        <v>12808.23891</v>
      </c>
      <c r="Y190" s="407">
        <v>0</v>
      </c>
      <c r="Z190" s="407">
        <v>385.28418126336749</v>
      </c>
      <c r="AA190" s="407">
        <v>0</v>
      </c>
      <c r="AB190" s="407">
        <v>0</v>
      </c>
      <c r="AC190" s="407">
        <v>0</v>
      </c>
      <c r="AD190" s="407">
        <v>4568.1946603059723</v>
      </c>
      <c r="AE190" s="407">
        <v>9985.8143885363825</v>
      </c>
      <c r="AF190" s="407">
        <v>927.0214698387822</v>
      </c>
      <c r="AG190" s="407">
        <v>0</v>
      </c>
      <c r="AH190" s="407">
        <v>0</v>
      </c>
      <c r="AI190" s="407">
        <v>0</v>
      </c>
      <c r="AJ190" s="407">
        <v>0</v>
      </c>
      <c r="AK190" s="407">
        <v>0</v>
      </c>
      <c r="AL190" s="407">
        <v>68.48785156801749</v>
      </c>
      <c r="AM190" s="407"/>
      <c r="AN190" s="407">
        <v>7.2829342168647271</v>
      </c>
      <c r="AO190" s="407">
        <v>0</v>
      </c>
      <c r="AP190" s="407">
        <v>0</v>
      </c>
      <c r="AQ190" s="407">
        <v>0</v>
      </c>
      <c r="AR190" s="407">
        <v>0</v>
      </c>
      <c r="AS190" s="407">
        <v>0</v>
      </c>
      <c r="AT190" s="407">
        <v>0</v>
      </c>
      <c r="AU190" s="407">
        <v>0</v>
      </c>
      <c r="AV190" s="407">
        <v>0</v>
      </c>
      <c r="AW190" s="407">
        <v>0</v>
      </c>
      <c r="AX190" s="407">
        <v>0</v>
      </c>
      <c r="AY190" s="407">
        <v>0</v>
      </c>
      <c r="AZ190" s="407">
        <v>0</v>
      </c>
      <c r="BA190" s="407"/>
      <c r="BB190" s="407">
        <v>0</v>
      </c>
      <c r="BC190" s="407">
        <v>0</v>
      </c>
      <c r="BD190" s="407">
        <v>0</v>
      </c>
      <c r="BE190" s="407">
        <v>0</v>
      </c>
      <c r="BF190" s="407">
        <v>0</v>
      </c>
      <c r="BG190" s="407">
        <v>37.644164532743581</v>
      </c>
      <c r="BH190" s="407">
        <v>0</v>
      </c>
      <c r="BI190" s="407">
        <v>0</v>
      </c>
      <c r="BJ190" s="407">
        <v>0</v>
      </c>
      <c r="BK190" s="407">
        <v>0</v>
      </c>
      <c r="BL190" s="407">
        <v>0</v>
      </c>
      <c r="BM190" s="407"/>
      <c r="BN190" s="407"/>
      <c r="BO190" s="407"/>
      <c r="BP190" s="407"/>
      <c r="BQ190" s="407"/>
      <c r="BR190" s="407"/>
      <c r="BS190" s="407"/>
      <c r="BT190" s="407"/>
      <c r="BU190" s="407"/>
      <c r="BV190" s="407">
        <v>964.66563437152581</v>
      </c>
      <c r="BW190" s="407"/>
      <c r="BX190" s="407"/>
      <c r="BY190" s="407"/>
      <c r="BZ190" s="407"/>
      <c r="CA190" s="407"/>
      <c r="CB190" s="407"/>
      <c r="CC190" s="407"/>
      <c r="CD190" s="407"/>
      <c r="CE190" s="407"/>
      <c r="CF190" s="407"/>
      <c r="CG190" s="407"/>
      <c r="CH190" s="407"/>
      <c r="CI190" s="407">
        <v>12806.4725</v>
      </c>
      <c r="CJ190" s="407">
        <v>-3173.3112999999994</v>
      </c>
      <c r="CK190" s="407"/>
      <c r="CL190" s="407"/>
      <c r="CM190" s="407"/>
      <c r="CN190" s="407"/>
      <c r="CO190" s="407">
        <v>-3200.6639099999993</v>
      </c>
      <c r="CP190" s="407">
        <v>29.149020000000075</v>
      </c>
      <c r="CQ190" s="407">
        <v>31</v>
      </c>
      <c r="CR190" s="407">
        <v>-219.54541835384953</v>
      </c>
      <c r="CS190" s="407">
        <v>0</v>
      </c>
      <c r="CT190" s="407">
        <v>0</v>
      </c>
      <c r="CU190" s="407">
        <v>0</v>
      </c>
      <c r="CV190" s="407">
        <v>0</v>
      </c>
      <c r="CW190" s="407">
        <v>0</v>
      </c>
      <c r="CX190" s="407">
        <v>0</v>
      </c>
      <c r="CY190" s="407">
        <v>0</v>
      </c>
      <c r="CZ190" s="407">
        <v>-239.65075927544149</v>
      </c>
      <c r="DA190" s="407">
        <v>0</v>
      </c>
      <c r="DB190" s="407">
        <v>0</v>
      </c>
      <c r="DC190" s="407">
        <v>29.16985421655238</v>
      </c>
      <c r="DD190" s="407">
        <v>0</v>
      </c>
      <c r="DE190" s="407">
        <v>0</v>
      </c>
      <c r="DF190" s="407">
        <v>0</v>
      </c>
      <c r="DG190" s="407">
        <v>1.1845192665440223</v>
      </c>
      <c r="DH190" s="407">
        <v>0</v>
      </c>
      <c r="DI190" s="407">
        <v>-8.7742513041231405</v>
      </c>
      <c r="DJ190" s="407"/>
      <c r="DK190" s="407">
        <v>0</v>
      </c>
      <c r="DL190" s="407">
        <v>0</v>
      </c>
      <c r="DM190" s="407">
        <v>0</v>
      </c>
      <c r="DN190" s="407">
        <v>0</v>
      </c>
      <c r="DO190" s="407">
        <v>-1.306887405798534</v>
      </c>
      <c r="DP190" s="407">
        <v>-0.16789385158219883</v>
      </c>
      <c r="DQ190" s="407">
        <v>0</v>
      </c>
      <c r="DR190" s="407">
        <v>0</v>
      </c>
      <c r="DS190" s="407"/>
      <c r="DT190" s="407"/>
      <c r="DU190" s="407"/>
      <c r="DV190" s="407">
        <v>9985.8143885363825</v>
      </c>
      <c r="DW190" s="407">
        <v>0</v>
      </c>
      <c r="DX190" s="407">
        <v>0</v>
      </c>
      <c r="DY190" s="407">
        <v>-3200.6639099999993</v>
      </c>
      <c r="DZ190" s="407">
        <v>29.149020000000064</v>
      </c>
      <c r="EA190" s="407">
        <v>0</v>
      </c>
      <c r="EB190" s="407">
        <v>0</v>
      </c>
      <c r="EC190" s="407">
        <v>-2951.9643622753465</v>
      </c>
      <c r="ED190" s="407">
        <v>0</v>
      </c>
      <c r="EE190" s="407">
        <v>0</v>
      </c>
      <c r="EF190" s="407">
        <v>0</v>
      </c>
      <c r="EG190" s="407">
        <v>0</v>
      </c>
      <c r="EH190" s="407">
        <v>0</v>
      </c>
      <c r="EI190" s="407">
        <v>0</v>
      </c>
      <c r="EJ190" s="407">
        <v>0</v>
      </c>
      <c r="EK190" s="407">
        <v>0</v>
      </c>
      <c r="EL190" s="407">
        <v>0</v>
      </c>
      <c r="EM190" s="407">
        <v>0</v>
      </c>
      <c r="EN190" s="407">
        <v>0</v>
      </c>
      <c r="EO190" s="407">
        <v>0</v>
      </c>
      <c r="EP190" s="407">
        <v>0</v>
      </c>
      <c r="EQ190" s="407">
        <v>0</v>
      </c>
      <c r="ER190" s="407">
        <v>0</v>
      </c>
      <c r="ES190" s="407">
        <v>0</v>
      </c>
      <c r="ET190" s="407">
        <v>0</v>
      </c>
      <c r="EU190" s="407">
        <v>0</v>
      </c>
      <c r="EV190" s="407">
        <v>207</v>
      </c>
      <c r="EW190" s="407">
        <v>0</v>
      </c>
      <c r="EX190" s="407">
        <v>0</v>
      </c>
      <c r="EY190" s="407">
        <v>0</v>
      </c>
      <c r="EZ190" s="407"/>
      <c r="FA190" s="407">
        <v>0</v>
      </c>
      <c r="FB190" s="407"/>
      <c r="FC190" s="407"/>
      <c r="FD190" s="407"/>
      <c r="FE190" s="407"/>
      <c r="FF190" s="407">
        <v>0</v>
      </c>
      <c r="FG190" s="407">
        <v>0</v>
      </c>
      <c r="FH190" s="407">
        <v>0</v>
      </c>
      <c r="FI190" s="407">
        <v>0</v>
      </c>
    </row>
    <row r="191" spans="1:165">
      <c r="A191" s="407">
        <v>189</v>
      </c>
      <c r="B191" s="407" t="s">
        <v>1092</v>
      </c>
      <c r="C191" s="407" t="s">
        <v>2315</v>
      </c>
      <c r="D191" s="407" t="s">
        <v>648</v>
      </c>
      <c r="E191" s="407" t="s">
        <v>1024</v>
      </c>
      <c r="F191" s="407" t="s">
        <v>96</v>
      </c>
      <c r="G191" s="407" t="s">
        <v>96</v>
      </c>
      <c r="H191" s="407" t="s">
        <v>96</v>
      </c>
      <c r="I191" s="407" t="s">
        <v>2290</v>
      </c>
      <c r="J191" s="407" t="s">
        <v>2306</v>
      </c>
      <c r="K191" s="815">
        <v>44621</v>
      </c>
      <c r="L191" s="407">
        <v>0</v>
      </c>
      <c r="M191" s="407">
        <v>0</v>
      </c>
      <c r="N191" s="407">
        <v>134.363</v>
      </c>
      <c r="O191" s="407">
        <v>134.363</v>
      </c>
      <c r="P191" s="407">
        <v>134.363</v>
      </c>
      <c r="Q191" s="407">
        <v>134.363</v>
      </c>
      <c r="R191" s="407"/>
      <c r="S191" s="407">
        <v>68.78</v>
      </c>
      <c r="T191" s="407">
        <v>127.85</v>
      </c>
      <c r="U191" s="407"/>
      <c r="V191" s="407">
        <v>26419.796689999996</v>
      </c>
      <c r="W191" s="407">
        <v>26419.796689999996</v>
      </c>
      <c r="X191" s="407">
        <v>26791.982200000002</v>
      </c>
      <c r="Y191" s="407">
        <v>0</v>
      </c>
      <c r="Z191" s="407">
        <v>7139.4205553840629</v>
      </c>
      <c r="AA191" s="407">
        <v>0</v>
      </c>
      <c r="AB191" s="407">
        <v>0</v>
      </c>
      <c r="AC191" s="407">
        <v>0</v>
      </c>
      <c r="AD191" s="407">
        <v>0</v>
      </c>
      <c r="AE191" s="407">
        <v>0</v>
      </c>
      <c r="AF191" s="407">
        <v>17177.959695483147</v>
      </c>
      <c r="AG191" s="407">
        <v>0</v>
      </c>
      <c r="AH191" s="407">
        <v>0</v>
      </c>
      <c r="AI191" s="407">
        <v>0</v>
      </c>
      <c r="AJ191" s="407">
        <v>0</v>
      </c>
      <c r="AK191" s="407">
        <v>0</v>
      </c>
      <c r="AL191" s="407">
        <v>1269.0984967912748</v>
      </c>
      <c r="AM191" s="407"/>
      <c r="AN191" s="407">
        <v>134.95474971460425</v>
      </c>
      <c r="AO191" s="407">
        <v>0</v>
      </c>
      <c r="AP191" s="407">
        <v>0</v>
      </c>
      <c r="AQ191" s="407">
        <v>0</v>
      </c>
      <c r="AR191" s="407">
        <v>0</v>
      </c>
      <c r="AS191" s="407">
        <v>0</v>
      </c>
      <c r="AT191" s="407">
        <v>0</v>
      </c>
      <c r="AU191" s="407">
        <v>0</v>
      </c>
      <c r="AV191" s="407">
        <v>0</v>
      </c>
      <c r="AW191" s="407">
        <v>0</v>
      </c>
      <c r="AX191" s="407">
        <v>0</v>
      </c>
      <c r="AY191" s="407">
        <v>0</v>
      </c>
      <c r="AZ191" s="407">
        <v>0</v>
      </c>
      <c r="BA191" s="407"/>
      <c r="BB191" s="407">
        <v>0</v>
      </c>
      <c r="BC191" s="407">
        <v>0</v>
      </c>
      <c r="BD191" s="407">
        <v>0</v>
      </c>
      <c r="BE191" s="407">
        <v>0</v>
      </c>
      <c r="BF191" s="407">
        <v>0</v>
      </c>
      <c r="BG191" s="407">
        <v>697.55659620921597</v>
      </c>
      <c r="BH191" s="407">
        <v>0</v>
      </c>
      <c r="BI191" s="407">
        <v>0</v>
      </c>
      <c r="BJ191" s="407">
        <v>0</v>
      </c>
      <c r="BK191" s="407">
        <v>0</v>
      </c>
      <c r="BL191" s="407">
        <v>0</v>
      </c>
      <c r="BM191" s="407"/>
      <c r="BN191" s="407"/>
      <c r="BO191" s="407"/>
      <c r="BP191" s="407"/>
      <c r="BQ191" s="407"/>
      <c r="BR191" s="407"/>
      <c r="BS191" s="407"/>
      <c r="BT191" s="407"/>
      <c r="BU191" s="407"/>
      <c r="BV191" s="407">
        <v>17875.516291692362</v>
      </c>
      <c r="BW191" s="407"/>
      <c r="BX191" s="407"/>
      <c r="BY191" s="407"/>
      <c r="BZ191" s="407"/>
      <c r="CA191" s="407"/>
      <c r="CB191" s="407"/>
      <c r="CC191" s="407"/>
      <c r="CD191" s="407"/>
      <c r="CE191" s="407"/>
      <c r="CF191" s="407"/>
      <c r="CG191" s="407"/>
      <c r="CH191" s="407"/>
      <c r="CI191" s="407">
        <v>26791.384000000005</v>
      </c>
      <c r="CJ191" s="407">
        <v>371.55731000000742</v>
      </c>
      <c r="CK191" s="407"/>
      <c r="CL191" s="407"/>
      <c r="CM191" s="407"/>
      <c r="CN191" s="407"/>
      <c r="CO191" s="407">
        <v>-167.95375000000001</v>
      </c>
      <c r="CP191" s="407">
        <v>540.1392600000014</v>
      </c>
      <c r="CQ191" s="407">
        <v>31</v>
      </c>
      <c r="CR191" s="407">
        <v>372.55742963010925</v>
      </c>
      <c r="CS191" s="407">
        <v>0</v>
      </c>
      <c r="CT191" s="407">
        <v>0</v>
      </c>
      <c r="CU191" s="407">
        <v>0</v>
      </c>
      <c r="CV191" s="407">
        <v>0</v>
      </c>
      <c r="CW191" s="407">
        <v>0</v>
      </c>
      <c r="CX191" s="407">
        <v>0</v>
      </c>
      <c r="CY191" s="407">
        <v>0</v>
      </c>
      <c r="CZ191" s="407">
        <v>0</v>
      </c>
      <c r="DA191" s="407">
        <v>0</v>
      </c>
      <c r="DB191" s="407">
        <v>0</v>
      </c>
      <c r="DC191" s="407">
        <v>540.52532369309483</v>
      </c>
      <c r="DD191" s="407">
        <v>0</v>
      </c>
      <c r="DE191" s="407">
        <v>0</v>
      </c>
      <c r="DF191" s="407">
        <v>0</v>
      </c>
      <c r="DG191" s="407">
        <v>21.949463827148747</v>
      </c>
      <c r="DH191" s="407">
        <v>0</v>
      </c>
      <c r="DI191" s="407">
        <v>-162.58926051246726</v>
      </c>
      <c r="DJ191" s="407"/>
      <c r="DK191" s="407">
        <v>0</v>
      </c>
      <c r="DL191" s="407">
        <v>0</v>
      </c>
      <c r="DM191" s="407">
        <v>0</v>
      </c>
      <c r="DN191" s="407">
        <v>0</v>
      </c>
      <c r="DO191" s="407">
        <v>-24.216978693326382</v>
      </c>
      <c r="DP191" s="407">
        <v>-3.1111186843385781</v>
      </c>
      <c r="DQ191" s="407">
        <v>0</v>
      </c>
      <c r="DR191" s="407">
        <v>0</v>
      </c>
      <c r="DS191" s="407"/>
      <c r="DT191" s="407"/>
      <c r="DU191" s="407"/>
      <c r="DV191" s="407">
        <v>0</v>
      </c>
      <c r="DW191" s="407">
        <v>0</v>
      </c>
      <c r="DX191" s="407">
        <v>0</v>
      </c>
      <c r="DY191" s="407">
        <v>-167.95374999999876</v>
      </c>
      <c r="DZ191" s="407">
        <v>540.13926000000356</v>
      </c>
      <c r="EA191" s="407">
        <v>0</v>
      </c>
      <c r="EB191" s="407">
        <v>0</v>
      </c>
      <c r="EC191" s="407">
        <v>0</v>
      </c>
      <c r="ED191" s="407">
        <v>0</v>
      </c>
      <c r="EE191" s="407">
        <v>0</v>
      </c>
      <c r="EF191" s="407">
        <v>0</v>
      </c>
      <c r="EG191" s="407">
        <v>0</v>
      </c>
      <c r="EH191" s="407">
        <v>0</v>
      </c>
      <c r="EI191" s="407">
        <v>0</v>
      </c>
      <c r="EJ191" s="407">
        <v>0</v>
      </c>
      <c r="EK191" s="407">
        <v>0</v>
      </c>
      <c r="EL191" s="407">
        <v>0</v>
      </c>
      <c r="EM191" s="407">
        <v>0</v>
      </c>
      <c r="EN191" s="407">
        <v>0</v>
      </c>
      <c r="EO191" s="407">
        <v>0</v>
      </c>
      <c r="EP191" s="407">
        <v>0</v>
      </c>
      <c r="EQ191" s="407">
        <v>0</v>
      </c>
      <c r="ER191" s="407">
        <v>0</v>
      </c>
      <c r="ES191" s="407">
        <v>0</v>
      </c>
      <c r="ET191" s="407">
        <v>0</v>
      </c>
      <c r="EU191" s="407">
        <v>0</v>
      </c>
      <c r="EV191" s="407">
        <v>207</v>
      </c>
      <c r="EW191" s="407">
        <v>0</v>
      </c>
      <c r="EX191" s="407">
        <v>0</v>
      </c>
      <c r="EY191" s="407">
        <v>0</v>
      </c>
      <c r="EZ191" s="407"/>
      <c r="FA191" s="407">
        <v>0</v>
      </c>
      <c r="FB191" s="407"/>
      <c r="FC191" s="407"/>
      <c r="FD191" s="407"/>
      <c r="FE191" s="407"/>
      <c r="FF191" s="407">
        <v>0</v>
      </c>
      <c r="FG191" s="407">
        <v>0</v>
      </c>
      <c r="FH191" s="407">
        <v>0</v>
      </c>
      <c r="FI191" s="407">
        <v>0</v>
      </c>
    </row>
    <row r="192" spans="1:165">
      <c r="A192" s="407">
        <v>190</v>
      </c>
      <c r="B192" s="407" t="s">
        <v>1092</v>
      </c>
      <c r="C192" s="407" t="s">
        <v>2315</v>
      </c>
      <c r="D192" s="407" t="s">
        <v>648</v>
      </c>
      <c r="E192" s="407" t="s">
        <v>1024</v>
      </c>
      <c r="F192" s="407" t="s">
        <v>96</v>
      </c>
      <c r="G192" s="407" t="s">
        <v>96</v>
      </c>
      <c r="H192" s="407" t="s">
        <v>96</v>
      </c>
      <c r="I192" s="407" t="s">
        <v>96</v>
      </c>
      <c r="J192" s="407" t="s">
        <v>2306</v>
      </c>
      <c r="K192" s="815">
        <v>44621</v>
      </c>
      <c r="L192" s="407">
        <v>500</v>
      </c>
      <c r="M192" s="407">
        <v>500</v>
      </c>
      <c r="N192" s="407">
        <v>0</v>
      </c>
      <c r="O192" s="407">
        <v>0</v>
      </c>
      <c r="P192" s="407">
        <v>0</v>
      </c>
      <c r="Q192" s="407">
        <v>0</v>
      </c>
      <c r="R192" s="407">
        <v>39.56</v>
      </c>
      <c r="S192" s="407"/>
      <c r="T192" s="407"/>
      <c r="U192" s="407">
        <v>19780</v>
      </c>
      <c r="V192" s="407"/>
      <c r="W192" s="407">
        <v>19780</v>
      </c>
      <c r="X192" s="407">
        <v>15530</v>
      </c>
      <c r="Y192" s="407">
        <v>0</v>
      </c>
      <c r="Z192" s="407">
        <v>0</v>
      </c>
      <c r="AA192" s="407">
        <v>0</v>
      </c>
      <c r="AB192" s="407">
        <v>0</v>
      </c>
      <c r="AC192" s="407">
        <v>0</v>
      </c>
      <c r="AD192" s="407">
        <v>6585.1409000608992</v>
      </c>
      <c r="AE192" s="407">
        <v>13192.466045287849</v>
      </c>
      <c r="AF192" s="407"/>
      <c r="AG192" s="407"/>
      <c r="AH192" s="407"/>
      <c r="AI192" s="407">
        <v>0</v>
      </c>
      <c r="AJ192" s="407">
        <v>0</v>
      </c>
      <c r="AK192" s="407">
        <v>0</v>
      </c>
      <c r="AL192" s="407">
        <v>0</v>
      </c>
      <c r="AM192" s="407"/>
      <c r="AN192" s="407">
        <v>0</v>
      </c>
      <c r="AO192" s="407">
        <v>0</v>
      </c>
      <c r="AP192" s="407">
        <v>0</v>
      </c>
      <c r="AQ192" s="407">
        <v>0</v>
      </c>
      <c r="AR192" s="407">
        <v>0</v>
      </c>
      <c r="AS192" s="407"/>
      <c r="AT192" s="407"/>
      <c r="AU192" s="407">
        <v>0</v>
      </c>
      <c r="AV192" s="407">
        <v>0</v>
      </c>
      <c r="AW192" s="407">
        <v>0</v>
      </c>
      <c r="AX192" s="407"/>
      <c r="AY192" s="407"/>
      <c r="AZ192" s="407">
        <v>0</v>
      </c>
      <c r="BA192" s="407"/>
      <c r="BB192" s="407">
        <v>0</v>
      </c>
      <c r="BC192" s="407">
        <v>0</v>
      </c>
      <c r="BD192" s="407">
        <v>0</v>
      </c>
      <c r="BE192" s="407">
        <v>0</v>
      </c>
      <c r="BF192" s="407"/>
      <c r="BG192" s="407">
        <v>0</v>
      </c>
      <c r="BH192" s="407">
        <v>0</v>
      </c>
      <c r="BI192" s="407">
        <v>231.82</v>
      </c>
      <c r="BJ192" s="407">
        <v>1069.98</v>
      </c>
      <c r="BK192" s="407">
        <v>14554.44</v>
      </c>
      <c r="BL192" s="407">
        <v>1</v>
      </c>
      <c r="BM192" s="407"/>
      <c r="BN192" s="407"/>
      <c r="BO192" s="407"/>
      <c r="BP192" s="407"/>
      <c r="BQ192" s="407"/>
      <c r="BR192" s="407"/>
      <c r="BS192" s="407"/>
      <c r="BT192" s="407"/>
      <c r="BU192" s="407"/>
      <c r="BV192" s="407">
        <v>0</v>
      </c>
      <c r="BW192" s="407"/>
      <c r="BX192" s="407"/>
      <c r="BY192" s="407"/>
      <c r="BZ192" s="407"/>
      <c r="CA192" s="407"/>
      <c r="CB192" s="407"/>
      <c r="CC192" s="407"/>
      <c r="CD192" s="407"/>
      <c r="CE192" s="407"/>
      <c r="CF192" s="407"/>
      <c r="CG192" s="407"/>
      <c r="CH192" s="407"/>
      <c r="CI192" s="407">
        <v>15530</v>
      </c>
      <c r="CJ192" s="407">
        <v>-4250.0299999999952</v>
      </c>
      <c r="CK192" s="407"/>
      <c r="CL192" s="407"/>
      <c r="CM192" s="407"/>
      <c r="CN192" s="407"/>
      <c r="CO192" s="407">
        <v>-4250.0000000000018</v>
      </c>
      <c r="CP192" s="407">
        <v>0</v>
      </c>
      <c r="CQ192" s="407">
        <v>31</v>
      </c>
      <c r="CR192" s="407">
        <v>-345.46120163134856</v>
      </c>
      <c r="CS192" s="407">
        <v>0</v>
      </c>
      <c r="CT192" s="407">
        <v>0</v>
      </c>
      <c r="CU192" s="407">
        <v>0</v>
      </c>
      <c r="CV192" s="407">
        <v>0</v>
      </c>
      <c r="CW192" s="407"/>
      <c r="CX192" s="407"/>
      <c r="CY192" s="407"/>
      <c r="CZ192" s="407">
        <v>-345.46120163134856</v>
      </c>
      <c r="DA192" s="407">
        <v>0</v>
      </c>
      <c r="DB192" s="407">
        <v>0</v>
      </c>
      <c r="DC192" s="407"/>
      <c r="DD192" s="407"/>
      <c r="DE192" s="407">
        <v>0</v>
      </c>
      <c r="DF192" s="407">
        <v>0</v>
      </c>
      <c r="DG192" s="407">
        <v>0</v>
      </c>
      <c r="DH192" s="407">
        <v>0</v>
      </c>
      <c r="DI192" s="407">
        <v>0</v>
      </c>
      <c r="DJ192" s="407"/>
      <c r="DK192" s="407">
        <v>0</v>
      </c>
      <c r="DL192" s="407">
        <v>0</v>
      </c>
      <c r="DM192" s="407"/>
      <c r="DN192" s="407">
        <v>0</v>
      </c>
      <c r="DO192" s="407">
        <v>0</v>
      </c>
      <c r="DP192" s="407">
        <v>0</v>
      </c>
      <c r="DQ192" s="407">
        <v>0</v>
      </c>
      <c r="DR192" s="407">
        <v>0</v>
      </c>
      <c r="DS192" s="407"/>
      <c r="DT192" s="407"/>
      <c r="DU192" s="407">
        <v>13192.466045287849</v>
      </c>
      <c r="DV192" s="407"/>
      <c r="DW192" s="407">
        <v>0</v>
      </c>
      <c r="DX192" s="407">
        <v>0</v>
      </c>
      <c r="DY192" s="407">
        <v>-4250</v>
      </c>
      <c r="DZ192" s="407"/>
      <c r="EA192" s="407">
        <v>0</v>
      </c>
      <c r="EB192" s="407"/>
      <c r="EC192" s="407">
        <v>-3899.9012099528481</v>
      </c>
      <c r="ED192" s="407"/>
      <c r="EE192" s="407">
        <v>0</v>
      </c>
      <c r="EF192" s="407">
        <v>0</v>
      </c>
      <c r="EG192" s="407"/>
      <c r="EH192" s="407">
        <v>0</v>
      </c>
      <c r="EI192" s="407">
        <v>0</v>
      </c>
      <c r="EJ192" s="407">
        <v>0</v>
      </c>
      <c r="EK192" s="407">
        <v>0</v>
      </c>
      <c r="EL192" s="407">
        <v>0</v>
      </c>
      <c r="EM192" s="407"/>
      <c r="EN192" s="407"/>
      <c r="EO192" s="407">
        <v>0</v>
      </c>
      <c r="EP192" s="407">
        <v>0</v>
      </c>
      <c r="EQ192" s="407"/>
      <c r="ER192" s="407">
        <v>0</v>
      </c>
      <c r="ES192" s="407"/>
      <c r="ET192" s="407">
        <v>0</v>
      </c>
      <c r="EU192" s="407"/>
      <c r="EV192" s="407">
        <v>207</v>
      </c>
      <c r="EW192" s="407"/>
      <c r="EX192" s="407"/>
      <c r="EY192" s="407"/>
      <c r="EZ192" s="407"/>
      <c r="FA192" s="407">
        <v>0</v>
      </c>
      <c r="FB192" s="407"/>
      <c r="FC192" s="407"/>
      <c r="FD192" s="407"/>
      <c r="FE192" s="407"/>
      <c r="FF192" s="407">
        <v>0</v>
      </c>
      <c r="FG192" s="407">
        <v>0</v>
      </c>
      <c r="FH192" s="407">
        <v>0</v>
      </c>
      <c r="FI192" s="407">
        <v>0</v>
      </c>
    </row>
    <row r="193" spans="1:165">
      <c r="A193" s="407">
        <v>191</v>
      </c>
      <c r="B193" s="407" t="s">
        <v>1092</v>
      </c>
      <c r="C193" s="407" t="s">
        <v>2305</v>
      </c>
      <c r="D193" s="407" t="s">
        <v>1221</v>
      </c>
      <c r="E193" s="407" t="s">
        <v>1051</v>
      </c>
      <c r="F193" s="407" t="s">
        <v>96</v>
      </c>
      <c r="G193" s="407" t="s">
        <v>96</v>
      </c>
      <c r="H193" s="407" t="s">
        <v>96</v>
      </c>
      <c r="I193" s="407" t="s">
        <v>96</v>
      </c>
      <c r="J193" s="407" t="s">
        <v>2306</v>
      </c>
      <c r="K193" s="815">
        <v>44621</v>
      </c>
      <c r="L193" s="407">
        <v>0</v>
      </c>
      <c r="M193" s="407">
        <v>0</v>
      </c>
      <c r="N193" s="407">
        <v>105.268</v>
      </c>
      <c r="O193" s="407">
        <v>105.268</v>
      </c>
      <c r="P193" s="407">
        <v>105.268</v>
      </c>
      <c r="Q193" s="407">
        <v>105.268</v>
      </c>
      <c r="R193" s="407"/>
      <c r="S193" s="407">
        <v>710.52</v>
      </c>
      <c r="T193" s="407">
        <v>127.85</v>
      </c>
      <c r="U193" s="407"/>
      <c r="V193" s="407">
        <v>88253.533160000006</v>
      </c>
      <c r="W193" s="407">
        <v>88253.533160000006</v>
      </c>
      <c r="X193" s="407">
        <v>72499.124280000004</v>
      </c>
      <c r="Y193" s="407">
        <v>0</v>
      </c>
      <c r="Z193" s="407">
        <v>6429.2511684051724</v>
      </c>
      <c r="AA193" s="407">
        <v>0</v>
      </c>
      <c r="AB193" s="407">
        <v>0</v>
      </c>
      <c r="AC193" s="407">
        <v>0</v>
      </c>
      <c r="AD193" s="407">
        <v>11510.26150939547</v>
      </c>
      <c r="AE193" s="407">
        <v>52441.074102852945</v>
      </c>
      <c r="AF193" s="407">
        <v>13458.23970307391</v>
      </c>
      <c r="AG193" s="407">
        <v>0</v>
      </c>
      <c r="AH193" s="407">
        <v>0</v>
      </c>
      <c r="AI193" s="407">
        <v>0</v>
      </c>
      <c r="AJ193" s="407">
        <v>0</v>
      </c>
      <c r="AK193" s="407">
        <v>0</v>
      </c>
      <c r="AL193" s="407">
        <v>994.2875684542912</v>
      </c>
      <c r="AM193" s="407"/>
      <c r="AN193" s="407">
        <v>241.14407023917468</v>
      </c>
      <c r="AO193" s="407">
        <v>0</v>
      </c>
      <c r="AP193" s="407">
        <v>0</v>
      </c>
      <c r="AQ193" s="407">
        <v>0</v>
      </c>
      <c r="AR193" s="407">
        <v>0</v>
      </c>
      <c r="AS193" s="407">
        <v>0</v>
      </c>
      <c r="AT193" s="407">
        <v>0</v>
      </c>
      <c r="AU193" s="407">
        <v>0</v>
      </c>
      <c r="AV193" s="407">
        <v>0</v>
      </c>
      <c r="AW193" s="407">
        <v>0</v>
      </c>
      <c r="AX193" s="407">
        <v>0</v>
      </c>
      <c r="AY193" s="407">
        <v>0</v>
      </c>
      <c r="AZ193" s="407">
        <v>0</v>
      </c>
      <c r="BA193" s="407"/>
      <c r="BB193" s="407">
        <v>0</v>
      </c>
      <c r="BC193" s="407">
        <v>0</v>
      </c>
      <c r="BD193" s="407">
        <v>0</v>
      </c>
      <c r="BE193" s="407">
        <v>0</v>
      </c>
      <c r="BF193" s="407">
        <v>0</v>
      </c>
      <c r="BG193" s="407">
        <v>3178.9034516214715</v>
      </c>
      <c r="BH193" s="407">
        <v>0</v>
      </c>
      <c r="BI193" s="407">
        <v>470.13</v>
      </c>
      <c r="BJ193" s="407">
        <v>2171.9699999999998</v>
      </c>
      <c r="BK193" s="407">
        <v>19775</v>
      </c>
      <c r="BL193" s="407">
        <v>86</v>
      </c>
      <c r="BM193" s="407"/>
      <c r="BN193" s="407"/>
      <c r="BO193" s="407"/>
      <c r="BP193" s="407"/>
      <c r="BQ193" s="407"/>
      <c r="BR193" s="407"/>
      <c r="BS193" s="407"/>
      <c r="BT193" s="407"/>
      <c r="BU193" s="407"/>
      <c r="BV193" s="407">
        <v>16637.143154695383</v>
      </c>
      <c r="BW193" s="407"/>
      <c r="BX193" s="407"/>
      <c r="BY193" s="407"/>
      <c r="BZ193" s="407"/>
      <c r="CA193" s="407"/>
      <c r="CB193" s="407"/>
      <c r="CC193" s="407"/>
      <c r="CD193" s="407"/>
      <c r="CE193" s="407"/>
      <c r="CF193" s="407"/>
      <c r="CG193" s="407"/>
      <c r="CH193" s="407"/>
      <c r="CI193" s="407">
        <v>72500.501700000008</v>
      </c>
      <c r="CJ193" s="407">
        <v>-15753.061459999983</v>
      </c>
      <c r="CK193" s="407"/>
      <c r="CL193" s="407"/>
      <c r="CM193" s="407"/>
      <c r="CN193" s="407"/>
      <c r="CO193" s="407">
        <v>-16177.586239999995</v>
      </c>
      <c r="CP193" s="407">
        <v>423.1773600000011</v>
      </c>
      <c r="CQ193" s="407">
        <v>31</v>
      </c>
      <c r="CR193" s="407">
        <v>-251.27706105143443</v>
      </c>
      <c r="CS193" s="407">
        <v>0</v>
      </c>
      <c r="CT193" s="407">
        <v>0</v>
      </c>
      <c r="CU193" s="407">
        <v>0</v>
      </c>
      <c r="CV193" s="407">
        <v>0</v>
      </c>
      <c r="CW193" s="407">
        <v>0</v>
      </c>
      <c r="CX193" s="407">
        <v>0</v>
      </c>
      <c r="CY193" s="407">
        <v>0</v>
      </c>
      <c r="CZ193" s="407">
        <v>-603.83655148370781</v>
      </c>
      <c r="DA193" s="407">
        <v>0</v>
      </c>
      <c r="DB193" s="407">
        <v>0</v>
      </c>
      <c r="DC193" s="407">
        <v>423.47982535761003</v>
      </c>
      <c r="DD193" s="407">
        <v>0</v>
      </c>
      <c r="DE193" s="407">
        <v>0</v>
      </c>
      <c r="DF193" s="407">
        <v>0</v>
      </c>
      <c r="DG193" s="407">
        <v>100.02805034107678</v>
      </c>
      <c r="DH193" s="407">
        <v>0</v>
      </c>
      <c r="DI193" s="407">
        <v>-146.41625115241368</v>
      </c>
      <c r="DJ193" s="407"/>
      <c r="DK193" s="407">
        <v>0</v>
      </c>
      <c r="DL193" s="407">
        <v>0</v>
      </c>
      <c r="DM193" s="407">
        <v>0</v>
      </c>
      <c r="DN193" s="407">
        <v>0</v>
      </c>
      <c r="DO193" s="407">
        <v>-18.973027642201259</v>
      </c>
      <c r="DP193" s="407">
        <v>-5.5591064717994243</v>
      </c>
      <c r="DQ193" s="407">
        <v>0</v>
      </c>
      <c r="DR193" s="407">
        <v>0</v>
      </c>
      <c r="DS193" s="407"/>
      <c r="DT193" s="407"/>
      <c r="DU193" s="407"/>
      <c r="DV193" s="407">
        <v>52441.074102852945</v>
      </c>
      <c r="DW193" s="407">
        <v>0</v>
      </c>
      <c r="DX193" s="407">
        <v>0</v>
      </c>
      <c r="DY193" s="407">
        <v>-16177.586240000004</v>
      </c>
      <c r="DZ193" s="407">
        <v>423.1773600000015</v>
      </c>
      <c r="EA193" s="407">
        <v>0</v>
      </c>
      <c r="EB193" s="407">
        <v>0</v>
      </c>
      <c r="EC193" s="407">
        <v>-15502.409302618013</v>
      </c>
      <c r="ED193" s="407">
        <v>0</v>
      </c>
      <c r="EE193" s="407">
        <v>0</v>
      </c>
      <c r="EF193" s="407">
        <v>0</v>
      </c>
      <c r="EG193" s="407">
        <v>0</v>
      </c>
      <c r="EH193" s="407">
        <v>0</v>
      </c>
      <c r="EI193" s="407">
        <v>0</v>
      </c>
      <c r="EJ193" s="407">
        <v>0</v>
      </c>
      <c r="EK193" s="407">
        <v>0</v>
      </c>
      <c r="EL193" s="407">
        <v>0</v>
      </c>
      <c r="EM193" s="407">
        <v>0</v>
      </c>
      <c r="EN193" s="407">
        <v>0</v>
      </c>
      <c r="EO193" s="407">
        <v>0</v>
      </c>
      <c r="EP193" s="407">
        <v>0</v>
      </c>
      <c r="EQ193" s="407">
        <v>0</v>
      </c>
      <c r="ER193" s="407">
        <v>0</v>
      </c>
      <c r="ES193" s="407">
        <v>0</v>
      </c>
      <c r="ET193" s="407">
        <v>0</v>
      </c>
      <c r="EU193" s="407">
        <v>0</v>
      </c>
      <c r="EV193" s="407">
        <v>207</v>
      </c>
      <c r="EW193" s="407">
        <v>0</v>
      </c>
      <c r="EX193" s="407">
        <v>0</v>
      </c>
      <c r="EY193" s="407">
        <v>0</v>
      </c>
      <c r="EZ193" s="407"/>
      <c r="FA193" s="407">
        <v>0</v>
      </c>
      <c r="FB193" s="407"/>
      <c r="FC193" s="407"/>
      <c r="FD193" s="407"/>
      <c r="FE193" s="407"/>
      <c r="FF193" s="407">
        <v>0</v>
      </c>
      <c r="FG193" s="407">
        <v>0</v>
      </c>
      <c r="FH193" s="407">
        <v>0</v>
      </c>
      <c r="FI193" s="407">
        <v>0</v>
      </c>
    </row>
    <row r="194" spans="1:165">
      <c r="A194" s="407">
        <v>192</v>
      </c>
      <c r="B194" s="407" t="s">
        <v>1092</v>
      </c>
      <c r="C194" s="407" t="s">
        <v>2315</v>
      </c>
      <c r="D194" s="407" t="s">
        <v>648</v>
      </c>
      <c r="E194" s="407" t="s">
        <v>1051</v>
      </c>
      <c r="F194" s="407" t="s">
        <v>96</v>
      </c>
      <c r="G194" s="407" t="s">
        <v>96</v>
      </c>
      <c r="H194" s="407" t="s">
        <v>96</v>
      </c>
      <c r="I194" s="407" t="s">
        <v>1027</v>
      </c>
      <c r="J194" s="407" t="s">
        <v>2306</v>
      </c>
      <c r="K194" s="815">
        <v>44621</v>
      </c>
      <c r="L194" s="407">
        <v>0</v>
      </c>
      <c r="M194" s="407">
        <v>0</v>
      </c>
      <c r="N194" s="407">
        <v>6.3390000000000004</v>
      </c>
      <c r="O194" s="407">
        <v>6.3390000000000004</v>
      </c>
      <c r="P194" s="407">
        <v>6.3390000000000004</v>
      </c>
      <c r="Q194" s="407">
        <v>6.3390000000000004</v>
      </c>
      <c r="R194" s="407"/>
      <c r="S194" s="407">
        <v>2075.9499999999998</v>
      </c>
      <c r="T194" s="407">
        <v>127.85</v>
      </c>
      <c r="U194" s="407"/>
      <c r="V194" s="407">
        <v>13969.888199999999</v>
      </c>
      <c r="W194" s="407">
        <v>13969.888199999999</v>
      </c>
      <c r="X194" s="407">
        <v>11197.272990000001</v>
      </c>
      <c r="Y194" s="407">
        <v>0</v>
      </c>
      <c r="Z194" s="407">
        <v>336.82477244910859</v>
      </c>
      <c r="AA194" s="407">
        <v>0</v>
      </c>
      <c r="AB194" s="407">
        <v>0</v>
      </c>
      <c r="AC194" s="407">
        <v>0</v>
      </c>
      <c r="AD194" s="407">
        <v>3993.6265276071658</v>
      </c>
      <c r="AE194" s="407">
        <v>8729.8410438466599</v>
      </c>
      <c r="AF194" s="407">
        <v>810.4246445053152</v>
      </c>
      <c r="AG194" s="407">
        <v>0</v>
      </c>
      <c r="AH194" s="407">
        <v>0</v>
      </c>
      <c r="AI194" s="407">
        <v>0</v>
      </c>
      <c r="AJ194" s="407">
        <v>0</v>
      </c>
      <c r="AK194" s="407">
        <v>0</v>
      </c>
      <c r="AL194" s="407">
        <v>59.873740324046736</v>
      </c>
      <c r="AM194" s="407"/>
      <c r="AN194" s="407">
        <v>6.366917666626053</v>
      </c>
      <c r="AO194" s="407">
        <v>0</v>
      </c>
      <c r="AP194" s="407">
        <v>0</v>
      </c>
      <c r="AQ194" s="407">
        <v>0</v>
      </c>
      <c r="AR194" s="407">
        <v>0</v>
      </c>
      <c r="AS194" s="407">
        <v>0</v>
      </c>
      <c r="AT194" s="407">
        <v>0</v>
      </c>
      <c r="AU194" s="407">
        <v>0</v>
      </c>
      <c r="AV194" s="407">
        <v>0</v>
      </c>
      <c r="AW194" s="407">
        <v>0</v>
      </c>
      <c r="AX194" s="407">
        <v>0</v>
      </c>
      <c r="AY194" s="407">
        <v>0</v>
      </c>
      <c r="AZ194" s="407">
        <v>0</v>
      </c>
      <c r="BA194" s="407"/>
      <c r="BB194" s="407">
        <v>0</v>
      </c>
      <c r="BC194" s="407">
        <v>0</v>
      </c>
      <c r="BD194" s="407">
        <v>0</v>
      </c>
      <c r="BE194" s="407">
        <v>0</v>
      </c>
      <c r="BF194" s="407">
        <v>0</v>
      </c>
      <c r="BG194" s="407">
        <v>32.909441314723701</v>
      </c>
      <c r="BH194" s="407">
        <v>0</v>
      </c>
      <c r="BI194" s="407">
        <v>0</v>
      </c>
      <c r="BJ194" s="407">
        <v>0</v>
      </c>
      <c r="BK194" s="407">
        <v>0</v>
      </c>
      <c r="BL194" s="407">
        <v>0</v>
      </c>
      <c r="BM194" s="407"/>
      <c r="BN194" s="407"/>
      <c r="BO194" s="407"/>
      <c r="BP194" s="407"/>
      <c r="BQ194" s="407"/>
      <c r="BR194" s="407"/>
      <c r="BS194" s="407"/>
      <c r="BT194" s="407"/>
      <c r="BU194" s="407"/>
      <c r="BV194" s="407">
        <v>843.33408582003892</v>
      </c>
      <c r="BW194" s="407"/>
      <c r="BX194" s="407"/>
      <c r="BY194" s="407"/>
      <c r="BZ194" s="407"/>
      <c r="CA194" s="407"/>
      <c r="CB194" s="407"/>
      <c r="CC194" s="407"/>
      <c r="CD194" s="407"/>
      <c r="CE194" s="407"/>
      <c r="CF194" s="407"/>
      <c r="CG194" s="407"/>
      <c r="CH194" s="407"/>
      <c r="CI194" s="407">
        <v>11199.0394</v>
      </c>
      <c r="CJ194" s="407">
        <v>-2770.8788000000004</v>
      </c>
      <c r="CK194" s="407"/>
      <c r="CL194" s="407"/>
      <c r="CM194" s="407"/>
      <c r="CN194" s="407"/>
      <c r="CO194" s="407">
        <v>-2798.0979899999993</v>
      </c>
      <c r="CP194" s="407">
        <v>25.482780000000066</v>
      </c>
      <c r="CQ194" s="407">
        <v>31</v>
      </c>
      <c r="CR194" s="407">
        <v>-191.93192758861642</v>
      </c>
      <c r="CS194" s="407">
        <v>0</v>
      </c>
      <c r="CT194" s="407">
        <v>0</v>
      </c>
      <c r="CU194" s="407">
        <v>0</v>
      </c>
      <c r="CV194" s="407">
        <v>0</v>
      </c>
      <c r="CW194" s="407">
        <v>0</v>
      </c>
      <c r="CX194" s="407">
        <v>0</v>
      </c>
      <c r="CY194" s="407">
        <v>0</v>
      </c>
      <c r="CZ194" s="407">
        <v>-209.50850407488997</v>
      </c>
      <c r="DA194" s="407">
        <v>0</v>
      </c>
      <c r="DB194" s="407">
        <v>0</v>
      </c>
      <c r="DC194" s="407">
        <v>25.500993777234271</v>
      </c>
      <c r="DD194" s="407">
        <v>0</v>
      </c>
      <c r="DE194" s="407">
        <v>0</v>
      </c>
      <c r="DF194" s="407">
        <v>0</v>
      </c>
      <c r="DG194" s="407">
        <v>1.035535461401544</v>
      </c>
      <c r="DH194" s="407">
        <v>0</v>
      </c>
      <c r="DI194" s="407">
        <v>-7.6706632211883061</v>
      </c>
      <c r="DJ194" s="407"/>
      <c r="DK194" s="407">
        <v>0</v>
      </c>
      <c r="DL194" s="407">
        <v>0</v>
      </c>
      <c r="DM194" s="407">
        <v>0</v>
      </c>
      <c r="DN194" s="407">
        <v>0</v>
      </c>
      <c r="DO194" s="407">
        <v>-1.1425126555450191</v>
      </c>
      <c r="DP194" s="407">
        <v>-0.14677687562812824</v>
      </c>
      <c r="DQ194" s="407">
        <v>0</v>
      </c>
      <c r="DR194" s="407">
        <v>0</v>
      </c>
      <c r="DS194" s="407"/>
      <c r="DT194" s="407"/>
      <c r="DU194" s="407"/>
      <c r="DV194" s="407">
        <v>8729.8410438466599</v>
      </c>
      <c r="DW194" s="407">
        <v>0</v>
      </c>
      <c r="DX194" s="407">
        <v>0</v>
      </c>
      <c r="DY194" s="407">
        <v>-2798.0979899999984</v>
      </c>
      <c r="DZ194" s="407">
        <v>25.482780000000048</v>
      </c>
      <c r="EA194" s="407">
        <v>0</v>
      </c>
      <c r="EB194" s="407">
        <v>0</v>
      </c>
      <c r="EC194" s="407">
        <v>-2580.678815675552</v>
      </c>
      <c r="ED194" s="407">
        <v>0</v>
      </c>
      <c r="EE194" s="407">
        <v>0</v>
      </c>
      <c r="EF194" s="407">
        <v>0</v>
      </c>
      <c r="EG194" s="407">
        <v>0</v>
      </c>
      <c r="EH194" s="407">
        <v>0</v>
      </c>
      <c r="EI194" s="407">
        <v>0</v>
      </c>
      <c r="EJ194" s="407">
        <v>0</v>
      </c>
      <c r="EK194" s="407">
        <v>0</v>
      </c>
      <c r="EL194" s="407">
        <v>0</v>
      </c>
      <c r="EM194" s="407">
        <v>0</v>
      </c>
      <c r="EN194" s="407">
        <v>0</v>
      </c>
      <c r="EO194" s="407">
        <v>0</v>
      </c>
      <c r="EP194" s="407">
        <v>0</v>
      </c>
      <c r="EQ194" s="407">
        <v>0</v>
      </c>
      <c r="ER194" s="407">
        <v>0</v>
      </c>
      <c r="ES194" s="407">
        <v>0</v>
      </c>
      <c r="ET194" s="407">
        <v>0</v>
      </c>
      <c r="EU194" s="407">
        <v>0</v>
      </c>
      <c r="EV194" s="407">
        <v>207</v>
      </c>
      <c r="EW194" s="407">
        <v>0</v>
      </c>
      <c r="EX194" s="407">
        <v>0</v>
      </c>
      <c r="EY194" s="407">
        <v>0</v>
      </c>
      <c r="EZ194" s="407"/>
      <c r="FA194" s="407">
        <v>0</v>
      </c>
      <c r="FB194" s="407"/>
      <c r="FC194" s="407"/>
      <c r="FD194" s="407"/>
      <c r="FE194" s="407"/>
      <c r="FF194" s="407">
        <v>0</v>
      </c>
      <c r="FG194" s="407">
        <v>0</v>
      </c>
      <c r="FH194" s="407">
        <v>0</v>
      </c>
      <c r="FI194" s="407">
        <v>0</v>
      </c>
    </row>
    <row r="195" spans="1:165">
      <c r="A195" s="407">
        <v>193</v>
      </c>
      <c r="B195" s="407" t="s">
        <v>1092</v>
      </c>
      <c r="C195" s="407" t="s">
        <v>2315</v>
      </c>
      <c r="D195" s="407" t="s">
        <v>648</v>
      </c>
      <c r="E195" s="407" t="s">
        <v>1051</v>
      </c>
      <c r="F195" s="407" t="s">
        <v>96</v>
      </c>
      <c r="G195" s="407" t="s">
        <v>96</v>
      </c>
      <c r="H195" s="407" t="s">
        <v>96</v>
      </c>
      <c r="I195" s="407" t="s">
        <v>2290</v>
      </c>
      <c r="J195" s="407" t="s">
        <v>2306</v>
      </c>
      <c r="K195" s="815">
        <v>44621</v>
      </c>
      <c r="L195" s="407">
        <v>0</v>
      </c>
      <c r="M195" s="407">
        <v>0</v>
      </c>
      <c r="N195" s="407">
        <v>60.271000000000001</v>
      </c>
      <c r="O195" s="407">
        <v>60.271000000000001</v>
      </c>
      <c r="P195" s="407">
        <v>60.271000000000001</v>
      </c>
      <c r="Q195" s="407">
        <v>60.271000000000001</v>
      </c>
      <c r="R195" s="407"/>
      <c r="S195" s="407">
        <v>68.78</v>
      </c>
      <c r="T195" s="407">
        <v>127.85</v>
      </c>
      <c r="U195" s="407"/>
      <c r="V195" s="407">
        <v>11851.086729999999</v>
      </c>
      <c r="W195" s="407">
        <v>11851.086729999999</v>
      </c>
      <c r="X195" s="407">
        <v>12018.037400000001</v>
      </c>
      <c r="Y195" s="407">
        <v>0</v>
      </c>
      <c r="Z195" s="407">
        <v>3202.5186717589877</v>
      </c>
      <c r="AA195" s="407">
        <v>0</v>
      </c>
      <c r="AB195" s="407">
        <v>0</v>
      </c>
      <c r="AC195" s="407">
        <v>0</v>
      </c>
      <c r="AD195" s="407">
        <v>0</v>
      </c>
      <c r="AE195" s="407">
        <v>0</v>
      </c>
      <c r="AF195" s="407">
        <v>7705.490416308543</v>
      </c>
      <c r="AG195" s="407">
        <v>0</v>
      </c>
      <c r="AH195" s="407">
        <v>0</v>
      </c>
      <c r="AI195" s="407">
        <v>0</v>
      </c>
      <c r="AJ195" s="407">
        <v>0</v>
      </c>
      <c r="AK195" s="407">
        <v>0</v>
      </c>
      <c r="AL195" s="407">
        <v>569.27752059798399</v>
      </c>
      <c r="AM195" s="407"/>
      <c r="AN195" s="407">
        <v>60.536440240608741</v>
      </c>
      <c r="AO195" s="407">
        <v>0</v>
      </c>
      <c r="AP195" s="407">
        <v>0</v>
      </c>
      <c r="AQ195" s="407">
        <v>0</v>
      </c>
      <c r="AR195" s="407">
        <v>0</v>
      </c>
      <c r="AS195" s="407">
        <v>0</v>
      </c>
      <c r="AT195" s="407">
        <v>0</v>
      </c>
      <c r="AU195" s="407">
        <v>0</v>
      </c>
      <c r="AV195" s="407">
        <v>0</v>
      </c>
      <c r="AW195" s="407">
        <v>0</v>
      </c>
      <c r="AX195" s="407">
        <v>0</v>
      </c>
      <c r="AY195" s="407">
        <v>0</v>
      </c>
      <c r="AZ195" s="407">
        <v>0</v>
      </c>
      <c r="BA195" s="407"/>
      <c r="BB195" s="407">
        <v>0</v>
      </c>
      <c r="BC195" s="407">
        <v>0</v>
      </c>
      <c r="BD195" s="407">
        <v>0</v>
      </c>
      <c r="BE195" s="407">
        <v>0</v>
      </c>
      <c r="BF195" s="407">
        <v>0</v>
      </c>
      <c r="BG195" s="407">
        <v>312.90186740490805</v>
      </c>
      <c r="BH195" s="407">
        <v>0</v>
      </c>
      <c r="BI195" s="407">
        <v>0</v>
      </c>
      <c r="BJ195" s="407">
        <v>0</v>
      </c>
      <c r="BK195" s="407">
        <v>0</v>
      </c>
      <c r="BL195" s="407">
        <v>0</v>
      </c>
      <c r="BM195" s="407"/>
      <c r="BN195" s="407"/>
      <c r="BO195" s="407"/>
      <c r="BP195" s="407"/>
      <c r="BQ195" s="407"/>
      <c r="BR195" s="407"/>
      <c r="BS195" s="407"/>
      <c r="BT195" s="407"/>
      <c r="BU195" s="407"/>
      <c r="BV195" s="407">
        <v>8018.3922837134514</v>
      </c>
      <c r="BW195" s="407"/>
      <c r="BX195" s="407"/>
      <c r="BY195" s="407"/>
      <c r="BZ195" s="407"/>
      <c r="CA195" s="407"/>
      <c r="CB195" s="407"/>
      <c r="CC195" s="407"/>
      <c r="CD195" s="407"/>
      <c r="CE195" s="407"/>
      <c r="CF195" s="407"/>
      <c r="CG195" s="407"/>
      <c r="CH195" s="407"/>
      <c r="CI195" s="407">
        <v>12017.838000000002</v>
      </c>
      <c r="CJ195" s="407">
        <v>166.72127000000182</v>
      </c>
      <c r="CK195" s="407"/>
      <c r="CL195" s="407"/>
      <c r="CM195" s="407"/>
      <c r="CN195" s="407"/>
      <c r="CO195" s="407">
        <v>-75.338750000000005</v>
      </c>
      <c r="CP195" s="407">
        <v>242.28942000000063</v>
      </c>
      <c r="CQ195" s="407">
        <v>31</v>
      </c>
      <c r="CR195" s="407">
        <v>167.11750140467666</v>
      </c>
      <c r="CS195" s="407">
        <v>0</v>
      </c>
      <c r="CT195" s="407">
        <v>0</v>
      </c>
      <c r="CU195" s="407">
        <v>0</v>
      </c>
      <c r="CV195" s="407">
        <v>0</v>
      </c>
      <c r="CW195" s="407">
        <v>0</v>
      </c>
      <c r="CX195" s="407">
        <v>0</v>
      </c>
      <c r="CY195" s="407">
        <v>0</v>
      </c>
      <c r="CZ195" s="407">
        <v>0</v>
      </c>
      <c r="DA195" s="407">
        <v>0</v>
      </c>
      <c r="DB195" s="407">
        <v>0</v>
      </c>
      <c r="DC195" s="407">
        <v>242.46259598480538</v>
      </c>
      <c r="DD195" s="407">
        <v>0</v>
      </c>
      <c r="DE195" s="407">
        <v>0</v>
      </c>
      <c r="DF195" s="407">
        <v>0</v>
      </c>
      <c r="DG195" s="407">
        <v>9.8458365348055281</v>
      </c>
      <c r="DH195" s="407">
        <v>0</v>
      </c>
      <c r="DI195" s="407">
        <v>-72.932409371232097</v>
      </c>
      <c r="DJ195" s="407"/>
      <c r="DK195" s="407">
        <v>0</v>
      </c>
      <c r="DL195" s="407">
        <v>0</v>
      </c>
      <c r="DM195" s="407">
        <v>0</v>
      </c>
      <c r="DN195" s="407">
        <v>0</v>
      </c>
      <c r="DO195" s="407">
        <v>-10.862972119002052</v>
      </c>
      <c r="DP195" s="407">
        <v>-1.3955496247015162</v>
      </c>
      <c r="DQ195" s="407">
        <v>0</v>
      </c>
      <c r="DR195" s="407">
        <v>0</v>
      </c>
      <c r="DS195" s="407"/>
      <c r="DT195" s="407"/>
      <c r="DU195" s="407"/>
      <c r="DV195" s="407">
        <v>0</v>
      </c>
      <c r="DW195" s="407">
        <v>0</v>
      </c>
      <c r="DX195" s="407">
        <v>0</v>
      </c>
      <c r="DY195" s="407">
        <v>-75.338749999999891</v>
      </c>
      <c r="DZ195" s="407">
        <v>242.28942000000006</v>
      </c>
      <c r="EA195" s="407">
        <v>0</v>
      </c>
      <c r="EB195" s="407">
        <v>0</v>
      </c>
      <c r="EC195" s="407">
        <v>0</v>
      </c>
      <c r="ED195" s="407">
        <v>0</v>
      </c>
      <c r="EE195" s="407">
        <v>0</v>
      </c>
      <c r="EF195" s="407">
        <v>0</v>
      </c>
      <c r="EG195" s="407">
        <v>0</v>
      </c>
      <c r="EH195" s="407">
        <v>0</v>
      </c>
      <c r="EI195" s="407">
        <v>0</v>
      </c>
      <c r="EJ195" s="407">
        <v>0</v>
      </c>
      <c r="EK195" s="407">
        <v>0</v>
      </c>
      <c r="EL195" s="407">
        <v>0</v>
      </c>
      <c r="EM195" s="407">
        <v>0</v>
      </c>
      <c r="EN195" s="407">
        <v>0</v>
      </c>
      <c r="EO195" s="407">
        <v>0</v>
      </c>
      <c r="EP195" s="407">
        <v>0</v>
      </c>
      <c r="EQ195" s="407">
        <v>0</v>
      </c>
      <c r="ER195" s="407">
        <v>0</v>
      </c>
      <c r="ES195" s="407">
        <v>0</v>
      </c>
      <c r="ET195" s="407">
        <v>0</v>
      </c>
      <c r="EU195" s="407">
        <v>0</v>
      </c>
      <c r="EV195" s="407">
        <v>207</v>
      </c>
      <c r="EW195" s="407">
        <v>0</v>
      </c>
      <c r="EX195" s="407">
        <v>0</v>
      </c>
      <c r="EY195" s="407">
        <v>0</v>
      </c>
      <c r="EZ195" s="407"/>
      <c r="FA195" s="407">
        <v>0</v>
      </c>
      <c r="FB195" s="407"/>
      <c r="FC195" s="407"/>
      <c r="FD195" s="407"/>
      <c r="FE195" s="407"/>
      <c r="FF195" s="407">
        <v>0</v>
      </c>
      <c r="FG195" s="407">
        <v>0</v>
      </c>
      <c r="FH195" s="407">
        <v>0</v>
      </c>
      <c r="FI195" s="407">
        <v>0</v>
      </c>
    </row>
    <row r="196" spans="1:165">
      <c r="A196" s="407">
        <v>194</v>
      </c>
      <c r="B196" s="407" t="s">
        <v>1092</v>
      </c>
      <c r="C196" s="407" t="s">
        <v>2315</v>
      </c>
      <c r="D196" s="407" t="s">
        <v>648</v>
      </c>
      <c r="E196" s="407" t="s">
        <v>1051</v>
      </c>
      <c r="F196" s="407" t="s">
        <v>96</v>
      </c>
      <c r="G196" s="407" t="s">
        <v>96</v>
      </c>
      <c r="H196" s="407" t="s">
        <v>96</v>
      </c>
      <c r="I196" s="407" t="s">
        <v>96</v>
      </c>
      <c r="J196" s="407" t="s">
        <v>2306</v>
      </c>
      <c r="K196" s="815">
        <v>44621</v>
      </c>
      <c r="L196" s="407">
        <v>192</v>
      </c>
      <c r="M196" s="407">
        <v>192</v>
      </c>
      <c r="N196" s="407">
        <v>0</v>
      </c>
      <c r="O196" s="407">
        <v>0</v>
      </c>
      <c r="P196" s="407">
        <v>0</v>
      </c>
      <c r="Q196" s="407">
        <v>0</v>
      </c>
      <c r="R196" s="407">
        <v>39.56</v>
      </c>
      <c r="S196" s="407"/>
      <c r="T196" s="407"/>
      <c r="U196" s="407">
        <v>7595.52</v>
      </c>
      <c r="V196" s="407"/>
      <c r="W196" s="407">
        <v>7595.52</v>
      </c>
      <c r="X196" s="407">
        <v>5963.5199999999995</v>
      </c>
      <c r="Y196" s="407">
        <v>0</v>
      </c>
      <c r="Z196" s="407">
        <v>0</v>
      </c>
      <c r="AA196" s="407">
        <v>0</v>
      </c>
      <c r="AB196" s="407">
        <v>0</v>
      </c>
      <c r="AC196" s="407">
        <v>0</v>
      </c>
      <c r="AD196" s="407">
        <v>2528.6941056233854</v>
      </c>
      <c r="AE196" s="407">
        <v>5065.906961390534</v>
      </c>
      <c r="AF196" s="407"/>
      <c r="AG196" s="407"/>
      <c r="AH196" s="407"/>
      <c r="AI196" s="407">
        <v>0</v>
      </c>
      <c r="AJ196" s="407">
        <v>0</v>
      </c>
      <c r="AK196" s="407">
        <v>0</v>
      </c>
      <c r="AL196" s="407">
        <v>0</v>
      </c>
      <c r="AM196" s="407"/>
      <c r="AN196" s="407">
        <v>0</v>
      </c>
      <c r="AO196" s="407">
        <v>0</v>
      </c>
      <c r="AP196" s="407">
        <v>0</v>
      </c>
      <c r="AQ196" s="407">
        <v>0</v>
      </c>
      <c r="AR196" s="407">
        <v>0</v>
      </c>
      <c r="AS196" s="407"/>
      <c r="AT196" s="407"/>
      <c r="AU196" s="407">
        <v>0</v>
      </c>
      <c r="AV196" s="407">
        <v>0</v>
      </c>
      <c r="AW196" s="407">
        <v>0</v>
      </c>
      <c r="AX196" s="407"/>
      <c r="AY196" s="407"/>
      <c r="AZ196" s="407">
        <v>0</v>
      </c>
      <c r="BA196" s="407"/>
      <c r="BB196" s="407">
        <v>0</v>
      </c>
      <c r="BC196" s="407">
        <v>0</v>
      </c>
      <c r="BD196" s="407">
        <v>0</v>
      </c>
      <c r="BE196" s="407">
        <v>0</v>
      </c>
      <c r="BF196" s="407"/>
      <c r="BG196" s="407">
        <v>0</v>
      </c>
      <c r="BH196" s="407">
        <v>0</v>
      </c>
      <c r="BI196" s="407">
        <v>278.25</v>
      </c>
      <c r="BJ196" s="407">
        <v>1284.26</v>
      </c>
      <c r="BK196" s="407">
        <v>9248.4599999999991</v>
      </c>
      <c r="BL196" s="407">
        <v>2</v>
      </c>
      <c r="BM196" s="407"/>
      <c r="BN196" s="407"/>
      <c r="BO196" s="407"/>
      <c r="BP196" s="407"/>
      <c r="BQ196" s="407"/>
      <c r="BR196" s="407"/>
      <c r="BS196" s="407"/>
      <c r="BT196" s="407"/>
      <c r="BU196" s="407"/>
      <c r="BV196" s="407">
        <v>0</v>
      </c>
      <c r="BW196" s="407"/>
      <c r="BX196" s="407"/>
      <c r="BY196" s="407"/>
      <c r="BZ196" s="407"/>
      <c r="CA196" s="407"/>
      <c r="CB196" s="407"/>
      <c r="CC196" s="407"/>
      <c r="CD196" s="407"/>
      <c r="CE196" s="407"/>
      <c r="CF196" s="407"/>
      <c r="CG196" s="407"/>
      <c r="CH196" s="407"/>
      <c r="CI196" s="407">
        <v>5963.5199999999995</v>
      </c>
      <c r="CJ196" s="407">
        <v>-1632.0300000000016</v>
      </c>
      <c r="CK196" s="407"/>
      <c r="CL196" s="407"/>
      <c r="CM196" s="407"/>
      <c r="CN196" s="407"/>
      <c r="CO196" s="407">
        <v>-1632.0000000000007</v>
      </c>
      <c r="CP196" s="407">
        <v>0</v>
      </c>
      <c r="CQ196" s="407">
        <v>31</v>
      </c>
      <c r="CR196" s="407">
        <v>-132.6571014264382</v>
      </c>
      <c r="CS196" s="407">
        <v>0</v>
      </c>
      <c r="CT196" s="407">
        <v>0</v>
      </c>
      <c r="CU196" s="407">
        <v>0</v>
      </c>
      <c r="CV196" s="407">
        <v>0</v>
      </c>
      <c r="CW196" s="407"/>
      <c r="CX196" s="407"/>
      <c r="CY196" s="407"/>
      <c r="CZ196" s="407">
        <v>-132.6571014264382</v>
      </c>
      <c r="DA196" s="407">
        <v>0</v>
      </c>
      <c r="DB196" s="407">
        <v>0</v>
      </c>
      <c r="DC196" s="407"/>
      <c r="DD196" s="407"/>
      <c r="DE196" s="407">
        <v>0</v>
      </c>
      <c r="DF196" s="407">
        <v>0</v>
      </c>
      <c r="DG196" s="407">
        <v>0</v>
      </c>
      <c r="DH196" s="407">
        <v>0</v>
      </c>
      <c r="DI196" s="407">
        <v>0</v>
      </c>
      <c r="DJ196" s="407"/>
      <c r="DK196" s="407">
        <v>0</v>
      </c>
      <c r="DL196" s="407">
        <v>0</v>
      </c>
      <c r="DM196" s="407"/>
      <c r="DN196" s="407">
        <v>0</v>
      </c>
      <c r="DO196" s="407">
        <v>0</v>
      </c>
      <c r="DP196" s="407">
        <v>0</v>
      </c>
      <c r="DQ196" s="407">
        <v>0</v>
      </c>
      <c r="DR196" s="407">
        <v>0</v>
      </c>
      <c r="DS196" s="407"/>
      <c r="DT196" s="407"/>
      <c r="DU196" s="407">
        <v>5065.906961390534</v>
      </c>
      <c r="DV196" s="407"/>
      <c r="DW196" s="407">
        <v>0</v>
      </c>
      <c r="DX196" s="407">
        <v>0</v>
      </c>
      <c r="DY196" s="407">
        <v>-1632.0000000000009</v>
      </c>
      <c r="DZ196" s="407"/>
      <c r="EA196" s="407">
        <v>0</v>
      </c>
      <c r="EB196" s="407"/>
      <c r="EC196" s="407">
        <v>-1497.562064621894</v>
      </c>
      <c r="ED196" s="407"/>
      <c r="EE196" s="407">
        <v>0</v>
      </c>
      <c r="EF196" s="407">
        <v>0</v>
      </c>
      <c r="EG196" s="407"/>
      <c r="EH196" s="407">
        <v>0</v>
      </c>
      <c r="EI196" s="407">
        <v>0</v>
      </c>
      <c r="EJ196" s="407">
        <v>0</v>
      </c>
      <c r="EK196" s="407">
        <v>0</v>
      </c>
      <c r="EL196" s="407">
        <v>0</v>
      </c>
      <c r="EM196" s="407"/>
      <c r="EN196" s="407"/>
      <c r="EO196" s="407">
        <v>0</v>
      </c>
      <c r="EP196" s="407">
        <v>0</v>
      </c>
      <c r="EQ196" s="407"/>
      <c r="ER196" s="407">
        <v>0</v>
      </c>
      <c r="ES196" s="407"/>
      <c r="ET196" s="407">
        <v>0</v>
      </c>
      <c r="EU196" s="407"/>
      <c r="EV196" s="407">
        <v>207</v>
      </c>
      <c r="EW196" s="407"/>
      <c r="EX196" s="407"/>
      <c r="EY196" s="407"/>
      <c r="EZ196" s="407"/>
      <c r="FA196" s="407">
        <v>0</v>
      </c>
      <c r="FB196" s="407"/>
      <c r="FC196" s="407"/>
      <c r="FD196" s="407"/>
      <c r="FE196" s="407"/>
      <c r="FF196" s="407">
        <v>0</v>
      </c>
      <c r="FG196" s="407">
        <v>0</v>
      </c>
      <c r="FH196" s="407">
        <v>0</v>
      </c>
      <c r="FI196" s="407">
        <v>0</v>
      </c>
    </row>
    <row r="197" spans="1:165">
      <c r="A197" s="407">
        <v>195</v>
      </c>
      <c r="B197" s="407" t="s">
        <v>1092</v>
      </c>
      <c r="C197" s="407" t="s">
        <v>2305</v>
      </c>
      <c r="D197" s="407" t="s">
        <v>2316</v>
      </c>
      <c r="E197" s="407" t="s">
        <v>1028</v>
      </c>
      <c r="F197" s="407" t="s">
        <v>96</v>
      </c>
      <c r="G197" s="407" t="s">
        <v>96</v>
      </c>
      <c r="H197" s="407" t="s">
        <v>96</v>
      </c>
      <c r="I197" s="407" t="s">
        <v>96</v>
      </c>
      <c r="J197" s="407" t="s">
        <v>2306</v>
      </c>
      <c r="K197" s="815">
        <v>44621</v>
      </c>
      <c r="L197" s="407">
        <v>0</v>
      </c>
      <c r="M197" s="407">
        <v>0</v>
      </c>
      <c r="N197" s="407">
        <v>53.148000000000003</v>
      </c>
      <c r="O197" s="407">
        <v>53.148000000000003</v>
      </c>
      <c r="P197" s="407">
        <v>53.148000000000003</v>
      </c>
      <c r="Q197" s="407">
        <v>53.148000000000003</v>
      </c>
      <c r="R197" s="407"/>
      <c r="S197" s="407">
        <v>710.52</v>
      </c>
      <c r="T197" s="407">
        <v>127.85</v>
      </c>
      <c r="U197" s="407"/>
      <c r="V197" s="407">
        <v>44557.688759999997</v>
      </c>
      <c r="W197" s="407">
        <v>44557.688759999997</v>
      </c>
      <c r="X197" s="407">
        <v>36603.559080000006</v>
      </c>
      <c r="Y197" s="407">
        <v>0</v>
      </c>
      <c r="Z197" s="407">
        <v>3246.0181735987962</v>
      </c>
      <c r="AA197" s="407">
        <v>0</v>
      </c>
      <c r="AB197" s="407">
        <v>0</v>
      </c>
      <c r="AC197" s="407">
        <v>0</v>
      </c>
      <c r="AD197" s="407">
        <v>5811.3327763551169</v>
      </c>
      <c r="AE197" s="407">
        <v>26476.59503760334</v>
      </c>
      <c r="AF197" s="407">
        <v>6794.8334131832298</v>
      </c>
      <c r="AG197" s="407">
        <v>0</v>
      </c>
      <c r="AH197" s="407">
        <v>0</v>
      </c>
      <c r="AI197" s="407">
        <v>0</v>
      </c>
      <c r="AJ197" s="407">
        <v>0</v>
      </c>
      <c r="AK197" s="407">
        <v>0</v>
      </c>
      <c r="AL197" s="407">
        <v>501.9986670992958</v>
      </c>
      <c r="AM197" s="407"/>
      <c r="AN197" s="407">
        <v>121.74948745175796</v>
      </c>
      <c r="AO197" s="407">
        <v>0</v>
      </c>
      <c r="AP197" s="407">
        <v>0</v>
      </c>
      <c r="AQ197" s="407">
        <v>0</v>
      </c>
      <c r="AR197" s="407">
        <v>0</v>
      </c>
      <c r="AS197" s="407">
        <v>0</v>
      </c>
      <c r="AT197" s="407">
        <v>0</v>
      </c>
      <c r="AU197" s="407">
        <v>0</v>
      </c>
      <c r="AV197" s="407">
        <v>0</v>
      </c>
      <c r="AW197" s="407">
        <v>0</v>
      </c>
      <c r="AX197" s="407">
        <v>0</v>
      </c>
      <c r="AY197" s="407">
        <v>0</v>
      </c>
      <c r="AZ197" s="407">
        <v>0</v>
      </c>
      <c r="BA197" s="407"/>
      <c r="BB197" s="407">
        <v>0</v>
      </c>
      <c r="BC197" s="407">
        <v>0</v>
      </c>
      <c r="BD197" s="407">
        <v>0</v>
      </c>
      <c r="BE197" s="407">
        <v>0</v>
      </c>
      <c r="BF197" s="407">
        <v>0</v>
      </c>
      <c r="BG197" s="407">
        <v>1604.9735973589122</v>
      </c>
      <c r="BH197" s="407">
        <v>0</v>
      </c>
      <c r="BI197" s="407">
        <v>157.15</v>
      </c>
      <c r="BJ197" s="407">
        <v>726</v>
      </c>
      <c r="BK197" s="407">
        <v>0</v>
      </c>
      <c r="BL197" s="407">
        <v>36</v>
      </c>
      <c r="BM197" s="407"/>
      <c r="BN197" s="407"/>
      <c r="BO197" s="407"/>
      <c r="BP197" s="407"/>
      <c r="BQ197" s="407"/>
      <c r="BR197" s="407">
        <v>4392.1507200000033</v>
      </c>
      <c r="BS197" s="407"/>
      <c r="BT197" s="407"/>
      <c r="BU197" s="407"/>
      <c r="BV197" s="407">
        <v>8399.807010542143</v>
      </c>
      <c r="BW197" s="407"/>
      <c r="BX197" s="407"/>
      <c r="BY197" s="407"/>
      <c r="BZ197" s="407"/>
      <c r="CA197" s="407"/>
      <c r="CB197" s="407"/>
      <c r="CC197" s="407"/>
      <c r="CD197" s="407"/>
      <c r="CE197" s="407"/>
      <c r="CF197" s="407"/>
      <c r="CG197" s="407"/>
      <c r="CH197" s="407"/>
      <c r="CI197" s="407">
        <v>32212.620499999997</v>
      </c>
      <c r="CJ197" s="407">
        <v>-6998.4094600000099</v>
      </c>
      <c r="CK197" s="407"/>
      <c r="CL197" s="407"/>
      <c r="CM197" s="407"/>
      <c r="CN197" s="407"/>
      <c r="CO197" s="407">
        <v>-8167.784639999998</v>
      </c>
      <c r="CP197" s="407">
        <v>213.65496000000056</v>
      </c>
      <c r="CQ197" s="407">
        <v>31</v>
      </c>
      <c r="CR197" s="407">
        <v>-126.86545997608118</v>
      </c>
      <c r="CS197" s="407">
        <v>0</v>
      </c>
      <c r="CT197" s="407">
        <v>0</v>
      </c>
      <c r="CU197" s="407">
        <v>0</v>
      </c>
      <c r="CV197" s="407">
        <v>0</v>
      </c>
      <c r="CW197" s="407">
        <v>0</v>
      </c>
      <c r="CX197" s="407">
        <v>0</v>
      </c>
      <c r="CY197" s="407">
        <v>0</v>
      </c>
      <c r="CZ197" s="407">
        <v>-304.86667399642829</v>
      </c>
      <c r="DA197" s="407">
        <v>0</v>
      </c>
      <c r="DB197" s="407">
        <v>0</v>
      </c>
      <c r="DC197" s="407">
        <v>213.80766954921</v>
      </c>
      <c r="DD197" s="407">
        <v>0</v>
      </c>
      <c r="DE197" s="407">
        <v>0</v>
      </c>
      <c r="DF197" s="407">
        <v>0</v>
      </c>
      <c r="DG197" s="407">
        <v>50.502439673286744</v>
      </c>
      <c r="DH197" s="407">
        <v>0</v>
      </c>
      <c r="DI197" s="407">
        <v>-73.923043244371001</v>
      </c>
      <c r="DJ197" s="407"/>
      <c r="DK197" s="407">
        <v>0</v>
      </c>
      <c r="DL197" s="407">
        <v>0</v>
      </c>
      <c r="DM197" s="407">
        <v>0</v>
      </c>
      <c r="DN197" s="407">
        <v>0</v>
      </c>
      <c r="DO197" s="407">
        <v>-9.579154853590012</v>
      </c>
      <c r="DP197" s="407">
        <v>-2.8066971041835558</v>
      </c>
      <c r="DQ197" s="407">
        <v>0</v>
      </c>
      <c r="DR197" s="407">
        <v>0</v>
      </c>
      <c r="DS197" s="407"/>
      <c r="DT197" s="407"/>
      <c r="DU197" s="407"/>
      <c r="DV197" s="407">
        <v>26476.59503760334</v>
      </c>
      <c r="DW197" s="407">
        <v>0</v>
      </c>
      <c r="DX197" s="407">
        <v>0</v>
      </c>
      <c r="DY197" s="407">
        <v>-8167.7846399999944</v>
      </c>
      <c r="DZ197" s="407">
        <v>213.65496000000076</v>
      </c>
      <c r="EA197" s="407">
        <v>0</v>
      </c>
      <c r="EB197" s="407">
        <v>0</v>
      </c>
      <c r="EC197" s="407">
        <v>-7826.8994339736892</v>
      </c>
      <c r="ED197" s="407">
        <v>0</v>
      </c>
      <c r="EE197" s="407">
        <v>0</v>
      </c>
      <c r="EF197" s="407">
        <v>0</v>
      </c>
      <c r="EG197" s="407">
        <v>0</v>
      </c>
      <c r="EH197" s="407">
        <v>0</v>
      </c>
      <c r="EI197" s="407">
        <v>0</v>
      </c>
      <c r="EJ197" s="407">
        <v>0</v>
      </c>
      <c r="EK197" s="407">
        <v>0</v>
      </c>
      <c r="EL197" s="407">
        <v>0</v>
      </c>
      <c r="EM197" s="407">
        <v>0</v>
      </c>
      <c r="EN197" s="407">
        <v>0</v>
      </c>
      <c r="EO197" s="407">
        <v>0</v>
      </c>
      <c r="EP197" s="407">
        <v>0</v>
      </c>
      <c r="EQ197" s="407">
        <v>0</v>
      </c>
      <c r="ER197" s="407">
        <v>0</v>
      </c>
      <c r="ES197" s="407">
        <v>0</v>
      </c>
      <c r="ET197" s="407">
        <v>0</v>
      </c>
      <c r="EU197" s="407">
        <v>0</v>
      </c>
      <c r="EV197" s="407">
        <v>207</v>
      </c>
      <c r="EW197" s="407">
        <v>0</v>
      </c>
      <c r="EX197" s="407">
        <v>0</v>
      </c>
      <c r="EY197" s="407">
        <v>0</v>
      </c>
      <c r="EZ197" s="407"/>
      <c r="FA197" s="407">
        <v>0</v>
      </c>
      <c r="FB197" s="407"/>
      <c r="FC197" s="407"/>
      <c r="FD197" s="407"/>
      <c r="FE197" s="407"/>
      <c r="FF197" s="407">
        <v>0</v>
      </c>
      <c r="FG197" s="407">
        <v>0</v>
      </c>
      <c r="FH197" s="407">
        <v>0</v>
      </c>
      <c r="FI197" s="407">
        <v>0</v>
      </c>
    </row>
    <row r="198" spans="1:165">
      <c r="A198" s="407">
        <v>196</v>
      </c>
      <c r="B198" s="407" t="s">
        <v>2308</v>
      </c>
      <c r="C198" s="407" t="s">
        <v>2305</v>
      </c>
      <c r="D198" s="407" t="s">
        <v>2316</v>
      </c>
      <c r="E198" s="407" t="s">
        <v>1028</v>
      </c>
      <c r="F198" s="407" t="s">
        <v>96</v>
      </c>
      <c r="G198" s="407" t="s">
        <v>96</v>
      </c>
      <c r="H198" s="407" t="s">
        <v>96</v>
      </c>
      <c r="I198" s="407" t="s">
        <v>96</v>
      </c>
      <c r="J198" s="407" t="s">
        <v>2306</v>
      </c>
      <c r="K198" s="815">
        <v>44621</v>
      </c>
      <c r="L198" s="407">
        <v>0</v>
      </c>
      <c r="M198" s="407">
        <v>0</v>
      </c>
      <c r="N198" s="407">
        <v>0.35099999999999998</v>
      </c>
      <c r="O198" s="407">
        <v>0.35099999999999998</v>
      </c>
      <c r="P198" s="407">
        <v>0.35099999999999998</v>
      </c>
      <c r="Q198" s="407">
        <v>0.35099999999999998</v>
      </c>
      <c r="R198" s="407"/>
      <c r="S198" s="407">
        <v>710.52</v>
      </c>
      <c r="T198" s="407">
        <v>127.85</v>
      </c>
      <c r="U198" s="407"/>
      <c r="V198" s="407">
        <v>294.26787000000002</v>
      </c>
      <c r="W198" s="407">
        <v>294.26787000000002</v>
      </c>
      <c r="X198" s="407">
        <v>241.73721</v>
      </c>
      <c r="Y198" s="407">
        <v>0</v>
      </c>
      <c r="Z198" s="407">
        <v>21.437351902859515</v>
      </c>
      <c r="AA198" s="407">
        <v>0</v>
      </c>
      <c r="AB198" s="407">
        <v>0</v>
      </c>
      <c r="AC198" s="407">
        <v>0</v>
      </c>
      <c r="AD198" s="407">
        <v>38.379201559807441</v>
      </c>
      <c r="AE198" s="407">
        <v>174.85671818692651</v>
      </c>
      <c r="AF198" s="407">
        <v>44.874436065840925</v>
      </c>
      <c r="AG198" s="407">
        <v>0</v>
      </c>
      <c r="AH198" s="407">
        <v>0</v>
      </c>
      <c r="AI198" s="407">
        <v>0</v>
      </c>
      <c r="AJ198" s="407">
        <v>0</v>
      </c>
      <c r="AK198" s="407">
        <v>0</v>
      </c>
      <c r="AL198" s="407">
        <v>3.3152993932387447</v>
      </c>
      <c r="AM198" s="407"/>
      <c r="AN198" s="407">
        <v>0.80405791554841277</v>
      </c>
      <c r="AO198" s="407">
        <v>0</v>
      </c>
      <c r="AP198" s="407">
        <v>0</v>
      </c>
      <c r="AQ198" s="407">
        <v>0</v>
      </c>
      <c r="AR198" s="407">
        <v>0</v>
      </c>
      <c r="AS198" s="407">
        <v>0</v>
      </c>
      <c r="AT198" s="407">
        <v>0</v>
      </c>
      <c r="AU198" s="407">
        <v>0</v>
      </c>
      <c r="AV198" s="407">
        <v>0</v>
      </c>
      <c r="AW198" s="407">
        <v>0</v>
      </c>
      <c r="AX198" s="407">
        <v>0</v>
      </c>
      <c r="AY198" s="407">
        <v>0</v>
      </c>
      <c r="AZ198" s="407">
        <v>0</v>
      </c>
      <c r="BA198" s="407"/>
      <c r="BB198" s="407">
        <v>0</v>
      </c>
      <c r="BC198" s="407">
        <v>0</v>
      </c>
      <c r="BD198" s="407">
        <v>0</v>
      </c>
      <c r="BE198" s="407">
        <v>0</v>
      </c>
      <c r="BF198" s="407">
        <v>0</v>
      </c>
      <c r="BG198" s="407">
        <v>10.599565979396743</v>
      </c>
      <c r="BH198" s="407">
        <v>0</v>
      </c>
      <c r="BI198" s="407">
        <v>0.76</v>
      </c>
      <c r="BJ198" s="407">
        <v>3.51</v>
      </c>
      <c r="BK198" s="407">
        <v>0</v>
      </c>
      <c r="BL198" s="407">
        <v>2</v>
      </c>
      <c r="BM198" s="407"/>
      <c r="BN198" s="407"/>
      <c r="BO198" s="407"/>
      <c r="BP198" s="407"/>
      <c r="BQ198" s="407"/>
      <c r="BR198" s="407">
        <v>29.006640000000019</v>
      </c>
      <c r="BS198" s="407"/>
      <c r="BT198" s="407"/>
      <c r="BU198" s="407"/>
      <c r="BV198" s="407">
        <v>55.474002045237668</v>
      </c>
      <c r="BW198" s="407"/>
      <c r="BX198" s="407"/>
      <c r="BY198" s="407"/>
      <c r="BZ198" s="407"/>
      <c r="CA198" s="407"/>
      <c r="CB198" s="407"/>
      <c r="CC198" s="407"/>
      <c r="CD198" s="407"/>
      <c r="CE198" s="407"/>
      <c r="CF198" s="407"/>
      <c r="CG198" s="407"/>
      <c r="CH198" s="407"/>
      <c r="CI198" s="407">
        <v>212.12449999999998</v>
      </c>
      <c r="CJ198" s="407">
        <v>-46.862769999999983</v>
      </c>
      <c r="CK198" s="407"/>
      <c r="CL198" s="407"/>
      <c r="CM198" s="407"/>
      <c r="CN198" s="407"/>
      <c r="CO198" s="407">
        <v>-53.941679999999977</v>
      </c>
      <c r="CP198" s="407">
        <v>1.4110200000000035</v>
      </c>
      <c r="CQ198" s="407">
        <v>31</v>
      </c>
      <c r="CR198" s="407">
        <v>-0.83784481921433951</v>
      </c>
      <c r="CS198" s="407">
        <v>0</v>
      </c>
      <c r="CT198" s="407">
        <v>0</v>
      </c>
      <c r="CU198" s="407">
        <v>0</v>
      </c>
      <c r="CV198" s="407">
        <v>0</v>
      </c>
      <c r="CW198" s="407">
        <v>0</v>
      </c>
      <c r="CX198" s="407">
        <v>0</v>
      </c>
      <c r="CY198" s="407">
        <v>0</v>
      </c>
      <c r="CZ198" s="407">
        <v>-2.0134003645056566</v>
      </c>
      <c r="DA198" s="407">
        <v>0</v>
      </c>
      <c r="DB198" s="407">
        <v>0</v>
      </c>
      <c r="DC198" s="407">
        <v>1.4120285243428299</v>
      </c>
      <c r="DD198" s="407">
        <v>0</v>
      </c>
      <c r="DE198" s="407">
        <v>0</v>
      </c>
      <c r="DF198" s="407">
        <v>0</v>
      </c>
      <c r="DG198" s="407">
        <v>0.3335281915655095</v>
      </c>
      <c r="DH198" s="407">
        <v>0</v>
      </c>
      <c r="DI198" s="407">
        <v>-0.48820253215124509</v>
      </c>
      <c r="DJ198" s="407"/>
      <c r="DK198" s="407">
        <v>0</v>
      </c>
      <c r="DL198" s="407">
        <v>0</v>
      </c>
      <c r="DM198" s="407">
        <v>0</v>
      </c>
      <c r="DN198" s="407">
        <v>0</v>
      </c>
      <c r="DO198" s="407">
        <v>-6.3262650590992564E-2</v>
      </c>
      <c r="DP198" s="407">
        <v>-1.8535987874772952E-2</v>
      </c>
      <c r="DQ198" s="407">
        <v>0</v>
      </c>
      <c r="DR198" s="407">
        <v>0</v>
      </c>
      <c r="DS198" s="407"/>
      <c r="DT198" s="407"/>
      <c r="DU198" s="407"/>
      <c r="DV198" s="407">
        <v>174.85671818692651</v>
      </c>
      <c r="DW198" s="407">
        <v>0</v>
      </c>
      <c r="DX198" s="407">
        <v>0</v>
      </c>
      <c r="DY198" s="407">
        <v>-53.941679999999991</v>
      </c>
      <c r="DZ198" s="407">
        <v>1.4110200000000006</v>
      </c>
      <c r="EA198" s="407">
        <v>0</v>
      </c>
      <c r="EB198" s="407">
        <v>0</v>
      </c>
      <c r="EC198" s="407">
        <v>-51.690406060900955</v>
      </c>
      <c r="ED198" s="407">
        <v>0</v>
      </c>
      <c r="EE198" s="407">
        <v>0</v>
      </c>
      <c r="EF198" s="407">
        <v>0</v>
      </c>
      <c r="EG198" s="407">
        <v>0</v>
      </c>
      <c r="EH198" s="407">
        <v>0</v>
      </c>
      <c r="EI198" s="407">
        <v>0</v>
      </c>
      <c r="EJ198" s="407">
        <v>0</v>
      </c>
      <c r="EK198" s="407">
        <v>0</v>
      </c>
      <c r="EL198" s="407">
        <v>0</v>
      </c>
      <c r="EM198" s="407">
        <v>0</v>
      </c>
      <c r="EN198" s="407">
        <v>0</v>
      </c>
      <c r="EO198" s="407">
        <v>0</v>
      </c>
      <c r="EP198" s="407">
        <v>0</v>
      </c>
      <c r="EQ198" s="407">
        <v>0</v>
      </c>
      <c r="ER198" s="407">
        <v>0</v>
      </c>
      <c r="ES198" s="407">
        <v>0</v>
      </c>
      <c r="ET198" s="407">
        <v>0</v>
      </c>
      <c r="EU198" s="407">
        <v>0</v>
      </c>
      <c r="EV198" s="407">
        <v>207</v>
      </c>
      <c r="EW198" s="407">
        <v>0</v>
      </c>
      <c r="EX198" s="407">
        <v>0</v>
      </c>
      <c r="EY198" s="407">
        <v>0</v>
      </c>
      <c r="EZ198" s="407"/>
      <c r="FA198" s="407">
        <v>0</v>
      </c>
      <c r="FB198" s="407"/>
      <c r="FC198" s="407"/>
      <c r="FD198" s="407"/>
      <c r="FE198" s="407"/>
      <c r="FF198" s="407">
        <v>0</v>
      </c>
      <c r="FG198" s="407">
        <v>0</v>
      </c>
      <c r="FH198" s="407">
        <v>0</v>
      </c>
      <c r="FI198" s="407">
        <v>0</v>
      </c>
    </row>
    <row r="199" spans="1:165">
      <c r="A199" s="407">
        <v>197</v>
      </c>
      <c r="B199" s="407" t="s">
        <v>1092</v>
      </c>
      <c r="C199" s="407" t="s">
        <v>2305</v>
      </c>
      <c r="D199" s="407" t="s">
        <v>1221</v>
      </c>
      <c r="E199" s="407" t="s">
        <v>2317</v>
      </c>
      <c r="F199" s="407" t="s">
        <v>96</v>
      </c>
      <c r="G199" s="407" t="s">
        <v>96</v>
      </c>
      <c r="H199" s="407" t="s">
        <v>96</v>
      </c>
      <c r="I199" s="407" t="s">
        <v>96</v>
      </c>
      <c r="J199" s="407" t="s">
        <v>2306</v>
      </c>
      <c r="K199" s="815">
        <v>44621</v>
      </c>
      <c r="L199" s="407">
        <v>0</v>
      </c>
      <c r="M199" s="407">
        <v>0</v>
      </c>
      <c r="N199" s="407">
        <v>11.063000000000001</v>
      </c>
      <c r="O199" s="407">
        <v>11.063000000000001</v>
      </c>
      <c r="P199" s="407">
        <v>11.063000000000001</v>
      </c>
      <c r="Q199" s="407">
        <v>11.063000000000001</v>
      </c>
      <c r="R199" s="407"/>
      <c r="S199" s="407">
        <v>710.52</v>
      </c>
      <c r="T199" s="407">
        <v>127.85</v>
      </c>
      <c r="U199" s="407"/>
      <c r="V199" s="407">
        <v>9274.8873100000001</v>
      </c>
      <c r="W199" s="407">
        <v>9274.8873100000001</v>
      </c>
      <c r="X199" s="407">
        <v>7619.198730000001</v>
      </c>
      <c r="Y199" s="407">
        <v>0</v>
      </c>
      <c r="Z199" s="407">
        <v>675.67357293827581</v>
      </c>
      <c r="AA199" s="407">
        <v>0</v>
      </c>
      <c r="AB199" s="407">
        <v>0</v>
      </c>
      <c r="AC199" s="407">
        <v>0</v>
      </c>
      <c r="AD199" s="407">
        <v>1209.6555750887458</v>
      </c>
      <c r="AE199" s="407">
        <v>5511.2247102620186</v>
      </c>
      <c r="AF199" s="407">
        <v>1414.3757441492826</v>
      </c>
      <c r="AG199" s="407">
        <v>0</v>
      </c>
      <c r="AH199" s="407">
        <v>0</v>
      </c>
      <c r="AI199" s="407">
        <v>0</v>
      </c>
      <c r="AJ199" s="407">
        <v>0</v>
      </c>
      <c r="AK199" s="407">
        <v>0</v>
      </c>
      <c r="AL199" s="407">
        <v>104.49332532022859</v>
      </c>
      <c r="AM199" s="407"/>
      <c r="AN199" s="407">
        <v>25.342714301174048</v>
      </c>
      <c r="AO199" s="407">
        <v>0</v>
      </c>
      <c r="AP199" s="407">
        <v>0</v>
      </c>
      <c r="AQ199" s="407">
        <v>0</v>
      </c>
      <c r="AR199" s="407">
        <v>0</v>
      </c>
      <c r="AS199" s="407">
        <v>0</v>
      </c>
      <c r="AT199" s="407">
        <v>0</v>
      </c>
      <c r="AU199" s="407">
        <v>0</v>
      </c>
      <c r="AV199" s="407">
        <v>0</v>
      </c>
      <c r="AW199" s="407">
        <v>0</v>
      </c>
      <c r="AX199" s="407">
        <v>0</v>
      </c>
      <c r="AY199" s="407">
        <v>0</v>
      </c>
      <c r="AZ199" s="407">
        <v>0</v>
      </c>
      <c r="BA199" s="407"/>
      <c r="BB199" s="407">
        <v>0</v>
      </c>
      <c r="BC199" s="407">
        <v>0</v>
      </c>
      <c r="BD199" s="407">
        <v>0</v>
      </c>
      <c r="BE199" s="407">
        <v>0</v>
      </c>
      <c r="BF199" s="407">
        <v>0</v>
      </c>
      <c r="BG199" s="407">
        <v>334.08261660987517</v>
      </c>
      <c r="BH199" s="407">
        <v>0</v>
      </c>
      <c r="BI199" s="407">
        <v>28.22</v>
      </c>
      <c r="BJ199" s="407">
        <v>130.69999999999999</v>
      </c>
      <c r="BK199" s="407">
        <v>2052.0700000000002</v>
      </c>
      <c r="BL199" s="407">
        <v>18</v>
      </c>
      <c r="BM199" s="407"/>
      <c r="BN199" s="407"/>
      <c r="BO199" s="407"/>
      <c r="BP199" s="407"/>
      <c r="BQ199" s="407"/>
      <c r="BR199" s="407"/>
      <c r="BS199" s="407"/>
      <c r="BT199" s="407"/>
      <c r="BU199" s="407"/>
      <c r="BV199" s="407">
        <v>1748.4583607591578</v>
      </c>
      <c r="BW199" s="407"/>
      <c r="BX199" s="407"/>
      <c r="BY199" s="407"/>
      <c r="BZ199" s="407"/>
      <c r="CA199" s="407"/>
      <c r="CB199" s="407"/>
      <c r="CC199" s="407"/>
      <c r="CD199" s="407"/>
      <c r="CE199" s="407"/>
      <c r="CF199" s="407"/>
      <c r="CG199" s="407"/>
      <c r="CH199" s="407"/>
      <c r="CI199" s="407">
        <v>7617.1326000000008</v>
      </c>
      <c r="CJ199" s="407">
        <v>-1657.7847099999999</v>
      </c>
      <c r="CK199" s="407"/>
      <c r="CL199" s="407"/>
      <c r="CM199" s="407"/>
      <c r="CN199" s="407"/>
      <c r="CO199" s="407">
        <v>-1700.1618399999995</v>
      </c>
      <c r="CP199" s="407">
        <v>44.473260000000117</v>
      </c>
      <c r="CQ199" s="407">
        <v>31</v>
      </c>
      <c r="CR199" s="407">
        <v>-26.407627450052132</v>
      </c>
      <c r="CS199" s="407">
        <v>0</v>
      </c>
      <c r="CT199" s="407">
        <v>0</v>
      </c>
      <c r="CU199" s="407">
        <v>0</v>
      </c>
      <c r="CV199" s="407">
        <v>0</v>
      </c>
      <c r="CW199" s="407">
        <v>0</v>
      </c>
      <c r="CX199" s="407">
        <v>0</v>
      </c>
      <c r="CY199" s="407">
        <v>0</v>
      </c>
      <c r="CZ199" s="407">
        <v>-63.459396673863466</v>
      </c>
      <c r="DA199" s="407">
        <v>0</v>
      </c>
      <c r="DB199" s="407">
        <v>0</v>
      </c>
      <c r="DC199" s="407">
        <v>44.505047193175869</v>
      </c>
      <c r="DD199" s="407">
        <v>0</v>
      </c>
      <c r="DE199" s="407">
        <v>0</v>
      </c>
      <c r="DF199" s="407">
        <v>0</v>
      </c>
      <c r="DG199" s="407">
        <v>10.512314482305499</v>
      </c>
      <c r="DH199" s="407">
        <v>0</v>
      </c>
      <c r="DI199" s="407">
        <v>-15.387420550396541</v>
      </c>
      <c r="DJ199" s="407"/>
      <c r="DK199" s="407">
        <v>0</v>
      </c>
      <c r="DL199" s="407">
        <v>0</v>
      </c>
      <c r="DM199" s="407">
        <v>0</v>
      </c>
      <c r="DN199" s="407">
        <v>0</v>
      </c>
      <c r="DO199" s="407">
        <v>-1.9939450241827643</v>
      </c>
      <c r="DP199" s="407">
        <v>-0.58422687709006382</v>
      </c>
      <c r="DQ199" s="407">
        <v>0</v>
      </c>
      <c r="DR199" s="407">
        <v>0</v>
      </c>
      <c r="DS199" s="407"/>
      <c r="DT199" s="407"/>
      <c r="DU199" s="407"/>
      <c r="DV199" s="407">
        <v>5511.2247102620186</v>
      </c>
      <c r="DW199" s="407">
        <v>0</v>
      </c>
      <c r="DX199" s="407">
        <v>0</v>
      </c>
      <c r="DY199" s="407">
        <v>-1700.1618399999988</v>
      </c>
      <c r="DZ199" s="407">
        <v>44.473260000000209</v>
      </c>
      <c r="EA199" s="407">
        <v>0</v>
      </c>
      <c r="EB199" s="407">
        <v>0</v>
      </c>
      <c r="EC199" s="407">
        <v>-1629.2050206602494</v>
      </c>
      <c r="ED199" s="407">
        <v>0</v>
      </c>
      <c r="EE199" s="407">
        <v>0</v>
      </c>
      <c r="EF199" s="407">
        <v>0</v>
      </c>
      <c r="EG199" s="407">
        <v>0</v>
      </c>
      <c r="EH199" s="407">
        <v>0</v>
      </c>
      <c r="EI199" s="407">
        <v>0</v>
      </c>
      <c r="EJ199" s="407">
        <v>0</v>
      </c>
      <c r="EK199" s="407">
        <v>0</v>
      </c>
      <c r="EL199" s="407">
        <v>0</v>
      </c>
      <c r="EM199" s="407">
        <v>0</v>
      </c>
      <c r="EN199" s="407">
        <v>0</v>
      </c>
      <c r="EO199" s="407">
        <v>0</v>
      </c>
      <c r="EP199" s="407">
        <v>0</v>
      </c>
      <c r="EQ199" s="407">
        <v>0</v>
      </c>
      <c r="ER199" s="407">
        <v>0</v>
      </c>
      <c r="ES199" s="407">
        <v>0</v>
      </c>
      <c r="ET199" s="407">
        <v>0</v>
      </c>
      <c r="EU199" s="407">
        <v>0</v>
      </c>
      <c r="EV199" s="407">
        <v>207</v>
      </c>
      <c r="EW199" s="407">
        <v>0</v>
      </c>
      <c r="EX199" s="407">
        <v>0</v>
      </c>
      <c r="EY199" s="407">
        <v>0</v>
      </c>
      <c r="EZ199" s="407"/>
      <c r="FA199" s="407">
        <v>0</v>
      </c>
      <c r="FB199" s="407"/>
      <c r="FC199" s="407"/>
      <c r="FD199" s="407"/>
      <c r="FE199" s="407"/>
      <c r="FF199" s="407">
        <v>0</v>
      </c>
      <c r="FG199" s="407">
        <v>0</v>
      </c>
      <c r="FH199" s="407">
        <v>0</v>
      </c>
      <c r="FI199" s="407">
        <v>0</v>
      </c>
    </row>
    <row r="200" spans="1:165">
      <c r="A200" s="407">
        <v>198</v>
      </c>
      <c r="B200" s="407" t="s">
        <v>1092</v>
      </c>
      <c r="C200" s="407" t="s">
        <v>2305</v>
      </c>
      <c r="D200" s="407" t="s">
        <v>2318</v>
      </c>
      <c r="E200" s="407" t="s">
        <v>2319</v>
      </c>
      <c r="F200" s="407" t="s">
        <v>2320</v>
      </c>
      <c r="G200" s="407" t="s">
        <v>96</v>
      </c>
      <c r="H200" s="407" t="s">
        <v>96</v>
      </c>
      <c r="I200" s="407" t="s">
        <v>96</v>
      </c>
      <c r="J200" s="407" t="s">
        <v>2306</v>
      </c>
      <c r="K200" s="815">
        <v>44621</v>
      </c>
      <c r="L200" s="407">
        <v>0</v>
      </c>
      <c r="M200" s="407">
        <v>0</v>
      </c>
      <c r="N200" s="407">
        <v>37.658000000000001</v>
      </c>
      <c r="O200" s="407">
        <v>37.658000000000001</v>
      </c>
      <c r="P200" s="407">
        <v>37.658000000000001</v>
      </c>
      <c r="Q200" s="407">
        <v>37.658000000000001</v>
      </c>
      <c r="R200" s="407"/>
      <c r="S200" s="407">
        <v>390.79</v>
      </c>
      <c r="T200" s="407">
        <v>70.319999999999993</v>
      </c>
      <c r="U200" s="407"/>
      <c r="V200" s="407">
        <v>17364.480380000001</v>
      </c>
      <c r="W200" s="407">
        <v>17364.480380000001</v>
      </c>
      <c r="X200" s="407">
        <v>14264.473820000001</v>
      </c>
      <c r="Y200" s="407">
        <v>0</v>
      </c>
      <c r="Z200" s="407">
        <v>1264.980879990987</v>
      </c>
      <c r="AA200" s="407">
        <v>0</v>
      </c>
      <c r="AB200" s="407">
        <v>0</v>
      </c>
      <c r="AC200" s="407">
        <v>0</v>
      </c>
      <c r="AD200" s="407">
        <v>2264.6899851469361</v>
      </c>
      <c r="AE200" s="407">
        <v>10317.99105816468</v>
      </c>
      <c r="AF200" s="407">
        <v>2647.9624853335936</v>
      </c>
      <c r="AG200" s="407">
        <v>0</v>
      </c>
      <c r="AH200" s="407">
        <v>0</v>
      </c>
      <c r="AI200" s="407">
        <v>0</v>
      </c>
      <c r="AJ200" s="407">
        <v>0</v>
      </c>
      <c r="AK200" s="407">
        <v>0</v>
      </c>
      <c r="AL200" s="407">
        <v>195.63005556359417</v>
      </c>
      <c r="AM200" s="407"/>
      <c r="AN200" s="407">
        <v>47.446060230903768</v>
      </c>
      <c r="AO200" s="407">
        <v>0</v>
      </c>
      <c r="AP200" s="407">
        <v>0</v>
      </c>
      <c r="AQ200" s="407">
        <v>0</v>
      </c>
      <c r="AR200" s="407">
        <v>0</v>
      </c>
      <c r="AS200" s="407">
        <v>0</v>
      </c>
      <c r="AT200" s="407">
        <v>0</v>
      </c>
      <c r="AU200" s="407">
        <v>0</v>
      </c>
      <c r="AV200" s="407">
        <v>0</v>
      </c>
      <c r="AW200" s="407">
        <v>0</v>
      </c>
      <c r="AX200" s="407">
        <v>0</v>
      </c>
      <c r="AY200" s="407">
        <v>0</v>
      </c>
      <c r="AZ200" s="407">
        <v>0</v>
      </c>
      <c r="BA200" s="407"/>
      <c r="BB200" s="407">
        <v>0</v>
      </c>
      <c r="BC200" s="407">
        <v>0</v>
      </c>
      <c r="BD200" s="407">
        <v>0</v>
      </c>
      <c r="BE200" s="407">
        <v>0</v>
      </c>
      <c r="BF200" s="407">
        <v>0</v>
      </c>
      <c r="BG200" s="407">
        <v>625.46196754606308</v>
      </c>
      <c r="BH200" s="407">
        <v>0</v>
      </c>
      <c r="BI200" s="407">
        <v>60.26</v>
      </c>
      <c r="BJ200" s="407">
        <v>278.88</v>
      </c>
      <c r="BK200" s="407">
        <v>4379.17</v>
      </c>
      <c r="BL200" s="407">
        <v>36</v>
      </c>
      <c r="BM200" s="407"/>
      <c r="BN200" s="407"/>
      <c r="BO200" s="407"/>
      <c r="BP200" s="407"/>
      <c r="BQ200" s="407"/>
      <c r="BR200" s="407"/>
      <c r="BS200" s="407"/>
      <c r="BT200" s="407"/>
      <c r="BU200" s="407"/>
      <c r="BV200" s="407">
        <v>3273.4244528796567</v>
      </c>
      <c r="BW200" s="407"/>
      <c r="BX200" s="407"/>
      <c r="BY200" s="407"/>
      <c r="BZ200" s="407"/>
      <c r="CA200" s="407"/>
      <c r="CB200" s="407"/>
      <c r="CC200" s="407"/>
      <c r="CD200" s="407"/>
      <c r="CE200" s="407"/>
      <c r="CF200" s="407"/>
      <c r="CG200" s="407"/>
      <c r="CH200" s="407"/>
      <c r="CI200" s="407">
        <v>14265.231399999997</v>
      </c>
      <c r="CJ200" s="407">
        <v>-3099.2789800000028</v>
      </c>
      <c r="CK200" s="407"/>
      <c r="CL200" s="407"/>
      <c r="CM200" s="407"/>
      <c r="CN200" s="407"/>
      <c r="CO200" s="407">
        <v>-3183.2307400000013</v>
      </c>
      <c r="CP200" s="407">
        <v>83.224180000000302</v>
      </c>
      <c r="CQ200" s="407">
        <v>31</v>
      </c>
      <c r="CR200" s="407">
        <v>-49.43976669825588</v>
      </c>
      <c r="CS200" s="407">
        <v>0</v>
      </c>
      <c r="CT200" s="407">
        <v>0</v>
      </c>
      <c r="CU200" s="407">
        <v>0</v>
      </c>
      <c r="CV200" s="407">
        <v>0</v>
      </c>
      <c r="CW200" s="407">
        <v>0</v>
      </c>
      <c r="CX200" s="407">
        <v>0</v>
      </c>
      <c r="CY200" s="407">
        <v>0</v>
      </c>
      <c r="CZ200" s="407">
        <v>-118.80725643762071</v>
      </c>
      <c r="DA200" s="407">
        <v>0</v>
      </c>
      <c r="DB200" s="407">
        <v>0</v>
      </c>
      <c r="DC200" s="407">
        <v>83.321349268764152</v>
      </c>
      <c r="DD200" s="407">
        <v>0</v>
      </c>
      <c r="DE200" s="407">
        <v>0</v>
      </c>
      <c r="DF200" s="407">
        <v>0</v>
      </c>
      <c r="DG200" s="407">
        <v>19.680918948388467</v>
      </c>
      <c r="DH200" s="407">
        <v>0</v>
      </c>
      <c r="DI200" s="407">
        <v>-28.807982979101325</v>
      </c>
      <c r="DJ200" s="407"/>
      <c r="DK200" s="407">
        <v>0</v>
      </c>
      <c r="DL200" s="407">
        <v>0</v>
      </c>
      <c r="DM200" s="407">
        <v>0</v>
      </c>
      <c r="DN200" s="407">
        <v>0</v>
      </c>
      <c r="DO200" s="407">
        <v>-3.7330190677368478</v>
      </c>
      <c r="DP200" s="407">
        <v>-1.0937764309501432</v>
      </c>
      <c r="DQ200" s="407">
        <v>0</v>
      </c>
      <c r="DR200" s="407">
        <v>0</v>
      </c>
      <c r="DS200" s="407"/>
      <c r="DT200" s="407"/>
      <c r="DU200" s="407"/>
      <c r="DV200" s="407">
        <v>10317.99105816468</v>
      </c>
      <c r="DW200" s="407">
        <v>0</v>
      </c>
      <c r="DX200" s="407">
        <v>0</v>
      </c>
      <c r="DY200" s="407">
        <v>-3183.2307400000009</v>
      </c>
      <c r="DZ200" s="407">
        <v>83.224180000000615</v>
      </c>
      <c r="EA200" s="407">
        <v>0</v>
      </c>
      <c r="EB200" s="407">
        <v>0</v>
      </c>
      <c r="EC200" s="407">
        <v>-3050.161029324162</v>
      </c>
      <c r="ED200" s="407">
        <v>0</v>
      </c>
      <c r="EE200" s="407">
        <v>0</v>
      </c>
      <c r="EF200" s="407">
        <v>0</v>
      </c>
      <c r="EG200" s="407">
        <v>0</v>
      </c>
      <c r="EH200" s="407">
        <v>0</v>
      </c>
      <c r="EI200" s="407">
        <v>0</v>
      </c>
      <c r="EJ200" s="407">
        <v>0</v>
      </c>
      <c r="EK200" s="407">
        <v>0</v>
      </c>
      <c r="EL200" s="407">
        <v>0</v>
      </c>
      <c r="EM200" s="407">
        <v>0</v>
      </c>
      <c r="EN200" s="407">
        <v>0</v>
      </c>
      <c r="EO200" s="407">
        <v>0</v>
      </c>
      <c r="EP200" s="407">
        <v>0</v>
      </c>
      <c r="EQ200" s="407">
        <v>0</v>
      </c>
      <c r="ER200" s="407">
        <v>0</v>
      </c>
      <c r="ES200" s="407">
        <v>0</v>
      </c>
      <c r="ET200" s="407">
        <v>0</v>
      </c>
      <c r="EU200" s="407">
        <v>0</v>
      </c>
      <c r="EV200" s="407">
        <v>207</v>
      </c>
      <c r="EW200" s="407">
        <v>0</v>
      </c>
      <c r="EX200" s="407">
        <v>0</v>
      </c>
      <c r="EY200" s="407">
        <v>0</v>
      </c>
      <c r="EZ200" s="407"/>
      <c r="FA200" s="407">
        <v>0</v>
      </c>
      <c r="FB200" s="407"/>
      <c r="FC200" s="407"/>
      <c r="FD200" s="407"/>
      <c r="FE200" s="407"/>
      <c r="FF200" s="407">
        <v>0</v>
      </c>
      <c r="FG200" s="407">
        <v>0</v>
      </c>
      <c r="FH200" s="407">
        <v>0</v>
      </c>
      <c r="FI200" s="407">
        <v>0</v>
      </c>
    </row>
    <row r="201" spans="1:165">
      <c r="A201" s="407">
        <v>199</v>
      </c>
      <c r="B201" s="407" t="s">
        <v>1092</v>
      </c>
      <c r="C201" s="407" t="s">
        <v>2305</v>
      </c>
      <c r="D201" s="407" t="s">
        <v>1221</v>
      </c>
      <c r="E201" s="407" t="s">
        <v>1054</v>
      </c>
      <c r="F201" s="407" t="s">
        <v>2321</v>
      </c>
      <c r="G201" s="407" t="s">
        <v>96</v>
      </c>
      <c r="H201" s="407" t="s">
        <v>96</v>
      </c>
      <c r="I201" s="407" t="s">
        <v>96</v>
      </c>
      <c r="J201" s="407" t="s">
        <v>2306</v>
      </c>
      <c r="K201" s="815">
        <v>44621</v>
      </c>
      <c r="L201" s="407">
        <v>0</v>
      </c>
      <c r="M201" s="407">
        <v>0</v>
      </c>
      <c r="N201" s="407">
        <v>4.0999999999999996</v>
      </c>
      <c r="O201" s="407">
        <v>3.8540000000000001</v>
      </c>
      <c r="P201" s="407">
        <v>4.0999999999999996</v>
      </c>
      <c r="Q201" s="407">
        <v>3.8540000000000001</v>
      </c>
      <c r="R201" s="407"/>
      <c r="S201" s="407">
        <v>710.52</v>
      </c>
      <c r="T201" s="407">
        <v>127.85</v>
      </c>
      <c r="U201" s="407"/>
      <c r="V201" s="407">
        <v>3437.3169999999996</v>
      </c>
      <c r="W201" s="407">
        <v>3437.3169999999996</v>
      </c>
      <c r="X201" s="407">
        <v>2823.7109999999998</v>
      </c>
      <c r="Y201" s="407">
        <v>0</v>
      </c>
      <c r="Z201" s="407">
        <v>250.40781424992593</v>
      </c>
      <c r="AA201" s="407">
        <v>0</v>
      </c>
      <c r="AB201" s="407">
        <v>0</v>
      </c>
      <c r="AC201" s="407">
        <v>0</v>
      </c>
      <c r="AD201" s="407">
        <v>448.30406380401854</v>
      </c>
      <c r="AE201" s="407">
        <v>2042.485881955552</v>
      </c>
      <c r="AF201" s="407">
        <v>524.17432441580559</v>
      </c>
      <c r="AG201" s="407">
        <v>0</v>
      </c>
      <c r="AH201" s="407">
        <v>0</v>
      </c>
      <c r="AI201" s="407">
        <v>0</v>
      </c>
      <c r="AJ201" s="407">
        <v>0</v>
      </c>
      <c r="AK201" s="407">
        <v>0</v>
      </c>
      <c r="AL201" s="407">
        <v>38.725719408201861</v>
      </c>
      <c r="AM201" s="407"/>
      <c r="AN201" s="407">
        <v>9.3921294978589511</v>
      </c>
      <c r="AO201" s="407">
        <v>0</v>
      </c>
      <c r="AP201" s="407">
        <v>0</v>
      </c>
      <c r="AQ201" s="407">
        <v>0</v>
      </c>
      <c r="AR201" s="407">
        <v>0</v>
      </c>
      <c r="AS201" s="407">
        <v>0</v>
      </c>
      <c r="AT201" s="407">
        <v>0</v>
      </c>
      <c r="AU201" s="407">
        <v>0</v>
      </c>
      <c r="AV201" s="407">
        <v>0</v>
      </c>
      <c r="AW201" s="407">
        <v>0</v>
      </c>
      <c r="AX201" s="407">
        <v>0</v>
      </c>
      <c r="AY201" s="407">
        <v>0</v>
      </c>
      <c r="AZ201" s="407">
        <v>0</v>
      </c>
      <c r="BA201" s="407"/>
      <c r="BB201" s="407">
        <v>0</v>
      </c>
      <c r="BC201" s="407">
        <v>0</v>
      </c>
      <c r="BD201" s="407">
        <v>0</v>
      </c>
      <c r="BE201" s="407">
        <v>0</v>
      </c>
      <c r="BF201" s="407">
        <v>0</v>
      </c>
      <c r="BG201" s="407">
        <v>123.81259406132948</v>
      </c>
      <c r="BH201" s="407">
        <v>0</v>
      </c>
      <c r="BI201" s="407">
        <v>22.97</v>
      </c>
      <c r="BJ201" s="407">
        <v>106.05</v>
      </c>
      <c r="BK201" s="407">
        <v>738.76</v>
      </c>
      <c r="BL201" s="407">
        <v>1</v>
      </c>
      <c r="BM201" s="407"/>
      <c r="BN201" s="407"/>
      <c r="BO201" s="407"/>
      <c r="BP201" s="407"/>
      <c r="BQ201" s="407">
        <v>169.42265999999969</v>
      </c>
      <c r="BR201" s="407"/>
      <c r="BS201" s="407"/>
      <c r="BT201" s="407"/>
      <c r="BU201" s="407"/>
      <c r="BV201" s="407">
        <v>647.98691847713508</v>
      </c>
      <c r="BW201" s="407"/>
      <c r="BX201" s="407"/>
      <c r="BY201" s="407"/>
      <c r="BZ201" s="407"/>
      <c r="CA201" s="407"/>
      <c r="CB201" s="407"/>
      <c r="CC201" s="407"/>
      <c r="CD201" s="407"/>
      <c r="CE201" s="407"/>
      <c r="CF201" s="407"/>
      <c r="CG201" s="407"/>
      <c r="CH201" s="407"/>
      <c r="CI201" s="407">
        <v>2651.5335000000005</v>
      </c>
      <c r="CJ201" s="407">
        <v>-579.57448000000022</v>
      </c>
      <c r="CK201" s="407"/>
      <c r="CL201" s="407"/>
      <c r="CM201" s="407"/>
      <c r="CN201" s="407"/>
      <c r="CO201" s="407">
        <v>-630.08799999999974</v>
      </c>
      <c r="CP201" s="407">
        <v>16.482000000000042</v>
      </c>
      <c r="CQ201" s="407">
        <v>31</v>
      </c>
      <c r="CR201" s="407">
        <v>-9.7867913355521523</v>
      </c>
      <c r="CS201" s="407">
        <v>0</v>
      </c>
      <c r="CT201" s="407">
        <v>0</v>
      </c>
      <c r="CU201" s="407">
        <v>0</v>
      </c>
      <c r="CV201" s="407">
        <v>0</v>
      </c>
      <c r="CW201" s="407">
        <v>0</v>
      </c>
      <c r="CX201" s="407">
        <v>0</v>
      </c>
      <c r="CY201" s="407">
        <v>0</v>
      </c>
      <c r="CZ201" s="407">
        <v>-23.518351836105921</v>
      </c>
      <c r="DA201" s="407">
        <v>0</v>
      </c>
      <c r="DB201" s="407">
        <v>0</v>
      </c>
      <c r="DC201" s="407">
        <v>16.493780483776732</v>
      </c>
      <c r="DD201" s="407">
        <v>0</v>
      </c>
      <c r="DE201" s="407">
        <v>0</v>
      </c>
      <c r="DF201" s="407">
        <v>0</v>
      </c>
      <c r="DG201" s="407">
        <v>3.8959133487709039</v>
      </c>
      <c r="DH201" s="407">
        <v>0</v>
      </c>
      <c r="DI201" s="407">
        <v>-5.7026506604561291</v>
      </c>
      <c r="DJ201" s="407"/>
      <c r="DK201" s="407">
        <v>0</v>
      </c>
      <c r="DL201" s="407">
        <v>0</v>
      </c>
      <c r="DM201" s="407">
        <v>0</v>
      </c>
      <c r="DN201" s="407">
        <v>0</v>
      </c>
      <c r="DO201" s="407">
        <v>-0.73896543425376393</v>
      </c>
      <c r="DP201" s="407">
        <v>-0.21651723728367145</v>
      </c>
      <c r="DQ201" s="407">
        <v>0</v>
      </c>
      <c r="DR201" s="407">
        <v>0</v>
      </c>
      <c r="DS201" s="407"/>
      <c r="DT201" s="407"/>
      <c r="DU201" s="407"/>
      <c r="DV201" s="407">
        <v>2042.485881955552</v>
      </c>
      <c r="DW201" s="407">
        <v>0</v>
      </c>
      <c r="DX201" s="407">
        <v>0</v>
      </c>
      <c r="DY201" s="407">
        <v>-630.08799999999974</v>
      </c>
      <c r="DZ201" s="407">
        <v>16.481999999999971</v>
      </c>
      <c r="EA201" s="407">
        <v>0</v>
      </c>
      <c r="EB201" s="407">
        <v>0</v>
      </c>
      <c r="EC201" s="407">
        <v>-603.79106794784593</v>
      </c>
      <c r="ED201" s="407">
        <v>0</v>
      </c>
      <c r="EE201" s="407">
        <v>0</v>
      </c>
      <c r="EF201" s="407">
        <v>0</v>
      </c>
      <c r="EG201" s="407">
        <v>0</v>
      </c>
      <c r="EH201" s="407">
        <v>0</v>
      </c>
      <c r="EI201" s="407">
        <v>0</v>
      </c>
      <c r="EJ201" s="407">
        <v>0</v>
      </c>
      <c r="EK201" s="407">
        <v>0</v>
      </c>
      <c r="EL201" s="407">
        <v>0</v>
      </c>
      <c r="EM201" s="407">
        <v>0</v>
      </c>
      <c r="EN201" s="407">
        <v>0</v>
      </c>
      <c r="EO201" s="407">
        <v>0</v>
      </c>
      <c r="EP201" s="407">
        <v>0</v>
      </c>
      <c r="EQ201" s="407">
        <v>0</v>
      </c>
      <c r="ER201" s="407">
        <v>0</v>
      </c>
      <c r="ES201" s="407">
        <v>0</v>
      </c>
      <c r="ET201" s="407">
        <v>0</v>
      </c>
      <c r="EU201" s="407">
        <v>0</v>
      </c>
      <c r="EV201" s="407">
        <v>207</v>
      </c>
      <c r="EW201" s="407">
        <v>0</v>
      </c>
      <c r="EX201" s="407">
        <v>0</v>
      </c>
      <c r="EY201" s="407">
        <v>0</v>
      </c>
      <c r="EZ201" s="407"/>
      <c r="FA201" s="407">
        <v>0</v>
      </c>
      <c r="FB201" s="407"/>
      <c r="FC201" s="407"/>
      <c r="FD201" s="407"/>
      <c r="FE201" s="407"/>
      <c r="FF201" s="407">
        <v>0</v>
      </c>
      <c r="FG201" s="407">
        <v>0</v>
      </c>
      <c r="FH201" s="407">
        <v>0</v>
      </c>
      <c r="FI201" s="407">
        <v>0</v>
      </c>
    </row>
    <row r="202" spans="1:165">
      <c r="A202" s="407">
        <v>200</v>
      </c>
      <c r="B202" s="407" t="s">
        <v>1092</v>
      </c>
      <c r="C202" s="407" t="s">
        <v>2305</v>
      </c>
      <c r="D202" s="407" t="s">
        <v>1220</v>
      </c>
      <c r="E202" s="407" t="s">
        <v>1023</v>
      </c>
      <c r="F202" s="407" t="s">
        <v>1023</v>
      </c>
      <c r="G202" s="407" t="s">
        <v>96</v>
      </c>
      <c r="H202" s="407" t="s">
        <v>96</v>
      </c>
      <c r="I202" s="407" t="s">
        <v>96</v>
      </c>
      <c r="J202" s="407" t="s">
        <v>2306</v>
      </c>
      <c r="K202" s="815">
        <v>44652</v>
      </c>
      <c r="L202" s="407">
        <v>0</v>
      </c>
      <c r="M202" s="407">
        <v>0</v>
      </c>
      <c r="N202" s="407">
        <v>942.64200000000005</v>
      </c>
      <c r="O202" s="407">
        <v>942.64200000000005</v>
      </c>
      <c r="P202" s="407">
        <v>942.64200000000005</v>
      </c>
      <c r="Q202" s="407">
        <v>942.64200000000005</v>
      </c>
      <c r="R202" s="407"/>
      <c r="S202" s="407">
        <v>710.52</v>
      </c>
      <c r="T202" s="407">
        <v>127.85</v>
      </c>
      <c r="U202" s="407"/>
      <c r="V202" s="407">
        <v>790282.77353999997</v>
      </c>
      <c r="W202" s="407">
        <v>790282.77353999997</v>
      </c>
      <c r="X202" s="407">
        <v>649206.97182000009</v>
      </c>
      <c r="Y202" s="407">
        <v>0</v>
      </c>
      <c r="Z202" s="407">
        <v>57571.932400043588</v>
      </c>
      <c r="AA202" s="407">
        <v>0</v>
      </c>
      <c r="AB202" s="407">
        <v>0</v>
      </c>
      <c r="AC202" s="407">
        <v>0</v>
      </c>
      <c r="AD202" s="407">
        <v>103070.79007618237</v>
      </c>
      <c r="AE202" s="407">
        <v>469593.40896057215</v>
      </c>
      <c r="AF202" s="407">
        <v>120514.32524779608</v>
      </c>
      <c r="AG202" s="407">
        <v>0</v>
      </c>
      <c r="AH202" s="407">
        <v>0</v>
      </c>
      <c r="AI202" s="407">
        <v>0</v>
      </c>
      <c r="AJ202" s="407">
        <v>0</v>
      </c>
      <c r="AK202" s="407">
        <v>0</v>
      </c>
      <c r="AL202" s="407">
        <v>8903.5340474112745</v>
      </c>
      <c r="AM202" s="407"/>
      <c r="AN202" s="407">
        <v>2159.3696912489659</v>
      </c>
      <c r="AO202" s="407">
        <v>0</v>
      </c>
      <c r="AP202" s="407">
        <v>0</v>
      </c>
      <c r="AQ202" s="407">
        <v>0</v>
      </c>
      <c r="AR202" s="407">
        <v>0</v>
      </c>
      <c r="AS202" s="407">
        <v>0</v>
      </c>
      <c r="AT202" s="407">
        <v>0</v>
      </c>
      <c r="AU202" s="407">
        <v>0</v>
      </c>
      <c r="AV202" s="407">
        <v>0</v>
      </c>
      <c r="AW202" s="407">
        <v>0</v>
      </c>
      <c r="AX202" s="407">
        <v>0</v>
      </c>
      <c r="AY202" s="407">
        <v>0</v>
      </c>
      <c r="AZ202" s="407">
        <v>0</v>
      </c>
      <c r="BA202" s="407"/>
      <c r="BB202" s="407">
        <v>0</v>
      </c>
      <c r="BC202" s="407">
        <v>0</v>
      </c>
      <c r="BD202" s="407">
        <v>0</v>
      </c>
      <c r="BE202" s="407">
        <v>0</v>
      </c>
      <c r="BF202" s="407">
        <v>0</v>
      </c>
      <c r="BG202" s="407">
        <v>28466.085680770673</v>
      </c>
      <c r="BH202" s="407">
        <v>0</v>
      </c>
      <c r="BI202" s="407">
        <v>3585.24</v>
      </c>
      <c r="BJ202" s="407">
        <v>16682.45</v>
      </c>
      <c r="BK202" s="407">
        <v>183892.71</v>
      </c>
      <c r="BL202" s="407">
        <v>5603</v>
      </c>
      <c r="BM202" s="407"/>
      <c r="BN202" s="407"/>
      <c r="BO202" s="407"/>
      <c r="BP202" s="407"/>
      <c r="BQ202" s="407"/>
      <c r="BR202" s="407"/>
      <c r="BS202" s="407"/>
      <c r="BT202" s="407"/>
      <c r="BU202" s="407"/>
      <c r="BV202" s="407">
        <v>148980.41092856677</v>
      </c>
      <c r="BW202" s="407"/>
      <c r="BX202" s="407"/>
      <c r="BY202" s="407"/>
      <c r="BZ202" s="407"/>
      <c r="CA202" s="407"/>
      <c r="CB202" s="407"/>
      <c r="CC202" s="407"/>
      <c r="CD202" s="407"/>
      <c r="CE202" s="407"/>
      <c r="CF202" s="407"/>
      <c r="CG202" s="407"/>
      <c r="CH202" s="407"/>
      <c r="CI202" s="407">
        <v>649205.59440000006</v>
      </c>
      <c r="CJ202" s="407">
        <v>-141077.20913999993</v>
      </c>
      <c r="CK202" s="407"/>
      <c r="CL202" s="407"/>
      <c r="CM202" s="407"/>
      <c r="CN202" s="407"/>
      <c r="CO202" s="407">
        <v>-144865.22255999997</v>
      </c>
      <c r="CP202" s="407">
        <v>3789.4208400000098</v>
      </c>
      <c r="CQ202" s="407">
        <v>30</v>
      </c>
      <c r="CR202" s="407">
        <v>-2250.1074532018974</v>
      </c>
      <c r="CS202" s="407">
        <v>0</v>
      </c>
      <c r="CT202" s="407">
        <v>0</v>
      </c>
      <c r="CU202" s="407">
        <v>0</v>
      </c>
      <c r="CV202" s="407">
        <v>0</v>
      </c>
      <c r="CW202" s="407">
        <v>0</v>
      </c>
      <c r="CX202" s="407">
        <v>0</v>
      </c>
      <c r="CY202" s="407">
        <v>0</v>
      </c>
      <c r="CZ202" s="407">
        <v>-5407.1673686562426</v>
      </c>
      <c r="DA202" s="407">
        <v>0</v>
      </c>
      <c r="DB202" s="407">
        <v>0</v>
      </c>
      <c r="DC202" s="407">
        <v>3792.12932263127</v>
      </c>
      <c r="DD202" s="407">
        <v>0</v>
      </c>
      <c r="DE202" s="407">
        <v>0</v>
      </c>
      <c r="DF202" s="407">
        <v>0</v>
      </c>
      <c r="DG202" s="407">
        <v>895.71989046636372</v>
      </c>
      <c r="DH202" s="407">
        <v>0</v>
      </c>
      <c r="DI202" s="407">
        <v>-1311.1117131399224</v>
      </c>
      <c r="DJ202" s="407"/>
      <c r="DK202" s="407">
        <v>0</v>
      </c>
      <c r="DL202" s="407">
        <v>0</v>
      </c>
      <c r="DM202" s="407">
        <v>0</v>
      </c>
      <c r="DN202" s="407">
        <v>0</v>
      </c>
      <c r="DO202" s="407">
        <v>-169.89752557947213</v>
      </c>
      <c r="DP202" s="407">
        <v>-49.780058923794059</v>
      </c>
      <c r="DQ202" s="407">
        <v>0</v>
      </c>
      <c r="DR202" s="407">
        <v>0</v>
      </c>
      <c r="DS202" s="407"/>
      <c r="DT202" s="407"/>
      <c r="DU202" s="407"/>
      <c r="DV202" s="407">
        <v>469593.40896057215</v>
      </c>
      <c r="DW202" s="407">
        <v>0</v>
      </c>
      <c r="DX202" s="407">
        <v>0</v>
      </c>
      <c r="DY202" s="407">
        <v>-144865.22255999991</v>
      </c>
      <c r="DZ202" s="407">
        <v>3789.4208400000061</v>
      </c>
      <c r="EA202" s="407">
        <v>0</v>
      </c>
      <c r="EB202" s="407">
        <v>0</v>
      </c>
      <c r="EC202" s="407">
        <v>-138819.22435914481</v>
      </c>
      <c r="ED202" s="407">
        <v>0</v>
      </c>
      <c r="EE202" s="407">
        <v>0</v>
      </c>
      <c r="EF202" s="407">
        <v>0</v>
      </c>
      <c r="EG202" s="407">
        <v>0</v>
      </c>
      <c r="EH202" s="407">
        <v>0</v>
      </c>
      <c r="EI202" s="407">
        <v>0</v>
      </c>
      <c r="EJ202" s="407">
        <v>0</v>
      </c>
      <c r="EK202" s="407">
        <v>0</v>
      </c>
      <c r="EL202" s="407">
        <v>0</v>
      </c>
      <c r="EM202" s="407">
        <v>0</v>
      </c>
      <c r="EN202" s="407">
        <v>0</v>
      </c>
      <c r="EO202" s="407">
        <v>0</v>
      </c>
      <c r="EP202" s="407">
        <v>0</v>
      </c>
      <c r="EQ202" s="407">
        <v>0</v>
      </c>
      <c r="ER202" s="407">
        <v>0</v>
      </c>
      <c r="ES202" s="407">
        <v>0</v>
      </c>
      <c r="ET202" s="407">
        <v>0</v>
      </c>
      <c r="EU202" s="407">
        <v>0</v>
      </c>
      <c r="EV202" s="407">
        <v>207</v>
      </c>
      <c r="EW202" s="407">
        <v>0</v>
      </c>
      <c r="EX202" s="407">
        <v>0</v>
      </c>
      <c r="EY202" s="407">
        <v>0</v>
      </c>
      <c r="EZ202" s="407"/>
      <c r="FA202" s="407">
        <v>0</v>
      </c>
      <c r="FB202" s="407"/>
      <c r="FC202" s="407"/>
      <c r="FD202" s="407"/>
      <c r="FE202" s="407"/>
      <c r="FF202" s="407">
        <v>0</v>
      </c>
      <c r="FG202" s="407">
        <v>0</v>
      </c>
      <c r="FH202" s="407">
        <v>0</v>
      </c>
      <c r="FI202" s="407">
        <v>0</v>
      </c>
    </row>
    <row r="203" spans="1:165">
      <c r="A203" s="407">
        <v>201</v>
      </c>
      <c r="B203" s="407" t="s">
        <v>2307</v>
      </c>
      <c r="C203" s="407" t="s">
        <v>2305</v>
      </c>
      <c r="D203" s="407" t="s">
        <v>1220</v>
      </c>
      <c r="E203" s="407" t="s">
        <v>1023</v>
      </c>
      <c r="F203" s="407" t="s">
        <v>1023</v>
      </c>
      <c r="G203" s="407" t="s">
        <v>96</v>
      </c>
      <c r="H203" s="407" t="s">
        <v>96</v>
      </c>
      <c r="I203" s="407" t="s">
        <v>96</v>
      </c>
      <c r="J203" s="407" t="s">
        <v>2306</v>
      </c>
      <c r="K203" s="815">
        <v>44652</v>
      </c>
      <c r="L203" s="407">
        <v>0</v>
      </c>
      <c r="M203" s="407">
        <v>0</v>
      </c>
      <c r="N203" s="407">
        <v>-0.222</v>
      </c>
      <c r="O203" s="407">
        <v>-0.222</v>
      </c>
      <c r="P203" s="407">
        <v>-0.222</v>
      </c>
      <c r="Q203" s="407">
        <v>-0.222</v>
      </c>
      <c r="R203" s="407"/>
      <c r="S203" s="407">
        <v>710.52</v>
      </c>
      <c r="T203" s="407">
        <v>127.85</v>
      </c>
      <c r="U203" s="407"/>
      <c r="V203" s="407">
        <v>-186.11814000000001</v>
      </c>
      <c r="W203" s="407">
        <v>-186.11814000000001</v>
      </c>
      <c r="X203" s="407">
        <v>-152.89362</v>
      </c>
      <c r="Y203" s="407">
        <v>0</v>
      </c>
      <c r="Z203" s="407">
        <v>-13.558667015483795</v>
      </c>
      <c r="AA203" s="407">
        <v>0</v>
      </c>
      <c r="AB203" s="407">
        <v>0</v>
      </c>
      <c r="AC203" s="407">
        <v>0</v>
      </c>
      <c r="AD203" s="407">
        <v>-24.274024918168809</v>
      </c>
      <c r="AE203" s="407">
        <v>-110.59313799856892</v>
      </c>
      <c r="AF203" s="407">
        <v>-28.382121956172892</v>
      </c>
      <c r="AG203" s="407">
        <v>0</v>
      </c>
      <c r="AH203" s="407">
        <v>0</v>
      </c>
      <c r="AI203" s="407">
        <v>0</v>
      </c>
      <c r="AJ203" s="407">
        <v>0</v>
      </c>
      <c r="AK203" s="407">
        <v>0</v>
      </c>
      <c r="AL203" s="407">
        <v>-2.0968560264928815</v>
      </c>
      <c r="AM203" s="407"/>
      <c r="AN203" s="407">
        <v>-0.50854945085967984</v>
      </c>
      <c r="AO203" s="407">
        <v>0</v>
      </c>
      <c r="AP203" s="407">
        <v>0</v>
      </c>
      <c r="AQ203" s="407">
        <v>0</v>
      </c>
      <c r="AR203" s="407">
        <v>0</v>
      </c>
      <c r="AS203" s="407">
        <v>0</v>
      </c>
      <c r="AT203" s="407">
        <v>0</v>
      </c>
      <c r="AU203" s="407">
        <v>0</v>
      </c>
      <c r="AV203" s="407">
        <v>0</v>
      </c>
      <c r="AW203" s="407">
        <v>0</v>
      </c>
      <c r="AX203" s="407">
        <v>0</v>
      </c>
      <c r="AY203" s="407">
        <v>0</v>
      </c>
      <c r="AZ203" s="407">
        <v>0</v>
      </c>
      <c r="BA203" s="407"/>
      <c r="BB203" s="407">
        <v>0</v>
      </c>
      <c r="BC203" s="407">
        <v>0</v>
      </c>
      <c r="BD203" s="407">
        <v>0</v>
      </c>
      <c r="BE203" s="407">
        <v>0</v>
      </c>
      <c r="BF203" s="407">
        <v>0</v>
      </c>
      <c r="BG203" s="407">
        <v>-6.7039989955158896</v>
      </c>
      <c r="BH203" s="407">
        <v>0</v>
      </c>
      <c r="BI203" s="407">
        <v>-0.56999999999999995</v>
      </c>
      <c r="BJ203" s="407">
        <v>-2.62</v>
      </c>
      <c r="BK203" s="407">
        <v>-83.18</v>
      </c>
      <c r="BL203" s="407">
        <v>0</v>
      </c>
      <c r="BM203" s="407"/>
      <c r="BN203" s="407"/>
      <c r="BO203" s="407"/>
      <c r="BP203" s="407"/>
      <c r="BQ203" s="407"/>
      <c r="BR203" s="407"/>
      <c r="BS203" s="407"/>
      <c r="BT203" s="407"/>
      <c r="BU203" s="407"/>
      <c r="BV203" s="407">
        <v>-35.086120951688784</v>
      </c>
      <c r="BW203" s="407"/>
      <c r="BX203" s="407"/>
      <c r="BY203" s="407"/>
      <c r="BZ203" s="407"/>
      <c r="CA203" s="407"/>
      <c r="CB203" s="407"/>
      <c r="CC203" s="407"/>
      <c r="CD203" s="407"/>
      <c r="CE203" s="407"/>
      <c r="CF203" s="407"/>
      <c r="CG203" s="407"/>
      <c r="CH203" s="407"/>
      <c r="CI203" s="407">
        <v>-151.5162</v>
      </c>
      <c r="CJ203" s="407">
        <v>34.571940000000041</v>
      </c>
      <c r="CK203" s="407"/>
      <c r="CL203" s="407"/>
      <c r="CM203" s="407"/>
      <c r="CN203" s="407"/>
      <c r="CO203" s="407">
        <v>34.116959999999992</v>
      </c>
      <c r="CP203" s="407">
        <v>-0.89244000000000223</v>
      </c>
      <c r="CQ203" s="407">
        <v>30</v>
      </c>
      <c r="CR203" s="407">
        <v>0.52991894548597429</v>
      </c>
      <c r="CS203" s="407">
        <v>0</v>
      </c>
      <c r="CT203" s="407">
        <v>0</v>
      </c>
      <c r="CU203" s="407">
        <v>0</v>
      </c>
      <c r="CV203" s="407">
        <v>0</v>
      </c>
      <c r="CW203" s="407">
        <v>0</v>
      </c>
      <c r="CX203" s="407">
        <v>0</v>
      </c>
      <c r="CY203" s="407">
        <v>0</v>
      </c>
      <c r="CZ203" s="407">
        <v>1.2734327091745143</v>
      </c>
      <c r="DA203" s="407">
        <v>0</v>
      </c>
      <c r="DB203" s="407">
        <v>0</v>
      </c>
      <c r="DC203" s="407">
        <v>-0.89307787009717643</v>
      </c>
      <c r="DD203" s="407">
        <v>0</v>
      </c>
      <c r="DE203" s="407">
        <v>0</v>
      </c>
      <c r="DF203" s="407">
        <v>0</v>
      </c>
      <c r="DG203" s="407">
        <v>-0.21094945449442459</v>
      </c>
      <c r="DH203" s="407">
        <v>0</v>
      </c>
      <c r="DI203" s="407">
        <v>0.30877766990762368</v>
      </c>
      <c r="DJ203" s="407"/>
      <c r="DK203" s="407">
        <v>0</v>
      </c>
      <c r="DL203" s="407">
        <v>0</v>
      </c>
      <c r="DM203" s="407">
        <v>0</v>
      </c>
      <c r="DN203" s="407">
        <v>0</v>
      </c>
      <c r="DO203" s="407">
        <v>4.0012274732764919E-2</v>
      </c>
      <c r="DP203" s="407">
        <v>1.1723616262676873E-2</v>
      </c>
      <c r="DQ203" s="407">
        <v>0</v>
      </c>
      <c r="DR203" s="407">
        <v>0</v>
      </c>
      <c r="DS203" s="407"/>
      <c r="DT203" s="407"/>
      <c r="DU203" s="407"/>
      <c r="DV203" s="407">
        <v>-110.59313799856892</v>
      </c>
      <c r="DW203" s="407">
        <v>0</v>
      </c>
      <c r="DX203" s="407">
        <v>0</v>
      </c>
      <c r="DY203" s="407">
        <v>34.116960000000006</v>
      </c>
      <c r="DZ203" s="407">
        <v>-0.89244000000000057</v>
      </c>
      <c r="EA203" s="407">
        <v>0</v>
      </c>
      <c r="EB203" s="407">
        <v>0</v>
      </c>
      <c r="EC203" s="407">
        <v>32.693077337663851</v>
      </c>
      <c r="ED203" s="407">
        <v>0</v>
      </c>
      <c r="EE203" s="407">
        <v>0</v>
      </c>
      <c r="EF203" s="407">
        <v>0</v>
      </c>
      <c r="EG203" s="407">
        <v>0</v>
      </c>
      <c r="EH203" s="407">
        <v>0</v>
      </c>
      <c r="EI203" s="407">
        <v>0</v>
      </c>
      <c r="EJ203" s="407">
        <v>0</v>
      </c>
      <c r="EK203" s="407">
        <v>0</v>
      </c>
      <c r="EL203" s="407">
        <v>0</v>
      </c>
      <c r="EM203" s="407">
        <v>0</v>
      </c>
      <c r="EN203" s="407">
        <v>0</v>
      </c>
      <c r="EO203" s="407">
        <v>0</v>
      </c>
      <c r="EP203" s="407">
        <v>0</v>
      </c>
      <c r="EQ203" s="407">
        <v>0</v>
      </c>
      <c r="ER203" s="407">
        <v>0</v>
      </c>
      <c r="ES203" s="407">
        <v>0</v>
      </c>
      <c r="ET203" s="407">
        <v>0</v>
      </c>
      <c r="EU203" s="407">
        <v>0</v>
      </c>
      <c r="EV203" s="407">
        <v>207</v>
      </c>
      <c r="EW203" s="407">
        <v>0</v>
      </c>
      <c r="EX203" s="407">
        <v>0</v>
      </c>
      <c r="EY203" s="407">
        <v>0</v>
      </c>
      <c r="EZ203" s="407"/>
      <c r="FA203" s="407">
        <v>0</v>
      </c>
      <c r="FB203" s="407"/>
      <c r="FC203" s="407"/>
      <c r="FD203" s="407"/>
      <c r="FE203" s="407"/>
      <c r="FF203" s="407">
        <v>0</v>
      </c>
      <c r="FG203" s="407">
        <v>0</v>
      </c>
      <c r="FH203" s="407">
        <v>0</v>
      </c>
      <c r="FI203" s="407">
        <v>0</v>
      </c>
    </row>
    <row r="204" spans="1:165">
      <c r="A204" s="407">
        <v>202</v>
      </c>
      <c r="B204" s="407" t="s">
        <v>2308</v>
      </c>
      <c r="C204" s="407" t="s">
        <v>2305</v>
      </c>
      <c r="D204" s="407" t="s">
        <v>1220</v>
      </c>
      <c r="E204" s="407" t="s">
        <v>1023</v>
      </c>
      <c r="F204" s="407" t="s">
        <v>1023</v>
      </c>
      <c r="G204" s="407" t="s">
        <v>96</v>
      </c>
      <c r="H204" s="407" t="s">
        <v>96</v>
      </c>
      <c r="I204" s="407" t="s">
        <v>96</v>
      </c>
      <c r="J204" s="407" t="s">
        <v>2306</v>
      </c>
      <c r="K204" s="815">
        <v>44652</v>
      </c>
      <c r="L204" s="407">
        <v>0</v>
      </c>
      <c r="M204" s="407">
        <v>0</v>
      </c>
      <c r="N204" s="407">
        <v>1.571</v>
      </c>
      <c r="O204" s="407">
        <v>1.571</v>
      </c>
      <c r="P204" s="407">
        <v>1.571</v>
      </c>
      <c r="Q204" s="407">
        <v>1.571</v>
      </c>
      <c r="R204" s="407"/>
      <c r="S204" s="407">
        <v>710.52</v>
      </c>
      <c r="T204" s="407">
        <v>127.85</v>
      </c>
      <c r="U204" s="407"/>
      <c r="V204" s="407">
        <v>1317.0792699999997</v>
      </c>
      <c r="W204" s="407">
        <v>1317.0792699999997</v>
      </c>
      <c r="X204" s="407">
        <v>1081.9634100000001</v>
      </c>
      <c r="Y204" s="407">
        <v>0</v>
      </c>
      <c r="Z204" s="407">
        <v>95.948945411374069</v>
      </c>
      <c r="AA204" s="407">
        <v>0</v>
      </c>
      <c r="AB204" s="407">
        <v>0</v>
      </c>
      <c r="AC204" s="407">
        <v>0</v>
      </c>
      <c r="AD204" s="407">
        <v>171.77699615514956</v>
      </c>
      <c r="AE204" s="407">
        <v>782.62080989077378</v>
      </c>
      <c r="AF204" s="407">
        <v>200.84825942859285</v>
      </c>
      <c r="AG204" s="407">
        <v>0</v>
      </c>
      <c r="AH204" s="407">
        <v>0</v>
      </c>
      <c r="AI204" s="407">
        <v>0</v>
      </c>
      <c r="AJ204" s="407">
        <v>0</v>
      </c>
      <c r="AK204" s="407">
        <v>0</v>
      </c>
      <c r="AL204" s="407">
        <v>14.838562241532957</v>
      </c>
      <c r="AM204" s="407"/>
      <c r="AN204" s="407">
        <v>3.5987891319844914</v>
      </c>
      <c r="AO204" s="407">
        <v>0</v>
      </c>
      <c r="AP204" s="407">
        <v>0</v>
      </c>
      <c r="AQ204" s="407">
        <v>0</v>
      </c>
      <c r="AR204" s="407">
        <v>0</v>
      </c>
      <c r="AS204" s="407">
        <v>0</v>
      </c>
      <c r="AT204" s="407">
        <v>0</v>
      </c>
      <c r="AU204" s="407">
        <v>0</v>
      </c>
      <c r="AV204" s="407">
        <v>0</v>
      </c>
      <c r="AW204" s="407">
        <v>0</v>
      </c>
      <c r="AX204" s="407">
        <v>0</v>
      </c>
      <c r="AY204" s="407">
        <v>0</v>
      </c>
      <c r="AZ204" s="407">
        <v>0</v>
      </c>
      <c r="BA204" s="407"/>
      <c r="BB204" s="407">
        <v>0</v>
      </c>
      <c r="BC204" s="407">
        <v>0</v>
      </c>
      <c r="BD204" s="407">
        <v>0</v>
      </c>
      <c r="BE204" s="407">
        <v>0</v>
      </c>
      <c r="BF204" s="407">
        <v>0</v>
      </c>
      <c r="BG204" s="407">
        <v>47.44136226106064</v>
      </c>
      <c r="BH204" s="407">
        <v>0</v>
      </c>
      <c r="BI204" s="407">
        <v>4.76</v>
      </c>
      <c r="BJ204" s="407">
        <v>22.31</v>
      </c>
      <c r="BK204" s="407">
        <v>892.56</v>
      </c>
      <c r="BL204" s="407">
        <v>18</v>
      </c>
      <c r="BM204" s="407"/>
      <c r="BN204" s="407"/>
      <c r="BO204" s="407"/>
      <c r="BP204" s="407"/>
      <c r="BQ204" s="407"/>
      <c r="BR204" s="407"/>
      <c r="BS204" s="407"/>
      <c r="BT204" s="407"/>
      <c r="BU204" s="407"/>
      <c r="BV204" s="407">
        <v>248.2896216896535</v>
      </c>
      <c r="BW204" s="407"/>
      <c r="BX204" s="407"/>
      <c r="BY204" s="407"/>
      <c r="BZ204" s="407"/>
      <c r="CA204" s="407"/>
      <c r="CB204" s="407"/>
      <c r="CC204" s="407"/>
      <c r="CD204" s="407"/>
      <c r="CE204" s="407"/>
      <c r="CF204" s="407"/>
      <c r="CG204" s="407"/>
      <c r="CH204" s="407"/>
      <c r="CI204" s="407">
        <v>1081.2747000000002</v>
      </c>
      <c r="CJ204" s="407">
        <v>-235.83456999999953</v>
      </c>
      <c r="CK204" s="407"/>
      <c r="CL204" s="407"/>
      <c r="CM204" s="407"/>
      <c r="CN204" s="407"/>
      <c r="CO204" s="407">
        <v>-241.4312799999999</v>
      </c>
      <c r="CP204" s="407">
        <v>6.3154200000000156</v>
      </c>
      <c r="CQ204" s="407">
        <v>30</v>
      </c>
      <c r="CR204" s="407">
        <v>-3.7500119971103913</v>
      </c>
      <c r="CS204" s="407">
        <v>0</v>
      </c>
      <c r="CT204" s="407">
        <v>0</v>
      </c>
      <c r="CU204" s="407">
        <v>0</v>
      </c>
      <c r="CV204" s="407">
        <v>0</v>
      </c>
      <c r="CW204" s="407">
        <v>0</v>
      </c>
      <c r="CX204" s="407">
        <v>0</v>
      </c>
      <c r="CY204" s="407">
        <v>0</v>
      </c>
      <c r="CZ204" s="407">
        <v>-9.0115440815908414</v>
      </c>
      <c r="DA204" s="407">
        <v>0</v>
      </c>
      <c r="DB204" s="407">
        <v>0</v>
      </c>
      <c r="DC204" s="407">
        <v>6.3199339365885692</v>
      </c>
      <c r="DD204" s="407">
        <v>0</v>
      </c>
      <c r="DE204" s="407">
        <v>0</v>
      </c>
      <c r="DF204" s="407">
        <v>0</v>
      </c>
      <c r="DG204" s="407">
        <v>1.4927999685168487</v>
      </c>
      <c r="DH204" s="407">
        <v>0</v>
      </c>
      <c r="DI204" s="407">
        <v>-2.1850888262382</v>
      </c>
      <c r="DJ204" s="407"/>
      <c r="DK204" s="407">
        <v>0</v>
      </c>
      <c r="DL204" s="407">
        <v>0</v>
      </c>
      <c r="DM204" s="407">
        <v>0</v>
      </c>
      <c r="DN204" s="407">
        <v>0</v>
      </c>
      <c r="DO204" s="407">
        <v>-0.28314992614942902</v>
      </c>
      <c r="DP204" s="407">
        <v>-8.2963068237231763E-2</v>
      </c>
      <c r="DQ204" s="407">
        <v>0</v>
      </c>
      <c r="DR204" s="407">
        <v>0</v>
      </c>
      <c r="DS204" s="407"/>
      <c r="DT204" s="407"/>
      <c r="DU204" s="407"/>
      <c r="DV204" s="407">
        <v>782.62080989077378</v>
      </c>
      <c r="DW204" s="407">
        <v>0</v>
      </c>
      <c r="DX204" s="407">
        <v>0</v>
      </c>
      <c r="DY204" s="407">
        <v>-241.43127999999979</v>
      </c>
      <c r="DZ204" s="407">
        <v>6.3154200000000174</v>
      </c>
      <c r="EA204" s="407">
        <v>0</v>
      </c>
      <c r="EB204" s="407">
        <v>0</v>
      </c>
      <c r="EC204" s="407">
        <v>-231.35506530391865</v>
      </c>
      <c r="ED204" s="407">
        <v>0</v>
      </c>
      <c r="EE204" s="407">
        <v>0</v>
      </c>
      <c r="EF204" s="407">
        <v>0</v>
      </c>
      <c r="EG204" s="407">
        <v>0</v>
      </c>
      <c r="EH204" s="407">
        <v>0</v>
      </c>
      <c r="EI204" s="407">
        <v>0</v>
      </c>
      <c r="EJ204" s="407">
        <v>0</v>
      </c>
      <c r="EK204" s="407">
        <v>0</v>
      </c>
      <c r="EL204" s="407">
        <v>0</v>
      </c>
      <c r="EM204" s="407">
        <v>0</v>
      </c>
      <c r="EN204" s="407">
        <v>0</v>
      </c>
      <c r="EO204" s="407">
        <v>0</v>
      </c>
      <c r="EP204" s="407">
        <v>0</v>
      </c>
      <c r="EQ204" s="407">
        <v>0</v>
      </c>
      <c r="ER204" s="407">
        <v>0</v>
      </c>
      <c r="ES204" s="407">
        <v>0</v>
      </c>
      <c r="ET204" s="407">
        <v>0</v>
      </c>
      <c r="EU204" s="407">
        <v>0</v>
      </c>
      <c r="EV204" s="407">
        <v>207</v>
      </c>
      <c r="EW204" s="407">
        <v>0</v>
      </c>
      <c r="EX204" s="407">
        <v>0</v>
      </c>
      <c r="EY204" s="407">
        <v>0</v>
      </c>
      <c r="EZ204" s="407"/>
      <c r="FA204" s="407">
        <v>0</v>
      </c>
      <c r="FB204" s="407"/>
      <c r="FC204" s="407"/>
      <c r="FD204" s="407"/>
      <c r="FE204" s="407"/>
      <c r="FF204" s="407">
        <v>0</v>
      </c>
      <c r="FG204" s="407">
        <v>0</v>
      </c>
      <c r="FH204" s="407">
        <v>0</v>
      </c>
      <c r="FI204" s="407">
        <v>0</v>
      </c>
    </row>
    <row r="205" spans="1:165">
      <c r="A205" s="407">
        <v>203</v>
      </c>
      <c r="B205" s="407" t="s">
        <v>1092</v>
      </c>
      <c r="C205" s="407" t="s">
        <v>2305</v>
      </c>
      <c r="D205" s="407" t="s">
        <v>1220</v>
      </c>
      <c r="E205" s="407" t="s">
        <v>1023</v>
      </c>
      <c r="F205" s="407" t="s">
        <v>2309</v>
      </c>
      <c r="G205" s="407" t="s">
        <v>96</v>
      </c>
      <c r="H205" s="407" t="s">
        <v>96</v>
      </c>
      <c r="I205" s="407" t="s">
        <v>96</v>
      </c>
      <c r="J205" s="407" t="s">
        <v>2306</v>
      </c>
      <c r="K205" s="815">
        <v>44652</v>
      </c>
      <c r="L205" s="407">
        <v>0</v>
      </c>
      <c r="M205" s="407">
        <v>0</v>
      </c>
      <c r="N205" s="407">
        <v>19.29</v>
      </c>
      <c r="O205" s="407">
        <v>19.29</v>
      </c>
      <c r="P205" s="407">
        <v>19.29</v>
      </c>
      <c r="Q205" s="407">
        <v>19.29</v>
      </c>
      <c r="R205" s="407"/>
      <c r="S205" s="407">
        <v>640</v>
      </c>
      <c r="T205" s="407">
        <v>127.85</v>
      </c>
      <c r="U205" s="407"/>
      <c r="V205" s="407">
        <v>14811.826499999999</v>
      </c>
      <c r="W205" s="407">
        <v>14811.826499999999</v>
      </c>
      <c r="X205" s="407">
        <v>11955.170399999999</v>
      </c>
      <c r="Y205" s="407">
        <v>0</v>
      </c>
      <c r="Z205" s="407">
        <v>0</v>
      </c>
      <c r="AA205" s="407">
        <v>0</v>
      </c>
      <c r="AB205" s="407">
        <v>0</v>
      </c>
      <c r="AC205" s="407">
        <v>0</v>
      </c>
      <c r="AD205" s="407">
        <v>2109.2159489706141</v>
      </c>
      <c r="AE205" s="407">
        <v>9609.6469909567313</v>
      </c>
      <c r="AF205" s="407">
        <v>2466.1762726782663</v>
      </c>
      <c r="AG205" s="407">
        <v>0</v>
      </c>
      <c r="AH205" s="407">
        <v>0</v>
      </c>
      <c r="AI205" s="407">
        <v>0</v>
      </c>
      <c r="AJ205" s="407">
        <v>0</v>
      </c>
      <c r="AK205" s="407">
        <v>0</v>
      </c>
      <c r="AL205" s="407">
        <v>0</v>
      </c>
      <c r="AM205" s="407"/>
      <c r="AN205" s="407">
        <v>44.188823905780289</v>
      </c>
      <c r="AO205" s="407">
        <v>0</v>
      </c>
      <c r="AP205" s="407">
        <v>0</v>
      </c>
      <c r="AQ205" s="407">
        <v>0</v>
      </c>
      <c r="AR205" s="407">
        <v>0</v>
      </c>
      <c r="AS205" s="407">
        <v>0</v>
      </c>
      <c r="AT205" s="407">
        <v>0</v>
      </c>
      <c r="AU205" s="407">
        <v>0</v>
      </c>
      <c r="AV205" s="407">
        <v>0</v>
      </c>
      <c r="AW205" s="407">
        <v>0</v>
      </c>
      <c r="AX205" s="407">
        <v>0</v>
      </c>
      <c r="AY205" s="407">
        <v>0</v>
      </c>
      <c r="AZ205" s="407">
        <v>0</v>
      </c>
      <c r="BA205" s="407"/>
      <c r="BB205" s="407">
        <v>0</v>
      </c>
      <c r="BC205" s="407">
        <v>0</v>
      </c>
      <c r="BD205" s="407">
        <v>0</v>
      </c>
      <c r="BE205" s="407">
        <v>0</v>
      </c>
      <c r="BF205" s="407">
        <v>0</v>
      </c>
      <c r="BG205" s="407">
        <v>582.52315596171854</v>
      </c>
      <c r="BH205" s="407">
        <v>0</v>
      </c>
      <c r="BI205" s="407">
        <v>70.58</v>
      </c>
      <c r="BJ205" s="407">
        <v>325.66000000000003</v>
      </c>
      <c r="BK205" s="407">
        <v>2027.27</v>
      </c>
      <c r="BL205" s="407">
        <v>56</v>
      </c>
      <c r="BM205" s="407"/>
      <c r="BN205" s="407"/>
      <c r="BO205" s="407"/>
      <c r="BP205" s="407"/>
      <c r="BQ205" s="407"/>
      <c r="BR205" s="407"/>
      <c r="BS205" s="407"/>
      <c r="BT205" s="407">
        <v>7770.9764999999989</v>
      </c>
      <c r="BU205" s="407"/>
      <c r="BV205" s="407">
        <v>3048.6994286399849</v>
      </c>
      <c r="BW205" s="407"/>
      <c r="BX205" s="407"/>
      <c r="BY205" s="407"/>
      <c r="BZ205" s="407"/>
      <c r="CA205" s="407"/>
      <c r="CB205" s="407"/>
      <c r="CC205" s="407"/>
      <c r="CD205" s="407"/>
      <c r="CE205" s="407"/>
      <c r="CF205" s="407"/>
      <c r="CG205" s="407"/>
      <c r="CH205" s="407"/>
      <c r="CI205" s="407">
        <v>4184.1938999999993</v>
      </c>
      <c r="CJ205" s="407">
        <v>-1000.0236000000014</v>
      </c>
      <c r="CK205" s="407"/>
      <c r="CL205" s="407"/>
      <c r="CM205" s="407"/>
      <c r="CN205" s="407"/>
      <c r="CO205" s="407">
        <v>-2934.2019</v>
      </c>
      <c r="CP205" s="407">
        <v>77.545800000000199</v>
      </c>
      <c r="CQ205" s="407">
        <v>30</v>
      </c>
      <c r="CR205" s="407">
        <v>-15.738641559963071</v>
      </c>
      <c r="CS205" s="407">
        <v>0</v>
      </c>
      <c r="CT205" s="407">
        <v>0</v>
      </c>
      <c r="CU205" s="407">
        <v>0</v>
      </c>
      <c r="CV205" s="407">
        <v>0</v>
      </c>
      <c r="CW205" s="407">
        <v>0</v>
      </c>
      <c r="CX205" s="407">
        <v>0</v>
      </c>
      <c r="CY205" s="407">
        <v>0</v>
      </c>
      <c r="CZ205" s="407">
        <v>-110.65097729719105</v>
      </c>
      <c r="DA205" s="407">
        <v>0</v>
      </c>
      <c r="DB205" s="407">
        <v>0</v>
      </c>
      <c r="DC205" s="407">
        <v>77.60122573952458</v>
      </c>
      <c r="DD205" s="407">
        <v>0</v>
      </c>
      <c r="DE205" s="407">
        <v>0</v>
      </c>
      <c r="DF205" s="407">
        <v>0</v>
      </c>
      <c r="DG205" s="407">
        <v>18.329797194582966</v>
      </c>
      <c r="DH205" s="407">
        <v>0</v>
      </c>
      <c r="DI205" s="407">
        <v>0</v>
      </c>
      <c r="DJ205" s="407"/>
      <c r="DK205" s="407">
        <v>0</v>
      </c>
      <c r="DL205" s="407">
        <v>0</v>
      </c>
      <c r="DM205" s="407">
        <v>0</v>
      </c>
      <c r="DN205" s="407">
        <v>0</v>
      </c>
      <c r="DO205" s="407">
        <v>0</v>
      </c>
      <c r="DP205" s="407">
        <v>-1.0186871968785454</v>
      </c>
      <c r="DQ205" s="407">
        <v>0</v>
      </c>
      <c r="DR205" s="407">
        <v>0</v>
      </c>
      <c r="DS205" s="407"/>
      <c r="DT205" s="407"/>
      <c r="DU205" s="407"/>
      <c r="DV205" s="407">
        <v>9609.6469909567313</v>
      </c>
      <c r="DW205" s="407">
        <v>0</v>
      </c>
      <c r="DX205" s="407">
        <v>0</v>
      </c>
      <c r="DY205" s="407">
        <v>-2934.2019</v>
      </c>
      <c r="DZ205" s="407">
        <v>77.545800000000327</v>
      </c>
      <c r="EA205" s="407">
        <v>0</v>
      </c>
      <c r="EB205" s="407">
        <v>0</v>
      </c>
      <c r="EC205" s="407">
        <v>-2840.7633416375484</v>
      </c>
      <c r="ED205" s="407">
        <v>0</v>
      </c>
      <c r="EE205" s="407">
        <v>0</v>
      </c>
      <c r="EF205" s="407">
        <v>0</v>
      </c>
      <c r="EG205" s="407">
        <v>0</v>
      </c>
      <c r="EH205" s="407">
        <v>0</v>
      </c>
      <c r="EI205" s="407">
        <v>0</v>
      </c>
      <c r="EJ205" s="407">
        <v>0</v>
      </c>
      <c r="EK205" s="407">
        <v>0</v>
      </c>
      <c r="EL205" s="407">
        <v>0</v>
      </c>
      <c r="EM205" s="407">
        <v>0</v>
      </c>
      <c r="EN205" s="407">
        <v>0</v>
      </c>
      <c r="EO205" s="407">
        <v>0</v>
      </c>
      <c r="EP205" s="407">
        <v>0</v>
      </c>
      <c r="EQ205" s="407">
        <v>0</v>
      </c>
      <c r="ER205" s="407">
        <v>0</v>
      </c>
      <c r="ES205" s="407">
        <v>0</v>
      </c>
      <c r="ET205" s="407">
        <v>0</v>
      </c>
      <c r="EU205" s="407">
        <v>0</v>
      </c>
      <c r="EV205" s="407">
        <v>207</v>
      </c>
      <c r="EW205" s="407">
        <v>0</v>
      </c>
      <c r="EX205" s="407">
        <v>0</v>
      </c>
      <c r="EY205" s="407">
        <v>0</v>
      </c>
      <c r="EZ205" s="407"/>
      <c r="FA205" s="407">
        <v>0</v>
      </c>
      <c r="FB205" s="407"/>
      <c r="FC205" s="407"/>
      <c r="FD205" s="407"/>
      <c r="FE205" s="407"/>
      <c r="FF205" s="407">
        <v>0</v>
      </c>
      <c r="FG205" s="407">
        <v>0</v>
      </c>
      <c r="FH205" s="407">
        <v>0</v>
      </c>
      <c r="FI205" s="407">
        <v>0</v>
      </c>
    </row>
    <row r="206" spans="1:165">
      <c r="A206" s="407">
        <v>204</v>
      </c>
      <c r="B206" s="407" t="s">
        <v>1092</v>
      </c>
      <c r="C206" s="407" t="s">
        <v>2305</v>
      </c>
      <c r="D206" s="407" t="s">
        <v>1220</v>
      </c>
      <c r="E206" s="407" t="s">
        <v>1023</v>
      </c>
      <c r="F206" s="407" t="s">
        <v>2310</v>
      </c>
      <c r="G206" s="407" t="s">
        <v>96</v>
      </c>
      <c r="H206" s="407" t="s">
        <v>96</v>
      </c>
      <c r="I206" s="407" t="s">
        <v>96</v>
      </c>
      <c r="J206" s="407" t="s">
        <v>2306</v>
      </c>
      <c r="K206" s="815">
        <v>44652</v>
      </c>
      <c r="L206" s="407">
        <v>0</v>
      </c>
      <c r="M206" s="407">
        <v>0</v>
      </c>
      <c r="N206" s="407">
        <v>36.750999999999998</v>
      </c>
      <c r="O206" s="407">
        <v>36.750999999999998</v>
      </c>
      <c r="P206" s="407">
        <v>36.750999999999998</v>
      </c>
      <c r="Q206" s="407">
        <v>36.750999999999998</v>
      </c>
      <c r="R206" s="407"/>
      <c r="S206" s="407">
        <v>640</v>
      </c>
      <c r="T206" s="407">
        <v>127.85</v>
      </c>
      <c r="U206" s="407"/>
      <c r="V206" s="407">
        <v>28219.255349999999</v>
      </c>
      <c r="W206" s="407">
        <v>28219.255349999999</v>
      </c>
      <c r="X206" s="407">
        <v>22776.799759999998</v>
      </c>
      <c r="Y206" s="407">
        <v>0</v>
      </c>
      <c r="Z206" s="407">
        <v>0</v>
      </c>
      <c r="AA206" s="407">
        <v>0</v>
      </c>
      <c r="AB206" s="407">
        <v>0</v>
      </c>
      <c r="AC206" s="407">
        <v>0</v>
      </c>
      <c r="AD206" s="407">
        <v>4018.4445485028014</v>
      </c>
      <c r="AE206" s="407">
        <v>18308.146011645975</v>
      </c>
      <c r="AF206" s="407">
        <v>4698.5196577086035</v>
      </c>
      <c r="AG206" s="407">
        <v>0</v>
      </c>
      <c r="AH206" s="407">
        <v>0</v>
      </c>
      <c r="AI206" s="407">
        <v>0</v>
      </c>
      <c r="AJ206" s="407">
        <v>0</v>
      </c>
      <c r="AK206" s="407">
        <v>0</v>
      </c>
      <c r="AL206" s="407">
        <v>0</v>
      </c>
      <c r="AM206" s="407"/>
      <c r="AN206" s="407">
        <v>84.187841750198615</v>
      </c>
      <c r="AO206" s="407">
        <v>0</v>
      </c>
      <c r="AP206" s="407">
        <v>0</v>
      </c>
      <c r="AQ206" s="407">
        <v>0</v>
      </c>
      <c r="AR206" s="407">
        <v>0</v>
      </c>
      <c r="AS206" s="407">
        <v>0</v>
      </c>
      <c r="AT206" s="407">
        <v>0</v>
      </c>
      <c r="AU206" s="407">
        <v>0</v>
      </c>
      <c r="AV206" s="407">
        <v>0</v>
      </c>
      <c r="AW206" s="407">
        <v>0</v>
      </c>
      <c r="AX206" s="407">
        <v>0</v>
      </c>
      <c r="AY206" s="407">
        <v>0</v>
      </c>
      <c r="AZ206" s="407">
        <v>0</v>
      </c>
      <c r="BA206" s="407"/>
      <c r="BB206" s="407">
        <v>0</v>
      </c>
      <c r="BC206" s="407">
        <v>0</v>
      </c>
      <c r="BD206" s="407">
        <v>0</v>
      </c>
      <c r="BE206" s="407">
        <v>0</v>
      </c>
      <c r="BF206" s="407">
        <v>0</v>
      </c>
      <c r="BG206" s="407">
        <v>1109.8138156946145</v>
      </c>
      <c r="BH206" s="407">
        <v>0</v>
      </c>
      <c r="BI206" s="407">
        <v>132.94999999999999</v>
      </c>
      <c r="BJ206" s="407">
        <v>623.39</v>
      </c>
      <c r="BK206" s="407">
        <v>4724.47</v>
      </c>
      <c r="BL206" s="407">
        <v>150</v>
      </c>
      <c r="BM206" s="407"/>
      <c r="BN206" s="407"/>
      <c r="BO206" s="407"/>
      <c r="BP206" s="407"/>
      <c r="BQ206" s="407"/>
      <c r="BR206" s="407"/>
      <c r="BS206" s="407"/>
      <c r="BT206" s="407">
        <v>9110.5728999999992</v>
      </c>
      <c r="BU206" s="407"/>
      <c r="BV206" s="407">
        <v>5808.3334734032178</v>
      </c>
      <c r="BW206" s="407"/>
      <c r="BX206" s="407"/>
      <c r="BY206" s="407"/>
      <c r="BZ206" s="407"/>
      <c r="CA206" s="407"/>
      <c r="CB206" s="407"/>
      <c r="CC206" s="407"/>
      <c r="CD206" s="407"/>
      <c r="CE206" s="407"/>
      <c r="CF206" s="407"/>
      <c r="CG206" s="407"/>
      <c r="CH206" s="407"/>
      <c r="CI206" s="407">
        <v>13665.855</v>
      </c>
      <c r="CJ206" s="407">
        <v>-3265.7282099999975</v>
      </c>
      <c r="CK206" s="407"/>
      <c r="CL206" s="407"/>
      <c r="CM206" s="407"/>
      <c r="CN206" s="407"/>
      <c r="CO206" s="407">
        <v>-5590.1946100000005</v>
      </c>
      <c r="CP206" s="407">
        <v>147.73902000000038</v>
      </c>
      <c r="CQ206" s="407">
        <v>30</v>
      </c>
      <c r="CR206" s="407">
        <v>-29.98500860394779</v>
      </c>
      <c r="CS206" s="407">
        <v>0</v>
      </c>
      <c r="CT206" s="407">
        <v>0</v>
      </c>
      <c r="CU206" s="407">
        <v>0</v>
      </c>
      <c r="CV206" s="407">
        <v>0</v>
      </c>
      <c r="CW206" s="407">
        <v>0</v>
      </c>
      <c r="CX206" s="407">
        <v>0</v>
      </c>
      <c r="CY206" s="407">
        <v>0</v>
      </c>
      <c r="CZ206" s="407">
        <v>-210.81047520212906</v>
      </c>
      <c r="DA206" s="407">
        <v>0</v>
      </c>
      <c r="DB206" s="407">
        <v>0</v>
      </c>
      <c r="DC206" s="407">
        <v>147.84461623396965</v>
      </c>
      <c r="DD206" s="407">
        <v>0</v>
      </c>
      <c r="DE206" s="407">
        <v>0</v>
      </c>
      <c r="DF206" s="407">
        <v>0</v>
      </c>
      <c r="DG206" s="407">
        <v>34.921636946507306</v>
      </c>
      <c r="DH206" s="407">
        <v>0</v>
      </c>
      <c r="DI206" s="407">
        <v>0</v>
      </c>
      <c r="DJ206" s="407"/>
      <c r="DK206" s="407">
        <v>0</v>
      </c>
      <c r="DL206" s="407">
        <v>0</v>
      </c>
      <c r="DM206" s="407">
        <v>0</v>
      </c>
      <c r="DN206" s="407">
        <v>0</v>
      </c>
      <c r="DO206" s="407">
        <v>0</v>
      </c>
      <c r="DP206" s="407">
        <v>-1.940786582295658</v>
      </c>
      <c r="DQ206" s="407">
        <v>0</v>
      </c>
      <c r="DR206" s="407">
        <v>0</v>
      </c>
      <c r="DS206" s="407"/>
      <c r="DT206" s="407"/>
      <c r="DU206" s="407"/>
      <c r="DV206" s="407">
        <v>18308.146011645975</v>
      </c>
      <c r="DW206" s="407">
        <v>0</v>
      </c>
      <c r="DX206" s="407">
        <v>0</v>
      </c>
      <c r="DY206" s="407">
        <v>-5590.1946100000023</v>
      </c>
      <c r="DZ206" s="407">
        <v>147.73902000000089</v>
      </c>
      <c r="EA206" s="407">
        <v>0</v>
      </c>
      <c r="EB206" s="407">
        <v>0</v>
      </c>
      <c r="EC206" s="407">
        <v>-5412.1769605247064</v>
      </c>
      <c r="ED206" s="407">
        <v>0</v>
      </c>
      <c r="EE206" s="407">
        <v>0</v>
      </c>
      <c r="EF206" s="407">
        <v>0</v>
      </c>
      <c r="EG206" s="407">
        <v>0</v>
      </c>
      <c r="EH206" s="407">
        <v>0</v>
      </c>
      <c r="EI206" s="407">
        <v>0</v>
      </c>
      <c r="EJ206" s="407">
        <v>0</v>
      </c>
      <c r="EK206" s="407">
        <v>0</v>
      </c>
      <c r="EL206" s="407">
        <v>0</v>
      </c>
      <c r="EM206" s="407">
        <v>0</v>
      </c>
      <c r="EN206" s="407">
        <v>0</v>
      </c>
      <c r="EO206" s="407">
        <v>0</v>
      </c>
      <c r="EP206" s="407">
        <v>0</v>
      </c>
      <c r="EQ206" s="407">
        <v>0</v>
      </c>
      <c r="ER206" s="407">
        <v>0</v>
      </c>
      <c r="ES206" s="407">
        <v>0</v>
      </c>
      <c r="ET206" s="407">
        <v>0</v>
      </c>
      <c r="EU206" s="407">
        <v>0</v>
      </c>
      <c r="EV206" s="407">
        <v>207</v>
      </c>
      <c r="EW206" s="407">
        <v>0</v>
      </c>
      <c r="EX206" s="407">
        <v>0</v>
      </c>
      <c r="EY206" s="407">
        <v>0</v>
      </c>
      <c r="EZ206" s="407"/>
      <c r="FA206" s="407">
        <v>0</v>
      </c>
      <c r="FB206" s="407"/>
      <c r="FC206" s="407"/>
      <c r="FD206" s="407"/>
      <c r="FE206" s="407"/>
      <c r="FF206" s="407">
        <v>0</v>
      </c>
      <c r="FG206" s="407">
        <v>0</v>
      </c>
      <c r="FH206" s="407">
        <v>0</v>
      </c>
      <c r="FI206" s="407">
        <v>0</v>
      </c>
    </row>
    <row r="207" spans="1:165">
      <c r="A207" s="407">
        <v>205</v>
      </c>
      <c r="B207" s="407" t="s">
        <v>1092</v>
      </c>
      <c r="C207" s="407" t="s">
        <v>2305</v>
      </c>
      <c r="D207" s="407" t="s">
        <v>1220</v>
      </c>
      <c r="E207" s="407" t="s">
        <v>1023</v>
      </c>
      <c r="F207" s="407" t="s">
        <v>2311</v>
      </c>
      <c r="G207" s="407" t="s">
        <v>96</v>
      </c>
      <c r="H207" s="407" t="s">
        <v>96</v>
      </c>
      <c r="I207" s="407" t="s">
        <v>96</v>
      </c>
      <c r="J207" s="407" t="s">
        <v>2306</v>
      </c>
      <c r="K207" s="815">
        <v>44652</v>
      </c>
      <c r="L207" s="407">
        <v>0</v>
      </c>
      <c r="M207" s="407">
        <v>0</v>
      </c>
      <c r="N207" s="407">
        <v>33.137999999999998</v>
      </c>
      <c r="O207" s="407">
        <v>33.137999999999998</v>
      </c>
      <c r="P207" s="407">
        <v>33.137999999999998</v>
      </c>
      <c r="Q207" s="407">
        <v>33.137999999999998</v>
      </c>
      <c r="R207" s="407"/>
      <c r="S207" s="407">
        <v>640</v>
      </c>
      <c r="T207" s="407">
        <v>127.85</v>
      </c>
      <c r="U207" s="407"/>
      <c r="V207" s="407">
        <v>25445.013299999999</v>
      </c>
      <c r="W207" s="407">
        <v>25445.013299999999</v>
      </c>
      <c r="X207" s="407">
        <v>20537.606879999999</v>
      </c>
      <c r="Y207" s="407">
        <v>0</v>
      </c>
      <c r="Z207" s="407">
        <v>0</v>
      </c>
      <c r="AA207" s="407">
        <v>0</v>
      </c>
      <c r="AB207" s="407">
        <v>0</v>
      </c>
      <c r="AC207" s="407">
        <v>0</v>
      </c>
      <c r="AD207" s="407">
        <v>3623.3902600823335</v>
      </c>
      <c r="AE207" s="407">
        <v>16508.26759908368</v>
      </c>
      <c r="AF207" s="407">
        <v>4236.6070152416996</v>
      </c>
      <c r="AG207" s="407">
        <v>0</v>
      </c>
      <c r="AH207" s="407">
        <v>0</v>
      </c>
      <c r="AI207" s="407">
        <v>0</v>
      </c>
      <c r="AJ207" s="407">
        <v>0</v>
      </c>
      <c r="AK207" s="407">
        <v>0</v>
      </c>
      <c r="AL207" s="407">
        <v>0</v>
      </c>
      <c r="AM207" s="407"/>
      <c r="AN207" s="407">
        <v>75.911313975621937</v>
      </c>
      <c r="AO207" s="407">
        <v>0</v>
      </c>
      <c r="AP207" s="407">
        <v>0</v>
      </c>
      <c r="AQ207" s="407">
        <v>0</v>
      </c>
      <c r="AR207" s="407">
        <v>0</v>
      </c>
      <c r="AS207" s="407">
        <v>0</v>
      </c>
      <c r="AT207" s="407">
        <v>0</v>
      </c>
      <c r="AU207" s="407">
        <v>0</v>
      </c>
      <c r="AV207" s="407">
        <v>0</v>
      </c>
      <c r="AW207" s="407">
        <v>0</v>
      </c>
      <c r="AX207" s="407">
        <v>0</v>
      </c>
      <c r="AY207" s="407">
        <v>0</v>
      </c>
      <c r="AZ207" s="407">
        <v>0</v>
      </c>
      <c r="BA207" s="407"/>
      <c r="BB207" s="407">
        <v>0</v>
      </c>
      <c r="BC207" s="407">
        <v>0</v>
      </c>
      <c r="BD207" s="407">
        <v>0</v>
      </c>
      <c r="BE207" s="407">
        <v>0</v>
      </c>
      <c r="BF207" s="407">
        <v>0</v>
      </c>
      <c r="BG207" s="407">
        <v>1000.7077419522772</v>
      </c>
      <c r="BH207" s="407">
        <v>0</v>
      </c>
      <c r="BI207" s="407">
        <v>121.27</v>
      </c>
      <c r="BJ207" s="407">
        <v>564.80999999999995</v>
      </c>
      <c r="BK207" s="407">
        <v>5924.71</v>
      </c>
      <c r="BL207" s="407">
        <v>309</v>
      </c>
      <c r="BM207" s="407"/>
      <c r="BN207" s="407"/>
      <c r="BO207" s="407"/>
      <c r="BP207" s="407"/>
      <c r="BQ207" s="407"/>
      <c r="BR207" s="407"/>
      <c r="BS207" s="407"/>
      <c r="BT207" s="407">
        <v>2053.8932399999985</v>
      </c>
      <c r="BU207" s="407"/>
      <c r="BV207" s="407">
        <v>5237.3147571939771</v>
      </c>
      <c r="BW207" s="407"/>
      <c r="BX207" s="407"/>
      <c r="BY207" s="407"/>
      <c r="BZ207" s="407"/>
      <c r="CA207" s="407"/>
      <c r="CB207" s="407"/>
      <c r="CC207" s="407"/>
      <c r="CD207" s="407"/>
      <c r="CE207" s="407"/>
      <c r="CF207" s="407"/>
      <c r="CG207" s="407"/>
      <c r="CH207" s="407"/>
      <c r="CI207" s="407">
        <v>18484.8292</v>
      </c>
      <c r="CJ207" s="407">
        <v>-4415.547079999993</v>
      </c>
      <c r="CK207" s="407"/>
      <c r="CL207" s="407"/>
      <c r="CM207" s="407"/>
      <c r="CN207" s="407"/>
      <c r="CO207" s="407">
        <v>-5040.6211800000001</v>
      </c>
      <c r="CP207" s="407">
        <v>133.21476000000033</v>
      </c>
      <c r="CQ207" s="407">
        <v>30</v>
      </c>
      <c r="CR207" s="407">
        <v>-27.037174910006797</v>
      </c>
      <c r="CS207" s="407">
        <v>0</v>
      </c>
      <c r="CT207" s="407">
        <v>0</v>
      </c>
      <c r="CU207" s="407">
        <v>0</v>
      </c>
      <c r="CV207" s="407">
        <v>0</v>
      </c>
      <c r="CW207" s="407">
        <v>0</v>
      </c>
      <c r="CX207" s="407">
        <v>0</v>
      </c>
      <c r="CY207" s="407">
        <v>0</v>
      </c>
      <c r="CZ207" s="407">
        <v>-190.08564466948292</v>
      </c>
      <c r="DA207" s="407">
        <v>0</v>
      </c>
      <c r="DB207" s="407">
        <v>0</v>
      </c>
      <c r="DC207" s="407">
        <v>133.30997504180232</v>
      </c>
      <c r="DD207" s="407">
        <v>0</v>
      </c>
      <c r="DE207" s="407">
        <v>0</v>
      </c>
      <c r="DF207" s="407">
        <v>0</v>
      </c>
      <c r="DG207" s="407">
        <v>31.488482085748842</v>
      </c>
      <c r="DH207" s="407">
        <v>0</v>
      </c>
      <c r="DI207" s="407">
        <v>0</v>
      </c>
      <c r="DJ207" s="407"/>
      <c r="DK207" s="407">
        <v>0</v>
      </c>
      <c r="DL207" s="407">
        <v>0</v>
      </c>
      <c r="DM207" s="407">
        <v>0</v>
      </c>
      <c r="DN207" s="407">
        <v>0</v>
      </c>
      <c r="DO207" s="407">
        <v>0</v>
      </c>
      <c r="DP207" s="407">
        <v>-1.7499873680747129</v>
      </c>
      <c r="DQ207" s="407">
        <v>0</v>
      </c>
      <c r="DR207" s="407">
        <v>0</v>
      </c>
      <c r="DS207" s="407"/>
      <c r="DT207" s="407"/>
      <c r="DU207" s="407"/>
      <c r="DV207" s="407">
        <v>16508.26759908368</v>
      </c>
      <c r="DW207" s="407">
        <v>0</v>
      </c>
      <c r="DX207" s="407">
        <v>0</v>
      </c>
      <c r="DY207" s="407">
        <v>-5040.6211800000019</v>
      </c>
      <c r="DZ207" s="407">
        <v>133.21475999999984</v>
      </c>
      <c r="EA207" s="407">
        <v>0</v>
      </c>
      <c r="EB207" s="407">
        <v>0</v>
      </c>
      <c r="EC207" s="407">
        <v>-4880.1044901599325</v>
      </c>
      <c r="ED207" s="407">
        <v>0</v>
      </c>
      <c r="EE207" s="407">
        <v>0</v>
      </c>
      <c r="EF207" s="407">
        <v>0</v>
      </c>
      <c r="EG207" s="407">
        <v>0</v>
      </c>
      <c r="EH207" s="407">
        <v>0</v>
      </c>
      <c r="EI207" s="407">
        <v>0</v>
      </c>
      <c r="EJ207" s="407">
        <v>0</v>
      </c>
      <c r="EK207" s="407">
        <v>0</v>
      </c>
      <c r="EL207" s="407">
        <v>0</v>
      </c>
      <c r="EM207" s="407">
        <v>0</v>
      </c>
      <c r="EN207" s="407">
        <v>0</v>
      </c>
      <c r="EO207" s="407">
        <v>0</v>
      </c>
      <c r="EP207" s="407">
        <v>0</v>
      </c>
      <c r="EQ207" s="407">
        <v>0</v>
      </c>
      <c r="ER207" s="407">
        <v>0</v>
      </c>
      <c r="ES207" s="407">
        <v>0</v>
      </c>
      <c r="ET207" s="407">
        <v>0</v>
      </c>
      <c r="EU207" s="407">
        <v>0</v>
      </c>
      <c r="EV207" s="407">
        <v>207</v>
      </c>
      <c r="EW207" s="407">
        <v>0</v>
      </c>
      <c r="EX207" s="407">
        <v>0</v>
      </c>
      <c r="EY207" s="407">
        <v>0</v>
      </c>
      <c r="EZ207" s="407"/>
      <c r="FA207" s="407">
        <v>0</v>
      </c>
      <c r="FB207" s="407"/>
      <c r="FC207" s="407"/>
      <c r="FD207" s="407"/>
      <c r="FE207" s="407"/>
      <c r="FF207" s="407">
        <v>0</v>
      </c>
      <c r="FG207" s="407">
        <v>0</v>
      </c>
      <c r="FH207" s="407">
        <v>0</v>
      </c>
      <c r="FI207" s="407">
        <v>0</v>
      </c>
    </row>
    <row r="208" spans="1:165">
      <c r="A208" s="407">
        <v>206</v>
      </c>
      <c r="B208" s="407" t="s">
        <v>1092</v>
      </c>
      <c r="C208" s="407" t="s">
        <v>2305</v>
      </c>
      <c r="D208" s="407" t="s">
        <v>1220</v>
      </c>
      <c r="E208" s="407" t="s">
        <v>1023</v>
      </c>
      <c r="F208" s="407" t="s">
        <v>2312</v>
      </c>
      <c r="G208" s="407" t="s">
        <v>96</v>
      </c>
      <c r="H208" s="407" t="s">
        <v>96</v>
      </c>
      <c r="I208" s="407" t="s">
        <v>96</v>
      </c>
      <c r="J208" s="407" t="s">
        <v>2306</v>
      </c>
      <c r="K208" s="815">
        <v>44652</v>
      </c>
      <c r="L208" s="407">
        <v>0</v>
      </c>
      <c r="M208" s="407">
        <v>0</v>
      </c>
      <c r="N208" s="407">
        <v>13.558</v>
      </c>
      <c r="O208" s="407">
        <v>13.558</v>
      </c>
      <c r="P208" s="407">
        <v>13.558</v>
      </c>
      <c r="Q208" s="407">
        <v>13.558</v>
      </c>
      <c r="R208" s="407"/>
      <c r="S208" s="407">
        <v>640</v>
      </c>
      <c r="T208" s="407">
        <v>127.85</v>
      </c>
      <c r="U208" s="407"/>
      <c r="V208" s="407">
        <v>10410.510299999998</v>
      </c>
      <c r="W208" s="407">
        <v>10410.510299999998</v>
      </c>
      <c r="X208" s="407">
        <v>8402.7060799999999</v>
      </c>
      <c r="Y208" s="407">
        <v>0</v>
      </c>
      <c r="Z208" s="407">
        <v>0</v>
      </c>
      <c r="AA208" s="407">
        <v>0</v>
      </c>
      <c r="AB208" s="407">
        <v>0</v>
      </c>
      <c r="AC208" s="407">
        <v>0</v>
      </c>
      <c r="AD208" s="407">
        <v>1482.464999281679</v>
      </c>
      <c r="AE208" s="407">
        <v>6754.1520945252132</v>
      </c>
      <c r="AF208" s="407">
        <v>1733.35499766573</v>
      </c>
      <c r="AG208" s="407">
        <v>0</v>
      </c>
      <c r="AH208" s="407">
        <v>0</v>
      </c>
      <c r="AI208" s="407">
        <v>0</v>
      </c>
      <c r="AJ208" s="407">
        <v>0</v>
      </c>
      <c r="AK208" s="407">
        <v>0</v>
      </c>
      <c r="AL208" s="407">
        <v>0</v>
      </c>
      <c r="AM208" s="407"/>
      <c r="AN208" s="407">
        <v>31.058168715115045</v>
      </c>
      <c r="AO208" s="407">
        <v>0</v>
      </c>
      <c r="AP208" s="407">
        <v>0</v>
      </c>
      <c r="AQ208" s="407">
        <v>0</v>
      </c>
      <c r="AR208" s="407">
        <v>0</v>
      </c>
      <c r="AS208" s="407">
        <v>0</v>
      </c>
      <c r="AT208" s="407">
        <v>0</v>
      </c>
      <c r="AU208" s="407">
        <v>0</v>
      </c>
      <c r="AV208" s="407">
        <v>0</v>
      </c>
      <c r="AW208" s="407">
        <v>0</v>
      </c>
      <c r="AX208" s="407">
        <v>0</v>
      </c>
      <c r="AY208" s="407">
        <v>0</v>
      </c>
      <c r="AZ208" s="407">
        <v>0</v>
      </c>
      <c r="BA208" s="407"/>
      <c r="BB208" s="407">
        <v>0</v>
      </c>
      <c r="BC208" s="407">
        <v>0</v>
      </c>
      <c r="BD208" s="407">
        <v>0</v>
      </c>
      <c r="BE208" s="407">
        <v>0</v>
      </c>
      <c r="BF208" s="407">
        <v>0</v>
      </c>
      <c r="BG208" s="407">
        <v>409.42710982524517</v>
      </c>
      <c r="BH208" s="407">
        <v>0</v>
      </c>
      <c r="BI208" s="407">
        <v>41.81</v>
      </c>
      <c r="BJ208" s="407">
        <v>194.6</v>
      </c>
      <c r="BK208" s="407">
        <v>3191.16</v>
      </c>
      <c r="BL208" s="407">
        <v>128</v>
      </c>
      <c r="BM208" s="407"/>
      <c r="BN208" s="407"/>
      <c r="BO208" s="407"/>
      <c r="BP208" s="407"/>
      <c r="BQ208" s="407"/>
      <c r="BR208" s="407"/>
      <c r="BS208" s="407"/>
      <c r="BT208" s="407"/>
      <c r="BU208" s="407"/>
      <c r="BV208" s="407">
        <v>2142.7821074909752</v>
      </c>
      <c r="BW208" s="407"/>
      <c r="BX208" s="407"/>
      <c r="BY208" s="407"/>
      <c r="BZ208" s="407"/>
      <c r="CA208" s="407"/>
      <c r="CB208" s="407"/>
      <c r="CC208" s="407"/>
      <c r="CD208" s="407"/>
      <c r="CE208" s="407"/>
      <c r="CF208" s="407"/>
      <c r="CG208" s="407"/>
      <c r="CH208" s="407"/>
      <c r="CI208" s="407">
        <v>8403.9456000000009</v>
      </c>
      <c r="CJ208" s="407">
        <v>-2006.5946999999978</v>
      </c>
      <c r="CK208" s="407"/>
      <c r="CL208" s="407"/>
      <c r="CM208" s="407"/>
      <c r="CN208" s="407"/>
      <c r="CO208" s="407">
        <v>-2062.3073800000002</v>
      </c>
      <c r="CP208" s="407">
        <v>54.503160000000136</v>
      </c>
      <c r="CQ208" s="407">
        <v>30</v>
      </c>
      <c r="CR208" s="407">
        <v>-11.061923393984671</v>
      </c>
      <c r="CS208" s="407">
        <v>0</v>
      </c>
      <c r="CT208" s="407">
        <v>0</v>
      </c>
      <c r="CU208" s="407">
        <v>0</v>
      </c>
      <c r="CV208" s="407">
        <v>0</v>
      </c>
      <c r="CW208" s="407">
        <v>0</v>
      </c>
      <c r="CX208" s="407">
        <v>0</v>
      </c>
      <c r="CY208" s="407">
        <v>0</v>
      </c>
      <c r="CZ208" s="407">
        <v>-77.771174193640036</v>
      </c>
      <c r="DA208" s="407">
        <v>0</v>
      </c>
      <c r="DB208" s="407">
        <v>0</v>
      </c>
      <c r="DC208" s="407">
        <v>54.542116048547314</v>
      </c>
      <c r="DD208" s="407">
        <v>0</v>
      </c>
      <c r="DE208" s="407">
        <v>0</v>
      </c>
      <c r="DF208" s="407">
        <v>0</v>
      </c>
      <c r="DG208" s="407">
        <v>12.883120288447799</v>
      </c>
      <c r="DH208" s="407">
        <v>0</v>
      </c>
      <c r="DI208" s="407">
        <v>0</v>
      </c>
      <c r="DJ208" s="407"/>
      <c r="DK208" s="407">
        <v>0</v>
      </c>
      <c r="DL208" s="407">
        <v>0</v>
      </c>
      <c r="DM208" s="407">
        <v>0</v>
      </c>
      <c r="DN208" s="407">
        <v>0</v>
      </c>
      <c r="DO208" s="407">
        <v>0</v>
      </c>
      <c r="DP208" s="407">
        <v>-0.71598553733952031</v>
      </c>
      <c r="DQ208" s="407">
        <v>0</v>
      </c>
      <c r="DR208" s="407">
        <v>0</v>
      </c>
      <c r="DS208" s="407"/>
      <c r="DT208" s="407"/>
      <c r="DU208" s="407"/>
      <c r="DV208" s="407">
        <v>6754.1520945252132</v>
      </c>
      <c r="DW208" s="407">
        <v>0</v>
      </c>
      <c r="DX208" s="407">
        <v>0</v>
      </c>
      <c r="DY208" s="407">
        <v>-2062.3073799999993</v>
      </c>
      <c r="DZ208" s="407">
        <v>54.503160000000207</v>
      </c>
      <c r="EA208" s="407">
        <v>0</v>
      </c>
      <c r="EB208" s="407">
        <v>0</v>
      </c>
      <c r="EC208" s="407">
        <v>-1996.6339754236333</v>
      </c>
      <c r="ED208" s="407">
        <v>0</v>
      </c>
      <c r="EE208" s="407">
        <v>0</v>
      </c>
      <c r="EF208" s="407">
        <v>0</v>
      </c>
      <c r="EG208" s="407">
        <v>0</v>
      </c>
      <c r="EH208" s="407">
        <v>0</v>
      </c>
      <c r="EI208" s="407">
        <v>0</v>
      </c>
      <c r="EJ208" s="407">
        <v>0</v>
      </c>
      <c r="EK208" s="407">
        <v>0</v>
      </c>
      <c r="EL208" s="407">
        <v>0</v>
      </c>
      <c r="EM208" s="407">
        <v>0</v>
      </c>
      <c r="EN208" s="407">
        <v>0</v>
      </c>
      <c r="EO208" s="407">
        <v>0</v>
      </c>
      <c r="EP208" s="407">
        <v>0</v>
      </c>
      <c r="EQ208" s="407">
        <v>0</v>
      </c>
      <c r="ER208" s="407">
        <v>0</v>
      </c>
      <c r="ES208" s="407">
        <v>0</v>
      </c>
      <c r="ET208" s="407">
        <v>0</v>
      </c>
      <c r="EU208" s="407">
        <v>0</v>
      </c>
      <c r="EV208" s="407">
        <v>207</v>
      </c>
      <c r="EW208" s="407">
        <v>0</v>
      </c>
      <c r="EX208" s="407">
        <v>0</v>
      </c>
      <c r="EY208" s="407">
        <v>0</v>
      </c>
      <c r="EZ208" s="407"/>
      <c r="FA208" s="407">
        <v>0</v>
      </c>
      <c r="FB208" s="407"/>
      <c r="FC208" s="407"/>
      <c r="FD208" s="407"/>
      <c r="FE208" s="407"/>
      <c r="FF208" s="407">
        <v>0</v>
      </c>
      <c r="FG208" s="407">
        <v>0</v>
      </c>
      <c r="FH208" s="407">
        <v>0</v>
      </c>
      <c r="FI208" s="407">
        <v>0</v>
      </c>
    </row>
    <row r="209" spans="1:165">
      <c r="A209" s="407">
        <v>207</v>
      </c>
      <c r="B209" s="407" t="s">
        <v>2308</v>
      </c>
      <c r="C209" s="407" t="s">
        <v>2313</v>
      </c>
      <c r="D209" s="407" t="s">
        <v>1220</v>
      </c>
      <c r="E209" s="407" t="s">
        <v>1023</v>
      </c>
      <c r="F209" s="407" t="s">
        <v>1023</v>
      </c>
      <c r="G209" s="407" t="s">
        <v>96</v>
      </c>
      <c r="H209" s="407" t="s">
        <v>96</v>
      </c>
      <c r="I209" s="407" t="s">
        <v>96</v>
      </c>
      <c r="J209" s="407" t="s">
        <v>2306</v>
      </c>
      <c r="K209" s="815">
        <v>44652</v>
      </c>
      <c r="L209" s="407">
        <v>0</v>
      </c>
      <c r="M209" s="407">
        <v>0</v>
      </c>
      <c r="N209" s="407">
        <v>0</v>
      </c>
      <c r="O209" s="407">
        <v>0</v>
      </c>
      <c r="P209" s="407">
        <v>0</v>
      </c>
      <c r="Q209" s="407">
        <v>0</v>
      </c>
      <c r="R209" s="407"/>
      <c r="S209" s="407"/>
      <c r="T209" s="407"/>
      <c r="U209" s="407"/>
      <c r="V209" s="407"/>
      <c r="W209" s="407"/>
      <c r="X209" s="407"/>
      <c r="Y209" s="407"/>
      <c r="Z209" s="407"/>
      <c r="AA209" s="407">
        <v>0</v>
      </c>
      <c r="AB209" s="407"/>
      <c r="AC209" s="407"/>
      <c r="AD209" s="407"/>
      <c r="AE209" s="407"/>
      <c r="AF209" s="407"/>
      <c r="AG209" s="407"/>
      <c r="AH209" s="407"/>
      <c r="AI209" s="407"/>
      <c r="AJ209" s="407"/>
      <c r="AK209" s="407"/>
      <c r="AL209" s="407"/>
      <c r="AM209" s="407"/>
      <c r="AN209" s="407"/>
      <c r="AO209" s="407"/>
      <c r="AP209" s="407"/>
      <c r="AQ209" s="407"/>
      <c r="AR209" s="407"/>
      <c r="AS209" s="407"/>
      <c r="AT209" s="407"/>
      <c r="AU209" s="407"/>
      <c r="AV209" s="407"/>
      <c r="AW209" s="407"/>
      <c r="AX209" s="407"/>
      <c r="AY209" s="407"/>
      <c r="AZ209" s="407">
        <v>0</v>
      </c>
      <c r="BA209" s="407"/>
      <c r="BB209" s="407"/>
      <c r="BC209" s="407"/>
      <c r="BD209" s="407"/>
      <c r="BE209" s="407"/>
      <c r="BF209" s="407"/>
      <c r="BG209" s="407"/>
      <c r="BH209" s="407"/>
      <c r="BI209" s="407">
        <v>0.11</v>
      </c>
      <c r="BJ209" s="407">
        <v>0.54</v>
      </c>
      <c r="BK209" s="407">
        <v>89.58</v>
      </c>
      <c r="BL209" s="407">
        <v>1</v>
      </c>
      <c r="BM209" s="407"/>
      <c r="BN209" s="407"/>
      <c r="BO209" s="407"/>
      <c r="BP209" s="407"/>
      <c r="BQ209" s="407"/>
      <c r="BR209" s="407"/>
      <c r="BS209" s="407"/>
      <c r="BT209" s="407"/>
      <c r="BU209" s="407"/>
      <c r="BV209" s="407"/>
      <c r="BW209" s="407"/>
      <c r="BX209" s="407"/>
      <c r="BY209" s="407"/>
      <c r="BZ209" s="407"/>
      <c r="CA209" s="407"/>
      <c r="CB209" s="407"/>
      <c r="CC209" s="407"/>
      <c r="CD209" s="407"/>
      <c r="CE209" s="407"/>
      <c r="CF209" s="407"/>
      <c r="CG209" s="407"/>
      <c r="CH209" s="407"/>
      <c r="CI209" s="407"/>
      <c r="CJ209" s="407">
        <v>-0.03</v>
      </c>
      <c r="CK209" s="407"/>
      <c r="CL209" s="407"/>
      <c r="CM209" s="407"/>
      <c r="CN209" s="407"/>
      <c r="CO209" s="407">
        <v>0</v>
      </c>
      <c r="CP209" s="407">
        <v>0</v>
      </c>
      <c r="CQ209" s="407">
        <v>30</v>
      </c>
      <c r="CR209" s="407"/>
      <c r="CS209" s="407"/>
      <c r="CT209" s="407"/>
      <c r="CU209" s="407"/>
      <c r="CV209" s="407"/>
      <c r="CW209" s="407"/>
      <c r="CX209" s="407"/>
      <c r="CY209" s="407"/>
      <c r="CZ209" s="407"/>
      <c r="DA209" s="407"/>
      <c r="DB209" s="407"/>
      <c r="DC209" s="407"/>
      <c r="DD209" s="407"/>
      <c r="DE209" s="407"/>
      <c r="DF209" s="407"/>
      <c r="DG209" s="407"/>
      <c r="DH209" s="407"/>
      <c r="DI209" s="407"/>
      <c r="DJ209" s="407"/>
      <c r="DK209" s="407">
        <v>0</v>
      </c>
      <c r="DL209" s="407"/>
      <c r="DM209" s="407"/>
      <c r="DN209" s="407"/>
      <c r="DO209" s="407"/>
      <c r="DP209" s="407"/>
      <c r="DQ209" s="407"/>
      <c r="DR209" s="407"/>
      <c r="DS209" s="407"/>
      <c r="DT209" s="407"/>
      <c r="DU209" s="407"/>
      <c r="DV209" s="407"/>
      <c r="DW209" s="407"/>
      <c r="DX209" s="407"/>
      <c r="DY209" s="407"/>
      <c r="DZ209" s="407"/>
      <c r="EA209" s="407"/>
      <c r="EB209" s="407"/>
      <c r="EC209" s="407"/>
      <c r="ED209" s="407"/>
      <c r="EE209" s="407"/>
      <c r="EF209" s="407"/>
      <c r="EG209" s="407"/>
      <c r="EH209" s="407"/>
      <c r="EI209" s="407"/>
      <c r="EJ209" s="407"/>
      <c r="EK209" s="407"/>
      <c r="EL209" s="407"/>
      <c r="EM209" s="407"/>
      <c r="EN209" s="407"/>
      <c r="EO209" s="407"/>
      <c r="EP209" s="407"/>
      <c r="EQ209" s="407"/>
      <c r="ER209" s="407"/>
      <c r="ES209" s="407"/>
      <c r="ET209" s="407"/>
      <c r="EU209" s="407"/>
      <c r="EV209" s="407">
        <v>207</v>
      </c>
      <c r="EW209" s="407"/>
      <c r="EX209" s="407"/>
      <c r="EY209" s="407"/>
      <c r="EZ209" s="407"/>
      <c r="FA209" s="407">
        <v>0</v>
      </c>
      <c r="FB209" s="407"/>
      <c r="FC209" s="407"/>
      <c r="FD209" s="407"/>
      <c r="FE209" s="407"/>
      <c r="FF209" s="407">
        <v>0</v>
      </c>
      <c r="FG209" s="407">
        <v>0</v>
      </c>
      <c r="FH209" s="407">
        <v>0</v>
      </c>
      <c r="FI209" s="407">
        <v>0</v>
      </c>
    </row>
    <row r="210" spans="1:165">
      <c r="A210" s="407">
        <v>208</v>
      </c>
      <c r="B210" s="407" t="s">
        <v>1092</v>
      </c>
      <c r="C210" s="407" t="s">
        <v>2315</v>
      </c>
      <c r="D210" s="407" t="s">
        <v>648</v>
      </c>
      <c r="E210" s="407" t="s">
        <v>1024</v>
      </c>
      <c r="F210" s="407" t="s">
        <v>96</v>
      </c>
      <c r="G210" s="407" t="s">
        <v>96</v>
      </c>
      <c r="H210" s="407" t="s">
        <v>96</v>
      </c>
      <c r="I210" s="407" t="s">
        <v>1027</v>
      </c>
      <c r="J210" s="407" t="s">
        <v>2306</v>
      </c>
      <c r="K210" s="815">
        <v>44652</v>
      </c>
      <c r="L210" s="407">
        <v>0</v>
      </c>
      <c r="M210" s="407">
        <v>0</v>
      </c>
      <c r="N210" s="407">
        <v>2.762</v>
      </c>
      <c r="O210" s="407">
        <v>2.762</v>
      </c>
      <c r="P210" s="407">
        <v>2.762</v>
      </c>
      <c r="Q210" s="407">
        <v>2.762</v>
      </c>
      <c r="R210" s="407"/>
      <c r="S210" s="407">
        <v>2075.9499999999998</v>
      </c>
      <c r="T210" s="407">
        <v>127.85</v>
      </c>
      <c r="U210" s="407"/>
      <c r="V210" s="407">
        <v>6086.8955999999989</v>
      </c>
      <c r="W210" s="407">
        <v>6086.8955999999989</v>
      </c>
      <c r="X210" s="407">
        <v>4878.8244199999999</v>
      </c>
      <c r="Y210" s="407">
        <v>0</v>
      </c>
      <c r="Z210" s="407">
        <v>146.75974467651648</v>
      </c>
      <c r="AA210" s="407">
        <v>0</v>
      </c>
      <c r="AB210" s="407">
        <v>0</v>
      </c>
      <c r="AC210" s="407">
        <v>0</v>
      </c>
      <c r="AD210" s="407">
        <v>1740.0846299496752</v>
      </c>
      <c r="AE210" s="407">
        <v>3803.726291702867</v>
      </c>
      <c r="AF210" s="407">
        <v>353.11450830157446</v>
      </c>
      <c r="AG210" s="407">
        <v>0</v>
      </c>
      <c r="AH210" s="407">
        <v>0</v>
      </c>
      <c r="AI210" s="407">
        <v>0</v>
      </c>
      <c r="AJ210" s="407">
        <v>0</v>
      </c>
      <c r="AK210" s="407">
        <v>0</v>
      </c>
      <c r="AL210" s="407">
        <v>26.087911464744767</v>
      </c>
      <c r="AM210" s="407"/>
      <c r="AN210" s="407">
        <v>2.7741641576307234</v>
      </c>
      <c r="AO210" s="407">
        <v>0</v>
      </c>
      <c r="AP210" s="407">
        <v>0</v>
      </c>
      <c r="AQ210" s="407">
        <v>0</v>
      </c>
      <c r="AR210" s="407">
        <v>0</v>
      </c>
      <c r="AS210" s="407">
        <v>0</v>
      </c>
      <c r="AT210" s="407">
        <v>0</v>
      </c>
      <c r="AU210" s="407">
        <v>0</v>
      </c>
      <c r="AV210" s="407">
        <v>0</v>
      </c>
      <c r="AW210" s="407">
        <v>0</v>
      </c>
      <c r="AX210" s="407">
        <v>0</v>
      </c>
      <c r="AY210" s="407">
        <v>0</v>
      </c>
      <c r="AZ210" s="407">
        <v>0</v>
      </c>
      <c r="BA210" s="407"/>
      <c r="BB210" s="407">
        <v>0</v>
      </c>
      <c r="BC210" s="407">
        <v>0</v>
      </c>
      <c r="BD210" s="407">
        <v>0</v>
      </c>
      <c r="BE210" s="407">
        <v>0</v>
      </c>
      <c r="BF210" s="407">
        <v>0</v>
      </c>
      <c r="BG210" s="407">
        <v>14.33915079843301</v>
      </c>
      <c r="BH210" s="407">
        <v>0</v>
      </c>
      <c r="BI210" s="407">
        <v>0</v>
      </c>
      <c r="BJ210" s="407">
        <v>0</v>
      </c>
      <c r="BK210" s="407">
        <v>0</v>
      </c>
      <c r="BL210" s="407">
        <v>0</v>
      </c>
      <c r="BM210" s="407"/>
      <c r="BN210" s="407"/>
      <c r="BO210" s="407"/>
      <c r="BP210" s="407"/>
      <c r="BQ210" s="407"/>
      <c r="BR210" s="407"/>
      <c r="BS210" s="407"/>
      <c r="BT210" s="407"/>
      <c r="BU210" s="407"/>
      <c r="BV210" s="407">
        <v>367.45365910000748</v>
      </c>
      <c r="BW210" s="407"/>
      <c r="BX210" s="407"/>
      <c r="BY210" s="407"/>
      <c r="BZ210" s="407"/>
      <c r="CA210" s="407"/>
      <c r="CB210" s="407"/>
      <c r="CC210" s="407"/>
      <c r="CD210" s="407"/>
      <c r="CE210" s="407"/>
      <c r="CF210" s="407"/>
      <c r="CG210" s="407"/>
      <c r="CH210" s="407"/>
      <c r="CI210" s="407">
        <v>4875.2915999999996</v>
      </c>
      <c r="CJ210" s="407">
        <v>-1211.634</v>
      </c>
      <c r="CK210" s="407"/>
      <c r="CL210" s="407"/>
      <c r="CM210" s="407"/>
      <c r="CN210" s="407"/>
      <c r="CO210" s="407">
        <v>-1219.1744199999996</v>
      </c>
      <c r="CP210" s="407">
        <v>11.103240000000028</v>
      </c>
      <c r="CQ210" s="407">
        <v>30</v>
      </c>
      <c r="CR210" s="407">
        <v>-83.627699006113744</v>
      </c>
      <c r="CS210" s="407">
        <v>0</v>
      </c>
      <c r="CT210" s="407">
        <v>0</v>
      </c>
      <c r="CU210" s="407">
        <v>0</v>
      </c>
      <c r="CV210" s="407">
        <v>0</v>
      </c>
      <c r="CW210" s="407">
        <v>0</v>
      </c>
      <c r="CX210" s="407">
        <v>0</v>
      </c>
      <c r="CY210" s="407">
        <v>0</v>
      </c>
      <c r="CZ210" s="407">
        <v>-91.286084280619207</v>
      </c>
      <c r="DA210" s="407">
        <v>0</v>
      </c>
      <c r="DB210" s="407">
        <v>0</v>
      </c>
      <c r="DC210" s="407">
        <v>11.111176023461269</v>
      </c>
      <c r="DD210" s="407">
        <v>0</v>
      </c>
      <c r="DE210" s="407">
        <v>0</v>
      </c>
      <c r="DF210" s="407">
        <v>0</v>
      </c>
      <c r="DG210" s="407">
        <v>0.45119876074949694</v>
      </c>
      <c r="DH210" s="407">
        <v>0</v>
      </c>
      <c r="DI210" s="407">
        <v>-3.3422261897652845</v>
      </c>
      <c r="DJ210" s="407"/>
      <c r="DK210" s="407">
        <v>0</v>
      </c>
      <c r="DL210" s="407">
        <v>0</v>
      </c>
      <c r="DM210" s="407">
        <v>0</v>
      </c>
      <c r="DN210" s="407">
        <v>0</v>
      </c>
      <c r="DO210" s="407">
        <v>-0.49781037302655662</v>
      </c>
      <c r="DP210" s="407">
        <v>-6.3952946913533815E-2</v>
      </c>
      <c r="DQ210" s="407">
        <v>0</v>
      </c>
      <c r="DR210" s="407">
        <v>0</v>
      </c>
      <c r="DS210" s="407"/>
      <c r="DT210" s="407"/>
      <c r="DU210" s="407"/>
      <c r="DV210" s="407">
        <v>3803.726291702867</v>
      </c>
      <c r="DW210" s="407">
        <v>0</v>
      </c>
      <c r="DX210" s="407">
        <v>0</v>
      </c>
      <c r="DY210" s="407">
        <v>-1219.1744199999994</v>
      </c>
      <c r="DZ210" s="407">
        <v>11.103240000000028</v>
      </c>
      <c r="EA210" s="407">
        <v>0</v>
      </c>
      <c r="EB210" s="407">
        <v>0</v>
      </c>
      <c r="EC210" s="407">
        <v>-1124.4415347682402</v>
      </c>
      <c r="ED210" s="407">
        <v>0</v>
      </c>
      <c r="EE210" s="407">
        <v>0</v>
      </c>
      <c r="EF210" s="407">
        <v>0</v>
      </c>
      <c r="EG210" s="407">
        <v>0</v>
      </c>
      <c r="EH210" s="407">
        <v>0</v>
      </c>
      <c r="EI210" s="407">
        <v>0</v>
      </c>
      <c r="EJ210" s="407">
        <v>0</v>
      </c>
      <c r="EK210" s="407">
        <v>0</v>
      </c>
      <c r="EL210" s="407">
        <v>0</v>
      </c>
      <c r="EM210" s="407">
        <v>0</v>
      </c>
      <c r="EN210" s="407">
        <v>0</v>
      </c>
      <c r="EO210" s="407">
        <v>0</v>
      </c>
      <c r="EP210" s="407">
        <v>0</v>
      </c>
      <c r="EQ210" s="407">
        <v>0</v>
      </c>
      <c r="ER210" s="407">
        <v>0</v>
      </c>
      <c r="ES210" s="407">
        <v>0</v>
      </c>
      <c r="ET210" s="407">
        <v>0</v>
      </c>
      <c r="EU210" s="407">
        <v>0</v>
      </c>
      <c r="EV210" s="407">
        <v>207</v>
      </c>
      <c r="EW210" s="407">
        <v>0</v>
      </c>
      <c r="EX210" s="407">
        <v>0</v>
      </c>
      <c r="EY210" s="407">
        <v>0</v>
      </c>
      <c r="EZ210" s="407"/>
      <c r="FA210" s="407">
        <v>0</v>
      </c>
      <c r="FB210" s="407"/>
      <c r="FC210" s="407"/>
      <c r="FD210" s="407"/>
      <c r="FE210" s="407"/>
      <c r="FF210" s="407">
        <v>0</v>
      </c>
      <c r="FG210" s="407">
        <v>0</v>
      </c>
      <c r="FH210" s="407">
        <v>0</v>
      </c>
      <c r="FI210" s="407">
        <v>0</v>
      </c>
    </row>
    <row r="211" spans="1:165">
      <c r="A211" s="407">
        <v>209</v>
      </c>
      <c r="B211" s="407" t="s">
        <v>1092</v>
      </c>
      <c r="C211" s="407" t="s">
        <v>2315</v>
      </c>
      <c r="D211" s="407" t="s">
        <v>648</v>
      </c>
      <c r="E211" s="407" t="s">
        <v>1024</v>
      </c>
      <c r="F211" s="407" t="s">
        <v>96</v>
      </c>
      <c r="G211" s="407" t="s">
        <v>96</v>
      </c>
      <c r="H211" s="407" t="s">
        <v>96</v>
      </c>
      <c r="I211" s="407" t="s">
        <v>2290</v>
      </c>
      <c r="J211" s="407" t="s">
        <v>2306</v>
      </c>
      <c r="K211" s="815">
        <v>44652</v>
      </c>
      <c r="L211" s="407">
        <v>0</v>
      </c>
      <c r="M211" s="407">
        <v>0</v>
      </c>
      <c r="N211" s="407">
        <v>107.65600000000001</v>
      </c>
      <c r="O211" s="407">
        <v>107.65600000000001</v>
      </c>
      <c r="P211" s="407">
        <v>107.65600000000001</v>
      </c>
      <c r="Q211" s="407">
        <v>107.65600000000001</v>
      </c>
      <c r="R211" s="407"/>
      <c r="S211" s="407">
        <v>68.78</v>
      </c>
      <c r="T211" s="407">
        <v>127.85</v>
      </c>
      <c r="U211" s="407"/>
      <c r="V211" s="407">
        <v>21168.399280000001</v>
      </c>
      <c r="W211" s="407">
        <v>21168.399280000001</v>
      </c>
      <c r="X211" s="407">
        <v>21466.606400000001</v>
      </c>
      <c r="Y211" s="407">
        <v>0</v>
      </c>
      <c r="Z211" s="407">
        <v>5720.3356527498399</v>
      </c>
      <c r="AA211" s="407">
        <v>0</v>
      </c>
      <c r="AB211" s="407">
        <v>0</v>
      </c>
      <c r="AC211" s="407">
        <v>0</v>
      </c>
      <c r="AD211" s="407">
        <v>0</v>
      </c>
      <c r="AE211" s="407">
        <v>0</v>
      </c>
      <c r="AF211" s="407">
        <v>13763.539285197068</v>
      </c>
      <c r="AG211" s="407">
        <v>0</v>
      </c>
      <c r="AH211" s="407">
        <v>0</v>
      </c>
      <c r="AI211" s="407">
        <v>0</v>
      </c>
      <c r="AJ211" s="407">
        <v>0</v>
      </c>
      <c r="AK211" s="407">
        <v>0</v>
      </c>
      <c r="AL211" s="407">
        <v>1016.8429386852147</v>
      </c>
      <c r="AM211" s="407"/>
      <c r="AN211" s="407">
        <v>108.13012909264778</v>
      </c>
      <c r="AO211" s="407">
        <v>0</v>
      </c>
      <c r="AP211" s="407">
        <v>0</v>
      </c>
      <c r="AQ211" s="407">
        <v>0</v>
      </c>
      <c r="AR211" s="407">
        <v>0</v>
      </c>
      <c r="AS211" s="407">
        <v>0</v>
      </c>
      <c r="AT211" s="407">
        <v>0</v>
      </c>
      <c r="AU211" s="407">
        <v>0</v>
      </c>
      <c r="AV211" s="407">
        <v>0</v>
      </c>
      <c r="AW211" s="407">
        <v>0</v>
      </c>
      <c r="AX211" s="407">
        <v>0</v>
      </c>
      <c r="AY211" s="407">
        <v>0</v>
      </c>
      <c r="AZ211" s="407">
        <v>0</v>
      </c>
      <c r="BA211" s="407"/>
      <c r="BB211" s="407">
        <v>0</v>
      </c>
      <c r="BC211" s="407">
        <v>0</v>
      </c>
      <c r="BD211" s="407">
        <v>0</v>
      </c>
      <c r="BE211" s="407">
        <v>0</v>
      </c>
      <c r="BF211" s="407">
        <v>0</v>
      </c>
      <c r="BG211" s="407">
        <v>558.90500302538169</v>
      </c>
      <c r="BH211" s="407">
        <v>0</v>
      </c>
      <c r="BI211" s="407">
        <v>0</v>
      </c>
      <c r="BJ211" s="407">
        <v>0</v>
      </c>
      <c r="BK211" s="407">
        <v>0</v>
      </c>
      <c r="BL211" s="407">
        <v>0</v>
      </c>
      <c r="BM211" s="407"/>
      <c r="BN211" s="407"/>
      <c r="BO211" s="407"/>
      <c r="BP211" s="407"/>
      <c r="BQ211" s="407"/>
      <c r="BR211" s="407"/>
      <c r="BS211" s="407"/>
      <c r="BT211" s="407"/>
      <c r="BU211" s="407"/>
      <c r="BV211" s="407">
        <v>14322.44428822245</v>
      </c>
      <c r="BW211" s="407"/>
      <c r="BX211" s="407"/>
      <c r="BY211" s="407"/>
      <c r="BZ211" s="407"/>
      <c r="CA211" s="407"/>
      <c r="CB211" s="407"/>
      <c r="CC211" s="407"/>
      <c r="CD211" s="407"/>
      <c r="CE211" s="407"/>
      <c r="CF211" s="407"/>
      <c r="CG211" s="407"/>
      <c r="CH211" s="407"/>
      <c r="CI211" s="407">
        <v>21467.404000000002</v>
      </c>
      <c r="CJ211" s="407">
        <v>298.97472000000198</v>
      </c>
      <c r="CK211" s="407"/>
      <c r="CL211" s="407"/>
      <c r="CM211" s="407"/>
      <c r="CN211" s="407"/>
      <c r="CO211" s="407">
        <v>-134.57</v>
      </c>
      <c r="CP211" s="407">
        <v>432.7771200000011</v>
      </c>
      <c r="CQ211" s="407">
        <v>30</v>
      </c>
      <c r="CR211" s="407">
        <v>298.5051140883952</v>
      </c>
      <c r="CS211" s="407">
        <v>0</v>
      </c>
      <c r="CT211" s="407">
        <v>0</v>
      </c>
      <c r="CU211" s="407">
        <v>0</v>
      </c>
      <c r="CV211" s="407">
        <v>0</v>
      </c>
      <c r="CW211" s="407">
        <v>0</v>
      </c>
      <c r="CX211" s="407">
        <v>0</v>
      </c>
      <c r="CY211" s="407">
        <v>0</v>
      </c>
      <c r="CZ211" s="407">
        <v>0</v>
      </c>
      <c r="DA211" s="407">
        <v>0</v>
      </c>
      <c r="DB211" s="407">
        <v>0</v>
      </c>
      <c r="DC211" s="407">
        <v>433.08644677108896</v>
      </c>
      <c r="DD211" s="407">
        <v>0</v>
      </c>
      <c r="DE211" s="407">
        <v>0</v>
      </c>
      <c r="DF211" s="407">
        <v>0</v>
      </c>
      <c r="DG211" s="407">
        <v>17.586623384231643</v>
      </c>
      <c r="DH211" s="407">
        <v>0</v>
      </c>
      <c r="DI211" s="407">
        <v>-130.2717967724011</v>
      </c>
      <c r="DJ211" s="407"/>
      <c r="DK211" s="407">
        <v>0</v>
      </c>
      <c r="DL211" s="407">
        <v>0</v>
      </c>
      <c r="DM211" s="407">
        <v>0</v>
      </c>
      <c r="DN211" s="407">
        <v>0</v>
      </c>
      <c r="DO211" s="407">
        <v>-19.403429948786084</v>
      </c>
      <c r="DP211" s="407">
        <v>-2.4927293457361941</v>
      </c>
      <c r="DQ211" s="407">
        <v>0</v>
      </c>
      <c r="DR211" s="407">
        <v>0</v>
      </c>
      <c r="DS211" s="407"/>
      <c r="DT211" s="407"/>
      <c r="DU211" s="407"/>
      <c r="DV211" s="407">
        <v>0</v>
      </c>
      <c r="DW211" s="407">
        <v>0</v>
      </c>
      <c r="DX211" s="407">
        <v>0</v>
      </c>
      <c r="DY211" s="407">
        <v>-134.57000000000062</v>
      </c>
      <c r="DZ211" s="407">
        <v>432.77712000000065</v>
      </c>
      <c r="EA211" s="407">
        <v>0</v>
      </c>
      <c r="EB211" s="407">
        <v>0</v>
      </c>
      <c r="EC211" s="407">
        <v>0</v>
      </c>
      <c r="ED211" s="407">
        <v>0</v>
      </c>
      <c r="EE211" s="407">
        <v>0</v>
      </c>
      <c r="EF211" s="407">
        <v>0</v>
      </c>
      <c r="EG211" s="407">
        <v>0</v>
      </c>
      <c r="EH211" s="407">
        <v>0</v>
      </c>
      <c r="EI211" s="407">
        <v>0</v>
      </c>
      <c r="EJ211" s="407">
        <v>0</v>
      </c>
      <c r="EK211" s="407">
        <v>0</v>
      </c>
      <c r="EL211" s="407">
        <v>0</v>
      </c>
      <c r="EM211" s="407">
        <v>0</v>
      </c>
      <c r="EN211" s="407">
        <v>0</v>
      </c>
      <c r="EO211" s="407">
        <v>0</v>
      </c>
      <c r="EP211" s="407">
        <v>0</v>
      </c>
      <c r="EQ211" s="407">
        <v>0</v>
      </c>
      <c r="ER211" s="407">
        <v>0</v>
      </c>
      <c r="ES211" s="407">
        <v>0</v>
      </c>
      <c r="ET211" s="407">
        <v>0</v>
      </c>
      <c r="EU211" s="407">
        <v>0</v>
      </c>
      <c r="EV211" s="407">
        <v>207</v>
      </c>
      <c r="EW211" s="407">
        <v>0</v>
      </c>
      <c r="EX211" s="407">
        <v>0</v>
      </c>
      <c r="EY211" s="407">
        <v>0</v>
      </c>
      <c r="EZ211" s="407"/>
      <c r="FA211" s="407">
        <v>0</v>
      </c>
      <c r="FB211" s="407"/>
      <c r="FC211" s="407"/>
      <c r="FD211" s="407"/>
      <c r="FE211" s="407"/>
      <c r="FF211" s="407">
        <v>0</v>
      </c>
      <c r="FG211" s="407">
        <v>0</v>
      </c>
      <c r="FH211" s="407">
        <v>0</v>
      </c>
      <c r="FI211" s="407">
        <v>0</v>
      </c>
    </row>
    <row r="212" spans="1:165">
      <c r="A212" s="407">
        <v>210</v>
      </c>
      <c r="B212" s="407" t="s">
        <v>1092</v>
      </c>
      <c r="C212" s="407" t="s">
        <v>2315</v>
      </c>
      <c r="D212" s="407" t="s">
        <v>648</v>
      </c>
      <c r="E212" s="407" t="s">
        <v>1024</v>
      </c>
      <c r="F212" s="407" t="s">
        <v>96</v>
      </c>
      <c r="G212" s="407" t="s">
        <v>96</v>
      </c>
      <c r="H212" s="407" t="s">
        <v>96</v>
      </c>
      <c r="I212" s="407" t="s">
        <v>96</v>
      </c>
      <c r="J212" s="407" t="s">
        <v>2306</v>
      </c>
      <c r="K212" s="815">
        <v>44652</v>
      </c>
      <c r="L212" s="407">
        <v>522</v>
      </c>
      <c r="M212" s="407">
        <v>522</v>
      </c>
      <c r="N212" s="407">
        <v>0</v>
      </c>
      <c r="O212" s="407">
        <v>0</v>
      </c>
      <c r="P212" s="407">
        <v>0</v>
      </c>
      <c r="Q212" s="407">
        <v>0</v>
      </c>
      <c r="R212" s="407">
        <v>39.56</v>
      </c>
      <c r="S212" s="407"/>
      <c r="T212" s="407"/>
      <c r="U212" s="407">
        <v>20650.32</v>
      </c>
      <c r="V212" s="407"/>
      <c r="W212" s="407">
        <v>20650.32</v>
      </c>
      <c r="X212" s="407">
        <v>16213.32</v>
      </c>
      <c r="Y212" s="407">
        <v>0</v>
      </c>
      <c r="Z212" s="407">
        <v>0</v>
      </c>
      <c r="AA212" s="407">
        <v>0</v>
      </c>
      <c r="AB212" s="407">
        <v>0</v>
      </c>
      <c r="AC212" s="407">
        <v>0</v>
      </c>
      <c r="AD212" s="407">
        <v>6874.8870996635787</v>
      </c>
      <c r="AE212" s="407">
        <v>13772.934551280516</v>
      </c>
      <c r="AF212" s="407"/>
      <c r="AG212" s="407"/>
      <c r="AH212" s="407"/>
      <c r="AI212" s="407">
        <v>0</v>
      </c>
      <c r="AJ212" s="407">
        <v>0</v>
      </c>
      <c r="AK212" s="407">
        <v>0</v>
      </c>
      <c r="AL212" s="407">
        <v>0</v>
      </c>
      <c r="AM212" s="407"/>
      <c r="AN212" s="407">
        <v>0</v>
      </c>
      <c r="AO212" s="407">
        <v>0</v>
      </c>
      <c r="AP212" s="407">
        <v>0</v>
      </c>
      <c r="AQ212" s="407">
        <v>0</v>
      </c>
      <c r="AR212" s="407">
        <v>0</v>
      </c>
      <c r="AS212" s="407"/>
      <c r="AT212" s="407"/>
      <c r="AU212" s="407">
        <v>0</v>
      </c>
      <c r="AV212" s="407">
        <v>0</v>
      </c>
      <c r="AW212" s="407">
        <v>0</v>
      </c>
      <c r="AX212" s="407"/>
      <c r="AY212" s="407"/>
      <c r="AZ212" s="407">
        <v>0</v>
      </c>
      <c r="BA212" s="407"/>
      <c r="BB212" s="407">
        <v>0</v>
      </c>
      <c r="BC212" s="407">
        <v>0</v>
      </c>
      <c r="BD212" s="407">
        <v>0</v>
      </c>
      <c r="BE212" s="407">
        <v>0</v>
      </c>
      <c r="BF212" s="407"/>
      <c r="BG212" s="407">
        <v>0</v>
      </c>
      <c r="BH212" s="407">
        <v>0</v>
      </c>
      <c r="BI212" s="407">
        <v>144.69</v>
      </c>
      <c r="BJ212" s="407">
        <v>667.84</v>
      </c>
      <c r="BK212" s="407">
        <v>11241.42</v>
      </c>
      <c r="BL212" s="407">
        <v>1</v>
      </c>
      <c r="BM212" s="407"/>
      <c r="BN212" s="407"/>
      <c r="BO212" s="407"/>
      <c r="BP212" s="407"/>
      <c r="BQ212" s="407"/>
      <c r="BR212" s="407"/>
      <c r="BS212" s="407"/>
      <c r="BT212" s="407"/>
      <c r="BU212" s="407"/>
      <c r="BV212" s="407">
        <v>0</v>
      </c>
      <c r="BW212" s="407"/>
      <c r="BX212" s="407"/>
      <c r="BY212" s="407"/>
      <c r="BZ212" s="407"/>
      <c r="CA212" s="407"/>
      <c r="CB212" s="407"/>
      <c r="CC212" s="407"/>
      <c r="CD212" s="407"/>
      <c r="CE212" s="407"/>
      <c r="CF212" s="407"/>
      <c r="CG212" s="407"/>
      <c r="CH212" s="407"/>
      <c r="CI212" s="407">
        <v>16213.32</v>
      </c>
      <c r="CJ212" s="407">
        <v>-4437.0299999999952</v>
      </c>
      <c r="CK212" s="407"/>
      <c r="CL212" s="407"/>
      <c r="CM212" s="407"/>
      <c r="CN212" s="407"/>
      <c r="CO212" s="407">
        <v>-4437.0000000000018</v>
      </c>
      <c r="CP212" s="407">
        <v>0</v>
      </c>
      <c r="CQ212" s="407">
        <v>30</v>
      </c>
      <c r="CR212" s="407">
        <v>-360.66149450312787</v>
      </c>
      <c r="CS212" s="407">
        <v>0</v>
      </c>
      <c r="CT212" s="407">
        <v>0</v>
      </c>
      <c r="CU212" s="407">
        <v>0</v>
      </c>
      <c r="CV212" s="407">
        <v>0</v>
      </c>
      <c r="CW212" s="407"/>
      <c r="CX212" s="407"/>
      <c r="CY212" s="407"/>
      <c r="CZ212" s="407">
        <v>-360.66149450312787</v>
      </c>
      <c r="DA212" s="407">
        <v>0</v>
      </c>
      <c r="DB212" s="407">
        <v>0</v>
      </c>
      <c r="DC212" s="407"/>
      <c r="DD212" s="407"/>
      <c r="DE212" s="407">
        <v>0</v>
      </c>
      <c r="DF212" s="407">
        <v>0</v>
      </c>
      <c r="DG212" s="407">
        <v>0</v>
      </c>
      <c r="DH212" s="407">
        <v>0</v>
      </c>
      <c r="DI212" s="407">
        <v>0</v>
      </c>
      <c r="DJ212" s="407"/>
      <c r="DK212" s="407">
        <v>0</v>
      </c>
      <c r="DL212" s="407">
        <v>0</v>
      </c>
      <c r="DM212" s="407"/>
      <c r="DN212" s="407">
        <v>0</v>
      </c>
      <c r="DO212" s="407">
        <v>0</v>
      </c>
      <c r="DP212" s="407">
        <v>0</v>
      </c>
      <c r="DQ212" s="407">
        <v>0</v>
      </c>
      <c r="DR212" s="407">
        <v>0</v>
      </c>
      <c r="DS212" s="407"/>
      <c r="DT212" s="407"/>
      <c r="DU212" s="407">
        <v>13772.934551280516</v>
      </c>
      <c r="DV212" s="407"/>
      <c r="DW212" s="407">
        <v>0</v>
      </c>
      <c r="DX212" s="407">
        <v>0</v>
      </c>
      <c r="DY212" s="407">
        <v>-4437</v>
      </c>
      <c r="DZ212" s="407"/>
      <c r="EA212" s="407">
        <v>0</v>
      </c>
      <c r="EB212" s="407"/>
      <c r="EC212" s="407">
        <v>-4071.4968631907759</v>
      </c>
      <c r="ED212" s="407"/>
      <c r="EE212" s="407">
        <v>0</v>
      </c>
      <c r="EF212" s="407">
        <v>0</v>
      </c>
      <c r="EG212" s="407"/>
      <c r="EH212" s="407">
        <v>0</v>
      </c>
      <c r="EI212" s="407">
        <v>0</v>
      </c>
      <c r="EJ212" s="407">
        <v>0</v>
      </c>
      <c r="EK212" s="407">
        <v>0</v>
      </c>
      <c r="EL212" s="407">
        <v>0</v>
      </c>
      <c r="EM212" s="407"/>
      <c r="EN212" s="407"/>
      <c r="EO212" s="407">
        <v>0</v>
      </c>
      <c r="EP212" s="407">
        <v>0</v>
      </c>
      <c r="EQ212" s="407"/>
      <c r="ER212" s="407">
        <v>0</v>
      </c>
      <c r="ES212" s="407"/>
      <c r="ET212" s="407">
        <v>0</v>
      </c>
      <c r="EU212" s="407"/>
      <c r="EV212" s="407">
        <v>207</v>
      </c>
      <c r="EW212" s="407"/>
      <c r="EX212" s="407"/>
      <c r="EY212" s="407"/>
      <c r="EZ212" s="407"/>
      <c r="FA212" s="407">
        <v>0</v>
      </c>
      <c r="FB212" s="407"/>
      <c r="FC212" s="407"/>
      <c r="FD212" s="407"/>
      <c r="FE212" s="407"/>
      <c r="FF212" s="407">
        <v>0</v>
      </c>
      <c r="FG212" s="407">
        <v>0</v>
      </c>
      <c r="FH212" s="407">
        <v>0</v>
      </c>
      <c r="FI212" s="407">
        <v>0</v>
      </c>
    </row>
    <row r="213" spans="1:165">
      <c r="A213" s="407">
        <v>211</v>
      </c>
      <c r="B213" s="407" t="s">
        <v>1092</v>
      </c>
      <c r="C213" s="407" t="s">
        <v>2305</v>
      </c>
      <c r="D213" s="407" t="s">
        <v>1221</v>
      </c>
      <c r="E213" s="407" t="s">
        <v>1051</v>
      </c>
      <c r="F213" s="407" t="s">
        <v>96</v>
      </c>
      <c r="G213" s="407" t="s">
        <v>96</v>
      </c>
      <c r="H213" s="407" t="s">
        <v>96</v>
      </c>
      <c r="I213" s="407" t="s">
        <v>96</v>
      </c>
      <c r="J213" s="407" t="s">
        <v>2306</v>
      </c>
      <c r="K213" s="815">
        <v>44652</v>
      </c>
      <c r="L213" s="407">
        <v>0</v>
      </c>
      <c r="M213" s="407">
        <v>0</v>
      </c>
      <c r="N213" s="407">
        <v>101.986</v>
      </c>
      <c r="O213" s="407">
        <v>101.986</v>
      </c>
      <c r="P213" s="407">
        <v>101.986</v>
      </c>
      <c r="Q213" s="407">
        <v>101.986</v>
      </c>
      <c r="R213" s="407"/>
      <c r="S213" s="407">
        <v>710.52</v>
      </c>
      <c r="T213" s="407">
        <v>127.85</v>
      </c>
      <c r="U213" s="407"/>
      <c r="V213" s="407">
        <v>85502.002819999994</v>
      </c>
      <c r="W213" s="407">
        <v>85502.002819999994</v>
      </c>
      <c r="X213" s="407">
        <v>70238.778060000011</v>
      </c>
      <c r="Y213" s="407">
        <v>0</v>
      </c>
      <c r="Z213" s="407">
        <v>6228.8027668519389</v>
      </c>
      <c r="AA213" s="407">
        <v>0</v>
      </c>
      <c r="AB213" s="407">
        <v>0</v>
      </c>
      <c r="AC213" s="407">
        <v>0</v>
      </c>
      <c r="AD213" s="407">
        <v>11151.399573443083</v>
      </c>
      <c r="AE213" s="407">
        <v>50806.089062711937</v>
      </c>
      <c r="AF213" s="407">
        <v>13038.644548748869</v>
      </c>
      <c r="AG213" s="407">
        <v>0</v>
      </c>
      <c r="AH213" s="407">
        <v>0</v>
      </c>
      <c r="AI213" s="407">
        <v>0</v>
      </c>
      <c r="AJ213" s="407">
        <v>0</v>
      </c>
      <c r="AK213" s="407">
        <v>0</v>
      </c>
      <c r="AL213" s="407">
        <v>963.28810233289641</v>
      </c>
      <c r="AM213" s="407"/>
      <c r="AN213" s="407">
        <v>233.62578511430323</v>
      </c>
      <c r="AO213" s="407">
        <v>0</v>
      </c>
      <c r="AP213" s="407">
        <v>0</v>
      </c>
      <c r="AQ213" s="407">
        <v>0</v>
      </c>
      <c r="AR213" s="407">
        <v>0</v>
      </c>
      <c r="AS213" s="407">
        <v>0</v>
      </c>
      <c r="AT213" s="407">
        <v>0</v>
      </c>
      <c r="AU213" s="407">
        <v>0</v>
      </c>
      <c r="AV213" s="407">
        <v>0</v>
      </c>
      <c r="AW213" s="407">
        <v>0</v>
      </c>
      <c r="AX213" s="407">
        <v>0</v>
      </c>
      <c r="AY213" s="407">
        <v>0</v>
      </c>
      <c r="AZ213" s="407">
        <v>0</v>
      </c>
      <c r="BA213" s="407"/>
      <c r="BB213" s="407">
        <v>0</v>
      </c>
      <c r="BC213" s="407">
        <v>0</v>
      </c>
      <c r="BD213" s="407">
        <v>0</v>
      </c>
      <c r="BE213" s="407">
        <v>0</v>
      </c>
      <c r="BF213" s="407">
        <v>0</v>
      </c>
      <c r="BG213" s="407">
        <v>3079.7929799850608</v>
      </c>
      <c r="BH213" s="407">
        <v>0</v>
      </c>
      <c r="BI213" s="407">
        <v>424.2</v>
      </c>
      <c r="BJ213" s="407">
        <v>1959.9</v>
      </c>
      <c r="BK213" s="407">
        <v>18658.78</v>
      </c>
      <c r="BL213" s="407">
        <v>85</v>
      </c>
      <c r="BM213" s="407"/>
      <c r="BN213" s="407"/>
      <c r="BO213" s="407"/>
      <c r="BP213" s="407"/>
      <c r="BQ213" s="407"/>
      <c r="BR213" s="407"/>
      <c r="BS213" s="407"/>
      <c r="BT213" s="407"/>
      <c r="BU213" s="407"/>
      <c r="BV213" s="407">
        <v>16118.43752873393</v>
      </c>
      <c r="BW213" s="407"/>
      <c r="BX213" s="407"/>
      <c r="BY213" s="407"/>
      <c r="BZ213" s="407"/>
      <c r="CA213" s="407"/>
      <c r="CB213" s="407"/>
      <c r="CC213" s="407"/>
      <c r="CD213" s="407"/>
      <c r="CE213" s="407"/>
      <c r="CF213" s="407"/>
      <c r="CG213" s="407"/>
      <c r="CH213" s="407"/>
      <c r="CI213" s="407">
        <v>70241.532900000006</v>
      </c>
      <c r="CJ213" s="407">
        <v>-15260.499919999973</v>
      </c>
      <c r="CK213" s="407"/>
      <c r="CL213" s="407"/>
      <c r="CM213" s="407"/>
      <c r="CN213" s="407"/>
      <c r="CO213" s="407">
        <v>-15673.208479999996</v>
      </c>
      <c r="CP213" s="407">
        <v>409.98372000000109</v>
      </c>
      <c r="CQ213" s="407">
        <v>30</v>
      </c>
      <c r="CR213" s="407">
        <v>-243.44285393843165</v>
      </c>
      <c r="CS213" s="407">
        <v>0</v>
      </c>
      <c r="CT213" s="407">
        <v>0</v>
      </c>
      <c r="CU213" s="407">
        <v>0</v>
      </c>
      <c r="CV213" s="407">
        <v>0</v>
      </c>
      <c r="CW213" s="407">
        <v>0</v>
      </c>
      <c r="CX213" s="407">
        <v>0</v>
      </c>
      <c r="CY213" s="407">
        <v>0</v>
      </c>
      <c r="CZ213" s="407">
        <v>-585.01039764807319</v>
      </c>
      <c r="DA213" s="407">
        <v>0</v>
      </c>
      <c r="DB213" s="407">
        <v>0</v>
      </c>
      <c r="DC213" s="407">
        <v>410.27675522401114</v>
      </c>
      <c r="DD213" s="407">
        <v>0</v>
      </c>
      <c r="DE213" s="407">
        <v>0</v>
      </c>
      <c r="DF213" s="407">
        <v>0</v>
      </c>
      <c r="DG213" s="407">
        <v>96.909419216524384</v>
      </c>
      <c r="DH213" s="407">
        <v>0</v>
      </c>
      <c r="DI213" s="407">
        <v>-141.85134884323907</v>
      </c>
      <c r="DJ213" s="407"/>
      <c r="DK213" s="407">
        <v>0</v>
      </c>
      <c r="DL213" s="407">
        <v>0</v>
      </c>
      <c r="DM213" s="407">
        <v>0</v>
      </c>
      <c r="DN213" s="407">
        <v>0</v>
      </c>
      <c r="DO213" s="407">
        <v>-18.381494823854609</v>
      </c>
      <c r="DP213" s="407">
        <v>-5.3857870638079532</v>
      </c>
      <c r="DQ213" s="407">
        <v>0</v>
      </c>
      <c r="DR213" s="407">
        <v>0</v>
      </c>
      <c r="DS213" s="407"/>
      <c r="DT213" s="407"/>
      <c r="DU213" s="407"/>
      <c r="DV213" s="407">
        <v>50806.089062711937</v>
      </c>
      <c r="DW213" s="407">
        <v>0</v>
      </c>
      <c r="DX213" s="407">
        <v>0</v>
      </c>
      <c r="DY213" s="407">
        <v>-15673.208479999994</v>
      </c>
      <c r="DZ213" s="407">
        <v>409.98372000000199</v>
      </c>
      <c r="EA213" s="407">
        <v>0</v>
      </c>
      <c r="EB213" s="407">
        <v>0</v>
      </c>
      <c r="EC213" s="407">
        <v>-15019.081916031471</v>
      </c>
      <c r="ED213" s="407">
        <v>0</v>
      </c>
      <c r="EE213" s="407">
        <v>0</v>
      </c>
      <c r="EF213" s="407">
        <v>0</v>
      </c>
      <c r="EG213" s="407">
        <v>0</v>
      </c>
      <c r="EH213" s="407">
        <v>0</v>
      </c>
      <c r="EI213" s="407">
        <v>0</v>
      </c>
      <c r="EJ213" s="407">
        <v>0</v>
      </c>
      <c r="EK213" s="407">
        <v>0</v>
      </c>
      <c r="EL213" s="407">
        <v>0</v>
      </c>
      <c r="EM213" s="407">
        <v>0</v>
      </c>
      <c r="EN213" s="407">
        <v>0</v>
      </c>
      <c r="EO213" s="407">
        <v>0</v>
      </c>
      <c r="EP213" s="407">
        <v>0</v>
      </c>
      <c r="EQ213" s="407">
        <v>0</v>
      </c>
      <c r="ER213" s="407">
        <v>0</v>
      </c>
      <c r="ES213" s="407">
        <v>0</v>
      </c>
      <c r="ET213" s="407">
        <v>0</v>
      </c>
      <c r="EU213" s="407">
        <v>0</v>
      </c>
      <c r="EV213" s="407">
        <v>207</v>
      </c>
      <c r="EW213" s="407">
        <v>0</v>
      </c>
      <c r="EX213" s="407">
        <v>0</v>
      </c>
      <c r="EY213" s="407">
        <v>0</v>
      </c>
      <c r="EZ213" s="407"/>
      <c r="FA213" s="407">
        <v>0</v>
      </c>
      <c r="FB213" s="407"/>
      <c r="FC213" s="407"/>
      <c r="FD213" s="407"/>
      <c r="FE213" s="407"/>
      <c r="FF213" s="407">
        <v>0</v>
      </c>
      <c r="FG213" s="407">
        <v>0</v>
      </c>
      <c r="FH213" s="407">
        <v>0</v>
      </c>
      <c r="FI213" s="407">
        <v>0</v>
      </c>
    </row>
    <row r="214" spans="1:165">
      <c r="A214" s="407">
        <v>212</v>
      </c>
      <c r="B214" s="407" t="s">
        <v>1092</v>
      </c>
      <c r="C214" s="407" t="s">
        <v>2315</v>
      </c>
      <c r="D214" s="407" t="s">
        <v>648</v>
      </c>
      <c r="E214" s="407" t="s">
        <v>1051</v>
      </c>
      <c r="F214" s="407" t="s">
        <v>96</v>
      </c>
      <c r="G214" s="407" t="s">
        <v>96</v>
      </c>
      <c r="H214" s="407" t="s">
        <v>96</v>
      </c>
      <c r="I214" s="407" t="s">
        <v>1027</v>
      </c>
      <c r="J214" s="407" t="s">
        <v>2306</v>
      </c>
      <c r="K214" s="815">
        <v>44652</v>
      </c>
      <c r="L214" s="407">
        <v>0</v>
      </c>
      <c r="M214" s="407">
        <v>0</v>
      </c>
      <c r="N214" s="407">
        <v>4.1449999999999996</v>
      </c>
      <c r="O214" s="407">
        <v>4.1449999999999996</v>
      </c>
      <c r="P214" s="407">
        <v>4.1449999999999996</v>
      </c>
      <c r="Q214" s="407">
        <v>4.1449999999999996</v>
      </c>
      <c r="R214" s="407"/>
      <c r="S214" s="407">
        <v>2075.9499999999998</v>
      </c>
      <c r="T214" s="407">
        <v>127.85</v>
      </c>
      <c r="U214" s="407"/>
      <c r="V214" s="407">
        <v>9134.7509999999984</v>
      </c>
      <c r="W214" s="407">
        <v>9134.7509999999984</v>
      </c>
      <c r="X214" s="407">
        <v>7321.7694499999998</v>
      </c>
      <c r="Y214" s="407">
        <v>0</v>
      </c>
      <c r="Z214" s="407">
        <v>220.24588764813927</v>
      </c>
      <c r="AA214" s="407">
        <v>0</v>
      </c>
      <c r="AB214" s="407">
        <v>0</v>
      </c>
      <c r="AC214" s="407">
        <v>0</v>
      </c>
      <c r="AD214" s="407">
        <v>2611.3869627593785</v>
      </c>
      <c r="AE214" s="407">
        <v>5708.3437650645847</v>
      </c>
      <c r="AF214" s="407">
        <v>529.92745724475958</v>
      </c>
      <c r="AG214" s="407">
        <v>0</v>
      </c>
      <c r="AH214" s="407">
        <v>0</v>
      </c>
      <c r="AI214" s="407">
        <v>0</v>
      </c>
      <c r="AJ214" s="407">
        <v>0</v>
      </c>
      <c r="AK214" s="407">
        <v>0</v>
      </c>
      <c r="AL214" s="407">
        <v>39.150757791950419</v>
      </c>
      <c r="AM214" s="407"/>
      <c r="AN214" s="407">
        <v>4.1632550446702927</v>
      </c>
      <c r="AO214" s="407">
        <v>0</v>
      </c>
      <c r="AP214" s="407">
        <v>0</v>
      </c>
      <c r="AQ214" s="407">
        <v>0</v>
      </c>
      <c r="AR214" s="407">
        <v>0</v>
      </c>
      <c r="AS214" s="407">
        <v>0</v>
      </c>
      <c r="AT214" s="407">
        <v>0</v>
      </c>
      <c r="AU214" s="407">
        <v>0</v>
      </c>
      <c r="AV214" s="407">
        <v>0</v>
      </c>
      <c r="AW214" s="407">
        <v>0</v>
      </c>
      <c r="AX214" s="407">
        <v>0</v>
      </c>
      <c r="AY214" s="407">
        <v>0</v>
      </c>
      <c r="AZ214" s="407">
        <v>0</v>
      </c>
      <c r="BA214" s="407"/>
      <c r="BB214" s="407">
        <v>0</v>
      </c>
      <c r="BC214" s="407">
        <v>0</v>
      </c>
      <c r="BD214" s="407">
        <v>0</v>
      </c>
      <c r="BE214" s="407">
        <v>0</v>
      </c>
      <c r="BF214" s="407">
        <v>0</v>
      </c>
      <c r="BG214" s="407">
        <v>21.519109362601309</v>
      </c>
      <c r="BH214" s="407">
        <v>0</v>
      </c>
      <c r="BI214" s="407">
        <v>0</v>
      </c>
      <c r="BJ214" s="407">
        <v>0</v>
      </c>
      <c r="BK214" s="407">
        <v>0</v>
      </c>
      <c r="BL214" s="407">
        <v>0</v>
      </c>
      <c r="BM214" s="407"/>
      <c r="BN214" s="407"/>
      <c r="BO214" s="407"/>
      <c r="BP214" s="407"/>
      <c r="BQ214" s="407"/>
      <c r="BR214" s="407"/>
      <c r="BS214" s="407"/>
      <c r="BT214" s="407"/>
      <c r="BU214" s="407"/>
      <c r="BV214" s="407">
        <v>551.44656660736086</v>
      </c>
      <c r="BW214" s="407"/>
      <c r="BX214" s="407"/>
      <c r="BY214" s="407"/>
      <c r="BZ214" s="407"/>
      <c r="CA214" s="407"/>
      <c r="CB214" s="407"/>
      <c r="CC214" s="407"/>
      <c r="CD214" s="407"/>
      <c r="CE214" s="407"/>
      <c r="CF214" s="407"/>
      <c r="CG214" s="407"/>
      <c r="CH214" s="407"/>
      <c r="CI214" s="407">
        <v>7330.6015000000007</v>
      </c>
      <c r="CJ214" s="407">
        <v>-1804.1794999999984</v>
      </c>
      <c r="CK214" s="407"/>
      <c r="CL214" s="407"/>
      <c r="CM214" s="407"/>
      <c r="CN214" s="407"/>
      <c r="CO214" s="407">
        <v>-1829.6444499999991</v>
      </c>
      <c r="CP214" s="407">
        <v>16.66290000000004</v>
      </c>
      <c r="CQ214" s="407">
        <v>30</v>
      </c>
      <c r="CR214" s="407">
        <v>-125.50210440997262</v>
      </c>
      <c r="CS214" s="407">
        <v>0</v>
      </c>
      <c r="CT214" s="407">
        <v>0</v>
      </c>
      <c r="CU214" s="407">
        <v>0</v>
      </c>
      <c r="CV214" s="407">
        <v>0</v>
      </c>
      <c r="CW214" s="407">
        <v>0</v>
      </c>
      <c r="CX214" s="407">
        <v>0</v>
      </c>
      <c r="CY214" s="407">
        <v>0</v>
      </c>
      <c r="CZ214" s="407">
        <v>-136.99522785777253</v>
      </c>
      <c r="DA214" s="407">
        <v>0</v>
      </c>
      <c r="DB214" s="407">
        <v>0</v>
      </c>
      <c r="DC214" s="407">
        <v>16.674809781769341</v>
      </c>
      <c r="DD214" s="407">
        <v>0</v>
      </c>
      <c r="DE214" s="407">
        <v>0</v>
      </c>
      <c r="DF214" s="407">
        <v>0</v>
      </c>
      <c r="DG214" s="407">
        <v>0.67712485999517469</v>
      </c>
      <c r="DH214" s="407">
        <v>0</v>
      </c>
      <c r="DI214" s="407">
        <v>-5.0157594339526099</v>
      </c>
      <c r="DJ214" s="407"/>
      <c r="DK214" s="407">
        <v>0</v>
      </c>
      <c r="DL214" s="407">
        <v>0</v>
      </c>
      <c r="DM214" s="407">
        <v>0</v>
      </c>
      <c r="DN214" s="407">
        <v>0</v>
      </c>
      <c r="DO214" s="407">
        <v>-0.74707603048337745</v>
      </c>
      <c r="DP214" s="407">
        <v>-9.5975729528094966E-2</v>
      </c>
      <c r="DQ214" s="407">
        <v>0</v>
      </c>
      <c r="DR214" s="407">
        <v>0</v>
      </c>
      <c r="DS214" s="407"/>
      <c r="DT214" s="407"/>
      <c r="DU214" s="407"/>
      <c r="DV214" s="407">
        <v>5708.3437650645847</v>
      </c>
      <c r="DW214" s="407">
        <v>0</v>
      </c>
      <c r="DX214" s="407">
        <v>0</v>
      </c>
      <c r="DY214" s="407">
        <v>-1829.6444499999998</v>
      </c>
      <c r="DZ214" s="407">
        <v>16.662900000000036</v>
      </c>
      <c r="EA214" s="407">
        <v>0</v>
      </c>
      <c r="EB214" s="407">
        <v>0</v>
      </c>
      <c r="EC214" s="407">
        <v>-1687.4765248422723</v>
      </c>
      <c r="ED214" s="407">
        <v>0</v>
      </c>
      <c r="EE214" s="407">
        <v>0</v>
      </c>
      <c r="EF214" s="407">
        <v>0</v>
      </c>
      <c r="EG214" s="407">
        <v>0</v>
      </c>
      <c r="EH214" s="407">
        <v>0</v>
      </c>
      <c r="EI214" s="407">
        <v>0</v>
      </c>
      <c r="EJ214" s="407">
        <v>0</v>
      </c>
      <c r="EK214" s="407">
        <v>0</v>
      </c>
      <c r="EL214" s="407">
        <v>0</v>
      </c>
      <c r="EM214" s="407">
        <v>0</v>
      </c>
      <c r="EN214" s="407">
        <v>0</v>
      </c>
      <c r="EO214" s="407">
        <v>0</v>
      </c>
      <c r="EP214" s="407">
        <v>0</v>
      </c>
      <c r="EQ214" s="407">
        <v>0</v>
      </c>
      <c r="ER214" s="407">
        <v>0</v>
      </c>
      <c r="ES214" s="407">
        <v>0</v>
      </c>
      <c r="ET214" s="407">
        <v>0</v>
      </c>
      <c r="EU214" s="407">
        <v>0</v>
      </c>
      <c r="EV214" s="407">
        <v>207</v>
      </c>
      <c r="EW214" s="407">
        <v>0</v>
      </c>
      <c r="EX214" s="407">
        <v>0</v>
      </c>
      <c r="EY214" s="407">
        <v>0</v>
      </c>
      <c r="EZ214" s="407"/>
      <c r="FA214" s="407">
        <v>0</v>
      </c>
      <c r="FB214" s="407"/>
      <c r="FC214" s="407"/>
      <c r="FD214" s="407"/>
      <c r="FE214" s="407"/>
      <c r="FF214" s="407">
        <v>0</v>
      </c>
      <c r="FG214" s="407">
        <v>0</v>
      </c>
      <c r="FH214" s="407">
        <v>0</v>
      </c>
      <c r="FI214" s="407">
        <v>0</v>
      </c>
    </row>
    <row r="215" spans="1:165">
      <c r="A215" s="407">
        <v>213</v>
      </c>
      <c r="B215" s="407" t="s">
        <v>1092</v>
      </c>
      <c r="C215" s="407" t="s">
        <v>2315</v>
      </c>
      <c r="D215" s="407" t="s">
        <v>648</v>
      </c>
      <c r="E215" s="407" t="s">
        <v>1051</v>
      </c>
      <c r="F215" s="407" t="s">
        <v>96</v>
      </c>
      <c r="G215" s="407" t="s">
        <v>96</v>
      </c>
      <c r="H215" s="407" t="s">
        <v>96</v>
      </c>
      <c r="I215" s="407" t="s">
        <v>2290</v>
      </c>
      <c r="J215" s="407" t="s">
        <v>2306</v>
      </c>
      <c r="K215" s="815">
        <v>44652</v>
      </c>
      <c r="L215" s="407">
        <v>0</v>
      </c>
      <c r="M215" s="407">
        <v>0</v>
      </c>
      <c r="N215" s="407">
        <v>50.097000000000001</v>
      </c>
      <c r="O215" s="407">
        <v>50.097000000000001</v>
      </c>
      <c r="P215" s="407">
        <v>50.097000000000001</v>
      </c>
      <c r="Q215" s="407">
        <v>50.097000000000001</v>
      </c>
      <c r="R215" s="407"/>
      <c r="S215" s="407">
        <v>68.78</v>
      </c>
      <c r="T215" s="407">
        <v>127.85</v>
      </c>
      <c r="U215" s="407"/>
      <c r="V215" s="407">
        <v>9850.5731100000012</v>
      </c>
      <c r="W215" s="407">
        <v>9850.5731100000012</v>
      </c>
      <c r="X215" s="407">
        <v>9989.3418000000001</v>
      </c>
      <c r="Y215" s="407">
        <v>0</v>
      </c>
      <c r="Z215" s="407">
        <v>2661.9199598332534</v>
      </c>
      <c r="AA215" s="407">
        <v>0</v>
      </c>
      <c r="AB215" s="407">
        <v>0</v>
      </c>
      <c r="AC215" s="407">
        <v>0</v>
      </c>
      <c r="AD215" s="407">
        <v>0</v>
      </c>
      <c r="AE215" s="407">
        <v>0</v>
      </c>
      <c r="AF215" s="407">
        <v>6404.7710073801509</v>
      </c>
      <c r="AG215" s="407">
        <v>0</v>
      </c>
      <c r="AH215" s="407">
        <v>0</v>
      </c>
      <c r="AI215" s="407">
        <v>0</v>
      </c>
      <c r="AJ215" s="407">
        <v>0</v>
      </c>
      <c r="AK215" s="407">
        <v>0</v>
      </c>
      <c r="AL215" s="407">
        <v>473.1810646811436</v>
      </c>
      <c r="AM215" s="407"/>
      <c r="AN215" s="407">
        <v>50.317632804064573</v>
      </c>
      <c r="AO215" s="407">
        <v>0</v>
      </c>
      <c r="AP215" s="407">
        <v>0</v>
      </c>
      <c r="AQ215" s="407">
        <v>0</v>
      </c>
      <c r="AR215" s="407">
        <v>0</v>
      </c>
      <c r="AS215" s="407">
        <v>0</v>
      </c>
      <c r="AT215" s="407">
        <v>0</v>
      </c>
      <c r="AU215" s="407">
        <v>0</v>
      </c>
      <c r="AV215" s="407">
        <v>0</v>
      </c>
      <c r="AW215" s="407">
        <v>0</v>
      </c>
      <c r="AX215" s="407">
        <v>0</v>
      </c>
      <c r="AY215" s="407">
        <v>0</v>
      </c>
      <c r="AZ215" s="407">
        <v>0</v>
      </c>
      <c r="BA215" s="407"/>
      <c r="BB215" s="407">
        <v>0</v>
      </c>
      <c r="BC215" s="407">
        <v>0</v>
      </c>
      <c r="BD215" s="407">
        <v>0</v>
      </c>
      <c r="BE215" s="407">
        <v>0</v>
      </c>
      <c r="BF215" s="407">
        <v>0</v>
      </c>
      <c r="BG215" s="407">
        <v>260.08270729511173</v>
      </c>
      <c r="BH215" s="407">
        <v>0</v>
      </c>
      <c r="BI215" s="407">
        <v>0</v>
      </c>
      <c r="BJ215" s="407">
        <v>0</v>
      </c>
      <c r="BK215" s="407">
        <v>0</v>
      </c>
      <c r="BL215" s="407">
        <v>0</v>
      </c>
      <c r="BM215" s="407"/>
      <c r="BN215" s="407"/>
      <c r="BO215" s="407"/>
      <c r="BP215" s="407"/>
      <c r="BQ215" s="407"/>
      <c r="BR215" s="407"/>
      <c r="BS215" s="407"/>
      <c r="BT215" s="407"/>
      <c r="BU215" s="407"/>
      <c r="BV215" s="407">
        <v>6664.8537146752624</v>
      </c>
      <c r="BW215" s="407"/>
      <c r="BX215" s="407"/>
      <c r="BY215" s="407"/>
      <c r="BZ215" s="407"/>
      <c r="CA215" s="407"/>
      <c r="CB215" s="407"/>
      <c r="CC215" s="407"/>
      <c r="CD215" s="407"/>
      <c r="CE215" s="407"/>
      <c r="CF215" s="407"/>
      <c r="CG215" s="407"/>
      <c r="CH215" s="407"/>
      <c r="CI215" s="407">
        <v>9989.94</v>
      </c>
      <c r="CJ215" s="407">
        <v>139.33688999999868</v>
      </c>
      <c r="CK215" s="407"/>
      <c r="CL215" s="407"/>
      <c r="CM215" s="407"/>
      <c r="CN215" s="407"/>
      <c r="CO215" s="407">
        <v>-62.621250000000003</v>
      </c>
      <c r="CP215" s="407">
        <v>201.38994000000051</v>
      </c>
      <c r="CQ215" s="407">
        <v>30</v>
      </c>
      <c r="CR215" s="407">
        <v>138.90735955716991</v>
      </c>
      <c r="CS215" s="407">
        <v>0</v>
      </c>
      <c r="CT215" s="407">
        <v>0</v>
      </c>
      <c r="CU215" s="407">
        <v>0</v>
      </c>
      <c r="CV215" s="407">
        <v>0</v>
      </c>
      <c r="CW215" s="407">
        <v>0</v>
      </c>
      <c r="CX215" s="407">
        <v>0</v>
      </c>
      <c r="CY215" s="407">
        <v>0</v>
      </c>
      <c r="CZ215" s="407">
        <v>0</v>
      </c>
      <c r="DA215" s="407">
        <v>0</v>
      </c>
      <c r="DB215" s="407">
        <v>0</v>
      </c>
      <c r="DC215" s="407">
        <v>201.5338831453073</v>
      </c>
      <c r="DD215" s="407">
        <v>0</v>
      </c>
      <c r="DE215" s="407">
        <v>0</v>
      </c>
      <c r="DF215" s="407">
        <v>0</v>
      </c>
      <c r="DG215" s="407">
        <v>8.1838176384023882</v>
      </c>
      <c r="DH215" s="407">
        <v>0</v>
      </c>
      <c r="DI215" s="407">
        <v>-60.621109858317141</v>
      </c>
      <c r="DJ215" s="407"/>
      <c r="DK215" s="407">
        <v>0</v>
      </c>
      <c r="DL215" s="407">
        <v>0</v>
      </c>
      <c r="DM215" s="407">
        <v>0</v>
      </c>
      <c r="DN215" s="407">
        <v>0</v>
      </c>
      <c r="DO215" s="407">
        <v>-9.02925642922213</v>
      </c>
      <c r="DP215" s="407">
        <v>-1.1599749390033622</v>
      </c>
      <c r="DQ215" s="407">
        <v>0</v>
      </c>
      <c r="DR215" s="407">
        <v>0</v>
      </c>
      <c r="DS215" s="407"/>
      <c r="DT215" s="407"/>
      <c r="DU215" s="407"/>
      <c r="DV215" s="407">
        <v>0</v>
      </c>
      <c r="DW215" s="407">
        <v>0</v>
      </c>
      <c r="DX215" s="407">
        <v>0</v>
      </c>
      <c r="DY215" s="407">
        <v>-62.621249999999691</v>
      </c>
      <c r="DZ215" s="407">
        <v>201.38994000000002</v>
      </c>
      <c r="EA215" s="407">
        <v>0</v>
      </c>
      <c r="EB215" s="407">
        <v>0</v>
      </c>
      <c r="EC215" s="407">
        <v>0</v>
      </c>
      <c r="ED215" s="407">
        <v>0</v>
      </c>
      <c r="EE215" s="407">
        <v>0</v>
      </c>
      <c r="EF215" s="407">
        <v>0</v>
      </c>
      <c r="EG215" s="407">
        <v>0</v>
      </c>
      <c r="EH215" s="407">
        <v>0</v>
      </c>
      <c r="EI215" s="407">
        <v>0</v>
      </c>
      <c r="EJ215" s="407">
        <v>0</v>
      </c>
      <c r="EK215" s="407">
        <v>0</v>
      </c>
      <c r="EL215" s="407">
        <v>0</v>
      </c>
      <c r="EM215" s="407">
        <v>0</v>
      </c>
      <c r="EN215" s="407">
        <v>0</v>
      </c>
      <c r="EO215" s="407">
        <v>0</v>
      </c>
      <c r="EP215" s="407">
        <v>0</v>
      </c>
      <c r="EQ215" s="407">
        <v>0</v>
      </c>
      <c r="ER215" s="407">
        <v>0</v>
      </c>
      <c r="ES215" s="407">
        <v>0</v>
      </c>
      <c r="ET215" s="407">
        <v>0</v>
      </c>
      <c r="EU215" s="407">
        <v>0</v>
      </c>
      <c r="EV215" s="407">
        <v>207</v>
      </c>
      <c r="EW215" s="407">
        <v>0</v>
      </c>
      <c r="EX215" s="407">
        <v>0</v>
      </c>
      <c r="EY215" s="407">
        <v>0</v>
      </c>
      <c r="EZ215" s="407"/>
      <c r="FA215" s="407">
        <v>0</v>
      </c>
      <c r="FB215" s="407"/>
      <c r="FC215" s="407"/>
      <c r="FD215" s="407"/>
      <c r="FE215" s="407"/>
      <c r="FF215" s="407">
        <v>0</v>
      </c>
      <c r="FG215" s="407">
        <v>0</v>
      </c>
      <c r="FH215" s="407">
        <v>0</v>
      </c>
      <c r="FI215" s="407">
        <v>0</v>
      </c>
    </row>
    <row r="216" spans="1:165">
      <c r="A216" s="407">
        <v>214</v>
      </c>
      <c r="B216" s="407" t="s">
        <v>1092</v>
      </c>
      <c r="C216" s="407" t="s">
        <v>2315</v>
      </c>
      <c r="D216" s="407" t="s">
        <v>648</v>
      </c>
      <c r="E216" s="407" t="s">
        <v>1051</v>
      </c>
      <c r="F216" s="407" t="s">
        <v>96</v>
      </c>
      <c r="G216" s="407" t="s">
        <v>96</v>
      </c>
      <c r="H216" s="407" t="s">
        <v>96</v>
      </c>
      <c r="I216" s="407" t="s">
        <v>96</v>
      </c>
      <c r="J216" s="407" t="s">
        <v>2306</v>
      </c>
      <c r="K216" s="815">
        <v>44652</v>
      </c>
      <c r="L216" s="407">
        <v>195</v>
      </c>
      <c r="M216" s="407">
        <v>195</v>
      </c>
      <c r="N216" s="407">
        <v>0</v>
      </c>
      <c r="O216" s="407">
        <v>0</v>
      </c>
      <c r="P216" s="407">
        <v>0</v>
      </c>
      <c r="Q216" s="407">
        <v>0</v>
      </c>
      <c r="R216" s="407">
        <v>39.56</v>
      </c>
      <c r="S216" s="407"/>
      <c r="T216" s="407"/>
      <c r="U216" s="407">
        <v>7714.2000000000007</v>
      </c>
      <c r="V216" s="407"/>
      <c r="W216" s="407">
        <v>7714.2000000000007</v>
      </c>
      <c r="X216" s="407">
        <v>6056.7</v>
      </c>
      <c r="Y216" s="407">
        <v>0</v>
      </c>
      <c r="Z216" s="407">
        <v>0</v>
      </c>
      <c r="AA216" s="407">
        <v>0</v>
      </c>
      <c r="AB216" s="407">
        <v>0</v>
      </c>
      <c r="AC216" s="407">
        <v>0</v>
      </c>
      <c r="AD216" s="407">
        <v>2568.2049510237507</v>
      </c>
      <c r="AE216" s="407">
        <v>5145.0617576622617</v>
      </c>
      <c r="AF216" s="407"/>
      <c r="AG216" s="407"/>
      <c r="AH216" s="407"/>
      <c r="AI216" s="407">
        <v>0</v>
      </c>
      <c r="AJ216" s="407">
        <v>0</v>
      </c>
      <c r="AK216" s="407">
        <v>0</v>
      </c>
      <c r="AL216" s="407">
        <v>0</v>
      </c>
      <c r="AM216" s="407"/>
      <c r="AN216" s="407">
        <v>0</v>
      </c>
      <c r="AO216" s="407">
        <v>0</v>
      </c>
      <c r="AP216" s="407">
        <v>0</v>
      </c>
      <c r="AQ216" s="407">
        <v>0</v>
      </c>
      <c r="AR216" s="407">
        <v>0</v>
      </c>
      <c r="AS216" s="407"/>
      <c r="AT216" s="407"/>
      <c r="AU216" s="407">
        <v>0</v>
      </c>
      <c r="AV216" s="407">
        <v>0</v>
      </c>
      <c r="AW216" s="407">
        <v>0</v>
      </c>
      <c r="AX216" s="407"/>
      <c r="AY216" s="407"/>
      <c r="AZ216" s="407">
        <v>0</v>
      </c>
      <c r="BA216" s="407"/>
      <c r="BB216" s="407">
        <v>0</v>
      </c>
      <c r="BC216" s="407">
        <v>0</v>
      </c>
      <c r="BD216" s="407">
        <v>0</v>
      </c>
      <c r="BE216" s="407">
        <v>0</v>
      </c>
      <c r="BF216" s="407"/>
      <c r="BG216" s="407">
        <v>0</v>
      </c>
      <c r="BH216" s="407">
        <v>0</v>
      </c>
      <c r="BI216" s="407">
        <v>202.47</v>
      </c>
      <c r="BJ216" s="407">
        <v>934.54</v>
      </c>
      <c r="BK216" s="407">
        <v>6689.47</v>
      </c>
      <c r="BL216" s="407">
        <v>2</v>
      </c>
      <c r="BM216" s="407"/>
      <c r="BN216" s="407"/>
      <c r="BO216" s="407"/>
      <c r="BP216" s="407"/>
      <c r="BQ216" s="407"/>
      <c r="BR216" s="407"/>
      <c r="BS216" s="407"/>
      <c r="BT216" s="407"/>
      <c r="BU216" s="407"/>
      <c r="BV216" s="407">
        <v>0</v>
      </c>
      <c r="BW216" s="407"/>
      <c r="BX216" s="407"/>
      <c r="BY216" s="407"/>
      <c r="BZ216" s="407"/>
      <c r="CA216" s="407"/>
      <c r="CB216" s="407"/>
      <c r="CC216" s="407"/>
      <c r="CD216" s="407"/>
      <c r="CE216" s="407"/>
      <c r="CF216" s="407"/>
      <c r="CG216" s="407"/>
      <c r="CH216" s="407"/>
      <c r="CI216" s="407">
        <v>6056.7</v>
      </c>
      <c r="CJ216" s="407">
        <v>-1657.5300000000016</v>
      </c>
      <c r="CK216" s="407"/>
      <c r="CL216" s="407"/>
      <c r="CM216" s="407"/>
      <c r="CN216" s="407"/>
      <c r="CO216" s="407">
        <v>-1657.5000000000007</v>
      </c>
      <c r="CP216" s="407">
        <v>0</v>
      </c>
      <c r="CQ216" s="407">
        <v>30</v>
      </c>
      <c r="CR216" s="407">
        <v>-134.729868636226</v>
      </c>
      <c r="CS216" s="407">
        <v>0</v>
      </c>
      <c r="CT216" s="407">
        <v>0</v>
      </c>
      <c r="CU216" s="407">
        <v>0</v>
      </c>
      <c r="CV216" s="407">
        <v>0</v>
      </c>
      <c r="CW216" s="407"/>
      <c r="CX216" s="407"/>
      <c r="CY216" s="407"/>
      <c r="CZ216" s="407">
        <v>-134.729868636226</v>
      </c>
      <c r="DA216" s="407">
        <v>0</v>
      </c>
      <c r="DB216" s="407">
        <v>0</v>
      </c>
      <c r="DC216" s="407"/>
      <c r="DD216" s="407"/>
      <c r="DE216" s="407">
        <v>0</v>
      </c>
      <c r="DF216" s="407">
        <v>0</v>
      </c>
      <c r="DG216" s="407">
        <v>0</v>
      </c>
      <c r="DH216" s="407">
        <v>0</v>
      </c>
      <c r="DI216" s="407">
        <v>0</v>
      </c>
      <c r="DJ216" s="407"/>
      <c r="DK216" s="407">
        <v>0</v>
      </c>
      <c r="DL216" s="407">
        <v>0</v>
      </c>
      <c r="DM216" s="407"/>
      <c r="DN216" s="407">
        <v>0</v>
      </c>
      <c r="DO216" s="407">
        <v>0</v>
      </c>
      <c r="DP216" s="407">
        <v>0</v>
      </c>
      <c r="DQ216" s="407">
        <v>0</v>
      </c>
      <c r="DR216" s="407">
        <v>0</v>
      </c>
      <c r="DS216" s="407"/>
      <c r="DT216" s="407"/>
      <c r="DU216" s="407">
        <v>5145.0617576622617</v>
      </c>
      <c r="DV216" s="407"/>
      <c r="DW216" s="407">
        <v>0</v>
      </c>
      <c r="DX216" s="407">
        <v>0</v>
      </c>
      <c r="DY216" s="407">
        <v>-1657.5000000000009</v>
      </c>
      <c r="DZ216" s="407"/>
      <c r="EA216" s="407">
        <v>0</v>
      </c>
      <c r="EB216" s="407"/>
      <c r="EC216" s="407">
        <v>-1520.9614718816119</v>
      </c>
      <c r="ED216" s="407"/>
      <c r="EE216" s="407">
        <v>0</v>
      </c>
      <c r="EF216" s="407">
        <v>0</v>
      </c>
      <c r="EG216" s="407"/>
      <c r="EH216" s="407">
        <v>0</v>
      </c>
      <c r="EI216" s="407">
        <v>0</v>
      </c>
      <c r="EJ216" s="407">
        <v>0</v>
      </c>
      <c r="EK216" s="407">
        <v>0</v>
      </c>
      <c r="EL216" s="407">
        <v>0</v>
      </c>
      <c r="EM216" s="407"/>
      <c r="EN216" s="407"/>
      <c r="EO216" s="407">
        <v>0</v>
      </c>
      <c r="EP216" s="407">
        <v>0</v>
      </c>
      <c r="EQ216" s="407"/>
      <c r="ER216" s="407">
        <v>0</v>
      </c>
      <c r="ES216" s="407"/>
      <c r="ET216" s="407">
        <v>0</v>
      </c>
      <c r="EU216" s="407"/>
      <c r="EV216" s="407">
        <v>207</v>
      </c>
      <c r="EW216" s="407"/>
      <c r="EX216" s="407"/>
      <c r="EY216" s="407"/>
      <c r="EZ216" s="407"/>
      <c r="FA216" s="407">
        <v>0</v>
      </c>
      <c r="FB216" s="407"/>
      <c r="FC216" s="407"/>
      <c r="FD216" s="407"/>
      <c r="FE216" s="407"/>
      <c r="FF216" s="407">
        <v>0</v>
      </c>
      <c r="FG216" s="407">
        <v>0</v>
      </c>
      <c r="FH216" s="407">
        <v>0</v>
      </c>
      <c r="FI216" s="407">
        <v>0</v>
      </c>
    </row>
    <row r="217" spans="1:165">
      <c r="A217" s="407">
        <v>215</v>
      </c>
      <c r="B217" s="407" t="s">
        <v>1092</v>
      </c>
      <c r="C217" s="407" t="s">
        <v>2305</v>
      </c>
      <c r="D217" s="407" t="s">
        <v>2316</v>
      </c>
      <c r="E217" s="407" t="s">
        <v>1028</v>
      </c>
      <c r="F217" s="407" t="s">
        <v>96</v>
      </c>
      <c r="G217" s="407" t="s">
        <v>96</v>
      </c>
      <c r="H217" s="407" t="s">
        <v>96</v>
      </c>
      <c r="I217" s="407" t="s">
        <v>96</v>
      </c>
      <c r="J217" s="407" t="s">
        <v>2306</v>
      </c>
      <c r="K217" s="815">
        <v>44652</v>
      </c>
      <c r="L217" s="407">
        <v>0</v>
      </c>
      <c r="M217" s="407">
        <v>0</v>
      </c>
      <c r="N217" s="407">
        <v>53.484000000000002</v>
      </c>
      <c r="O217" s="407">
        <v>53.484000000000002</v>
      </c>
      <c r="P217" s="407">
        <v>53.484000000000002</v>
      </c>
      <c r="Q217" s="407">
        <v>53.484000000000002</v>
      </c>
      <c r="R217" s="407"/>
      <c r="S217" s="407">
        <v>710.52</v>
      </c>
      <c r="T217" s="407">
        <v>127.85</v>
      </c>
      <c r="U217" s="407"/>
      <c r="V217" s="407">
        <v>44839.381079999999</v>
      </c>
      <c r="W217" s="407">
        <v>44839.381079999999</v>
      </c>
      <c r="X217" s="407">
        <v>36834.965640000002</v>
      </c>
      <c r="Y217" s="407">
        <v>0</v>
      </c>
      <c r="Z217" s="407">
        <v>3266.539399351961</v>
      </c>
      <c r="AA217" s="407">
        <v>0</v>
      </c>
      <c r="AB217" s="407">
        <v>0</v>
      </c>
      <c r="AC217" s="407">
        <v>0</v>
      </c>
      <c r="AD217" s="407">
        <v>5848.071841096129</v>
      </c>
      <c r="AE217" s="407">
        <v>26643.979246466039</v>
      </c>
      <c r="AF217" s="407">
        <v>6837.7901383060862</v>
      </c>
      <c r="AG217" s="407">
        <v>0</v>
      </c>
      <c r="AH217" s="407">
        <v>0</v>
      </c>
      <c r="AI217" s="407">
        <v>0</v>
      </c>
      <c r="AJ217" s="407">
        <v>0</v>
      </c>
      <c r="AK217" s="407">
        <v>0</v>
      </c>
      <c r="AL217" s="407">
        <v>505.17228703128501</v>
      </c>
      <c r="AM217" s="407"/>
      <c r="AN217" s="407">
        <v>122.51918391792397</v>
      </c>
      <c r="AO217" s="407">
        <v>0</v>
      </c>
      <c r="AP217" s="407">
        <v>0</v>
      </c>
      <c r="AQ217" s="407">
        <v>0</v>
      </c>
      <c r="AR217" s="407">
        <v>0</v>
      </c>
      <c r="AS217" s="407">
        <v>0</v>
      </c>
      <c r="AT217" s="407">
        <v>0</v>
      </c>
      <c r="AU217" s="407">
        <v>0</v>
      </c>
      <c r="AV217" s="407">
        <v>0</v>
      </c>
      <c r="AW217" s="407">
        <v>0</v>
      </c>
      <c r="AX217" s="407">
        <v>0</v>
      </c>
      <c r="AY217" s="407">
        <v>0</v>
      </c>
      <c r="AZ217" s="407">
        <v>0</v>
      </c>
      <c r="BA217" s="407"/>
      <c r="BB217" s="407">
        <v>0</v>
      </c>
      <c r="BC217" s="407">
        <v>0</v>
      </c>
      <c r="BD217" s="407">
        <v>0</v>
      </c>
      <c r="BE217" s="407">
        <v>0</v>
      </c>
      <c r="BF217" s="407">
        <v>0</v>
      </c>
      <c r="BG217" s="407">
        <v>1615.1201904332065</v>
      </c>
      <c r="BH217" s="407">
        <v>0</v>
      </c>
      <c r="BI217" s="407">
        <v>146.91999999999999</v>
      </c>
      <c r="BJ217" s="407">
        <v>678.92</v>
      </c>
      <c r="BK217" s="407">
        <v>0</v>
      </c>
      <c r="BL217" s="407">
        <v>36</v>
      </c>
      <c r="BM217" s="407"/>
      <c r="BN217" s="407"/>
      <c r="BO217" s="407"/>
      <c r="BP217" s="407"/>
      <c r="BQ217" s="407"/>
      <c r="BR217" s="407">
        <v>4419.917760000003</v>
      </c>
      <c r="BS217" s="407"/>
      <c r="BT217" s="407"/>
      <c r="BU217" s="407"/>
      <c r="BV217" s="407">
        <v>8452.9103287392936</v>
      </c>
      <c r="BW217" s="407"/>
      <c r="BX217" s="407"/>
      <c r="BY217" s="407"/>
      <c r="BZ217" s="407"/>
      <c r="CA217" s="407"/>
      <c r="CB217" s="407"/>
      <c r="CC217" s="407"/>
      <c r="CD217" s="407"/>
      <c r="CE217" s="407"/>
      <c r="CF217" s="407"/>
      <c r="CG217" s="407"/>
      <c r="CH217" s="407"/>
      <c r="CI217" s="407">
        <v>32412.623599999995</v>
      </c>
      <c r="CJ217" s="407">
        <v>-7046.2970800000076</v>
      </c>
      <c r="CK217" s="407"/>
      <c r="CL217" s="407"/>
      <c r="CM217" s="407"/>
      <c r="CN217" s="407"/>
      <c r="CO217" s="407">
        <v>-8219.4211199999972</v>
      </c>
      <c r="CP217" s="407">
        <v>215.00568000000055</v>
      </c>
      <c r="CQ217" s="407">
        <v>30</v>
      </c>
      <c r="CR217" s="407">
        <v>-127.66749946113487</v>
      </c>
      <c r="CS217" s="407">
        <v>0</v>
      </c>
      <c r="CT217" s="407">
        <v>0</v>
      </c>
      <c r="CU217" s="407">
        <v>0</v>
      </c>
      <c r="CV217" s="407">
        <v>0</v>
      </c>
      <c r="CW217" s="407">
        <v>0</v>
      </c>
      <c r="CX217" s="407">
        <v>0</v>
      </c>
      <c r="CY217" s="407">
        <v>0</v>
      </c>
      <c r="CZ217" s="407">
        <v>-306.79403161031405</v>
      </c>
      <c r="DA217" s="407">
        <v>0</v>
      </c>
      <c r="DB217" s="407">
        <v>0</v>
      </c>
      <c r="DC217" s="407">
        <v>215.15935497422197</v>
      </c>
      <c r="DD217" s="407">
        <v>0</v>
      </c>
      <c r="DE217" s="407">
        <v>0</v>
      </c>
      <c r="DF217" s="407">
        <v>0</v>
      </c>
      <c r="DG217" s="407">
        <v>50.821714523332275</v>
      </c>
      <c r="DH217" s="407">
        <v>0</v>
      </c>
      <c r="DI217" s="407">
        <v>-74.390382420447622</v>
      </c>
      <c r="DJ217" s="407"/>
      <c r="DK217" s="407">
        <v>0</v>
      </c>
      <c r="DL217" s="407">
        <v>0</v>
      </c>
      <c r="DM217" s="407">
        <v>0</v>
      </c>
      <c r="DN217" s="407">
        <v>0</v>
      </c>
      <c r="DO217" s="407">
        <v>-9.6397139721044596</v>
      </c>
      <c r="DP217" s="407">
        <v>-2.8244409558243859</v>
      </c>
      <c r="DQ217" s="407">
        <v>0</v>
      </c>
      <c r="DR217" s="407">
        <v>0</v>
      </c>
      <c r="DS217" s="407"/>
      <c r="DT217" s="407"/>
      <c r="DU217" s="407"/>
      <c r="DV217" s="407">
        <v>26643.979246466039</v>
      </c>
      <c r="DW217" s="407">
        <v>0</v>
      </c>
      <c r="DX217" s="407">
        <v>0</v>
      </c>
      <c r="DY217" s="407">
        <v>-8219.4211199999954</v>
      </c>
      <c r="DZ217" s="407">
        <v>215.00568000000021</v>
      </c>
      <c r="EA217" s="407">
        <v>0</v>
      </c>
      <c r="EB217" s="407">
        <v>0</v>
      </c>
      <c r="EC217" s="407">
        <v>-7876.3808483225876</v>
      </c>
      <c r="ED217" s="407">
        <v>0</v>
      </c>
      <c r="EE217" s="407">
        <v>0</v>
      </c>
      <c r="EF217" s="407">
        <v>0</v>
      </c>
      <c r="EG217" s="407">
        <v>0</v>
      </c>
      <c r="EH217" s="407">
        <v>0</v>
      </c>
      <c r="EI217" s="407">
        <v>0</v>
      </c>
      <c r="EJ217" s="407">
        <v>0</v>
      </c>
      <c r="EK217" s="407">
        <v>0</v>
      </c>
      <c r="EL217" s="407">
        <v>0</v>
      </c>
      <c r="EM217" s="407">
        <v>0</v>
      </c>
      <c r="EN217" s="407">
        <v>0</v>
      </c>
      <c r="EO217" s="407">
        <v>0</v>
      </c>
      <c r="EP217" s="407">
        <v>0</v>
      </c>
      <c r="EQ217" s="407">
        <v>0</v>
      </c>
      <c r="ER217" s="407">
        <v>0</v>
      </c>
      <c r="ES217" s="407">
        <v>0</v>
      </c>
      <c r="ET217" s="407">
        <v>0</v>
      </c>
      <c r="EU217" s="407">
        <v>0</v>
      </c>
      <c r="EV217" s="407">
        <v>207</v>
      </c>
      <c r="EW217" s="407">
        <v>0</v>
      </c>
      <c r="EX217" s="407">
        <v>0</v>
      </c>
      <c r="EY217" s="407">
        <v>0</v>
      </c>
      <c r="EZ217" s="407"/>
      <c r="FA217" s="407">
        <v>0</v>
      </c>
      <c r="FB217" s="407"/>
      <c r="FC217" s="407"/>
      <c r="FD217" s="407"/>
      <c r="FE217" s="407"/>
      <c r="FF217" s="407">
        <v>0</v>
      </c>
      <c r="FG217" s="407">
        <v>0</v>
      </c>
      <c r="FH217" s="407">
        <v>0</v>
      </c>
      <c r="FI217" s="407">
        <v>0</v>
      </c>
    </row>
    <row r="218" spans="1:165">
      <c r="A218" s="407">
        <v>216</v>
      </c>
      <c r="B218" s="407" t="s">
        <v>2308</v>
      </c>
      <c r="C218" s="407" t="s">
        <v>2305</v>
      </c>
      <c r="D218" s="407" t="s">
        <v>2316</v>
      </c>
      <c r="E218" s="407" t="s">
        <v>1028</v>
      </c>
      <c r="F218" s="407" t="s">
        <v>96</v>
      </c>
      <c r="G218" s="407" t="s">
        <v>96</v>
      </c>
      <c r="H218" s="407" t="s">
        <v>96</v>
      </c>
      <c r="I218" s="407" t="s">
        <v>96</v>
      </c>
      <c r="J218" s="407" t="s">
        <v>2306</v>
      </c>
      <c r="K218" s="815">
        <v>44652</v>
      </c>
      <c r="L218" s="407">
        <v>0</v>
      </c>
      <c r="M218" s="407">
        <v>0</v>
      </c>
      <c r="N218" s="407">
        <v>0.42</v>
      </c>
      <c r="O218" s="407">
        <v>0.42</v>
      </c>
      <c r="P218" s="407">
        <v>0.42</v>
      </c>
      <c r="Q218" s="407">
        <v>0.42</v>
      </c>
      <c r="R218" s="407"/>
      <c r="S218" s="407">
        <v>710.52</v>
      </c>
      <c r="T218" s="407">
        <v>127.85</v>
      </c>
      <c r="U218" s="407"/>
      <c r="V218" s="407">
        <v>352.11539999999997</v>
      </c>
      <c r="W218" s="407">
        <v>352.11539999999997</v>
      </c>
      <c r="X218" s="407">
        <v>289.25819999999999</v>
      </c>
      <c r="Y218" s="407">
        <v>0</v>
      </c>
      <c r="Z218" s="407">
        <v>25.651532191455829</v>
      </c>
      <c r="AA218" s="407">
        <v>0</v>
      </c>
      <c r="AB218" s="407">
        <v>0</v>
      </c>
      <c r="AC218" s="407">
        <v>0</v>
      </c>
      <c r="AD218" s="407">
        <v>45.923830926265317</v>
      </c>
      <c r="AE218" s="407">
        <v>209.23026107837362</v>
      </c>
      <c r="AF218" s="407">
        <v>53.695906403570334</v>
      </c>
      <c r="AG218" s="407">
        <v>0</v>
      </c>
      <c r="AH218" s="407">
        <v>0</v>
      </c>
      <c r="AI218" s="407">
        <v>0</v>
      </c>
      <c r="AJ218" s="407">
        <v>0</v>
      </c>
      <c r="AK218" s="407">
        <v>0</v>
      </c>
      <c r="AL218" s="407">
        <v>3.9670249149865322</v>
      </c>
      <c r="AM218" s="407"/>
      <c r="AN218" s="407">
        <v>0.96212058270750245</v>
      </c>
      <c r="AO218" s="407">
        <v>0</v>
      </c>
      <c r="AP218" s="407">
        <v>0</v>
      </c>
      <c r="AQ218" s="407">
        <v>0</v>
      </c>
      <c r="AR218" s="407">
        <v>0</v>
      </c>
      <c r="AS218" s="407">
        <v>0</v>
      </c>
      <c r="AT218" s="407">
        <v>0</v>
      </c>
      <c r="AU218" s="407">
        <v>0</v>
      </c>
      <c r="AV218" s="407">
        <v>0</v>
      </c>
      <c r="AW218" s="407">
        <v>0</v>
      </c>
      <c r="AX218" s="407">
        <v>0</v>
      </c>
      <c r="AY218" s="407">
        <v>0</v>
      </c>
      <c r="AZ218" s="407">
        <v>0</v>
      </c>
      <c r="BA218" s="407"/>
      <c r="BB218" s="407">
        <v>0</v>
      </c>
      <c r="BC218" s="407">
        <v>0</v>
      </c>
      <c r="BD218" s="407">
        <v>0</v>
      </c>
      <c r="BE218" s="407">
        <v>0</v>
      </c>
      <c r="BF218" s="407">
        <v>0</v>
      </c>
      <c r="BG218" s="407">
        <v>12.683241342867898</v>
      </c>
      <c r="BH218" s="407">
        <v>0</v>
      </c>
      <c r="BI218" s="407">
        <v>0.79</v>
      </c>
      <c r="BJ218" s="407">
        <v>3.7</v>
      </c>
      <c r="BK218" s="407">
        <v>0</v>
      </c>
      <c r="BL218" s="407">
        <v>2</v>
      </c>
      <c r="BM218" s="407"/>
      <c r="BN218" s="407"/>
      <c r="BO218" s="407"/>
      <c r="BP218" s="407"/>
      <c r="BQ218" s="407"/>
      <c r="BR218" s="407">
        <v>34.708800000000025</v>
      </c>
      <c r="BS218" s="407"/>
      <c r="BT218" s="407"/>
      <c r="BU218" s="407"/>
      <c r="BV218" s="407">
        <v>66.379147746438235</v>
      </c>
      <c r="BW218" s="407"/>
      <c r="BX218" s="407"/>
      <c r="BY218" s="407"/>
      <c r="BZ218" s="407"/>
      <c r="CA218" s="407"/>
      <c r="CB218" s="407"/>
      <c r="CC218" s="407"/>
      <c r="CD218" s="407"/>
      <c r="CE218" s="407"/>
      <c r="CF218" s="407"/>
      <c r="CG218" s="407"/>
      <c r="CH218" s="407"/>
      <c r="CI218" s="407">
        <v>254.54939999999999</v>
      </c>
      <c r="CJ218" s="407">
        <v>-55.343999999999937</v>
      </c>
      <c r="CK218" s="407"/>
      <c r="CL218" s="407"/>
      <c r="CM218" s="407"/>
      <c r="CN218" s="407"/>
      <c r="CO218" s="407">
        <v>-64.545599999999979</v>
      </c>
      <c r="CP218" s="407">
        <v>1.6884000000000043</v>
      </c>
      <c r="CQ218" s="407">
        <v>30</v>
      </c>
      <c r="CR218" s="407">
        <v>-1.0025493563248347</v>
      </c>
      <c r="CS218" s="407">
        <v>0</v>
      </c>
      <c r="CT218" s="407">
        <v>0</v>
      </c>
      <c r="CU218" s="407">
        <v>0</v>
      </c>
      <c r="CV218" s="407">
        <v>0</v>
      </c>
      <c r="CW218" s="407">
        <v>0</v>
      </c>
      <c r="CX218" s="407">
        <v>0</v>
      </c>
      <c r="CY218" s="407">
        <v>0</v>
      </c>
      <c r="CZ218" s="407">
        <v>-2.4091970173571937</v>
      </c>
      <c r="DA218" s="407">
        <v>0</v>
      </c>
      <c r="DB218" s="407">
        <v>0</v>
      </c>
      <c r="DC218" s="407">
        <v>1.6896067812649278</v>
      </c>
      <c r="DD218" s="407">
        <v>0</v>
      </c>
      <c r="DE218" s="407">
        <v>0</v>
      </c>
      <c r="DF218" s="407">
        <v>0</v>
      </c>
      <c r="DG218" s="407">
        <v>0.39909356255701844</v>
      </c>
      <c r="DH218" s="407">
        <v>0</v>
      </c>
      <c r="DI218" s="407">
        <v>-0.58417397009550598</v>
      </c>
      <c r="DJ218" s="407"/>
      <c r="DK218" s="407">
        <v>0</v>
      </c>
      <c r="DL218" s="407">
        <v>0</v>
      </c>
      <c r="DM218" s="407">
        <v>0</v>
      </c>
      <c r="DN218" s="407">
        <v>0</v>
      </c>
      <c r="DO218" s="407">
        <v>-7.5698898143068405E-2</v>
      </c>
      <c r="DP218" s="407">
        <v>-2.2179814551010368E-2</v>
      </c>
      <c r="DQ218" s="407">
        <v>0</v>
      </c>
      <c r="DR218" s="407">
        <v>0</v>
      </c>
      <c r="DS218" s="407"/>
      <c r="DT218" s="407"/>
      <c r="DU218" s="407"/>
      <c r="DV218" s="407">
        <v>209.23026107837362</v>
      </c>
      <c r="DW218" s="407">
        <v>0</v>
      </c>
      <c r="DX218" s="407">
        <v>0</v>
      </c>
      <c r="DY218" s="407">
        <v>-64.545599999999951</v>
      </c>
      <c r="DZ218" s="407">
        <v>1.6884000000000015</v>
      </c>
      <c r="EA218" s="407">
        <v>0</v>
      </c>
      <c r="EB218" s="407">
        <v>0</v>
      </c>
      <c r="EC218" s="407">
        <v>-61.851767936120808</v>
      </c>
      <c r="ED218" s="407">
        <v>0</v>
      </c>
      <c r="EE218" s="407">
        <v>0</v>
      </c>
      <c r="EF218" s="407">
        <v>0</v>
      </c>
      <c r="EG218" s="407">
        <v>0</v>
      </c>
      <c r="EH218" s="407">
        <v>0</v>
      </c>
      <c r="EI218" s="407">
        <v>0</v>
      </c>
      <c r="EJ218" s="407">
        <v>0</v>
      </c>
      <c r="EK218" s="407">
        <v>0</v>
      </c>
      <c r="EL218" s="407">
        <v>0</v>
      </c>
      <c r="EM218" s="407">
        <v>0</v>
      </c>
      <c r="EN218" s="407">
        <v>0</v>
      </c>
      <c r="EO218" s="407">
        <v>0</v>
      </c>
      <c r="EP218" s="407">
        <v>0</v>
      </c>
      <c r="EQ218" s="407">
        <v>0</v>
      </c>
      <c r="ER218" s="407">
        <v>0</v>
      </c>
      <c r="ES218" s="407">
        <v>0</v>
      </c>
      <c r="ET218" s="407">
        <v>0</v>
      </c>
      <c r="EU218" s="407">
        <v>0</v>
      </c>
      <c r="EV218" s="407">
        <v>207</v>
      </c>
      <c r="EW218" s="407">
        <v>0</v>
      </c>
      <c r="EX218" s="407">
        <v>0</v>
      </c>
      <c r="EY218" s="407">
        <v>0</v>
      </c>
      <c r="EZ218" s="407"/>
      <c r="FA218" s="407">
        <v>0</v>
      </c>
      <c r="FB218" s="407"/>
      <c r="FC218" s="407"/>
      <c r="FD218" s="407"/>
      <c r="FE218" s="407"/>
      <c r="FF218" s="407">
        <v>0</v>
      </c>
      <c r="FG218" s="407">
        <v>0</v>
      </c>
      <c r="FH218" s="407">
        <v>0</v>
      </c>
      <c r="FI218" s="407">
        <v>0</v>
      </c>
    </row>
    <row r="219" spans="1:165">
      <c r="A219" s="407">
        <v>217</v>
      </c>
      <c r="B219" s="407" t="s">
        <v>1092</v>
      </c>
      <c r="C219" s="407" t="s">
        <v>2305</v>
      </c>
      <c r="D219" s="407" t="s">
        <v>1221</v>
      </c>
      <c r="E219" s="407" t="s">
        <v>2317</v>
      </c>
      <c r="F219" s="407" t="s">
        <v>96</v>
      </c>
      <c r="G219" s="407" t="s">
        <v>96</v>
      </c>
      <c r="H219" s="407" t="s">
        <v>96</v>
      </c>
      <c r="I219" s="407" t="s">
        <v>96</v>
      </c>
      <c r="J219" s="407" t="s">
        <v>2306</v>
      </c>
      <c r="K219" s="815">
        <v>44652</v>
      </c>
      <c r="L219" s="407">
        <v>0</v>
      </c>
      <c r="M219" s="407">
        <v>0</v>
      </c>
      <c r="N219" s="407">
        <v>11.122</v>
      </c>
      <c r="O219" s="407">
        <v>11.122</v>
      </c>
      <c r="P219" s="407">
        <v>11.122</v>
      </c>
      <c r="Q219" s="407">
        <v>11.122</v>
      </c>
      <c r="R219" s="407"/>
      <c r="S219" s="407">
        <v>710.52</v>
      </c>
      <c r="T219" s="407">
        <v>127.85</v>
      </c>
      <c r="U219" s="407"/>
      <c r="V219" s="407">
        <v>9324.3511400000007</v>
      </c>
      <c r="W219" s="407">
        <v>9324.3511400000007</v>
      </c>
      <c r="X219" s="407">
        <v>7659.832620000001</v>
      </c>
      <c r="Y219" s="407">
        <v>0</v>
      </c>
      <c r="Z219" s="407">
        <v>679.27700246040888</v>
      </c>
      <c r="AA219" s="407">
        <v>0</v>
      </c>
      <c r="AB219" s="407">
        <v>0</v>
      </c>
      <c r="AC219" s="407">
        <v>0</v>
      </c>
      <c r="AD219" s="407">
        <v>1216.10677990934</v>
      </c>
      <c r="AE219" s="407">
        <v>5540.6165802706464</v>
      </c>
      <c r="AF219" s="407">
        <v>1421.918740525022</v>
      </c>
      <c r="AG219" s="407">
        <v>0</v>
      </c>
      <c r="AH219" s="407">
        <v>0</v>
      </c>
      <c r="AI219" s="407">
        <v>0</v>
      </c>
      <c r="AJ219" s="407">
        <v>0</v>
      </c>
      <c r="AK219" s="407">
        <v>0</v>
      </c>
      <c r="AL219" s="407">
        <v>105.05059786781003</v>
      </c>
      <c r="AM219" s="407"/>
      <c r="AN219" s="407">
        <v>25.47786933541153</v>
      </c>
      <c r="AO219" s="407">
        <v>0</v>
      </c>
      <c r="AP219" s="407">
        <v>0</v>
      </c>
      <c r="AQ219" s="407">
        <v>0</v>
      </c>
      <c r="AR219" s="407">
        <v>0</v>
      </c>
      <c r="AS219" s="407">
        <v>0</v>
      </c>
      <c r="AT219" s="407">
        <v>0</v>
      </c>
      <c r="AU219" s="407">
        <v>0</v>
      </c>
      <c r="AV219" s="407">
        <v>0</v>
      </c>
      <c r="AW219" s="407">
        <v>0</v>
      </c>
      <c r="AX219" s="407">
        <v>0</v>
      </c>
      <c r="AY219" s="407">
        <v>0</v>
      </c>
      <c r="AZ219" s="407">
        <v>0</v>
      </c>
      <c r="BA219" s="407"/>
      <c r="BB219" s="407">
        <v>0</v>
      </c>
      <c r="BC219" s="407">
        <v>0</v>
      </c>
      <c r="BD219" s="407">
        <v>0</v>
      </c>
      <c r="BE219" s="407">
        <v>0</v>
      </c>
      <c r="BF219" s="407">
        <v>0</v>
      </c>
      <c r="BG219" s="407">
        <v>335.86431003661136</v>
      </c>
      <c r="BH219" s="407">
        <v>0</v>
      </c>
      <c r="BI219" s="407">
        <v>25.9</v>
      </c>
      <c r="BJ219" s="407">
        <v>119.92</v>
      </c>
      <c r="BK219" s="407">
        <v>2018.49</v>
      </c>
      <c r="BL219" s="407">
        <v>18</v>
      </c>
      <c r="BM219" s="407"/>
      <c r="BN219" s="407"/>
      <c r="BO219" s="407"/>
      <c r="BP219" s="407"/>
      <c r="BQ219" s="407"/>
      <c r="BR219" s="407"/>
      <c r="BS219" s="407"/>
      <c r="BT219" s="407"/>
      <c r="BU219" s="407"/>
      <c r="BV219" s="407">
        <v>1757.7830505616334</v>
      </c>
      <c r="BW219" s="407"/>
      <c r="BX219" s="407"/>
      <c r="BY219" s="407"/>
      <c r="BZ219" s="407"/>
      <c r="CA219" s="407"/>
      <c r="CB219" s="407"/>
      <c r="CC219" s="407"/>
      <c r="CD219" s="407"/>
      <c r="CE219" s="407"/>
      <c r="CF219" s="407"/>
      <c r="CG219" s="407"/>
      <c r="CH219" s="407"/>
      <c r="CI219" s="407">
        <v>7658.4552000000003</v>
      </c>
      <c r="CJ219" s="407">
        <v>-1665.925940000001</v>
      </c>
      <c r="CK219" s="407"/>
      <c r="CL219" s="407"/>
      <c r="CM219" s="407"/>
      <c r="CN219" s="407"/>
      <c r="CO219" s="407">
        <v>-1709.2289599999995</v>
      </c>
      <c r="CP219" s="407">
        <v>44.710440000000112</v>
      </c>
      <c r="CQ219" s="407">
        <v>30</v>
      </c>
      <c r="CR219" s="407">
        <v>-26.548461764392414</v>
      </c>
      <c r="CS219" s="407">
        <v>0</v>
      </c>
      <c r="CT219" s="407">
        <v>0</v>
      </c>
      <c r="CU219" s="407">
        <v>0</v>
      </c>
      <c r="CV219" s="407">
        <v>0</v>
      </c>
      <c r="CW219" s="407">
        <v>0</v>
      </c>
      <c r="CX219" s="407">
        <v>0</v>
      </c>
      <c r="CY219" s="407">
        <v>0</v>
      </c>
      <c r="CZ219" s="407">
        <v>-63.797831492968271</v>
      </c>
      <c r="DA219" s="407">
        <v>0</v>
      </c>
      <c r="DB219" s="407">
        <v>0</v>
      </c>
      <c r="DC219" s="407">
        <v>44.742396717210795</v>
      </c>
      <c r="DD219" s="407">
        <v>0</v>
      </c>
      <c r="DE219" s="407">
        <v>0</v>
      </c>
      <c r="DF219" s="407">
        <v>0</v>
      </c>
      <c r="DG219" s="407">
        <v>10.568377625617075</v>
      </c>
      <c r="DH219" s="407">
        <v>0</v>
      </c>
      <c r="DI219" s="407">
        <v>-15.469483084291028</v>
      </c>
      <c r="DJ219" s="407"/>
      <c r="DK219" s="407">
        <v>0</v>
      </c>
      <c r="DL219" s="407">
        <v>0</v>
      </c>
      <c r="DM219" s="407">
        <v>0</v>
      </c>
      <c r="DN219" s="407">
        <v>0</v>
      </c>
      <c r="DO219" s="407">
        <v>-2.004578917017156</v>
      </c>
      <c r="DP219" s="407">
        <v>-0.58734261294366163</v>
      </c>
      <c r="DQ219" s="407">
        <v>0</v>
      </c>
      <c r="DR219" s="407">
        <v>0</v>
      </c>
      <c r="DS219" s="407"/>
      <c r="DT219" s="407"/>
      <c r="DU219" s="407"/>
      <c r="DV219" s="407">
        <v>5540.6165802706464</v>
      </c>
      <c r="DW219" s="407">
        <v>0</v>
      </c>
      <c r="DX219" s="407">
        <v>0</v>
      </c>
      <c r="DY219" s="407">
        <v>-1709.2289599999995</v>
      </c>
      <c r="DZ219" s="407">
        <v>44.710440000000062</v>
      </c>
      <c r="EA219" s="407">
        <v>0</v>
      </c>
      <c r="EB219" s="407">
        <v>0</v>
      </c>
      <c r="EC219" s="407">
        <v>-1637.8937213941326</v>
      </c>
      <c r="ED219" s="407">
        <v>0</v>
      </c>
      <c r="EE219" s="407">
        <v>0</v>
      </c>
      <c r="EF219" s="407">
        <v>0</v>
      </c>
      <c r="EG219" s="407">
        <v>0</v>
      </c>
      <c r="EH219" s="407">
        <v>0</v>
      </c>
      <c r="EI219" s="407">
        <v>0</v>
      </c>
      <c r="EJ219" s="407">
        <v>0</v>
      </c>
      <c r="EK219" s="407">
        <v>0</v>
      </c>
      <c r="EL219" s="407">
        <v>0</v>
      </c>
      <c r="EM219" s="407">
        <v>0</v>
      </c>
      <c r="EN219" s="407">
        <v>0</v>
      </c>
      <c r="EO219" s="407">
        <v>0</v>
      </c>
      <c r="EP219" s="407">
        <v>0</v>
      </c>
      <c r="EQ219" s="407">
        <v>0</v>
      </c>
      <c r="ER219" s="407">
        <v>0</v>
      </c>
      <c r="ES219" s="407">
        <v>0</v>
      </c>
      <c r="ET219" s="407">
        <v>0</v>
      </c>
      <c r="EU219" s="407">
        <v>0</v>
      </c>
      <c r="EV219" s="407">
        <v>207</v>
      </c>
      <c r="EW219" s="407">
        <v>0</v>
      </c>
      <c r="EX219" s="407">
        <v>0</v>
      </c>
      <c r="EY219" s="407">
        <v>0</v>
      </c>
      <c r="EZ219" s="407"/>
      <c r="FA219" s="407">
        <v>0</v>
      </c>
      <c r="FB219" s="407"/>
      <c r="FC219" s="407"/>
      <c r="FD219" s="407"/>
      <c r="FE219" s="407"/>
      <c r="FF219" s="407">
        <v>0</v>
      </c>
      <c r="FG219" s="407">
        <v>0</v>
      </c>
      <c r="FH219" s="407">
        <v>0</v>
      </c>
      <c r="FI219" s="407">
        <v>0</v>
      </c>
    </row>
    <row r="220" spans="1:165">
      <c r="A220" s="407">
        <v>218</v>
      </c>
      <c r="B220" s="407" t="s">
        <v>1092</v>
      </c>
      <c r="C220" s="407" t="s">
        <v>2305</v>
      </c>
      <c r="D220" s="407" t="s">
        <v>2318</v>
      </c>
      <c r="E220" s="407" t="s">
        <v>2319</v>
      </c>
      <c r="F220" s="407" t="s">
        <v>2320</v>
      </c>
      <c r="G220" s="407" t="s">
        <v>96</v>
      </c>
      <c r="H220" s="407" t="s">
        <v>96</v>
      </c>
      <c r="I220" s="407" t="s">
        <v>96</v>
      </c>
      <c r="J220" s="407" t="s">
        <v>2306</v>
      </c>
      <c r="K220" s="815">
        <v>44652</v>
      </c>
      <c r="L220" s="407">
        <v>0</v>
      </c>
      <c r="M220" s="407">
        <v>0</v>
      </c>
      <c r="N220" s="407">
        <v>41.695</v>
      </c>
      <c r="O220" s="407">
        <v>41.695</v>
      </c>
      <c r="P220" s="407">
        <v>41.695</v>
      </c>
      <c r="Q220" s="407">
        <v>41.695</v>
      </c>
      <c r="R220" s="407"/>
      <c r="S220" s="407">
        <v>390.79</v>
      </c>
      <c r="T220" s="407">
        <v>70.319999999999993</v>
      </c>
      <c r="U220" s="407"/>
      <c r="V220" s="407">
        <v>19225.981449999999</v>
      </c>
      <c r="W220" s="407">
        <v>19225.981449999999</v>
      </c>
      <c r="X220" s="407">
        <v>15793.64905</v>
      </c>
      <c r="Y220" s="407">
        <v>0</v>
      </c>
      <c r="Z220" s="407">
        <v>1400.5889264226512</v>
      </c>
      <c r="AA220" s="407">
        <v>0</v>
      </c>
      <c r="AB220" s="407">
        <v>0</v>
      </c>
      <c r="AC220" s="407">
        <v>0</v>
      </c>
      <c r="AD220" s="407">
        <v>2507.4685041877287</v>
      </c>
      <c r="AE220" s="407">
        <v>11424.096796701268</v>
      </c>
      <c r="AF220" s="407">
        <v>2931.828451483992</v>
      </c>
      <c r="AG220" s="407">
        <v>0</v>
      </c>
      <c r="AH220" s="407">
        <v>0</v>
      </c>
      <c r="AI220" s="407">
        <v>0</v>
      </c>
      <c r="AJ220" s="407">
        <v>0</v>
      </c>
      <c r="AK220" s="407">
        <v>0</v>
      </c>
      <c r="AL220" s="407">
        <v>216.60192168261881</v>
      </c>
      <c r="AM220" s="407"/>
      <c r="AN220" s="407">
        <v>52.532356506652839</v>
      </c>
      <c r="AO220" s="407">
        <v>0</v>
      </c>
      <c r="AP220" s="407">
        <v>0</v>
      </c>
      <c r="AQ220" s="407">
        <v>0</v>
      </c>
      <c r="AR220" s="407">
        <v>0</v>
      </c>
      <c r="AS220" s="407">
        <v>0</v>
      </c>
      <c r="AT220" s="407">
        <v>0</v>
      </c>
      <c r="AU220" s="407">
        <v>0</v>
      </c>
      <c r="AV220" s="407">
        <v>0</v>
      </c>
      <c r="AW220" s="407">
        <v>0</v>
      </c>
      <c r="AX220" s="407">
        <v>0</v>
      </c>
      <c r="AY220" s="407">
        <v>0</v>
      </c>
      <c r="AZ220" s="407">
        <v>0</v>
      </c>
      <c r="BA220" s="407"/>
      <c r="BB220" s="407">
        <v>0</v>
      </c>
      <c r="BC220" s="407">
        <v>0</v>
      </c>
      <c r="BD220" s="407">
        <v>0</v>
      </c>
      <c r="BE220" s="407">
        <v>0</v>
      </c>
      <c r="BF220" s="407">
        <v>0</v>
      </c>
      <c r="BG220" s="407">
        <v>692.51252686900784</v>
      </c>
      <c r="BH220" s="407">
        <v>0</v>
      </c>
      <c r="BI220" s="407">
        <v>62.15</v>
      </c>
      <c r="BJ220" s="407">
        <v>287.75</v>
      </c>
      <c r="BK220" s="407">
        <v>4843.08</v>
      </c>
      <c r="BL220" s="407">
        <v>36</v>
      </c>
      <c r="BM220" s="407"/>
      <c r="BN220" s="407"/>
      <c r="BO220" s="407"/>
      <c r="BP220" s="407"/>
      <c r="BQ220" s="407"/>
      <c r="BR220" s="407"/>
      <c r="BS220" s="407"/>
      <c r="BT220" s="407"/>
      <c r="BU220" s="407"/>
      <c r="BV220" s="407">
        <v>3624.3409783529996</v>
      </c>
      <c r="BW220" s="407"/>
      <c r="BX220" s="407"/>
      <c r="BY220" s="407"/>
      <c r="BZ220" s="407"/>
      <c r="CA220" s="407"/>
      <c r="CB220" s="407"/>
      <c r="CC220" s="407"/>
      <c r="CD220" s="407"/>
      <c r="CE220" s="407"/>
      <c r="CF220" s="407"/>
      <c r="CG220" s="407"/>
      <c r="CH220" s="407"/>
      <c r="CI220" s="407">
        <v>15795.543000000001</v>
      </c>
      <c r="CJ220" s="407">
        <v>-3430.4684499999967</v>
      </c>
      <c r="CK220" s="407"/>
      <c r="CL220" s="407"/>
      <c r="CM220" s="407"/>
      <c r="CN220" s="407"/>
      <c r="CO220" s="407">
        <v>-3524.4783500000012</v>
      </c>
      <c r="CP220" s="407">
        <v>92.145950000000326</v>
      </c>
      <c r="CQ220" s="407">
        <v>30</v>
      </c>
      <c r="CR220" s="407">
        <v>-54.739791610913926</v>
      </c>
      <c r="CS220" s="407">
        <v>0</v>
      </c>
      <c r="CT220" s="407">
        <v>0</v>
      </c>
      <c r="CU220" s="407">
        <v>0</v>
      </c>
      <c r="CV220" s="407">
        <v>0</v>
      </c>
      <c r="CW220" s="407">
        <v>0</v>
      </c>
      <c r="CX220" s="407">
        <v>0</v>
      </c>
      <c r="CY220" s="407">
        <v>0</v>
      </c>
      <c r="CZ220" s="407">
        <v>-131.54359119354649</v>
      </c>
      <c r="DA220" s="407">
        <v>0</v>
      </c>
      <c r="DB220" s="407">
        <v>0</v>
      </c>
      <c r="DC220" s="407">
        <v>92.253535975386967</v>
      </c>
      <c r="DD220" s="407">
        <v>0</v>
      </c>
      <c r="DE220" s="407">
        <v>0</v>
      </c>
      <c r="DF220" s="407">
        <v>0</v>
      </c>
      <c r="DG220" s="407">
        <v>21.790746071301214</v>
      </c>
      <c r="DH220" s="407">
        <v>0</v>
      </c>
      <c r="DI220" s="407">
        <v>-31.896246489819532</v>
      </c>
      <c r="DJ220" s="407"/>
      <c r="DK220" s="407">
        <v>0</v>
      </c>
      <c r="DL220" s="407">
        <v>0</v>
      </c>
      <c r="DM220" s="407">
        <v>0</v>
      </c>
      <c r="DN220" s="407">
        <v>0</v>
      </c>
      <c r="DO220" s="407">
        <v>-4.1332048974796578</v>
      </c>
      <c r="DP220" s="407">
        <v>-1.2110310767557024</v>
      </c>
      <c r="DQ220" s="407">
        <v>0</v>
      </c>
      <c r="DR220" s="407">
        <v>0</v>
      </c>
      <c r="DS220" s="407"/>
      <c r="DT220" s="407"/>
      <c r="DU220" s="407"/>
      <c r="DV220" s="407">
        <v>11424.096796701268</v>
      </c>
      <c r="DW220" s="407">
        <v>0</v>
      </c>
      <c r="DX220" s="407">
        <v>0</v>
      </c>
      <c r="DY220" s="407">
        <v>-3524.4783500000012</v>
      </c>
      <c r="DZ220" s="407">
        <v>92.145950000000539</v>
      </c>
      <c r="EA220" s="407">
        <v>0</v>
      </c>
      <c r="EB220" s="407">
        <v>0</v>
      </c>
      <c r="EC220" s="407">
        <v>-3377.1433458407491</v>
      </c>
      <c r="ED220" s="407">
        <v>0</v>
      </c>
      <c r="EE220" s="407">
        <v>0</v>
      </c>
      <c r="EF220" s="407">
        <v>0</v>
      </c>
      <c r="EG220" s="407">
        <v>0</v>
      </c>
      <c r="EH220" s="407">
        <v>0</v>
      </c>
      <c r="EI220" s="407">
        <v>0</v>
      </c>
      <c r="EJ220" s="407">
        <v>0</v>
      </c>
      <c r="EK220" s="407">
        <v>0</v>
      </c>
      <c r="EL220" s="407">
        <v>0</v>
      </c>
      <c r="EM220" s="407">
        <v>0</v>
      </c>
      <c r="EN220" s="407">
        <v>0</v>
      </c>
      <c r="EO220" s="407">
        <v>0</v>
      </c>
      <c r="EP220" s="407">
        <v>0</v>
      </c>
      <c r="EQ220" s="407">
        <v>0</v>
      </c>
      <c r="ER220" s="407">
        <v>0</v>
      </c>
      <c r="ES220" s="407">
        <v>0</v>
      </c>
      <c r="ET220" s="407">
        <v>0</v>
      </c>
      <c r="EU220" s="407">
        <v>0</v>
      </c>
      <c r="EV220" s="407">
        <v>207</v>
      </c>
      <c r="EW220" s="407">
        <v>0</v>
      </c>
      <c r="EX220" s="407">
        <v>0</v>
      </c>
      <c r="EY220" s="407">
        <v>0</v>
      </c>
      <c r="EZ220" s="407"/>
      <c r="FA220" s="407">
        <v>0</v>
      </c>
      <c r="FB220" s="407"/>
      <c r="FC220" s="407"/>
      <c r="FD220" s="407"/>
      <c r="FE220" s="407"/>
      <c r="FF220" s="407">
        <v>0</v>
      </c>
      <c r="FG220" s="407">
        <v>0</v>
      </c>
      <c r="FH220" s="407">
        <v>0</v>
      </c>
      <c r="FI220" s="407">
        <v>0</v>
      </c>
    </row>
    <row r="221" spans="1:165">
      <c r="A221" s="407">
        <v>219</v>
      </c>
      <c r="B221" s="407" t="s">
        <v>1092</v>
      </c>
      <c r="C221" s="407" t="s">
        <v>2305</v>
      </c>
      <c r="D221" s="407" t="s">
        <v>1221</v>
      </c>
      <c r="E221" s="407" t="s">
        <v>1054</v>
      </c>
      <c r="F221" s="407" t="s">
        <v>2321</v>
      </c>
      <c r="G221" s="407" t="s">
        <v>96</v>
      </c>
      <c r="H221" s="407" t="s">
        <v>96</v>
      </c>
      <c r="I221" s="407" t="s">
        <v>96</v>
      </c>
      <c r="J221" s="407" t="s">
        <v>2306</v>
      </c>
      <c r="K221" s="815">
        <v>44652</v>
      </c>
      <c r="L221" s="407">
        <v>0</v>
      </c>
      <c r="M221" s="407">
        <v>0</v>
      </c>
      <c r="N221" s="407">
        <v>8.6999999999999993</v>
      </c>
      <c r="O221" s="407">
        <v>8.1780000000000008</v>
      </c>
      <c r="P221" s="407">
        <v>8.6999999999999993</v>
      </c>
      <c r="Q221" s="407">
        <v>8.1780000000000008</v>
      </c>
      <c r="R221" s="407"/>
      <c r="S221" s="407">
        <v>710.52</v>
      </c>
      <c r="T221" s="407">
        <v>127.85</v>
      </c>
      <c r="U221" s="407"/>
      <c r="V221" s="407">
        <v>7293.8189999999995</v>
      </c>
      <c r="W221" s="407">
        <v>7293.8189999999995</v>
      </c>
      <c r="X221" s="407">
        <v>5991.777</v>
      </c>
      <c r="Y221" s="407">
        <v>0</v>
      </c>
      <c r="Z221" s="407">
        <v>531.35316682301357</v>
      </c>
      <c r="AA221" s="407">
        <v>0</v>
      </c>
      <c r="AB221" s="407">
        <v>0</v>
      </c>
      <c r="AC221" s="407">
        <v>0</v>
      </c>
      <c r="AD221" s="407">
        <v>951.27935490121013</v>
      </c>
      <c r="AE221" s="407">
        <v>4334.0554080520251</v>
      </c>
      <c r="AF221" s="407">
        <v>1112.2723469310997</v>
      </c>
      <c r="AG221" s="407">
        <v>0</v>
      </c>
      <c r="AH221" s="407">
        <v>0</v>
      </c>
      <c r="AI221" s="407">
        <v>0</v>
      </c>
      <c r="AJ221" s="407">
        <v>0</v>
      </c>
      <c r="AK221" s="407">
        <v>0</v>
      </c>
      <c r="AL221" s="407">
        <v>82.174087524721017</v>
      </c>
      <c r="AM221" s="407"/>
      <c r="AN221" s="407">
        <v>19.929640641798265</v>
      </c>
      <c r="AO221" s="407">
        <v>0</v>
      </c>
      <c r="AP221" s="407">
        <v>0</v>
      </c>
      <c r="AQ221" s="407">
        <v>0</v>
      </c>
      <c r="AR221" s="407">
        <v>0</v>
      </c>
      <c r="AS221" s="407">
        <v>0</v>
      </c>
      <c r="AT221" s="407">
        <v>0</v>
      </c>
      <c r="AU221" s="407">
        <v>0</v>
      </c>
      <c r="AV221" s="407">
        <v>0</v>
      </c>
      <c r="AW221" s="407">
        <v>0</v>
      </c>
      <c r="AX221" s="407">
        <v>0</v>
      </c>
      <c r="AY221" s="407">
        <v>0</v>
      </c>
      <c r="AZ221" s="407">
        <v>0</v>
      </c>
      <c r="BA221" s="407"/>
      <c r="BB221" s="407">
        <v>0</v>
      </c>
      <c r="BC221" s="407">
        <v>0</v>
      </c>
      <c r="BD221" s="407">
        <v>0</v>
      </c>
      <c r="BE221" s="407">
        <v>0</v>
      </c>
      <c r="BF221" s="407">
        <v>0</v>
      </c>
      <c r="BG221" s="407">
        <v>262.72428495940648</v>
      </c>
      <c r="BH221" s="407">
        <v>0</v>
      </c>
      <c r="BI221" s="407">
        <v>48.75</v>
      </c>
      <c r="BJ221" s="407">
        <v>225.03</v>
      </c>
      <c r="BK221" s="407">
        <v>1567.63</v>
      </c>
      <c r="BL221" s="407">
        <v>1</v>
      </c>
      <c r="BM221" s="407"/>
      <c r="BN221" s="407"/>
      <c r="BO221" s="407"/>
      <c r="BP221" s="407"/>
      <c r="BQ221" s="407">
        <v>359.50661999999897</v>
      </c>
      <c r="BR221" s="407"/>
      <c r="BS221" s="407"/>
      <c r="BT221" s="407"/>
      <c r="BU221" s="407"/>
      <c r="BV221" s="407">
        <v>1374.9966318905063</v>
      </c>
      <c r="BW221" s="407"/>
      <c r="BX221" s="407"/>
      <c r="BY221" s="407"/>
      <c r="BZ221" s="407"/>
      <c r="CA221" s="407"/>
      <c r="CB221" s="407"/>
      <c r="CC221" s="407"/>
      <c r="CD221" s="407"/>
      <c r="CE221" s="407"/>
      <c r="CF221" s="407"/>
      <c r="CG221" s="407"/>
      <c r="CH221" s="407"/>
      <c r="CI221" s="407">
        <v>5633.6478000000006</v>
      </c>
      <c r="CJ221" s="407">
        <v>-1222.5720600000004</v>
      </c>
      <c r="CK221" s="407"/>
      <c r="CL221" s="407"/>
      <c r="CM221" s="407"/>
      <c r="CN221" s="407"/>
      <c r="CO221" s="407">
        <v>-1337.0159999999994</v>
      </c>
      <c r="CP221" s="407">
        <v>34.974000000000089</v>
      </c>
      <c r="CQ221" s="407">
        <v>30</v>
      </c>
      <c r="CR221" s="407">
        <v>-20.767093809585731</v>
      </c>
      <c r="CS221" s="407">
        <v>0</v>
      </c>
      <c r="CT221" s="407">
        <v>0</v>
      </c>
      <c r="CU221" s="407">
        <v>0</v>
      </c>
      <c r="CV221" s="407">
        <v>0</v>
      </c>
      <c r="CW221" s="407">
        <v>0</v>
      </c>
      <c r="CX221" s="407">
        <v>0</v>
      </c>
      <c r="CY221" s="407">
        <v>0</v>
      </c>
      <c r="CZ221" s="407">
        <v>-49.904795359541936</v>
      </c>
      <c r="DA221" s="407">
        <v>0</v>
      </c>
      <c r="DB221" s="407">
        <v>0</v>
      </c>
      <c r="DC221" s="407">
        <v>34.998997611916366</v>
      </c>
      <c r="DD221" s="407">
        <v>0</v>
      </c>
      <c r="DE221" s="407">
        <v>0</v>
      </c>
      <c r="DF221" s="407">
        <v>0</v>
      </c>
      <c r="DG221" s="407">
        <v>8.2669380815382283</v>
      </c>
      <c r="DH221" s="407">
        <v>0</v>
      </c>
      <c r="DI221" s="407">
        <v>-12.100746523406883</v>
      </c>
      <c r="DJ221" s="407"/>
      <c r="DK221" s="407">
        <v>0</v>
      </c>
      <c r="DL221" s="407">
        <v>0</v>
      </c>
      <c r="DM221" s="407">
        <v>0</v>
      </c>
      <c r="DN221" s="407">
        <v>0</v>
      </c>
      <c r="DO221" s="407">
        <v>-1.568048604392132</v>
      </c>
      <c r="DP221" s="407">
        <v>-0.45943901569950185</v>
      </c>
      <c r="DQ221" s="407">
        <v>0</v>
      </c>
      <c r="DR221" s="407">
        <v>0</v>
      </c>
      <c r="DS221" s="407"/>
      <c r="DT221" s="407"/>
      <c r="DU221" s="407"/>
      <c r="DV221" s="407">
        <v>4334.0554080520251</v>
      </c>
      <c r="DW221" s="407">
        <v>0</v>
      </c>
      <c r="DX221" s="407">
        <v>0</v>
      </c>
      <c r="DY221" s="407">
        <v>-1337.0159999999996</v>
      </c>
      <c r="DZ221" s="407">
        <v>34.97400000000016</v>
      </c>
      <c r="EA221" s="407">
        <v>0</v>
      </c>
      <c r="EB221" s="407">
        <v>0</v>
      </c>
      <c r="EC221" s="407">
        <v>-1281.2151929625024</v>
      </c>
      <c r="ED221" s="407">
        <v>0</v>
      </c>
      <c r="EE221" s="407">
        <v>0</v>
      </c>
      <c r="EF221" s="407">
        <v>0</v>
      </c>
      <c r="EG221" s="407">
        <v>0</v>
      </c>
      <c r="EH221" s="407">
        <v>0</v>
      </c>
      <c r="EI221" s="407">
        <v>0</v>
      </c>
      <c r="EJ221" s="407">
        <v>0</v>
      </c>
      <c r="EK221" s="407">
        <v>0</v>
      </c>
      <c r="EL221" s="407">
        <v>0</v>
      </c>
      <c r="EM221" s="407">
        <v>0</v>
      </c>
      <c r="EN221" s="407">
        <v>0</v>
      </c>
      <c r="EO221" s="407">
        <v>0</v>
      </c>
      <c r="EP221" s="407">
        <v>0</v>
      </c>
      <c r="EQ221" s="407">
        <v>0</v>
      </c>
      <c r="ER221" s="407">
        <v>0</v>
      </c>
      <c r="ES221" s="407">
        <v>0</v>
      </c>
      <c r="ET221" s="407">
        <v>0</v>
      </c>
      <c r="EU221" s="407">
        <v>0</v>
      </c>
      <c r="EV221" s="407">
        <v>207</v>
      </c>
      <c r="EW221" s="407">
        <v>0</v>
      </c>
      <c r="EX221" s="407">
        <v>0</v>
      </c>
      <c r="EY221" s="407">
        <v>0</v>
      </c>
      <c r="EZ221" s="407"/>
      <c r="FA221" s="407">
        <v>0</v>
      </c>
      <c r="FB221" s="407"/>
      <c r="FC221" s="407"/>
      <c r="FD221" s="407"/>
      <c r="FE221" s="407"/>
      <c r="FF221" s="407">
        <v>0</v>
      </c>
      <c r="FG221" s="407">
        <v>0</v>
      </c>
      <c r="FH221" s="407">
        <v>0</v>
      </c>
      <c r="FI221" s="407">
        <v>0</v>
      </c>
    </row>
    <row r="222" spans="1:165">
      <c r="A222" s="407">
        <v>220</v>
      </c>
      <c r="B222" s="407" t="s">
        <v>1092</v>
      </c>
      <c r="C222" s="407" t="s">
        <v>2305</v>
      </c>
      <c r="D222" s="407" t="s">
        <v>1220</v>
      </c>
      <c r="E222" s="407" t="s">
        <v>1023</v>
      </c>
      <c r="F222" s="407" t="s">
        <v>1023</v>
      </c>
      <c r="G222" s="407" t="s">
        <v>96</v>
      </c>
      <c r="H222" s="407" t="s">
        <v>96</v>
      </c>
      <c r="I222" s="407" t="s">
        <v>96</v>
      </c>
      <c r="J222" s="407" t="s">
        <v>2306</v>
      </c>
      <c r="K222" s="815">
        <v>44682</v>
      </c>
      <c r="L222" s="407">
        <v>0</v>
      </c>
      <c r="M222" s="407">
        <v>0</v>
      </c>
      <c r="N222" s="407">
        <v>863.79399999999998</v>
      </c>
      <c r="O222" s="407">
        <v>863.79399999999998</v>
      </c>
      <c r="P222" s="407">
        <v>863.79399999999998</v>
      </c>
      <c r="Q222" s="407">
        <v>863.79399999999998</v>
      </c>
      <c r="R222" s="407"/>
      <c r="S222" s="407">
        <v>710.52</v>
      </c>
      <c r="T222" s="407">
        <v>127.85</v>
      </c>
      <c r="U222" s="407"/>
      <c r="V222" s="407">
        <v>724178.97577999998</v>
      </c>
      <c r="W222" s="407">
        <v>724178.97577999998</v>
      </c>
      <c r="X222" s="407">
        <v>594903.56573999999</v>
      </c>
      <c r="Y222" s="407">
        <v>0</v>
      </c>
      <c r="Z222" s="407">
        <v>52756.284756634275</v>
      </c>
      <c r="AA222" s="407">
        <v>0</v>
      </c>
      <c r="AB222" s="407">
        <v>0</v>
      </c>
      <c r="AC222" s="407">
        <v>0</v>
      </c>
      <c r="AD222" s="407">
        <v>94449.356216958156</v>
      </c>
      <c r="AE222" s="407">
        <v>430313.91461412539</v>
      </c>
      <c r="AF222" s="407">
        <v>110433.81375229913</v>
      </c>
      <c r="AG222" s="407">
        <v>0</v>
      </c>
      <c r="AH222" s="407">
        <v>0</v>
      </c>
      <c r="AI222" s="407">
        <v>0</v>
      </c>
      <c r="AJ222" s="407">
        <v>0</v>
      </c>
      <c r="AK222" s="407">
        <v>0</v>
      </c>
      <c r="AL222" s="407">
        <v>8158.7912367044682</v>
      </c>
      <c r="AM222" s="407"/>
      <c r="AN222" s="407">
        <v>1978.747587188677</v>
      </c>
      <c r="AO222" s="407">
        <v>0</v>
      </c>
      <c r="AP222" s="407">
        <v>0</v>
      </c>
      <c r="AQ222" s="407">
        <v>0</v>
      </c>
      <c r="AR222" s="407">
        <v>0</v>
      </c>
      <c r="AS222" s="407">
        <v>0</v>
      </c>
      <c r="AT222" s="407">
        <v>0</v>
      </c>
      <c r="AU222" s="407">
        <v>0</v>
      </c>
      <c r="AV222" s="407">
        <v>0</v>
      </c>
      <c r="AW222" s="407">
        <v>0</v>
      </c>
      <c r="AX222" s="407">
        <v>0</v>
      </c>
      <c r="AY222" s="407">
        <v>0</v>
      </c>
      <c r="AZ222" s="407">
        <v>0</v>
      </c>
      <c r="BA222" s="407"/>
      <c r="BB222" s="407">
        <v>0</v>
      </c>
      <c r="BC222" s="407">
        <v>0</v>
      </c>
      <c r="BD222" s="407">
        <v>0</v>
      </c>
      <c r="BE222" s="407">
        <v>0</v>
      </c>
      <c r="BF222" s="407">
        <v>0</v>
      </c>
      <c r="BG222" s="407">
        <v>26085.01850600294</v>
      </c>
      <c r="BH222" s="407">
        <v>0</v>
      </c>
      <c r="BI222" s="407">
        <v>3001.22</v>
      </c>
      <c r="BJ222" s="407">
        <v>13972.02</v>
      </c>
      <c r="BK222" s="407">
        <v>139908.23000000001</v>
      </c>
      <c r="BL222" s="407">
        <v>5564</v>
      </c>
      <c r="BM222" s="407"/>
      <c r="BN222" s="407"/>
      <c r="BO222" s="407"/>
      <c r="BP222" s="407"/>
      <c r="BQ222" s="407"/>
      <c r="BR222" s="407"/>
      <c r="BS222" s="407"/>
      <c r="BT222" s="407"/>
      <c r="BU222" s="407"/>
      <c r="BV222" s="407">
        <v>136518.83225830208</v>
      </c>
      <c r="BW222" s="407"/>
      <c r="BX222" s="407"/>
      <c r="BY222" s="407"/>
      <c r="BZ222" s="407"/>
      <c r="CA222" s="407"/>
      <c r="CB222" s="407"/>
      <c r="CC222" s="407"/>
      <c r="CD222" s="407"/>
      <c r="CE222" s="407"/>
      <c r="CF222" s="407"/>
      <c r="CG222" s="407"/>
      <c r="CH222" s="407"/>
      <c r="CI222" s="407">
        <v>594900.81090000004</v>
      </c>
      <c r="CJ222" s="407">
        <v>-129278.19487999997</v>
      </c>
      <c r="CK222" s="407"/>
      <c r="CL222" s="407"/>
      <c r="CM222" s="407"/>
      <c r="CN222" s="407"/>
      <c r="CO222" s="407">
        <v>-132747.86191999997</v>
      </c>
      <c r="CP222" s="407">
        <v>3472.4518800000087</v>
      </c>
      <c r="CQ222" s="407">
        <v>31</v>
      </c>
      <c r="CR222" s="407">
        <v>-2061.8955207076506</v>
      </c>
      <c r="CS222" s="407">
        <v>0</v>
      </c>
      <c r="CT222" s="407">
        <v>0</v>
      </c>
      <c r="CU222" s="407">
        <v>0</v>
      </c>
      <c r="CV222" s="407">
        <v>0</v>
      </c>
      <c r="CW222" s="407">
        <v>0</v>
      </c>
      <c r="CX222" s="407">
        <v>0</v>
      </c>
      <c r="CY222" s="407">
        <v>0</v>
      </c>
      <c r="CZ222" s="407">
        <v>-4954.8807819310605</v>
      </c>
      <c r="DA222" s="407">
        <v>0</v>
      </c>
      <c r="DB222" s="407">
        <v>0</v>
      </c>
      <c r="DC222" s="407">
        <v>3474.9338095618004</v>
      </c>
      <c r="DD222" s="407">
        <v>0</v>
      </c>
      <c r="DE222" s="407">
        <v>0</v>
      </c>
      <c r="DF222" s="407">
        <v>0</v>
      </c>
      <c r="DG222" s="407">
        <v>820.79672565565852</v>
      </c>
      <c r="DH222" s="407">
        <v>0</v>
      </c>
      <c r="DI222" s="407">
        <v>-1201.4427864873287</v>
      </c>
      <c r="DJ222" s="407"/>
      <c r="DK222" s="407">
        <v>0</v>
      </c>
      <c r="DL222" s="407">
        <v>0</v>
      </c>
      <c r="DM222" s="407">
        <v>0</v>
      </c>
      <c r="DN222" s="407">
        <v>0</v>
      </c>
      <c r="DO222" s="407">
        <v>-155.68631910141357</v>
      </c>
      <c r="DP222" s="407">
        <v>-45.616168405417739</v>
      </c>
      <c r="DQ222" s="407">
        <v>0</v>
      </c>
      <c r="DR222" s="407">
        <v>0</v>
      </c>
      <c r="DS222" s="407"/>
      <c r="DT222" s="407"/>
      <c r="DU222" s="407"/>
      <c r="DV222" s="407">
        <v>430313.91461412539</v>
      </c>
      <c r="DW222" s="407">
        <v>0</v>
      </c>
      <c r="DX222" s="407">
        <v>0</v>
      </c>
      <c r="DY222" s="407">
        <v>-132747.86191999994</v>
      </c>
      <c r="DZ222" s="407">
        <v>3472.4518800000078</v>
      </c>
      <c r="EA222" s="407">
        <v>0</v>
      </c>
      <c r="EB222" s="407">
        <v>0</v>
      </c>
      <c r="EC222" s="407">
        <v>-127207.58579193696</v>
      </c>
      <c r="ED222" s="407">
        <v>0</v>
      </c>
      <c r="EE222" s="407">
        <v>0</v>
      </c>
      <c r="EF222" s="407">
        <v>0</v>
      </c>
      <c r="EG222" s="407">
        <v>0</v>
      </c>
      <c r="EH222" s="407">
        <v>0</v>
      </c>
      <c r="EI222" s="407">
        <v>0</v>
      </c>
      <c r="EJ222" s="407">
        <v>0</v>
      </c>
      <c r="EK222" s="407">
        <v>0</v>
      </c>
      <c r="EL222" s="407">
        <v>0</v>
      </c>
      <c r="EM222" s="407">
        <v>0</v>
      </c>
      <c r="EN222" s="407">
        <v>0</v>
      </c>
      <c r="EO222" s="407">
        <v>0</v>
      </c>
      <c r="EP222" s="407">
        <v>0</v>
      </c>
      <c r="EQ222" s="407">
        <v>0</v>
      </c>
      <c r="ER222" s="407">
        <v>0</v>
      </c>
      <c r="ES222" s="407">
        <v>0</v>
      </c>
      <c r="ET222" s="407">
        <v>0</v>
      </c>
      <c r="EU222" s="407">
        <v>0</v>
      </c>
      <c r="EV222" s="407">
        <v>207</v>
      </c>
      <c r="EW222" s="407">
        <v>0</v>
      </c>
      <c r="EX222" s="407">
        <v>0</v>
      </c>
      <c r="EY222" s="407">
        <v>0</v>
      </c>
      <c r="EZ222" s="407"/>
      <c r="FA222" s="407">
        <v>0</v>
      </c>
      <c r="FB222" s="407"/>
      <c r="FC222" s="407"/>
      <c r="FD222" s="407"/>
      <c r="FE222" s="407"/>
      <c r="FF222" s="407">
        <v>0</v>
      </c>
      <c r="FG222" s="407">
        <v>0</v>
      </c>
      <c r="FH222" s="407">
        <v>0</v>
      </c>
      <c r="FI222" s="407">
        <v>0</v>
      </c>
    </row>
    <row r="223" spans="1:165">
      <c r="A223" s="407">
        <v>221</v>
      </c>
      <c r="B223" s="407" t="s">
        <v>2307</v>
      </c>
      <c r="C223" s="407" t="s">
        <v>2305</v>
      </c>
      <c r="D223" s="407" t="s">
        <v>1220</v>
      </c>
      <c r="E223" s="407" t="s">
        <v>1023</v>
      </c>
      <c r="F223" s="407" t="s">
        <v>1023</v>
      </c>
      <c r="G223" s="407" t="s">
        <v>96</v>
      </c>
      <c r="H223" s="407" t="s">
        <v>96</v>
      </c>
      <c r="I223" s="407" t="s">
        <v>96</v>
      </c>
      <c r="J223" s="407" t="s">
        <v>2306</v>
      </c>
      <c r="K223" s="815">
        <v>44682</v>
      </c>
      <c r="L223" s="407">
        <v>0</v>
      </c>
      <c r="M223" s="407">
        <v>0</v>
      </c>
      <c r="N223" s="407">
        <v>2.9000000000000001E-2</v>
      </c>
      <c r="O223" s="407">
        <v>2.9000000000000001E-2</v>
      </c>
      <c r="P223" s="407">
        <v>2.9000000000000001E-2</v>
      </c>
      <c r="Q223" s="407">
        <v>2.9000000000000001E-2</v>
      </c>
      <c r="R223" s="407"/>
      <c r="S223" s="407">
        <v>710.52</v>
      </c>
      <c r="T223" s="407">
        <v>127.85</v>
      </c>
      <c r="U223" s="407"/>
      <c r="V223" s="407">
        <v>24.312730000000002</v>
      </c>
      <c r="W223" s="407">
        <v>24.312730000000002</v>
      </c>
      <c r="X223" s="407">
        <v>19.97259</v>
      </c>
      <c r="Y223" s="407">
        <v>0</v>
      </c>
      <c r="Z223" s="407">
        <v>1.7711772227433789</v>
      </c>
      <c r="AA223" s="407">
        <v>0</v>
      </c>
      <c r="AB223" s="407">
        <v>0</v>
      </c>
      <c r="AC223" s="407">
        <v>0</v>
      </c>
      <c r="AD223" s="407">
        <v>3.1709311830040341</v>
      </c>
      <c r="AE223" s="407">
        <v>14.446851360173419</v>
      </c>
      <c r="AF223" s="407">
        <v>3.7075744897703329</v>
      </c>
      <c r="AG223" s="407">
        <v>0</v>
      </c>
      <c r="AH223" s="407">
        <v>0</v>
      </c>
      <c r="AI223" s="407">
        <v>0</v>
      </c>
      <c r="AJ223" s="407">
        <v>0</v>
      </c>
      <c r="AK223" s="407">
        <v>0</v>
      </c>
      <c r="AL223" s="407">
        <v>0.27391362508240341</v>
      </c>
      <c r="AM223" s="407"/>
      <c r="AN223" s="407">
        <v>6.6432135472660886E-2</v>
      </c>
      <c r="AO223" s="407">
        <v>0</v>
      </c>
      <c r="AP223" s="407">
        <v>0</v>
      </c>
      <c r="AQ223" s="407">
        <v>0</v>
      </c>
      <c r="AR223" s="407">
        <v>0</v>
      </c>
      <c r="AS223" s="407">
        <v>0</v>
      </c>
      <c r="AT223" s="407">
        <v>0</v>
      </c>
      <c r="AU223" s="407">
        <v>0</v>
      </c>
      <c r="AV223" s="407">
        <v>0</v>
      </c>
      <c r="AW223" s="407">
        <v>0</v>
      </c>
      <c r="AX223" s="407">
        <v>0</v>
      </c>
      <c r="AY223" s="407">
        <v>0</v>
      </c>
      <c r="AZ223" s="407">
        <v>0</v>
      </c>
      <c r="BA223" s="407"/>
      <c r="BB223" s="407">
        <v>0</v>
      </c>
      <c r="BC223" s="407">
        <v>0</v>
      </c>
      <c r="BD223" s="407">
        <v>0</v>
      </c>
      <c r="BE223" s="407">
        <v>0</v>
      </c>
      <c r="BF223" s="407">
        <v>0</v>
      </c>
      <c r="BG223" s="407">
        <v>0.87574761653135502</v>
      </c>
      <c r="BH223" s="407">
        <v>0</v>
      </c>
      <c r="BI223" s="407">
        <v>0.04</v>
      </c>
      <c r="BJ223" s="407">
        <v>0.22</v>
      </c>
      <c r="BK223" s="407">
        <v>3.91</v>
      </c>
      <c r="BL223" s="407">
        <v>0</v>
      </c>
      <c r="BM223" s="407"/>
      <c r="BN223" s="407"/>
      <c r="BO223" s="407"/>
      <c r="BP223" s="407"/>
      <c r="BQ223" s="407"/>
      <c r="BR223" s="407"/>
      <c r="BS223" s="407"/>
      <c r="BT223" s="407"/>
      <c r="BU223" s="407"/>
      <c r="BV223" s="407">
        <v>4.5833221063016882</v>
      </c>
      <c r="BW223" s="407"/>
      <c r="BX223" s="407"/>
      <c r="BY223" s="407"/>
      <c r="BZ223" s="407"/>
      <c r="CA223" s="407"/>
      <c r="CB223" s="407"/>
      <c r="CC223" s="407"/>
      <c r="CD223" s="407"/>
      <c r="CE223" s="407"/>
      <c r="CF223" s="407"/>
      <c r="CG223" s="407"/>
      <c r="CH223" s="407"/>
      <c r="CI223" s="407">
        <v>20.661300000000001</v>
      </c>
      <c r="CJ223" s="407">
        <v>-3.681430000000006</v>
      </c>
      <c r="CK223" s="407"/>
      <c r="CL223" s="407"/>
      <c r="CM223" s="407"/>
      <c r="CN223" s="407"/>
      <c r="CO223" s="407">
        <v>-4.4567199999999989</v>
      </c>
      <c r="CP223" s="407">
        <v>0.11658000000000031</v>
      </c>
      <c r="CQ223" s="407">
        <v>31</v>
      </c>
      <c r="CR223" s="407">
        <v>-6.9223646031954189E-2</v>
      </c>
      <c r="CS223" s="407">
        <v>0</v>
      </c>
      <c r="CT223" s="407">
        <v>0</v>
      </c>
      <c r="CU223" s="407">
        <v>0</v>
      </c>
      <c r="CV223" s="407">
        <v>0</v>
      </c>
      <c r="CW223" s="407">
        <v>0</v>
      </c>
      <c r="CX223" s="407">
        <v>0</v>
      </c>
      <c r="CY223" s="407">
        <v>0</v>
      </c>
      <c r="CZ223" s="407">
        <v>-0.16634931786513985</v>
      </c>
      <c r="DA223" s="407">
        <v>0</v>
      </c>
      <c r="DB223" s="407">
        <v>0</v>
      </c>
      <c r="DC223" s="407">
        <v>0.11666332537305468</v>
      </c>
      <c r="DD223" s="407">
        <v>0</v>
      </c>
      <c r="DE223" s="407">
        <v>0</v>
      </c>
      <c r="DF223" s="407">
        <v>0</v>
      </c>
      <c r="DG223" s="407">
        <v>2.7556460271794148E-2</v>
      </c>
      <c r="DH223" s="407">
        <v>0</v>
      </c>
      <c r="DI223" s="407">
        <v>-4.0335821744689859E-2</v>
      </c>
      <c r="DJ223" s="407"/>
      <c r="DK223" s="407">
        <v>0</v>
      </c>
      <c r="DL223" s="407">
        <v>0</v>
      </c>
      <c r="DM223" s="407">
        <v>0</v>
      </c>
      <c r="DN223" s="407">
        <v>0</v>
      </c>
      <c r="DO223" s="407">
        <v>-5.226828681307083E-3</v>
      </c>
      <c r="DP223" s="407">
        <v>-1.5314633856649967E-3</v>
      </c>
      <c r="DQ223" s="407">
        <v>0</v>
      </c>
      <c r="DR223" s="407">
        <v>0</v>
      </c>
      <c r="DS223" s="407"/>
      <c r="DT223" s="407"/>
      <c r="DU223" s="407"/>
      <c r="DV223" s="407">
        <v>14.446851360173419</v>
      </c>
      <c r="DW223" s="407">
        <v>0</v>
      </c>
      <c r="DX223" s="407">
        <v>0</v>
      </c>
      <c r="DY223" s="407">
        <v>-4.4567200000000007</v>
      </c>
      <c r="DZ223" s="407">
        <v>0.11658000000000035</v>
      </c>
      <c r="EA223" s="407">
        <v>0</v>
      </c>
      <c r="EB223" s="407">
        <v>0</v>
      </c>
      <c r="EC223" s="407">
        <v>-4.2707173098750086</v>
      </c>
      <c r="ED223" s="407">
        <v>0</v>
      </c>
      <c r="EE223" s="407">
        <v>0</v>
      </c>
      <c r="EF223" s="407">
        <v>0</v>
      </c>
      <c r="EG223" s="407">
        <v>0</v>
      </c>
      <c r="EH223" s="407">
        <v>0</v>
      </c>
      <c r="EI223" s="407">
        <v>0</v>
      </c>
      <c r="EJ223" s="407">
        <v>0</v>
      </c>
      <c r="EK223" s="407">
        <v>0</v>
      </c>
      <c r="EL223" s="407">
        <v>0</v>
      </c>
      <c r="EM223" s="407">
        <v>0</v>
      </c>
      <c r="EN223" s="407">
        <v>0</v>
      </c>
      <c r="EO223" s="407">
        <v>0</v>
      </c>
      <c r="EP223" s="407">
        <v>0</v>
      </c>
      <c r="EQ223" s="407">
        <v>0</v>
      </c>
      <c r="ER223" s="407">
        <v>0</v>
      </c>
      <c r="ES223" s="407">
        <v>0</v>
      </c>
      <c r="ET223" s="407">
        <v>0</v>
      </c>
      <c r="EU223" s="407">
        <v>0</v>
      </c>
      <c r="EV223" s="407">
        <v>207</v>
      </c>
      <c r="EW223" s="407">
        <v>0</v>
      </c>
      <c r="EX223" s="407">
        <v>0</v>
      </c>
      <c r="EY223" s="407">
        <v>0</v>
      </c>
      <c r="EZ223" s="407"/>
      <c r="FA223" s="407">
        <v>0</v>
      </c>
      <c r="FB223" s="407"/>
      <c r="FC223" s="407"/>
      <c r="FD223" s="407"/>
      <c r="FE223" s="407"/>
      <c r="FF223" s="407">
        <v>0</v>
      </c>
      <c r="FG223" s="407">
        <v>0</v>
      </c>
      <c r="FH223" s="407">
        <v>0</v>
      </c>
      <c r="FI223" s="407">
        <v>0</v>
      </c>
    </row>
    <row r="224" spans="1:165">
      <c r="A224" s="407">
        <v>222</v>
      </c>
      <c r="B224" s="407" t="s">
        <v>2308</v>
      </c>
      <c r="C224" s="407" t="s">
        <v>2305</v>
      </c>
      <c r="D224" s="407" t="s">
        <v>1220</v>
      </c>
      <c r="E224" s="407" t="s">
        <v>1023</v>
      </c>
      <c r="F224" s="407" t="s">
        <v>1023</v>
      </c>
      <c r="G224" s="407" t="s">
        <v>96</v>
      </c>
      <c r="H224" s="407" t="s">
        <v>96</v>
      </c>
      <c r="I224" s="407" t="s">
        <v>96</v>
      </c>
      <c r="J224" s="407" t="s">
        <v>2306</v>
      </c>
      <c r="K224" s="815">
        <v>44682</v>
      </c>
      <c r="L224" s="407">
        <v>0</v>
      </c>
      <c r="M224" s="407">
        <v>0</v>
      </c>
      <c r="N224" s="407">
        <v>2.11</v>
      </c>
      <c r="O224" s="407">
        <v>2.11</v>
      </c>
      <c r="P224" s="407">
        <v>2.11</v>
      </c>
      <c r="Q224" s="407">
        <v>2.11</v>
      </c>
      <c r="R224" s="407"/>
      <c r="S224" s="407">
        <v>710.52</v>
      </c>
      <c r="T224" s="407">
        <v>127.85</v>
      </c>
      <c r="U224" s="407"/>
      <c r="V224" s="407">
        <v>1768.9606999999999</v>
      </c>
      <c r="W224" s="407">
        <v>1768.9606999999999</v>
      </c>
      <c r="X224" s="407">
        <v>1453.1780999999999</v>
      </c>
      <c r="Y224" s="407">
        <v>0</v>
      </c>
      <c r="Z224" s="407">
        <v>128.86841172374238</v>
      </c>
      <c r="AA224" s="407">
        <v>0</v>
      </c>
      <c r="AB224" s="407">
        <v>0</v>
      </c>
      <c r="AC224" s="407">
        <v>0</v>
      </c>
      <c r="AD224" s="407">
        <v>230.71257917719004</v>
      </c>
      <c r="AE224" s="407">
        <v>1051.1329782746866</v>
      </c>
      <c r="AF224" s="407">
        <v>269.75800597984147</v>
      </c>
      <c r="AG224" s="407">
        <v>0</v>
      </c>
      <c r="AH224" s="407">
        <v>0</v>
      </c>
      <c r="AI224" s="407">
        <v>0</v>
      </c>
      <c r="AJ224" s="407">
        <v>0</v>
      </c>
      <c r="AK224" s="407">
        <v>0</v>
      </c>
      <c r="AL224" s="407">
        <v>19.929577549099005</v>
      </c>
      <c r="AM224" s="407"/>
      <c r="AN224" s="407">
        <v>4.8335105464591193</v>
      </c>
      <c r="AO224" s="407">
        <v>0</v>
      </c>
      <c r="AP224" s="407">
        <v>0</v>
      </c>
      <c r="AQ224" s="407">
        <v>0</v>
      </c>
      <c r="AR224" s="407">
        <v>0</v>
      </c>
      <c r="AS224" s="407">
        <v>0</v>
      </c>
      <c r="AT224" s="407">
        <v>0</v>
      </c>
      <c r="AU224" s="407">
        <v>0</v>
      </c>
      <c r="AV224" s="407">
        <v>0</v>
      </c>
      <c r="AW224" s="407">
        <v>0</v>
      </c>
      <c r="AX224" s="407">
        <v>0</v>
      </c>
      <c r="AY224" s="407">
        <v>0</v>
      </c>
      <c r="AZ224" s="407">
        <v>0</v>
      </c>
      <c r="BA224" s="407"/>
      <c r="BB224" s="407">
        <v>0</v>
      </c>
      <c r="BC224" s="407">
        <v>0</v>
      </c>
      <c r="BD224" s="407">
        <v>0</v>
      </c>
      <c r="BE224" s="407">
        <v>0</v>
      </c>
      <c r="BF224" s="407">
        <v>0</v>
      </c>
      <c r="BG224" s="407">
        <v>63.718188651074442</v>
      </c>
      <c r="BH224" s="407">
        <v>0</v>
      </c>
      <c r="BI224" s="407">
        <v>6.32</v>
      </c>
      <c r="BJ224" s="407">
        <v>29.37</v>
      </c>
      <c r="BK224" s="407">
        <v>914.94</v>
      </c>
      <c r="BL224" s="407">
        <v>20</v>
      </c>
      <c r="BM224" s="407"/>
      <c r="BN224" s="407"/>
      <c r="BO224" s="407"/>
      <c r="BP224" s="407"/>
      <c r="BQ224" s="407"/>
      <c r="BR224" s="407"/>
      <c r="BS224" s="407"/>
      <c r="BT224" s="407"/>
      <c r="BU224" s="407"/>
      <c r="BV224" s="407">
        <v>333.47619463091593</v>
      </c>
      <c r="BW224" s="407"/>
      <c r="BX224" s="407"/>
      <c r="BY224" s="407"/>
      <c r="BZ224" s="407"/>
      <c r="CA224" s="407"/>
      <c r="CB224" s="407"/>
      <c r="CC224" s="407"/>
      <c r="CD224" s="407"/>
      <c r="CE224" s="407"/>
      <c r="CF224" s="407"/>
      <c r="CG224" s="407"/>
      <c r="CH224" s="407"/>
      <c r="CI224" s="407">
        <v>1453.1780999999999</v>
      </c>
      <c r="CJ224" s="407">
        <v>-315.81259999999997</v>
      </c>
      <c r="CK224" s="407"/>
      <c r="CL224" s="407"/>
      <c r="CM224" s="407"/>
      <c r="CN224" s="407"/>
      <c r="CO224" s="407">
        <v>-324.26479999999987</v>
      </c>
      <c r="CP224" s="407">
        <v>8.4822000000000219</v>
      </c>
      <c r="CQ224" s="407">
        <v>31</v>
      </c>
      <c r="CR224" s="407">
        <v>-5.0366170043937473</v>
      </c>
      <c r="CS224" s="407">
        <v>0</v>
      </c>
      <c r="CT224" s="407">
        <v>0</v>
      </c>
      <c r="CU224" s="407">
        <v>0</v>
      </c>
      <c r="CV224" s="407">
        <v>0</v>
      </c>
      <c r="CW224" s="407">
        <v>0</v>
      </c>
      <c r="CX224" s="407">
        <v>0</v>
      </c>
      <c r="CY224" s="407">
        <v>0</v>
      </c>
      <c r="CZ224" s="407">
        <v>-12.103346920532573</v>
      </c>
      <c r="DA224" s="407">
        <v>0</v>
      </c>
      <c r="DB224" s="407">
        <v>0</v>
      </c>
      <c r="DC224" s="407">
        <v>8.4882626392118823</v>
      </c>
      <c r="DD224" s="407">
        <v>0</v>
      </c>
      <c r="DE224" s="407">
        <v>0</v>
      </c>
      <c r="DF224" s="407">
        <v>0</v>
      </c>
      <c r="DG224" s="407">
        <v>2.0049700404650252</v>
      </c>
      <c r="DH224" s="407">
        <v>0</v>
      </c>
      <c r="DI224" s="407">
        <v>-2.9347787545274286</v>
      </c>
      <c r="DJ224" s="407"/>
      <c r="DK224" s="407">
        <v>0</v>
      </c>
      <c r="DL224" s="407">
        <v>0</v>
      </c>
      <c r="DM224" s="407">
        <v>0</v>
      </c>
      <c r="DN224" s="407">
        <v>0</v>
      </c>
      <c r="DO224" s="407">
        <v>-0.38029684543303333</v>
      </c>
      <c r="DP224" s="407">
        <v>-0.11142716357769444</v>
      </c>
      <c r="DQ224" s="407">
        <v>0</v>
      </c>
      <c r="DR224" s="407">
        <v>0</v>
      </c>
      <c r="DS224" s="407"/>
      <c r="DT224" s="407"/>
      <c r="DU224" s="407"/>
      <c r="DV224" s="407">
        <v>1051.1329782746866</v>
      </c>
      <c r="DW224" s="407">
        <v>0</v>
      </c>
      <c r="DX224" s="407">
        <v>0</v>
      </c>
      <c r="DY224" s="407">
        <v>-324.26479999999992</v>
      </c>
      <c r="DZ224" s="407">
        <v>8.4822000000000344</v>
      </c>
      <c r="EA224" s="407">
        <v>0</v>
      </c>
      <c r="EB224" s="407">
        <v>0</v>
      </c>
      <c r="EC224" s="407">
        <v>-310.73150082194036</v>
      </c>
      <c r="ED224" s="407">
        <v>0</v>
      </c>
      <c r="EE224" s="407">
        <v>0</v>
      </c>
      <c r="EF224" s="407">
        <v>0</v>
      </c>
      <c r="EG224" s="407">
        <v>0</v>
      </c>
      <c r="EH224" s="407">
        <v>0</v>
      </c>
      <c r="EI224" s="407">
        <v>0</v>
      </c>
      <c r="EJ224" s="407">
        <v>0</v>
      </c>
      <c r="EK224" s="407">
        <v>0</v>
      </c>
      <c r="EL224" s="407">
        <v>0</v>
      </c>
      <c r="EM224" s="407">
        <v>0</v>
      </c>
      <c r="EN224" s="407">
        <v>0</v>
      </c>
      <c r="EO224" s="407">
        <v>0</v>
      </c>
      <c r="EP224" s="407">
        <v>0</v>
      </c>
      <c r="EQ224" s="407">
        <v>0</v>
      </c>
      <c r="ER224" s="407">
        <v>0</v>
      </c>
      <c r="ES224" s="407">
        <v>0</v>
      </c>
      <c r="ET224" s="407">
        <v>0</v>
      </c>
      <c r="EU224" s="407">
        <v>0</v>
      </c>
      <c r="EV224" s="407">
        <v>207</v>
      </c>
      <c r="EW224" s="407">
        <v>0</v>
      </c>
      <c r="EX224" s="407">
        <v>0</v>
      </c>
      <c r="EY224" s="407">
        <v>0</v>
      </c>
      <c r="EZ224" s="407"/>
      <c r="FA224" s="407">
        <v>0</v>
      </c>
      <c r="FB224" s="407"/>
      <c r="FC224" s="407"/>
      <c r="FD224" s="407"/>
      <c r="FE224" s="407"/>
      <c r="FF224" s="407">
        <v>0</v>
      </c>
      <c r="FG224" s="407">
        <v>0</v>
      </c>
      <c r="FH224" s="407">
        <v>0</v>
      </c>
      <c r="FI224" s="407">
        <v>0</v>
      </c>
    </row>
    <row r="225" spans="1:165">
      <c r="A225" s="407">
        <v>223</v>
      </c>
      <c r="B225" s="407" t="s">
        <v>1092</v>
      </c>
      <c r="C225" s="407" t="s">
        <v>2305</v>
      </c>
      <c r="D225" s="407" t="s">
        <v>1220</v>
      </c>
      <c r="E225" s="407" t="s">
        <v>1023</v>
      </c>
      <c r="F225" s="407" t="s">
        <v>2309</v>
      </c>
      <c r="G225" s="407" t="s">
        <v>96</v>
      </c>
      <c r="H225" s="407" t="s">
        <v>96</v>
      </c>
      <c r="I225" s="407" t="s">
        <v>96</v>
      </c>
      <c r="J225" s="407" t="s">
        <v>2306</v>
      </c>
      <c r="K225" s="815">
        <v>44682</v>
      </c>
      <c r="L225" s="407">
        <v>0</v>
      </c>
      <c r="M225" s="407">
        <v>0</v>
      </c>
      <c r="N225" s="407">
        <v>20.91</v>
      </c>
      <c r="O225" s="407">
        <v>20.91</v>
      </c>
      <c r="P225" s="407">
        <v>20.91</v>
      </c>
      <c r="Q225" s="407">
        <v>20.91</v>
      </c>
      <c r="R225" s="407"/>
      <c r="S225" s="407">
        <v>640</v>
      </c>
      <c r="T225" s="407">
        <v>127.85</v>
      </c>
      <c r="U225" s="407"/>
      <c r="V225" s="407">
        <v>16055.7435</v>
      </c>
      <c r="W225" s="407">
        <v>16055.7435</v>
      </c>
      <c r="X225" s="407">
        <v>12959.1816</v>
      </c>
      <c r="Y225" s="407">
        <v>0</v>
      </c>
      <c r="Z225" s="407">
        <v>0</v>
      </c>
      <c r="AA225" s="407">
        <v>0</v>
      </c>
      <c r="AB225" s="407">
        <v>0</v>
      </c>
      <c r="AC225" s="407">
        <v>0</v>
      </c>
      <c r="AD225" s="407">
        <v>2286.3507254004949</v>
      </c>
      <c r="AE225" s="407">
        <v>10416.677997973316</v>
      </c>
      <c r="AF225" s="407">
        <v>2673.2890545206092</v>
      </c>
      <c r="AG225" s="407">
        <v>0</v>
      </c>
      <c r="AH225" s="407">
        <v>0</v>
      </c>
      <c r="AI225" s="407">
        <v>0</v>
      </c>
      <c r="AJ225" s="407">
        <v>0</v>
      </c>
      <c r="AK225" s="407">
        <v>0</v>
      </c>
      <c r="AL225" s="407">
        <v>0</v>
      </c>
      <c r="AM225" s="407"/>
      <c r="AN225" s="407">
        <v>47.899860439080662</v>
      </c>
      <c r="AO225" s="407">
        <v>0</v>
      </c>
      <c r="AP225" s="407">
        <v>0</v>
      </c>
      <c r="AQ225" s="407">
        <v>0</v>
      </c>
      <c r="AR225" s="407">
        <v>0</v>
      </c>
      <c r="AS225" s="407">
        <v>0</v>
      </c>
      <c r="AT225" s="407">
        <v>0</v>
      </c>
      <c r="AU225" s="407">
        <v>0</v>
      </c>
      <c r="AV225" s="407">
        <v>0</v>
      </c>
      <c r="AW225" s="407">
        <v>0</v>
      </c>
      <c r="AX225" s="407">
        <v>0</v>
      </c>
      <c r="AY225" s="407">
        <v>0</v>
      </c>
      <c r="AZ225" s="407">
        <v>0</v>
      </c>
      <c r="BA225" s="407"/>
      <c r="BB225" s="407">
        <v>0</v>
      </c>
      <c r="BC225" s="407">
        <v>0</v>
      </c>
      <c r="BD225" s="407">
        <v>0</v>
      </c>
      <c r="BE225" s="407">
        <v>0</v>
      </c>
      <c r="BF225" s="407">
        <v>0</v>
      </c>
      <c r="BG225" s="407">
        <v>631.44422971278038</v>
      </c>
      <c r="BH225" s="407">
        <v>0</v>
      </c>
      <c r="BI225" s="407">
        <v>79.5</v>
      </c>
      <c r="BJ225" s="407">
        <v>367.05</v>
      </c>
      <c r="BK225" s="407">
        <v>2028.81</v>
      </c>
      <c r="BL225" s="407">
        <v>69</v>
      </c>
      <c r="BM225" s="407"/>
      <c r="BN225" s="407"/>
      <c r="BO225" s="407"/>
      <c r="BP225" s="407"/>
      <c r="BQ225" s="407"/>
      <c r="BR225" s="407"/>
      <c r="BS225" s="407"/>
      <c r="BT225" s="407">
        <v>8423.593499999999</v>
      </c>
      <c r="BU225" s="407"/>
      <c r="BV225" s="407">
        <v>3304.7332842333894</v>
      </c>
      <c r="BW225" s="407"/>
      <c r="BX225" s="407"/>
      <c r="BY225" s="407"/>
      <c r="BZ225" s="407"/>
      <c r="CA225" s="407"/>
      <c r="CB225" s="407"/>
      <c r="CC225" s="407"/>
      <c r="CD225" s="407"/>
      <c r="CE225" s="407"/>
      <c r="CF225" s="407"/>
      <c r="CG225" s="407"/>
      <c r="CH225" s="407"/>
      <c r="CI225" s="407">
        <v>4535.5880999999999</v>
      </c>
      <c r="CJ225" s="407">
        <v>-1084.0044000000007</v>
      </c>
      <c r="CK225" s="407"/>
      <c r="CL225" s="407"/>
      <c r="CM225" s="407"/>
      <c r="CN225" s="407"/>
      <c r="CO225" s="407">
        <v>-3180.6201000000001</v>
      </c>
      <c r="CP225" s="407">
        <v>84.058200000000213</v>
      </c>
      <c r="CQ225" s="407">
        <v>31</v>
      </c>
      <c r="CR225" s="407">
        <v>-17.060393728294912</v>
      </c>
      <c r="CS225" s="407">
        <v>0</v>
      </c>
      <c r="CT225" s="407">
        <v>0</v>
      </c>
      <c r="CU225" s="407">
        <v>0</v>
      </c>
      <c r="CV225" s="407">
        <v>0</v>
      </c>
      <c r="CW225" s="407">
        <v>0</v>
      </c>
      <c r="CX225" s="407">
        <v>0</v>
      </c>
      <c r="CY225" s="407">
        <v>0</v>
      </c>
      <c r="CZ225" s="407">
        <v>-119.94359436414061</v>
      </c>
      <c r="DA225" s="407">
        <v>0</v>
      </c>
      <c r="DB225" s="407">
        <v>0</v>
      </c>
      <c r="DC225" s="407">
        <v>84.118280467260774</v>
      </c>
      <c r="DD225" s="407">
        <v>0</v>
      </c>
      <c r="DE225" s="407">
        <v>0</v>
      </c>
      <c r="DF225" s="407">
        <v>0</v>
      </c>
      <c r="DG225" s="407">
        <v>19.86915807873163</v>
      </c>
      <c r="DH225" s="407">
        <v>0</v>
      </c>
      <c r="DI225" s="407">
        <v>0</v>
      </c>
      <c r="DJ225" s="407"/>
      <c r="DK225" s="407">
        <v>0</v>
      </c>
      <c r="DL225" s="407">
        <v>0</v>
      </c>
      <c r="DM225" s="407">
        <v>0</v>
      </c>
      <c r="DN225" s="407">
        <v>0</v>
      </c>
      <c r="DO225" s="407">
        <v>0</v>
      </c>
      <c r="DP225" s="407">
        <v>-1.104237910146729</v>
      </c>
      <c r="DQ225" s="407">
        <v>0</v>
      </c>
      <c r="DR225" s="407">
        <v>0</v>
      </c>
      <c r="DS225" s="407"/>
      <c r="DT225" s="407"/>
      <c r="DU225" s="407"/>
      <c r="DV225" s="407">
        <v>10416.677997973316</v>
      </c>
      <c r="DW225" s="407">
        <v>0</v>
      </c>
      <c r="DX225" s="407">
        <v>0</v>
      </c>
      <c r="DY225" s="407">
        <v>-3180.6201000000001</v>
      </c>
      <c r="DZ225" s="407">
        <v>84.058199999999943</v>
      </c>
      <c r="EA225" s="407">
        <v>0</v>
      </c>
      <c r="EB225" s="407">
        <v>0</v>
      </c>
      <c r="EC225" s="407">
        <v>-3079.3344465340151</v>
      </c>
      <c r="ED225" s="407">
        <v>0</v>
      </c>
      <c r="EE225" s="407">
        <v>0</v>
      </c>
      <c r="EF225" s="407">
        <v>0</v>
      </c>
      <c r="EG225" s="407">
        <v>0</v>
      </c>
      <c r="EH225" s="407">
        <v>0</v>
      </c>
      <c r="EI225" s="407">
        <v>0</v>
      </c>
      <c r="EJ225" s="407">
        <v>0</v>
      </c>
      <c r="EK225" s="407">
        <v>0</v>
      </c>
      <c r="EL225" s="407">
        <v>0</v>
      </c>
      <c r="EM225" s="407">
        <v>0</v>
      </c>
      <c r="EN225" s="407">
        <v>0</v>
      </c>
      <c r="EO225" s="407">
        <v>0</v>
      </c>
      <c r="EP225" s="407">
        <v>0</v>
      </c>
      <c r="EQ225" s="407">
        <v>0</v>
      </c>
      <c r="ER225" s="407">
        <v>0</v>
      </c>
      <c r="ES225" s="407">
        <v>0</v>
      </c>
      <c r="ET225" s="407">
        <v>0</v>
      </c>
      <c r="EU225" s="407">
        <v>0</v>
      </c>
      <c r="EV225" s="407">
        <v>207</v>
      </c>
      <c r="EW225" s="407">
        <v>0</v>
      </c>
      <c r="EX225" s="407">
        <v>0</v>
      </c>
      <c r="EY225" s="407">
        <v>0</v>
      </c>
      <c r="EZ225" s="407"/>
      <c r="FA225" s="407">
        <v>0</v>
      </c>
      <c r="FB225" s="407"/>
      <c r="FC225" s="407"/>
      <c r="FD225" s="407"/>
      <c r="FE225" s="407"/>
      <c r="FF225" s="407">
        <v>0</v>
      </c>
      <c r="FG225" s="407">
        <v>0</v>
      </c>
      <c r="FH225" s="407">
        <v>0</v>
      </c>
      <c r="FI225" s="407">
        <v>0</v>
      </c>
    </row>
    <row r="226" spans="1:165">
      <c r="A226" s="407">
        <v>224</v>
      </c>
      <c r="B226" s="407" t="s">
        <v>1092</v>
      </c>
      <c r="C226" s="407" t="s">
        <v>2305</v>
      </c>
      <c r="D226" s="407" t="s">
        <v>1220</v>
      </c>
      <c r="E226" s="407" t="s">
        <v>1023</v>
      </c>
      <c r="F226" s="407" t="s">
        <v>2310</v>
      </c>
      <c r="G226" s="407" t="s">
        <v>96</v>
      </c>
      <c r="H226" s="407" t="s">
        <v>96</v>
      </c>
      <c r="I226" s="407" t="s">
        <v>96</v>
      </c>
      <c r="J226" s="407" t="s">
        <v>2306</v>
      </c>
      <c r="K226" s="815">
        <v>44682</v>
      </c>
      <c r="L226" s="407">
        <v>0</v>
      </c>
      <c r="M226" s="407">
        <v>0</v>
      </c>
      <c r="N226" s="407">
        <v>38.4</v>
      </c>
      <c r="O226" s="407">
        <v>38.4</v>
      </c>
      <c r="P226" s="407">
        <v>38.4</v>
      </c>
      <c r="Q226" s="407">
        <v>38.4</v>
      </c>
      <c r="R226" s="407"/>
      <c r="S226" s="407">
        <v>640</v>
      </c>
      <c r="T226" s="407">
        <v>127.85</v>
      </c>
      <c r="U226" s="407"/>
      <c r="V226" s="407">
        <v>29485.439999999999</v>
      </c>
      <c r="W226" s="407">
        <v>29485.439999999999</v>
      </c>
      <c r="X226" s="407">
        <v>23798.784</v>
      </c>
      <c r="Y226" s="407">
        <v>0</v>
      </c>
      <c r="Z226" s="407">
        <v>0</v>
      </c>
      <c r="AA226" s="407">
        <v>0</v>
      </c>
      <c r="AB226" s="407">
        <v>0</v>
      </c>
      <c r="AC226" s="407">
        <v>0</v>
      </c>
      <c r="AD226" s="407">
        <v>4198.7502561156862</v>
      </c>
      <c r="AE226" s="407">
        <v>19129.623870022733</v>
      </c>
      <c r="AF226" s="407">
        <v>4909.3400140407166</v>
      </c>
      <c r="AG226" s="407">
        <v>0</v>
      </c>
      <c r="AH226" s="407">
        <v>0</v>
      </c>
      <c r="AI226" s="407">
        <v>0</v>
      </c>
      <c r="AJ226" s="407">
        <v>0</v>
      </c>
      <c r="AK226" s="407">
        <v>0</v>
      </c>
      <c r="AL226" s="407">
        <v>0</v>
      </c>
      <c r="AM226" s="407"/>
      <c r="AN226" s="407">
        <v>87.965310418971654</v>
      </c>
      <c r="AO226" s="407">
        <v>0</v>
      </c>
      <c r="AP226" s="407">
        <v>0</v>
      </c>
      <c r="AQ226" s="407">
        <v>0</v>
      </c>
      <c r="AR226" s="407">
        <v>0</v>
      </c>
      <c r="AS226" s="407">
        <v>0</v>
      </c>
      <c r="AT226" s="407">
        <v>0</v>
      </c>
      <c r="AU226" s="407">
        <v>0</v>
      </c>
      <c r="AV226" s="407">
        <v>0</v>
      </c>
      <c r="AW226" s="407">
        <v>0</v>
      </c>
      <c r="AX226" s="407">
        <v>0</v>
      </c>
      <c r="AY226" s="407">
        <v>0</v>
      </c>
      <c r="AZ226" s="407">
        <v>0</v>
      </c>
      <c r="BA226" s="407"/>
      <c r="BB226" s="407">
        <v>0</v>
      </c>
      <c r="BC226" s="407">
        <v>0</v>
      </c>
      <c r="BD226" s="407">
        <v>0</v>
      </c>
      <c r="BE226" s="407">
        <v>0</v>
      </c>
      <c r="BF226" s="407">
        <v>0</v>
      </c>
      <c r="BG226" s="407">
        <v>1159.6106370622078</v>
      </c>
      <c r="BH226" s="407">
        <v>0</v>
      </c>
      <c r="BI226" s="407">
        <v>143.82</v>
      </c>
      <c r="BJ226" s="407">
        <v>678.29</v>
      </c>
      <c r="BK226" s="407">
        <v>4722.67</v>
      </c>
      <c r="BL226" s="407">
        <v>175</v>
      </c>
      <c r="BM226" s="407"/>
      <c r="BN226" s="407"/>
      <c r="BO226" s="407"/>
      <c r="BP226" s="407"/>
      <c r="BQ226" s="407"/>
      <c r="BR226" s="407"/>
      <c r="BS226" s="407"/>
      <c r="BT226" s="407">
        <v>9519.3599999999988</v>
      </c>
      <c r="BU226" s="407"/>
      <c r="BV226" s="407">
        <v>6068.9506511029249</v>
      </c>
      <c r="BW226" s="407"/>
      <c r="BX226" s="407"/>
      <c r="BY226" s="407"/>
      <c r="BZ226" s="407"/>
      <c r="CA226" s="407"/>
      <c r="CB226" s="407"/>
      <c r="CC226" s="407"/>
      <c r="CD226" s="407"/>
      <c r="CE226" s="407"/>
      <c r="CF226" s="407"/>
      <c r="CG226" s="407"/>
      <c r="CH226" s="407"/>
      <c r="CI226" s="407">
        <v>14279.424000000001</v>
      </c>
      <c r="CJ226" s="407">
        <v>-3411.8699999999972</v>
      </c>
      <c r="CK226" s="407"/>
      <c r="CL226" s="407"/>
      <c r="CM226" s="407"/>
      <c r="CN226" s="407"/>
      <c r="CO226" s="407">
        <v>-5841.0240000000003</v>
      </c>
      <c r="CP226" s="407">
        <v>154.36800000000039</v>
      </c>
      <c r="CQ226" s="407">
        <v>31</v>
      </c>
      <c r="CR226" s="407">
        <v>-31.330421767888765</v>
      </c>
      <c r="CS226" s="407">
        <v>0</v>
      </c>
      <c r="CT226" s="407">
        <v>0</v>
      </c>
      <c r="CU226" s="407">
        <v>0</v>
      </c>
      <c r="CV226" s="407">
        <v>0</v>
      </c>
      <c r="CW226" s="407">
        <v>0</v>
      </c>
      <c r="CX226" s="407">
        <v>0</v>
      </c>
      <c r="CY226" s="407">
        <v>0</v>
      </c>
      <c r="CZ226" s="407">
        <v>-220.26944158694369</v>
      </c>
      <c r="DA226" s="407">
        <v>0</v>
      </c>
      <c r="DB226" s="407">
        <v>0</v>
      </c>
      <c r="DC226" s="407">
        <v>154.47833428707872</v>
      </c>
      <c r="DD226" s="407">
        <v>0</v>
      </c>
      <c r="DE226" s="407">
        <v>0</v>
      </c>
      <c r="DF226" s="407">
        <v>0</v>
      </c>
      <c r="DG226" s="407">
        <v>36.488554290927368</v>
      </c>
      <c r="DH226" s="407">
        <v>0</v>
      </c>
      <c r="DI226" s="407">
        <v>0</v>
      </c>
      <c r="DJ226" s="407"/>
      <c r="DK226" s="407">
        <v>0</v>
      </c>
      <c r="DL226" s="407">
        <v>0</v>
      </c>
      <c r="DM226" s="407">
        <v>0</v>
      </c>
      <c r="DN226" s="407">
        <v>0</v>
      </c>
      <c r="DO226" s="407">
        <v>0</v>
      </c>
      <c r="DP226" s="407">
        <v>-2.0278687589495235</v>
      </c>
      <c r="DQ226" s="407">
        <v>0</v>
      </c>
      <c r="DR226" s="407">
        <v>0</v>
      </c>
      <c r="DS226" s="407"/>
      <c r="DT226" s="407"/>
      <c r="DU226" s="407"/>
      <c r="DV226" s="407">
        <v>19129.623870022733</v>
      </c>
      <c r="DW226" s="407">
        <v>0</v>
      </c>
      <c r="DX226" s="407">
        <v>0</v>
      </c>
      <c r="DY226" s="407">
        <v>-5841.0240000000013</v>
      </c>
      <c r="DZ226" s="407">
        <v>154.36800000000039</v>
      </c>
      <c r="EA226" s="407">
        <v>0</v>
      </c>
      <c r="EB226" s="407">
        <v>0</v>
      </c>
      <c r="EC226" s="407">
        <v>-5655.0187827310474</v>
      </c>
      <c r="ED226" s="407">
        <v>0</v>
      </c>
      <c r="EE226" s="407">
        <v>0</v>
      </c>
      <c r="EF226" s="407">
        <v>0</v>
      </c>
      <c r="EG226" s="407">
        <v>0</v>
      </c>
      <c r="EH226" s="407">
        <v>0</v>
      </c>
      <c r="EI226" s="407">
        <v>0</v>
      </c>
      <c r="EJ226" s="407">
        <v>0</v>
      </c>
      <c r="EK226" s="407">
        <v>0</v>
      </c>
      <c r="EL226" s="407">
        <v>0</v>
      </c>
      <c r="EM226" s="407">
        <v>0</v>
      </c>
      <c r="EN226" s="407">
        <v>0</v>
      </c>
      <c r="EO226" s="407">
        <v>0</v>
      </c>
      <c r="EP226" s="407">
        <v>0</v>
      </c>
      <c r="EQ226" s="407">
        <v>0</v>
      </c>
      <c r="ER226" s="407">
        <v>0</v>
      </c>
      <c r="ES226" s="407">
        <v>0</v>
      </c>
      <c r="ET226" s="407">
        <v>0</v>
      </c>
      <c r="EU226" s="407">
        <v>0</v>
      </c>
      <c r="EV226" s="407">
        <v>207</v>
      </c>
      <c r="EW226" s="407">
        <v>0</v>
      </c>
      <c r="EX226" s="407">
        <v>0</v>
      </c>
      <c r="EY226" s="407">
        <v>0</v>
      </c>
      <c r="EZ226" s="407"/>
      <c r="FA226" s="407">
        <v>0</v>
      </c>
      <c r="FB226" s="407"/>
      <c r="FC226" s="407"/>
      <c r="FD226" s="407"/>
      <c r="FE226" s="407"/>
      <c r="FF226" s="407">
        <v>0</v>
      </c>
      <c r="FG226" s="407">
        <v>0</v>
      </c>
      <c r="FH226" s="407">
        <v>0</v>
      </c>
      <c r="FI226" s="407">
        <v>0</v>
      </c>
    </row>
    <row r="227" spans="1:165">
      <c r="A227" s="407">
        <v>225</v>
      </c>
      <c r="B227" s="407" t="s">
        <v>1092</v>
      </c>
      <c r="C227" s="407" t="s">
        <v>2305</v>
      </c>
      <c r="D227" s="407" t="s">
        <v>1220</v>
      </c>
      <c r="E227" s="407" t="s">
        <v>1023</v>
      </c>
      <c r="F227" s="407" t="s">
        <v>2311</v>
      </c>
      <c r="G227" s="407" t="s">
        <v>96</v>
      </c>
      <c r="H227" s="407" t="s">
        <v>96</v>
      </c>
      <c r="I227" s="407" t="s">
        <v>96</v>
      </c>
      <c r="J227" s="407" t="s">
        <v>2306</v>
      </c>
      <c r="K227" s="815">
        <v>44682</v>
      </c>
      <c r="L227" s="407">
        <v>0</v>
      </c>
      <c r="M227" s="407">
        <v>0</v>
      </c>
      <c r="N227" s="407">
        <v>32.121000000000002</v>
      </c>
      <c r="O227" s="407">
        <v>32.121000000000002</v>
      </c>
      <c r="P227" s="407">
        <v>32.121000000000002</v>
      </c>
      <c r="Q227" s="407">
        <v>32.121000000000002</v>
      </c>
      <c r="R227" s="407"/>
      <c r="S227" s="407">
        <v>640</v>
      </c>
      <c r="T227" s="407">
        <v>127.85</v>
      </c>
      <c r="U227" s="407"/>
      <c r="V227" s="407">
        <v>24664.109850000001</v>
      </c>
      <c r="W227" s="407">
        <v>24664.109850000001</v>
      </c>
      <c r="X227" s="407">
        <v>19907.310960000003</v>
      </c>
      <c r="Y227" s="407">
        <v>0</v>
      </c>
      <c r="Z227" s="407">
        <v>0</v>
      </c>
      <c r="AA227" s="407">
        <v>0</v>
      </c>
      <c r="AB227" s="407">
        <v>0</v>
      </c>
      <c r="AC227" s="407">
        <v>0</v>
      </c>
      <c r="AD227" s="407">
        <v>3512.1889837680201</v>
      </c>
      <c r="AE227" s="407">
        <v>16001.631466901048</v>
      </c>
      <c r="AF227" s="407">
        <v>4106.5862133073406</v>
      </c>
      <c r="AG227" s="407">
        <v>0</v>
      </c>
      <c r="AH227" s="407">
        <v>0</v>
      </c>
      <c r="AI227" s="407">
        <v>0</v>
      </c>
      <c r="AJ227" s="407">
        <v>0</v>
      </c>
      <c r="AK227" s="407">
        <v>0</v>
      </c>
      <c r="AL227" s="407">
        <v>0</v>
      </c>
      <c r="AM227" s="407"/>
      <c r="AN227" s="407">
        <v>73.581607707494499</v>
      </c>
      <c r="AO227" s="407">
        <v>0</v>
      </c>
      <c r="AP227" s="407">
        <v>0</v>
      </c>
      <c r="AQ227" s="407">
        <v>0</v>
      </c>
      <c r="AR227" s="407">
        <v>0</v>
      </c>
      <c r="AS227" s="407">
        <v>0</v>
      </c>
      <c r="AT227" s="407">
        <v>0</v>
      </c>
      <c r="AU227" s="407">
        <v>0</v>
      </c>
      <c r="AV227" s="407">
        <v>0</v>
      </c>
      <c r="AW227" s="407">
        <v>0</v>
      </c>
      <c r="AX227" s="407">
        <v>0</v>
      </c>
      <c r="AY227" s="407">
        <v>0</v>
      </c>
      <c r="AZ227" s="407">
        <v>0</v>
      </c>
      <c r="BA227" s="407"/>
      <c r="BB227" s="407">
        <v>0</v>
      </c>
      <c r="BC227" s="407">
        <v>0</v>
      </c>
      <c r="BD227" s="407">
        <v>0</v>
      </c>
      <c r="BE227" s="407">
        <v>0</v>
      </c>
      <c r="BF227" s="407">
        <v>0</v>
      </c>
      <c r="BG227" s="407">
        <v>969.99617898633289</v>
      </c>
      <c r="BH227" s="407">
        <v>0</v>
      </c>
      <c r="BI227" s="407">
        <v>122.31</v>
      </c>
      <c r="BJ227" s="407">
        <v>567.79999999999995</v>
      </c>
      <c r="BK227" s="407">
        <v>5596.43</v>
      </c>
      <c r="BL227" s="407">
        <v>333</v>
      </c>
      <c r="BM227" s="407"/>
      <c r="BN227" s="407"/>
      <c r="BO227" s="407"/>
      <c r="BP227" s="407"/>
      <c r="BQ227" s="407"/>
      <c r="BR227" s="407"/>
      <c r="BS227" s="407"/>
      <c r="BT227" s="407">
        <v>1990.8595799999989</v>
      </c>
      <c r="BU227" s="407"/>
      <c r="BV227" s="407">
        <v>5076.5823922936734</v>
      </c>
      <c r="BW227" s="407"/>
      <c r="BX227" s="407"/>
      <c r="BY227" s="407"/>
      <c r="BZ227" s="407"/>
      <c r="CA227" s="407"/>
      <c r="CB227" s="407"/>
      <c r="CC227" s="407"/>
      <c r="CD227" s="407"/>
      <c r="CE227" s="407"/>
      <c r="CF227" s="407"/>
      <c r="CG227" s="407"/>
      <c r="CH227" s="407"/>
      <c r="CI227" s="407">
        <v>17915.893599999999</v>
      </c>
      <c r="CJ227" s="407">
        <v>-4281.6746599999969</v>
      </c>
      <c r="CK227" s="407"/>
      <c r="CL227" s="407"/>
      <c r="CM227" s="407"/>
      <c r="CN227" s="407"/>
      <c r="CO227" s="407">
        <v>-4885.9253100000005</v>
      </c>
      <c r="CP227" s="407">
        <v>129.12642000000034</v>
      </c>
      <c r="CQ227" s="407">
        <v>31</v>
      </c>
      <c r="CR227" s="407">
        <v>-26.207408270996893</v>
      </c>
      <c r="CS227" s="407">
        <v>0</v>
      </c>
      <c r="CT227" s="407">
        <v>0</v>
      </c>
      <c r="CU227" s="407">
        <v>0</v>
      </c>
      <c r="CV227" s="407">
        <v>0</v>
      </c>
      <c r="CW227" s="407">
        <v>0</v>
      </c>
      <c r="CX227" s="407">
        <v>0</v>
      </c>
      <c r="CY227" s="407">
        <v>0</v>
      </c>
      <c r="CZ227" s="407">
        <v>-184.25194617745365</v>
      </c>
      <c r="DA227" s="407">
        <v>0</v>
      </c>
      <c r="DB227" s="407">
        <v>0</v>
      </c>
      <c r="DC227" s="407">
        <v>129.21871290716808</v>
      </c>
      <c r="DD227" s="407">
        <v>0</v>
      </c>
      <c r="DE227" s="407">
        <v>0</v>
      </c>
      <c r="DF227" s="407">
        <v>0</v>
      </c>
      <c r="DG227" s="407">
        <v>30.522105530699946</v>
      </c>
      <c r="DH227" s="407">
        <v>0</v>
      </c>
      <c r="DI227" s="407">
        <v>0</v>
      </c>
      <c r="DJ227" s="407"/>
      <c r="DK227" s="407">
        <v>0</v>
      </c>
      <c r="DL227" s="407">
        <v>0</v>
      </c>
      <c r="DM227" s="407">
        <v>0</v>
      </c>
      <c r="DN227" s="407">
        <v>0</v>
      </c>
      <c r="DO227" s="407">
        <v>0</v>
      </c>
      <c r="DP227" s="407">
        <v>-1.6962805314119151</v>
      </c>
      <c r="DQ227" s="407">
        <v>0</v>
      </c>
      <c r="DR227" s="407">
        <v>0</v>
      </c>
      <c r="DS227" s="407"/>
      <c r="DT227" s="407"/>
      <c r="DU227" s="407"/>
      <c r="DV227" s="407">
        <v>16001.631466901048</v>
      </c>
      <c r="DW227" s="407">
        <v>0</v>
      </c>
      <c r="DX227" s="407">
        <v>0</v>
      </c>
      <c r="DY227" s="407">
        <v>-4885.9253100000024</v>
      </c>
      <c r="DZ227" s="407">
        <v>129.12642000000051</v>
      </c>
      <c r="EA227" s="407">
        <v>0</v>
      </c>
      <c r="EB227" s="407">
        <v>0</v>
      </c>
      <c r="EC227" s="407">
        <v>-4730.33485208604</v>
      </c>
      <c r="ED227" s="407">
        <v>0</v>
      </c>
      <c r="EE227" s="407">
        <v>0</v>
      </c>
      <c r="EF227" s="407">
        <v>0</v>
      </c>
      <c r="EG227" s="407">
        <v>0</v>
      </c>
      <c r="EH227" s="407">
        <v>0</v>
      </c>
      <c r="EI227" s="407">
        <v>0</v>
      </c>
      <c r="EJ227" s="407">
        <v>0</v>
      </c>
      <c r="EK227" s="407">
        <v>0</v>
      </c>
      <c r="EL227" s="407">
        <v>0</v>
      </c>
      <c r="EM227" s="407">
        <v>0</v>
      </c>
      <c r="EN227" s="407">
        <v>0</v>
      </c>
      <c r="EO227" s="407">
        <v>0</v>
      </c>
      <c r="EP227" s="407">
        <v>0</v>
      </c>
      <c r="EQ227" s="407">
        <v>0</v>
      </c>
      <c r="ER227" s="407">
        <v>0</v>
      </c>
      <c r="ES227" s="407">
        <v>0</v>
      </c>
      <c r="ET227" s="407">
        <v>0</v>
      </c>
      <c r="EU227" s="407">
        <v>0</v>
      </c>
      <c r="EV227" s="407">
        <v>207</v>
      </c>
      <c r="EW227" s="407">
        <v>0</v>
      </c>
      <c r="EX227" s="407">
        <v>0</v>
      </c>
      <c r="EY227" s="407">
        <v>0</v>
      </c>
      <c r="EZ227" s="407"/>
      <c r="FA227" s="407">
        <v>0</v>
      </c>
      <c r="FB227" s="407"/>
      <c r="FC227" s="407"/>
      <c r="FD227" s="407"/>
      <c r="FE227" s="407"/>
      <c r="FF227" s="407">
        <v>0</v>
      </c>
      <c r="FG227" s="407">
        <v>0</v>
      </c>
      <c r="FH227" s="407">
        <v>0</v>
      </c>
      <c r="FI227" s="407">
        <v>0</v>
      </c>
    </row>
    <row r="228" spans="1:165">
      <c r="A228" s="407">
        <v>226</v>
      </c>
      <c r="B228" s="407" t="s">
        <v>1092</v>
      </c>
      <c r="C228" s="407" t="s">
        <v>2305</v>
      </c>
      <c r="D228" s="407" t="s">
        <v>1220</v>
      </c>
      <c r="E228" s="407" t="s">
        <v>1023</v>
      </c>
      <c r="F228" s="407" t="s">
        <v>2312</v>
      </c>
      <c r="G228" s="407" t="s">
        <v>96</v>
      </c>
      <c r="H228" s="407" t="s">
        <v>96</v>
      </c>
      <c r="I228" s="407" t="s">
        <v>96</v>
      </c>
      <c r="J228" s="407" t="s">
        <v>2306</v>
      </c>
      <c r="K228" s="815">
        <v>44682</v>
      </c>
      <c r="L228" s="407">
        <v>0</v>
      </c>
      <c r="M228" s="407">
        <v>0</v>
      </c>
      <c r="N228" s="407">
        <v>12.082000000000001</v>
      </c>
      <c r="O228" s="407">
        <v>12.082000000000001</v>
      </c>
      <c r="P228" s="407">
        <v>12.082000000000001</v>
      </c>
      <c r="Q228" s="407">
        <v>12.082000000000001</v>
      </c>
      <c r="R228" s="407"/>
      <c r="S228" s="407">
        <v>640</v>
      </c>
      <c r="T228" s="407">
        <v>127.85</v>
      </c>
      <c r="U228" s="407"/>
      <c r="V228" s="407">
        <v>9277.163700000001</v>
      </c>
      <c r="W228" s="407">
        <v>9277.163700000001</v>
      </c>
      <c r="X228" s="407">
        <v>7487.9403200000006</v>
      </c>
      <c r="Y228" s="407">
        <v>0</v>
      </c>
      <c r="Z228" s="407">
        <v>0</v>
      </c>
      <c r="AA228" s="407">
        <v>0</v>
      </c>
      <c r="AB228" s="407">
        <v>0</v>
      </c>
      <c r="AC228" s="407">
        <v>0</v>
      </c>
      <c r="AD228" s="407">
        <v>1321.0755363122323</v>
      </c>
      <c r="AE228" s="407">
        <v>6018.8571770212156</v>
      </c>
      <c r="AF228" s="407">
        <v>1544.6522408760402</v>
      </c>
      <c r="AG228" s="407">
        <v>0</v>
      </c>
      <c r="AH228" s="407">
        <v>0</v>
      </c>
      <c r="AI228" s="407">
        <v>0</v>
      </c>
      <c r="AJ228" s="407">
        <v>0</v>
      </c>
      <c r="AK228" s="407">
        <v>0</v>
      </c>
      <c r="AL228" s="407">
        <v>0</v>
      </c>
      <c r="AM228" s="407"/>
      <c r="AN228" s="407">
        <v>27.677002095885822</v>
      </c>
      <c r="AO228" s="407">
        <v>0</v>
      </c>
      <c r="AP228" s="407">
        <v>0</v>
      </c>
      <c r="AQ228" s="407">
        <v>0</v>
      </c>
      <c r="AR228" s="407">
        <v>0</v>
      </c>
      <c r="AS228" s="407">
        <v>0</v>
      </c>
      <c r="AT228" s="407">
        <v>0</v>
      </c>
      <c r="AU228" s="407">
        <v>0</v>
      </c>
      <c r="AV228" s="407">
        <v>0</v>
      </c>
      <c r="AW228" s="407">
        <v>0</v>
      </c>
      <c r="AX228" s="407">
        <v>0</v>
      </c>
      <c r="AY228" s="407">
        <v>0</v>
      </c>
      <c r="AZ228" s="407">
        <v>0</v>
      </c>
      <c r="BA228" s="407"/>
      <c r="BB228" s="407">
        <v>0</v>
      </c>
      <c r="BC228" s="407">
        <v>0</v>
      </c>
      <c r="BD228" s="407">
        <v>0</v>
      </c>
      <c r="BE228" s="407">
        <v>0</v>
      </c>
      <c r="BF228" s="407">
        <v>0</v>
      </c>
      <c r="BG228" s="407">
        <v>364.85457596316661</v>
      </c>
      <c r="BH228" s="407">
        <v>0</v>
      </c>
      <c r="BI228" s="407">
        <v>41.23</v>
      </c>
      <c r="BJ228" s="407">
        <v>189.84</v>
      </c>
      <c r="BK228" s="407">
        <v>2850.5</v>
      </c>
      <c r="BL228" s="407">
        <v>120</v>
      </c>
      <c r="BM228" s="407"/>
      <c r="BN228" s="407"/>
      <c r="BO228" s="407"/>
      <c r="BP228" s="407"/>
      <c r="BQ228" s="407"/>
      <c r="BR228" s="407"/>
      <c r="BS228" s="407"/>
      <c r="BT228" s="407"/>
      <c r="BU228" s="407"/>
      <c r="BV228" s="407">
        <v>1909.5068168392067</v>
      </c>
      <c r="BW228" s="407"/>
      <c r="BX228" s="407"/>
      <c r="BY228" s="407"/>
      <c r="BZ228" s="407"/>
      <c r="CA228" s="407"/>
      <c r="CB228" s="407"/>
      <c r="CC228" s="407"/>
      <c r="CD228" s="407"/>
      <c r="CE228" s="407"/>
      <c r="CF228" s="407"/>
      <c r="CG228" s="407"/>
      <c r="CH228" s="407"/>
      <c r="CI228" s="407">
        <v>7486.7007999999996</v>
      </c>
      <c r="CJ228" s="407">
        <v>-1790.492900000002</v>
      </c>
      <c r="CK228" s="407"/>
      <c r="CL228" s="407"/>
      <c r="CM228" s="407"/>
      <c r="CN228" s="407"/>
      <c r="CO228" s="407">
        <v>-1837.7930200000003</v>
      </c>
      <c r="CP228" s="407">
        <v>48.569640000000128</v>
      </c>
      <c r="CQ228" s="407">
        <v>31</v>
      </c>
      <c r="CR228" s="407">
        <v>-9.857660307281094</v>
      </c>
      <c r="CS228" s="407">
        <v>0</v>
      </c>
      <c r="CT228" s="407">
        <v>0</v>
      </c>
      <c r="CU228" s="407">
        <v>0</v>
      </c>
      <c r="CV228" s="407">
        <v>0</v>
      </c>
      <c r="CW228" s="407">
        <v>0</v>
      </c>
      <c r="CX228" s="407">
        <v>0</v>
      </c>
      <c r="CY228" s="407">
        <v>0</v>
      </c>
      <c r="CZ228" s="407">
        <v>-69.30456753264184</v>
      </c>
      <c r="DA228" s="407">
        <v>0</v>
      </c>
      <c r="DB228" s="407">
        <v>0</v>
      </c>
      <c r="DC228" s="407">
        <v>48.60435507438774</v>
      </c>
      <c r="DD228" s="407">
        <v>0</v>
      </c>
      <c r="DE228" s="407">
        <v>0</v>
      </c>
      <c r="DF228" s="407">
        <v>0</v>
      </c>
      <c r="DG228" s="407">
        <v>11.48059148289019</v>
      </c>
      <c r="DH228" s="407">
        <v>0</v>
      </c>
      <c r="DI228" s="407">
        <v>0</v>
      </c>
      <c r="DJ228" s="407"/>
      <c r="DK228" s="407">
        <v>0</v>
      </c>
      <c r="DL228" s="407">
        <v>0</v>
      </c>
      <c r="DM228" s="407">
        <v>0</v>
      </c>
      <c r="DN228" s="407">
        <v>0</v>
      </c>
      <c r="DO228" s="407">
        <v>0</v>
      </c>
      <c r="DP228" s="407">
        <v>-0.63803933191739759</v>
      </c>
      <c r="DQ228" s="407">
        <v>0</v>
      </c>
      <c r="DR228" s="407">
        <v>0</v>
      </c>
      <c r="DS228" s="407"/>
      <c r="DT228" s="407"/>
      <c r="DU228" s="407"/>
      <c r="DV228" s="407">
        <v>6018.8571770212156</v>
      </c>
      <c r="DW228" s="407">
        <v>0</v>
      </c>
      <c r="DX228" s="407">
        <v>0</v>
      </c>
      <c r="DY228" s="407">
        <v>-1837.7930200000001</v>
      </c>
      <c r="DZ228" s="407">
        <v>48.569640000000163</v>
      </c>
      <c r="EA228" s="407">
        <v>0</v>
      </c>
      <c r="EB228" s="407">
        <v>0</v>
      </c>
      <c r="EC228" s="407">
        <v>-1779.2691909624091</v>
      </c>
      <c r="ED228" s="407">
        <v>0</v>
      </c>
      <c r="EE228" s="407">
        <v>0</v>
      </c>
      <c r="EF228" s="407">
        <v>0</v>
      </c>
      <c r="EG228" s="407">
        <v>0</v>
      </c>
      <c r="EH228" s="407">
        <v>0</v>
      </c>
      <c r="EI228" s="407">
        <v>0</v>
      </c>
      <c r="EJ228" s="407">
        <v>0</v>
      </c>
      <c r="EK228" s="407">
        <v>0</v>
      </c>
      <c r="EL228" s="407">
        <v>0</v>
      </c>
      <c r="EM228" s="407">
        <v>0</v>
      </c>
      <c r="EN228" s="407">
        <v>0</v>
      </c>
      <c r="EO228" s="407">
        <v>0</v>
      </c>
      <c r="EP228" s="407">
        <v>0</v>
      </c>
      <c r="EQ228" s="407">
        <v>0</v>
      </c>
      <c r="ER228" s="407">
        <v>0</v>
      </c>
      <c r="ES228" s="407">
        <v>0</v>
      </c>
      <c r="ET228" s="407">
        <v>0</v>
      </c>
      <c r="EU228" s="407">
        <v>0</v>
      </c>
      <c r="EV228" s="407">
        <v>207</v>
      </c>
      <c r="EW228" s="407">
        <v>0</v>
      </c>
      <c r="EX228" s="407">
        <v>0</v>
      </c>
      <c r="EY228" s="407">
        <v>0</v>
      </c>
      <c r="EZ228" s="407"/>
      <c r="FA228" s="407">
        <v>0</v>
      </c>
      <c r="FB228" s="407"/>
      <c r="FC228" s="407"/>
      <c r="FD228" s="407"/>
      <c r="FE228" s="407"/>
      <c r="FF228" s="407">
        <v>0</v>
      </c>
      <c r="FG228" s="407">
        <v>0</v>
      </c>
      <c r="FH228" s="407">
        <v>0</v>
      </c>
      <c r="FI228" s="407">
        <v>0</v>
      </c>
    </row>
    <row r="229" spans="1:165">
      <c r="A229" s="407">
        <v>227</v>
      </c>
      <c r="B229" s="407" t="s">
        <v>2308</v>
      </c>
      <c r="C229" s="407" t="s">
        <v>2313</v>
      </c>
      <c r="D229" s="407" t="s">
        <v>1220</v>
      </c>
      <c r="E229" s="407" t="s">
        <v>1023</v>
      </c>
      <c r="F229" s="407" t="s">
        <v>1023</v>
      </c>
      <c r="G229" s="407" t="s">
        <v>96</v>
      </c>
      <c r="H229" s="407" t="s">
        <v>96</v>
      </c>
      <c r="I229" s="407" t="s">
        <v>96</v>
      </c>
      <c r="J229" s="407" t="s">
        <v>2306</v>
      </c>
      <c r="K229" s="815">
        <v>44682</v>
      </c>
      <c r="L229" s="407">
        <v>0</v>
      </c>
      <c r="M229" s="407">
        <v>0</v>
      </c>
      <c r="N229" s="407">
        <v>0</v>
      </c>
      <c r="O229" s="407">
        <v>0</v>
      </c>
      <c r="P229" s="407">
        <v>0</v>
      </c>
      <c r="Q229" s="407">
        <v>0</v>
      </c>
      <c r="R229" s="407"/>
      <c r="S229" s="407"/>
      <c r="T229" s="407"/>
      <c r="U229" s="407"/>
      <c r="V229" s="407"/>
      <c r="W229" s="407"/>
      <c r="X229" s="407"/>
      <c r="Y229" s="407"/>
      <c r="Z229" s="407"/>
      <c r="AA229" s="407">
        <v>0</v>
      </c>
      <c r="AB229" s="407"/>
      <c r="AC229" s="407"/>
      <c r="AD229" s="407"/>
      <c r="AE229" s="407"/>
      <c r="AF229" s="407"/>
      <c r="AG229" s="407"/>
      <c r="AH229" s="407"/>
      <c r="AI229" s="407"/>
      <c r="AJ229" s="407"/>
      <c r="AK229" s="407"/>
      <c r="AL229" s="407"/>
      <c r="AM229" s="407"/>
      <c r="AN229" s="407"/>
      <c r="AO229" s="407"/>
      <c r="AP229" s="407"/>
      <c r="AQ229" s="407"/>
      <c r="AR229" s="407"/>
      <c r="AS229" s="407"/>
      <c r="AT229" s="407"/>
      <c r="AU229" s="407"/>
      <c r="AV229" s="407"/>
      <c r="AW229" s="407"/>
      <c r="AX229" s="407"/>
      <c r="AY229" s="407"/>
      <c r="AZ229" s="407">
        <v>0</v>
      </c>
      <c r="BA229" s="407"/>
      <c r="BB229" s="407"/>
      <c r="BC229" s="407"/>
      <c r="BD229" s="407"/>
      <c r="BE229" s="407"/>
      <c r="BF229" s="407"/>
      <c r="BG229" s="407"/>
      <c r="BH229" s="407"/>
      <c r="BI229" s="407">
        <v>0</v>
      </c>
      <c r="BJ229" s="407">
        <v>0</v>
      </c>
      <c r="BK229" s="407">
        <v>20.71</v>
      </c>
      <c r="BL229" s="407">
        <v>1</v>
      </c>
      <c r="BM229" s="407"/>
      <c r="BN229" s="407"/>
      <c r="BO229" s="407"/>
      <c r="BP229" s="407"/>
      <c r="BQ229" s="407"/>
      <c r="BR229" s="407"/>
      <c r="BS229" s="407"/>
      <c r="BT229" s="407"/>
      <c r="BU229" s="407"/>
      <c r="BV229" s="407"/>
      <c r="BW229" s="407"/>
      <c r="BX229" s="407"/>
      <c r="BY229" s="407"/>
      <c r="BZ229" s="407"/>
      <c r="CA229" s="407"/>
      <c r="CB229" s="407"/>
      <c r="CC229" s="407"/>
      <c r="CD229" s="407"/>
      <c r="CE229" s="407"/>
      <c r="CF229" s="407"/>
      <c r="CG229" s="407"/>
      <c r="CH229" s="407"/>
      <c r="CI229" s="407"/>
      <c r="CJ229" s="407">
        <v>-0.03</v>
      </c>
      <c r="CK229" s="407"/>
      <c r="CL229" s="407"/>
      <c r="CM229" s="407"/>
      <c r="CN229" s="407"/>
      <c r="CO229" s="407">
        <v>0</v>
      </c>
      <c r="CP229" s="407">
        <v>0</v>
      </c>
      <c r="CQ229" s="407">
        <v>31</v>
      </c>
      <c r="CR229" s="407"/>
      <c r="CS229" s="407"/>
      <c r="CT229" s="407"/>
      <c r="CU229" s="407"/>
      <c r="CV229" s="407"/>
      <c r="CW229" s="407"/>
      <c r="CX229" s="407"/>
      <c r="CY229" s="407"/>
      <c r="CZ229" s="407"/>
      <c r="DA229" s="407"/>
      <c r="DB229" s="407"/>
      <c r="DC229" s="407"/>
      <c r="DD229" s="407"/>
      <c r="DE229" s="407"/>
      <c r="DF229" s="407"/>
      <c r="DG229" s="407"/>
      <c r="DH229" s="407"/>
      <c r="DI229" s="407"/>
      <c r="DJ229" s="407"/>
      <c r="DK229" s="407">
        <v>0</v>
      </c>
      <c r="DL229" s="407"/>
      <c r="DM229" s="407"/>
      <c r="DN229" s="407"/>
      <c r="DO229" s="407"/>
      <c r="DP229" s="407"/>
      <c r="DQ229" s="407"/>
      <c r="DR229" s="407"/>
      <c r="DS229" s="407"/>
      <c r="DT229" s="407"/>
      <c r="DU229" s="407"/>
      <c r="DV229" s="407"/>
      <c r="DW229" s="407"/>
      <c r="DX229" s="407"/>
      <c r="DY229" s="407"/>
      <c r="DZ229" s="407"/>
      <c r="EA229" s="407"/>
      <c r="EB229" s="407"/>
      <c r="EC229" s="407"/>
      <c r="ED229" s="407"/>
      <c r="EE229" s="407"/>
      <c r="EF229" s="407"/>
      <c r="EG229" s="407"/>
      <c r="EH229" s="407"/>
      <c r="EI229" s="407"/>
      <c r="EJ229" s="407"/>
      <c r="EK229" s="407"/>
      <c r="EL229" s="407"/>
      <c r="EM229" s="407"/>
      <c r="EN229" s="407"/>
      <c r="EO229" s="407"/>
      <c r="EP229" s="407"/>
      <c r="EQ229" s="407"/>
      <c r="ER229" s="407"/>
      <c r="ES229" s="407"/>
      <c r="ET229" s="407"/>
      <c r="EU229" s="407"/>
      <c r="EV229" s="407">
        <v>207</v>
      </c>
      <c r="EW229" s="407"/>
      <c r="EX229" s="407"/>
      <c r="EY229" s="407"/>
      <c r="EZ229" s="407"/>
      <c r="FA229" s="407">
        <v>0</v>
      </c>
      <c r="FB229" s="407"/>
      <c r="FC229" s="407"/>
      <c r="FD229" s="407"/>
      <c r="FE229" s="407"/>
      <c r="FF229" s="407">
        <v>0</v>
      </c>
      <c r="FG229" s="407">
        <v>0</v>
      </c>
      <c r="FH229" s="407">
        <v>0</v>
      </c>
      <c r="FI229" s="407">
        <v>0</v>
      </c>
    </row>
    <row r="230" spans="1:165">
      <c r="A230" s="407">
        <v>228</v>
      </c>
      <c r="B230" s="407" t="s">
        <v>1092</v>
      </c>
      <c r="C230" s="407" t="s">
        <v>2315</v>
      </c>
      <c r="D230" s="407" t="s">
        <v>648</v>
      </c>
      <c r="E230" s="407" t="s">
        <v>1024</v>
      </c>
      <c r="F230" s="407" t="s">
        <v>96</v>
      </c>
      <c r="G230" s="407" t="s">
        <v>96</v>
      </c>
      <c r="H230" s="407" t="s">
        <v>96</v>
      </c>
      <c r="I230" s="407" t="s">
        <v>1027</v>
      </c>
      <c r="J230" s="407" t="s">
        <v>2306</v>
      </c>
      <c r="K230" s="815">
        <v>44682</v>
      </c>
      <c r="L230" s="407">
        <v>0</v>
      </c>
      <c r="M230" s="407">
        <v>0</v>
      </c>
      <c r="N230" s="407">
        <v>1.4730000000000001</v>
      </c>
      <c r="O230" s="407">
        <v>1.4730000000000001</v>
      </c>
      <c r="P230" s="407">
        <v>1.4730000000000001</v>
      </c>
      <c r="Q230" s="407">
        <v>1.4730000000000001</v>
      </c>
      <c r="R230" s="407"/>
      <c r="S230" s="407">
        <v>2075.9499999999998</v>
      </c>
      <c r="T230" s="407">
        <v>127.85</v>
      </c>
      <c r="U230" s="407"/>
      <c r="V230" s="407">
        <v>3246.1974</v>
      </c>
      <c r="W230" s="407">
        <v>3246.1974</v>
      </c>
      <c r="X230" s="407">
        <v>2601.92193</v>
      </c>
      <c r="Y230" s="407">
        <v>0</v>
      </c>
      <c r="Z230" s="407">
        <v>78.268321473029971</v>
      </c>
      <c r="AA230" s="407">
        <v>0</v>
      </c>
      <c r="AB230" s="407">
        <v>0</v>
      </c>
      <c r="AC230" s="407">
        <v>0</v>
      </c>
      <c r="AD230" s="407">
        <v>928.00313537866464</v>
      </c>
      <c r="AE230" s="407">
        <v>2028.5622113245197</v>
      </c>
      <c r="AF230" s="407">
        <v>188.31921460109314</v>
      </c>
      <c r="AG230" s="407">
        <v>0</v>
      </c>
      <c r="AH230" s="407">
        <v>0</v>
      </c>
      <c r="AI230" s="407">
        <v>0</v>
      </c>
      <c r="AJ230" s="407">
        <v>0</v>
      </c>
      <c r="AK230" s="407">
        <v>0</v>
      </c>
      <c r="AL230" s="407">
        <v>13.912923094702768</v>
      </c>
      <c r="AM230" s="407"/>
      <c r="AN230" s="407">
        <v>1.4794872571289124</v>
      </c>
      <c r="AO230" s="407">
        <v>0</v>
      </c>
      <c r="AP230" s="407">
        <v>0</v>
      </c>
      <c r="AQ230" s="407">
        <v>0</v>
      </c>
      <c r="AR230" s="407">
        <v>0</v>
      </c>
      <c r="AS230" s="407">
        <v>0</v>
      </c>
      <c r="AT230" s="407">
        <v>0</v>
      </c>
      <c r="AU230" s="407">
        <v>0</v>
      </c>
      <c r="AV230" s="407">
        <v>0</v>
      </c>
      <c r="AW230" s="407">
        <v>0</v>
      </c>
      <c r="AX230" s="407">
        <v>0</v>
      </c>
      <c r="AY230" s="407">
        <v>0</v>
      </c>
      <c r="AZ230" s="407">
        <v>0</v>
      </c>
      <c r="BA230" s="407"/>
      <c r="BB230" s="407">
        <v>0</v>
      </c>
      <c r="BC230" s="407">
        <v>0</v>
      </c>
      <c r="BD230" s="407">
        <v>0</v>
      </c>
      <c r="BE230" s="407">
        <v>0</v>
      </c>
      <c r="BF230" s="407">
        <v>0</v>
      </c>
      <c r="BG230" s="407">
        <v>7.6472009869992128</v>
      </c>
      <c r="BH230" s="407">
        <v>0</v>
      </c>
      <c r="BI230" s="407">
        <v>0</v>
      </c>
      <c r="BJ230" s="407">
        <v>0</v>
      </c>
      <c r="BK230" s="407">
        <v>0</v>
      </c>
      <c r="BL230" s="407">
        <v>0</v>
      </c>
      <c r="BM230" s="407"/>
      <c r="BN230" s="407"/>
      <c r="BO230" s="407"/>
      <c r="BP230" s="407"/>
      <c r="BQ230" s="407"/>
      <c r="BR230" s="407"/>
      <c r="BS230" s="407"/>
      <c r="BT230" s="407"/>
      <c r="BU230" s="407"/>
      <c r="BV230" s="407">
        <v>195.96641558809236</v>
      </c>
      <c r="BW230" s="407"/>
      <c r="BX230" s="407"/>
      <c r="BY230" s="407"/>
      <c r="BZ230" s="407"/>
      <c r="CA230" s="407"/>
      <c r="CB230" s="407"/>
      <c r="CC230" s="407"/>
      <c r="CD230" s="407"/>
      <c r="CE230" s="407"/>
      <c r="CF230" s="407"/>
      <c r="CG230" s="407"/>
      <c r="CH230" s="407"/>
      <c r="CI230" s="407">
        <v>2596.6226999999999</v>
      </c>
      <c r="CJ230" s="407">
        <v>-649.60470000000078</v>
      </c>
      <c r="CK230" s="407"/>
      <c r="CL230" s="407"/>
      <c r="CM230" s="407"/>
      <c r="CN230" s="407"/>
      <c r="CO230" s="407">
        <v>-650.19692999999984</v>
      </c>
      <c r="CP230" s="407">
        <v>5.9214600000000157</v>
      </c>
      <c r="CQ230" s="407">
        <v>31</v>
      </c>
      <c r="CR230" s="407">
        <v>-44.59942093990071</v>
      </c>
      <c r="CS230" s="407">
        <v>0</v>
      </c>
      <c r="CT230" s="407">
        <v>0</v>
      </c>
      <c r="CU230" s="407">
        <v>0</v>
      </c>
      <c r="CV230" s="407">
        <v>0</v>
      </c>
      <c r="CW230" s="407">
        <v>0</v>
      </c>
      <c r="CX230" s="407">
        <v>0</v>
      </c>
      <c r="CY230" s="407">
        <v>0</v>
      </c>
      <c r="CZ230" s="407">
        <v>-48.683708235102131</v>
      </c>
      <c r="DA230" s="407">
        <v>0</v>
      </c>
      <c r="DB230" s="407">
        <v>0</v>
      </c>
      <c r="DC230" s="407">
        <v>5.9256923542934032</v>
      </c>
      <c r="DD230" s="407">
        <v>0</v>
      </c>
      <c r="DE230" s="407">
        <v>0</v>
      </c>
      <c r="DF230" s="407">
        <v>0</v>
      </c>
      <c r="DG230" s="407">
        <v>0.2406284484373673</v>
      </c>
      <c r="DH230" s="407">
        <v>0</v>
      </c>
      <c r="DI230" s="407">
        <v>-1.7824399628979961</v>
      </c>
      <c r="DJ230" s="407"/>
      <c r="DK230" s="407">
        <v>0</v>
      </c>
      <c r="DL230" s="407">
        <v>0</v>
      </c>
      <c r="DM230" s="407">
        <v>0</v>
      </c>
      <c r="DN230" s="407">
        <v>0</v>
      </c>
      <c r="DO230" s="407">
        <v>-0.2654868499160461</v>
      </c>
      <c r="DP230" s="407">
        <v>-3.4106694715291486E-2</v>
      </c>
      <c r="DQ230" s="407">
        <v>0</v>
      </c>
      <c r="DR230" s="407">
        <v>0</v>
      </c>
      <c r="DS230" s="407"/>
      <c r="DT230" s="407"/>
      <c r="DU230" s="407"/>
      <c r="DV230" s="407">
        <v>2028.5622113245197</v>
      </c>
      <c r="DW230" s="407">
        <v>0</v>
      </c>
      <c r="DX230" s="407">
        <v>0</v>
      </c>
      <c r="DY230" s="407">
        <v>-650.19693000000007</v>
      </c>
      <c r="DZ230" s="407">
        <v>5.9214600000000246</v>
      </c>
      <c r="EA230" s="407">
        <v>0</v>
      </c>
      <c r="EB230" s="407">
        <v>0</v>
      </c>
      <c r="EC230" s="407">
        <v>-599.67501112006448</v>
      </c>
      <c r="ED230" s="407">
        <v>0</v>
      </c>
      <c r="EE230" s="407">
        <v>0</v>
      </c>
      <c r="EF230" s="407">
        <v>0</v>
      </c>
      <c r="EG230" s="407">
        <v>0</v>
      </c>
      <c r="EH230" s="407">
        <v>0</v>
      </c>
      <c r="EI230" s="407">
        <v>0</v>
      </c>
      <c r="EJ230" s="407">
        <v>0</v>
      </c>
      <c r="EK230" s="407">
        <v>0</v>
      </c>
      <c r="EL230" s="407">
        <v>0</v>
      </c>
      <c r="EM230" s="407">
        <v>0</v>
      </c>
      <c r="EN230" s="407">
        <v>0</v>
      </c>
      <c r="EO230" s="407">
        <v>0</v>
      </c>
      <c r="EP230" s="407">
        <v>0</v>
      </c>
      <c r="EQ230" s="407">
        <v>0</v>
      </c>
      <c r="ER230" s="407">
        <v>0</v>
      </c>
      <c r="ES230" s="407">
        <v>0</v>
      </c>
      <c r="ET230" s="407">
        <v>0</v>
      </c>
      <c r="EU230" s="407">
        <v>0</v>
      </c>
      <c r="EV230" s="407">
        <v>207</v>
      </c>
      <c r="EW230" s="407">
        <v>0</v>
      </c>
      <c r="EX230" s="407">
        <v>0</v>
      </c>
      <c r="EY230" s="407">
        <v>0</v>
      </c>
      <c r="EZ230" s="407"/>
      <c r="FA230" s="407">
        <v>0</v>
      </c>
      <c r="FB230" s="407"/>
      <c r="FC230" s="407"/>
      <c r="FD230" s="407"/>
      <c r="FE230" s="407"/>
      <c r="FF230" s="407">
        <v>0</v>
      </c>
      <c r="FG230" s="407">
        <v>0</v>
      </c>
      <c r="FH230" s="407">
        <v>0</v>
      </c>
      <c r="FI230" s="407">
        <v>0</v>
      </c>
    </row>
    <row r="231" spans="1:165">
      <c r="A231" s="407">
        <v>229</v>
      </c>
      <c r="B231" s="407" t="s">
        <v>1092</v>
      </c>
      <c r="C231" s="407" t="s">
        <v>2315</v>
      </c>
      <c r="D231" s="407" t="s">
        <v>648</v>
      </c>
      <c r="E231" s="407" t="s">
        <v>1024</v>
      </c>
      <c r="F231" s="407" t="s">
        <v>96</v>
      </c>
      <c r="G231" s="407" t="s">
        <v>96</v>
      </c>
      <c r="H231" s="407" t="s">
        <v>96</v>
      </c>
      <c r="I231" s="407" t="s">
        <v>2290</v>
      </c>
      <c r="J231" s="407" t="s">
        <v>2306</v>
      </c>
      <c r="K231" s="815">
        <v>44682</v>
      </c>
      <c r="L231" s="407">
        <v>0</v>
      </c>
      <c r="M231" s="407">
        <v>0</v>
      </c>
      <c r="N231" s="407">
        <v>91</v>
      </c>
      <c r="O231" s="407">
        <v>91</v>
      </c>
      <c r="P231" s="407">
        <v>91</v>
      </c>
      <c r="Q231" s="407">
        <v>91</v>
      </c>
      <c r="R231" s="407"/>
      <c r="S231" s="407">
        <v>68.78</v>
      </c>
      <c r="T231" s="407">
        <v>127.85</v>
      </c>
      <c r="U231" s="407"/>
      <c r="V231" s="407">
        <v>17893.330000000002</v>
      </c>
      <c r="W231" s="407">
        <v>17893.330000000002</v>
      </c>
      <c r="X231" s="407">
        <v>18145.400000000001</v>
      </c>
      <c r="Y231" s="407">
        <v>0</v>
      </c>
      <c r="Z231" s="407">
        <v>4835.3138180894275</v>
      </c>
      <c r="AA231" s="407">
        <v>0</v>
      </c>
      <c r="AB231" s="407">
        <v>0</v>
      </c>
      <c r="AC231" s="407">
        <v>0</v>
      </c>
      <c r="AD231" s="407">
        <v>0</v>
      </c>
      <c r="AE231" s="407">
        <v>0</v>
      </c>
      <c r="AF231" s="407">
        <v>11634.113054106907</v>
      </c>
      <c r="AG231" s="407">
        <v>0</v>
      </c>
      <c r="AH231" s="407">
        <v>0</v>
      </c>
      <c r="AI231" s="407">
        <v>0</v>
      </c>
      <c r="AJ231" s="407">
        <v>0</v>
      </c>
      <c r="AK231" s="407">
        <v>0</v>
      </c>
      <c r="AL231" s="407">
        <v>859.52206491374864</v>
      </c>
      <c r="AM231" s="407"/>
      <c r="AN231" s="407">
        <v>91.400774201446723</v>
      </c>
      <c r="AO231" s="407">
        <v>0</v>
      </c>
      <c r="AP231" s="407">
        <v>0</v>
      </c>
      <c r="AQ231" s="407">
        <v>0</v>
      </c>
      <c r="AR231" s="407">
        <v>0</v>
      </c>
      <c r="AS231" s="407">
        <v>0</v>
      </c>
      <c r="AT231" s="407">
        <v>0</v>
      </c>
      <c r="AU231" s="407">
        <v>0</v>
      </c>
      <c r="AV231" s="407">
        <v>0</v>
      </c>
      <c r="AW231" s="407">
        <v>0</v>
      </c>
      <c r="AX231" s="407">
        <v>0</v>
      </c>
      <c r="AY231" s="407">
        <v>0</v>
      </c>
      <c r="AZ231" s="407">
        <v>0</v>
      </c>
      <c r="BA231" s="407"/>
      <c r="BB231" s="407">
        <v>0</v>
      </c>
      <c r="BC231" s="407">
        <v>0</v>
      </c>
      <c r="BD231" s="407">
        <v>0</v>
      </c>
      <c r="BE231" s="407">
        <v>0</v>
      </c>
      <c r="BF231" s="407">
        <v>0</v>
      </c>
      <c r="BG231" s="407">
        <v>472.4340053068081</v>
      </c>
      <c r="BH231" s="407">
        <v>0</v>
      </c>
      <c r="BI231" s="407">
        <v>0</v>
      </c>
      <c r="BJ231" s="407">
        <v>0</v>
      </c>
      <c r="BK231" s="407">
        <v>0</v>
      </c>
      <c r="BL231" s="407">
        <v>0</v>
      </c>
      <c r="BM231" s="407"/>
      <c r="BN231" s="407"/>
      <c r="BO231" s="407"/>
      <c r="BP231" s="407"/>
      <c r="BQ231" s="407"/>
      <c r="BR231" s="407"/>
      <c r="BS231" s="407"/>
      <c r="BT231" s="407"/>
      <c r="BU231" s="407"/>
      <c r="BV231" s="407">
        <v>12106.547059413715</v>
      </c>
      <c r="BW231" s="407"/>
      <c r="BX231" s="407"/>
      <c r="BY231" s="407"/>
      <c r="BZ231" s="407"/>
      <c r="CA231" s="407"/>
      <c r="CB231" s="407"/>
      <c r="CC231" s="407"/>
      <c r="CD231" s="407"/>
      <c r="CE231" s="407"/>
      <c r="CF231" s="407"/>
      <c r="CG231" s="407"/>
      <c r="CH231" s="407"/>
      <c r="CI231" s="407">
        <v>18145.400000000001</v>
      </c>
      <c r="CJ231" s="407">
        <v>252.04000000000087</v>
      </c>
      <c r="CK231" s="407"/>
      <c r="CL231" s="407"/>
      <c r="CM231" s="407"/>
      <c r="CN231" s="407"/>
      <c r="CO231" s="407">
        <v>-113.75</v>
      </c>
      <c r="CP231" s="407">
        <v>365.82000000000096</v>
      </c>
      <c r="CQ231" s="407">
        <v>31</v>
      </c>
      <c r="CR231" s="407">
        <v>252.32188992758529</v>
      </c>
      <c r="CS231" s="407">
        <v>0</v>
      </c>
      <c r="CT231" s="407">
        <v>0</v>
      </c>
      <c r="CU231" s="407">
        <v>0</v>
      </c>
      <c r="CV231" s="407">
        <v>0</v>
      </c>
      <c r="CW231" s="407">
        <v>0</v>
      </c>
      <c r="CX231" s="407">
        <v>0</v>
      </c>
      <c r="CY231" s="407">
        <v>0</v>
      </c>
      <c r="CZ231" s="407">
        <v>0</v>
      </c>
      <c r="DA231" s="407">
        <v>0</v>
      </c>
      <c r="DB231" s="407">
        <v>0</v>
      </c>
      <c r="DC231" s="407">
        <v>366.08146927406779</v>
      </c>
      <c r="DD231" s="407">
        <v>0</v>
      </c>
      <c r="DE231" s="407">
        <v>0</v>
      </c>
      <c r="DF231" s="407">
        <v>0</v>
      </c>
      <c r="DG231" s="407">
        <v>14.865708627155755</v>
      </c>
      <c r="DH231" s="407">
        <v>0</v>
      </c>
      <c r="DI231" s="407">
        <v>-110.11679336301313</v>
      </c>
      <c r="DJ231" s="407"/>
      <c r="DK231" s="407">
        <v>0</v>
      </c>
      <c r="DL231" s="407">
        <v>0</v>
      </c>
      <c r="DM231" s="407">
        <v>0</v>
      </c>
      <c r="DN231" s="407">
        <v>0</v>
      </c>
      <c r="DO231" s="407">
        <v>-16.401427930998125</v>
      </c>
      <c r="DP231" s="407">
        <v>-2.1070666796276498</v>
      </c>
      <c r="DQ231" s="407">
        <v>0</v>
      </c>
      <c r="DR231" s="407">
        <v>0</v>
      </c>
      <c r="DS231" s="407"/>
      <c r="DT231" s="407"/>
      <c r="DU231" s="407"/>
      <c r="DV231" s="407">
        <v>0</v>
      </c>
      <c r="DW231" s="407">
        <v>0</v>
      </c>
      <c r="DX231" s="407">
        <v>0</v>
      </c>
      <c r="DY231" s="407">
        <v>-113.75</v>
      </c>
      <c r="DZ231" s="407">
        <v>365.81999999999971</v>
      </c>
      <c r="EA231" s="407">
        <v>0</v>
      </c>
      <c r="EB231" s="407">
        <v>0</v>
      </c>
      <c r="EC231" s="407">
        <v>0</v>
      </c>
      <c r="ED231" s="407">
        <v>0</v>
      </c>
      <c r="EE231" s="407">
        <v>0</v>
      </c>
      <c r="EF231" s="407">
        <v>0</v>
      </c>
      <c r="EG231" s="407">
        <v>0</v>
      </c>
      <c r="EH231" s="407">
        <v>0</v>
      </c>
      <c r="EI231" s="407">
        <v>0</v>
      </c>
      <c r="EJ231" s="407">
        <v>0</v>
      </c>
      <c r="EK231" s="407">
        <v>0</v>
      </c>
      <c r="EL231" s="407">
        <v>0</v>
      </c>
      <c r="EM231" s="407">
        <v>0</v>
      </c>
      <c r="EN231" s="407">
        <v>0</v>
      </c>
      <c r="EO231" s="407">
        <v>0</v>
      </c>
      <c r="EP231" s="407">
        <v>0</v>
      </c>
      <c r="EQ231" s="407">
        <v>0</v>
      </c>
      <c r="ER231" s="407">
        <v>0</v>
      </c>
      <c r="ES231" s="407">
        <v>0</v>
      </c>
      <c r="ET231" s="407">
        <v>0</v>
      </c>
      <c r="EU231" s="407">
        <v>0</v>
      </c>
      <c r="EV231" s="407">
        <v>207</v>
      </c>
      <c r="EW231" s="407">
        <v>0</v>
      </c>
      <c r="EX231" s="407">
        <v>0</v>
      </c>
      <c r="EY231" s="407">
        <v>0</v>
      </c>
      <c r="EZ231" s="407"/>
      <c r="FA231" s="407">
        <v>0</v>
      </c>
      <c r="FB231" s="407"/>
      <c r="FC231" s="407"/>
      <c r="FD231" s="407"/>
      <c r="FE231" s="407"/>
      <c r="FF231" s="407">
        <v>0</v>
      </c>
      <c r="FG231" s="407">
        <v>0</v>
      </c>
      <c r="FH231" s="407">
        <v>0</v>
      </c>
      <c r="FI231" s="407">
        <v>0</v>
      </c>
    </row>
    <row r="232" spans="1:165">
      <c r="A232" s="407">
        <v>230</v>
      </c>
      <c r="B232" s="407" t="s">
        <v>1092</v>
      </c>
      <c r="C232" s="407" t="s">
        <v>2315</v>
      </c>
      <c r="D232" s="407" t="s">
        <v>648</v>
      </c>
      <c r="E232" s="407" t="s">
        <v>1024</v>
      </c>
      <c r="F232" s="407" t="s">
        <v>96</v>
      </c>
      <c r="G232" s="407" t="s">
        <v>96</v>
      </c>
      <c r="H232" s="407" t="s">
        <v>96</v>
      </c>
      <c r="I232" s="407" t="s">
        <v>96</v>
      </c>
      <c r="J232" s="407" t="s">
        <v>2306</v>
      </c>
      <c r="K232" s="815">
        <v>44682</v>
      </c>
      <c r="L232" s="407">
        <v>521</v>
      </c>
      <c r="M232" s="407">
        <v>521</v>
      </c>
      <c r="N232" s="407">
        <v>0</v>
      </c>
      <c r="O232" s="407">
        <v>0</v>
      </c>
      <c r="P232" s="407">
        <v>0</v>
      </c>
      <c r="Q232" s="407">
        <v>0</v>
      </c>
      <c r="R232" s="407">
        <v>39.56</v>
      </c>
      <c r="S232" s="407"/>
      <c r="T232" s="407"/>
      <c r="U232" s="407">
        <v>20610.760000000002</v>
      </c>
      <c r="V232" s="407"/>
      <c r="W232" s="407">
        <v>20610.760000000002</v>
      </c>
      <c r="X232" s="407">
        <v>16182.26</v>
      </c>
      <c r="Y232" s="407">
        <v>0</v>
      </c>
      <c r="Z232" s="407">
        <v>0</v>
      </c>
      <c r="AA232" s="407">
        <v>0</v>
      </c>
      <c r="AB232" s="407">
        <v>0</v>
      </c>
      <c r="AC232" s="407">
        <v>0</v>
      </c>
      <c r="AD232" s="407">
        <v>6861.7168178634574</v>
      </c>
      <c r="AE232" s="407">
        <v>13746.549619189938</v>
      </c>
      <c r="AF232" s="407"/>
      <c r="AG232" s="407"/>
      <c r="AH232" s="407"/>
      <c r="AI232" s="407">
        <v>0</v>
      </c>
      <c r="AJ232" s="407">
        <v>0</v>
      </c>
      <c r="AK232" s="407">
        <v>0</v>
      </c>
      <c r="AL232" s="407">
        <v>0</v>
      </c>
      <c r="AM232" s="407"/>
      <c r="AN232" s="407">
        <v>0</v>
      </c>
      <c r="AO232" s="407">
        <v>0</v>
      </c>
      <c r="AP232" s="407">
        <v>0</v>
      </c>
      <c r="AQ232" s="407">
        <v>0</v>
      </c>
      <c r="AR232" s="407">
        <v>0</v>
      </c>
      <c r="AS232" s="407"/>
      <c r="AT232" s="407"/>
      <c r="AU232" s="407">
        <v>0</v>
      </c>
      <c r="AV232" s="407">
        <v>0</v>
      </c>
      <c r="AW232" s="407">
        <v>0</v>
      </c>
      <c r="AX232" s="407"/>
      <c r="AY232" s="407"/>
      <c r="AZ232" s="407">
        <v>0</v>
      </c>
      <c r="BA232" s="407"/>
      <c r="BB232" s="407">
        <v>0</v>
      </c>
      <c r="BC232" s="407">
        <v>0</v>
      </c>
      <c r="BD232" s="407">
        <v>0</v>
      </c>
      <c r="BE232" s="407">
        <v>0</v>
      </c>
      <c r="BF232" s="407"/>
      <c r="BG232" s="407">
        <v>0</v>
      </c>
      <c r="BH232" s="407">
        <v>0</v>
      </c>
      <c r="BI232" s="407">
        <v>0</v>
      </c>
      <c r="BJ232" s="407">
        <v>0</v>
      </c>
      <c r="BK232" s="407">
        <v>8106.49</v>
      </c>
      <c r="BL232" s="407">
        <v>1</v>
      </c>
      <c r="BM232" s="407"/>
      <c r="BN232" s="407"/>
      <c r="BO232" s="407"/>
      <c r="BP232" s="407"/>
      <c r="BQ232" s="407"/>
      <c r="BR232" s="407"/>
      <c r="BS232" s="407"/>
      <c r="BT232" s="407"/>
      <c r="BU232" s="407"/>
      <c r="BV232" s="407">
        <v>0</v>
      </c>
      <c r="BW232" s="407"/>
      <c r="BX232" s="407"/>
      <c r="BY232" s="407"/>
      <c r="BZ232" s="407"/>
      <c r="CA232" s="407"/>
      <c r="CB232" s="407"/>
      <c r="CC232" s="407"/>
      <c r="CD232" s="407"/>
      <c r="CE232" s="407"/>
      <c r="CF232" s="407"/>
      <c r="CG232" s="407"/>
      <c r="CH232" s="407"/>
      <c r="CI232" s="407">
        <v>16182.26</v>
      </c>
      <c r="CJ232" s="407">
        <v>-4428.529999999997</v>
      </c>
      <c r="CK232" s="407"/>
      <c r="CL232" s="407"/>
      <c r="CM232" s="407"/>
      <c r="CN232" s="407"/>
      <c r="CO232" s="407">
        <v>-4428.5000000000018</v>
      </c>
      <c r="CP232" s="407">
        <v>0</v>
      </c>
      <c r="CQ232" s="407">
        <v>31</v>
      </c>
      <c r="CR232" s="407">
        <v>-359.97057209986633</v>
      </c>
      <c r="CS232" s="407">
        <v>0</v>
      </c>
      <c r="CT232" s="407">
        <v>0</v>
      </c>
      <c r="CU232" s="407">
        <v>0</v>
      </c>
      <c r="CV232" s="407">
        <v>0</v>
      </c>
      <c r="CW232" s="407"/>
      <c r="CX232" s="407"/>
      <c r="CY232" s="407"/>
      <c r="CZ232" s="407">
        <v>-359.97057209986633</v>
      </c>
      <c r="DA232" s="407">
        <v>0</v>
      </c>
      <c r="DB232" s="407">
        <v>0</v>
      </c>
      <c r="DC232" s="407"/>
      <c r="DD232" s="407"/>
      <c r="DE232" s="407">
        <v>0</v>
      </c>
      <c r="DF232" s="407">
        <v>0</v>
      </c>
      <c r="DG232" s="407">
        <v>0</v>
      </c>
      <c r="DH232" s="407">
        <v>0</v>
      </c>
      <c r="DI232" s="407">
        <v>0</v>
      </c>
      <c r="DJ232" s="407"/>
      <c r="DK232" s="407">
        <v>0</v>
      </c>
      <c r="DL232" s="407">
        <v>0</v>
      </c>
      <c r="DM232" s="407"/>
      <c r="DN232" s="407">
        <v>0</v>
      </c>
      <c r="DO232" s="407">
        <v>0</v>
      </c>
      <c r="DP232" s="407">
        <v>0</v>
      </c>
      <c r="DQ232" s="407">
        <v>0</v>
      </c>
      <c r="DR232" s="407">
        <v>0</v>
      </c>
      <c r="DS232" s="407"/>
      <c r="DT232" s="407"/>
      <c r="DU232" s="407">
        <v>13746.549619189938</v>
      </c>
      <c r="DV232" s="407"/>
      <c r="DW232" s="407">
        <v>0</v>
      </c>
      <c r="DX232" s="407">
        <v>0</v>
      </c>
      <c r="DY232" s="407">
        <v>-4428.5000000000018</v>
      </c>
      <c r="DZ232" s="407"/>
      <c r="EA232" s="407">
        <v>0</v>
      </c>
      <c r="EB232" s="407"/>
      <c r="EC232" s="407">
        <v>-4063.6970607708681</v>
      </c>
      <c r="ED232" s="407"/>
      <c r="EE232" s="407">
        <v>0</v>
      </c>
      <c r="EF232" s="407">
        <v>0</v>
      </c>
      <c r="EG232" s="407"/>
      <c r="EH232" s="407">
        <v>0</v>
      </c>
      <c r="EI232" s="407">
        <v>0</v>
      </c>
      <c r="EJ232" s="407">
        <v>0</v>
      </c>
      <c r="EK232" s="407">
        <v>0</v>
      </c>
      <c r="EL232" s="407">
        <v>0</v>
      </c>
      <c r="EM232" s="407"/>
      <c r="EN232" s="407"/>
      <c r="EO232" s="407">
        <v>0</v>
      </c>
      <c r="EP232" s="407">
        <v>0</v>
      </c>
      <c r="EQ232" s="407"/>
      <c r="ER232" s="407">
        <v>0</v>
      </c>
      <c r="ES232" s="407"/>
      <c r="ET232" s="407">
        <v>0</v>
      </c>
      <c r="EU232" s="407"/>
      <c r="EV232" s="407">
        <v>207</v>
      </c>
      <c r="EW232" s="407"/>
      <c r="EX232" s="407"/>
      <c r="EY232" s="407"/>
      <c r="EZ232" s="407"/>
      <c r="FA232" s="407">
        <v>0</v>
      </c>
      <c r="FB232" s="407"/>
      <c r="FC232" s="407"/>
      <c r="FD232" s="407"/>
      <c r="FE232" s="407"/>
      <c r="FF232" s="407">
        <v>0</v>
      </c>
      <c r="FG232" s="407">
        <v>0</v>
      </c>
      <c r="FH232" s="407">
        <v>0</v>
      </c>
      <c r="FI232" s="407">
        <v>0</v>
      </c>
    </row>
    <row r="233" spans="1:165">
      <c r="A233" s="407">
        <v>231</v>
      </c>
      <c r="B233" s="407" t="s">
        <v>1092</v>
      </c>
      <c r="C233" s="407" t="s">
        <v>2305</v>
      </c>
      <c r="D233" s="407" t="s">
        <v>1221</v>
      </c>
      <c r="E233" s="407" t="s">
        <v>1051</v>
      </c>
      <c r="F233" s="407" t="s">
        <v>96</v>
      </c>
      <c r="G233" s="407" t="s">
        <v>96</v>
      </c>
      <c r="H233" s="407" t="s">
        <v>96</v>
      </c>
      <c r="I233" s="407" t="s">
        <v>96</v>
      </c>
      <c r="J233" s="407" t="s">
        <v>2306</v>
      </c>
      <c r="K233" s="815">
        <v>44682</v>
      </c>
      <c r="L233" s="407">
        <v>0</v>
      </c>
      <c r="M233" s="407">
        <v>0</v>
      </c>
      <c r="N233" s="407">
        <v>102.489</v>
      </c>
      <c r="O233" s="407">
        <v>102.489</v>
      </c>
      <c r="P233" s="407">
        <v>102.489</v>
      </c>
      <c r="Q233" s="407">
        <v>102.489</v>
      </c>
      <c r="R233" s="407"/>
      <c r="S233" s="407">
        <v>710.52</v>
      </c>
      <c r="T233" s="407">
        <v>127.85</v>
      </c>
      <c r="U233" s="407"/>
      <c r="V233" s="407">
        <v>85923.702929999999</v>
      </c>
      <c r="W233" s="407">
        <v>85923.702929999999</v>
      </c>
      <c r="X233" s="407">
        <v>70585.199189999999</v>
      </c>
      <c r="Y233" s="407">
        <v>0</v>
      </c>
      <c r="Z233" s="407">
        <v>6259.5235304050393</v>
      </c>
      <c r="AA233" s="407">
        <v>0</v>
      </c>
      <c r="AB233" s="407">
        <v>0</v>
      </c>
      <c r="AC233" s="407">
        <v>0</v>
      </c>
      <c r="AD233" s="407">
        <v>11206.398828100015</v>
      </c>
      <c r="AE233" s="407">
        <v>51056.667208717707</v>
      </c>
      <c r="AF233" s="407">
        <v>13102.951789036953</v>
      </c>
      <c r="AG233" s="407">
        <v>0</v>
      </c>
      <c r="AH233" s="407">
        <v>0</v>
      </c>
      <c r="AI233" s="407">
        <v>0</v>
      </c>
      <c r="AJ233" s="407">
        <v>0</v>
      </c>
      <c r="AK233" s="407">
        <v>0</v>
      </c>
      <c r="AL233" s="407">
        <v>968.03908693346364</v>
      </c>
      <c r="AM233" s="407"/>
      <c r="AN233" s="407">
        <v>234.77803905026005</v>
      </c>
      <c r="AO233" s="407">
        <v>0</v>
      </c>
      <c r="AP233" s="407">
        <v>0</v>
      </c>
      <c r="AQ233" s="407">
        <v>0</v>
      </c>
      <c r="AR233" s="407">
        <v>0</v>
      </c>
      <c r="AS233" s="407">
        <v>0</v>
      </c>
      <c r="AT233" s="407">
        <v>0</v>
      </c>
      <c r="AU233" s="407">
        <v>0</v>
      </c>
      <c r="AV233" s="407">
        <v>0</v>
      </c>
      <c r="AW233" s="407">
        <v>0</v>
      </c>
      <c r="AX233" s="407">
        <v>0</v>
      </c>
      <c r="AY233" s="407">
        <v>0</v>
      </c>
      <c r="AZ233" s="407">
        <v>0</v>
      </c>
      <c r="BA233" s="407"/>
      <c r="BB233" s="407">
        <v>0</v>
      </c>
      <c r="BC233" s="407">
        <v>0</v>
      </c>
      <c r="BD233" s="407">
        <v>0</v>
      </c>
      <c r="BE233" s="407">
        <v>0</v>
      </c>
      <c r="BF233" s="407">
        <v>0</v>
      </c>
      <c r="BG233" s="407">
        <v>3094.9826714028291</v>
      </c>
      <c r="BH233" s="407">
        <v>0</v>
      </c>
      <c r="BI233" s="407">
        <v>373.09</v>
      </c>
      <c r="BJ233" s="407">
        <v>1723.01</v>
      </c>
      <c r="BK233" s="407">
        <v>16080.62</v>
      </c>
      <c r="BL233" s="407">
        <v>85</v>
      </c>
      <c r="BM233" s="407"/>
      <c r="BN233" s="407"/>
      <c r="BO233" s="407"/>
      <c r="BP233" s="407"/>
      <c r="BQ233" s="407"/>
      <c r="BR233" s="407"/>
      <c r="BS233" s="407"/>
      <c r="BT233" s="407"/>
      <c r="BU233" s="407"/>
      <c r="BV233" s="407">
        <v>16197.934460439783</v>
      </c>
      <c r="BW233" s="407"/>
      <c r="BX233" s="407"/>
      <c r="BY233" s="407"/>
      <c r="BZ233" s="407"/>
      <c r="CA233" s="407"/>
      <c r="CB233" s="407"/>
      <c r="CC233" s="407"/>
      <c r="CD233" s="407"/>
      <c r="CE233" s="407"/>
      <c r="CF233" s="407"/>
      <c r="CG233" s="407"/>
      <c r="CH233" s="407"/>
      <c r="CI233" s="407">
        <v>70585.887900000002</v>
      </c>
      <c r="CJ233" s="407">
        <v>-15337.845029999982</v>
      </c>
      <c r="CK233" s="407"/>
      <c r="CL233" s="407"/>
      <c r="CM233" s="407"/>
      <c r="CN233" s="407"/>
      <c r="CO233" s="407">
        <v>-15750.509519999996</v>
      </c>
      <c r="CP233" s="407">
        <v>412.00578000000104</v>
      </c>
      <c r="CQ233" s="407">
        <v>31</v>
      </c>
      <c r="CR233" s="407">
        <v>-244.64352614375093</v>
      </c>
      <c r="CS233" s="407">
        <v>0</v>
      </c>
      <c r="CT233" s="407">
        <v>0</v>
      </c>
      <c r="CU233" s="407">
        <v>0</v>
      </c>
      <c r="CV233" s="407">
        <v>0</v>
      </c>
      <c r="CW233" s="407">
        <v>0</v>
      </c>
      <c r="CX233" s="407">
        <v>0</v>
      </c>
      <c r="CY233" s="407">
        <v>0</v>
      </c>
      <c r="CZ233" s="407">
        <v>-587.89569788552762</v>
      </c>
      <c r="DA233" s="407">
        <v>0</v>
      </c>
      <c r="DB233" s="407">
        <v>0</v>
      </c>
      <c r="DC233" s="407">
        <v>412.30026048824038</v>
      </c>
      <c r="DD233" s="407">
        <v>0</v>
      </c>
      <c r="DE233" s="407">
        <v>0</v>
      </c>
      <c r="DF233" s="407">
        <v>0</v>
      </c>
      <c r="DG233" s="407">
        <v>97.387381268824356</v>
      </c>
      <c r="DH233" s="407">
        <v>0</v>
      </c>
      <c r="DI233" s="407">
        <v>-142.5509667169481</v>
      </c>
      <c r="DJ233" s="407"/>
      <c r="DK233" s="407">
        <v>0</v>
      </c>
      <c r="DL233" s="407">
        <v>0</v>
      </c>
      <c r="DM233" s="407">
        <v>0</v>
      </c>
      <c r="DN233" s="407">
        <v>0</v>
      </c>
      <c r="DO233" s="407">
        <v>-18.472153266154578</v>
      </c>
      <c r="DP233" s="407">
        <v>-5.4123500321869074</v>
      </c>
      <c r="DQ233" s="407">
        <v>0</v>
      </c>
      <c r="DR233" s="407">
        <v>0</v>
      </c>
      <c r="DS233" s="407"/>
      <c r="DT233" s="407"/>
      <c r="DU233" s="407"/>
      <c r="DV233" s="407">
        <v>51056.667208717707</v>
      </c>
      <c r="DW233" s="407">
        <v>0</v>
      </c>
      <c r="DX233" s="407">
        <v>0</v>
      </c>
      <c r="DY233" s="407">
        <v>-15750.50952</v>
      </c>
      <c r="DZ233" s="407">
        <v>412.0057799999995</v>
      </c>
      <c r="EA233" s="407">
        <v>0</v>
      </c>
      <c r="EB233" s="407">
        <v>0</v>
      </c>
      <c r="EC233" s="407">
        <v>-15093.156771440685</v>
      </c>
      <c r="ED233" s="407">
        <v>0</v>
      </c>
      <c r="EE233" s="407">
        <v>0</v>
      </c>
      <c r="EF233" s="407">
        <v>0</v>
      </c>
      <c r="EG233" s="407">
        <v>0</v>
      </c>
      <c r="EH233" s="407">
        <v>0</v>
      </c>
      <c r="EI233" s="407">
        <v>0</v>
      </c>
      <c r="EJ233" s="407">
        <v>0</v>
      </c>
      <c r="EK233" s="407">
        <v>0</v>
      </c>
      <c r="EL233" s="407">
        <v>0</v>
      </c>
      <c r="EM233" s="407">
        <v>0</v>
      </c>
      <c r="EN233" s="407">
        <v>0</v>
      </c>
      <c r="EO233" s="407">
        <v>0</v>
      </c>
      <c r="EP233" s="407">
        <v>0</v>
      </c>
      <c r="EQ233" s="407">
        <v>0</v>
      </c>
      <c r="ER233" s="407">
        <v>0</v>
      </c>
      <c r="ES233" s="407">
        <v>0</v>
      </c>
      <c r="ET233" s="407">
        <v>0</v>
      </c>
      <c r="EU233" s="407">
        <v>0</v>
      </c>
      <c r="EV233" s="407">
        <v>207</v>
      </c>
      <c r="EW233" s="407">
        <v>0</v>
      </c>
      <c r="EX233" s="407">
        <v>0</v>
      </c>
      <c r="EY233" s="407">
        <v>0</v>
      </c>
      <c r="EZ233" s="407"/>
      <c r="FA233" s="407">
        <v>0</v>
      </c>
      <c r="FB233" s="407"/>
      <c r="FC233" s="407"/>
      <c r="FD233" s="407"/>
      <c r="FE233" s="407"/>
      <c r="FF233" s="407">
        <v>0</v>
      </c>
      <c r="FG233" s="407">
        <v>0</v>
      </c>
      <c r="FH233" s="407">
        <v>0</v>
      </c>
      <c r="FI233" s="407">
        <v>0</v>
      </c>
    </row>
    <row r="234" spans="1:165">
      <c r="A234" s="407">
        <v>232</v>
      </c>
      <c r="B234" s="407" t="s">
        <v>1092</v>
      </c>
      <c r="C234" s="407" t="s">
        <v>2315</v>
      </c>
      <c r="D234" s="407" t="s">
        <v>648</v>
      </c>
      <c r="E234" s="407" t="s">
        <v>1051</v>
      </c>
      <c r="F234" s="407" t="s">
        <v>96</v>
      </c>
      <c r="G234" s="407" t="s">
        <v>96</v>
      </c>
      <c r="H234" s="407" t="s">
        <v>96</v>
      </c>
      <c r="I234" s="407" t="s">
        <v>1027</v>
      </c>
      <c r="J234" s="407" t="s">
        <v>2306</v>
      </c>
      <c r="K234" s="815">
        <v>44682</v>
      </c>
      <c r="L234" s="407">
        <v>0</v>
      </c>
      <c r="M234" s="407">
        <v>0</v>
      </c>
      <c r="N234" s="407">
        <v>3.5009999999999999</v>
      </c>
      <c r="O234" s="407">
        <v>3.5009999999999999</v>
      </c>
      <c r="P234" s="407">
        <v>3.5009999999999999</v>
      </c>
      <c r="Q234" s="407">
        <v>3.5009999999999999</v>
      </c>
      <c r="R234" s="407"/>
      <c r="S234" s="407">
        <v>2075.9499999999998</v>
      </c>
      <c r="T234" s="407">
        <v>127.85</v>
      </c>
      <c r="U234" s="407"/>
      <c r="V234" s="407">
        <v>7715.5037999999995</v>
      </c>
      <c r="W234" s="407">
        <v>7715.5037999999995</v>
      </c>
      <c r="X234" s="407">
        <v>6184.2014099999997</v>
      </c>
      <c r="Y234" s="407">
        <v>0</v>
      </c>
      <c r="Z234" s="407">
        <v>186.02674370473719</v>
      </c>
      <c r="AA234" s="407">
        <v>0</v>
      </c>
      <c r="AB234" s="407">
        <v>0</v>
      </c>
      <c r="AC234" s="407">
        <v>0</v>
      </c>
      <c r="AD234" s="407">
        <v>2205.6612199325896</v>
      </c>
      <c r="AE234" s="407">
        <v>4821.4503067529822</v>
      </c>
      <c r="AF234" s="407">
        <v>447.59373409261843</v>
      </c>
      <c r="AG234" s="407">
        <v>0</v>
      </c>
      <c r="AH234" s="407">
        <v>0</v>
      </c>
      <c r="AI234" s="407">
        <v>0</v>
      </c>
      <c r="AJ234" s="407">
        <v>0</v>
      </c>
      <c r="AK234" s="407">
        <v>0</v>
      </c>
      <c r="AL234" s="407">
        <v>33.067986255637734</v>
      </c>
      <c r="AM234" s="407"/>
      <c r="AN234" s="407">
        <v>3.5164187964754392</v>
      </c>
      <c r="AO234" s="407">
        <v>0</v>
      </c>
      <c r="AP234" s="407">
        <v>0</v>
      </c>
      <c r="AQ234" s="407">
        <v>0</v>
      </c>
      <c r="AR234" s="407">
        <v>0</v>
      </c>
      <c r="AS234" s="407">
        <v>0</v>
      </c>
      <c r="AT234" s="407">
        <v>0</v>
      </c>
      <c r="AU234" s="407">
        <v>0</v>
      </c>
      <c r="AV234" s="407">
        <v>0</v>
      </c>
      <c r="AW234" s="407">
        <v>0</v>
      </c>
      <c r="AX234" s="407">
        <v>0</v>
      </c>
      <c r="AY234" s="407">
        <v>0</v>
      </c>
      <c r="AZ234" s="407">
        <v>0</v>
      </c>
      <c r="BA234" s="407"/>
      <c r="BB234" s="407">
        <v>0</v>
      </c>
      <c r="BC234" s="407">
        <v>0</v>
      </c>
      <c r="BD234" s="407">
        <v>0</v>
      </c>
      <c r="BE234" s="407">
        <v>0</v>
      </c>
      <c r="BF234" s="407">
        <v>0</v>
      </c>
      <c r="BG234" s="407">
        <v>18.175730248122363</v>
      </c>
      <c r="BH234" s="407">
        <v>0</v>
      </c>
      <c r="BI234" s="407">
        <v>0</v>
      </c>
      <c r="BJ234" s="407">
        <v>0</v>
      </c>
      <c r="BK234" s="407">
        <v>0</v>
      </c>
      <c r="BL234" s="407">
        <v>0</v>
      </c>
      <c r="BM234" s="407"/>
      <c r="BN234" s="407"/>
      <c r="BO234" s="407"/>
      <c r="BP234" s="407"/>
      <c r="BQ234" s="407"/>
      <c r="BR234" s="407"/>
      <c r="BS234" s="407"/>
      <c r="BT234" s="407"/>
      <c r="BU234" s="407"/>
      <c r="BV234" s="407">
        <v>465.7694643407408</v>
      </c>
      <c r="BW234" s="407"/>
      <c r="BX234" s="407"/>
      <c r="BY234" s="407"/>
      <c r="BZ234" s="407"/>
      <c r="CA234" s="407"/>
      <c r="CB234" s="407"/>
      <c r="CC234" s="407"/>
      <c r="CD234" s="407"/>
      <c r="CE234" s="407"/>
      <c r="CF234" s="407"/>
      <c r="CG234" s="407"/>
      <c r="CH234" s="407"/>
      <c r="CI234" s="407">
        <v>6182.4349999999995</v>
      </c>
      <c r="CJ234" s="407">
        <v>-1533.0988000000007</v>
      </c>
      <c r="CK234" s="407"/>
      <c r="CL234" s="407"/>
      <c r="CM234" s="407"/>
      <c r="CN234" s="407"/>
      <c r="CO234" s="407">
        <v>-1545.3764099999994</v>
      </c>
      <c r="CP234" s="407">
        <v>14.074020000000035</v>
      </c>
      <c r="CQ234" s="407">
        <v>31</v>
      </c>
      <c r="CR234" s="407">
        <v>-106.00310435206484</v>
      </c>
      <c r="CS234" s="407">
        <v>0</v>
      </c>
      <c r="CT234" s="407">
        <v>0</v>
      </c>
      <c r="CU234" s="407">
        <v>0</v>
      </c>
      <c r="CV234" s="407">
        <v>0</v>
      </c>
      <c r="CW234" s="407">
        <v>0</v>
      </c>
      <c r="CX234" s="407">
        <v>0</v>
      </c>
      <c r="CY234" s="407">
        <v>0</v>
      </c>
      <c r="CZ234" s="407">
        <v>-115.71056519422427</v>
      </c>
      <c r="DA234" s="407">
        <v>0</v>
      </c>
      <c r="DB234" s="407">
        <v>0</v>
      </c>
      <c r="DC234" s="407">
        <v>14.084079383829817</v>
      </c>
      <c r="DD234" s="407">
        <v>0</v>
      </c>
      <c r="DE234" s="407">
        <v>0</v>
      </c>
      <c r="DF234" s="407">
        <v>0</v>
      </c>
      <c r="DG234" s="407">
        <v>0.57192138355683753</v>
      </c>
      <c r="DH234" s="407">
        <v>0</v>
      </c>
      <c r="DI234" s="407">
        <v>-4.2364713578451187</v>
      </c>
      <c r="DJ234" s="407"/>
      <c r="DK234" s="407">
        <v>0</v>
      </c>
      <c r="DL234" s="407">
        <v>0</v>
      </c>
      <c r="DM234" s="407">
        <v>0</v>
      </c>
      <c r="DN234" s="407">
        <v>0</v>
      </c>
      <c r="DO234" s="407">
        <v>-0.63100438666400294</v>
      </c>
      <c r="DP234" s="407">
        <v>-8.106418071842203E-2</v>
      </c>
      <c r="DQ234" s="407">
        <v>0</v>
      </c>
      <c r="DR234" s="407">
        <v>0</v>
      </c>
      <c r="DS234" s="407"/>
      <c r="DT234" s="407"/>
      <c r="DU234" s="407"/>
      <c r="DV234" s="407">
        <v>4821.4503067529822</v>
      </c>
      <c r="DW234" s="407">
        <v>0</v>
      </c>
      <c r="DX234" s="407">
        <v>0</v>
      </c>
      <c r="DY234" s="407">
        <v>-1545.3764099999999</v>
      </c>
      <c r="DZ234" s="407">
        <v>14.074020000000019</v>
      </c>
      <c r="EA234" s="407">
        <v>0</v>
      </c>
      <c r="EB234" s="407">
        <v>0</v>
      </c>
      <c r="EC234" s="407">
        <v>-1425.2968186906619</v>
      </c>
      <c r="ED234" s="407">
        <v>0</v>
      </c>
      <c r="EE234" s="407">
        <v>0</v>
      </c>
      <c r="EF234" s="407">
        <v>0</v>
      </c>
      <c r="EG234" s="407">
        <v>0</v>
      </c>
      <c r="EH234" s="407">
        <v>0</v>
      </c>
      <c r="EI234" s="407">
        <v>0</v>
      </c>
      <c r="EJ234" s="407">
        <v>0</v>
      </c>
      <c r="EK234" s="407">
        <v>0</v>
      </c>
      <c r="EL234" s="407">
        <v>0</v>
      </c>
      <c r="EM234" s="407">
        <v>0</v>
      </c>
      <c r="EN234" s="407">
        <v>0</v>
      </c>
      <c r="EO234" s="407">
        <v>0</v>
      </c>
      <c r="EP234" s="407">
        <v>0</v>
      </c>
      <c r="EQ234" s="407">
        <v>0</v>
      </c>
      <c r="ER234" s="407">
        <v>0</v>
      </c>
      <c r="ES234" s="407">
        <v>0</v>
      </c>
      <c r="ET234" s="407">
        <v>0</v>
      </c>
      <c r="EU234" s="407">
        <v>0</v>
      </c>
      <c r="EV234" s="407">
        <v>207</v>
      </c>
      <c r="EW234" s="407">
        <v>0</v>
      </c>
      <c r="EX234" s="407">
        <v>0</v>
      </c>
      <c r="EY234" s="407">
        <v>0</v>
      </c>
      <c r="EZ234" s="407"/>
      <c r="FA234" s="407">
        <v>0</v>
      </c>
      <c r="FB234" s="407"/>
      <c r="FC234" s="407"/>
      <c r="FD234" s="407"/>
      <c r="FE234" s="407"/>
      <c r="FF234" s="407">
        <v>0</v>
      </c>
      <c r="FG234" s="407">
        <v>0</v>
      </c>
      <c r="FH234" s="407">
        <v>0</v>
      </c>
      <c r="FI234" s="407">
        <v>0</v>
      </c>
    </row>
    <row r="235" spans="1:165">
      <c r="A235" s="407">
        <v>233</v>
      </c>
      <c r="B235" s="407" t="s">
        <v>1092</v>
      </c>
      <c r="C235" s="407" t="s">
        <v>2315</v>
      </c>
      <c r="D235" s="407" t="s">
        <v>648</v>
      </c>
      <c r="E235" s="407" t="s">
        <v>1051</v>
      </c>
      <c r="F235" s="407" t="s">
        <v>96</v>
      </c>
      <c r="G235" s="407" t="s">
        <v>96</v>
      </c>
      <c r="H235" s="407" t="s">
        <v>96</v>
      </c>
      <c r="I235" s="407" t="s">
        <v>2290</v>
      </c>
      <c r="J235" s="407" t="s">
        <v>2306</v>
      </c>
      <c r="K235" s="815">
        <v>44682</v>
      </c>
      <c r="L235" s="407">
        <v>0</v>
      </c>
      <c r="M235" s="407">
        <v>0</v>
      </c>
      <c r="N235" s="407">
        <v>64.269000000000005</v>
      </c>
      <c r="O235" s="407">
        <v>64.269000000000005</v>
      </c>
      <c r="P235" s="407">
        <v>64.269000000000005</v>
      </c>
      <c r="Q235" s="407">
        <v>64.269000000000005</v>
      </c>
      <c r="R235" s="407"/>
      <c r="S235" s="407">
        <v>68.78</v>
      </c>
      <c r="T235" s="407">
        <v>127.85</v>
      </c>
      <c r="U235" s="407"/>
      <c r="V235" s="407">
        <v>12637.213470000002</v>
      </c>
      <c r="W235" s="407">
        <v>12637.213470000002</v>
      </c>
      <c r="X235" s="407">
        <v>12815.238600000001</v>
      </c>
      <c r="Y235" s="407">
        <v>0</v>
      </c>
      <c r="Z235" s="407">
        <v>3414.9536678548288</v>
      </c>
      <c r="AA235" s="407">
        <v>0</v>
      </c>
      <c r="AB235" s="407">
        <v>0</v>
      </c>
      <c r="AC235" s="407">
        <v>0</v>
      </c>
      <c r="AD235" s="407">
        <v>0</v>
      </c>
      <c r="AE235" s="407">
        <v>0</v>
      </c>
      <c r="AF235" s="407">
        <v>8216.6243063120528</v>
      </c>
      <c r="AG235" s="407">
        <v>0</v>
      </c>
      <c r="AH235" s="407">
        <v>0</v>
      </c>
      <c r="AI235" s="407">
        <v>0</v>
      </c>
      <c r="AJ235" s="407">
        <v>0</v>
      </c>
      <c r="AK235" s="407">
        <v>0</v>
      </c>
      <c r="AL235" s="407">
        <v>607.03981966968922</v>
      </c>
      <c r="AM235" s="407"/>
      <c r="AN235" s="407">
        <v>64.552047880799776</v>
      </c>
      <c r="AO235" s="407">
        <v>0</v>
      </c>
      <c r="AP235" s="407">
        <v>0</v>
      </c>
      <c r="AQ235" s="407">
        <v>0</v>
      </c>
      <c r="AR235" s="407">
        <v>0</v>
      </c>
      <c r="AS235" s="407">
        <v>0</v>
      </c>
      <c r="AT235" s="407">
        <v>0</v>
      </c>
      <c r="AU235" s="407">
        <v>0</v>
      </c>
      <c r="AV235" s="407">
        <v>0</v>
      </c>
      <c r="AW235" s="407">
        <v>0</v>
      </c>
      <c r="AX235" s="407">
        <v>0</v>
      </c>
      <c r="AY235" s="407">
        <v>0</v>
      </c>
      <c r="AZ235" s="407">
        <v>0</v>
      </c>
      <c r="BA235" s="407"/>
      <c r="BB235" s="407">
        <v>0</v>
      </c>
      <c r="BC235" s="407">
        <v>0</v>
      </c>
      <c r="BD235" s="407">
        <v>0</v>
      </c>
      <c r="BE235" s="407">
        <v>0</v>
      </c>
      <c r="BF235" s="407">
        <v>0</v>
      </c>
      <c r="BG235" s="407">
        <v>333.65781414355223</v>
      </c>
      <c r="BH235" s="407">
        <v>0</v>
      </c>
      <c r="BI235" s="407">
        <v>0</v>
      </c>
      <c r="BJ235" s="407">
        <v>0</v>
      </c>
      <c r="BK235" s="407">
        <v>0</v>
      </c>
      <c r="BL235" s="407">
        <v>0</v>
      </c>
      <c r="BM235" s="407"/>
      <c r="BN235" s="407"/>
      <c r="BO235" s="407"/>
      <c r="BP235" s="407"/>
      <c r="BQ235" s="407"/>
      <c r="BR235" s="407"/>
      <c r="BS235" s="407"/>
      <c r="BT235" s="407"/>
      <c r="BU235" s="407"/>
      <c r="BV235" s="407">
        <v>8550.2821204556058</v>
      </c>
      <c r="BW235" s="407"/>
      <c r="BX235" s="407"/>
      <c r="BY235" s="407"/>
      <c r="BZ235" s="407"/>
      <c r="CA235" s="407"/>
      <c r="CB235" s="407"/>
      <c r="CC235" s="407"/>
      <c r="CD235" s="407"/>
      <c r="CE235" s="407"/>
      <c r="CF235" s="407"/>
      <c r="CG235" s="407"/>
      <c r="CH235" s="407"/>
      <c r="CI235" s="407">
        <v>12815.438</v>
      </c>
      <c r="CJ235" s="407">
        <v>178.19452999999703</v>
      </c>
      <c r="CK235" s="407"/>
      <c r="CL235" s="407"/>
      <c r="CM235" s="407"/>
      <c r="CN235" s="407"/>
      <c r="CO235" s="407">
        <v>-80.336250000000007</v>
      </c>
      <c r="CP235" s="407">
        <v>258.36138000000068</v>
      </c>
      <c r="CQ235" s="407">
        <v>31</v>
      </c>
      <c r="CR235" s="407">
        <v>178.20302795336283</v>
      </c>
      <c r="CS235" s="407">
        <v>0</v>
      </c>
      <c r="CT235" s="407">
        <v>0</v>
      </c>
      <c r="CU235" s="407">
        <v>0</v>
      </c>
      <c r="CV235" s="407">
        <v>0</v>
      </c>
      <c r="CW235" s="407">
        <v>0</v>
      </c>
      <c r="CX235" s="407">
        <v>0</v>
      </c>
      <c r="CY235" s="407">
        <v>0</v>
      </c>
      <c r="CZ235" s="407">
        <v>0</v>
      </c>
      <c r="DA235" s="407">
        <v>0</v>
      </c>
      <c r="DB235" s="407">
        <v>0</v>
      </c>
      <c r="DC235" s="407">
        <v>258.546043393133</v>
      </c>
      <c r="DD235" s="407">
        <v>0</v>
      </c>
      <c r="DE235" s="407">
        <v>0</v>
      </c>
      <c r="DF235" s="407">
        <v>0</v>
      </c>
      <c r="DG235" s="407">
        <v>10.498947557787631</v>
      </c>
      <c r="DH235" s="407">
        <v>0</v>
      </c>
      <c r="DI235" s="407">
        <v>-77.770287831290716</v>
      </c>
      <c r="DJ235" s="407"/>
      <c r="DK235" s="407">
        <v>0</v>
      </c>
      <c r="DL235" s="407">
        <v>0</v>
      </c>
      <c r="DM235" s="407">
        <v>0</v>
      </c>
      <c r="DN235" s="407">
        <v>0</v>
      </c>
      <c r="DO235" s="407">
        <v>-11.583553535135366</v>
      </c>
      <c r="DP235" s="407">
        <v>-1.4881216311317473</v>
      </c>
      <c r="DQ235" s="407">
        <v>0</v>
      </c>
      <c r="DR235" s="407">
        <v>0</v>
      </c>
      <c r="DS235" s="407"/>
      <c r="DT235" s="407"/>
      <c r="DU235" s="407"/>
      <c r="DV235" s="407">
        <v>0</v>
      </c>
      <c r="DW235" s="407">
        <v>0</v>
      </c>
      <c r="DX235" s="407">
        <v>0</v>
      </c>
      <c r="DY235" s="407">
        <v>-80.336250000000291</v>
      </c>
      <c r="DZ235" s="407">
        <v>258.36138000000028</v>
      </c>
      <c r="EA235" s="407">
        <v>0</v>
      </c>
      <c r="EB235" s="407">
        <v>0</v>
      </c>
      <c r="EC235" s="407">
        <v>0</v>
      </c>
      <c r="ED235" s="407">
        <v>0</v>
      </c>
      <c r="EE235" s="407">
        <v>0</v>
      </c>
      <c r="EF235" s="407">
        <v>0</v>
      </c>
      <c r="EG235" s="407">
        <v>0</v>
      </c>
      <c r="EH235" s="407">
        <v>0</v>
      </c>
      <c r="EI235" s="407">
        <v>0</v>
      </c>
      <c r="EJ235" s="407">
        <v>0</v>
      </c>
      <c r="EK235" s="407">
        <v>0</v>
      </c>
      <c r="EL235" s="407">
        <v>0</v>
      </c>
      <c r="EM235" s="407">
        <v>0</v>
      </c>
      <c r="EN235" s="407">
        <v>0</v>
      </c>
      <c r="EO235" s="407">
        <v>0</v>
      </c>
      <c r="EP235" s="407">
        <v>0</v>
      </c>
      <c r="EQ235" s="407">
        <v>0</v>
      </c>
      <c r="ER235" s="407">
        <v>0</v>
      </c>
      <c r="ES235" s="407">
        <v>0</v>
      </c>
      <c r="ET235" s="407">
        <v>0</v>
      </c>
      <c r="EU235" s="407">
        <v>0</v>
      </c>
      <c r="EV235" s="407">
        <v>207</v>
      </c>
      <c r="EW235" s="407">
        <v>0</v>
      </c>
      <c r="EX235" s="407">
        <v>0</v>
      </c>
      <c r="EY235" s="407">
        <v>0</v>
      </c>
      <c r="EZ235" s="407"/>
      <c r="FA235" s="407">
        <v>0</v>
      </c>
      <c r="FB235" s="407"/>
      <c r="FC235" s="407"/>
      <c r="FD235" s="407"/>
      <c r="FE235" s="407"/>
      <c r="FF235" s="407">
        <v>0</v>
      </c>
      <c r="FG235" s="407">
        <v>0</v>
      </c>
      <c r="FH235" s="407">
        <v>0</v>
      </c>
      <c r="FI235" s="407">
        <v>0</v>
      </c>
    </row>
    <row r="236" spans="1:165">
      <c r="A236" s="407">
        <v>234</v>
      </c>
      <c r="B236" s="407" t="s">
        <v>1092</v>
      </c>
      <c r="C236" s="407" t="s">
        <v>2315</v>
      </c>
      <c r="D236" s="407" t="s">
        <v>648</v>
      </c>
      <c r="E236" s="407" t="s">
        <v>1051</v>
      </c>
      <c r="F236" s="407" t="s">
        <v>96</v>
      </c>
      <c r="G236" s="407" t="s">
        <v>96</v>
      </c>
      <c r="H236" s="407" t="s">
        <v>96</v>
      </c>
      <c r="I236" s="407" t="s">
        <v>96</v>
      </c>
      <c r="J236" s="407" t="s">
        <v>2306</v>
      </c>
      <c r="K236" s="815">
        <v>44682</v>
      </c>
      <c r="L236" s="407">
        <v>190</v>
      </c>
      <c r="M236" s="407">
        <v>190</v>
      </c>
      <c r="N236" s="407">
        <v>0</v>
      </c>
      <c r="O236" s="407">
        <v>0</v>
      </c>
      <c r="P236" s="407">
        <v>0</v>
      </c>
      <c r="Q236" s="407">
        <v>0</v>
      </c>
      <c r="R236" s="407">
        <v>39.56</v>
      </c>
      <c r="S236" s="407"/>
      <c r="T236" s="407"/>
      <c r="U236" s="407">
        <v>7516.4000000000005</v>
      </c>
      <c r="V236" s="407"/>
      <c r="W236" s="407">
        <v>7516.4000000000005</v>
      </c>
      <c r="X236" s="407">
        <v>5901.4</v>
      </c>
      <c r="Y236" s="407">
        <v>0</v>
      </c>
      <c r="Z236" s="407">
        <v>0</v>
      </c>
      <c r="AA236" s="407">
        <v>0</v>
      </c>
      <c r="AB236" s="407">
        <v>0</v>
      </c>
      <c r="AC236" s="407">
        <v>0</v>
      </c>
      <c r="AD236" s="407">
        <v>2502.3535420231419</v>
      </c>
      <c r="AE236" s="407">
        <v>5013.1370972093828</v>
      </c>
      <c r="AF236" s="407"/>
      <c r="AG236" s="407"/>
      <c r="AH236" s="407"/>
      <c r="AI236" s="407">
        <v>0</v>
      </c>
      <c r="AJ236" s="407">
        <v>0</v>
      </c>
      <c r="AK236" s="407">
        <v>0</v>
      </c>
      <c r="AL236" s="407">
        <v>0</v>
      </c>
      <c r="AM236" s="407"/>
      <c r="AN236" s="407">
        <v>0</v>
      </c>
      <c r="AO236" s="407">
        <v>0</v>
      </c>
      <c r="AP236" s="407">
        <v>0</v>
      </c>
      <c r="AQ236" s="407">
        <v>0</v>
      </c>
      <c r="AR236" s="407">
        <v>0</v>
      </c>
      <c r="AS236" s="407"/>
      <c r="AT236" s="407"/>
      <c r="AU236" s="407">
        <v>0</v>
      </c>
      <c r="AV236" s="407">
        <v>0</v>
      </c>
      <c r="AW236" s="407">
        <v>0</v>
      </c>
      <c r="AX236" s="407"/>
      <c r="AY236" s="407"/>
      <c r="AZ236" s="407">
        <v>0</v>
      </c>
      <c r="BA236" s="407"/>
      <c r="BB236" s="407">
        <v>0</v>
      </c>
      <c r="BC236" s="407">
        <v>0</v>
      </c>
      <c r="BD236" s="407">
        <v>0</v>
      </c>
      <c r="BE236" s="407">
        <v>0</v>
      </c>
      <c r="BF236" s="407"/>
      <c r="BG236" s="407">
        <v>0</v>
      </c>
      <c r="BH236" s="407">
        <v>0</v>
      </c>
      <c r="BI236" s="407">
        <v>0</v>
      </c>
      <c r="BJ236" s="407">
        <v>0</v>
      </c>
      <c r="BK236" s="407">
        <v>5991</v>
      </c>
      <c r="BL236" s="407">
        <v>2</v>
      </c>
      <c r="BM236" s="407"/>
      <c r="BN236" s="407"/>
      <c r="BO236" s="407"/>
      <c r="BP236" s="407"/>
      <c r="BQ236" s="407"/>
      <c r="BR236" s="407"/>
      <c r="BS236" s="407"/>
      <c r="BT236" s="407"/>
      <c r="BU236" s="407"/>
      <c r="BV236" s="407">
        <v>0</v>
      </c>
      <c r="BW236" s="407"/>
      <c r="BX236" s="407"/>
      <c r="BY236" s="407"/>
      <c r="BZ236" s="407"/>
      <c r="CA236" s="407"/>
      <c r="CB236" s="407"/>
      <c r="CC236" s="407"/>
      <c r="CD236" s="407"/>
      <c r="CE236" s="407"/>
      <c r="CF236" s="407"/>
      <c r="CG236" s="407"/>
      <c r="CH236" s="407"/>
      <c r="CI236" s="407">
        <v>5901.4</v>
      </c>
      <c r="CJ236" s="407">
        <v>-1615.0300000000016</v>
      </c>
      <c r="CK236" s="407"/>
      <c r="CL236" s="407"/>
      <c r="CM236" s="407"/>
      <c r="CN236" s="407"/>
      <c r="CO236" s="407">
        <v>-1615.0000000000007</v>
      </c>
      <c r="CP236" s="407">
        <v>0</v>
      </c>
      <c r="CQ236" s="407">
        <v>31</v>
      </c>
      <c r="CR236" s="407">
        <v>-131.27525661991285</v>
      </c>
      <c r="CS236" s="407">
        <v>0</v>
      </c>
      <c r="CT236" s="407">
        <v>0</v>
      </c>
      <c r="CU236" s="407">
        <v>0</v>
      </c>
      <c r="CV236" s="407">
        <v>0</v>
      </c>
      <c r="CW236" s="407"/>
      <c r="CX236" s="407"/>
      <c r="CY236" s="407"/>
      <c r="CZ236" s="407">
        <v>-131.27525661991285</v>
      </c>
      <c r="DA236" s="407">
        <v>0</v>
      </c>
      <c r="DB236" s="407">
        <v>0</v>
      </c>
      <c r="DC236" s="407"/>
      <c r="DD236" s="407"/>
      <c r="DE236" s="407">
        <v>0</v>
      </c>
      <c r="DF236" s="407">
        <v>0</v>
      </c>
      <c r="DG236" s="407">
        <v>0</v>
      </c>
      <c r="DH236" s="407">
        <v>0</v>
      </c>
      <c r="DI236" s="407">
        <v>0</v>
      </c>
      <c r="DJ236" s="407"/>
      <c r="DK236" s="407">
        <v>0</v>
      </c>
      <c r="DL236" s="407">
        <v>0</v>
      </c>
      <c r="DM236" s="407"/>
      <c r="DN236" s="407">
        <v>0</v>
      </c>
      <c r="DO236" s="407">
        <v>0</v>
      </c>
      <c r="DP236" s="407">
        <v>0</v>
      </c>
      <c r="DQ236" s="407">
        <v>0</v>
      </c>
      <c r="DR236" s="407">
        <v>0</v>
      </c>
      <c r="DS236" s="407"/>
      <c r="DT236" s="407"/>
      <c r="DU236" s="407">
        <v>5013.1370972093828</v>
      </c>
      <c r="DV236" s="407"/>
      <c r="DW236" s="407">
        <v>0</v>
      </c>
      <c r="DX236" s="407">
        <v>0</v>
      </c>
      <c r="DY236" s="407">
        <v>-1615.0000000000009</v>
      </c>
      <c r="DZ236" s="407"/>
      <c r="EA236" s="407">
        <v>0</v>
      </c>
      <c r="EB236" s="407"/>
      <c r="EC236" s="407">
        <v>-1481.962459782083</v>
      </c>
      <c r="ED236" s="407"/>
      <c r="EE236" s="407">
        <v>0</v>
      </c>
      <c r="EF236" s="407">
        <v>0</v>
      </c>
      <c r="EG236" s="407"/>
      <c r="EH236" s="407">
        <v>0</v>
      </c>
      <c r="EI236" s="407">
        <v>0</v>
      </c>
      <c r="EJ236" s="407">
        <v>0</v>
      </c>
      <c r="EK236" s="407">
        <v>0</v>
      </c>
      <c r="EL236" s="407">
        <v>0</v>
      </c>
      <c r="EM236" s="407"/>
      <c r="EN236" s="407"/>
      <c r="EO236" s="407">
        <v>0</v>
      </c>
      <c r="EP236" s="407">
        <v>0</v>
      </c>
      <c r="EQ236" s="407"/>
      <c r="ER236" s="407">
        <v>0</v>
      </c>
      <c r="ES236" s="407"/>
      <c r="ET236" s="407">
        <v>0</v>
      </c>
      <c r="EU236" s="407"/>
      <c r="EV236" s="407">
        <v>207</v>
      </c>
      <c r="EW236" s="407"/>
      <c r="EX236" s="407"/>
      <c r="EY236" s="407"/>
      <c r="EZ236" s="407"/>
      <c r="FA236" s="407">
        <v>0</v>
      </c>
      <c r="FB236" s="407"/>
      <c r="FC236" s="407"/>
      <c r="FD236" s="407"/>
      <c r="FE236" s="407"/>
      <c r="FF236" s="407">
        <v>0</v>
      </c>
      <c r="FG236" s="407">
        <v>0</v>
      </c>
      <c r="FH236" s="407">
        <v>0</v>
      </c>
      <c r="FI236" s="407">
        <v>0</v>
      </c>
    </row>
    <row r="237" spans="1:165">
      <c r="A237" s="407">
        <v>235</v>
      </c>
      <c r="B237" s="407" t="s">
        <v>1092</v>
      </c>
      <c r="C237" s="407" t="s">
        <v>2305</v>
      </c>
      <c r="D237" s="407" t="s">
        <v>2316</v>
      </c>
      <c r="E237" s="407" t="s">
        <v>1028</v>
      </c>
      <c r="F237" s="407" t="s">
        <v>96</v>
      </c>
      <c r="G237" s="407" t="s">
        <v>96</v>
      </c>
      <c r="H237" s="407" t="s">
        <v>96</v>
      </c>
      <c r="I237" s="407" t="s">
        <v>96</v>
      </c>
      <c r="J237" s="407" t="s">
        <v>2306</v>
      </c>
      <c r="K237" s="815">
        <v>44682</v>
      </c>
      <c r="L237" s="407">
        <v>0</v>
      </c>
      <c r="M237" s="407">
        <v>0</v>
      </c>
      <c r="N237" s="407">
        <v>53.984999999999999</v>
      </c>
      <c r="O237" s="407">
        <v>53.984999999999999</v>
      </c>
      <c r="P237" s="407">
        <v>53.984999999999999</v>
      </c>
      <c r="Q237" s="407">
        <v>53.984999999999999</v>
      </c>
      <c r="R237" s="407"/>
      <c r="S237" s="407">
        <v>710.52</v>
      </c>
      <c r="T237" s="407">
        <v>127.85</v>
      </c>
      <c r="U237" s="407"/>
      <c r="V237" s="407">
        <v>45259.404450000002</v>
      </c>
      <c r="W237" s="407">
        <v>45259.404450000002</v>
      </c>
      <c r="X237" s="407">
        <v>37180.00935</v>
      </c>
      <c r="Y237" s="407">
        <v>0</v>
      </c>
      <c r="Z237" s="407">
        <v>3297.1380127517687</v>
      </c>
      <c r="AA237" s="407">
        <v>0</v>
      </c>
      <c r="AB237" s="407">
        <v>0</v>
      </c>
      <c r="AC237" s="407">
        <v>0</v>
      </c>
      <c r="AD237" s="407">
        <v>5902.8524108438887</v>
      </c>
      <c r="AE237" s="407">
        <v>26893.56105789524</v>
      </c>
      <c r="AF237" s="407">
        <v>6901.8416838017729</v>
      </c>
      <c r="AG237" s="407">
        <v>0</v>
      </c>
      <c r="AH237" s="407">
        <v>0</v>
      </c>
      <c r="AI237" s="407">
        <v>0</v>
      </c>
      <c r="AJ237" s="407">
        <v>0</v>
      </c>
      <c r="AK237" s="407">
        <v>0</v>
      </c>
      <c r="AL237" s="407">
        <v>509.90438103701894</v>
      </c>
      <c r="AM237" s="407"/>
      <c r="AN237" s="407">
        <v>123.66685632729647</v>
      </c>
      <c r="AO237" s="407">
        <v>0</v>
      </c>
      <c r="AP237" s="407">
        <v>0</v>
      </c>
      <c r="AQ237" s="407">
        <v>0</v>
      </c>
      <c r="AR237" s="407">
        <v>0</v>
      </c>
      <c r="AS237" s="407">
        <v>0</v>
      </c>
      <c r="AT237" s="407">
        <v>0</v>
      </c>
      <c r="AU237" s="407">
        <v>0</v>
      </c>
      <c r="AV237" s="407">
        <v>0</v>
      </c>
      <c r="AW237" s="407">
        <v>0</v>
      </c>
      <c r="AX237" s="407">
        <v>0</v>
      </c>
      <c r="AY237" s="407">
        <v>0</v>
      </c>
      <c r="AZ237" s="407">
        <v>0</v>
      </c>
      <c r="BA237" s="407"/>
      <c r="BB237" s="407">
        <v>0</v>
      </c>
      <c r="BC237" s="407">
        <v>0</v>
      </c>
      <c r="BD237" s="407">
        <v>0</v>
      </c>
      <c r="BE237" s="407">
        <v>0</v>
      </c>
      <c r="BF237" s="407">
        <v>0</v>
      </c>
      <c r="BG237" s="407">
        <v>1630.2494854636275</v>
      </c>
      <c r="BH237" s="407">
        <v>0</v>
      </c>
      <c r="BI237" s="407">
        <v>142.86000000000001</v>
      </c>
      <c r="BJ237" s="407">
        <v>659.33</v>
      </c>
      <c r="BK237" s="407">
        <v>0</v>
      </c>
      <c r="BL237" s="407">
        <v>35</v>
      </c>
      <c r="BM237" s="407"/>
      <c r="BN237" s="407"/>
      <c r="BO237" s="407"/>
      <c r="BP237" s="407"/>
      <c r="BQ237" s="407"/>
      <c r="BR237" s="407">
        <v>4461.3204000000032</v>
      </c>
      <c r="BS237" s="407"/>
      <c r="BT237" s="407"/>
      <c r="BU237" s="407"/>
      <c r="BV237" s="407">
        <v>8532.0911692654008</v>
      </c>
      <c r="BW237" s="407"/>
      <c r="BX237" s="407"/>
      <c r="BY237" s="407"/>
      <c r="BZ237" s="407"/>
      <c r="CA237" s="407"/>
      <c r="CB237" s="407"/>
      <c r="CC237" s="407"/>
      <c r="CD237" s="407"/>
      <c r="CE237" s="407"/>
      <c r="CF237" s="407"/>
      <c r="CG237" s="407"/>
      <c r="CH237" s="407"/>
      <c r="CI237" s="407">
        <v>32721.719300000001</v>
      </c>
      <c r="CJ237" s="407">
        <v>-7106.824150000004</v>
      </c>
      <c r="CK237" s="407"/>
      <c r="CL237" s="407"/>
      <c r="CM237" s="407"/>
      <c r="CN237" s="407"/>
      <c r="CO237" s="407">
        <v>-8296.4147999999968</v>
      </c>
      <c r="CP237" s="407">
        <v>217.01970000000054</v>
      </c>
      <c r="CQ237" s="407">
        <v>31</v>
      </c>
      <c r="CR237" s="407">
        <v>-128.86339762190255</v>
      </c>
      <c r="CS237" s="407">
        <v>0</v>
      </c>
      <c r="CT237" s="407">
        <v>0</v>
      </c>
      <c r="CU237" s="407">
        <v>0</v>
      </c>
      <c r="CV237" s="407">
        <v>0</v>
      </c>
      <c r="CW237" s="407">
        <v>0</v>
      </c>
      <c r="CX237" s="407">
        <v>0</v>
      </c>
      <c r="CY237" s="407">
        <v>0</v>
      </c>
      <c r="CZ237" s="407">
        <v>-309.66785948102006</v>
      </c>
      <c r="DA237" s="407">
        <v>0</v>
      </c>
      <c r="DB237" s="407">
        <v>0</v>
      </c>
      <c r="DC237" s="407">
        <v>217.1748144918738</v>
      </c>
      <c r="DD237" s="407">
        <v>0</v>
      </c>
      <c r="DE237" s="407">
        <v>0</v>
      </c>
      <c r="DF237" s="407">
        <v>0</v>
      </c>
      <c r="DG237" s="407">
        <v>51.297776130096736</v>
      </c>
      <c r="DH237" s="407">
        <v>0</v>
      </c>
      <c r="DI237" s="407">
        <v>-75.087218513347125</v>
      </c>
      <c r="DJ237" s="407"/>
      <c r="DK237" s="407">
        <v>0</v>
      </c>
      <c r="DL237" s="407">
        <v>0</v>
      </c>
      <c r="DM237" s="407">
        <v>0</v>
      </c>
      <c r="DN237" s="407">
        <v>0</v>
      </c>
      <c r="DO237" s="407">
        <v>-9.7300119434608519</v>
      </c>
      <c r="DP237" s="407">
        <v>-2.8508983060387862</v>
      </c>
      <c r="DQ237" s="407">
        <v>0</v>
      </c>
      <c r="DR237" s="407">
        <v>0</v>
      </c>
      <c r="DS237" s="407"/>
      <c r="DT237" s="407"/>
      <c r="DU237" s="407"/>
      <c r="DV237" s="407">
        <v>26893.56105789524</v>
      </c>
      <c r="DW237" s="407">
        <v>0</v>
      </c>
      <c r="DX237" s="407">
        <v>0</v>
      </c>
      <c r="DY237" s="407">
        <v>-8296.4147999999986</v>
      </c>
      <c r="DZ237" s="407">
        <v>217.01969999999983</v>
      </c>
      <c r="EA237" s="407">
        <v>0</v>
      </c>
      <c r="EB237" s="407">
        <v>0</v>
      </c>
      <c r="EC237" s="407">
        <v>-7950.1611715035287</v>
      </c>
      <c r="ED237" s="407">
        <v>0</v>
      </c>
      <c r="EE237" s="407">
        <v>0</v>
      </c>
      <c r="EF237" s="407">
        <v>0</v>
      </c>
      <c r="EG237" s="407">
        <v>0</v>
      </c>
      <c r="EH237" s="407">
        <v>0</v>
      </c>
      <c r="EI237" s="407">
        <v>0</v>
      </c>
      <c r="EJ237" s="407">
        <v>0</v>
      </c>
      <c r="EK237" s="407">
        <v>0</v>
      </c>
      <c r="EL237" s="407">
        <v>0</v>
      </c>
      <c r="EM237" s="407">
        <v>0</v>
      </c>
      <c r="EN237" s="407">
        <v>0</v>
      </c>
      <c r="EO237" s="407">
        <v>0</v>
      </c>
      <c r="EP237" s="407">
        <v>0</v>
      </c>
      <c r="EQ237" s="407">
        <v>0</v>
      </c>
      <c r="ER237" s="407">
        <v>0</v>
      </c>
      <c r="ES237" s="407">
        <v>0</v>
      </c>
      <c r="ET237" s="407">
        <v>0</v>
      </c>
      <c r="EU237" s="407">
        <v>0</v>
      </c>
      <c r="EV237" s="407">
        <v>207</v>
      </c>
      <c r="EW237" s="407">
        <v>0</v>
      </c>
      <c r="EX237" s="407">
        <v>0</v>
      </c>
      <c r="EY237" s="407">
        <v>0</v>
      </c>
      <c r="EZ237" s="407"/>
      <c r="FA237" s="407">
        <v>0</v>
      </c>
      <c r="FB237" s="407"/>
      <c r="FC237" s="407"/>
      <c r="FD237" s="407"/>
      <c r="FE237" s="407"/>
      <c r="FF237" s="407">
        <v>0</v>
      </c>
      <c r="FG237" s="407">
        <v>0</v>
      </c>
      <c r="FH237" s="407">
        <v>0</v>
      </c>
      <c r="FI237" s="407">
        <v>0</v>
      </c>
    </row>
    <row r="238" spans="1:165">
      <c r="A238" s="407">
        <v>236</v>
      </c>
      <c r="B238" s="407" t="s">
        <v>2308</v>
      </c>
      <c r="C238" s="407" t="s">
        <v>2305</v>
      </c>
      <c r="D238" s="407" t="s">
        <v>2316</v>
      </c>
      <c r="E238" s="407" t="s">
        <v>1028</v>
      </c>
      <c r="F238" s="407" t="s">
        <v>96</v>
      </c>
      <c r="G238" s="407" t="s">
        <v>96</v>
      </c>
      <c r="H238" s="407" t="s">
        <v>96</v>
      </c>
      <c r="I238" s="407" t="s">
        <v>96</v>
      </c>
      <c r="J238" s="407" t="s">
        <v>2306</v>
      </c>
      <c r="K238" s="815">
        <v>44682</v>
      </c>
      <c r="L238" s="407">
        <v>0</v>
      </c>
      <c r="M238" s="407">
        <v>0</v>
      </c>
      <c r="N238" s="407">
        <v>0.63</v>
      </c>
      <c r="O238" s="407">
        <v>0.63</v>
      </c>
      <c r="P238" s="407">
        <v>0.63</v>
      </c>
      <c r="Q238" s="407">
        <v>0.63</v>
      </c>
      <c r="R238" s="407"/>
      <c r="S238" s="407">
        <v>710.52</v>
      </c>
      <c r="T238" s="407">
        <v>127.85</v>
      </c>
      <c r="U238" s="407"/>
      <c r="V238" s="407">
        <v>528.17309999999998</v>
      </c>
      <c r="W238" s="407">
        <v>528.17309999999998</v>
      </c>
      <c r="X238" s="407">
        <v>433.88730000000004</v>
      </c>
      <c r="Y238" s="407">
        <v>0</v>
      </c>
      <c r="Z238" s="407">
        <v>38.477298287183743</v>
      </c>
      <c r="AA238" s="407">
        <v>0</v>
      </c>
      <c r="AB238" s="407">
        <v>0</v>
      </c>
      <c r="AC238" s="407">
        <v>0</v>
      </c>
      <c r="AD238" s="407">
        <v>68.88574638939798</v>
      </c>
      <c r="AE238" s="407">
        <v>313.84539161756044</v>
      </c>
      <c r="AF238" s="407">
        <v>80.543859605355507</v>
      </c>
      <c r="AG238" s="407">
        <v>0</v>
      </c>
      <c r="AH238" s="407">
        <v>0</v>
      </c>
      <c r="AI238" s="407">
        <v>0</v>
      </c>
      <c r="AJ238" s="407">
        <v>0</v>
      </c>
      <c r="AK238" s="407">
        <v>0</v>
      </c>
      <c r="AL238" s="407">
        <v>5.9505373724797987</v>
      </c>
      <c r="AM238" s="407"/>
      <c r="AN238" s="407">
        <v>1.4431808740612537</v>
      </c>
      <c r="AO238" s="407">
        <v>0</v>
      </c>
      <c r="AP238" s="407">
        <v>0</v>
      </c>
      <c r="AQ238" s="407">
        <v>0</v>
      </c>
      <c r="AR238" s="407">
        <v>0</v>
      </c>
      <c r="AS238" s="407">
        <v>0</v>
      </c>
      <c r="AT238" s="407">
        <v>0</v>
      </c>
      <c r="AU238" s="407">
        <v>0</v>
      </c>
      <c r="AV238" s="407">
        <v>0</v>
      </c>
      <c r="AW238" s="407">
        <v>0</v>
      </c>
      <c r="AX238" s="407">
        <v>0</v>
      </c>
      <c r="AY238" s="407">
        <v>0</v>
      </c>
      <c r="AZ238" s="407">
        <v>0</v>
      </c>
      <c r="BA238" s="407"/>
      <c r="BB238" s="407">
        <v>0</v>
      </c>
      <c r="BC238" s="407">
        <v>0</v>
      </c>
      <c r="BD238" s="407">
        <v>0</v>
      </c>
      <c r="BE238" s="407">
        <v>0</v>
      </c>
      <c r="BF238" s="407">
        <v>0</v>
      </c>
      <c r="BG238" s="407">
        <v>19.024862014301849</v>
      </c>
      <c r="BH238" s="407">
        <v>0</v>
      </c>
      <c r="BI238" s="407">
        <v>1.24</v>
      </c>
      <c r="BJ238" s="407">
        <v>5.79</v>
      </c>
      <c r="BK238" s="407">
        <v>0</v>
      </c>
      <c r="BL238" s="407">
        <v>3</v>
      </c>
      <c r="BM238" s="407"/>
      <c r="BN238" s="407"/>
      <c r="BO238" s="407"/>
      <c r="BP238" s="407"/>
      <c r="BQ238" s="407"/>
      <c r="BR238" s="407">
        <v>52.063200000000037</v>
      </c>
      <c r="BS238" s="407"/>
      <c r="BT238" s="407"/>
      <c r="BU238" s="407"/>
      <c r="BV238" s="407">
        <v>99.568721619657353</v>
      </c>
      <c r="BW238" s="407"/>
      <c r="BX238" s="407"/>
      <c r="BY238" s="407"/>
      <c r="BZ238" s="407"/>
      <c r="CA238" s="407"/>
      <c r="CB238" s="407"/>
      <c r="CC238" s="407"/>
      <c r="CD238" s="407"/>
      <c r="CE238" s="407"/>
      <c r="CF238" s="407"/>
      <c r="CG238" s="407"/>
      <c r="CH238" s="407"/>
      <c r="CI238" s="407">
        <v>381.82409999999999</v>
      </c>
      <c r="CJ238" s="407">
        <v>-83.000999999999976</v>
      </c>
      <c r="CK238" s="407"/>
      <c r="CL238" s="407"/>
      <c r="CM238" s="407"/>
      <c r="CN238" s="407"/>
      <c r="CO238" s="407">
        <v>-96.818399999999968</v>
      </c>
      <c r="CP238" s="407">
        <v>2.5326000000000066</v>
      </c>
      <c r="CQ238" s="407">
        <v>31</v>
      </c>
      <c r="CR238" s="407">
        <v>-1.5038240344872804</v>
      </c>
      <c r="CS238" s="407">
        <v>0</v>
      </c>
      <c r="CT238" s="407">
        <v>0</v>
      </c>
      <c r="CU238" s="407">
        <v>0</v>
      </c>
      <c r="CV238" s="407">
        <v>0</v>
      </c>
      <c r="CW238" s="407">
        <v>0</v>
      </c>
      <c r="CX238" s="407">
        <v>0</v>
      </c>
      <c r="CY238" s="407">
        <v>0</v>
      </c>
      <c r="CZ238" s="407">
        <v>-3.6137955260358012</v>
      </c>
      <c r="DA238" s="407">
        <v>0</v>
      </c>
      <c r="DB238" s="407">
        <v>0</v>
      </c>
      <c r="DC238" s="407">
        <v>2.5344101718973917</v>
      </c>
      <c r="DD238" s="407">
        <v>0</v>
      </c>
      <c r="DE238" s="407">
        <v>0</v>
      </c>
      <c r="DF238" s="407">
        <v>0</v>
      </c>
      <c r="DG238" s="407">
        <v>0.59864034383552678</v>
      </c>
      <c r="DH238" s="407">
        <v>0</v>
      </c>
      <c r="DI238" s="407">
        <v>-0.87626095514325897</v>
      </c>
      <c r="DJ238" s="407"/>
      <c r="DK238" s="407">
        <v>0</v>
      </c>
      <c r="DL238" s="407">
        <v>0</v>
      </c>
      <c r="DM238" s="407">
        <v>0</v>
      </c>
      <c r="DN238" s="407">
        <v>0</v>
      </c>
      <c r="DO238" s="407">
        <v>-0.11354834721460261</v>
      </c>
      <c r="DP238" s="407">
        <v>-3.3269721826515442E-2</v>
      </c>
      <c r="DQ238" s="407">
        <v>0</v>
      </c>
      <c r="DR238" s="407">
        <v>0</v>
      </c>
      <c r="DS238" s="407"/>
      <c r="DT238" s="407"/>
      <c r="DU238" s="407"/>
      <c r="DV238" s="407">
        <v>313.84539161756044</v>
      </c>
      <c r="DW238" s="407">
        <v>0</v>
      </c>
      <c r="DX238" s="407">
        <v>0</v>
      </c>
      <c r="DY238" s="407">
        <v>-96.81839999999994</v>
      </c>
      <c r="DZ238" s="407">
        <v>2.5326000000000164</v>
      </c>
      <c r="EA238" s="407">
        <v>0</v>
      </c>
      <c r="EB238" s="407">
        <v>0</v>
      </c>
      <c r="EC238" s="407">
        <v>-92.777651904181198</v>
      </c>
      <c r="ED238" s="407">
        <v>0</v>
      </c>
      <c r="EE238" s="407">
        <v>0</v>
      </c>
      <c r="EF238" s="407">
        <v>0</v>
      </c>
      <c r="EG238" s="407">
        <v>0</v>
      </c>
      <c r="EH238" s="407">
        <v>0</v>
      </c>
      <c r="EI238" s="407">
        <v>0</v>
      </c>
      <c r="EJ238" s="407">
        <v>0</v>
      </c>
      <c r="EK238" s="407">
        <v>0</v>
      </c>
      <c r="EL238" s="407">
        <v>0</v>
      </c>
      <c r="EM238" s="407">
        <v>0</v>
      </c>
      <c r="EN238" s="407">
        <v>0</v>
      </c>
      <c r="EO238" s="407">
        <v>0</v>
      </c>
      <c r="EP238" s="407">
        <v>0</v>
      </c>
      <c r="EQ238" s="407">
        <v>0</v>
      </c>
      <c r="ER238" s="407">
        <v>0</v>
      </c>
      <c r="ES238" s="407">
        <v>0</v>
      </c>
      <c r="ET238" s="407">
        <v>0</v>
      </c>
      <c r="EU238" s="407">
        <v>0</v>
      </c>
      <c r="EV238" s="407">
        <v>207</v>
      </c>
      <c r="EW238" s="407">
        <v>0</v>
      </c>
      <c r="EX238" s="407">
        <v>0</v>
      </c>
      <c r="EY238" s="407">
        <v>0</v>
      </c>
      <c r="EZ238" s="407"/>
      <c r="FA238" s="407">
        <v>0</v>
      </c>
      <c r="FB238" s="407"/>
      <c r="FC238" s="407"/>
      <c r="FD238" s="407"/>
      <c r="FE238" s="407"/>
      <c r="FF238" s="407">
        <v>0</v>
      </c>
      <c r="FG238" s="407">
        <v>0</v>
      </c>
      <c r="FH238" s="407">
        <v>0</v>
      </c>
      <c r="FI238" s="407">
        <v>0</v>
      </c>
    </row>
    <row r="239" spans="1:165">
      <c r="A239" s="407">
        <v>237</v>
      </c>
      <c r="B239" s="407" t="s">
        <v>1092</v>
      </c>
      <c r="C239" s="407" t="s">
        <v>2305</v>
      </c>
      <c r="D239" s="407" t="s">
        <v>1221</v>
      </c>
      <c r="E239" s="407" t="s">
        <v>2317</v>
      </c>
      <c r="F239" s="407" t="s">
        <v>96</v>
      </c>
      <c r="G239" s="407" t="s">
        <v>96</v>
      </c>
      <c r="H239" s="407" t="s">
        <v>96</v>
      </c>
      <c r="I239" s="407" t="s">
        <v>96</v>
      </c>
      <c r="J239" s="407" t="s">
        <v>2306</v>
      </c>
      <c r="K239" s="815">
        <v>44682</v>
      </c>
      <c r="L239" s="407">
        <v>0</v>
      </c>
      <c r="M239" s="407">
        <v>0</v>
      </c>
      <c r="N239" s="407">
        <v>10.375</v>
      </c>
      <c r="O239" s="407">
        <v>10.375</v>
      </c>
      <c r="P239" s="407">
        <v>10.375</v>
      </c>
      <c r="Q239" s="407">
        <v>10.375</v>
      </c>
      <c r="R239" s="407"/>
      <c r="S239" s="407">
        <v>710.52</v>
      </c>
      <c r="T239" s="407">
        <v>127.85</v>
      </c>
      <c r="U239" s="407"/>
      <c r="V239" s="407">
        <v>8698.088749999999</v>
      </c>
      <c r="W239" s="407">
        <v>8698.088749999999</v>
      </c>
      <c r="X239" s="407">
        <v>7145.36625</v>
      </c>
      <c r="Y239" s="407">
        <v>0</v>
      </c>
      <c r="Z239" s="407">
        <v>633.65392020560535</v>
      </c>
      <c r="AA239" s="407">
        <v>0</v>
      </c>
      <c r="AB239" s="407">
        <v>0</v>
      </c>
      <c r="AC239" s="407">
        <v>0</v>
      </c>
      <c r="AD239" s="407">
        <v>1134.4279663333398</v>
      </c>
      <c r="AE239" s="407">
        <v>5168.4856159241108</v>
      </c>
      <c r="AF239" s="407">
        <v>1326.4167355643863</v>
      </c>
      <c r="AG239" s="407">
        <v>0</v>
      </c>
      <c r="AH239" s="407">
        <v>0</v>
      </c>
      <c r="AI239" s="407">
        <v>0</v>
      </c>
      <c r="AJ239" s="407">
        <v>0</v>
      </c>
      <c r="AK239" s="407">
        <v>0</v>
      </c>
      <c r="AL239" s="407">
        <v>97.994960697583977</v>
      </c>
      <c r="AM239" s="407"/>
      <c r="AN239" s="407">
        <v>23.76666915616747</v>
      </c>
      <c r="AO239" s="407">
        <v>0</v>
      </c>
      <c r="AP239" s="407">
        <v>0</v>
      </c>
      <c r="AQ239" s="407">
        <v>0</v>
      </c>
      <c r="AR239" s="407">
        <v>0</v>
      </c>
      <c r="AS239" s="407">
        <v>0</v>
      </c>
      <c r="AT239" s="407">
        <v>0</v>
      </c>
      <c r="AU239" s="407">
        <v>0</v>
      </c>
      <c r="AV239" s="407">
        <v>0</v>
      </c>
      <c r="AW239" s="407">
        <v>0</v>
      </c>
      <c r="AX239" s="407">
        <v>0</v>
      </c>
      <c r="AY239" s="407">
        <v>0</v>
      </c>
      <c r="AZ239" s="407">
        <v>0</v>
      </c>
      <c r="BA239" s="407"/>
      <c r="BB239" s="407">
        <v>0</v>
      </c>
      <c r="BC239" s="407">
        <v>0</v>
      </c>
      <c r="BD239" s="407">
        <v>0</v>
      </c>
      <c r="BE239" s="407">
        <v>0</v>
      </c>
      <c r="BF239" s="407">
        <v>0</v>
      </c>
      <c r="BG239" s="407">
        <v>313.30625936251062</v>
      </c>
      <c r="BH239" s="407">
        <v>0</v>
      </c>
      <c r="BI239" s="407">
        <v>25</v>
      </c>
      <c r="BJ239" s="407">
        <v>115.42</v>
      </c>
      <c r="BK239" s="407">
        <v>1642.88</v>
      </c>
      <c r="BL239" s="407">
        <v>18</v>
      </c>
      <c r="BM239" s="407"/>
      <c r="BN239" s="407"/>
      <c r="BO239" s="407"/>
      <c r="BP239" s="407"/>
      <c r="BQ239" s="407"/>
      <c r="BR239" s="407"/>
      <c r="BS239" s="407"/>
      <c r="BT239" s="407"/>
      <c r="BU239" s="407"/>
      <c r="BV239" s="407">
        <v>1639.7229949268969</v>
      </c>
      <c r="BW239" s="407"/>
      <c r="BX239" s="407"/>
      <c r="BY239" s="407"/>
      <c r="BZ239" s="407"/>
      <c r="CA239" s="407"/>
      <c r="CB239" s="407"/>
      <c r="CC239" s="407"/>
      <c r="CD239" s="407"/>
      <c r="CE239" s="407"/>
      <c r="CF239" s="407"/>
      <c r="CG239" s="407"/>
      <c r="CH239" s="407"/>
      <c r="CI239" s="407">
        <v>7148.8098000000009</v>
      </c>
      <c r="CJ239" s="407">
        <v>-1549.3089499999987</v>
      </c>
      <c r="CK239" s="407"/>
      <c r="CL239" s="407"/>
      <c r="CM239" s="407"/>
      <c r="CN239" s="407"/>
      <c r="CO239" s="407">
        <v>-1594.4299999999994</v>
      </c>
      <c r="CP239" s="407">
        <v>41.70750000000011</v>
      </c>
      <c r="CQ239" s="407">
        <v>31</v>
      </c>
      <c r="CR239" s="407">
        <v>-24.765356123500169</v>
      </c>
      <c r="CS239" s="407">
        <v>0</v>
      </c>
      <c r="CT239" s="407">
        <v>0</v>
      </c>
      <c r="CU239" s="407">
        <v>0</v>
      </c>
      <c r="CV239" s="407">
        <v>0</v>
      </c>
      <c r="CW239" s="407">
        <v>0</v>
      </c>
      <c r="CX239" s="407">
        <v>0</v>
      </c>
      <c r="CY239" s="407">
        <v>0</v>
      </c>
      <c r="CZ239" s="407">
        <v>-59.512902512097526</v>
      </c>
      <c r="DA239" s="407">
        <v>0</v>
      </c>
      <c r="DB239" s="407">
        <v>0</v>
      </c>
      <c r="DC239" s="407">
        <v>41.737310370532441</v>
      </c>
      <c r="DD239" s="407">
        <v>0</v>
      </c>
      <c r="DE239" s="407">
        <v>0</v>
      </c>
      <c r="DF239" s="407">
        <v>0</v>
      </c>
      <c r="DG239" s="407">
        <v>9.8585612179263649</v>
      </c>
      <c r="DH239" s="407">
        <v>0</v>
      </c>
      <c r="DI239" s="407">
        <v>-14.430487951764007</v>
      </c>
      <c r="DJ239" s="407"/>
      <c r="DK239" s="407">
        <v>0</v>
      </c>
      <c r="DL239" s="407">
        <v>0</v>
      </c>
      <c r="DM239" s="407">
        <v>0</v>
      </c>
      <c r="DN239" s="407">
        <v>0</v>
      </c>
      <c r="DO239" s="407">
        <v>-1.8699430196055431</v>
      </c>
      <c r="DP239" s="407">
        <v>-0.54789422849221836</v>
      </c>
      <c r="DQ239" s="407">
        <v>0</v>
      </c>
      <c r="DR239" s="407">
        <v>0</v>
      </c>
      <c r="DS239" s="407"/>
      <c r="DT239" s="407"/>
      <c r="DU239" s="407"/>
      <c r="DV239" s="407">
        <v>5168.4856159241108</v>
      </c>
      <c r="DW239" s="407">
        <v>0</v>
      </c>
      <c r="DX239" s="407">
        <v>0</v>
      </c>
      <c r="DY239" s="407">
        <v>-1594.4299999999994</v>
      </c>
      <c r="DZ239" s="407">
        <v>41.707500000000209</v>
      </c>
      <c r="EA239" s="407">
        <v>0</v>
      </c>
      <c r="EB239" s="407">
        <v>0</v>
      </c>
      <c r="EC239" s="407">
        <v>-1527.8859341363177</v>
      </c>
      <c r="ED239" s="407">
        <v>0</v>
      </c>
      <c r="EE239" s="407">
        <v>0</v>
      </c>
      <c r="EF239" s="407">
        <v>0</v>
      </c>
      <c r="EG239" s="407">
        <v>0</v>
      </c>
      <c r="EH239" s="407">
        <v>0</v>
      </c>
      <c r="EI239" s="407">
        <v>0</v>
      </c>
      <c r="EJ239" s="407">
        <v>0</v>
      </c>
      <c r="EK239" s="407">
        <v>0</v>
      </c>
      <c r="EL239" s="407">
        <v>0</v>
      </c>
      <c r="EM239" s="407">
        <v>0</v>
      </c>
      <c r="EN239" s="407">
        <v>0</v>
      </c>
      <c r="EO239" s="407">
        <v>0</v>
      </c>
      <c r="EP239" s="407">
        <v>0</v>
      </c>
      <c r="EQ239" s="407">
        <v>0</v>
      </c>
      <c r="ER239" s="407">
        <v>0</v>
      </c>
      <c r="ES239" s="407">
        <v>0</v>
      </c>
      <c r="ET239" s="407">
        <v>0</v>
      </c>
      <c r="EU239" s="407">
        <v>0</v>
      </c>
      <c r="EV239" s="407">
        <v>207</v>
      </c>
      <c r="EW239" s="407">
        <v>0</v>
      </c>
      <c r="EX239" s="407">
        <v>0</v>
      </c>
      <c r="EY239" s="407">
        <v>0</v>
      </c>
      <c r="EZ239" s="407"/>
      <c r="FA239" s="407">
        <v>0</v>
      </c>
      <c r="FB239" s="407"/>
      <c r="FC239" s="407"/>
      <c r="FD239" s="407"/>
      <c r="FE239" s="407"/>
      <c r="FF239" s="407">
        <v>0</v>
      </c>
      <c r="FG239" s="407">
        <v>0</v>
      </c>
      <c r="FH239" s="407">
        <v>0</v>
      </c>
      <c r="FI239" s="407">
        <v>0</v>
      </c>
    </row>
    <row r="240" spans="1:165">
      <c r="A240" s="407">
        <v>238</v>
      </c>
      <c r="B240" s="407" t="s">
        <v>1092</v>
      </c>
      <c r="C240" s="407" t="s">
        <v>2305</v>
      </c>
      <c r="D240" s="407" t="s">
        <v>2318</v>
      </c>
      <c r="E240" s="407" t="s">
        <v>2319</v>
      </c>
      <c r="F240" s="407" t="s">
        <v>2320</v>
      </c>
      <c r="G240" s="407" t="s">
        <v>96</v>
      </c>
      <c r="H240" s="407" t="s">
        <v>96</v>
      </c>
      <c r="I240" s="407" t="s">
        <v>96</v>
      </c>
      <c r="J240" s="407" t="s">
        <v>2306</v>
      </c>
      <c r="K240" s="815">
        <v>44682</v>
      </c>
      <c r="L240" s="407">
        <v>0</v>
      </c>
      <c r="M240" s="407">
        <v>0</v>
      </c>
      <c r="N240" s="407">
        <v>40.347999999999999</v>
      </c>
      <c r="O240" s="407">
        <v>40.347999999999999</v>
      </c>
      <c r="P240" s="407">
        <v>40.347999999999999</v>
      </c>
      <c r="Q240" s="407">
        <v>40.347999999999999</v>
      </c>
      <c r="R240" s="407"/>
      <c r="S240" s="407">
        <v>390.79</v>
      </c>
      <c r="T240" s="407">
        <v>70.319999999999993</v>
      </c>
      <c r="U240" s="407"/>
      <c r="V240" s="407">
        <v>18604.866279999998</v>
      </c>
      <c r="W240" s="407">
        <v>18604.866279999998</v>
      </c>
      <c r="X240" s="407">
        <v>15283.41892</v>
      </c>
      <c r="Y240" s="407">
        <v>0</v>
      </c>
      <c r="Z240" s="407">
        <v>1355.3414558892223</v>
      </c>
      <c r="AA240" s="407">
        <v>0</v>
      </c>
      <c r="AB240" s="407">
        <v>0</v>
      </c>
      <c r="AC240" s="407">
        <v>0</v>
      </c>
      <c r="AD240" s="407">
        <v>2426.4621467074344</v>
      </c>
      <c r="AE240" s="407">
        <v>11055.029561177664</v>
      </c>
      <c r="AF240" s="407">
        <v>2837.11270800998</v>
      </c>
      <c r="AG240" s="407">
        <v>0</v>
      </c>
      <c r="AH240" s="407">
        <v>0</v>
      </c>
      <c r="AI240" s="407">
        <v>0</v>
      </c>
      <c r="AJ240" s="407">
        <v>0</v>
      </c>
      <c r="AK240" s="407">
        <v>0</v>
      </c>
      <c r="AL240" s="407">
        <v>209.60437309150504</v>
      </c>
      <c r="AM240" s="407"/>
      <c r="AN240" s="407">
        <v>50.835244521655561</v>
      </c>
      <c r="AO240" s="407">
        <v>0</v>
      </c>
      <c r="AP240" s="407">
        <v>0</v>
      </c>
      <c r="AQ240" s="407">
        <v>0</v>
      </c>
      <c r="AR240" s="407">
        <v>0</v>
      </c>
      <c r="AS240" s="407">
        <v>0</v>
      </c>
      <c r="AT240" s="407">
        <v>0</v>
      </c>
      <c r="AU240" s="407">
        <v>0</v>
      </c>
      <c r="AV240" s="407">
        <v>0</v>
      </c>
      <c r="AW240" s="407">
        <v>0</v>
      </c>
      <c r="AX240" s="407">
        <v>0</v>
      </c>
      <c r="AY240" s="407">
        <v>0</v>
      </c>
      <c r="AZ240" s="407">
        <v>0</v>
      </c>
      <c r="BA240" s="407"/>
      <c r="BB240" s="407">
        <v>0</v>
      </c>
      <c r="BC240" s="407">
        <v>0</v>
      </c>
      <c r="BD240" s="407">
        <v>0</v>
      </c>
      <c r="BE240" s="407">
        <v>0</v>
      </c>
      <c r="BF240" s="407">
        <v>0</v>
      </c>
      <c r="BG240" s="407">
        <v>670.14019508599904</v>
      </c>
      <c r="BH240" s="407">
        <v>0</v>
      </c>
      <c r="BI240" s="407">
        <v>53.91</v>
      </c>
      <c r="BJ240" s="407">
        <v>249.21</v>
      </c>
      <c r="BK240" s="407">
        <v>3546.57</v>
      </c>
      <c r="BL240" s="407">
        <v>36</v>
      </c>
      <c r="BM240" s="407"/>
      <c r="BN240" s="407"/>
      <c r="BO240" s="407"/>
      <c r="BP240" s="407"/>
      <c r="BQ240" s="407"/>
      <c r="BR240" s="407"/>
      <c r="BS240" s="407"/>
      <c r="BT240" s="407"/>
      <c r="BU240" s="407"/>
      <c r="BV240" s="407">
        <v>3507.252903095979</v>
      </c>
      <c r="BW240" s="407"/>
      <c r="BX240" s="407"/>
      <c r="BY240" s="407"/>
      <c r="BZ240" s="407"/>
      <c r="CA240" s="407"/>
      <c r="CB240" s="407"/>
      <c r="CC240" s="407"/>
      <c r="CD240" s="407"/>
      <c r="CE240" s="407"/>
      <c r="CF240" s="407"/>
      <c r="CG240" s="407"/>
      <c r="CH240" s="407"/>
      <c r="CI240" s="407">
        <v>15284.176500000001</v>
      </c>
      <c r="CJ240" s="407">
        <v>-3320.7197799999958</v>
      </c>
      <c r="CK240" s="407"/>
      <c r="CL240" s="407"/>
      <c r="CM240" s="407"/>
      <c r="CN240" s="407"/>
      <c r="CO240" s="407">
        <v>-3410.6164400000011</v>
      </c>
      <c r="CP240" s="407">
        <v>89.169080000000321</v>
      </c>
      <c r="CQ240" s="407">
        <v>31</v>
      </c>
      <c r="CR240" s="407">
        <v>-52.971366157024022</v>
      </c>
      <c r="CS240" s="407">
        <v>0</v>
      </c>
      <c r="CT240" s="407">
        <v>0</v>
      </c>
      <c r="CU240" s="407">
        <v>0</v>
      </c>
      <c r="CV240" s="407">
        <v>0</v>
      </c>
      <c r="CW240" s="407">
        <v>0</v>
      </c>
      <c r="CX240" s="407">
        <v>0</v>
      </c>
      <c r="CY240" s="407">
        <v>0</v>
      </c>
      <c r="CZ240" s="407">
        <v>-127.29393974042978</v>
      </c>
      <c r="DA240" s="407">
        <v>0</v>
      </c>
      <c r="DB240" s="407">
        <v>0</v>
      </c>
      <c r="DC240" s="407">
        <v>89.273190299434191</v>
      </c>
      <c r="DD240" s="407">
        <v>0</v>
      </c>
      <c r="DE240" s="407">
        <v>0</v>
      </c>
      <c r="DF240" s="407">
        <v>0</v>
      </c>
      <c r="DG240" s="407">
        <v>21.086773533633732</v>
      </c>
      <c r="DH240" s="407">
        <v>0</v>
      </c>
      <c r="DI240" s="407">
        <v>-30.865805333283106</v>
      </c>
      <c r="DJ240" s="407"/>
      <c r="DK240" s="407">
        <v>0</v>
      </c>
      <c r="DL240" s="407">
        <v>0</v>
      </c>
      <c r="DM240" s="407">
        <v>0</v>
      </c>
      <c r="DN240" s="407">
        <v>0</v>
      </c>
      <c r="DO240" s="407">
        <v>-3.9996774482194155</v>
      </c>
      <c r="DP240" s="407">
        <v>-1.1719074681601853</v>
      </c>
      <c r="DQ240" s="407">
        <v>0</v>
      </c>
      <c r="DR240" s="407">
        <v>0</v>
      </c>
      <c r="DS240" s="407"/>
      <c r="DT240" s="407"/>
      <c r="DU240" s="407"/>
      <c r="DV240" s="407">
        <v>11055.029561177664</v>
      </c>
      <c r="DW240" s="407">
        <v>0</v>
      </c>
      <c r="DX240" s="407">
        <v>0</v>
      </c>
      <c r="DY240" s="407">
        <v>-3410.6164399999998</v>
      </c>
      <c r="DZ240" s="407">
        <v>89.169080000000122</v>
      </c>
      <c r="EA240" s="407">
        <v>0</v>
      </c>
      <c r="EB240" s="407">
        <v>0</v>
      </c>
      <c r="EC240" s="407">
        <v>-3268.0412451848542</v>
      </c>
      <c r="ED240" s="407">
        <v>0</v>
      </c>
      <c r="EE240" s="407">
        <v>0</v>
      </c>
      <c r="EF240" s="407">
        <v>0</v>
      </c>
      <c r="EG240" s="407">
        <v>0</v>
      </c>
      <c r="EH240" s="407">
        <v>0</v>
      </c>
      <c r="EI240" s="407">
        <v>0</v>
      </c>
      <c r="EJ240" s="407">
        <v>0</v>
      </c>
      <c r="EK240" s="407">
        <v>0</v>
      </c>
      <c r="EL240" s="407">
        <v>0</v>
      </c>
      <c r="EM240" s="407">
        <v>0</v>
      </c>
      <c r="EN240" s="407">
        <v>0</v>
      </c>
      <c r="EO240" s="407">
        <v>0</v>
      </c>
      <c r="EP240" s="407">
        <v>0</v>
      </c>
      <c r="EQ240" s="407">
        <v>0</v>
      </c>
      <c r="ER240" s="407">
        <v>0</v>
      </c>
      <c r="ES240" s="407">
        <v>0</v>
      </c>
      <c r="ET240" s="407">
        <v>0</v>
      </c>
      <c r="EU240" s="407">
        <v>0</v>
      </c>
      <c r="EV240" s="407">
        <v>207</v>
      </c>
      <c r="EW240" s="407">
        <v>0</v>
      </c>
      <c r="EX240" s="407">
        <v>0</v>
      </c>
      <c r="EY240" s="407">
        <v>0</v>
      </c>
      <c r="EZ240" s="407"/>
      <c r="FA240" s="407">
        <v>0</v>
      </c>
      <c r="FB240" s="407"/>
      <c r="FC240" s="407"/>
      <c r="FD240" s="407"/>
      <c r="FE240" s="407"/>
      <c r="FF240" s="407">
        <v>0</v>
      </c>
      <c r="FG240" s="407">
        <v>0</v>
      </c>
      <c r="FH240" s="407">
        <v>0</v>
      </c>
      <c r="FI240" s="407">
        <v>0</v>
      </c>
    </row>
    <row r="241" spans="1:165">
      <c r="A241" s="407">
        <v>239</v>
      </c>
      <c r="B241" s="407" t="s">
        <v>1092</v>
      </c>
      <c r="C241" s="407" t="s">
        <v>2305</v>
      </c>
      <c r="D241" s="407" t="s">
        <v>1221</v>
      </c>
      <c r="E241" s="407" t="s">
        <v>1054</v>
      </c>
      <c r="F241" s="407" t="s">
        <v>2321</v>
      </c>
      <c r="G241" s="407" t="s">
        <v>96</v>
      </c>
      <c r="H241" s="407" t="s">
        <v>96</v>
      </c>
      <c r="I241" s="407" t="s">
        <v>96</v>
      </c>
      <c r="J241" s="407" t="s">
        <v>2306</v>
      </c>
      <c r="K241" s="815">
        <v>44682</v>
      </c>
      <c r="L241" s="407">
        <v>0</v>
      </c>
      <c r="M241" s="407">
        <v>0</v>
      </c>
      <c r="N241" s="407">
        <v>8.9</v>
      </c>
      <c r="O241" s="407">
        <v>8.3659999999999997</v>
      </c>
      <c r="P241" s="407">
        <v>8.9</v>
      </c>
      <c r="Q241" s="407">
        <v>8.3659999999999997</v>
      </c>
      <c r="R241" s="407"/>
      <c r="S241" s="407">
        <v>710.52</v>
      </c>
      <c r="T241" s="407">
        <v>127.85</v>
      </c>
      <c r="U241" s="407"/>
      <c r="V241" s="407">
        <v>7461.4929999999995</v>
      </c>
      <c r="W241" s="407">
        <v>7461.4929999999995</v>
      </c>
      <c r="X241" s="407">
        <v>6129.5190000000002</v>
      </c>
      <c r="Y241" s="407">
        <v>0</v>
      </c>
      <c r="Z241" s="407">
        <v>543.56818215227827</v>
      </c>
      <c r="AA241" s="407">
        <v>0</v>
      </c>
      <c r="AB241" s="407">
        <v>0</v>
      </c>
      <c r="AC241" s="407">
        <v>0</v>
      </c>
      <c r="AD241" s="407">
        <v>973.14784581847937</v>
      </c>
      <c r="AE241" s="407">
        <v>4433.6888657083937</v>
      </c>
      <c r="AF241" s="407">
        <v>1137.8418261708953</v>
      </c>
      <c r="AG241" s="407">
        <v>0</v>
      </c>
      <c r="AH241" s="407">
        <v>0</v>
      </c>
      <c r="AI241" s="407">
        <v>0</v>
      </c>
      <c r="AJ241" s="407">
        <v>0</v>
      </c>
      <c r="AK241" s="407">
        <v>0</v>
      </c>
      <c r="AL241" s="407">
        <v>84.063147008047949</v>
      </c>
      <c r="AM241" s="407"/>
      <c r="AN241" s="407">
        <v>20.38779330023041</v>
      </c>
      <c r="AO241" s="407">
        <v>0</v>
      </c>
      <c r="AP241" s="407">
        <v>0</v>
      </c>
      <c r="AQ241" s="407">
        <v>0</v>
      </c>
      <c r="AR241" s="407">
        <v>0</v>
      </c>
      <c r="AS241" s="407">
        <v>0</v>
      </c>
      <c r="AT241" s="407">
        <v>0</v>
      </c>
      <c r="AU241" s="407">
        <v>0</v>
      </c>
      <c r="AV241" s="407">
        <v>0</v>
      </c>
      <c r="AW241" s="407">
        <v>0</v>
      </c>
      <c r="AX241" s="407">
        <v>0</v>
      </c>
      <c r="AY241" s="407">
        <v>0</v>
      </c>
      <c r="AZ241" s="407">
        <v>0</v>
      </c>
      <c r="BA241" s="407"/>
      <c r="BB241" s="407">
        <v>0</v>
      </c>
      <c r="BC241" s="407">
        <v>0</v>
      </c>
      <c r="BD241" s="407">
        <v>0</v>
      </c>
      <c r="BE241" s="407">
        <v>0</v>
      </c>
      <c r="BF241" s="407">
        <v>0</v>
      </c>
      <c r="BG241" s="407">
        <v>268.76392369410547</v>
      </c>
      <c r="BH241" s="407">
        <v>0</v>
      </c>
      <c r="BI241" s="407">
        <v>44.58</v>
      </c>
      <c r="BJ241" s="407">
        <v>205.78</v>
      </c>
      <c r="BK241" s="407">
        <v>1424.96</v>
      </c>
      <c r="BL241" s="407">
        <v>1</v>
      </c>
      <c r="BM241" s="407"/>
      <c r="BN241" s="407"/>
      <c r="BO241" s="407"/>
      <c r="BP241" s="407"/>
      <c r="BQ241" s="407">
        <v>367.77114000000046</v>
      </c>
      <c r="BR241" s="407"/>
      <c r="BS241" s="407"/>
      <c r="BT241" s="407"/>
      <c r="BU241" s="407"/>
      <c r="BV241" s="407">
        <v>1406.6057498650007</v>
      </c>
      <c r="BW241" s="407"/>
      <c r="BX241" s="407"/>
      <c r="BY241" s="407"/>
      <c r="BZ241" s="407"/>
      <c r="CA241" s="407"/>
      <c r="CB241" s="407"/>
      <c r="CC241" s="407"/>
      <c r="CD241" s="407"/>
      <c r="CE241" s="407"/>
      <c r="CF241" s="407"/>
      <c r="CG241" s="407"/>
      <c r="CH241" s="407"/>
      <c r="CI241" s="407">
        <v>5764.5027</v>
      </c>
      <c r="CJ241" s="407">
        <v>-1249.3307199999999</v>
      </c>
      <c r="CK241" s="407"/>
      <c r="CL241" s="407"/>
      <c r="CM241" s="407"/>
      <c r="CN241" s="407"/>
      <c r="CO241" s="407">
        <v>-1367.7519999999995</v>
      </c>
      <c r="CP241" s="407">
        <v>35.778000000000091</v>
      </c>
      <c r="CQ241" s="407">
        <v>31</v>
      </c>
      <c r="CR241" s="407">
        <v>-21.244498264978574</v>
      </c>
      <c r="CS241" s="407">
        <v>0</v>
      </c>
      <c r="CT241" s="407">
        <v>0</v>
      </c>
      <c r="CU241" s="407">
        <v>0</v>
      </c>
      <c r="CV241" s="407">
        <v>0</v>
      </c>
      <c r="CW241" s="407">
        <v>0</v>
      </c>
      <c r="CX241" s="407">
        <v>0</v>
      </c>
      <c r="CY241" s="407">
        <v>0</v>
      </c>
      <c r="CZ241" s="407">
        <v>-51.052032034473882</v>
      </c>
      <c r="DA241" s="407">
        <v>0</v>
      </c>
      <c r="DB241" s="407">
        <v>0</v>
      </c>
      <c r="DC241" s="407">
        <v>35.803572269661572</v>
      </c>
      <c r="DD241" s="407">
        <v>0</v>
      </c>
      <c r="DE241" s="407">
        <v>0</v>
      </c>
      <c r="DF241" s="407">
        <v>0</v>
      </c>
      <c r="DG241" s="407">
        <v>8.4569826351368533</v>
      </c>
      <c r="DH241" s="407">
        <v>0</v>
      </c>
      <c r="DI241" s="407">
        <v>-12.378924604404688</v>
      </c>
      <c r="DJ241" s="407"/>
      <c r="DK241" s="407">
        <v>0</v>
      </c>
      <c r="DL241" s="407">
        <v>0</v>
      </c>
      <c r="DM241" s="407">
        <v>0</v>
      </c>
      <c r="DN241" s="407">
        <v>0</v>
      </c>
      <c r="DO241" s="407">
        <v>-1.6040956987459651</v>
      </c>
      <c r="DP241" s="407">
        <v>-0.47000083215236188</v>
      </c>
      <c r="DQ241" s="407">
        <v>0</v>
      </c>
      <c r="DR241" s="407">
        <v>0</v>
      </c>
      <c r="DS241" s="407"/>
      <c r="DT241" s="407"/>
      <c r="DU241" s="407"/>
      <c r="DV241" s="407">
        <v>4433.6888657083937</v>
      </c>
      <c r="DW241" s="407">
        <v>0</v>
      </c>
      <c r="DX241" s="407">
        <v>0</v>
      </c>
      <c r="DY241" s="407">
        <v>-1367.7519999999995</v>
      </c>
      <c r="DZ241" s="407">
        <v>35.77800000000002</v>
      </c>
      <c r="EA241" s="407">
        <v>0</v>
      </c>
      <c r="EB241" s="407">
        <v>0</v>
      </c>
      <c r="EC241" s="407">
        <v>-1310.6684157892269</v>
      </c>
      <c r="ED241" s="407">
        <v>0</v>
      </c>
      <c r="EE241" s="407">
        <v>0</v>
      </c>
      <c r="EF241" s="407">
        <v>0</v>
      </c>
      <c r="EG241" s="407">
        <v>0</v>
      </c>
      <c r="EH241" s="407">
        <v>0</v>
      </c>
      <c r="EI241" s="407">
        <v>0</v>
      </c>
      <c r="EJ241" s="407">
        <v>0</v>
      </c>
      <c r="EK241" s="407">
        <v>0</v>
      </c>
      <c r="EL241" s="407">
        <v>0</v>
      </c>
      <c r="EM241" s="407">
        <v>0</v>
      </c>
      <c r="EN241" s="407">
        <v>0</v>
      </c>
      <c r="EO241" s="407">
        <v>0</v>
      </c>
      <c r="EP241" s="407">
        <v>0</v>
      </c>
      <c r="EQ241" s="407">
        <v>0</v>
      </c>
      <c r="ER241" s="407">
        <v>0</v>
      </c>
      <c r="ES241" s="407">
        <v>0</v>
      </c>
      <c r="ET241" s="407">
        <v>0</v>
      </c>
      <c r="EU241" s="407">
        <v>0</v>
      </c>
      <c r="EV241" s="407">
        <v>207</v>
      </c>
      <c r="EW241" s="407">
        <v>0</v>
      </c>
      <c r="EX241" s="407">
        <v>0</v>
      </c>
      <c r="EY241" s="407">
        <v>0</v>
      </c>
      <c r="EZ241" s="407"/>
      <c r="FA241" s="407">
        <v>0</v>
      </c>
      <c r="FB241" s="407"/>
      <c r="FC241" s="407"/>
      <c r="FD241" s="407"/>
      <c r="FE241" s="407"/>
      <c r="FF241" s="407">
        <v>0</v>
      </c>
      <c r="FG241" s="407">
        <v>0</v>
      </c>
      <c r="FH241" s="407">
        <v>0</v>
      </c>
      <c r="FI241" s="407">
        <v>0</v>
      </c>
    </row>
    <row r="242" spans="1:165">
      <c r="A242" s="407">
        <v>240</v>
      </c>
      <c r="B242" s="407" t="s">
        <v>1092</v>
      </c>
      <c r="C242" s="407" t="s">
        <v>2305</v>
      </c>
      <c r="D242" s="407" t="s">
        <v>1220</v>
      </c>
      <c r="E242" s="407" t="s">
        <v>1023</v>
      </c>
      <c r="F242" s="407" t="s">
        <v>1023</v>
      </c>
      <c r="G242" s="407" t="s">
        <v>96</v>
      </c>
      <c r="H242" s="407" t="s">
        <v>96</v>
      </c>
      <c r="I242" s="407" t="s">
        <v>96</v>
      </c>
      <c r="J242" s="407" t="s">
        <v>2306</v>
      </c>
      <c r="K242" s="815">
        <v>44713</v>
      </c>
      <c r="L242" s="407">
        <v>0</v>
      </c>
      <c r="M242" s="407">
        <v>0</v>
      </c>
      <c r="N242" s="407">
        <v>920.95500000000004</v>
      </c>
      <c r="O242" s="407">
        <v>920.95500000000004</v>
      </c>
      <c r="P242" s="407">
        <v>920.95500000000004</v>
      </c>
      <c r="Q242" s="407">
        <v>920.95500000000004</v>
      </c>
      <c r="R242" s="407"/>
      <c r="S242" s="407">
        <v>710.52</v>
      </c>
      <c r="T242" s="407">
        <v>127.85</v>
      </c>
      <c r="U242" s="407"/>
      <c r="V242" s="407">
        <v>772101.04335000005</v>
      </c>
      <c r="W242" s="407">
        <v>772101.04335000005</v>
      </c>
      <c r="X242" s="407">
        <v>634270.91805000009</v>
      </c>
      <c r="Y242" s="407">
        <v>0</v>
      </c>
      <c r="Z242" s="407">
        <v>56247.397212814773</v>
      </c>
      <c r="AA242" s="407">
        <v>0</v>
      </c>
      <c r="AB242" s="407">
        <v>0</v>
      </c>
      <c r="AC242" s="407">
        <v>0</v>
      </c>
      <c r="AD242" s="407">
        <v>100699.48026356829</v>
      </c>
      <c r="AE242" s="407">
        <v>458789.65497960383</v>
      </c>
      <c r="AF242" s="407">
        <v>117741.69876642886</v>
      </c>
      <c r="AG242" s="407">
        <v>0</v>
      </c>
      <c r="AH242" s="407">
        <v>0</v>
      </c>
      <c r="AI242" s="407">
        <v>0</v>
      </c>
      <c r="AJ242" s="407">
        <v>0</v>
      </c>
      <c r="AK242" s="407">
        <v>0</v>
      </c>
      <c r="AL242" s="407">
        <v>8698.6938823367182</v>
      </c>
      <c r="AM242" s="407"/>
      <c r="AN242" s="407">
        <v>2109.6899077318762</v>
      </c>
      <c r="AO242" s="407">
        <v>0</v>
      </c>
      <c r="AP242" s="407">
        <v>0</v>
      </c>
      <c r="AQ242" s="407">
        <v>0</v>
      </c>
      <c r="AR242" s="407">
        <v>0</v>
      </c>
      <c r="AS242" s="407">
        <v>0</v>
      </c>
      <c r="AT242" s="407">
        <v>0</v>
      </c>
      <c r="AU242" s="407">
        <v>0</v>
      </c>
      <c r="AV242" s="407">
        <v>0</v>
      </c>
      <c r="AW242" s="407">
        <v>0</v>
      </c>
      <c r="AX242" s="407">
        <v>0</v>
      </c>
      <c r="AY242" s="407">
        <v>0</v>
      </c>
      <c r="AZ242" s="407">
        <v>0</v>
      </c>
      <c r="BA242" s="407"/>
      <c r="BB242" s="407">
        <v>0</v>
      </c>
      <c r="BC242" s="407">
        <v>0</v>
      </c>
      <c r="BD242" s="407">
        <v>0</v>
      </c>
      <c r="BE242" s="407">
        <v>0</v>
      </c>
      <c r="BF242" s="407">
        <v>0</v>
      </c>
      <c r="BG242" s="407">
        <v>27811.177454573586</v>
      </c>
      <c r="BH242" s="407">
        <v>0</v>
      </c>
      <c r="BI242" s="407">
        <v>2405.81</v>
      </c>
      <c r="BJ242" s="407">
        <v>11216.46</v>
      </c>
      <c r="BK242" s="407">
        <v>153086.17000000001</v>
      </c>
      <c r="BL242" s="407">
        <v>5563</v>
      </c>
      <c r="BM242" s="407"/>
      <c r="BN242" s="407"/>
      <c r="BO242" s="407"/>
      <c r="BP242" s="407"/>
      <c r="BQ242" s="407"/>
      <c r="BR242" s="407"/>
      <c r="BS242" s="407"/>
      <c r="BT242" s="407"/>
      <c r="BU242" s="407"/>
      <c r="BV242" s="407">
        <v>145552.87622100246</v>
      </c>
      <c r="BW242" s="407"/>
      <c r="BX242" s="407"/>
      <c r="BY242" s="407"/>
      <c r="BZ242" s="407"/>
      <c r="CA242" s="407"/>
      <c r="CB242" s="407"/>
      <c r="CC242" s="407"/>
      <c r="CD242" s="407"/>
      <c r="CE242" s="407"/>
      <c r="CF242" s="407"/>
      <c r="CG242" s="407"/>
      <c r="CH242" s="407"/>
      <c r="CI242" s="407">
        <v>634274.36160000006</v>
      </c>
      <c r="CJ242" s="407">
        <v>-137826.71175000002</v>
      </c>
      <c r="CK242" s="407"/>
      <c r="CL242" s="407"/>
      <c r="CM242" s="407"/>
      <c r="CN242" s="407"/>
      <c r="CO242" s="407">
        <v>-141532.36439999996</v>
      </c>
      <c r="CP242" s="407">
        <v>3702.2391000000098</v>
      </c>
      <c r="CQ242" s="407">
        <v>30</v>
      </c>
      <c r="CR242" s="407">
        <v>-2198.3401010813541</v>
      </c>
      <c r="CS242" s="407">
        <v>0</v>
      </c>
      <c r="CT242" s="407">
        <v>0</v>
      </c>
      <c r="CU242" s="407">
        <v>0</v>
      </c>
      <c r="CV242" s="407">
        <v>0</v>
      </c>
      <c r="CW242" s="407">
        <v>0</v>
      </c>
      <c r="CX242" s="407">
        <v>0</v>
      </c>
      <c r="CY242" s="407">
        <v>0</v>
      </c>
      <c r="CZ242" s="407">
        <v>-5282.7667598099943</v>
      </c>
      <c r="DA242" s="407">
        <v>0</v>
      </c>
      <c r="DB242" s="407">
        <v>0</v>
      </c>
      <c r="DC242" s="407">
        <v>3704.8852696186659</v>
      </c>
      <c r="DD242" s="407">
        <v>0</v>
      </c>
      <c r="DE242" s="407">
        <v>0</v>
      </c>
      <c r="DF242" s="407">
        <v>0</v>
      </c>
      <c r="DG242" s="407">
        <v>875.11240929690393</v>
      </c>
      <c r="DH242" s="407">
        <v>0</v>
      </c>
      <c r="DI242" s="407">
        <v>-1280.9474729269205</v>
      </c>
      <c r="DJ242" s="407"/>
      <c r="DK242" s="407">
        <v>0</v>
      </c>
      <c r="DL242" s="407">
        <v>0</v>
      </c>
      <c r="DM242" s="407">
        <v>0</v>
      </c>
      <c r="DN242" s="407">
        <v>0</v>
      </c>
      <c r="DO242" s="407">
        <v>-165.98875890321142</v>
      </c>
      <c r="DP242" s="407">
        <v>-48.634788356728222</v>
      </c>
      <c r="DQ242" s="407">
        <v>0</v>
      </c>
      <c r="DR242" s="407">
        <v>0</v>
      </c>
      <c r="DS242" s="407"/>
      <c r="DT242" s="407"/>
      <c r="DU242" s="407"/>
      <c r="DV242" s="407">
        <v>458789.65497960383</v>
      </c>
      <c r="DW242" s="407">
        <v>0</v>
      </c>
      <c r="DX242" s="407">
        <v>0</v>
      </c>
      <c r="DY242" s="407">
        <v>-141532.36439999996</v>
      </c>
      <c r="DZ242" s="407">
        <v>3702.2391000000061</v>
      </c>
      <c r="EA242" s="407">
        <v>0</v>
      </c>
      <c r="EB242" s="407">
        <v>0</v>
      </c>
      <c r="EC242" s="407">
        <v>-135625.46414192894</v>
      </c>
      <c r="ED242" s="407">
        <v>0</v>
      </c>
      <c r="EE242" s="407">
        <v>0</v>
      </c>
      <c r="EF242" s="407">
        <v>0</v>
      </c>
      <c r="EG242" s="407">
        <v>0</v>
      </c>
      <c r="EH242" s="407">
        <v>0</v>
      </c>
      <c r="EI242" s="407">
        <v>0</v>
      </c>
      <c r="EJ242" s="407">
        <v>0</v>
      </c>
      <c r="EK242" s="407">
        <v>0</v>
      </c>
      <c r="EL242" s="407">
        <v>0</v>
      </c>
      <c r="EM242" s="407">
        <v>0</v>
      </c>
      <c r="EN242" s="407">
        <v>0</v>
      </c>
      <c r="EO242" s="407">
        <v>0</v>
      </c>
      <c r="EP242" s="407">
        <v>0</v>
      </c>
      <c r="EQ242" s="407">
        <v>0</v>
      </c>
      <c r="ER242" s="407">
        <v>0</v>
      </c>
      <c r="ES242" s="407">
        <v>0</v>
      </c>
      <c r="ET242" s="407">
        <v>0</v>
      </c>
      <c r="EU242" s="407">
        <v>0</v>
      </c>
      <c r="EV242" s="407">
        <v>207</v>
      </c>
      <c r="EW242" s="407">
        <v>0</v>
      </c>
      <c r="EX242" s="407">
        <v>0</v>
      </c>
      <c r="EY242" s="407">
        <v>0</v>
      </c>
      <c r="EZ242" s="407"/>
      <c r="FA242" s="407">
        <v>0</v>
      </c>
      <c r="FB242" s="407"/>
      <c r="FC242" s="407"/>
      <c r="FD242" s="407"/>
      <c r="FE242" s="407"/>
      <c r="FF242" s="407">
        <v>0</v>
      </c>
      <c r="FG242" s="407">
        <v>0</v>
      </c>
      <c r="FH242" s="407">
        <v>0</v>
      </c>
      <c r="FI242" s="407">
        <v>0</v>
      </c>
    </row>
    <row r="243" spans="1:165">
      <c r="A243" s="407">
        <v>241</v>
      </c>
      <c r="B243" s="407" t="s">
        <v>2308</v>
      </c>
      <c r="C243" s="407" t="s">
        <v>2305</v>
      </c>
      <c r="D243" s="407" t="s">
        <v>1220</v>
      </c>
      <c r="E243" s="407" t="s">
        <v>1023</v>
      </c>
      <c r="F243" s="407" t="s">
        <v>1023</v>
      </c>
      <c r="G243" s="407" t="s">
        <v>96</v>
      </c>
      <c r="H243" s="407" t="s">
        <v>96</v>
      </c>
      <c r="I243" s="407" t="s">
        <v>96</v>
      </c>
      <c r="J243" s="407" t="s">
        <v>2306</v>
      </c>
      <c r="K243" s="815">
        <v>44713</v>
      </c>
      <c r="L243" s="407">
        <v>0</v>
      </c>
      <c r="M243" s="407">
        <v>0</v>
      </c>
      <c r="N243" s="407">
        <v>2.2930000000000001</v>
      </c>
      <c r="O243" s="407">
        <v>2.2930000000000001</v>
      </c>
      <c r="P243" s="407">
        <v>2.2930000000000001</v>
      </c>
      <c r="Q243" s="407">
        <v>2.2930000000000001</v>
      </c>
      <c r="R243" s="407"/>
      <c r="S243" s="407">
        <v>710.52</v>
      </c>
      <c r="T243" s="407">
        <v>127.85</v>
      </c>
      <c r="U243" s="407"/>
      <c r="V243" s="407">
        <v>1922.3824099999999</v>
      </c>
      <c r="W243" s="407">
        <v>1922.3824099999999</v>
      </c>
      <c r="X243" s="407">
        <v>1579.2120300000001</v>
      </c>
      <c r="Y243" s="407">
        <v>0</v>
      </c>
      <c r="Z243" s="407">
        <v>140.04515075001956</v>
      </c>
      <c r="AA243" s="407">
        <v>0</v>
      </c>
      <c r="AB243" s="407">
        <v>0</v>
      </c>
      <c r="AC243" s="407">
        <v>0</v>
      </c>
      <c r="AD243" s="407">
        <v>250.72224836649139</v>
      </c>
      <c r="AE243" s="407">
        <v>1142.2975920302638</v>
      </c>
      <c r="AF243" s="407">
        <v>293.15407948425428</v>
      </c>
      <c r="AG243" s="407">
        <v>0</v>
      </c>
      <c r="AH243" s="407">
        <v>0</v>
      </c>
      <c r="AI243" s="407">
        <v>0</v>
      </c>
      <c r="AJ243" s="407">
        <v>0</v>
      </c>
      <c r="AK243" s="407">
        <v>0</v>
      </c>
      <c r="AL243" s="407">
        <v>21.658066976343139</v>
      </c>
      <c r="AM243" s="407"/>
      <c r="AN243" s="407">
        <v>5.2527202289245318</v>
      </c>
      <c r="AO243" s="407">
        <v>0</v>
      </c>
      <c r="AP243" s="407">
        <v>0</v>
      </c>
      <c r="AQ243" s="407">
        <v>0</v>
      </c>
      <c r="AR243" s="407">
        <v>0</v>
      </c>
      <c r="AS243" s="407">
        <v>0</v>
      </c>
      <c r="AT243" s="407">
        <v>0</v>
      </c>
      <c r="AU243" s="407">
        <v>0</v>
      </c>
      <c r="AV243" s="407">
        <v>0</v>
      </c>
      <c r="AW243" s="407">
        <v>0</v>
      </c>
      <c r="AX243" s="407">
        <v>0</v>
      </c>
      <c r="AY243" s="407">
        <v>0</v>
      </c>
      <c r="AZ243" s="407">
        <v>0</v>
      </c>
      <c r="BA243" s="407"/>
      <c r="BB243" s="407">
        <v>0</v>
      </c>
      <c r="BC243" s="407">
        <v>0</v>
      </c>
      <c r="BD243" s="407">
        <v>0</v>
      </c>
      <c r="BE243" s="407">
        <v>0</v>
      </c>
      <c r="BF243" s="407">
        <v>0</v>
      </c>
      <c r="BG243" s="407">
        <v>69.244458093324042</v>
      </c>
      <c r="BH243" s="407">
        <v>0</v>
      </c>
      <c r="BI243" s="407">
        <v>6.69</v>
      </c>
      <c r="BJ243" s="407">
        <v>31.17</v>
      </c>
      <c r="BK243" s="407">
        <v>1103.79</v>
      </c>
      <c r="BL243" s="407">
        <v>20</v>
      </c>
      <c r="BM243" s="407"/>
      <c r="BN243" s="407"/>
      <c r="BO243" s="407"/>
      <c r="BP243" s="407"/>
      <c r="BQ243" s="407"/>
      <c r="BR243" s="407"/>
      <c r="BS243" s="407"/>
      <c r="BT243" s="407"/>
      <c r="BU243" s="407"/>
      <c r="BV243" s="407">
        <v>362.39853757757834</v>
      </c>
      <c r="BW243" s="407"/>
      <c r="BX243" s="407"/>
      <c r="BY243" s="407"/>
      <c r="BZ243" s="407"/>
      <c r="CA243" s="407"/>
      <c r="CB243" s="407"/>
      <c r="CC243" s="407"/>
      <c r="CD243" s="407"/>
      <c r="CE243" s="407"/>
      <c r="CF243" s="407"/>
      <c r="CG243" s="407"/>
      <c r="CH243" s="407"/>
      <c r="CI243" s="407">
        <v>1577.1459</v>
      </c>
      <c r="CJ243" s="407">
        <v>-345.26650999999993</v>
      </c>
      <c r="CK243" s="407"/>
      <c r="CL243" s="407"/>
      <c r="CM243" s="407"/>
      <c r="CN243" s="407"/>
      <c r="CO243" s="407">
        <v>-352.38823999999988</v>
      </c>
      <c r="CP243" s="407">
        <v>9.2178600000000248</v>
      </c>
      <c r="CQ243" s="407">
        <v>30</v>
      </c>
      <c r="CR243" s="407">
        <v>-5.473442081078133</v>
      </c>
      <c r="CS243" s="407">
        <v>0</v>
      </c>
      <c r="CT243" s="407">
        <v>0</v>
      </c>
      <c r="CU243" s="407">
        <v>0</v>
      </c>
      <c r="CV243" s="407">
        <v>0</v>
      </c>
      <c r="CW243" s="407">
        <v>0</v>
      </c>
      <c r="CX243" s="407">
        <v>0</v>
      </c>
      <c r="CY243" s="407">
        <v>0</v>
      </c>
      <c r="CZ243" s="407">
        <v>-13.153068478095349</v>
      </c>
      <c r="DA243" s="407">
        <v>0</v>
      </c>
      <c r="DB243" s="407">
        <v>0</v>
      </c>
      <c r="DC243" s="407">
        <v>9.2244484510487723</v>
      </c>
      <c r="DD243" s="407">
        <v>0</v>
      </c>
      <c r="DE243" s="407">
        <v>0</v>
      </c>
      <c r="DF243" s="407">
        <v>0</v>
      </c>
      <c r="DG243" s="407">
        <v>2.1788608070077231</v>
      </c>
      <c r="DH243" s="407">
        <v>0</v>
      </c>
      <c r="DI243" s="407">
        <v>-3.189311698640438</v>
      </c>
      <c r="DJ243" s="407"/>
      <c r="DK243" s="407">
        <v>0</v>
      </c>
      <c r="DL243" s="407">
        <v>0</v>
      </c>
      <c r="DM243" s="407">
        <v>0</v>
      </c>
      <c r="DN243" s="407">
        <v>0</v>
      </c>
      <c r="DO243" s="407">
        <v>-0.41327993676679853</v>
      </c>
      <c r="DP243" s="407">
        <v>-0.12109122563206398</v>
      </c>
      <c r="DQ243" s="407">
        <v>0</v>
      </c>
      <c r="DR243" s="407">
        <v>0</v>
      </c>
      <c r="DS243" s="407"/>
      <c r="DT243" s="407"/>
      <c r="DU243" s="407"/>
      <c r="DV243" s="407">
        <v>1142.2975920302638</v>
      </c>
      <c r="DW243" s="407">
        <v>0</v>
      </c>
      <c r="DX243" s="407">
        <v>0</v>
      </c>
      <c r="DY243" s="407">
        <v>-352.38823999999977</v>
      </c>
      <c r="DZ243" s="407">
        <v>9.2178600000000301</v>
      </c>
      <c r="EA243" s="407">
        <v>0</v>
      </c>
      <c r="EB243" s="407">
        <v>0</v>
      </c>
      <c r="EC243" s="407">
        <v>-337.68119970839302</v>
      </c>
      <c r="ED243" s="407">
        <v>0</v>
      </c>
      <c r="EE243" s="407">
        <v>0</v>
      </c>
      <c r="EF243" s="407">
        <v>0</v>
      </c>
      <c r="EG243" s="407">
        <v>0</v>
      </c>
      <c r="EH243" s="407">
        <v>0</v>
      </c>
      <c r="EI243" s="407">
        <v>0</v>
      </c>
      <c r="EJ243" s="407">
        <v>0</v>
      </c>
      <c r="EK243" s="407">
        <v>0</v>
      </c>
      <c r="EL243" s="407">
        <v>0</v>
      </c>
      <c r="EM243" s="407">
        <v>0</v>
      </c>
      <c r="EN243" s="407">
        <v>0</v>
      </c>
      <c r="EO243" s="407">
        <v>0</v>
      </c>
      <c r="EP243" s="407">
        <v>0</v>
      </c>
      <c r="EQ243" s="407">
        <v>0</v>
      </c>
      <c r="ER243" s="407">
        <v>0</v>
      </c>
      <c r="ES243" s="407">
        <v>0</v>
      </c>
      <c r="ET243" s="407">
        <v>0</v>
      </c>
      <c r="EU243" s="407">
        <v>0</v>
      </c>
      <c r="EV243" s="407">
        <v>207</v>
      </c>
      <c r="EW243" s="407">
        <v>0</v>
      </c>
      <c r="EX243" s="407">
        <v>0</v>
      </c>
      <c r="EY243" s="407">
        <v>0</v>
      </c>
      <c r="EZ243" s="407"/>
      <c r="FA243" s="407">
        <v>0</v>
      </c>
      <c r="FB243" s="407"/>
      <c r="FC243" s="407"/>
      <c r="FD243" s="407"/>
      <c r="FE243" s="407"/>
      <c r="FF243" s="407">
        <v>0</v>
      </c>
      <c r="FG243" s="407">
        <v>0</v>
      </c>
      <c r="FH243" s="407">
        <v>0</v>
      </c>
      <c r="FI243" s="407">
        <v>0</v>
      </c>
    </row>
    <row r="244" spans="1:165">
      <c r="A244" s="407">
        <v>242</v>
      </c>
      <c r="B244" s="407" t="s">
        <v>1092</v>
      </c>
      <c r="C244" s="407" t="s">
        <v>2305</v>
      </c>
      <c r="D244" s="407" t="s">
        <v>1220</v>
      </c>
      <c r="E244" s="407" t="s">
        <v>1023</v>
      </c>
      <c r="F244" s="407" t="s">
        <v>2309</v>
      </c>
      <c r="G244" s="407" t="s">
        <v>96</v>
      </c>
      <c r="H244" s="407" t="s">
        <v>96</v>
      </c>
      <c r="I244" s="407" t="s">
        <v>96</v>
      </c>
      <c r="J244" s="407" t="s">
        <v>2306</v>
      </c>
      <c r="K244" s="815">
        <v>44713</v>
      </c>
      <c r="L244" s="407">
        <v>0</v>
      </c>
      <c r="M244" s="407">
        <v>0</v>
      </c>
      <c r="N244" s="407">
        <v>21.87</v>
      </c>
      <c r="O244" s="407">
        <v>21.87</v>
      </c>
      <c r="P244" s="407">
        <v>21.87</v>
      </c>
      <c r="Q244" s="407">
        <v>21.87</v>
      </c>
      <c r="R244" s="407"/>
      <c r="S244" s="407">
        <v>640</v>
      </c>
      <c r="T244" s="407">
        <v>127.85</v>
      </c>
      <c r="U244" s="407"/>
      <c r="V244" s="407">
        <v>16792.879500000003</v>
      </c>
      <c r="W244" s="407">
        <v>16792.879500000003</v>
      </c>
      <c r="X244" s="407">
        <v>13554.1512</v>
      </c>
      <c r="Y244" s="407">
        <v>0</v>
      </c>
      <c r="Z244" s="407">
        <v>0</v>
      </c>
      <c r="AA244" s="407">
        <v>0</v>
      </c>
      <c r="AB244" s="407">
        <v>0</v>
      </c>
      <c r="AC244" s="407">
        <v>0</v>
      </c>
      <c r="AD244" s="407">
        <v>2391.3194818033871</v>
      </c>
      <c r="AE244" s="407">
        <v>10894.918594723886</v>
      </c>
      <c r="AF244" s="407">
        <v>2796.0225548716271</v>
      </c>
      <c r="AG244" s="407">
        <v>0</v>
      </c>
      <c r="AH244" s="407">
        <v>0</v>
      </c>
      <c r="AI244" s="407">
        <v>0</v>
      </c>
      <c r="AJ244" s="407">
        <v>0</v>
      </c>
      <c r="AK244" s="407">
        <v>0</v>
      </c>
      <c r="AL244" s="407">
        <v>0</v>
      </c>
      <c r="AM244" s="407"/>
      <c r="AN244" s="407">
        <v>50.098993199554954</v>
      </c>
      <c r="AO244" s="407">
        <v>0</v>
      </c>
      <c r="AP244" s="407">
        <v>0</v>
      </c>
      <c r="AQ244" s="407">
        <v>0</v>
      </c>
      <c r="AR244" s="407">
        <v>0</v>
      </c>
      <c r="AS244" s="407">
        <v>0</v>
      </c>
      <c r="AT244" s="407">
        <v>0</v>
      </c>
      <c r="AU244" s="407">
        <v>0</v>
      </c>
      <c r="AV244" s="407">
        <v>0</v>
      </c>
      <c r="AW244" s="407">
        <v>0</v>
      </c>
      <c r="AX244" s="407">
        <v>0</v>
      </c>
      <c r="AY244" s="407">
        <v>0</v>
      </c>
      <c r="AZ244" s="407">
        <v>0</v>
      </c>
      <c r="BA244" s="407"/>
      <c r="BB244" s="407">
        <v>0</v>
      </c>
      <c r="BC244" s="407">
        <v>0</v>
      </c>
      <c r="BD244" s="407">
        <v>0</v>
      </c>
      <c r="BE244" s="407">
        <v>0</v>
      </c>
      <c r="BF244" s="407">
        <v>0</v>
      </c>
      <c r="BG244" s="407">
        <v>660.43449563933564</v>
      </c>
      <c r="BH244" s="407">
        <v>0</v>
      </c>
      <c r="BI244" s="407">
        <v>53.96</v>
      </c>
      <c r="BJ244" s="407">
        <v>255.88</v>
      </c>
      <c r="BK244" s="407">
        <v>2216.9499999999998</v>
      </c>
      <c r="BL244" s="407">
        <v>71</v>
      </c>
      <c r="BM244" s="407"/>
      <c r="BN244" s="407"/>
      <c r="BO244" s="407"/>
      <c r="BP244" s="407"/>
      <c r="BQ244" s="407"/>
      <c r="BR244" s="407"/>
      <c r="BS244" s="407"/>
      <c r="BT244" s="407">
        <v>8810.3294999999998</v>
      </c>
      <c r="BU244" s="407"/>
      <c r="BV244" s="407">
        <v>3456.4570505109627</v>
      </c>
      <c r="BW244" s="407"/>
      <c r="BX244" s="407"/>
      <c r="BY244" s="407"/>
      <c r="BZ244" s="407"/>
      <c r="CA244" s="407"/>
      <c r="CB244" s="407"/>
      <c r="CC244" s="407"/>
      <c r="CD244" s="407"/>
      <c r="CE244" s="407"/>
      <c r="CF244" s="407"/>
      <c r="CG244" s="407"/>
      <c r="CH244" s="407"/>
      <c r="CI244" s="407">
        <v>4743.8217000000004</v>
      </c>
      <c r="CJ244" s="407">
        <v>-1133.7708000000002</v>
      </c>
      <c r="CK244" s="407"/>
      <c r="CL244" s="407"/>
      <c r="CM244" s="407"/>
      <c r="CN244" s="407"/>
      <c r="CO244" s="407">
        <v>-3326.6457000000005</v>
      </c>
      <c r="CP244" s="407">
        <v>87.917400000000228</v>
      </c>
      <c r="CQ244" s="407">
        <v>30</v>
      </c>
      <c r="CR244" s="407">
        <v>-17.843654272492131</v>
      </c>
      <c r="CS244" s="407">
        <v>0</v>
      </c>
      <c r="CT244" s="407">
        <v>0</v>
      </c>
      <c r="CU244" s="407">
        <v>0</v>
      </c>
      <c r="CV244" s="407">
        <v>0</v>
      </c>
      <c r="CW244" s="407">
        <v>0</v>
      </c>
      <c r="CX244" s="407">
        <v>0</v>
      </c>
      <c r="CY244" s="407">
        <v>0</v>
      </c>
      <c r="CZ244" s="407">
        <v>-125.45033040381395</v>
      </c>
      <c r="DA244" s="407">
        <v>0</v>
      </c>
      <c r="DB244" s="407">
        <v>0</v>
      </c>
      <c r="DC244" s="407">
        <v>87.980238824437947</v>
      </c>
      <c r="DD244" s="407">
        <v>0</v>
      </c>
      <c r="DE244" s="407">
        <v>0</v>
      </c>
      <c r="DF244" s="407">
        <v>0</v>
      </c>
      <c r="DG244" s="407">
        <v>20.781371936004803</v>
      </c>
      <c r="DH244" s="407">
        <v>0</v>
      </c>
      <c r="DI244" s="407">
        <v>0</v>
      </c>
      <c r="DJ244" s="407"/>
      <c r="DK244" s="407">
        <v>0</v>
      </c>
      <c r="DL244" s="407">
        <v>0</v>
      </c>
      <c r="DM244" s="407">
        <v>0</v>
      </c>
      <c r="DN244" s="407">
        <v>0</v>
      </c>
      <c r="DO244" s="407">
        <v>0</v>
      </c>
      <c r="DP244" s="407">
        <v>-1.1549346291204685</v>
      </c>
      <c r="DQ244" s="407">
        <v>0</v>
      </c>
      <c r="DR244" s="407">
        <v>0</v>
      </c>
      <c r="DS244" s="407"/>
      <c r="DT244" s="407"/>
      <c r="DU244" s="407"/>
      <c r="DV244" s="407">
        <v>10894.918594723886</v>
      </c>
      <c r="DW244" s="407">
        <v>0</v>
      </c>
      <c r="DX244" s="407">
        <v>0</v>
      </c>
      <c r="DY244" s="407">
        <v>-3326.6457000000009</v>
      </c>
      <c r="DZ244" s="407">
        <v>87.917400000000271</v>
      </c>
      <c r="EA244" s="407">
        <v>0</v>
      </c>
      <c r="EB244" s="407">
        <v>0</v>
      </c>
      <c r="EC244" s="407">
        <v>-3220.7099161022916</v>
      </c>
      <c r="ED244" s="407">
        <v>0</v>
      </c>
      <c r="EE244" s="407">
        <v>0</v>
      </c>
      <c r="EF244" s="407">
        <v>0</v>
      </c>
      <c r="EG244" s="407">
        <v>0</v>
      </c>
      <c r="EH244" s="407">
        <v>0</v>
      </c>
      <c r="EI244" s="407">
        <v>0</v>
      </c>
      <c r="EJ244" s="407">
        <v>0</v>
      </c>
      <c r="EK244" s="407">
        <v>0</v>
      </c>
      <c r="EL244" s="407">
        <v>0</v>
      </c>
      <c r="EM244" s="407">
        <v>0</v>
      </c>
      <c r="EN244" s="407">
        <v>0</v>
      </c>
      <c r="EO244" s="407">
        <v>0</v>
      </c>
      <c r="EP244" s="407">
        <v>0</v>
      </c>
      <c r="EQ244" s="407">
        <v>0</v>
      </c>
      <c r="ER244" s="407">
        <v>0</v>
      </c>
      <c r="ES244" s="407">
        <v>0</v>
      </c>
      <c r="ET244" s="407">
        <v>0</v>
      </c>
      <c r="EU244" s="407">
        <v>0</v>
      </c>
      <c r="EV244" s="407">
        <v>207</v>
      </c>
      <c r="EW244" s="407">
        <v>0</v>
      </c>
      <c r="EX244" s="407">
        <v>0</v>
      </c>
      <c r="EY244" s="407">
        <v>0</v>
      </c>
      <c r="EZ244" s="407"/>
      <c r="FA244" s="407">
        <v>0</v>
      </c>
      <c r="FB244" s="407"/>
      <c r="FC244" s="407"/>
      <c r="FD244" s="407"/>
      <c r="FE244" s="407"/>
      <c r="FF244" s="407">
        <v>0</v>
      </c>
      <c r="FG244" s="407">
        <v>0</v>
      </c>
      <c r="FH244" s="407">
        <v>0</v>
      </c>
      <c r="FI244" s="407">
        <v>0</v>
      </c>
    </row>
    <row r="245" spans="1:165">
      <c r="A245" s="407">
        <v>243</v>
      </c>
      <c r="B245" s="407" t="s">
        <v>1092</v>
      </c>
      <c r="C245" s="407" t="s">
        <v>2305</v>
      </c>
      <c r="D245" s="407" t="s">
        <v>1220</v>
      </c>
      <c r="E245" s="407" t="s">
        <v>1023</v>
      </c>
      <c r="F245" s="407" t="s">
        <v>2310</v>
      </c>
      <c r="G245" s="407" t="s">
        <v>96</v>
      </c>
      <c r="H245" s="407" t="s">
        <v>96</v>
      </c>
      <c r="I245" s="407" t="s">
        <v>96</v>
      </c>
      <c r="J245" s="407" t="s">
        <v>2306</v>
      </c>
      <c r="K245" s="815">
        <v>44713</v>
      </c>
      <c r="L245" s="407">
        <v>0</v>
      </c>
      <c r="M245" s="407">
        <v>0</v>
      </c>
      <c r="N245" s="407">
        <v>40.319000000000003</v>
      </c>
      <c r="O245" s="407">
        <v>40.319000000000003</v>
      </c>
      <c r="P245" s="407">
        <v>40.319000000000003</v>
      </c>
      <c r="Q245" s="407">
        <v>40.319000000000003</v>
      </c>
      <c r="R245" s="407"/>
      <c r="S245" s="407">
        <v>640</v>
      </c>
      <c r="T245" s="407">
        <v>127.85</v>
      </c>
      <c r="U245" s="407"/>
      <c r="V245" s="407">
        <v>30958.944150000003</v>
      </c>
      <c r="W245" s="407">
        <v>30958.944150000003</v>
      </c>
      <c r="X245" s="407">
        <v>24988.103439999999</v>
      </c>
      <c r="Y245" s="407">
        <v>0</v>
      </c>
      <c r="Z245" s="407">
        <v>0</v>
      </c>
      <c r="AA245" s="407">
        <v>0</v>
      </c>
      <c r="AB245" s="407">
        <v>0</v>
      </c>
      <c r="AC245" s="407">
        <v>0</v>
      </c>
      <c r="AD245" s="407">
        <v>4408.5784264668846</v>
      </c>
      <c r="AE245" s="407">
        <v>20085.606896235589</v>
      </c>
      <c r="AF245" s="407">
        <v>5154.6791673465541</v>
      </c>
      <c r="AG245" s="407">
        <v>0</v>
      </c>
      <c r="AH245" s="407">
        <v>0</v>
      </c>
      <c r="AI245" s="407">
        <v>0</v>
      </c>
      <c r="AJ245" s="407">
        <v>0</v>
      </c>
      <c r="AK245" s="407">
        <v>0</v>
      </c>
      <c r="AL245" s="407">
        <v>0</v>
      </c>
      <c r="AM245" s="407"/>
      <c r="AN245" s="407">
        <v>92.361285176628087</v>
      </c>
      <c r="AO245" s="407">
        <v>0</v>
      </c>
      <c r="AP245" s="407">
        <v>0</v>
      </c>
      <c r="AQ245" s="407">
        <v>0</v>
      </c>
      <c r="AR245" s="407">
        <v>0</v>
      </c>
      <c r="AS245" s="407">
        <v>0</v>
      </c>
      <c r="AT245" s="407">
        <v>0</v>
      </c>
      <c r="AU245" s="407">
        <v>0</v>
      </c>
      <c r="AV245" s="407">
        <v>0</v>
      </c>
      <c r="AW245" s="407">
        <v>0</v>
      </c>
      <c r="AX245" s="407">
        <v>0</v>
      </c>
      <c r="AY245" s="407">
        <v>0</v>
      </c>
      <c r="AZ245" s="407">
        <v>0</v>
      </c>
      <c r="BA245" s="407"/>
      <c r="BB245" s="407">
        <v>0</v>
      </c>
      <c r="BC245" s="407">
        <v>0</v>
      </c>
      <c r="BD245" s="407">
        <v>0</v>
      </c>
      <c r="BE245" s="407">
        <v>0</v>
      </c>
      <c r="BF245" s="407">
        <v>0</v>
      </c>
      <c r="BG245" s="407">
        <v>1217.5609707216449</v>
      </c>
      <c r="BH245" s="407">
        <v>0</v>
      </c>
      <c r="BI245" s="407">
        <v>96.72</v>
      </c>
      <c r="BJ245" s="407">
        <v>451.59</v>
      </c>
      <c r="BK245" s="407">
        <v>5167.75</v>
      </c>
      <c r="BL245" s="407">
        <v>180</v>
      </c>
      <c r="BM245" s="407"/>
      <c r="BN245" s="407"/>
      <c r="BO245" s="407"/>
      <c r="BP245" s="407"/>
      <c r="BQ245" s="407"/>
      <c r="BR245" s="407"/>
      <c r="BS245" s="407"/>
      <c r="BT245" s="407">
        <v>9995.0800999999992</v>
      </c>
      <c r="BU245" s="407"/>
      <c r="BV245" s="407">
        <v>6372.2401380681986</v>
      </c>
      <c r="BW245" s="407"/>
      <c r="BX245" s="407"/>
      <c r="BY245" s="407"/>
      <c r="BZ245" s="407"/>
      <c r="CA245" s="407"/>
      <c r="CB245" s="407"/>
      <c r="CC245" s="407"/>
      <c r="CD245" s="407"/>
      <c r="CE245" s="407"/>
      <c r="CF245" s="407"/>
      <c r="CG245" s="407"/>
      <c r="CH245" s="407"/>
      <c r="CI245" s="407">
        <v>14993.395199999999</v>
      </c>
      <c r="CJ245" s="407">
        <v>-3582.0012900000002</v>
      </c>
      <c r="CK245" s="407"/>
      <c r="CL245" s="407"/>
      <c r="CM245" s="407"/>
      <c r="CN245" s="407"/>
      <c r="CO245" s="407">
        <v>-6132.9230900000011</v>
      </c>
      <c r="CP245" s="407">
        <v>162.08238000000043</v>
      </c>
      <c r="CQ245" s="407">
        <v>30</v>
      </c>
      <c r="CR245" s="407">
        <v>-32.896126959880348</v>
      </c>
      <c r="CS245" s="407">
        <v>0</v>
      </c>
      <c r="CT245" s="407">
        <v>0</v>
      </c>
      <c r="CU245" s="407">
        <v>0</v>
      </c>
      <c r="CV245" s="407">
        <v>0</v>
      </c>
      <c r="CW245" s="407">
        <v>0</v>
      </c>
      <c r="CX245" s="407">
        <v>0</v>
      </c>
      <c r="CY245" s="407">
        <v>0</v>
      </c>
      <c r="CZ245" s="407">
        <v>-231.27717748291616</v>
      </c>
      <c r="DA245" s="407">
        <v>0</v>
      </c>
      <c r="DB245" s="407">
        <v>0</v>
      </c>
      <c r="DC245" s="407">
        <v>162.19822812814436</v>
      </c>
      <c r="DD245" s="407">
        <v>0</v>
      </c>
      <c r="DE245" s="407">
        <v>0</v>
      </c>
      <c r="DF245" s="407">
        <v>0</v>
      </c>
      <c r="DG245" s="407">
        <v>38.312031782705844</v>
      </c>
      <c r="DH245" s="407">
        <v>0</v>
      </c>
      <c r="DI245" s="407">
        <v>0</v>
      </c>
      <c r="DJ245" s="407"/>
      <c r="DK245" s="407">
        <v>0</v>
      </c>
      <c r="DL245" s="407">
        <v>0</v>
      </c>
      <c r="DM245" s="407">
        <v>0</v>
      </c>
      <c r="DN245" s="407">
        <v>0</v>
      </c>
      <c r="DO245" s="407">
        <v>0</v>
      </c>
      <c r="DP245" s="407">
        <v>-2.1292093878147398</v>
      </c>
      <c r="DQ245" s="407">
        <v>0</v>
      </c>
      <c r="DR245" s="407">
        <v>0</v>
      </c>
      <c r="DS245" s="407"/>
      <c r="DT245" s="407"/>
      <c r="DU245" s="407"/>
      <c r="DV245" s="407">
        <v>20085.606896235589</v>
      </c>
      <c r="DW245" s="407">
        <v>0</v>
      </c>
      <c r="DX245" s="407">
        <v>0</v>
      </c>
      <c r="DY245" s="407">
        <v>-6132.9230900000039</v>
      </c>
      <c r="DZ245" s="407">
        <v>162.08237999999983</v>
      </c>
      <c r="EA245" s="407">
        <v>0</v>
      </c>
      <c r="EB245" s="407">
        <v>0</v>
      </c>
      <c r="EC245" s="407">
        <v>-5937.6224557534661</v>
      </c>
      <c r="ED245" s="407">
        <v>0</v>
      </c>
      <c r="EE245" s="407">
        <v>0</v>
      </c>
      <c r="EF245" s="407">
        <v>0</v>
      </c>
      <c r="EG245" s="407">
        <v>0</v>
      </c>
      <c r="EH245" s="407">
        <v>0</v>
      </c>
      <c r="EI245" s="407">
        <v>0</v>
      </c>
      <c r="EJ245" s="407">
        <v>0</v>
      </c>
      <c r="EK245" s="407">
        <v>0</v>
      </c>
      <c r="EL245" s="407">
        <v>0</v>
      </c>
      <c r="EM245" s="407">
        <v>0</v>
      </c>
      <c r="EN245" s="407">
        <v>0</v>
      </c>
      <c r="EO245" s="407">
        <v>0</v>
      </c>
      <c r="EP245" s="407">
        <v>0</v>
      </c>
      <c r="EQ245" s="407">
        <v>0</v>
      </c>
      <c r="ER245" s="407">
        <v>0</v>
      </c>
      <c r="ES245" s="407">
        <v>0</v>
      </c>
      <c r="ET245" s="407">
        <v>0</v>
      </c>
      <c r="EU245" s="407">
        <v>0</v>
      </c>
      <c r="EV245" s="407">
        <v>207</v>
      </c>
      <c r="EW245" s="407">
        <v>0</v>
      </c>
      <c r="EX245" s="407">
        <v>0</v>
      </c>
      <c r="EY245" s="407">
        <v>0</v>
      </c>
      <c r="EZ245" s="407"/>
      <c r="FA245" s="407">
        <v>0</v>
      </c>
      <c r="FB245" s="407"/>
      <c r="FC245" s="407"/>
      <c r="FD245" s="407"/>
      <c r="FE245" s="407"/>
      <c r="FF245" s="407">
        <v>0</v>
      </c>
      <c r="FG245" s="407">
        <v>0</v>
      </c>
      <c r="FH245" s="407">
        <v>0</v>
      </c>
      <c r="FI245" s="407">
        <v>0</v>
      </c>
    </row>
    <row r="246" spans="1:165">
      <c r="A246" s="407">
        <v>244</v>
      </c>
      <c r="B246" s="407" t="s">
        <v>1092</v>
      </c>
      <c r="C246" s="407" t="s">
        <v>2305</v>
      </c>
      <c r="D246" s="407" t="s">
        <v>1220</v>
      </c>
      <c r="E246" s="407" t="s">
        <v>1023</v>
      </c>
      <c r="F246" s="407" t="s">
        <v>2311</v>
      </c>
      <c r="G246" s="407" t="s">
        <v>96</v>
      </c>
      <c r="H246" s="407" t="s">
        <v>96</v>
      </c>
      <c r="I246" s="407" t="s">
        <v>96</v>
      </c>
      <c r="J246" s="407" t="s">
        <v>2306</v>
      </c>
      <c r="K246" s="815">
        <v>44713</v>
      </c>
      <c r="L246" s="407">
        <v>0</v>
      </c>
      <c r="M246" s="407">
        <v>0</v>
      </c>
      <c r="N246" s="407">
        <v>36.084000000000003</v>
      </c>
      <c r="O246" s="407">
        <v>36.084000000000003</v>
      </c>
      <c r="P246" s="407">
        <v>36.084000000000003</v>
      </c>
      <c r="Q246" s="407">
        <v>36.084000000000003</v>
      </c>
      <c r="R246" s="407"/>
      <c r="S246" s="407">
        <v>640</v>
      </c>
      <c r="T246" s="407">
        <v>127.85</v>
      </c>
      <c r="U246" s="407"/>
      <c r="V246" s="407">
        <v>27707.099400000003</v>
      </c>
      <c r="W246" s="407">
        <v>27707.099400000003</v>
      </c>
      <c r="X246" s="407">
        <v>22363.419840000002</v>
      </c>
      <c r="Y246" s="407">
        <v>0</v>
      </c>
      <c r="Z246" s="407">
        <v>0</v>
      </c>
      <c r="AA246" s="407">
        <v>0</v>
      </c>
      <c r="AB246" s="407">
        <v>0</v>
      </c>
      <c r="AC246" s="407">
        <v>0</v>
      </c>
      <c r="AD246" s="407">
        <v>3945.5131312937092</v>
      </c>
      <c r="AE246" s="407">
        <v>17975.868430361988</v>
      </c>
      <c r="AF246" s="407">
        <v>4613.2454444438863</v>
      </c>
      <c r="AG246" s="407">
        <v>0</v>
      </c>
      <c r="AH246" s="407">
        <v>0</v>
      </c>
      <c r="AI246" s="407">
        <v>0</v>
      </c>
      <c r="AJ246" s="407">
        <v>0</v>
      </c>
      <c r="AK246" s="407">
        <v>0</v>
      </c>
      <c r="AL246" s="407">
        <v>0</v>
      </c>
      <c r="AM246" s="407"/>
      <c r="AN246" s="407">
        <v>82.659902634327437</v>
      </c>
      <c r="AO246" s="407">
        <v>0</v>
      </c>
      <c r="AP246" s="407">
        <v>0</v>
      </c>
      <c r="AQ246" s="407">
        <v>0</v>
      </c>
      <c r="AR246" s="407">
        <v>0</v>
      </c>
      <c r="AS246" s="407">
        <v>0</v>
      </c>
      <c r="AT246" s="407">
        <v>0</v>
      </c>
      <c r="AU246" s="407">
        <v>0</v>
      </c>
      <c r="AV246" s="407">
        <v>0</v>
      </c>
      <c r="AW246" s="407">
        <v>0</v>
      </c>
      <c r="AX246" s="407">
        <v>0</v>
      </c>
      <c r="AY246" s="407">
        <v>0</v>
      </c>
      <c r="AZ246" s="407">
        <v>0</v>
      </c>
      <c r="BA246" s="407"/>
      <c r="BB246" s="407">
        <v>0</v>
      </c>
      <c r="BC246" s="407">
        <v>0</v>
      </c>
      <c r="BD246" s="407">
        <v>0</v>
      </c>
      <c r="BE246" s="407">
        <v>0</v>
      </c>
      <c r="BF246" s="407">
        <v>0</v>
      </c>
      <c r="BG246" s="407">
        <v>1089.6716205143937</v>
      </c>
      <c r="BH246" s="407">
        <v>0</v>
      </c>
      <c r="BI246" s="407">
        <v>92.4</v>
      </c>
      <c r="BJ246" s="407">
        <v>427.28</v>
      </c>
      <c r="BK246" s="407">
        <v>6473.8</v>
      </c>
      <c r="BL246" s="407">
        <v>329</v>
      </c>
      <c r="BM246" s="407"/>
      <c r="BN246" s="407"/>
      <c r="BO246" s="407"/>
      <c r="BP246" s="407"/>
      <c r="BQ246" s="407"/>
      <c r="BR246" s="407"/>
      <c r="BS246" s="407"/>
      <c r="BT246" s="407">
        <v>2236.4863199999991</v>
      </c>
      <c r="BU246" s="407"/>
      <c r="BV246" s="407">
        <v>5702.9170649582802</v>
      </c>
      <c r="BW246" s="407"/>
      <c r="BX246" s="407"/>
      <c r="BY246" s="407"/>
      <c r="BZ246" s="407"/>
      <c r="CA246" s="407"/>
      <c r="CB246" s="407"/>
      <c r="CC246" s="407"/>
      <c r="CD246" s="407"/>
      <c r="CE246" s="407"/>
      <c r="CF246" s="407"/>
      <c r="CG246" s="407"/>
      <c r="CH246" s="407"/>
      <c r="CI246" s="407">
        <v>20124.702400000002</v>
      </c>
      <c r="CJ246" s="407">
        <v>-4811.5366399999948</v>
      </c>
      <c r="CK246" s="407"/>
      <c r="CL246" s="407"/>
      <c r="CM246" s="407"/>
      <c r="CN246" s="407"/>
      <c r="CO246" s="407">
        <v>-5488.7372400000013</v>
      </c>
      <c r="CP246" s="407">
        <v>145.05768000000037</v>
      </c>
      <c r="CQ246" s="407">
        <v>30</v>
      </c>
      <c r="CR246" s="407">
        <v>-29.44080570501319</v>
      </c>
      <c r="CS246" s="407">
        <v>0</v>
      </c>
      <c r="CT246" s="407">
        <v>0</v>
      </c>
      <c r="CU246" s="407">
        <v>0</v>
      </c>
      <c r="CV246" s="407">
        <v>0</v>
      </c>
      <c r="CW246" s="407">
        <v>0</v>
      </c>
      <c r="CX246" s="407">
        <v>0</v>
      </c>
      <c r="CY246" s="407">
        <v>0</v>
      </c>
      <c r="CZ246" s="407">
        <v>-206.98444089123086</v>
      </c>
      <c r="DA246" s="407">
        <v>0</v>
      </c>
      <c r="DB246" s="407">
        <v>0</v>
      </c>
      <c r="DC246" s="407">
        <v>145.16135975038924</v>
      </c>
      <c r="DD246" s="407">
        <v>0</v>
      </c>
      <c r="DE246" s="407">
        <v>0</v>
      </c>
      <c r="DF246" s="407">
        <v>0</v>
      </c>
      <c r="DG246" s="407">
        <v>34.287838360255819</v>
      </c>
      <c r="DH246" s="407">
        <v>0</v>
      </c>
      <c r="DI246" s="407">
        <v>0</v>
      </c>
      <c r="DJ246" s="407"/>
      <c r="DK246" s="407">
        <v>0</v>
      </c>
      <c r="DL246" s="407">
        <v>0</v>
      </c>
      <c r="DM246" s="407">
        <v>0</v>
      </c>
      <c r="DN246" s="407">
        <v>0</v>
      </c>
      <c r="DO246" s="407">
        <v>0</v>
      </c>
      <c r="DP246" s="407">
        <v>-1.9055629244253822</v>
      </c>
      <c r="DQ246" s="407">
        <v>0</v>
      </c>
      <c r="DR246" s="407">
        <v>0</v>
      </c>
      <c r="DS246" s="407"/>
      <c r="DT246" s="407"/>
      <c r="DU246" s="407"/>
      <c r="DV246" s="407">
        <v>17975.868430361988</v>
      </c>
      <c r="DW246" s="407">
        <v>0</v>
      </c>
      <c r="DX246" s="407">
        <v>0</v>
      </c>
      <c r="DY246" s="407">
        <v>-5488.7372400000022</v>
      </c>
      <c r="DZ246" s="407">
        <v>145.0576800000008</v>
      </c>
      <c r="EA246" s="407">
        <v>0</v>
      </c>
      <c r="EB246" s="407">
        <v>0</v>
      </c>
      <c r="EC246" s="407">
        <v>-5313.9504623975808</v>
      </c>
      <c r="ED246" s="407">
        <v>0</v>
      </c>
      <c r="EE246" s="407">
        <v>0</v>
      </c>
      <c r="EF246" s="407">
        <v>0</v>
      </c>
      <c r="EG246" s="407">
        <v>0</v>
      </c>
      <c r="EH246" s="407">
        <v>0</v>
      </c>
      <c r="EI246" s="407">
        <v>0</v>
      </c>
      <c r="EJ246" s="407">
        <v>0</v>
      </c>
      <c r="EK246" s="407">
        <v>0</v>
      </c>
      <c r="EL246" s="407">
        <v>0</v>
      </c>
      <c r="EM246" s="407">
        <v>0</v>
      </c>
      <c r="EN246" s="407">
        <v>0</v>
      </c>
      <c r="EO246" s="407">
        <v>0</v>
      </c>
      <c r="EP246" s="407">
        <v>0</v>
      </c>
      <c r="EQ246" s="407">
        <v>0</v>
      </c>
      <c r="ER246" s="407">
        <v>0</v>
      </c>
      <c r="ES246" s="407">
        <v>0</v>
      </c>
      <c r="ET246" s="407">
        <v>0</v>
      </c>
      <c r="EU246" s="407">
        <v>0</v>
      </c>
      <c r="EV246" s="407">
        <v>207</v>
      </c>
      <c r="EW246" s="407">
        <v>0</v>
      </c>
      <c r="EX246" s="407">
        <v>0</v>
      </c>
      <c r="EY246" s="407">
        <v>0</v>
      </c>
      <c r="EZ246" s="407"/>
      <c r="FA246" s="407">
        <v>0</v>
      </c>
      <c r="FB246" s="407"/>
      <c r="FC246" s="407"/>
      <c r="FD246" s="407"/>
      <c r="FE246" s="407"/>
      <c r="FF246" s="407">
        <v>0</v>
      </c>
      <c r="FG246" s="407">
        <v>0</v>
      </c>
      <c r="FH246" s="407">
        <v>0</v>
      </c>
      <c r="FI246" s="407">
        <v>0</v>
      </c>
    </row>
    <row r="247" spans="1:165">
      <c r="A247" s="407">
        <v>245</v>
      </c>
      <c r="B247" s="407" t="s">
        <v>1092</v>
      </c>
      <c r="C247" s="407" t="s">
        <v>2305</v>
      </c>
      <c r="D247" s="407" t="s">
        <v>1220</v>
      </c>
      <c r="E247" s="407" t="s">
        <v>1023</v>
      </c>
      <c r="F247" s="407" t="s">
        <v>2312</v>
      </c>
      <c r="G247" s="407" t="s">
        <v>96</v>
      </c>
      <c r="H247" s="407" t="s">
        <v>96</v>
      </c>
      <c r="I247" s="407" t="s">
        <v>96</v>
      </c>
      <c r="J247" s="407" t="s">
        <v>2306</v>
      </c>
      <c r="K247" s="815">
        <v>44713</v>
      </c>
      <c r="L247" s="407">
        <v>0</v>
      </c>
      <c r="M247" s="407">
        <v>0</v>
      </c>
      <c r="N247" s="407">
        <v>15.427</v>
      </c>
      <c r="O247" s="407">
        <v>15.427</v>
      </c>
      <c r="P247" s="407">
        <v>15.427</v>
      </c>
      <c r="Q247" s="407">
        <v>15.427</v>
      </c>
      <c r="R247" s="407"/>
      <c r="S247" s="407">
        <v>640</v>
      </c>
      <c r="T247" s="407">
        <v>127.85</v>
      </c>
      <c r="U247" s="407"/>
      <c r="V247" s="407">
        <v>11845.621949999999</v>
      </c>
      <c r="W247" s="407">
        <v>11845.621949999999</v>
      </c>
      <c r="X247" s="407">
        <v>9561.0375199999999</v>
      </c>
      <c r="Y247" s="407">
        <v>0</v>
      </c>
      <c r="Z247" s="407">
        <v>0</v>
      </c>
      <c r="AA247" s="407">
        <v>0</v>
      </c>
      <c r="AB247" s="407">
        <v>0</v>
      </c>
      <c r="AC247" s="407">
        <v>0</v>
      </c>
      <c r="AD247" s="407">
        <v>1686.8260469035597</v>
      </c>
      <c r="AE247" s="407">
        <v>7685.2267563239766</v>
      </c>
      <c r="AF247" s="407">
        <v>1972.301781161618</v>
      </c>
      <c r="AG247" s="407">
        <v>0</v>
      </c>
      <c r="AH247" s="407">
        <v>0</v>
      </c>
      <c r="AI247" s="407">
        <v>0</v>
      </c>
      <c r="AJ247" s="407">
        <v>0</v>
      </c>
      <c r="AK247" s="407">
        <v>0</v>
      </c>
      <c r="AL247" s="407">
        <v>0</v>
      </c>
      <c r="AM247" s="407"/>
      <c r="AN247" s="407">
        <v>35.339605308163428</v>
      </c>
      <c r="AO247" s="407">
        <v>0</v>
      </c>
      <c r="AP247" s="407">
        <v>0</v>
      </c>
      <c r="AQ247" s="407">
        <v>0</v>
      </c>
      <c r="AR247" s="407">
        <v>0</v>
      </c>
      <c r="AS247" s="407">
        <v>0</v>
      </c>
      <c r="AT247" s="407">
        <v>0</v>
      </c>
      <c r="AU247" s="407">
        <v>0</v>
      </c>
      <c r="AV247" s="407">
        <v>0</v>
      </c>
      <c r="AW247" s="407">
        <v>0</v>
      </c>
      <c r="AX247" s="407">
        <v>0</v>
      </c>
      <c r="AY247" s="407">
        <v>0</v>
      </c>
      <c r="AZ247" s="407">
        <v>0</v>
      </c>
      <c r="BA247" s="407"/>
      <c r="BB247" s="407">
        <v>0</v>
      </c>
      <c r="BC247" s="407">
        <v>0</v>
      </c>
      <c r="BD247" s="407">
        <v>0</v>
      </c>
      <c r="BE247" s="407">
        <v>0</v>
      </c>
      <c r="BF247" s="407">
        <v>0</v>
      </c>
      <c r="BG247" s="407">
        <v>465.86753380100731</v>
      </c>
      <c r="BH247" s="407">
        <v>0</v>
      </c>
      <c r="BI247" s="407">
        <v>41.11</v>
      </c>
      <c r="BJ247" s="407">
        <v>190.36</v>
      </c>
      <c r="BK247" s="407">
        <v>3618.55</v>
      </c>
      <c r="BL247" s="407">
        <v>149</v>
      </c>
      <c r="BM247" s="407"/>
      <c r="BN247" s="407"/>
      <c r="BO247" s="407"/>
      <c r="BP247" s="407"/>
      <c r="BQ247" s="407"/>
      <c r="BR247" s="407"/>
      <c r="BS247" s="407"/>
      <c r="BT247" s="407"/>
      <c r="BU247" s="407"/>
      <c r="BV247" s="407">
        <v>2438.1693149626253</v>
      </c>
      <c r="BW247" s="407"/>
      <c r="BX247" s="407"/>
      <c r="BY247" s="407"/>
      <c r="BZ247" s="407"/>
      <c r="CA247" s="407"/>
      <c r="CB247" s="407"/>
      <c r="CC247" s="407"/>
      <c r="CD247" s="407"/>
      <c r="CE247" s="407"/>
      <c r="CF247" s="407"/>
      <c r="CG247" s="407"/>
      <c r="CH247" s="407"/>
      <c r="CI247" s="407">
        <v>9562.8967999999986</v>
      </c>
      <c r="CJ247" s="407">
        <v>-2282.7551500000009</v>
      </c>
      <c r="CK247" s="407"/>
      <c r="CL247" s="407"/>
      <c r="CM247" s="407"/>
      <c r="CN247" s="407"/>
      <c r="CO247" s="407">
        <v>-2346.60097</v>
      </c>
      <c r="CP247" s="407">
        <v>62.016540000000155</v>
      </c>
      <c r="CQ247" s="407">
        <v>30</v>
      </c>
      <c r="CR247" s="407">
        <v>-12.58683376596764</v>
      </c>
      <c r="CS247" s="407">
        <v>0</v>
      </c>
      <c r="CT247" s="407">
        <v>0</v>
      </c>
      <c r="CU247" s="407">
        <v>0</v>
      </c>
      <c r="CV247" s="407">
        <v>0</v>
      </c>
      <c r="CW247" s="407">
        <v>0</v>
      </c>
      <c r="CX247" s="407">
        <v>0</v>
      </c>
      <c r="CY247" s="407">
        <v>0</v>
      </c>
      <c r="CZ247" s="407">
        <v>-88.492100920879693</v>
      </c>
      <c r="DA247" s="407">
        <v>0</v>
      </c>
      <c r="DB247" s="407">
        <v>0</v>
      </c>
      <c r="DC247" s="407">
        <v>62.060866225176369</v>
      </c>
      <c r="DD247" s="407">
        <v>0</v>
      </c>
      <c r="DE247" s="407">
        <v>0</v>
      </c>
      <c r="DF247" s="407">
        <v>0</v>
      </c>
      <c r="DG247" s="407">
        <v>14.659086641826491</v>
      </c>
      <c r="DH247" s="407">
        <v>0</v>
      </c>
      <c r="DI247" s="407">
        <v>0</v>
      </c>
      <c r="DJ247" s="407"/>
      <c r="DK247" s="407">
        <v>0</v>
      </c>
      <c r="DL247" s="407">
        <v>0</v>
      </c>
      <c r="DM247" s="407">
        <v>0</v>
      </c>
      <c r="DN247" s="407">
        <v>0</v>
      </c>
      <c r="DO247" s="407">
        <v>0</v>
      </c>
      <c r="DP247" s="407">
        <v>-0.81468571209151719</v>
      </c>
      <c r="DQ247" s="407">
        <v>0</v>
      </c>
      <c r="DR247" s="407">
        <v>0</v>
      </c>
      <c r="DS247" s="407"/>
      <c r="DT247" s="407"/>
      <c r="DU247" s="407"/>
      <c r="DV247" s="407">
        <v>7685.2267563239766</v>
      </c>
      <c r="DW247" s="407">
        <v>0</v>
      </c>
      <c r="DX247" s="407">
        <v>0</v>
      </c>
      <c r="DY247" s="407">
        <v>-2346.6009699999995</v>
      </c>
      <c r="DZ247" s="407">
        <v>62.016540000000305</v>
      </c>
      <c r="EA247" s="407">
        <v>0</v>
      </c>
      <c r="EB247" s="407">
        <v>0</v>
      </c>
      <c r="EC247" s="407">
        <v>-2271.8743427393711</v>
      </c>
      <c r="ED247" s="407">
        <v>0</v>
      </c>
      <c r="EE247" s="407">
        <v>0</v>
      </c>
      <c r="EF247" s="407">
        <v>0</v>
      </c>
      <c r="EG247" s="407">
        <v>0</v>
      </c>
      <c r="EH247" s="407">
        <v>0</v>
      </c>
      <c r="EI247" s="407">
        <v>0</v>
      </c>
      <c r="EJ247" s="407">
        <v>0</v>
      </c>
      <c r="EK247" s="407">
        <v>0</v>
      </c>
      <c r="EL247" s="407">
        <v>0</v>
      </c>
      <c r="EM247" s="407">
        <v>0</v>
      </c>
      <c r="EN247" s="407">
        <v>0</v>
      </c>
      <c r="EO247" s="407">
        <v>0</v>
      </c>
      <c r="EP247" s="407">
        <v>0</v>
      </c>
      <c r="EQ247" s="407">
        <v>0</v>
      </c>
      <c r="ER247" s="407">
        <v>0</v>
      </c>
      <c r="ES247" s="407">
        <v>0</v>
      </c>
      <c r="ET247" s="407">
        <v>0</v>
      </c>
      <c r="EU247" s="407">
        <v>0</v>
      </c>
      <c r="EV247" s="407">
        <v>207</v>
      </c>
      <c r="EW247" s="407">
        <v>0</v>
      </c>
      <c r="EX247" s="407">
        <v>0</v>
      </c>
      <c r="EY247" s="407">
        <v>0</v>
      </c>
      <c r="EZ247" s="407"/>
      <c r="FA247" s="407">
        <v>0</v>
      </c>
      <c r="FB247" s="407"/>
      <c r="FC247" s="407"/>
      <c r="FD247" s="407"/>
      <c r="FE247" s="407"/>
      <c r="FF247" s="407">
        <v>0</v>
      </c>
      <c r="FG247" s="407">
        <v>0</v>
      </c>
      <c r="FH247" s="407">
        <v>0</v>
      </c>
      <c r="FI247" s="407">
        <v>0</v>
      </c>
    </row>
    <row r="248" spans="1:165">
      <c r="A248" s="407">
        <v>246</v>
      </c>
      <c r="B248" s="407" t="s">
        <v>2308</v>
      </c>
      <c r="C248" s="407" t="s">
        <v>2313</v>
      </c>
      <c r="D248" s="407" t="s">
        <v>1220</v>
      </c>
      <c r="E248" s="407" t="s">
        <v>1023</v>
      </c>
      <c r="F248" s="407" t="s">
        <v>1023</v>
      </c>
      <c r="G248" s="407" t="s">
        <v>96</v>
      </c>
      <c r="H248" s="407" t="s">
        <v>96</v>
      </c>
      <c r="I248" s="407" t="s">
        <v>96</v>
      </c>
      <c r="J248" s="407" t="s">
        <v>2306</v>
      </c>
      <c r="K248" s="815">
        <v>44713</v>
      </c>
      <c r="L248" s="407">
        <v>0</v>
      </c>
      <c r="M248" s="407">
        <v>0</v>
      </c>
      <c r="N248" s="407">
        <v>0</v>
      </c>
      <c r="O248" s="407">
        <v>0</v>
      </c>
      <c r="P248" s="407">
        <v>0</v>
      </c>
      <c r="Q248" s="407">
        <v>0</v>
      </c>
      <c r="R248" s="407"/>
      <c r="S248" s="407"/>
      <c r="T248" s="407"/>
      <c r="U248" s="407"/>
      <c r="V248" s="407"/>
      <c r="W248" s="407"/>
      <c r="X248" s="407"/>
      <c r="Y248" s="407"/>
      <c r="Z248" s="407"/>
      <c r="AA248" s="407">
        <v>0</v>
      </c>
      <c r="AB248" s="407"/>
      <c r="AC248" s="407"/>
      <c r="AD248" s="407"/>
      <c r="AE248" s="407"/>
      <c r="AF248" s="407"/>
      <c r="AG248" s="407"/>
      <c r="AH248" s="407"/>
      <c r="AI248" s="407"/>
      <c r="AJ248" s="407"/>
      <c r="AK248" s="407"/>
      <c r="AL248" s="407"/>
      <c r="AM248" s="407"/>
      <c r="AN248" s="407"/>
      <c r="AO248" s="407"/>
      <c r="AP248" s="407"/>
      <c r="AQ248" s="407"/>
      <c r="AR248" s="407"/>
      <c r="AS248" s="407"/>
      <c r="AT248" s="407"/>
      <c r="AU248" s="407"/>
      <c r="AV248" s="407"/>
      <c r="AW248" s="407"/>
      <c r="AX248" s="407"/>
      <c r="AY248" s="407"/>
      <c r="AZ248" s="407">
        <v>0</v>
      </c>
      <c r="BA248" s="407"/>
      <c r="BB248" s="407"/>
      <c r="BC248" s="407"/>
      <c r="BD248" s="407"/>
      <c r="BE248" s="407"/>
      <c r="BF248" s="407"/>
      <c r="BG248" s="407"/>
      <c r="BH248" s="407"/>
      <c r="BI248" s="407">
        <v>0.1</v>
      </c>
      <c r="BJ248" s="407">
        <v>0.5</v>
      </c>
      <c r="BK248" s="407">
        <v>24.75</v>
      </c>
      <c r="BL248" s="407">
        <v>1</v>
      </c>
      <c r="BM248" s="407"/>
      <c r="BN248" s="407"/>
      <c r="BO248" s="407"/>
      <c r="BP248" s="407"/>
      <c r="BQ248" s="407"/>
      <c r="BR248" s="407"/>
      <c r="BS248" s="407"/>
      <c r="BT248" s="407"/>
      <c r="BU248" s="407"/>
      <c r="BV248" s="407"/>
      <c r="BW248" s="407"/>
      <c r="BX248" s="407"/>
      <c r="BY248" s="407"/>
      <c r="BZ248" s="407"/>
      <c r="CA248" s="407"/>
      <c r="CB248" s="407"/>
      <c r="CC248" s="407"/>
      <c r="CD248" s="407"/>
      <c r="CE248" s="407"/>
      <c r="CF248" s="407"/>
      <c r="CG248" s="407"/>
      <c r="CH248" s="407"/>
      <c r="CI248" s="407"/>
      <c r="CJ248" s="407">
        <v>-0.03</v>
      </c>
      <c r="CK248" s="407"/>
      <c r="CL248" s="407"/>
      <c r="CM248" s="407"/>
      <c r="CN248" s="407"/>
      <c r="CO248" s="407">
        <v>0</v>
      </c>
      <c r="CP248" s="407">
        <v>0</v>
      </c>
      <c r="CQ248" s="407">
        <v>30</v>
      </c>
      <c r="CR248" s="407"/>
      <c r="CS248" s="407"/>
      <c r="CT248" s="407"/>
      <c r="CU248" s="407"/>
      <c r="CV248" s="407"/>
      <c r="CW248" s="407"/>
      <c r="CX248" s="407"/>
      <c r="CY248" s="407"/>
      <c r="CZ248" s="407"/>
      <c r="DA248" s="407"/>
      <c r="DB248" s="407"/>
      <c r="DC248" s="407"/>
      <c r="DD248" s="407"/>
      <c r="DE248" s="407"/>
      <c r="DF248" s="407"/>
      <c r="DG248" s="407"/>
      <c r="DH248" s="407"/>
      <c r="DI248" s="407"/>
      <c r="DJ248" s="407"/>
      <c r="DK248" s="407">
        <v>0</v>
      </c>
      <c r="DL248" s="407"/>
      <c r="DM248" s="407"/>
      <c r="DN248" s="407"/>
      <c r="DO248" s="407"/>
      <c r="DP248" s="407"/>
      <c r="DQ248" s="407"/>
      <c r="DR248" s="407"/>
      <c r="DS248" s="407"/>
      <c r="DT248" s="407"/>
      <c r="DU248" s="407"/>
      <c r="DV248" s="407"/>
      <c r="DW248" s="407"/>
      <c r="DX248" s="407"/>
      <c r="DY248" s="407"/>
      <c r="DZ248" s="407"/>
      <c r="EA248" s="407"/>
      <c r="EB248" s="407"/>
      <c r="EC248" s="407"/>
      <c r="ED248" s="407"/>
      <c r="EE248" s="407"/>
      <c r="EF248" s="407"/>
      <c r="EG248" s="407"/>
      <c r="EH248" s="407"/>
      <c r="EI248" s="407"/>
      <c r="EJ248" s="407"/>
      <c r="EK248" s="407"/>
      <c r="EL248" s="407"/>
      <c r="EM248" s="407"/>
      <c r="EN248" s="407"/>
      <c r="EO248" s="407"/>
      <c r="EP248" s="407"/>
      <c r="EQ248" s="407"/>
      <c r="ER248" s="407"/>
      <c r="ES248" s="407"/>
      <c r="ET248" s="407"/>
      <c r="EU248" s="407"/>
      <c r="EV248" s="407">
        <v>207</v>
      </c>
      <c r="EW248" s="407"/>
      <c r="EX248" s="407"/>
      <c r="EY248" s="407"/>
      <c r="EZ248" s="407"/>
      <c r="FA248" s="407">
        <v>0</v>
      </c>
      <c r="FB248" s="407"/>
      <c r="FC248" s="407"/>
      <c r="FD248" s="407"/>
      <c r="FE248" s="407"/>
      <c r="FF248" s="407">
        <v>0</v>
      </c>
      <c r="FG248" s="407">
        <v>0</v>
      </c>
      <c r="FH248" s="407">
        <v>0</v>
      </c>
      <c r="FI248" s="407">
        <v>0</v>
      </c>
    </row>
    <row r="249" spans="1:165">
      <c r="A249" s="407">
        <v>247</v>
      </c>
      <c r="B249" s="407" t="s">
        <v>1092</v>
      </c>
      <c r="C249" s="407" t="s">
        <v>2315</v>
      </c>
      <c r="D249" s="407" t="s">
        <v>648</v>
      </c>
      <c r="E249" s="407" t="s">
        <v>1024</v>
      </c>
      <c r="F249" s="407" t="s">
        <v>96</v>
      </c>
      <c r="G249" s="407" t="s">
        <v>96</v>
      </c>
      <c r="H249" s="407" t="s">
        <v>96</v>
      </c>
      <c r="I249" s="407" t="s">
        <v>1027</v>
      </c>
      <c r="J249" s="407" t="s">
        <v>2306</v>
      </c>
      <c r="K249" s="815">
        <v>44713</v>
      </c>
      <c r="L249" s="407">
        <v>0</v>
      </c>
      <c r="M249" s="407">
        <v>0</v>
      </c>
      <c r="N249" s="407">
        <v>1.4710000000000001</v>
      </c>
      <c r="O249" s="407">
        <v>1.4710000000000001</v>
      </c>
      <c r="P249" s="407">
        <v>1.4710000000000001</v>
      </c>
      <c r="Q249" s="407">
        <v>1.4710000000000001</v>
      </c>
      <c r="R249" s="407"/>
      <c r="S249" s="407">
        <v>2075.9499999999998</v>
      </c>
      <c r="T249" s="407">
        <v>127.85</v>
      </c>
      <c r="U249" s="407"/>
      <c r="V249" s="407">
        <v>3241.7897999999996</v>
      </c>
      <c r="W249" s="407">
        <v>3241.7897999999996</v>
      </c>
      <c r="X249" s="407">
        <v>2598.3891100000001</v>
      </c>
      <c r="Y249" s="407">
        <v>0</v>
      </c>
      <c r="Z249" s="407">
        <v>78.162050839665369</v>
      </c>
      <c r="AA249" s="407">
        <v>0</v>
      </c>
      <c r="AB249" s="407">
        <v>0</v>
      </c>
      <c r="AC249" s="407">
        <v>0</v>
      </c>
      <c r="AD249" s="407">
        <v>926.7431175437988</v>
      </c>
      <c r="AE249" s="407">
        <v>2025.8078838142351</v>
      </c>
      <c r="AF249" s="407">
        <v>188.06351980869516</v>
      </c>
      <c r="AG249" s="407">
        <v>0</v>
      </c>
      <c r="AH249" s="407">
        <v>0</v>
      </c>
      <c r="AI249" s="407">
        <v>0</v>
      </c>
      <c r="AJ249" s="407">
        <v>0</v>
      </c>
      <c r="AK249" s="407">
        <v>0</v>
      </c>
      <c r="AL249" s="407">
        <v>13.894032499869498</v>
      </c>
      <c r="AM249" s="407"/>
      <c r="AN249" s="407">
        <v>1.4774784489047048</v>
      </c>
      <c r="AO249" s="407">
        <v>0</v>
      </c>
      <c r="AP249" s="407">
        <v>0</v>
      </c>
      <c r="AQ249" s="407">
        <v>0</v>
      </c>
      <c r="AR249" s="407">
        <v>0</v>
      </c>
      <c r="AS249" s="407">
        <v>0</v>
      </c>
      <c r="AT249" s="407">
        <v>0</v>
      </c>
      <c r="AU249" s="407">
        <v>0</v>
      </c>
      <c r="AV249" s="407">
        <v>0</v>
      </c>
      <c r="AW249" s="407">
        <v>0</v>
      </c>
      <c r="AX249" s="407">
        <v>0</v>
      </c>
      <c r="AY249" s="407">
        <v>0</v>
      </c>
      <c r="AZ249" s="407">
        <v>0</v>
      </c>
      <c r="BA249" s="407"/>
      <c r="BB249" s="407">
        <v>0</v>
      </c>
      <c r="BC249" s="407">
        <v>0</v>
      </c>
      <c r="BD249" s="407">
        <v>0</v>
      </c>
      <c r="BE249" s="407">
        <v>0</v>
      </c>
      <c r="BF249" s="407">
        <v>0</v>
      </c>
      <c r="BG249" s="407">
        <v>7.6368178220474148</v>
      </c>
      <c r="BH249" s="407">
        <v>0</v>
      </c>
      <c r="BI249" s="407">
        <v>0</v>
      </c>
      <c r="BJ249" s="407">
        <v>0</v>
      </c>
      <c r="BK249" s="407">
        <v>0</v>
      </c>
      <c r="BL249" s="407">
        <v>0</v>
      </c>
      <c r="BM249" s="407"/>
      <c r="BN249" s="407"/>
      <c r="BO249" s="407"/>
      <c r="BP249" s="407"/>
      <c r="BQ249" s="407"/>
      <c r="BR249" s="407"/>
      <c r="BS249" s="407"/>
      <c r="BT249" s="407"/>
      <c r="BU249" s="407"/>
      <c r="BV249" s="407">
        <v>195.70033763074258</v>
      </c>
      <c r="BW249" s="407"/>
      <c r="BX249" s="407"/>
      <c r="BY249" s="407"/>
      <c r="BZ249" s="407"/>
      <c r="CA249" s="407"/>
      <c r="CB249" s="407"/>
      <c r="CC249" s="407"/>
      <c r="CD249" s="407"/>
      <c r="CE249" s="407"/>
      <c r="CF249" s="407"/>
      <c r="CG249" s="407"/>
      <c r="CH249" s="407"/>
      <c r="CI249" s="407">
        <v>2596.6226999999999</v>
      </c>
      <c r="CJ249" s="407">
        <v>-645.19710000000032</v>
      </c>
      <c r="CK249" s="407"/>
      <c r="CL249" s="407"/>
      <c r="CM249" s="407"/>
      <c r="CN249" s="407"/>
      <c r="CO249" s="407">
        <v>-649.3141099999998</v>
      </c>
      <c r="CP249" s="407">
        <v>5.9134200000000154</v>
      </c>
      <c r="CQ249" s="407">
        <v>30</v>
      </c>
      <c r="CR249" s="407">
        <v>-44.538865039099619</v>
      </c>
      <c r="CS249" s="407">
        <v>0</v>
      </c>
      <c r="CT249" s="407">
        <v>0</v>
      </c>
      <c r="CU249" s="407">
        <v>0</v>
      </c>
      <c r="CV249" s="407">
        <v>0</v>
      </c>
      <c r="CW249" s="407">
        <v>0</v>
      </c>
      <c r="CX249" s="407">
        <v>0</v>
      </c>
      <c r="CY249" s="407">
        <v>0</v>
      </c>
      <c r="CZ249" s="407">
        <v>-48.617606798258862</v>
      </c>
      <c r="DA249" s="407">
        <v>0</v>
      </c>
      <c r="DB249" s="407">
        <v>0</v>
      </c>
      <c r="DC249" s="407">
        <v>5.9176466077159944</v>
      </c>
      <c r="DD249" s="407">
        <v>0</v>
      </c>
      <c r="DE249" s="407">
        <v>0</v>
      </c>
      <c r="DF249" s="407">
        <v>0</v>
      </c>
      <c r="DG249" s="407">
        <v>0.24030172956644069</v>
      </c>
      <c r="DH249" s="407">
        <v>0</v>
      </c>
      <c r="DI249" s="407">
        <v>-1.7800198135933272</v>
      </c>
      <c r="DJ249" s="407"/>
      <c r="DK249" s="407">
        <v>0</v>
      </c>
      <c r="DL249" s="407">
        <v>0</v>
      </c>
      <c r="DM249" s="407">
        <v>0</v>
      </c>
      <c r="DN249" s="407">
        <v>0</v>
      </c>
      <c r="DO249" s="407">
        <v>-0.26512637897250713</v>
      </c>
      <c r="DP249" s="407">
        <v>-3.4060385557497463E-2</v>
      </c>
      <c r="DQ249" s="407">
        <v>0</v>
      </c>
      <c r="DR249" s="407">
        <v>0</v>
      </c>
      <c r="DS249" s="407"/>
      <c r="DT249" s="407"/>
      <c r="DU249" s="407"/>
      <c r="DV249" s="407">
        <v>2025.8078838142351</v>
      </c>
      <c r="DW249" s="407">
        <v>0</v>
      </c>
      <c r="DX249" s="407">
        <v>0</v>
      </c>
      <c r="DY249" s="407">
        <v>-649.3141099999998</v>
      </c>
      <c r="DZ249" s="407">
        <v>5.9134200000000021</v>
      </c>
      <c r="EA249" s="407">
        <v>0</v>
      </c>
      <c r="EB249" s="407">
        <v>0</v>
      </c>
      <c r="EC249" s="407">
        <v>-598.86078843015252</v>
      </c>
      <c r="ED249" s="407">
        <v>0</v>
      </c>
      <c r="EE249" s="407">
        <v>0</v>
      </c>
      <c r="EF249" s="407">
        <v>0</v>
      </c>
      <c r="EG249" s="407">
        <v>0</v>
      </c>
      <c r="EH249" s="407">
        <v>0</v>
      </c>
      <c r="EI249" s="407">
        <v>0</v>
      </c>
      <c r="EJ249" s="407">
        <v>0</v>
      </c>
      <c r="EK249" s="407">
        <v>0</v>
      </c>
      <c r="EL249" s="407">
        <v>0</v>
      </c>
      <c r="EM249" s="407">
        <v>0</v>
      </c>
      <c r="EN249" s="407">
        <v>0</v>
      </c>
      <c r="EO249" s="407">
        <v>0</v>
      </c>
      <c r="EP249" s="407">
        <v>0</v>
      </c>
      <c r="EQ249" s="407">
        <v>0</v>
      </c>
      <c r="ER249" s="407">
        <v>0</v>
      </c>
      <c r="ES249" s="407">
        <v>0</v>
      </c>
      <c r="ET249" s="407">
        <v>0</v>
      </c>
      <c r="EU249" s="407">
        <v>0</v>
      </c>
      <c r="EV249" s="407">
        <v>207</v>
      </c>
      <c r="EW249" s="407">
        <v>0</v>
      </c>
      <c r="EX249" s="407">
        <v>0</v>
      </c>
      <c r="EY249" s="407">
        <v>0</v>
      </c>
      <c r="EZ249" s="407"/>
      <c r="FA249" s="407">
        <v>0</v>
      </c>
      <c r="FB249" s="407"/>
      <c r="FC249" s="407"/>
      <c r="FD249" s="407"/>
      <c r="FE249" s="407"/>
      <c r="FF249" s="407">
        <v>0</v>
      </c>
      <c r="FG249" s="407">
        <v>0</v>
      </c>
      <c r="FH249" s="407">
        <v>0</v>
      </c>
      <c r="FI249" s="407">
        <v>0</v>
      </c>
    </row>
    <row r="250" spans="1:165">
      <c r="A250" s="407">
        <v>248</v>
      </c>
      <c r="B250" s="407" t="s">
        <v>1092</v>
      </c>
      <c r="C250" s="407" t="s">
        <v>2315</v>
      </c>
      <c r="D250" s="407" t="s">
        <v>648</v>
      </c>
      <c r="E250" s="407" t="s">
        <v>1024</v>
      </c>
      <c r="F250" s="407" t="s">
        <v>96</v>
      </c>
      <c r="G250" s="407" t="s">
        <v>96</v>
      </c>
      <c r="H250" s="407" t="s">
        <v>96</v>
      </c>
      <c r="I250" s="407" t="s">
        <v>2290</v>
      </c>
      <c r="J250" s="407" t="s">
        <v>2306</v>
      </c>
      <c r="K250" s="815">
        <v>44713</v>
      </c>
      <c r="L250" s="407">
        <v>0</v>
      </c>
      <c r="M250" s="407">
        <v>0</v>
      </c>
      <c r="N250" s="407">
        <v>73.265000000000001</v>
      </c>
      <c r="O250" s="407">
        <v>73.265000000000001</v>
      </c>
      <c r="P250" s="407">
        <v>73.265000000000001</v>
      </c>
      <c r="Q250" s="407">
        <v>73.265000000000001</v>
      </c>
      <c r="R250" s="407"/>
      <c r="S250" s="407">
        <v>68.78</v>
      </c>
      <c r="T250" s="407">
        <v>127.85</v>
      </c>
      <c r="U250" s="407"/>
      <c r="V250" s="407">
        <v>14406.096949999999</v>
      </c>
      <c r="W250" s="407">
        <v>14406.096949999999</v>
      </c>
      <c r="X250" s="407">
        <v>14609.041000000001</v>
      </c>
      <c r="Y250" s="407">
        <v>0</v>
      </c>
      <c r="Z250" s="407">
        <v>3892.9589767288121</v>
      </c>
      <c r="AA250" s="407">
        <v>0</v>
      </c>
      <c r="AB250" s="407">
        <v>0</v>
      </c>
      <c r="AC250" s="407">
        <v>0</v>
      </c>
      <c r="AD250" s="407">
        <v>0</v>
      </c>
      <c r="AE250" s="407">
        <v>0</v>
      </c>
      <c r="AF250" s="407">
        <v>9366.739482518049</v>
      </c>
      <c r="AG250" s="407">
        <v>0</v>
      </c>
      <c r="AH250" s="407">
        <v>0</v>
      </c>
      <c r="AI250" s="407">
        <v>0</v>
      </c>
      <c r="AJ250" s="407">
        <v>0</v>
      </c>
      <c r="AK250" s="407">
        <v>0</v>
      </c>
      <c r="AL250" s="407">
        <v>692.00971522973407</v>
      </c>
      <c r="AM250" s="407"/>
      <c r="AN250" s="407">
        <v>73.587667273285646</v>
      </c>
      <c r="AO250" s="407">
        <v>0</v>
      </c>
      <c r="AP250" s="407">
        <v>0</v>
      </c>
      <c r="AQ250" s="407">
        <v>0</v>
      </c>
      <c r="AR250" s="407">
        <v>0</v>
      </c>
      <c r="AS250" s="407">
        <v>0</v>
      </c>
      <c r="AT250" s="407">
        <v>0</v>
      </c>
      <c r="AU250" s="407">
        <v>0</v>
      </c>
      <c r="AV250" s="407">
        <v>0</v>
      </c>
      <c r="AW250" s="407">
        <v>0</v>
      </c>
      <c r="AX250" s="407">
        <v>0</v>
      </c>
      <c r="AY250" s="407">
        <v>0</v>
      </c>
      <c r="AZ250" s="407">
        <v>0</v>
      </c>
      <c r="BA250" s="407"/>
      <c r="BB250" s="407">
        <v>0</v>
      </c>
      <c r="BC250" s="407">
        <v>0</v>
      </c>
      <c r="BD250" s="407">
        <v>0</v>
      </c>
      <c r="BE250" s="407">
        <v>0</v>
      </c>
      <c r="BF250" s="407">
        <v>0</v>
      </c>
      <c r="BG250" s="407">
        <v>380.36129009673948</v>
      </c>
      <c r="BH250" s="407">
        <v>0</v>
      </c>
      <c r="BI250" s="407">
        <v>0</v>
      </c>
      <c r="BJ250" s="407">
        <v>0</v>
      </c>
      <c r="BK250" s="407">
        <v>0</v>
      </c>
      <c r="BL250" s="407">
        <v>0</v>
      </c>
      <c r="BM250" s="407"/>
      <c r="BN250" s="407"/>
      <c r="BO250" s="407"/>
      <c r="BP250" s="407"/>
      <c r="BQ250" s="407"/>
      <c r="BR250" s="407"/>
      <c r="BS250" s="407"/>
      <c r="BT250" s="407"/>
      <c r="BU250" s="407"/>
      <c r="BV250" s="407">
        <v>9747.1007726147891</v>
      </c>
      <c r="BW250" s="407"/>
      <c r="BX250" s="407"/>
      <c r="BY250" s="407"/>
      <c r="BZ250" s="407"/>
      <c r="CA250" s="407"/>
      <c r="CB250" s="407"/>
      <c r="CC250" s="407"/>
      <c r="CD250" s="407"/>
      <c r="CE250" s="407"/>
      <c r="CF250" s="407"/>
      <c r="CG250" s="407"/>
      <c r="CH250" s="407"/>
      <c r="CI250" s="407">
        <v>14610.038</v>
      </c>
      <c r="CJ250" s="407">
        <v>203.91105000000061</v>
      </c>
      <c r="CK250" s="407"/>
      <c r="CL250" s="407"/>
      <c r="CM250" s="407"/>
      <c r="CN250" s="407"/>
      <c r="CO250" s="407">
        <v>-91.581249999999997</v>
      </c>
      <c r="CP250" s="407">
        <v>294.52530000000075</v>
      </c>
      <c r="CQ250" s="407">
        <v>30</v>
      </c>
      <c r="CR250" s="407">
        <v>203.14684907191804</v>
      </c>
      <c r="CS250" s="407">
        <v>0</v>
      </c>
      <c r="CT250" s="407">
        <v>0</v>
      </c>
      <c r="CU250" s="407">
        <v>0</v>
      </c>
      <c r="CV250" s="407">
        <v>0</v>
      </c>
      <c r="CW250" s="407">
        <v>0</v>
      </c>
      <c r="CX250" s="407">
        <v>0</v>
      </c>
      <c r="CY250" s="407">
        <v>0</v>
      </c>
      <c r="CZ250" s="407">
        <v>0</v>
      </c>
      <c r="DA250" s="407">
        <v>0</v>
      </c>
      <c r="DB250" s="407">
        <v>0</v>
      </c>
      <c r="DC250" s="407">
        <v>294.7358114985127</v>
      </c>
      <c r="DD250" s="407">
        <v>0</v>
      </c>
      <c r="DE250" s="407">
        <v>0</v>
      </c>
      <c r="DF250" s="407">
        <v>0</v>
      </c>
      <c r="DG250" s="407">
        <v>11.968529039215014</v>
      </c>
      <c r="DH250" s="407">
        <v>0</v>
      </c>
      <c r="DI250" s="407">
        <v>-88.656119403748562</v>
      </c>
      <c r="DJ250" s="407"/>
      <c r="DK250" s="407">
        <v>0</v>
      </c>
      <c r="DL250" s="407">
        <v>0</v>
      </c>
      <c r="DM250" s="407">
        <v>0</v>
      </c>
      <c r="DN250" s="407">
        <v>0</v>
      </c>
      <c r="DO250" s="407">
        <v>-13.204951839171258</v>
      </c>
      <c r="DP250" s="407">
        <v>-1.6964202228892304</v>
      </c>
      <c r="DQ250" s="407">
        <v>0</v>
      </c>
      <c r="DR250" s="407">
        <v>0</v>
      </c>
      <c r="DS250" s="407"/>
      <c r="DT250" s="407"/>
      <c r="DU250" s="407"/>
      <c r="DV250" s="407">
        <v>0</v>
      </c>
      <c r="DW250" s="407">
        <v>0</v>
      </c>
      <c r="DX250" s="407">
        <v>0</v>
      </c>
      <c r="DY250" s="407">
        <v>-91.581249999999272</v>
      </c>
      <c r="DZ250" s="407">
        <v>294.52530000000115</v>
      </c>
      <c r="EA250" s="407">
        <v>0</v>
      </c>
      <c r="EB250" s="407">
        <v>0</v>
      </c>
      <c r="EC250" s="407">
        <v>0</v>
      </c>
      <c r="ED250" s="407">
        <v>0</v>
      </c>
      <c r="EE250" s="407">
        <v>0</v>
      </c>
      <c r="EF250" s="407">
        <v>0</v>
      </c>
      <c r="EG250" s="407">
        <v>0</v>
      </c>
      <c r="EH250" s="407">
        <v>0</v>
      </c>
      <c r="EI250" s="407">
        <v>0</v>
      </c>
      <c r="EJ250" s="407">
        <v>0</v>
      </c>
      <c r="EK250" s="407">
        <v>0</v>
      </c>
      <c r="EL250" s="407">
        <v>0</v>
      </c>
      <c r="EM250" s="407">
        <v>0</v>
      </c>
      <c r="EN250" s="407">
        <v>0</v>
      </c>
      <c r="EO250" s="407">
        <v>0</v>
      </c>
      <c r="EP250" s="407">
        <v>0</v>
      </c>
      <c r="EQ250" s="407">
        <v>0</v>
      </c>
      <c r="ER250" s="407">
        <v>0</v>
      </c>
      <c r="ES250" s="407">
        <v>0</v>
      </c>
      <c r="ET250" s="407">
        <v>0</v>
      </c>
      <c r="EU250" s="407">
        <v>0</v>
      </c>
      <c r="EV250" s="407">
        <v>207</v>
      </c>
      <c r="EW250" s="407">
        <v>0</v>
      </c>
      <c r="EX250" s="407">
        <v>0</v>
      </c>
      <c r="EY250" s="407">
        <v>0</v>
      </c>
      <c r="EZ250" s="407"/>
      <c r="FA250" s="407">
        <v>0</v>
      </c>
      <c r="FB250" s="407"/>
      <c r="FC250" s="407"/>
      <c r="FD250" s="407"/>
      <c r="FE250" s="407"/>
      <c r="FF250" s="407">
        <v>0</v>
      </c>
      <c r="FG250" s="407">
        <v>0</v>
      </c>
      <c r="FH250" s="407">
        <v>0</v>
      </c>
      <c r="FI250" s="407">
        <v>0</v>
      </c>
    </row>
    <row r="251" spans="1:165">
      <c r="A251" s="407">
        <v>249</v>
      </c>
      <c r="B251" s="407" t="s">
        <v>1092</v>
      </c>
      <c r="C251" s="407" t="s">
        <v>2315</v>
      </c>
      <c r="D251" s="407" t="s">
        <v>648</v>
      </c>
      <c r="E251" s="407" t="s">
        <v>1024</v>
      </c>
      <c r="F251" s="407" t="s">
        <v>96</v>
      </c>
      <c r="G251" s="407" t="s">
        <v>96</v>
      </c>
      <c r="H251" s="407" t="s">
        <v>96</v>
      </c>
      <c r="I251" s="407" t="s">
        <v>96</v>
      </c>
      <c r="J251" s="407" t="s">
        <v>2306</v>
      </c>
      <c r="K251" s="815">
        <v>44713</v>
      </c>
      <c r="L251" s="407">
        <v>521</v>
      </c>
      <c r="M251" s="407">
        <v>521</v>
      </c>
      <c r="N251" s="407">
        <v>0</v>
      </c>
      <c r="O251" s="407">
        <v>0</v>
      </c>
      <c r="P251" s="407">
        <v>0</v>
      </c>
      <c r="Q251" s="407">
        <v>0</v>
      </c>
      <c r="R251" s="407">
        <v>39.56</v>
      </c>
      <c r="S251" s="407"/>
      <c r="T251" s="407"/>
      <c r="U251" s="407">
        <v>20610.760000000002</v>
      </c>
      <c r="V251" s="407"/>
      <c r="W251" s="407">
        <v>20610.760000000002</v>
      </c>
      <c r="X251" s="407">
        <v>16182.26</v>
      </c>
      <c r="Y251" s="407">
        <v>0</v>
      </c>
      <c r="Z251" s="407">
        <v>0</v>
      </c>
      <c r="AA251" s="407">
        <v>0</v>
      </c>
      <c r="AB251" s="407">
        <v>0</v>
      </c>
      <c r="AC251" s="407">
        <v>0</v>
      </c>
      <c r="AD251" s="407">
        <v>6861.7168178634574</v>
      </c>
      <c r="AE251" s="407">
        <v>13746.549619189938</v>
      </c>
      <c r="AF251" s="407"/>
      <c r="AG251" s="407"/>
      <c r="AH251" s="407"/>
      <c r="AI251" s="407">
        <v>0</v>
      </c>
      <c r="AJ251" s="407">
        <v>0</v>
      </c>
      <c r="AK251" s="407">
        <v>0</v>
      </c>
      <c r="AL251" s="407">
        <v>0</v>
      </c>
      <c r="AM251" s="407"/>
      <c r="AN251" s="407">
        <v>0</v>
      </c>
      <c r="AO251" s="407">
        <v>0</v>
      </c>
      <c r="AP251" s="407">
        <v>0</v>
      </c>
      <c r="AQ251" s="407">
        <v>0</v>
      </c>
      <c r="AR251" s="407">
        <v>0</v>
      </c>
      <c r="AS251" s="407"/>
      <c r="AT251" s="407"/>
      <c r="AU251" s="407">
        <v>0</v>
      </c>
      <c r="AV251" s="407">
        <v>0</v>
      </c>
      <c r="AW251" s="407">
        <v>0</v>
      </c>
      <c r="AX251" s="407"/>
      <c r="AY251" s="407"/>
      <c r="AZ251" s="407">
        <v>0</v>
      </c>
      <c r="BA251" s="407"/>
      <c r="BB251" s="407">
        <v>0</v>
      </c>
      <c r="BC251" s="407">
        <v>0</v>
      </c>
      <c r="BD251" s="407">
        <v>0</v>
      </c>
      <c r="BE251" s="407">
        <v>0</v>
      </c>
      <c r="BF251" s="407"/>
      <c r="BG251" s="407">
        <v>0</v>
      </c>
      <c r="BH251" s="407">
        <v>0</v>
      </c>
      <c r="BI251" s="407">
        <v>104.18</v>
      </c>
      <c r="BJ251" s="407">
        <v>480.85</v>
      </c>
      <c r="BK251" s="407">
        <v>7457.86</v>
      </c>
      <c r="BL251" s="407">
        <v>1</v>
      </c>
      <c r="BM251" s="407"/>
      <c r="BN251" s="407"/>
      <c r="BO251" s="407"/>
      <c r="BP251" s="407"/>
      <c r="BQ251" s="407"/>
      <c r="BR251" s="407"/>
      <c r="BS251" s="407"/>
      <c r="BT251" s="407"/>
      <c r="BU251" s="407"/>
      <c r="BV251" s="407">
        <v>0</v>
      </c>
      <c r="BW251" s="407"/>
      <c r="BX251" s="407"/>
      <c r="BY251" s="407"/>
      <c r="BZ251" s="407"/>
      <c r="CA251" s="407"/>
      <c r="CB251" s="407"/>
      <c r="CC251" s="407"/>
      <c r="CD251" s="407"/>
      <c r="CE251" s="407"/>
      <c r="CF251" s="407"/>
      <c r="CG251" s="407"/>
      <c r="CH251" s="407"/>
      <c r="CI251" s="407">
        <v>16182.26</v>
      </c>
      <c r="CJ251" s="407">
        <v>-4428.529999999997</v>
      </c>
      <c r="CK251" s="407"/>
      <c r="CL251" s="407"/>
      <c r="CM251" s="407"/>
      <c r="CN251" s="407"/>
      <c r="CO251" s="407">
        <v>-4428.5000000000018</v>
      </c>
      <c r="CP251" s="407">
        <v>0</v>
      </c>
      <c r="CQ251" s="407">
        <v>30</v>
      </c>
      <c r="CR251" s="407">
        <v>-359.97057209986633</v>
      </c>
      <c r="CS251" s="407">
        <v>0</v>
      </c>
      <c r="CT251" s="407">
        <v>0</v>
      </c>
      <c r="CU251" s="407">
        <v>0</v>
      </c>
      <c r="CV251" s="407">
        <v>0</v>
      </c>
      <c r="CW251" s="407"/>
      <c r="CX251" s="407"/>
      <c r="CY251" s="407"/>
      <c r="CZ251" s="407">
        <v>-359.97057209986633</v>
      </c>
      <c r="DA251" s="407">
        <v>0</v>
      </c>
      <c r="DB251" s="407">
        <v>0</v>
      </c>
      <c r="DC251" s="407"/>
      <c r="DD251" s="407"/>
      <c r="DE251" s="407">
        <v>0</v>
      </c>
      <c r="DF251" s="407">
        <v>0</v>
      </c>
      <c r="DG251" s="407">
        <v>0</v>
      </c>
      <c r="DH251" s="407">
        <v>0</v>
      </c>
      <c r="DI251" s="407">
        <v>0</v>
      </c>
      <c r="DJ251" s="407"/>
      <c r="DK251" s="407">
        <v>0</v>
      </c>
      <c r="DL251" s="407">
        <v>0</v>
      </c>
      <c r="DM251" s="407"/>
      <c r="DN251" s="407">
        <v>0</v>
      </c>
      <c r="DO251" s="407">
        <v>0</v>
      </c>
      <c r="DP251" s="407">
        <v>0</v>
      </c>
      <c r="DQ251" s="407">
        <v>0</v>
      </c>
      <c r="DR251" s="407">
        <v>0</v>
      </c>
      <c r="DS251" s="407"/>
      <c r="DT251" s="407"/>
      <c r="DU251" s="407">
        <v>13746.549619189938</v>
      </c>
      <c r="DV251" s="407"/>
      <c r="DW251" s="407">
        <v>0</v>
      </c>
      <c r="DX251" s="407">
        <v>0</v>
      </c>
      <c r="DY251" s="407">
        <v>-4428.5000000000018</v>
      </c>
      <c r="DZ251" s="407"/>
      <c r="EA251" s="407">
        <v>0</v>
      </c>
      <c r="EB251" s="407"/>
      <c r="EC251" s="407">
        <v>-4063.6970607708681</v>
      </c>
      <c r="ED251" s="407"/>
      <c r="EE251" s="407">
        <v>0</v>
      </c>
      <c r="EF251" s="407">
        <v>0</v>
      </c>
      <c r="EG251" s="407"/>
      <c r="EH251" s="407">
        <v>0</v>
      </c>
      <c r="EI251" s="407">
        <v>0</v>
      </c>
      <c r="EJ251" s="407">
        <v>0</v>
      </c>
      <c r="EK251" s="407">
        <v>0</v>
      </c>
      <c r="EL251" s="407">
        <v>0</v>
      </c>
      <c r="EM251" s="407"/>
      <c r="EN251" s="407"/>
      <c r="EO251" s="407">
        <v>0</v>
      </c>
      <c r="EP251" s="407">
        <v>0</v>
      </c>
      <c r="EQ251" s="407"/>
      <c r="ER251" s="407">
        <v>0</v>
      </c>
      <c r="ES251" s="407"/>
      <c r="ET251" s="407">
        <v>0</v>
      </c>
      <c r="EU251" s="407"/>
      <c r="EV251" s="407">
        <v>207</v>
      </c>
      <c r="EW251" s="407"/>
      <c r="EX251" s="407"/>
      <c r="EY251" s="407"/>
      <c r="EZ251" s="407"/>
      <c r="FA251" s="407">
        <v>0</v>
      </c>
      <c r="FB251" s="407"/>
      <c r="FC251" s="407"/>
      <c r="FD251" s="407"/>
      <c r="FE251" s="407"/>
      <c r="FF251" s="407">
        <v>0</v>
      </c>
      <c r="FG251" s="407">
        <v>0</v>
      </c>
      <c r="FH251" s="407">
        <v>0</v>
      </c>
      <c r="FI251" s="407">
        <v>0</v>
      </c>
    </row>
    <row r="252" spans="1:165">
      <c r="A252" s="407">
        <v>250</v>
      </c>
      <c r="B252" s="407" t="s">
        <v>1092</v>
      </c>
      <c r="C252" s="407" t="s">
        <v>2305</v>
      </c>
      <c r="D252" s="407" t="s">
        <v>1221</v>
      </c>
      <c r="E252" s="407" t="s">
        <v>1051</v>
      </c>
      <c r="F252" s="407" t="s">
        <v>96</v>
      </c>
      <c r="G252" s="407" t="s">
        <v>96</v>
      </c>
      <c r="H252" s="407" t="s">
        <v>96</v>
      </c>
      <c r="I252" s="407" t="s">
        <v>96</v>
      </c>
      <c r="J252" s="407" t="s">
        <v>2306</v>
      </c>
      <c r="K252" s="815">
        <v>44713</v>
      </c>
      <c r="L252" s="407">
        <v>0</v>
      </c>
      <c r="M252" s="407">
        <v>0</v>
      </c>
      <c r="N252" s="407">
        <v>96.046999999999997</v>
      </c>
      <c r="O252" s="407">
        <v>96.046999999999997</v>
      </c>
      <c r="P252" s="407">
        <v>96.046999999999997</v>
      </c>
      <c r="Q252" s="407">
        <v>96.046999999999997</v>
      </c>
      <c r="R252" s="407"/>
      <c r="S252" s="407">
        <v>710.52</v>
      </c>
      <c r="T252" s="407">
        <v>127.85</v>
      </c>
      <c r="U252" s="407"/>
      <c r="V252" s="407">
        <v>80522.923389999996</v>
      </c>
      <c r="W252" s="407">
        <v>80522.923389999996</v>
      </c>
      <c r="X252" s="407">
        <v>66148.529370000004</v>
      </c>
      <c r="Y252" s="407">
        <v>0</v>
      </c>
      <c r="Z252" s="407">
        <v>5866.0778866494238</v>
      </c>
      <c r="AA252" s="407">
        <v>0</v>
      </c>
      <c r="AB252" s="407">
        <v>0</v>
      </c>
      <c r="AC252" s="407">
        <v>0</v>
      </c>
      <c r="AD252" s="407">
        <v>10502.014735654773</v>
      </c>
      <c r="AE252" s="407">
        <v>47847.473537606078</v>
      </c>
      <c r="AF252" s="407">
        <v>12279.358862723144</v>
      </c>
      <c r="AG252" s="407">
        <v>0</v>
      </c>
      <c r="AH252" s="407">
        <v>0</v>
      </c>
      <c r="AI252" s="407">
        <v>0</v>
      </c>
      <c r="AJ252" s="407">
        <v>0</v>
      </c>
      <c r="AK252" s="407">
        <v>0</v>
      </c>
      <c r="AL252" s="407">
        <v>907.19248097550349</v>
      </c>
      <c r="AM252" s="407"/>
      <c r="AN252" s="407">
        <v>220.02094192216069</v>
      </c>
      <c r="AO252" s="407">
        <v>0</v>
      </c>
      <c r="AP252" s="407">
        <v>0</v>
      </c>
      <c r="AQ252" s="407">
        <v>0</v>
      </c>
      <c r="AR252" s="407">
        <v>0</v>
      </c>
      <c r="AS252" s="407">
        <v>0</v>
      </c>
      <c r="AT252" s="407">
        <v>0</v>
      </c>
      <c r="AU252" s="407">
        <v>0</v>
      </c>
      <c r="AV252" s="407">
        <v>0</v>
      </c>
      <c r="AW252" s="407">
        <v>0</v>
      </c>
      <c r="AX252" s="407">
        <v>0</v>
      </c>
      <c r="AY252" s="407">
        <v>0</v>
      </c>
      <c r="AZ252" s="407">
        <v>0</v>
      </c>
      <c r="BA252" s="407"/>
      <c r="BB252" s="407">
        <v>0</v>
      </c>
      <c r="BC252" s="407">
        <v>0</v>
      </c>
      <c r="BD252" s="407">
        <v>0</v>
      </c>
      <c r="BE252" s="407">
        <v>0</v>
      </c>
      <c r="BF252" s="407">
        <v>0</v>
      </c>
      <c r="BG252" s="407">
        <v>2900.4459077581741</v>
      </c>
      <c r="BH252" s="407">
        <v>0</v>
      </c>
      <c r="BI252" s="407">
        <v>308.86</v>
      </c>
      <c r="BJ252" s="407">
        <v>1427.34</v>
      </c>
      <c r="BK252" s="407">
        <v>14901.04</v>
      </c>
      <c r="BL252" s="407">
        <v>85</v>
      </c>
      <c r="BM252" s="407"/>
      <c r="BN252" s="407"/>
      <c r="BO252" s="407"/>
      <c r="BP252" s="407"/>
      <c r="BQ252" s="407"/>
      <c r="BR252" s="407"/>
      <c r="BS252" s="407"/>
      <c r="BT252" s="407"/>
      <c r="BU252" s="407"/>
      <c r="BV252" s="407">
        <v>15179.804770481318</v>
      </c>
      <c r="BW252" s="407"/>
      <c r="BX252" s="407"/>
      <c r="BY252" s="407"/>
      <c r="BZ252" s="407"/>
      <c r="CA252" s="407"/>
      <c r="CB252" s="407"/>
      <c r="CC252" s="407"/>
      <c r="CD252" s="407"/>
      <c r="CE252" s="407"/>
      <c r="CF252" s="407"/>
      <c r="CG252" s="407"/>
      <c r="CH252" s="407"/>
      <c r="CI252" s="407">
        <v>66150.595499999996</v>
      </c>
      <c r="CJ252" s="407">
        <v>-14372.357889999985</v>
      </c>
      <c r="CK252" s="407"/>
      <c r="CL252" s="407"/>
      <c r="CM252" s="407"/>
      <c r="CN252" s="407"/>
      <c r="CO252" s="407">
        <v>-14760.502959999994</v>
      </c>
      <c r="CP252" s="407">
        <v>386.10894000000098</v>
      </c>
      <c r="CQ252" s="407">
        <v>30</v>
      </c>
      <c r="CR252" s="407">
        <v>-229.26632863554551</v>
      </c>
      <c r="CS252" s="407">
        <v>0</v>
      </c>
      <c r="CT252" s="407">
        <v>0</v>
      </c>
      <c r="CU252" s="407">
        <v>0</v>
      </c>
      <c r="CV252" s="407">
        <v>0</v>
      </c>
      <c r="CW252" s="407">
        <v>0</v>
      </c>
      <c r="CX252" s="407">
        <v>0</v>
      </c>
      <c r="CY252" s="407">
        <v>0</v>
      </c>
      <c r="CZ252" s="407">
        <v>-550.94320458596667</v>
      </c>
      <c r="DA252" s="407">
        <v>0</v>
      </c>
      <c r="DB252" s="407">
        <v>0</v>
      </c>
      <c r="DC252" s="407">
        <v>386.38491076226637</v>
      </c>
      <c r="DD252" s="407">
        <v>0</v>
      </c>
      <c r="DE252" s="407">
        <v>0</v>
      </c>
      <c r="DF252" s="407">
        <v>0</v>
      </c>
      <c r="DG252" s="407">
        <v>91.266046197414198</v>
      </c>
      <c r="DH252" s="407">
        <v>0</v>
      </c>
      <c r="DI252" s="407">
        <v>-133.59085072800735</v>
      </c>
      <c r="DJ252" s="407"/>
      <c r="DK252" s="407">
        <v>0</v>
      </c>
      <c r="DL252" s="407">
        <v>0</v>
      </c>
      <c r="DM252" s="407">
        <v>0</v>
      </c>
      <c r="DN252" s="407">
        <v>0</v>
      </c>
      <c r="DO252" s="407">
        <v>-17.311076357017328</v>
      </c>
      <c r="DP252" s="407">
        <v>-5.0721539242402116</v>
      </c>
      <c r="DQ252" s="407">
        <v>0</v>
      </c>
      <c r="DR252" s="407">
        <v>0</v>
      </c>
      <c r="DS252" s="407"/>
      <c r="DT252" s="407"/>
      <c r="DU252" s="407"/>
      <c r="DV252" s="407">
        <v>47847.473537606078</v>
      </c>
      <c r="DW252" s="407">
        <v>0</v>
      </c>
      <c r="DX252" s="407">
        <v>0</v>
      </c>
      <c r="DY252" s="407">
        <v>-14760.502959999998</v>
      </c>
      <c r="DZ252" s="407">
        <v>386.10894000000008</v>
      </c>
      <c r="EA252" s="407">
        <v>0</v>
      </c>
      <c r="EB252" s="407">
        <v>0</v>
      </c>
      <c r="EC252" s="407">
        <v>-14144.468464191894</v>
      </c>
      <c r="ED252" s="407">
        <v>0</v>
      </c>
      <c r="EE252" s="407">
        <v>0</v>
      </c>
      <c r="EF252" s="407">
        <v>0</v>
      </c>
      <c r="EG252" s="407">
        <v>0</v>
      </c>
      <c r="EH252" s="407">
        <v>0</v>
      </c>
      <c r="EI252" s="407">
        <v>0</v>
      </c>
      <c r="EJ252" s="407">
        <v>0</v>
      </c>
      <c r="EK252" s="407">
        <v>0</v>
      </c>
      <c r="EL252" s="407">
        <v>0</v>
      </c>
      <c r="EM252" s="407">
        <v>0</v>
      </c>
      <c r="EN252" s="407">
        <v>0</v>
      </c>
      <c r="EO252" s="407">
        <v>0</v>
      </c>
      <c r="EP252" s="407">
        <v>0</v>
      </c>
      <c r="EQ252" s="407">
        <v>0</v>
      </c>
      <c r="ER252" s="407">
        <v>0</v>
      </c>
      <c r="ES252" s="407">
        <v>0</v>
      </c>
      <c r="ET252" s="407">
        <v>0</v>
      </c>
      <c r="EU252" s="407">
        <v>0</v>
      </c>
      <c r="EV252" s="407">
        <v>207</v>
      </c>
      <c r="EW252" s="407">
        <v>0</v>
      </c>
      <c r="EX252" s="407">
        <v>0</v>
      </c>
      <c r="EY252" s="407">
        <v>0</v>
      </c>
      <c r="EZ252" s="407"/>
      <c r="FA252" s="407">
        <v>0</v>
      </c>
      <c r="FB252" s="407"/>
      <c r="FC252" s="407"/>
      <c r="FD252" s="407"/>
      <c r="FE252" s="407"/>
      <c r="FF252" s="407">
        <v>0</v>
      </c>
      <c r="FG252" s="407">
        <v>0</v>
      </c>
      <c r="FH252" s="407">
        <v>0</v>
      </c>
      <c r="FI252" s="407">
        <v>0</v>
      </c>
    </row>
    <row r="253" spans="1:165">
      <c r="A253" s="407">
        <v>251</v>
      </c>
      <c r="B253" s="407" t="s">
        <v>1092</v>
      </c>
      <c r="C253" s="407" t="s">
        <v>2315</v>
      </c>
      <c r="D253" s="407" t="s">
        <v>648</v>
      </c>
      <c r="E253" s="407" t="s">
        <v>1051</v>
      </c>
      <c r="F253" s="407" t="s">
        <v>96</v>
      </c>
      <c r="G253" s="407" t="s">
        <v>96</v>
      </c>
      <c r="H253" s="407" t="s">
        <v>96</v>
      </c>
      <c r="I253" s="407" t="s">
        <v>1027</v>
      </c>
      <c r="J253" s="407" t="s">
        <v>2306</v>
      </c>
      <c r="K253" s="815">
        <v>44713</v>
      </c>
      <c r="L253" s="407">
        <v>0</v>
      </c>
      <c r="M253" s="407">
        <v>0</v>
      </c>
      <c r="N253" s="407">
        <v>3.863</v>
      </c>
      <c r="O253" s="407">
        <v>3.863</v>
      </c>
      <c r="P253" s="407">
        <v>3.863</v>
      </c>
      <c r="Q253" s="407">
        <v>3.863</v>
      </c>
      <c r="R253" s="407"/>
      <c r="S253" s="407">
        <v>2075.9499999999998</v>
      </c>
      <c r="T253" s="407">
        <v>127.85</v>
      </c>
      <c r="U253" s="407"/>
      <c r="V253" s="407">
        <v>8513.2793999999994</v>
      </c>
      <c r="W253" s="407">
        <v>8513.2793999999994</v>
      </c>
      <c r="X253" s="407">
        <v>6823.6418299999996</v>
      </c>
      <c r="Y253" s="407">
        <v>0</v>
      </c>
      <c r="Z253" s="407">
        <v>205.26172834373031</v>
      </c>
      <c r="AA253" s="407">
        <v>0</v>
      </c>
      <c r="AB253" s="407">
        <v>0</v>
      </c>
      <c r="AC253" s="407">
        <v>0</v>
      </c>
      <c r="AD253" s="407">
        <v>2433.7244480433001</v>
      </c>
      <c r="AE253" s="407">
        <v>5319.9835861144729</v>
      </c>
      <c r="AF253" s="407">
        <v>493.87449151664811</v>
      </c>
      <c r="AG253" s="407">
        <v>0</v>
      </c>
      <c r="AH253" s="407">
        <v>0</v>
      </c>
      <c r="AI253" s="407">
        <v>0</v>
      </c>
      <c r="AJ253" s="407">
        <v>0</v>
      </c>
      <c r="AK253" s="407">
        <v>0</v>
      </c>
      <c r="AL253" s="407">
        <v>36.487183920459465</v>
      </c>
      <c r="AM253" s="407"/>
      <c r="AN253" s="407">
        <v>3.8800130850570183</v>
      </c>
      <c r="AO253" s="407">
        <v>0</v>
      </c>
      <c r="AP253" s="407">
        <v>0</v>
      </c>
      <c r="AQ253" s="407">
        <v>0</v>
      </c>
      <c r="AR253" s="407">
        <v>0</v>
      </c>
      <c r="AS253" s="407">
        <v>0</v>
      </c>
      <c r="AT253" s="407">
        <v>0</v>
      </c>
      <c r="AU253" s="407">
        <v>0</v>
      </c>
      <c r="AV253" s="407">
        <v>0</v>
      </c>
      <c r="AW253" s="407">
        <v>0</v>
      </c>
      <c r="AX253" s="407">
        <v>0</v>
      </c>
      <c r="AY253" s="407">
        <v>0</v>
      </c>
      <c r="AZ253" s="407">
        <v>0</v>
      </c>
      <c r="BA253" s="407"/>
      <c r="BB253" s="407">
        <v>0</v>
      </c>
      <c r="BC253" s="407">
        <v>0</v>
      </c>
      <c r="BD253" s="407">
        <v>0</v>
      </c>
      <c r="BE253" s="407">
        <v>0</v>
      </c>
      <c r="BF253" s="407">
        <v>0</v>
      </c>
      <c r="BG253" s="407">
        <v>20.055083104397799</v>
      </c>
      <c r="BH253" s="407">
        <v>0</v>
      </c>
      <c r="BI253" s="407">
        <v>0</v>
      </c>
      <c r="BJ253" s="407">
        <v>0</v>
      </c>
      <c r="BK253" s="407">
        <v>0</v>
      </c>
      <c r="BL253" s="407">
        <v>0</v>
      </c>
      <c r="BM253" s="407"/>
      <c r="BN253" s="407"/>
      <c r="BO253" s="407"/>
      <c r="BP253" s="407"/>
      <c r="BQ253" s="407"/>
      <c r="BR253" s="407"/>
      <c r="BS253" s="407"/>
      <c r="BT253" s="407"/>
      <c r="BU253" s="407"/>
      <c r="BV253" s="407">
        <v>513.92957462104596</v>
      </c>
      <c r="BW253" s="407"/>
      <c r="BX253" s="407"/>
      <c r="BY253" s="407"/>
      <c r="BZ253" s="407"/>
      <c r="CA253" s="407"/>
      <c r="CB253" s="407"/>
      <c r="CC253" s="407"/>
      <c r="CD253" s="407"/>
      <c r="CE253" s="407"/>
      <c r="CF253" s="407"/>
      <c r="CG253" s="407"/>
      <c r="CH253" s="407"/>
      <c r="CI253" s="407">
        <v>6818.3425999999999</v>
      </c>
      <c r="CJ253" s="407">
        <v>-1694.9668000000001</v>
      </c>
      <c r="CK253" s="407"/>
      <c r="CL253" s="407"/>
      <c r="CM253" s="407"/>
      <c r="CN253" s="407"/>
      <c r="CO253" s="407">
        <v>-1705.1668299999994</v>
      </c>
      <c r="CP253" s="407">
        <v>15.52926000000004</v>
      </c>
      <c r="CQ253" s="407">
        <v>30</v>
      </c>
      <c r="CR253" s="407">
        <v>-116.96372239703715</v>
      </c>
      <c r="CS253" s="407">
        <v>0</v>
      </c>
      <c r="CT253" s="407">
        <v>0</v>
      </c>
      <c r="CU253" s="407">
        <v>0</v>
      </c>
      <c r="CV253" s="407">
        <v>0</v>
      </c>
      <c r="CW253" s="407">
        <v>0</v>
      </c>
      <c r="CX253" s="407">
        <v>0</v>
      </c>
      <c r="CY253" s="407">
        <v>0</v>
      </c>
      <c r="CZ253" s="407">
        <v>-127.67492526286469</v>
      </c>
      <c r="DA253" s="407">
        <v>0</v>
      </c>
      <c r="DB253" s="407">
        <v>0</v>
      </c>
      <c r="DC253" s="407">
        <v>15.540359514348609</v>
      </c>
      <c r="DD253" s="407">
        <v>0</v>
      </c>
      <c r="DE253" s="407">
        <v>0</v>
      </c>
      <c r="DF253" s="407">
        <v>0</v>
      </c>
      <c r="DG253" s="407">
        <v>0.63105749919453302</v>
      </c>
      <c r="DH253" s="407">
        <v>0</v>
      </c>
      <c r="DI253" s="407">
        <v>-4.6745183819925273</v>
      </c>
      <c r="DJ253" s="407"/>
      <c r="DK253" s="407">
        <v>0</v>
      </c>
      <c r="DL253" s="407">
        <v>0</v>
      </c>
      <c r="DM253" s="407">
        <v>0</v>
      </c>
      <c r="DN253" s="407">
        <v>0</v>
      </c>
      <c r="DO253" s="407">
        <v>-0.69624962744445895</v>
      </c>
      <c r="DP253" s="407">
        <v>-8.9446138279138498E-2</v>
      </c>
      <c r="DQ253" s="407">
        <v>0</v>
      </c>
      <c r="DR253" s="407">
        <v>0</v>
      </c>
      <c r="DS253" s="407"/>
      <c r="DT253" s="407"/>
      <c r="DU253" s="407"/>
      <c r="DV253" s="407">
        <v>5319.9835861144729</v>
      </c>
      <c r="DW253" s="407">
        <v>0</v>
      </c>
      <c r="DX253" s="407">
        <v>0</v>
      </c>
      <c r="DY253" s="407">
        <v>-1705.1668300000001</v>
      </c>
      <c r="DZ253" s="407">
        <v>15.529260000000022</v>
      </c>
      <c r="EA253" s="407">
        <v>0</v>
      </c>
      <c r="EB253" s="407">
        <v>0</v>
      </c>
      <c r="EC253" s="407">
        <v>-1572.6711255647033</v>
      </c>
      <c r="ED253" s="407">
        <v>0</v>
      </c>
      <c r="EE253" s="407">
        <v>0</v>
      </c>
      <c r="EF253" s="407">
        <v>0</v>
      </c>
      <c r="EG253" s="407">
        <v>0</v>
      </c>
      <c r="EH253" s="407">
        <v>0</v>
      </c>
      <c r="EI253" s="407">
        <v>0</v>
      </c>
      <c r="EJ253" s="407">
        <v>0</v>
      </c>
      <c r="EK253" s="407">
        <v>0</v>
      </c>
      <c r="EL253" s="407">
        <v>0</v>
      </c>
      <c r="EM253" s="407">
        <v>0</v>
      </c>
      <c r="EN253" s="407">
        <v>0</v>
      </c>
      <c r="EO253" s="407">
        <v>0</v>
      </c>
      <c r="EP253" s="407">
        <v>0</v>
      </c>
      <c r="EQ253" s="407">
        <v>0</v>
      </c>
      <c r="ER253" s="407">
        <v>0</v>
      </c>
      <c r="ES253" s="407">
        <v>0</v>
      </c>
      <c r="ET253" s="407">
        <v>0</v>
      </c>
      <c r="EU253" s="407">
        <v>0</v>
      </c>
      <c r="EV253" s="407">
        <v>207</v>
      </c>
      <c r="EW253" s="407">
        <v>0</v>
      </c>
      <c r="EX253" s="407">
        <v>0</v>
      </c>
      <c r="EY253" s="407">
        <v>0</v>
      </c>
      <c r="EZ253" s="407"/>
      <c r="FA253" s="407">
        <v>0</v>
      </c>
      <c r="FB253" s="407"/>
      <c r="FC253" s="407"/>
      <c r="FD253" s="407"/>
      <c r="FE253" s="407"/>
      <c r="FF253" s="407">
        <v>0</v>
      </c>
      <c r="FG253" s="407">
        <v>0</v>
      </c>
      <c r="FH253" s="407">
        <v>0</v>
      </c>
      <c r="FI253" s="407">
        <v>0</v>
      </c>
    </row>
    <row r="254" spans="1:165">
      <c r="A254" s="407">
        <v>252</v>
      </c>
      <c r="B254" s="407" t="s">
        <v>1092</v>
      </c>
      <c r="C254" s="407" t="s">
        <v>2315</v>
      </c>
      <c r="D254" s="407" t="s">
        <v>648</v>
      </c>
      <c r="E254" s="407" t="s">
        <v>1051</v>
      </c>
      <c r="F254" s="407" t="s">
        <v>96</v>
      </c>
      <c r="G254" s="407" t="s">
        <v>96</v>
      </c>
      <c r="H254" s="407" t="s">
        <v>96</v>
      </c>
      <c r="I254" s="407" t="s">
        <v>2290</v>
      </c>
      <c r="J254" s="407" t="s">
        <v>2306</v>
      </c>
      <c r="K254" s="815">
        <v>44713</v>
      </c>
      <c r="L254" s="407">
        <v>0</v>
      </c>
      <c r="M254" s="407">
        <v>0</v>
      </c>
      <c r="N254" s="407">
        <v>67.215000000000003</v>
      </c>
      <c r="O254" s="407">
        <v>67.215000000000003</v>
      </c>
      <c r="P254" s="407">
        <v>67.215000000000003</v>
      </c>
      <c r="Q254" s="407">
        <v>67.215000000000003</v>
      </c>
      <c r="R254" s="407"/>
      <c r="S254" s="407">
        <v>68.78</v>
      </c>
      <c r="T254" s="407">
        <v>127.85</v>
      </c>
      <c r="U254" s="407"/>
      <c r="V254" s="407">
        <v>13216.48545</v>
      </c>
      <c r="W254" s="407">
        <v>13216.48545</v>
      </c>
      <c r="X254" s="407">
        <v>13402.671</v>
      </c>
      <c r="Y254" s="407">
        <v>0</v>
      </c>
      <c r="Z254" s="407">
        <v>3571.4903108008889</v>
      </c>
      <c r="AA254" s="407">
        <v>0</v>
      </c>
      <c r="AB254" s="407">
        <v>0</v>
      </c>
      <c r="AC254" s="407">
        <v>0</v>
      </c>
      <c r="AD254" s="407">
        <v>0</v>
      </c>
      <c r="AE254" s="407">
        <v>0</v>
      </c>
      <c r="AF254" s="407">
        <v>8593.2627355142395</v>
      </c>
      <c r="AG254" s="407">
        <v>0</v>
      </c>
      <c r="AH254" s="407">
        <v>0</v>
      </c>
      <c r="AI254" s="407">
        <v>0</v>
      </c>
      <c r="AJ254" s="407">
        <v>0</v>
      </c>
      <c r="AK254" s="407">
        <v>0</v>
      </c>
      <c r="AL254" s="407">
        <v>634.86566585909475</v>
      </c>
      <c r="AM254" s="407"/>
      <c r="AN254" s="407">
        <v>67.511022395057594</v>
      </c>
      <c r="AO254" s="407">
        <v>0</v>
      </c>
      <c r="AP254" s="407">
        <v>0</v>
      </c>
      <c r="AQ254" s="407">
        <v>0</v>
      </c>
      <c r="AR254" s="407">
        <v>0</v>
      </c>
      <c r="AS254" s="407">
        <v>0</v>
      </c>
      <c r="AT254" s="407">
        <v>0</v>
      </c>
      <c r="AU254" s="407">
        <v>0</v>
      </c>
      <c r="AV254" s="407">
        <v>0</v>
      </c>
      <c r="AW254" s="407">
        <v>0</v>
      </c>
      <c r="AX254" s="407">
        <v>0</v>
      </c>
      <c r="AY254" s="407">
        <v>0</v>
      </c>
      <c r="AZ254" s="407">
        <v>0</v>
      </c>
      <c r="BA254" s="407"/>
      <c r="BB254" s="407">
        <v>0</v>
      </c>
      <c r="BC254" s="407">
        <v>0</v>
      </c>
      <c r="BD254" s="407">
        <v>0</v>
      </c>
      <c r="BE254" s="407">
        <v>0</v>
      </c>
      <c r="BF254" s="407">
        <v>0</v>
      </c>
      <c r="BG254" s="407">
        <v>348.95221611755062</v>
      </c>
      <c r="BH254" s="407">
        <v>0</v>
      </c>
      <c r="BI254" s="407">
        <v>0</v>
      </c>
      <c r="BJ254" s="407">
        <v>0</v>
      </c>
      <c r="BK254" s="407">
        <v>0</v>
      </c>
      <c r="BL254" s="407">
        <v>0</v>
      </c>
      <c r="BM254" s="407"/>
      <c r="BN254" s="407"/>
      <c r="BO254" s="407"/>
      <c r="BP254" s="407"/>
      <c r="BQ254" s="407"/>
      <c r="BR254" s="407"/>
      <c r="BS254" s="407"/>
      <c r="BT254" s="407"/>
      <c r="BU254" s="407"/>
      <c r="BV254" s="407">
        <v>8942.2149516317895</v>
      </c>
      <c r="BW254" s="407"/>
      <c r="BX254" s="407"/>
      <c r="BY254" s="407"/>
      <c r="BZ254" s="407"/>
      <c r="CA254" s="407"/>
      <c r="CB254" s="407"/>
      <c r="CC254" s="407"/>
      <c r="CD254" s="407"/>
      <c r="CE254" s="407"/>
      <c r="CF254" s="407"/>
      <c r="CG254" s="407"/>
      <c r="CH254" s="407"/>
      <c r="CI254" s="407">
        <v>13403.668000000001</v>
      </c>
      <c r="CJ254" s="407">
        <v>187.1525500000007</v>
      </c>
      <c r="CK254" s="407"/>
      <c r="CL254" s="407"/>
      <c r="CM254" s="407"/>
      <c r="CN254" s="407"/>
      <c r="CO254" s="407">
        <v>-84.018750000000011</v>
      </c>
      <c r="CP254" s="407">
        <v>270.20430000000073</v>
      </c>
      <c r="CQ254" s="407">
        <v>30</v>
      </c>
      <c r="CR254" s="407">
        <v>186.37160254376249</v>
      </c>
      <c r="CS254" s="407">
        <v>0</v>
      </c>
      <c r="CT254" s="407">
        <v>0</v>
      </c>
      <c r="CU254" s="407">
        <v>0</v>
      </c>
      <c r="CV254" s="407">
        <v>0</v>
      </c>
      <c r="CW254" s="407">
        <v>0</v>
      </c>
      <c r="CX254" s="407">
        <v>0</v>
      </c>
      <c r="CY254" s="407">
        <v>0</v>
      </c>
      <c r="CZ254" s="407">
        <v>0</v>
      </c>
      <c r="DA254" s="407">
        <v>0</v>
      </c>
      <c r="DB254" s="407">
        <v>0</v>
      </c>
      <c r="DC254" s="407">
        <v>270.39742810171811</v>
      </c>
      <c r="DD254" s="407">
        <v>0</v>
      </c>
      <c r="DE254" s="407">
        <v>0</v>
      </c>
      <c r="DF254" s="407">
        <v>0</v>
      </c>
      <c r="DG254" s="407">
        <v>10.980204454662385</v>
      </c>
      <c r="DH254" s="407">
        <v>0</v>
      </c>
      <c r="DI254" s="407">
        <v>-81.335167757086765</v>
      </c>
      <c r="DJ254" s="407"/>
      <c r="DK254" s="407">
        <v>0</v>
      </c>
      <c r="DL254" s="407">
        <v>0</v>
      </c>
      <c r="DM254" s="407">
        <v>0</v>
      </c>
      <c r="DN254" s="407">
        <v>0</v>
      </c>
      <c r="DO254" s="407">
        <v>-12.114527234967454</v>
      </c>
      <c r="DP254" s="407">
        <v>-1.5563350205623294</v>
      </c>
      <c r="DQ254" s="407">
        <v>0</v>
      </c>
      <c r="DR254" s="407">
        <v>0</v>
      </c>
      <c r="DS254" s="407"/>
      <c r="DT254" s="407"/>
      <c r="DU254" s="407"/>
      <c r="DV254" s="407">
        <v>0</v>
      </c>
      <c r="DW254" s="407">
        <v>0</v>
      </c>
      <c r="DX254" s="407">
        <v>0</v>
      </c>
      <c r="DY254" s="407">
        <v>-84.018750000000182</v>
      </c>
      <c r="DZ254" s="407">
        <v>270.20429999999942</v>
      </c>
      <c r="EA254" s="407">
        <v>0</v>
      </c>
      <c r="EB254" s="407">
        <v>0</v>
      </c>
      <c r="EC254" s="407">
        <v>0</v>
      </c>
      <c r="ED254" s="407">
        <v>0</v>
      </c>
      <c r="EE254" s="407">
        <v>0</v>
      </c>
      <c r="EF254" s="407">
        <v>0</v>
      </c>
      <c r="EG254" s="407">
        <v>0</v>
      </c>
      <c r="EH254" s="407">
        <v>0</v>
      </c>
      <c r="EI254" s="407">
        <v>0</v>
      </c>
      <c r="EJ254" s="407">
        <v>0</v>
      </c>
      <c r="EK254" s="407">
        <v>0</v>
      </c>
      <c r="EL254" s="407">
        <v>0</v>
      </c>
      <c r="EM254" s="407">
        <v>0</v>
      </c>
      <c r="EN254" s="407">
        <v>0</v>
      </c>
      <c r="EO254" s="407">
        <v>0</v>
      </c>
      <c r="EP254" s="407">
        <v>0</v>
      </c>
      <c r="EQ254" s="407">
        <v>0</v>
      </c>
      <c r="ER254" s="407">
        <v>0</v>
      </c>
      <c r="ES254" s="407">
        <v>0</v>
      </c>
      <c r="ET254" s="407">
        <v>0</v>
      </c>
      <c r="EU254" s="407">
        <v>0</v>
      </c>
      <c r="EV254" s="407">
        <v>207</v>
      </c>
      <c r="EW254" s="407">
        <v>0</v>
      </c>
      <c r="EX254" s="407">
        <v>0</v>
      </c>
      <c r="EY254" s="407">
        <v>0</v>
      </c>
      <c r="EZ254" s="407"/>
      <c r="FA254" s="407">
        <v>0</v>
      </c>
      <c r="FB254" s="407"/>
      <c r="FC254" s="407"/>
      <c r="FD254" s="407"/>
      <c r="FE254" s="407"/>
      <c r="FF254" s="407">
        <v>0</v>
      </c>
      <c r="FG254" s="407">
        <v>0</v>
      </c>
      <c r="FH254" s="407">
        <v>0</v>
      </c>
      <c r="FI254" s="407">
        <v>0</v>
      </c>
    </row>
    <row r="255" spans="1:165">
      <c r="A255" s="407">
        <v>253</v>
      </c>
      <c r="B255" s="407" t="s">
        <v>1092</v>
      </c>
      <c r="C255" s="407" t="s">
        <v>2315</v>
      </c>
      <c r="D255" s="407" t="s">
        <v>648</v>
      </c>
      <c r="E255" s="407" t="s">
        <v>1051</v>
      </c>
      <c r="F255" s="407" t="s">
        <v>96</v>
      </c>
      <c r="G255" s="407" t="s">
        <v>96</v>
      </c>
      <c r="H255" s="407" t="s">
        <v>96</v>
      </c>
      <c r="I255" s="407" t="s">
        <v>96</v>
      </c>
      <c r="J255" s="407" t="s">
        <v>2306</v>
      </c>
      <c r="K255" s="815">
        <v>44713</v>
      </c>
      <c r="L255" s="407">
        <v>193</v>
      </c>
      <c r="M255" s="407">
        <v>193</v>
      </c>
      <c r="N255" s="407">
        <v>0</v>
      </c>
      <c r="O255" s="407">
        <v>0</v>
      </c>
      <c r="P255" s="407">
        <v>0</v>
      </c>
      <c r="Q255" s="407">
        <v>0</v>
      </c>
      <c r="R255" s="407">
        <v>39.56</v>
      </c>
      <c r="S255" s="407"/>
      <c r="T255" s="407"/>
      <c r="U255" s="407">
        <v>7635.0800000000008</v>
      </c>
      <c r="V255" s="407"/>
      <c r="W255" s="407">
        <v>7635.0800000000008</v>
      </c>
      <c r="X255" s="407">
        <v>5994.58</v>
      </c>
      <c r="Y255" s="407">
        <v>0</v>
      </c>
      <c r="Z255" s="407">
        <v>0</v>
      </c>
      <c r="AA255" s="407">
        <v>0</v>
      </c>
      <c r="AB255" s="407">
        <v>0</v>
      </c>
      <c r="AC255" s="407">
        <v>0</v>
      </c>
      <c r="AD255" s="407">
        <v>2541.8643874235072</v>
      </c>
      <c r="AE255" s="407">
        <v>5092.2918934811096</v>
      </c>
      <c r="AF255" s="407"/>
      <c r="AG255" s="407"/>
      <c r="AH255" s="407"/>
      <c r="AI255" s="407">
        <v>0</v>
      </c>
      <c r="AJ255" s="407">
        <v>0</v>
      </c>
      <c r="AK255" s="407">
        <v>0</v>
      </c>
      <c r="AL255" s="407">
        <v>0</v>
      </c>
      <c r="AM255" s="407"/>
      <c r="AN255" s="407">
        <v>0</v>
      </c>
      <c r="AO255" s="407">
        <v>0</v>
      </c>
      <c r="AP255" s="407">
        <v>0</v>
      </c>
      <c r="AQ255" s="407">
        <v>0</v>
      </c>
      <c r="AR255" s="407">
        <v>0</v>
      </c>
      <c r="AS255" s="407"/>
      <c r="AT255" s="407"/>
      <c r="AU255" s="407">
        <v>0</v>
      </c>
      <c r="AV255" s="407">
        <v>0</v>
      </c>
      <c r="AW255" s="407">
        <v>0</v>
      </c>
      <c r="AX255" s="407"/>
      <c r="AY255" s="407"/>
      <c r="AZ255" s="407">
        <v>0</v>
      </c>
      <c r="BA255" s="407"/>
      <c r="BB255" s="407">
        <v>0</v>
      </c>
      <c r="BC255" s="407">
        <v>0</v>
      </c>
      <c r="BD255" s="407">
        <v>0</v>
      </c>
      <c r="BE255" s="407">
        <v>0</v>
      </c>
      <c r="BF255" s="407"/>
      <c r="BG255" s="407">
        <v>0</v>
      </c>
      <c r="BH255" s="407">
        <v>0</v>
      </c>
      <c r="BI255" s="407">
        <v>194.92</v>
      </c>
      <c r="BJ255" s="407">
        <v>899.58</v>
      </c>
      <c r="BK255" s="407">
        <v>6547.03</v>
      </c>
      <c r="BL255" s="407">
        <v>2</v>
      </c>
      <c r="BM255" s="407"/>
      <c r="BN255" s="407"/>
      <c r="BO255" s="407"/>
      <c r="BP255" s="407"/>
      <c r="BQ255" s="407"/>
      <c r="BR255" s="407"/>
      <c r="BS255" s="407"/>
      <c r="BT255" s="407"/>
      <c r="BU255" s="407"/>
      <c r="BV255" s="407">
        <v>0</v>
      </c>
      <c r="BW255" s="407"/>
      <c r="BX255" s="407"/>
      <c r="BY255" s="407"/>
      <c r="BZ255" s="407"/>
      <c r="CA255" s="407"/>
      <c r="CB255" s="407"/>
      <c r="CC255" s="407"/>
      <c r="CD255" s="407"/>
      <c r="CE255" s="407"/>
      <c r="CF255" s="407"/>
      <c r="CG255" s="407"/>
      <c r="CH255" s="407"/>
      <c r="CI255" s="407">
        <v>5994.58</v>
      </c>
      <c r="CJ255" s="407">
        <v>-1640.5300000000016</v>
      </c>
      <c r="CK255" s="407"/>
      <c r="CL255" s="407"/>
      <c r="CM255" s="407"/>
      <c r="CN255" s="407"/>
      <c r="CO255" s="407">
        <v>-1640.5000000000007</v>
      </c>
      <c r="CP255" s="407">
        <v>0</v>
      </c>
      <c r="CQ255" s="407">
        <v>30</v>
      </c>
      <c r="CR255" s="407">
        <v>-133.34802382970065</v>
      </c>
      <c r="CS255" s="407">
        <v>0</v>
      </c>
      <c r="CT255" s="407">
        <v>0</v>
      </c>
      <c r="CU255" s="407">
        <v>0</v>
      </c>
      <c r="CV255" s="407">
        <v>0</v>
      </c>
      <c r="CW255" s="407"/>
      <c r="CX255" s="407"/>
      <c r="CY255" s="407"/>
      <c r="CZ255" s="407">
        <v>-133.34802382970065</v>
      </c>
      <c r="DA255" s="407">
        <v>0</v>
      </c>
      <c r="DB255" s="407">
        <v>0</v>
      </c>
      <c r="DC255" s="407"/>
      <c r="DD255" s="407"/>
      <c r="DE255" s="407">
        <v>0</v>
      </c>
      <c r="DF255" s="407">
        <v>0</v>
      </c>
      <c r="DG255" s="407">
        <v>0</v>
      </c>
      <c r="DH255" s="407">
        <v>0</v>
      </c>
      <c r="DI255" s="407">
        <v>0</v>
      </c>
      <c r="DJ255" s="407"/>
      <c r="DK255" s="407">
        <v>0</v>
      </c>
      <c r="DL255" s="407">
        <v>0</v>
      </c>
      <c r="DM255" s="407"/>
      <c r="DN255" s="407">
        <v>0</v>
      </c>
      <c r="DO255" s="407">
        <v>0</v>
      </c>
      <c r="DP255" s="407">
        <v>0</v>
      </c>
      <c r="DQ255" s="407">
        <v>0</v>
      </c>
      <c r="DR255" s="407">
        <v>0</v>
      </c>
      <c r="DS255" s="407"/>
      <c r="DT255" s="407"/>
      <c r="DU255" s="407">
        <v>5092.2918934811096</v>
      </c>
      <c r="DV255" s="407"/>
      <c r="DW255" s="407">
        <v>0</v>
      </c>
      <c r="DX255" s="407">
        <v>0</v>
      </c>
      <c r="DY255" s="407">
        <v>-1640.5000000000009</v>
      </c>
      <c r="DZ255" s="407"/>
      <c r="EA255" s="407">
        <v>0</v>
      </c>
      <c r="EB255" s="407"/>
      <c r="EC255" s="407">
        <v>-1505.3618670417995</v>
      </c>
      <c r="ED255" s="407"/>
      <c r="EE255" s="407">
        <v>0</v>
      </c>
      <c r="EF255" s="407">
        <v>0</v>
      </c>
      <c r="EG255" s="407"/>
      <c r="EH255" s="407">
        <v>0</v>
      </c>
      <c r="EI255" s="407">
        <v>0</v>
      </c>
      <c r="EJ255" s="407">
        <v>0</v>
      </c>
      <c r="EK255" s="407">
        <v>0</v>
      </c>
      <c r="EL255" s="407">
        <v>0</v>
      </c>
      <c r="EM255" s="407"/>
      <c r="EN255" s="407"/>
      <c r="EO255" s="407">
        <v>0</v>
      </c>
      <c r="EP255" s="407">
        <v>0</v>
      </c>
      <c r="EQ255" s="407"/>
      <c r="ER255" s="407">
        <v>0</v>
      </c>
      <c r="ES255" s="407"/>
      <c r="ET255" s="407">
        <v>0</v>
      </c>
      <c r="EU255" s="407"/>
      <c r="EV255" s="407">
        <v>207</v>
      </c>
      <c r="EW255" s="407"/>
      <c r="EX255" s="407"/>
      <c r="EY255" s="407"/>
      <c r="EZ255" s="407"/>
      <c r="FA255" s="407">
        <v>0</v>
      </c>
      <c r="FB255" s="407"/>
      <c r="FC255" s="407"/>
      <c r="FD255" s="407"/>
      <c r="FE255" s="407"/>
      <c r="FF255" s="407">
        <v>0</v>
      </c>
      <c r="FG255" s="407">
        <v>0</v>
      </c>
      <c r="FH255" s="407">
        <v>0</v>
      </c>
      <c r="FI255" s="407">
        <v>0</v>
      </c>
    </row>
    <row r="256" spans="1:165">
      <c r="A256" s="407">
        <v>254</v>
      </c>
      <c r="B256" s="407" t="s">
        <v>1092</v>
      </c>
      <c r="C256" s="407" t="s">
        <v>2305</v>
      </c>
      <c r="D256" s="407" t="s">
        <v>2316</v>
      </c>
      <c r="E256" s="407" t="s">
        <v>1028</v>
      </c>
      <c r="F256" s="407" t="s">
        <v>96</v>
      </c>
      <c r="G256" s="407" t="s">
        <v>96</v>
      </c>
      <c r="H256" s="407" t="s">
        <v>96</v>
      </c>
      <c r="I256" s="407" t="s">
        <v>96</v>
      </c>
      <c r="J256" s="407" t="s">
        <v>2306</v>
      </c>
      <c r="K256" s="815">
        <v>44713</v>
      </c>
      <c r="L256" s="407">
        <v>0</v>
      </c>
      <c r="M256" s="407">
        <v>0</v>
      </c>
      <c r="N256" s="407">
        <v>54.271000000000001</v>
      </c>
      <c r="O256" s="407">
        <v>54.271000000000001</v>
      </c>
      <c r="P256" s="407">
        <v>54.271000000000001</v>
      </c>
      <c r="Q256" s="407">
        <v>54.271000000000001</v>
      </c>
      <c r="R256" s="407"/>
      <c r="S256" s="407">
        <v>710.52</v>
      </c>
      <c r="T256" s="407">
        <v>127.85</v>
      </c>
      <c r="U256" s="407"/>
      <c r="V256" s="407">
        <v>45499.178269999997</v>
      </c>
      <c r="W256" s="407">
        <v>45499.178269999997</v>
      </c>
      <c r="X256" s="407">
        <v>37376.980410000004</v>
      </c>
      <c r="Y256" s="407">
        <v>0</v>
      </c>
      <c r="Z256" s="407">
        <v>3314.6054846726174</v>
      </c>
      <c r="AA256" s="407">
        <v>0</v>
      </c>
      <c r="AB256" s="407">
        <v>0</v>
      </c>
      <c r="AC256" s="407">
        <v>0</v>
      </c>
      <c r="AD256" s="407">
        <v>5934.1243528555833</v>
      </c>
      <c r="AE256" s="407">
        <v>27036.036902343847</v>
      </c>
      <c r="AF256" s="407">
        <v>6938.4060391146804</v>
      </c>
      <c r="AG256" s="407">
        <v>0</v>
      </c>
      <c r="AH256" s="407">
        <v>0</v>
      </c>
      <c r="AI256" s="407">
        <v>0</v>
      </c>
      <c r="AJ256" s="407">
        <v>0</v>
      </c>
      <c r="AK256" s="407">
        <v>0</v>
      </c>
      <c r="AL256" s="407">
        <v>512.60573609817641</v>
      </c>
      <c r="AM256" s="407"/>
      <c r="AN256" s="407">
        <v>124.32201462885445</v>
      </c>
      <c r="AO256" s="407">
        <v>0</v>
      </c>
      <c r="AP256" s="407">
        <v>0</v>
      </c>
      <c r="AQ256" s="407">
        <v>0</v>
      </c>
      <c r="AR256" s="407">
        <v>0</v>
      </c>
      <c r="AS256" s="407">
        <v>0</v>
      </c>
      <c r="AT256" s="407">
        <v>0</v>
      </c>
      <c r="AU256" s="407">
        <v>0</v>
      </c>
      <c r="AV256" s="407">
        <v>0</v>
      </c>
      <c r="AW256" s="407">
        <v>0</v>
      </c>
      <c r="AX256" s="407">
        <v>0</v>
      </c>
      <c r="AY256" s="407">
        <v>0</v>
      </c>
      <c r="AZ256" s="407">
        <v>0</v>
      </c>
      <c r="BA256" s="407"/>
      <c r="BB256" s="407">
        <v>0</v>
      </c>
      <c r="BC256" s="407">
        <v>0</v>
      </c>
      <c r="BD256" s="407">
        <v>0</v>
      </c>
      <c r="BE256" s="407">
        <v>0</v>
      </c>
      <c r="BF256" s="407">
        <v>0</v>
      </c>
      <c r="BG256" s="407">
        <v>1638.886168854247</v>
      </c>
      <c r="BH256" s="407">
        <v>0</v>
      </c>
      <c r="BI256" s="407">
        <v>133.30000000000001</v>
      </c>
      <c r="BJ256" s="407">
        <v>616.09</v>
      </c>
      <c r="BK256" s="407">
        <v>0</v>
      </c>
      <c r="BL256" s="407">
        <v>35</v>
      </c>
      <c r="BM256" s="407"/>
      <c r="BN256" s="407"/>
      <c r="BO256" s="407"/>
      <c r="BP256" s="407"/>
      <c r="BQ256" s="407"/>
      <c r="BR256" s="407">
        <v>4484.9554400000034</v>
      </c>
      <c r="BS256" s="407"/>
      <c r="BT256" s="407"/>
      <c r="BU256" s="407"/>
      <c r="BV256" s="407">
        <v>8577.292207968927</v>
      </c>
      <c r="BW256" s="407"/>
      <c r="BX256" s="407"/>
      <c r="BY256" s="407"/>
      <c r="BZ256" s="407"/>
      <c r="CA256" s="407"/>
      <c r="CB256" s="407"/>
      <c r="CC256" s="407"/>
      <c r="CD256" s="407"/>
      <c r="CE256" s="407"/>
      <c r="CF256" s="407"/>
      <c r="CG256" s="407"/>
      <c r="CH256" s="407"/>
      <c r="CI256" s="407">
        <v>32891.418899999997</v>
      </c>
      <c r="CJ256" s="407">
        <v>-7148.1267700000171</v>
      </c>
      <c r="CK256" s="407"/>
      <c r="CL256" s="407"/>
      <c r="CM256" s="407"/>
      <c r="CN256" s="407"/>
      <c r="CO256" s="407">
        <v>-8340.3672799999968</v>
      </c>
      <c r="CP256" s="407">
        <v>218.16942000000057</v>
      </c>
      <c r="CQ256" s="407">
        <v>30</v>
      </c>
      <c r="CR256" s="407">
        <v>-129.5460859931045</v>
      </c>
      <c r="CS256" s="407">
        <v>0</v>
      </c>
      <c r="CT256" s="407">
        <v>0</v>
      </c>
      <c r="CU256" s="407">
        <v>0</v>
      </c>
      <c r="CV256" s="407">
        <v>0</v>
      </c>
      <c r="CW256" s="407">
        <v>0</v>
      </c>
      <c r="CX256" s="407">
        <v>0</v>
      </c>
      <c r="CY256" s="407">
        <v>0</v>
      </c>
      <c r="CZ256" s="407">
        <v>-311.30840792617164</v>
      </c>
      <c r="DA256" s="407">
        <v>0</v>
      </c>
      <c r="DB256" s="407">
        <v>0</v>
      </c>
      <c r="DC256" s="407">
        <v>218.32535625244964</v>
      </c>
      <c r="DD256" s="407">
        <v>0</v>
      </c>
      <c r="DE256" s="407">
        <v>0</v>
      </c>
      <c r="DF256" s="407">
        <v>0</v>
      </c>
      <c r="DG256" s="407">
        <v>51.569539841742881</v>
      </c>
      <c r="DH256" s="407">
        <v>0</v>
      </c>
      <c r="DI256" s="407">
        <v>-75.485013169174181</v>
      </c>
      <c r="DJ256" s="407"/>
      <c r="DK256" s="407">
        <v>0</v>
      </c>
      <c r="DL256" s="407">
        <v>0</v>
      </c>
      <c r="DM256" s="407">
        <v>0</v>
      </c>
      <c r="DN256" s="407">
        <v>0</v>
      </c>
      <c r="DO256" s="407">
        <v>-9.7815592883868021</v>
      </c>
      <c r="DP256" s="407">
        <v>-2.8660017035663827</v>
      </c>
      <c r="DQ256" s="407">
        <v>0</v>
      </c>
      <c r="DR256" s="407">
        <v>0</v>
      </c>
      <c r="DS256" s="407"/>
      <c r="DT256" s="407"/>
      <c r="DU256" s="407"/>
      <c r="DV256" s="407">
        <v>27036.036902343847</v>
      </c>
      <c r="DW256" s="407">
        <v>0</v>
      </c>
      <c r="DX256" s="407">
        <v>0</v>
      </c>
      <c r="DY256" s="407">
        <v>-8340.3672799999949</v>
      </c>
      <c r="DZ256" s="407">
        <v>218.16942000000017</v>
      </c>
      <c r="EA256" s="407">
        <v>0</v>
      </c>
      <c r="EB256" s="407">
        <v>0</v>
      </c>
      <c r="EC256" s="407">
        <v>-7992.2792801457435</v>
      </c>
      <c r="ED256" s="407">
        <v>0</v>
      </c>
      <c r="EE256" s="407">
        <v>0</v>
      </c>
      <c r="EF256" s="407">
        <v>0</v>
      </c>
      <c r="EG256" s="407">
        <v>0</v>
      </c>
      <c r="EH256" s="407">
        <v>0</v>
      </c>
      <c r="EI256" s="407">
        <v>0</v>
      </c>
      <c r="EJ256" s="407">
        <v>0</v>
      </c>
      <c r="EK256" s="407">
        <v>0</v>
      </c>
      <c r="EL256" s="407">
        <v>0</v>
      </c>
      <c r="EM256" s="407">
        <v>0</v>
      </c>
      <c r="EN256" s="407">
        <v>0</v>
      </c>
      <c r="EO256" s="407">
        <v>0</v>
      </c>
      <c r="EP256" s="407">
        <v>0</v>
      </c>
      <c r="EQ256" s="407">
        <v>0</v>
      </c>
      <c r="ER256" s="407">
        <v>0</v>
      </c>
      <c r="ES256" s="407">
        <v>0</v>
      </c>
      <c r="ET256" s="407">
        <v>0</v>
      </c>
      <c r="EU256" s="407">
        <v>0</v>
      </c>
      <c r="EV256" s="407">
        <v>207</v>
      </c>
      <c r="EW256" s="407">
        <v>0</v>
      </c>
      <c r="EX256" s="407">
        <v>0</v>
      </c>
      <c r="EY256" s="407">
        <v>0</v>
      </c>
      <c r="EZ256" s="407"/>
      <c r="FA256" s="407">
        <v>0</v>
      </c>
      <c r="FB256" s="407"/>
      <c r="FC256" s="407"/>
      <c r="FD256" s="407"/>
      <c r="FE256" s="407"/>
      <c r="FF256" s="407">
        <v>0</v>
      </c>
      <c r="FG256" s="407">
        <v>0</v>
      </c>
      <c r="FH256" s="407">
        <v>0</v>
      </c>
      <c r="FI256" s="407">
        <v>0</v>
      </c>
    </row>
    <row r="257" spans="1:165">
      <c r="A257" s="407">
        <v>255</v>
      </c>
      <c r="B257" s="407" t="s">
        <v>2308</v>
      </c>
      <c r="C257" s="407" t="s">
        <v>2305</v>
      </c>
      <c r="D257" s="407" t="s">
        <v>2316</v>
      </c>
      <c r="E257" s="407" t="s">
        <v>1028</v>
      </c>
      <c r="F257" s="407" t="s">
        <v>96</v>
      </c>
      <c r="G257" s="407" t="s">
        <v>96</v>
      </c>
      <c r="H257" s="407" t="s">
        <v>96</v>
      </c>
      <c r="I257" s="407" t="s">
        <v>96</v>
      </c>
      <c r="J257" s="407" t="s">
        <v>2306</v>
      </c>
      <c r="K257" s="815">
        <v>44713</v>
      </c>
      <c r="L257" s="407">
        <v>0</v>
      </c>
      <c r="M257" s="407">
        <v>0</v>
      </c>
      <c r="N257" s="407">
        <v>0.56699999999999995</v>
      </c>
      <c r="O257" s="407">
        <v>0.56699999999999995</v>
      </c>
      <c r="P257" s="407">
        <v>0.56699999999999995</v>
      </c>
      <c r="Q257" s="407">
        <v>0.56699999999999995</v>
      </c>
      <c r="R257" s="407"/>
      <c r="S257" s="407">
        <v>710.52</v>
      </c>
      <c r="T257" s="407">
        <v>127.85</v>
      </c>
      <c r="U257" s="407"/>
      <c r="V257" s="407">
        <v>475.35578999999996</v>
      </c>
      <c r="W257" s="407">
        <v>475.35578999999996</v>
      </c>
      <c r="X257" s="407">
        <v>390.49856999999997</v>
      </c>
      <c r="Y257" s="407">
        <v>0</v>
      </c>
      <c r="Z257" s="407">
        <v>34.629568458465364</v>
      </c>
      <c r="AA257" s="407">
        <v>0</v>
      </c>
      <c r="AB257" s="407">
        <v>0</v>
      </c>
      <c r="AC257" s="407">
        <v>0</v>
      </c>
      <c r="AD257" s="407">
        <v>61.997171750458172</v>
      </c>
      <c r="AE257" s="407">
        <v>282.4608524558044</v>
      </c>
      <c r="AF257" s="407">
        <v>72.489473644819952</v>
      </c>
      <c r="AG257" s="407">
        <v>0</v>
      </c>
      <c r="AH257" s="407">
        <v>0</v>
      </c>
      <c r="AI257" s="407">
        <v>0</v>
      </c>
      <c r="AJ257" s="407">
        <v>0</v>
      </c>
      <c r="AK257" s="407">
        <v>0</v>
      </c>
      <c r="AL257" s="407">
        <v>5.3554836352318178</v>
      </c>
      <c r="AM257" s="407"/>
      <c r="AN257" s="407">
        <v>1.2988627866551281</v>
      </c>
      <c r="AO257" s="407">
        <v>0</v>
      </c>
      <c r="AP257" s="407">
        <v>0</v>
      </c>
      <c r="AQ257" s="407">
        <v>0</v>
      </c>
      <c r="AR257" s="407">
        <v>0</v>
      </c>
      <c r="AS257" s="407">
        <v>0</v>
      </c>
      <c r="AT257" s="407">
        <v>0</v>
      </c>
      <c r="AU257" s="407">
        <v>0</v>
      </c>
      <c r="AV257" s="407">
        <v>0</v>
      </c>
      <c r="AW257" s="407">
        <v>0</v>
      </c>
      <c r="AX257" s="407">
        <v>0</v>
      </c>
      <c r="AY257" s="407">
        <v>0</v>
      </c>
      <c r="AZ257" s="407">
        <v>0</v>
      </c>
      <c r="BA257" s="407"/>
      <c r="BB257" s="407">
        <v>0</v>
      </c>
      <c r="BC257" s="407">
        <v>0</v>
      </c>
      <c r="BD257" s="407">
        <v>0</v>
      </c>
      <c r="BE257" s="407">
        <v>0</v>
      </c>
      <c r="BF257" s="407">
        <v>0</v>
      </c>
      <c r="BG257" s="407">
        <v>17.122375812871663</v>
      </c>
      <c r="BH257" s="407">
        <v>0</v>
      </c>
      <c r="BI257" s="407">
        <v>0.99</v>
      </c>
      <c r="BJ257" s="407">
        <v>4.63</v>
      </c>
      <c r="BK257" s="407">
        <v>0</v>
      </c>
      <c r="BL257" s="407">
        <v>3</v>
      </c>
      <c r="BM257" s="407"/>
      <c r="BN257" s="407"/>
      <c r="BO257" s="407"/>
      <c r="BP257" s="407"/>
      <c r="BQ257" s="407"/>
      <c r="BR257" s="407">
        <v>46.856880000000025</v>
      </c>
      <c r="BS257" s="407"/>
      <c r="BT257" s="407"/>
      <c r="BU257" s="407"/>
      <c r="BV257" s="407">
        <v>89.611849457691619</v>
      </c>
      <c r="BW257" s="407"/>
      <c r="BX257" s="407"/>
      <c r="BY257" s="407"/>
      <c r="BZ257" s="407"/>
      <c r="CA257" s="407"/>
      <c r="CB257" s="407"/>
      <c r="CC257" s="407"/>
      <c r="CD257" s="407"/>
      <c r="CE257" s="407"/>
      <c r="CF257" s="407"/>
      <c r="CG257" s="407"/>
      <c r="CH257" s="407"/>
      <c r="CI257" s="407">
        <v>345.4599</v>
      </c>
      <c r="CJ257" s="407">
        <v>-72.885689999999897</v>
      </c>
      <c r="CK257" s="407"/>
      <c r="CL257" s="407"/>
      <c r="CM257" s="407"/>
      <c r="CN257" s="407"/>
      <c r="CO257" s="407">
        <v>-87.13655999999996</v>
      </c>
      <c r="CP257" s="407">
        <v>2.2793400000000057</v>
      </c>
      <c r="CQ257" s="407">
        <v>30</v>
      </c>
      <c r="CR257" s="407">
        <v>-1.3534416310385211</v>
      </c>
      <c r="CS257" s="407">
        <v>0</v>
      </c>
      <c r="CT257" s="407">
        <v>0</v>
      </c>
      <c r="CU257" s="407">
        <v>0</v>
      </c>
      <c r="CV257" s="407">
        <v>0</v>
      </c>
      <c r="CW257" s="407">
        <v>0</v>
      </c>
      <c r="CX257" s="407">
        <v>0</v>
      </c>
      <c r="CY257" s="407">
        <v>0</v>
      </c>
      <c r="CZ257" s="407">
        <v>-3.252415973432214</v>
      </c>
      <c r="DA257" s="407">
        <v>0</v>
      </c>
      <c r="DB257" s="407">
        <v>0</v>
      </c>
      <c r="DC257" s="407">
        <v>2.2809691547076483</v>
      </c>
      <c r="DD257" s="407">
        <v>0</v>
      </c>
      <c r="DE257" s="407">
        <v>0</v>
      </c>
      <c r="DF257" s="407">
        <v>0</v>
      </c>
      <c r="DG257" s="407">
        <v>0.53877630945197552</v>
      </c>
      <c r="DH257" s="407">
        <v>0</v>
      </c>
      <c r="DI257" s="407">
        <v>-0.7886348596289281</v>
      </c>
      <c r="DJ257" s="407"/>
      <c r="DK257" s="407">
        <v>0</v>
      </c>
      <c r="DL257" s="407">
        <v>0</v>
      </c>
      <c r="DM257" s="407">
        <v>0</v>
      </c>
      <c r="DN257" s="407">
        <v>0</v>
      </c>
      <c r="DO257" s="407">
        <v>-0.1021935124931419</v>
      </c>
      <c r="DP257" s="407">
        <v>-2.9942749643863786E-2</v>
      </c>
      <c r="DQ257" s="407">
        <v>0</v>
      </c>
      <c r="DR257" s="407">
        <v>0</v>
      </c>
      <c r="DS257" s="407"/>
      <c r="DT257" s="407"/>
      <c r="DU257" s="407"/>
      <c r="DV257" s="407">
        <v>282.4608524558044</v>
      </c>
      <c r="DW257" s="407">
        <v>0</v>
      </c>
      <c r="DX257" s="407">
        <v>0</v>
      </c>
      <c r="DY257" s="407">
        <v>-87.136559999999974</v>
      </c>
      <c r="DZ257" s="407">
        <v>2.279340000000019</v>
      </c>
      <c r="EA257" s="407">
        <v>0</v>
      </c>
      <c r="EB257" s="407">
        <v>0</v>
      </c>
      <c r="EC257" s="407">
        <v>-83.499886713763118</v>
      </c>
      <c r="ED257" s="407">
        <v>0</v>
      </c>
      <c r="EE257" s="407">
        <v>0</v>
      </c>
      <c r="EF257" s="407">
        <v>0</v>
      </c>
      <c r="EG257" s="407">
        <v>0</v>
      </c>
      <c r="EH257" s="407">
        <v>0</v>
      </c>
      <c r="EI257" s="407">
        <v>0</v>
      </c>
      <c r="EJ257" s="407">
        <v>0</v>
      </c>
      <c r="EK257" s="407">
        <v>0</v>
      </c>
      <c r="EL257" s="407">
        <v>0</v>
      </c>
      <c r="EM257" s="407">
        <v>0</v>
      </c>
      <c r="EN257" s="407">
        <v>0</v>
      </c>
      <c r="EO257" s="407">
        <v>0</v>
      </c>
      <c r="EP257" s="407">
        <v>0</v>
      </c>
      <c r="EQ257" s="407">
        <v>0</v>
      </c>
      <c r="ER257" s="407">
        <v>0</v>
      </c>
      <c r="ES257" s="407">
        <v>0</v>
      </c>
      <c r="ET257" s="407">
        <v>0</v>
      </c>
      <c r="EU257" s="407">
        <v>0</v>
      </c>
      <c r="EV257" s="407">
        <v>207</v>
      </c>
      <c r="EW257" s="407">
        <v>0</v>
      </c>
      <c r="EX257" s="407">
        <v>0</v>
      </c>
      <c r="EY257" s="407">
        <v>0</v>
      </c>
      <c r="EZ257" s="407"/>
      <c r="FA257" s="407">
        <v>0</v>
      </c>
      <c r="FB257" s="407"/>
      <c r="FC257" s="407"/>
      <c r="FD257" s="407"/>
      <c r="FE257" s="407"/>
      <c r="FF257" s="407">
        <v>0</v>
      </c>
      <c r="FG257" s="407">
        <v>0</v>
      </c>
      <c r="FH257" s="407">
        <v>0</v>
      </c>
      <c r="FI257" s="407">
        <v>0</v>
      </c>
    </row>
    <row r="258" spans="1:165">
      <c r="A258" s="407">
        <v>256</v>
      </c>
      <c r="B258" s="407" t="s">
        <v>1092</v>
      </c>
      <c r="C258" s="407" t="s">
        <v>2305</v>
      </c>
      <c r="D258" s="407" t="s">
        <v>1221</v>
      </c>
      <c r="E258" s="407" t="s">
        <v>2317</v>
      </c>
      <c r="F258" s="407" t="s">
        <v>96</v>
      </c>
      <c r="G258" s="407" t="s">
        <v>96</v>
      </c>
      <c r="H258" s="407" t="s">
        <v>96</v>
      </c>
      <c r="I258" s="407" t="s">
        <v>96</v>
      </c>
      <c r="J258" s="407" t="s">
        <v>2306</v>
      </c>
      <c r="K258" s="815">
        <v>44713</v>
      </c>
      <c r="L258" s="407">
        <v>0</v>
      </c>
      <c r="M258" s="407">
        <v>0</v>
      </c>
      <c r="N258" s="407">
        <v>12.573</v>
      </c>
      <c r="O258" s="407">
        <v>12.573</v>
      </c>
      <c r="P258" s="407">
        <v>12.573</v>
      </c>
      <c r="Q258" s="407">
        <v>12.573</v>
      </c>
      <c r="R258" s="407"/>
      <c r="S258" s="407">
        <v>710.52</v>
      </c>
      <c r="T258" s="407">
        <v>127.85</v>
      </c>
      <c r="U258" s="407"/>
      <c r="V258" s="407">
        <v>10540.826009999999</v>
      </c>
      <c r="W258" s="407">
        <v>10540.826009999999</v>
      </c>
      <c r="X258" s="407">
        <v>8659.1508300000005</v>
      </c>
      <c r="Y258" s="407">
        <v>0</v>
      </c>
      <c r="Z258" s="407">
        <v>767.8969386742242</v>
      </c>
      <c r="AA258" s="407">
        <v>0</v>
      </c>
      <c r="AB258" s="407">
        <v>0</v>
      </c>
      <c r="AC258" s="407">
        <v>0</v>
      </c>
      <c r="AD258" s="407">
        <v>1374.7626815141282</v>
      </c>
      <c r="AE258" s="407">
        <v>6263.4573155675998</v>
      </c>
      <c r="AF258" s="407">
        <v>1607.4253124097379</v>
      </c>
      <c r="AG258" s="407">
        <v>0</v>
      </c>
      <c r="AH258" s="407">
        <v>0</v>
      </c>
      <c r="AI258" s="407">
        <v>0</v>
      </c>
      <c r="AJ258" s="407">
        <v>0</v>
      </c>
      <c r="AK258" s="407">
        <v>0</v>
      </c>
      <c r="AL258" s="407">
        <v>118.75572441934683</v>
      </c>
      <c r="AM258" s="407"/>
      <c r="AN258" s="407">
        <v>28.801766872336735</v>
      </c>
      <c r="AO258" s="407">
        <v>0</v>
      </c>
      <c r="AP258" s="407">
        <v>0</v>
      </c>
      <c r="AQ258" s="407">
        <v>0</v>
      </c>
      <c r="AR258" s="407">
        <v>0</v>
      </c>
      <c r="AS258" s="407">
        <v>0</v>
      </c>
      <c r="AT258" s="407">
        <v>0</v>
      </c>
      <c r="AU258" s="407">
        <v>0</v>
      </c>
      <c r="AV258" s="407">
        <v>0</v>
      </c>
      <c r="AW258" s="407">
        <v>0</v>
      </c>
      <c r="AX258" s="407">
        <v>0</v>
      </c>
      <c r="AY258" s="407">
        <v>0</v>
      </c>
      <c r="AZ258" s="407">
        <v>0</v>
      </c>
      <c r="BA258" s="407"/>
      <c r="BB258" s="407">
        <v>0</v>
      </c>
      <c r="BC258" s="407">
        <v>0</v>
      </c>
      <c r="BD258" s="407">
        <v>0</v>
      </c>
      <c r="BE258" s="407">
        <v>0</v>
      </c>
      <c r="BF258" s="407">
        <v>0</v>
      </c>
      <c r="BG258" s="407">
        <v>379.68188905685264</v>
      </c>
      <c r="BH258" s="407">
        <v>0</v>
      </c>
      <c r="BI258" s="407">
        <v>15.79</v>
      </c>
      <c r="BJ258" s="407">
        <v>73.260000000000005</v>
      </c>
      <c r="BK258" s="407">
        <v>1920.23</v>
      </c>
      <c r="BL258" s="407">
        <v>18</v>
      </c>
      <c r="BM258" s="407"/>
      <c r="BN258" s="407"/>
      <c r="BO258" s="407"/>
      <c r="BP258" s="407"/>
      <c r="BQ258" s="407"/>
      <c r="BR258" s="407"/>
      <c r="BS258" s="407"/>
      <c r="BT258" s="407"/>
      <c r="BU258" s="407"/>
      <c r="BV258" s="407">
        <v>1987.1072014665906</v>
      </c>
      <c r="BW258" s="407"/>
      <c r="BX258" s="407"/>
      <c r="BY258" s="407"/>
      <c r="BZ258" s="407"/>
      <c r="CA258" s="407"/>
      <c r="CB258" s="407"/>
      <c r="CC258" s="407"/>
      <c r="CD258" s="407"/>
      <c r="CE258" s="407"/>
      <c r="CF258" s="407"/>
      <c r="CG258" s="407"/>
      <c r="CH258" s="407"/>
      <c r="CI258" s="407">
        <v>8657.0847000000012</v>
      </c>
      <c r="CJ258" s="407">
        <v>-1883.7713099999983</v>
      </c>
      <c r="CK258" s="407"/>
      <c r="CL258" s="407"/>
      <c r="CM258" s="407"/>
      <c r="CN258" s="407"/>
      <c r="CO258" s="407">
        <v>-1932.2186399999994</v>
      </c>
      <c r="CP258" s="407">
        <v>50.543460000000131</v>
      </c>
      <c r="CQ258" s="407">
        <v>30</v>
      </c>
      <c r="CR258" s="407">
        <v>-30.012031088266667</v>
      </c>
      <c r="CS258" s="407">
        <v>0</v>
      </c>
      <c r="CT258" s="407">
        <v>0</v>
      </c>
      <c r="CU258" s="407">
        <v>0</v>
      </c>
      <c r="CV258" s="407">
        <v>0</v>
      </c>
      <c r="CW258" s="407">
        <v>0</v>
      </c>
      <c r="CX258" s="407">
        <v>0</v>
      </c>
      <c r="CY258" s="407">
        <v>0</v>
      </c>
      <c r="CZ258" s="407">
        <v>-72.121033569600058</v>
      </c>
      <c r="DA258" s="407">
        <v>0</v>
      </c>
      <c r="DB258" s="407">
        <v>0</v>
      </c>
      <c r="DC258" s="407">
        <v>50.579585859152075</v>
      </c>
      <c r="DD258" s="407">
        <v>0</v>
      </c>
      <c r="DE258" s="407">
        <v>0</v>
      </c>
      <c r="DF258" s="407">
        <v>0</v>
      </c>
      <c r="DG258" s="407">
        <v>11.947150861974762</v>
      </c>
      <c r="DH258" s="407">
        <v>0</v>
      </c>
      <c r="DI258" s="407">
        <v>-17.487665061930443</v>
      </c>
      <c r="DJ258" s="407"/>
      <c r="DK258" s="407">
        <v>0</v>
      </c>
      <c r="DL258" s="407">
        <v>0</v>
      </c>
      <c r="DM258" s="407">
        <v>0</v>
      </c>
      <c r="DN258" s="407">
        <v>0</v>
      </c>
      <c r="DO258" s="407">
        <v>-2.2661005865542734</v>
      </c>
      <c r="DP258" s="407">
        <v>-0.66396859130917463</v>
      </c>
      <c r="DQ258" s="407">
        <v>0</v>
      </c>
      <c r="DR258" s="407">
        <v>0</v>
      </c>
      <c r="DS258" s="407"/>
      <c r="DT258" s="407"/>
      <c r="DU258" s="407"/>
      <c r="DV258" s="407">
        <v>6263.4573155675998</v>
      </c>
      <c r="DW258" s="407">
        <v>0</v>
      </c>
      <c r="DX258" s="407">
        <v>0</v>
      </c>
      <c r="DY258" s="407">
        <v>-1932.2186399999991</v>
      </c>
      <c r="DZ258" s="407">
        <v>50.543460000000096</v>
      </c>
      <c r="EA258" s="407">
        <v>0</v>
      </c>
      <c r="EB258" s="407">
        <v>0</v>
      </c>
      <c r="EC258" s="407">
        <v>-1851.5768530020168</v>
      </c>
      <c r="ED258" s="407">
        <v>0</v>
      </c>
      <c r="EE258" s="407">
        <v>0</v>
      </c>
      <c r="EF258" s="407">
        <v>0</v>
      </c>
      <c r="EG258" s="407">
        <v>0</v>
      </c>
      <c r="EH258" s="407">
        <v>0</v>
      </c>
      <c r="EI258" s="407">
        <v>0</v>
      </c>
      <c r="EJ258" s="407">
        <v>0</v>
      </c>
      <c r="EK258" s="407">
        <v>0</v>
      </c>
      <c r="EL258" s="407">
        <v>0</v>
      </c>
      <c r="EM258" s="407">
        <v>0</v>
      </c>
      <c r="EN258" s="407">
        <v>0</v>
      </c>
      <c r="EO258" s="407">
        <v>0</v>
      </c>
      <c r="EP258" s="407">
        <v>0</v>
      </c>
      <c r="EQ258" s="407">
        <v>0</v>
      </c>
      <c r="ER258" s="407">
        <v>0</v>
      </c>
      <c r="ES258" s="407">
        <v>0</v>
      </c>
      <c r="ET258" s="407">
        <v>0</v>
      </c>
      <c r="EU258" s="407">
        <v>0</v>
      </c>
      <c r="EV258" s="407">
        <v>207</v>
      </c>
      <c r="EW258" s="407">
        <v>0</v>
      </c>
      <c r="EX258" s="407">
        <v>0</v>
      </c>
      <c r="EY258" s="407">
        <v>0</v>
      </c>
      <c r="EZ258" s="407"/>
      <c r="FA258" s="407">
        <v>0</v>
      </c>
      <c r="FB258" s="407"/>
      <c r="FC258" s="407"/>
      <c r="FD258" s="407"/>
      <c r="FE258" s="407"/>
      <c r="FF258" s="407">
        <v>0</v>
      </c>
      <c r="FG258" s="407">
        <v>0</v>
      </c>
      <c r="FH258" s="407">
        <v>0</v>
      </c>
      <c r="FI258" s="407">
        <v>0</v>
      </c>
    </row>
    <row r="259" spans="1:165">
      <c r="A259" s="407">
        <v>257</v>
      </c>
      <c r="B259" s="407" t="s">
        <v>1092</v>
      </c>
      <c r="C259" s="407" t="s">
        <v>2305</v>
      </c>
      <c r="D259" s="407" t="s">
        <v>2318</v>
      </c>
      <c r="E259" s="407" t="s">
        <v>2319</v>
      </c>
      <c r="F259" s="407" t="s">
        <v>2320</v>
      </c>
      <c r="G259" s="407" t="s">
        <v>96</v>
      </c>
      <c r="H259" s="407" t="s">
        <v>96</v>
      </c>
      <c r="I259" s="407" t="s">
        <v>96</v>
      </c>
      <c r="J259" s="407" t="s">
        <v>2306</v>
      </c>
      <c r="K259" s="815">
        <v>44713</v>
      </c>
      <c r="L259" s="407">
        <v>0</v>
      </c>
      <c r="M259" s="407">
        <v>0</v>
      </c>
      <c r="N259" s="407">
        <v>41.695</v>
      </c>
      <c r="O259" s="407">
        <v>41.695</v>
      </c>
      <c r="P259" s="407">
        <v>41.695</v>
      </c>
      <c r="Q259" s="407">
        <v>41.695</v>
      </c>
      <c r="R259" s="407"/>
      <c r="S259" s="407">
        <v>390.79</v>
      </c>
      <c r="T259" s="407">
        <v>70.319999999999993</v>
      </c>
      <c r="U259" s="407"/>
      <c r="V259" s="407">
        <v>19225.981449999999</v>
      </c>
      <c r="W259" s="407">
        <v>19225.981449999999</v>
      </c>
      <c r="X259" s="407">
        <v>15793.64905</v>
      </c>
      <c r="Y259" s="407">
        <v>0</v>
      </c>
      <c r="Z259" s="407">
        <v>1400.5889264226512</v>
      </c>
      <c r="AA259" s="407">
        <v>0</v>
      </c>
      <c r="AB259" s="407">
        <v>0</v>
      </c>
      <c r="AC259" s="407">
        <v>0</v>
      </c>
      <c r="AD259" s="407">
        <v>2507.4685041877287</v>
      </c>
      <c r="AE259" s="407">
        <v>11424.096796701268</v>
      </c>
      <c r="AF259" s="407">
        <v>2931.828451483992</v>
      </c>
      <c r="AG259" s="407">
        <v>0</v>
      </c>
      <c r="AH259" s="407">
        <v>0</v>
      </c>
      <c r="AI259" s="407">
        <v>0</v>
      </c>
      <c r="AJ259" s="407">
        <v>0</v>
      </c>
      <c r="AK259" s="407">
        <v>0</v>
      </c>
      <c r="AL259" s="407">
        <v>216.60192168261881</v>
      </c>
      <c r="AM259" s="407"/>
      <c r="AN259" s="407">
        <v>52.532356506652839</v>
      </c>
      <c r="AO259" s="407">
        <v>0</v>
      </c>
      <c r="AP259" s="407">
        <v>0</v>
      </c>
      <c r="AQ259" s="407">
        <v>0</v>
      </c>
      <c r="AR259" s="407">
        <v>0</v>
      </c>
      <c r="AS259" s="407">
        <v>0</v>
      </c>
      <c r="AT259" s="407">
        <v>0</v>
      </c>
      <c r="AU259" s="407">
        <v>0</v>
      </c>
      <c r="AV259" s="407">
        <v>0</v>
      </c>
      <c r="AW259" s="407">
        <v>0</v>
      </c>
      <c r="AX259" s="407">
        <v>0</v>
      </c>
      <c r="AY259" s="407">
        <v>0</v>
      </c>
      <c r="AZ259" s="407">
        <v>0</v>
      </c>
      <c r="BA259" s="407"/>
      <c r="BB259" s="407">
        <v>0</v>
      </c>
      <c r="BC259" s="407">
        <v>0</v>
      </c>
      <c r="BD259" s="407">
        <v>0</v>
      </c>
      <c r="BE259" s="407">
        <v>0</v>
      </c>
      <c r="BF259" s="407">
        <v>0</v>
      </c>
      <c r="BG259" s="407">
        <v>692.51252686900784</v>
      </c>
      <c r="BH259" s="407">
        <v>0</v>
      </c>
      <c r="BI259" s="407">
        <v>49.11</v>
      </c>
      <c r="BJ259" s="407">
        <v>227.45</v>
      </c>
      <c r="BK259" s="407">
        <v>3527.39</v>
      </c>
      <c r="BL259" s="407">
        <v>36</v>
      </c>
      <c r="BM259" s="407"/>
      <c r="BN259" s="407"/>
      <c r="BO259" s="407"/>
      <c r="BP259" s="407"/>
      <c r="BQ259" s="407"/>
      <c r="BR259" s="407"/>
      <c r="BS259" s="407"/>
      <c r="BT259" s="407"/>
      <c r="BU259" s="407"/>
      <c r="BV259" s="407">
        <v>3624.3409783529996</v>
      </c>
      <c r="BW259" s="407"/>
      <c r="BX259" s="407"/>
      <c r="BY259" s="407"/>
      <c r="BZ259" s="407"/>
      <c r="CA259" s="407"/>
      <c r="CB259" s="407"/>
      <c r="CC259" s="407"/>
      <c r="CD259" s="407"/>
      <c r="CE259" s="407"/>
      <c r="CF259" s="407"/>
      <c r="CG259" s="407"/>
      <c r="CH259" s="407"/>
      <c r="CI259" s="407">
        <v>15795.543000000001</v>
      </c>
      <c r="CJ259" s="407">
        <v>-3430.4684499999967</v>
      </c>
      <c r="CK259" s="407"/>
      <c r="CL259" s="407"/>
      <c r="CM259" s="407"/>
      <c r="CN259" s="407"/>
      <c r="CO259" s="407">
        <v>-3524.4783500000012</v>
      </c>
      <c r="CP259" s="407">
        <v>92.145950000000326</v>
      </c>
      <c r="CQ259" s="407">
        <v>30</v>
      </c>
      <c r="CR259" s="407">
        <v>-54.739791610913926</v>
      </c>
      <c r="CS259" s="407">
        <v>0</v>
      </c>
      <c r="CT259" s="407">
        <v>0</v>
      </c>
      <c r="CU259" s="407">
        <v>0</v>
      </c>
      <c r="CV259" s="407">
        <v>0</v>
      </c>
      <c r="CW259" s="407">
        <v>0</v>
      </c>
      <c r="CX259" s="407">
        <v>0</v>
      </c>
      <c r="CY259" s="407">
        <v>0</v>
      </c>
      <c r="CZ259" s="407">
        <v>-131.54359119354649</v>
      </c>
      <c r="DA259" s="407">
        <v>0</v>
      </c>
      <c r="DB259" s="407">
        <v>0</v>
      </c>
      <c r="DC259" s="407">
        <v>92.253535975386967</v>
      </c>
      <c r="DD259" s="407">
        <v>0</v>
      </c>
      <c r="DE259" s="407">
        <v>0</v>
      </c>
      <c r="DF259" s="407">
        <v>0</v>
      </c>
      <c r="DG259" s="407">
        <v>21.790746071301214</v>
      </c>
      <c r="DH259" s="407">
        <v>0</v>
      </c>
      <c r="DI259" s="407">
        <v>-31.896246489819532</v>
      </c>
      <c r="DJ259" s="407"/>
      <c r="DK259" s="407">
        <v>0</v>
      </c>
      <c r="DL259" s="407">
        <v>0</v>
      </c>
      <c r="DM259" s="407">
        <v>0</v>
      </c>
      <c r="DN259" s="407">
        <v>0</v>
      </c>
      <c r="DO259" s="407">
        <v>-4.1332048974796578</v>
      </c>
      <c r="DP259" s="407">
        <v>-1.2110310767557024</v>
      </c>
      <c r="DQ259" s="407">
        <v>0</v>
      </c>
      <c r="DR259" s="407">
        <v>0</v>
      </c>
      <c r="DS259" s="407"/>
      <c r="DT259" s="407"/>
      <c r="DU259" s="407"/>
      <c r="DV259" s="407">
        <v>11424.096796701268</v>
      </c>
      <c r="DW259" s="407">
        <v>0</v>
      </c>
      <c r="DX259" s="407">
        <v>0</v>
      </c>
      <c r="DY259" s="407">
        <v>-3524.4783500000012</v>
      </c>
      <c r="DZ259" s="407">
        <v>92.145950000000539</v>
      </c>
      <c r="EA259" s="407">
        <v>0</v>
      </c>
      <c r="EB259" s="407">
        <v>0</v>
      </c>
      <c r="EC259" s="407">
        <v>-3377.1433458407491</v>
      </c>
      <c r="ED259" s="407">
        <v>0</v>
      </c>
      <c r="EE259" s="407">
        <v>0</v>
      </c>
      <c r="EF259" s="407">
        <v>0</v>
      </c>
      <c r="EG259" s="407">
        <v>0</v>
      </c>
      <c r="EH259" s="407">
        <v>0</v>
      </c>
      <c r="EI259" s="407">
        <v>0</v>
      </c>
      <c r="EJ259" s="407">
        <v>0</v>
      </c>
      <c r="EK259" s="407">
        <v>0</v>
      </c>
      <c r="EL259" s="407">
        <v>0</v>
      </c>
      <c r="EM259" s="407">
        <v>0</v>
      </c>
      <c r="EN259" s="407">
        <v>0</v>
      </c>
      <c r="EO259" s="407">
        <v>0</v>
      </c>
      <c r="EP259" s="407">
        <v>0</v>
      </c>
      <c r="EQ259" s="407">
        <v>0</v>
      </c>
      <c r="ER259" s="407">
        <v>0</v>
      </c>
      <c r="ES259" s="407">
        <v>0</v>
      </c>
      <c r="ET259" s="407">
        <v>0</v>
      </c>
      <c r="EU259" s="407">
        <v>0</v>
      </c>
      <c r="EV259" s="407">
        <v>207</v>
      </c>
      <c r="EW259" s="407">
        <v>0</v>
      </c>
      <c r="EX259" s="407">
        <v>0</v>
      </c>
      <c r="EY259" s="407">
        <v>0</v>
      </c>
      <c r="EZ259" s="407"/>
      <c r="FA259" s="407">
        <v>0</v>
      </c>
      <c r="FB259" s="407"/>
      <c r="FC259" s="407"/>
      <c r="FD259" s="407"/>
      <c r="FE259" s="407"/>
      <c r="FF259" s="407">
        <v>0</v>
      </c>
      <c r="FG259" s="407">
        <v>0</v>
      </c>
      <c r="FH259" s="407">
        <v>0</v>
      </c>
      <c r="FI259" s="407">
        <v>0</v>
      </c>
    </row>
    <row r="260" spans="1:165">
      <c r="A260" s="407">
        <v>258</v>
      </c>
      <c r="B260" s="407" t="s">
        <v>1092</v>
      </c>
      <c r="C260" s="407" t="s">
        <v>2305</v>
      </c>
      <c r="D260" s="407" t="s">
        <v>1221</v>
      </c>
      <c r="E260" s="407" t="s">
        <v>1054</v>
      </c>
      <c r="F260" s="407" t="s">
        <v>2321</v>
      </c>
      <c r="G260" s="407" t="s">
        <v>96</v>
      </c>
      <c r="H260" s="407" t="s">
        <v>96</v>
      </c>
      <c r="I260" s="407" t="s">
        <v>96</v>
      </c>
      <c r="J260" s="407" t="s">
        <v>2306</v>
      </c>
      <c r="K260" s="815">
        <v>44713</v>
      </c>
      <c r="L260" s="407">
        <v>0</v>
      </c>
      <c r="M260" s="407">
        <v>0</v>
      </c>
      <c r="N260" s="407">
        <v>8.65</v>
      </c>
      <c r="O260" s="407">
        <v>8.1310000000000002</v>
      </c>
      <c r="P260" s="407">
        <v>8.65</v>
      </c>
      <c r="Q260" s="407">
        <v>8.1310000000000002</v>
      </c>
      <c r="R260" s="407"/>
      <c r="S260" s="407">
        <v>710.52</v>
      </c>
      <c r="T260" s="407">
        <v>127.85</v>
      </c>
      <c r="U260" s="407"/>
      <c r="V260" s="407">
        <v>7251.9005000000006</v>
      </c>
      <c r="W260" s="407">
        <v>7251.9005000000006</v>
      </c>
      <c r="X260" s="407">
        <v>5957.3415000000005</v>
      </c>
      <c r="Y260" s="407">
        <v>0</v>
      </c>
      <c r="Z260" s="407">
        <v>528.29941299069742</v>
      </c>
      <c r="AA260" s="407">
        <v>0</v>
      </c>
      <c r="AB260" s="407">
        <v>0</v>
      </c>
      <c r="AC260" s="407">
        <v>0</v>
      </c>
      <c r="AD260" s="407">
        <v>945.8122321718929</v>
      </c>
      <c r="AE260" s="407">
        <v>4309.1470436379332</v>
      </c>
      <c r="AF260" s="407">
        <v>1105.8799771211511</v>
      </c>
      <c r="AG260" s="407">
        <v>0</v>
      </c>
      <c r="AH260" s="407">
        <v>0</v>
      </c>
      <c r="AI260" s="407">
        <v>0</v>
      </c>
      <c r="AJ260" s="407">
        <v>0</v>
      </c>
      <c r="AK260" s="407">
        <v>0</v>
      </c>
      <c r="AL260" s="407">
        <v>81.701822653889295</v>
      </c>
      <c r="AM260" s="407"/>
      <c r="AN260" s="407">
        <v>19.81510247719023</v>
      </c>
      <c r="AO260" s="407">
        <v>0</v>
      </c>
      <c r="AP260" s="407">
        <v>0</v>
      </c>
      <c r="AQ260" s="407">
        <v>0</v>
      </c>
      <c r="AR260" s="407">
        <v>0</v>
      </c>
      <c r="AS260" s="407">
        <v>0</v>
      </c>
      <c r="AT260" s="407">
        <v>0</v>
      </c>
      <c r="AU260" s="407">
        <v>0</v>
      </c>
      <c r="AV260" s="407">
        <v>0</v>
      </c>
      <c r="AW260" s="407">
        <v>0</v>
      </c>
      <c r="AX260" s="407">
        <v>0</v>
      </c>
      <c r="AY260" s="407">
        <v>0</v>
      </c>
      <c r="AZ260" s="407">
        <v>0</v>
      </c>
      <c r="BA260" s="407"/>
      <c r="BB260" s="407">
        <v>0</v>
      </c>
      <c r="BC260" s="407">
        <v>0</v>
      </c>
      <c r="BD260" s="407">
        <v>0</v>
      </c>
      <c r="BE260" s="407">
        <v>0</v>
      </c>
      <c r="BF260" s="407">
        <v>0</v>
      </c>
      <c r="BG260" s="407">
        <v>261.21437527573175</v>
      </c>
      <c r="BH260" s="407">
        <v>0</v>
      </c>
      <c r="BI260" s="407">
        <v>0</v>
      </c>
      <c r="BJ260" s="407">
        <v>0</v>
      </c>
      <c r="BK260" s="407">
        <v>1229.25</v>
      </c>
      <c r="BL260" s="407">
        <v>1</v>
      </c>
      <c r="BM260" s="407"/>
      <c r="BN260" s="407"/>
      <c r="BO260" s="407"/>
      <c r="BP260" s="407"/>
      <c r="BQ260" s="407">
        <v>357.44049000000012</v>
      </c>
      <c r="BR260" s="407"/>
      <c r="BS260" s="407"/>
      <c r="BT260" s="407"/>
      <c r="BU260" s="407"/>
      <c r="BV260" s="407">
        <v>1367.0943523968829</v>
      </c>
      <c r="BW260" s="407"/>
      <c r="BX260" s="407"/>
      <c r="BY260" s="407"/>
      <c r="BZ260" s="407"/>
      <c r="CA260" s="407"/>
      <c r="CB260" s="407"/>
      <c r="CC260" s="407"/>
      <c r="CD260" s="407"/>
      <c r="CE260" s="407"/>
      <c r="CF260" s="407"/>
      <c r="CG260" s="407"/>
      <c r="CH260" s="407"/>
      <c r="CI260" s="407">
        <v>5599.2123000000011</v>
      </c>
      <c r="CJ260" s="407">
        <v>-1217.6041699999996</v>
      </c>
      <c r="CK260" s="407"/>
      <c r="CL260" s="407"/>
      <c r="CM260" s="407"/>
      <c r="CN260" s="407"/>
      <c r="CO260" s="407">
        <v>-1329.3319999999997</v>
      </c>
      <c r="CP260" s="407">
        <v>34.773000000000089</v>
      </c>
      <c r="CQ260" s="407">
        <v>30</v>
      </c>
      <c r="CR260" s="407">
        <v>-20.647742695737634</v>
      </c>
      <c r="CS260" s="407">
        <v>0</v>
      </c>
      <c r="CT260" s="407">
        <v>0</v>
      </c>
      <c r="CU260" s="407">
        <v>0</v>
      </c>
      <c r="CV260" s="407">
        <v>0</v>
      </c>
      <c r="CW260" s="407">
        <v>0</v>
      </c>
      <c r="CX260" s="407">
        <v>0</v>
      </c>
      <c r="CY260" s="407">
        <v>0</v>
      </c>
      <c r="CZ260" s="407">
        <v>-49.617986190808892</v>
      </c>
      <c r="DA260" s="407">
        <v>0</v>
      </c>
      <c r="DB260" s="407">
        <v>0</v>
      </c>
      <c r="DC260" s="407">
        <v>34.797853947480007</v>
      </c>
      <c r="DD260" s="407">
        <v>0</v>
      </c>
      <c r="DE260" s="407">
        <v>0</v>
      </c>
      <c r="DF260" s="407">
        <v>0</v>
      </c>
      <c r="DG260" s="407">
        <v>8.2194269431386147</v>
      </c>
      <c r="DH260" s="407">
        <v>0</v>
      </c>
      <c r="DI260" s="407">
        <v>-12.031202003157432</v>
      </c>
      <c r="DJ260" s="407"/>
      <c r="DK260" s="407">
        <v>0</v>
      </c>
      <c r="DL260" s="407">
        <v>0</v>
      </c>
      <c r="DM260" s="407">
        <v>0</v>
      </c>
      <c r="DN260" s="407">
        <v>0</v>
      </c>
      <c r="DO260" s="407">
        <v>-1.5590368308036631</v>
      </c>
      <c r="DP260" s="407">
        <v>-0.45679856158628596</v>
      </c>
      <c r="DQ260" s="407">
        <v>0</v>
      </c>
      <c r="DR260" s="407">
        <v>0</v>
      </c>
      <c r="DS260" s="407"/>
      <c r="DT260" s="407"/>
      <c r="DU260" s="407"/>
      <c r="DV260" s="407">
        <v>4309.1470436379332</v>
      </c>
      <c r="DW260" s="407">
        <v>0</v>
      </c>
      <c r="DX260" s="407">
        <v>0</v>
      </c>
      <c r="DY260" s="407">
        <v>-1329.3320000000003</v>
      </c>
      <c r="DZ260" s="407">
        <v>34.773000000000138</v>
      </c>
      <c r="EA260" s="407">
        <v>0</v>
      </c>
      <c r="EB260" s="407">
        <v>0</v>
      </c>
      <c r="EC260" s="407">
        <v>-1273.8518872558216</v>
      </c>
      <c r="ED260" s="407">
        <v>0</v>
      </c>
      <c r="EE260" s="407">
        <v>0</v>
      </c>
      <c r="EF260" s="407">
        <v>0</v>
      </c>
      <c r="EG260" s="407">
        <v>0</v>
      </c>
      <c r="EH260" s="407">
        <v>0</v>
      </c>
      <c r="EI260" s="407">
        <v>0</v>
      </c>
      <c r="EJ260" s="407">
        <v>0</v>
      </c>
      <c r="EK260" s="407">
        <v>0</v>
      </c>
      <c r="EL260" s="407">
        <v>0</v>
      </c>
      <c r="EM260" s="407">
        <v>0</v>
      </c>
      <c r="EN260" s="407">
        <v>0</v>
      </c>
      <c r="EO260" s="407">
        <v>0</v>
      </c>
      <c r="EP260" s="407">
        <v>0</v>
      </c>
      <c r="EQ260" s="407">
        <v>0</v>
      </c>
      <c r="ER260" s="407">
        <v>0</v>
      </c>
      <c r="ES260" s="407">
        <v>0</v>
      </c>
      <c r="ET260" s="407">
        <v>0</v>
      </c>
      <c r="EU260" s="407">
        <v>0</v>
      </c>
      <c r="EV260" s="407">
        <v>207</v>
      </c>
      <c r="EW260" s="407">
        <v>0</v>
      </c>
      <c r="EX260" s="407">
        <v>0</v>
      </c>
      <c r="EY260" s="407">
        <v>0</v>
      </c>
      <c r="EZ260" s="407"/>
      <c r="FA260" s="407">
        <v>0</v>
      </c>
      <c r="FB260" s="407"/>
      <c r="FC260" s="407"/>
      <c r="FD260" s="407"/>
      <c r="FE260" s="407"/>
      <c r="FF260" s="407">
        <v>0</v>
      </c>
      <c r="FG260" s="407">
        <v>0</v>
      </c>
      <c r="FH260" s="407">
        <v>0</v>
      </c>
      <c r="FI260" s="407">
        <v>0</v>
      </c>
    </row>
    <row r="261" spans="1:165">
      <c r="K261" s="265"/>
      <c r="L261" s="265"/>
      <c r="M261" s="265"/>
      <c r="N261" s="265"/>
      <c r="O261" s="265"/>
      <c r="P261" s="265"/>
      <c r="Q261" s="265"/>
      <c r="BR261" s="265"/>
      <c r="BS261" s="265"/>
      <c r="BT261" s="265"/>
      <c r="BU261" s="265"/>
      <c r="BV261" s="265"/>
      <c r="CJ261" s="265"/>
      <c r="CO261" s="265"/>
      <c r="CP261" s="265"/>
      <c r="CQ261" s="265"/>
      <c r="CR261" s="265"/>
      <c r="CS261" s="265"/>
      <c r="CT261" s="265"/>
      <c r="CU261" s="265"/>
      <c r="CV261" s="265"/>
      <c r="CW261" s="265"/>
      <c r="CX261" s="265"/>
      <c r="CY261" s="265"/>
      <c r="CZ261" s="265"/>
      <c r="DA261" s="265"/>
      <c r="DB261" s="265"/>
      <c r="DC261" s="265"/>
      <c r="DD261" s="265"/>
      <c r="DE261" s="265"/>
      <c r="DF261" s="265"/>
      <c r="DG261" s="265"/>
      <c r="DH261" s="265"/>
      <c r="DI261" s="265"/>
      <c r="DJ261" s="265"/>
      <c r="DK261" s="265"/>
      <c r="DL261" s="265"/>
      <c r="DM261" s="265"/>
      <c r="DN261" s="265"/>
      <c r="DO261" s="265"/>
      <c r="DP261" s="265"/>
      <c r="DQ261" s="265"/>
      <c r="DR261" s="265"/>
      <c r="DS261" s="265"/>
      <c r="DY261" s="265"/>
      <c r="EC261" s="265"/>
      <c r="EP261" s="265"/>
    </row>
    <row r="262" spans="1:165">
      <c r="K262" s="265"/>
      <c r="L262" s="265"/>
      <c r="M262" s="265"/>
      <c r="N262" s="265"/>
      <c r="O262" s="265"/>
      <c r="P262" s="265"/>
      <c r="Q262" s="265"/>
      <c r="BR262" s="265"/>
      <c r="BS262" s="265"/>
      <c r="BT262" s="265"/>
      <c r="BU262" s="265"/>
      <c r="BV262" s="265"/>
      <c r="CJ262" s="265"/>
      <c r="CO262" s="265"/>
      <c r="CP262" s="265"/>
      <c r="CQ262" s="265"/>
      <c r="CR262" s="265"/>
      <c r="CS262" s="265"/>
      <c r="CT262" s="265"/>
      <c r="CU262" s="265"/>
      <c r="CV262" s="265"/>
      <c r="CW262" s="265"/>
      <c r="CX262" s="265"/>
      <c r="CY262" s="265"/>
      <c r="CZ262" s="265"/>
      <c r="DA262" s="265"/>
      <c r="DB262" s="265"/>
      <c r="DC262" s="265"/>
      <c r="DD262" s="265"/>
      <c r="DE262" s="265"/>
      <c r="DF262" s="265"/>
      <c r="DG262" s="265"/>
      <c r="DH262" s="265"/>
      <c r="DI262" s="265"/>
      <c r="DJ262" s="265"/>
      <c r="DK262" s="265"/>
      <c r="DL262" s="265"/>
      <c r="DM262" s="265"/>
      <c r="DN262" s="265"/>
      <c r="DO262" s="265"/>
      <c r="DP262" s="265"/>
      <c r="DQ262" s="265"/>
      <c r="DR262" s="265"/>
      <c r="DS262" s="265"/>
      <c r="DY262" s="265"/>
      <c r="EC262" s="265"/>
      <c r="EP262" s="265"/>
    </row>
    <row r="263" spans="1:165">
      <c r="K263" s="265"/>
      <c r="L263" s="265"/>
      <c r="M263" s="265"/>
      <c r="N263" s="265"/>
      <c r="O263" s="265"/>
      <c r="P263" s="265"/>
      <c r="Q263" s="265"/>
      <c r="BR263" s="265"/>
      <c r="BS263" s="265"/>
      <c r="BT263" s="265"/>
      <c r="BU263" s="265"/>
      <c r="BV263" s="265"/>
      <c r="CJ263" s="265"/>
      <c r="CO263" s="265"/>
      <c r="CP263" s="265"/>
      <c r="CQ263" s="265"/>
      <c r="CR263" s="265"/>
      <c r="CS263" s="265"/>
      <c r="CT263" s="265"/>
      <c r="CU263" s="265"/>
      <c r="CV263" s="265"/>
      <c r="CW263" s="265"/>
      <c r="CX263" s="265"/>
      <c r="CY263" s="265"/>
      <c r="CZ263" s="265"/>
      <c r="DA263" s="265"/>
      <c r="DB263" s="265"/>
      <c r="DC263" s="265"/>
      <c r="DD263" s="265"/>
      <c r="DE263" s="265"/>
      <c r="DF263" s="265"/>
      <c r="DG263" s="265"/>
      <c r="DH263" s="265"/>
      <c r="DI263" s="265"/>
      <c r="DJ263" s="265"/>
      <c r="DK263" s="265"/>
      <c r="DL263" s="265"/>
      <c r="DM263" s="265"/>
      <c r="DN263" s="265"/>
      <c r="DO263" s="265"/>
      <c r="DP263" s="265"/>
      <c r="DQ263" s="265"/>
      <c r="DR263" s="265"/>
      <c r="DS263" s="265"/>
      <c r="DY263" s="265"/>
      <c r="EC263" s="265"/>
      <c r="EP263" s="265"/>
    </row>
    <row r="264" spans="1:165">
      <c r="K264" s="265"/>
      <c r="L264" s="265"/>
      <c r="M264" s="265"/>
      <c r="N264" s="265"/>
      <c r="O264" s="265"/>
      <c r="P264" s="265"/>
      <c r="Q264" s="265"/>
      <c r="BR264" s="265"/>
      <c r="BS264" s="265"/>
      <c r="BT264" s="265"/>
      <c r="BU264" s="265"/>
      <c r="BV264" s="265"/>
      <c r="CJ264" s="265"/>
      <c r="CO264" s="265"/>
      <c r="CP264" s="265"/>
      <c r="CQ264" s="265"/>
      <c r="CR264" s="265"/>
      <c r="CS264" s="265"/>
      <c r="CT264" s="265"/>
      <c r="CU264" s="265"/>
      <c r="CV264" s="265"/>
      <c r="CW264" s="265"/>
      <c r="CX264" s="265"/>
      <c r="CY264" s="265"/>
      <c r="CZ264" s="265"/>
      <c r="DA264" s="265"/>
      <c r="DB264" s="265"/>
      <c r="DC264" s="265"/>
      <c r="DD264" s="265"/>
      <c r="DE264" s="265"/>
      <c r="DF264" s="265"/>
      <c r="DG264" s="265"/>
      <c r="DH264" s="265"/>
      <c r="DI264" s="265"/>
      <c r="DJ264" s="265"/>
      <c r="DK264" s="265"/>
      <c r="DL264" s="265"/>
      <c r="DM264" s="265"/>
      <c r="DN264" s="265"/>
      <c r="DO264" s="265"/>
      <c r="DP264" s="265"/>
      <c r="DQ264" s="265"/>
      <c r="DR264" s="265"/>
      <c r="DS264" s="265"/>
      <c r="DY264" s="265"/>
      <c r="EC264" s="265"/>
      <c r="EP264" s="265"/>
    </row>
    <row r="265" spans="1:165">
      <c r="K265" s="265"/>
      <c r="L265" s="265"/>
      <c r="M265" s="265"/>
      <c r="N265" s="265"/>
      <c r="O265" s="265"/>
      <c r="P265" s="265"/>
      <c r="Q265" s="265"/>
      <c r="BR265" s="265"/>
      <c r="BS265" s="265"/>
      <c r="BT265" s="265"/>
      <c r="BU265" s="265"/>
      <c r="BV265" s="265"/>
      <c r="CJ265" s="265"/>
      <c r="CO265" s="265"/>
      <c r="CP265" s="265"/>
      <c r="CQ265" s="265"/>
      <c r="CR265" s="265"/>
      <c r="CS265" s="265"/>
      <c r="CT265" s="265"/>
      <c r="CU265" s="265"/>
      <c r="CV265" s="265"/>
      <c r="CW265" s="265"/>
      <c r="CX265" s="265"/>
      <c r="CY265" s="265"/>
      <c r="CZ265" s="265"/>
      <c r="DA265" s="265"/>
      <c r="DB265" s="265"/>
      <c r="DC265" s="265"/>
      <c r="DD265" s="265"/>
      <c r="DE265" s="265"/>
      <c r="DF265" s="265"/>
      <c r="DG265" s="265"/>
      <c r="DH265" s="265"/>
      <c r="DI265" s="265"/>
      <c r="DJ265" s="265"/>
      <c r="DK265" s="265"/>
      <c r="DL265" s="265"/>
      <c r="DM265" s="265"/>
      <c r="DN265" s="265"/>
      <c r="DO265" s="265"/>
      <c r="DP265" s="265"/>
      <c r="DQ265" s="265"/>
      <c r="DR265" s="265"/>
      <c r="DS265" s="265"/>
      <c r="DY265" s="265"/>
      <c r="EC265" s="265"/>
      <c r="EP265" s="265"/>
    </row>
    <row r="266" spans="1:165">
      <c r="K266" s="265"/>
      <c r="L266" s="265"/>
      <c r="M266" s="265"/>
      <c r="N266" s="265"/>
      <c r="O266" s="265"/>
      <c r="P266" s="265"/>
      <c r="Q266" s="265"/>
      <c r="BR266" s="265"/>
      <c r="BS266" s="265"/>
      <c r="BT266" s="265"/>
      <c r="BU266" s="265"/>
      <c r="BV266" s="265"/>
      <c r="CJ266" s="265"/>
      <c r="CO266" s="265"/>
      <c r="CP266" s="265"/>
      <c r="CQ266" s="265"/>
      <c r="CR266" s="265"/>
      <c r="CS266" s="265"/>
      <c r="CT266" s="265"/>
      <c r="CU266" s="265"/>
      <c r="CV266" s="265"/>
      <c r="CW266" s="265"/>
      <c r="CX266" s="265"/>
      <c r="CY266" s="265"/>
      <c r="CZ266" s="265"/>
      <c r="DA266" s="265"/>
      <c r="DB266" s="265"/>
      <c r="DC266" s="265"/>
      <c r="DD266" s="265"/>
      <c r="DE266" s="265"/>
      <c r="DF266" s="265"/>
      <c r="DG266" s="265"/>
      <c r="DH266" s="265"/>
      <c r="DI266" s="265"/>
      <c r="DJ266" s="265"/>
      <c r="DK266" s="265"/>
      <c r="DL266" s="265"/>
      <c r="DM266" s="265"/>
      <c r="DN266" s="265"/>
      <c r="DO266" s="265"/>
      <c r="DP266" s="265"/>
      <c r="DQ266" s="265"/>
      <c r="DR266" s="265"/>
      <c r="DS266" s="265"/>
      <c r="DY266" s="265"/>
      <c r="EC266" s="265"/>
      <c r="EP266" s="265"/>
    </row>
    <row r="267" spans="1:165">
      <c r="K267" s="265"/>
      <c r="L267" s="265"/>
      <c r="M267" s="265"/>
      <c r="N267" s="265"/>
      <c r="O267" s="265"/>
      <c r="P267" s="265"/>
      <c r="Q267" s="265"/>
      <c r="BR267" s="265"/>
      <c r="BS267" s="265"/>
      <c r="BT267" s="265"/>
      <c r="BU267" s="265"/>
      <c r="BV267" s="265"/>
      <c r="CJ267" s="265"/>
      <c r="CO267" s="265"/>
      <c r="CP267" s="265"/>
      <c r="CQ267" s="265"/>
      <c r="CR267" s="265"/>
      <c r="CS267" s="265"/>
      <c r="CT267" s="265"/>
      <c r="CU267" s="265"/>
      <c r="CV267" s="265"/>
      <c r="CW267" s="265"/>
      <c r="CX267" s="265"/>
      <c r="CY267" s="265"/>
      <c r="CZ267" s="265"/>
      <c r="DA267" s="265"/>
      <c r="DB267" s="265"/>
      <c r="DC267" s="265"/>
      <c r="DD267" s="265"/>
      <c r="DE267" s="265"/>
      <c r="DF267" s="265"/>
      <c r="DG267" s="265"/>
      <c r="DH267" s="265"/>
      <c r="DI267" s="265"/>
      <c r="DJ267" s="265"/>
      <c r="DK267" s="265"/>
      <c r="DL267" s="265"/>
      <c r="DM267" s="265"/>
      <c r="DN267" s="265"/>
      <c r="DO267" s="265"/>
      <c r="DP267" s="265"/>
      <c r="DQ267" s="265"/>
      <c r="DR267" s="265"/>
      <c r="DS267" s="265"/>
      <c r="DY267" s="265"/>
      <c r="EC267" s="265"/>
      <c r="EP267" s="265"/>
    </row>
    <row r="268" spans="1:165">
      <c r="K268" s="265"/>
      <c r="L268" s="265"/>
      <c r="M268" s="265"/>
      <c r="N268" s="265"/>
      <c r="O268" s="265"/>
      <c r="P268" s="265"/>
      <c r="Q268" s="265"/>
      <c r="BR268" s="265"/>
      <c r="BS268" s="265"/>
      <c r="BT268" s="265"/>
      <c r="BU268" s="265"/>
      <c r="BV268" s="265"/>
      <c r="CJ268" s="265"/>
      <c r="CO268" s="265"/>
      <c r="CP268" s="265"/>
      <c r="CQ268" s="265"/>
      <c r="CR268" s="265"/>
      <c r="CS268" s="265"/>
      <c r="CT268" s="265"/>
      <c r="CU268" s="265"/>
      <c r="CV268" s="265"/>
      <c r="CW268" s="265"/>
      <c r="CX268" s="265"/>
      <c r="CY268" s="265"/>
      <c r="CZ268" s="265"/>
      <c r="DA268" s="265"/>
      <c r="DB268" s="265"/>
      <c r="DC268" s="265"/>
      <c r="DD268" s="265"/>
      <c r="DE268" s="265"/>
      <c r="DF268" s="265"/>
      <c r="DG268" s="265"/>
      <c r="DH268" s="265"/>
      <c r="DI268" s="265"/>
      <c r="DJ268" s="265"/>
      <c r="DK268" s="265"/>
      <c r="DL268" s="265"/>
      <c r="DM268" s="265"/>
      <c r="DN268" s="265"/>
      <c r="DO268" s="265"/>
      <c r="DP268" s="265"/>
      <c r="DQ268" s="265"/>
      <c r="DR268" s="265"/>
      <c r="DS268" s="265"/>
      <c r="DY268" s="265"/>
      <c r="EC268" s="265"/>
      <c r="EP268" s="265"/>
    </row>
    <row r="269" spans="1:165">
      <c r="K269" s="265"/>
      <c r="L269" s="265"/>
      <c r="M269" s="265"/>
      <c r="N269" s="265"/>
      <c r="O269" s="265"/>
      <c r="P269" s="265"/>
      <c r="Q269" s="265"/>
      <c r="BR269" s="265"/>
      <c r="BS269" s="265"/>
      <c r="BT269" s="265"/>
      <c r="BU269" s="265"/>
      <c r="BV269" s="265"/>
      <c r="CJ269" s="265"/>
      <c r="CO269" s="265"/>
      <c r="CP269" s="265"/>
      <c r="CQ269" s="265"/>
      <c r="CR269" s="265"/>
      <c r="CS269" s="265"/>
      <c r="CT269" s="265"/>
      <c r="CU269" s="265"/>
      <c r="CV269" s="265"/>
      <c r="CW269" s="265"/>
      <c r="CX269" s="265"/>
      <c r="CY269" s="265"/>
      <c r="CZ269" s="265"/>
      <c r="DA269" s="265"/>
      <c r="DB269" s="265"/>
      <c r="DC269" s="265"/>
      <c r="DD269" s="265"/>
      <c r="DE269" s="265"/>
      <c r="DF269" s="265"/>
      <c r="DG269" s="265"/>
      <c r="DH269" s="265"/>
      <c r="DI269" s="265"/>
      <c r="DJ269" s="265"/>
      <c r="DK269" s="265"/>
      <c r="DL269" s="265"/>
      <c r="DM269" s="265"/>
      <c r="DN269" s="265"/>
      <c r="DO269" s="265"/>
      <c r="DP269" s="265"/>
      <c r="DQ269" s="265"/>
      <c r="DR269" s="265"/>
      <c r="DS269" s="265"/>
      <c r="DY269" s="265"/>
      <c r="EC269" s="265"/>
      <c r="EP269" s="265"/>
    </row>
    <row r="270" spans="1:165">
      <c r="K270" s="265"/>
      <c r="L270" s="265"/>
      <c r="M270" s="265"/>
      <c r="N270" s="265"/>
      <c r="O270" s="265"/>
      <c r="P270" s="265"/>
      <c r="Q270" s="265"/>
      <c r="BR270" s="265"/>
      <c r="BS270" s="265"/>
      <c r="BT270" s="265"/>
      <c r="BU270" s="265"/>
      <c r="BV270" s="265"/>
      <c r="CJ270" s="265"/>
      <c r="CO270" s="265"/>
      <c r="CP270" s="265"/>
      <c r="CQ270" s="265"/>
      <c r="CR270" s="265"/>
      <c r="CS270" s="265"/>
      <c r="CT270" s="265"/>
      <c r="CU270" s="265"/>
      <c r="CV270" s="265"/>
      <c r="CW270" s="265"/>
      <c r="CX270" s="265"/>
      <c r="CY270" s="265"/>
      <c r="CZ270" s="265"/>
      <c r="DA270" s="265"/>
      <c r="DB270" s="265"/>
      <c r="DC270" s="265"/>
      <c r="DD270" s="265"/>
      <c r="DE270" s="265"/>
      <c r="DF270" s="265"/>
      <c r="DG270" s="265"/>
      <c r="DH270" s="265"/>
      <c r="DI270" s="265"/>
      <c r="DJ270" s="265"/>
      <c r="DK270" s="265"/>
      <c r="DL270" s="265"/>
      <c r="DM270" s="265"/>
      <c r="DN270" s="265"/>
      <c r="DO270" s="265"/>
      <c r="DP270" s="265"/>
      <c r="DQ270" s="265"/>
      <c r="DR270" s="265"/>
      <c r="DS270" s="265"/>
      <c r="DY270" s="265"/>
      <c r="EC270" s="265"/>
      <c r="EP270" s="265"/>
    </row>
    <row r="271" spans="1:165">
      <c r="K271" s="265"/>
      <c r="L271" s="265"/>
      <c r="M271" s="265"/>
      <c r="N271" s="265"/>
      <c r="O271" s="265"/>
      <c r="P271" s="265"/>
      <c r="Q271" s="265"/>
      <c r="BR271" s="265"/>
      <c r="BS271" s="265"/>
      <c r="BT271" s="265"/>
      <c r="BU271" s="265"/>
      <c r="BV271" s="265"/>
      <c r="CJ271" s="265"/>
      <c r="CO271" s="265"/>
      <c r="CP271" s="265"/>
      <c r="CQ271" s="265"/>
      <c r="CR271" s="265"/>
      <c r="CS271" s="265"/>
      <c r="CT271" s="265"/>
      <c r="CU271" s="265"/>
      <c r="CV271" s="265"/>
      <c r="CW271" s="265"/>
      <c r="CX271" s="265"/>
      <c r="CY271" s="265"/>
      <c r="CZ271" s="265"/>
      <c r="DA271" s="265"/>
      <c r="DB271" s="265"/>
      <c r="DC271" s="265"/>
      <c r="DD271" s="265"/>
      <c r="DE271" s="265"/>
      <c r="DF271" s="265"/>
      <c r="DG271" s="265"/>
      <c r="DH271" s="265"/>
      <c r="DI271" s="265"/>
      <c r="DJ271" s="265"/>
      <c r="DK271" s="265"/>
      <c r="DL271" s="265"/>
      <c r="DM271" s="265"/>
      <c r="DN271" s="265"/>
      <c r="DO271" s="265"/>
      <c r="DP271" s="265"/>
      <c r="DQ271" s="265"/>
      <c r="DR271" s="265"/>
      <c r="DS271" s="265"/>
      <c r="DY271" s="265"/>
      <c r="EC271" s="265"/>
      <c r="EP271" s="265"/>
    </row>
    <row r="272" spans="1:165">
      <c r="K272" s="265"/>
      <c r="L272" s="265"/>
      <c r="M272" s="265"/>
      <c r="N272" s="265"/>
      <c r="O272" s="265"/>
      <c r="P272" s="265"/>
      <c r="Q272" s="265"/>
      <c r="BR272" s="265"/>
      <c r="BS272" s="265"/>
      <c r="BT272" s="265"/>
      <c r="BU272" s="265"/>
      <c r="BV272" s="265"/>
      <c r="CJ272" s="265"/>
      <c r="CO272" s="265"/>
      <c r="CP272" s="265"/>
      <c r="CQ272" s="265"/>
      <c r="CR272" s="265"/>
      <c r="CS272" s="265"/>
      <c r="CT272" s="265"/>
      <c r="CU272" s="265"/>
      <c r="CV272" s="265"/>
      <c r="CW272" s="265"/>
      <c r="CX272" s="265"/>
      <c r="CY272" s="265"/>
      <c r="CZ272" s="265"/>
      <c r="DA272" s="265"/>
      <c r="DB272" s="265"/>
      <c r="DC272" s="265"/>
      <c r="DD272" s="265"/>
      <c r="DE272" s="265"/>
      <c r="DF272" s="265"/>
      <c r="DG272" s="265"/>
      <c r="DH272" s="265"/>
      <c r="DI272" s="265"/>
      <c r="DJ272" s="265"/>
      <c r="DK272" s="265"/>
      <c r="DL272" s="265"/>
      <c r="DM272" s="265"/>
      <c r="DN272" s="265"/>
      <c r="DO272" s="265"/>
      <c r="DP272" s="265"/>
      <c r="DQ272" s="265"/>
      <c r="DR272" s="265"/>
      <c r="DS272" s="265"/>
      <c r="DY272" s="265"/>
      <c r="EC272" s="265"/>
      <c r="EP272" s="265"/>
    </row>
    <row r="273" s="265" customFormat="1"/>
    <row r="274" s="265" customFormat="1"/>
    <row r="275" s="265" customFormat="1"/>
    <row r="276" s="265" customFormat="1"/>
    <row r="277" s="265" customFormat="1"/>
    <row r="278" s="265" customFormat="1"/>
    <row r="279" s="265" customFormat="1"/>
    <row r="280" s="265" customFormat="1"/>
    <row r="281" s="265" customFormat="1"/>
    <row r="282" s="265" customFormat="1"/>
    <row r="283" s="265" customFormat="1"/>
    <row r="284" s="265" customFormat="1"/>
    <row r="285" s="265" customFormat="1"/>
    <row r="286" s="265" customFormat="1"/>
    <row r="287" s="265" customFormat="1"/>
    <row r="288" s="265" customFormat="1"/>
    <row r="289" s="265" customFormat="1"/>
    <row r="290" s="265" customFormat="1"/>
    <row r="291" s="265" customFormat="1"/>
    <row r="292" s="265" customFormat="1"/>
    <row r="293" s="265" customFormat="1"/>
    <row r="294" s="265" customFormat="1"/>
    <row r="295" s="265" customFormat="1"/>
    <row r="296" s="265" customFormat="1"/>
    <row r="297" s="265" customFormat="1"/>
    <row r="298" s="265" customFormat="1"/>
    <row r="299" s="265" customFormat="1"/>
    <row r="300" s="265" customFormat="1"/>
    <row r="301" s="265" customFormat="1"/>
    <row r="302" s="265" customFormat="1"/>
    <row r="303" s="265" customFormat="1"/>
    <row r="304" s="265" customFormat="1"/>
    <row r="305" s="265" customFormat="1"/>
    <row r="306" s="265" customFormat="1"/>
    <row r="307" s="265" customFormat="1"/>
    <row r="308" s="265" customFormat="1"/>
    <row r="309" s="265" customFormat="1"/>
    <row r="310" s="265" customFormat="1"/>
    <row r="311" s="265" customFormat="1"/>
    <row r="312" s="265" customFormat="1"/>
    <row r="313" s="265" customFormat="1"/>
    <row r="314" s="265" customFormat="1"/>
    <row r="315" s="265" customFormat="1"/>
    <row r="316" s="265" customFormat="1"/>
    <row r="317" s="265" customFormat="1"/>
    <row r="318" s="265" customFormat="1"/>
    <row r="319" s="265" customFormat="1"/>
    <row r="320" s="265" customFormat="1"/>
    <row r="321" s="265" customFormat="1"/>
    <row r="322" s="265" customFormat="1"/>
    <row r="323" s="265" customFormat="1"/>
    <row r="324" s="265" customFormat="1"/>
    <row r="325" s="265" customFormat="1"/>
    <row r="326" s="265" customFormat="1"/>
    <row r="327" s="265" customFormat="1"/>
    <row r="328" s="265" customFormat="1"/>
    <row r="329" s="265" customFormat="1"/>
    <row r="330" s="265" customFormat="1"/>
    <row r="331" s="265" customFormat="1"/>
    <row r="332" s="265" customFormat="1"/>
    <row r="333" s="265" customFormat="1"/>
    <row r="334" s="265" customFormat="1"/>
    <row r="335" s="265" customFormat="1"/>
    <row r="336" s="265" customFormat="1"/>
    <row r="337" s="265" customFormat="1"/>
    <row r="338" s="265" customFormat="1"/>
    <row r="339" s="265" customFormat="1"/>
    <row r="340" s="265" customFormat="1"/>
    <row r="341" s="265" customFormat="1"/>
    <row r="342" s="265" customFormat="1"/>
    <row r="343" s="265" customFormat="1"/>
    <row r="344" s="265" customFormat="1"/>
    <row r="345" s="265" customFormat="1"/>
    <row r="346" s="265" customFormat="1"/>
    <row r="347" s="265" customFormat="1"/>
    <row r="348" s="265" customFormat="1"/>
    <row r="349" s="265" customFormat="1"/>
    <row r="350" s="265" customFormat="1"/>
    <row r="351" s="265" customFormat="1"/>
    <row r="352" s="265" customFormat="1"/>
    <row r="353" s="265" customFormat="1"/>
    <row r="354" s="265" customFormat="1"/>
    <row r="355" s="265" customFormat="1"/>
    <row r="356" s="265" customFormat="1"/>
    <row r="357" s="265" customFormat="1"/>
    <row r="358" s="265" customFormat="1"/>
    <row r="359" s="265" customFormat="1"/>
    <row r="360" s="265" customFormat="1"/>
    <row r="361" s="265" customFormat="1"/>
    <row r="362" s="265" customFormat="1"/>
    <row r="363" s="265" customFormat="1"/>
    <row r="364" s="265" customFormat="1"/>
    <row r="365" s="265" customFormat="1"/>
    <row r="366" s="265" customFormat="1"/>
    <row r="367" s="265" customFormat="1"/>
    <row r="368" s="265" customFormat="1"/>
    <row r="369" s="265" customFormat="1"/>
    <row r="370" s="265" customFormat="1"/>
    <row r="371" s="265" customFormat="1"/>
    <row r="372" s="265" customFormat="1"/>
    <row r="373" s="265" customFormat="1"/>
    <row r="374" s="265" customFormat="1"/>
    <row r="375" s="265" customFormat="1"/>
    <row r="376" s="265" customFormat="1"/>
    <row r="377" s="265" customFormat="1"/>
    <row r="378" s="265" customFormat="1"/>
    <row r="379" s="265" customFormat="1"/>
    <row r="380" s="265" customFormat="1"/>
    <row r="381" s="265" customFormat="1"/>
    <row r="382" s="265" customFormat="1"/>
    <row r="383" s="265" customFormat="1"/>
    <row r="384" s="265" customFormat="1"/>
    <row r="385" s="265" customFormat="1"/>
    <row r="386" s="265" customFormat="1"/>
    <row r="387" s="265" customFormat="1"/>
    <row r="388" s="265" customFormat="1"/>
    <row r="389" s="265" customFormat="1"/>
    <row r="390" s="265" customFormat="1"/>
    <row r="391" s="265" customFormat="1"/>
    <row r="392" s="265" customFormat="1"/>
    <row r="393" s="265" customFormat="1"/>
    <row r="394" s="265" customFormat="1"/>
    <row r="395" s="265" customFormat="1"/>
    <row r="396" s="265" customFormat="1"/>
    <row r="397" s="265" customFormat="1"/>
    <row r="398" s="265" customFormat="1"/>
    <row r="399" s="265" customFormat="1"/>
    <row r="400" s="265" customFormat="1"/>
    <row r="401" s="265" customFormat="1"/>
    <row r="402" s="265" customFormat="1"/>
    <row r="403" s="265" customFormat="1"/>
    <row r="404" s="265" customFormat="1"/>
    <row r="405" s="265" customFormat="1"/>
    <row r="406" s="265" customFormat="1"/>
    <row r="407" s="265" customFormat="1"/>
    <row r="408" s="265" customFormat="1"/>
    <row r="409" s="265" customFormat="1"/>
    <row r="410" s="265" customFormat="1"/>
    <row r="411" s="265" customFormat="1"/>
    <row r="412" s="265" customFormat="1"/>
    <row r="413" s="265" customFormat="1"/>
    <row r="414" s="265" customFormat="1"/>
    <row r="415" s="265" customFormat="1"/>
    <row r="416" s="265" customFormat="1"/>
    <row r="417" s="265" customFormat="1"/>
    <row r="418" s="265" customFormat="1"/>
    <row r="419" s="265" customFormat="1"/>
    <row r="420" s="265" customFormat="1"/>
    <row r="421" s="265" customFormat="1"/>
    <row r="422" s="265" customFormat="1"/>
    <row r="423" s="265" customFormat="1"/>
    <row r="424" s="265" customFormat="1"/>
    <row r="425" s="265" customFormat="1"/>
    <row r="426" s="265" customFormat="1"/>
    <row r="427" s="265" customFormat="1"/>
    <row r="428" s="265" customFormat="1"/>
    <row r="429" s="265" customFormat="1"/>
    <row r="430" s="265" customFormat="1"/>
    <row r="431" s="265" customFormat="1"/>
    <row r="432" s="265" customFormat="1"/>
    <row r="433" s="265" customFormat="1"/>
    <row r="434" s="265" customFormat="1"/>
    <row r="435" s="265" customFormat="1"/>
    <row r="436" s="265" customFormat="1"/>
    <row r="437" s="265" customFormat="1"/>
    <row r="438" s="265" customFormat="1"/>
    <row r="439" s="265" customFormat="1"/>
    <row r="440" s="265" customFormat="1"/>
    <row r="441" s="265" customFormat="1"/>
    <row r="442" s="265" customFormat="1"/>
    <row r="443" s="265" customFormat="1"/>
    <row r="444" s="265" customFormat="1"/>
    <row r="445" s="265" customFormat="1"/>
    <row r="446" s="265" customFormat="1"/>
    <row r="447" s="265" customFormat="1"/>
    <row r="448" s="265" customFormat="1"/>
    <row r="449" s="265" customFormat="1"/>
    <row r="450" s="265" customFormat="1"/>
    <row r="451" s="265" customFormat="1"/>
    <row r="452" s="265" customFormat="1"/>
    <row r="453" s="265" customFormat="1"/>
    <row r="454" s="265" customFormat="1"/>
    <row r="455" s="265" customFormat="1"/>
    <row r="456" s="265" customFormat="1"/>
    <row r="457" s="265" customFormat="1"/>
    <row r="458" s="265" customFormat="1"/>
    <row r="459" s="265" customFormat="1"/>
    <row r="460" s="265" customFormat="1"/>
    <row r="461" s="265" customFormat="1"/>
    <row r="462" s="265" customFormat="1"/>
    <row r="463" s="265" customFormat="1"/>
    <row r="464" s="265" customFormat="1"/>
    <row r="465" s="265" customFormat="1"/>
    <row r="466" s="265" customFormat="1"/>
    <row r="467" s="265" customFormat="1"/>
    <row r="468" s="265" customFormat="1"/>
    <row r="469" s="265" customFormat="1"/>
    <row r="470" s="265" customFormat="1"/>
    <row r="471" s="265" customFormat="1"/>
    <row r="472" s="265" customFormat="1"/>
    <row r="473" s="265" customFormat="1"/>
    <row r="474" s="265" customFormat="1"/>
    <row r="475" s="265" customFormat="1"/>
    <row r="476" s="265" customFormat="1"/>
    <row r="477" s="265" customFormat="1"/>
    <row r="478" s="265" customFormat="1"/>
    <row r="479" s="265" customFormat="1"/>
    <row r="480" s="265" customFormat="1"/>
    <row r="481" s="265" customFormat="1"/>
    <row r="482" s="265" customFormat="1"/>
    <row r="483" s="265" customFormat="1"/>
    <row r="484" s="265" customFormat="1"/>
    <row r="485" s="265" customFormat="1"/>
    <row r="486" s="265" customFormat="1"/>
    <row r="487" s="265" customFormat="1"/>
    <row r="488" s="265" customFormat="1"/>
    <row r="489" s="265" customFormat="1"/>
    <row r="490" s="265" customFormat="1"/>
    <row r="491" s="265" customFormat="1"/>
    <row r="492" s="265" customFormat="1"/>
    <row r="493" s="265" customFormat="1"/>
    <row r="494" s="265" customFormat="1"/>
    <row r="495" s="265" customFormat="1"/>
    <row r="496" s="265" customFormat="1"/>
    <row r="497" s="265" customFormat="1"/>
    <row r="498" s="265" customFormat="1"/>
    <row r="499" s="265" customFormat="1"/>
    <row r="500" s="265" customFormat="1"/>
    <row r="501" s="265" customFormat="1"/>
    <row r="502" s="265" customFormat="1"/>
    <row r="503" s="265" customFormat="1"/>
    <row r="504" s="265" customFormat="1"/>
    <row r="505" s="265" customFormat="1"/>
    <row r="506" s="265" customFormat="1"/>
    <row r="507" s="265" customFormat="1"/>
    <row r="508" s="265" customFormat="1"/>
    <row r="509" s="265" customFormat="1"/>
    <row r="510" s="265" customFormat="1"/>
    <row r="511" s="265" customFormat="1"/>
    <row r="512" s="265" customFormat="1"/>
    <row r="513" s="265" customFormat="1"/>
    <row r="514" s="265" customFormat="1"/>
    <row r="515" s="265" customFormat="1"/>
    <row r="516" s="265" customFormat="1"/>
    <row r="517" s="265" customFormat="1"/>
    <row r="518" s="265" customFormat="1"/>
    <row r="519" s="265" customFormat="1"/>
    <row r="520" s="265" customFormat="1"/>
    <row r="521" s="265" customFormat="1"/>
    <row r="522" s="265" customFormat="1"/>
    <row r="523" s="265" customFormat="1"/>
    <row r="524" s="265" customFormat="1"/>
    <row r="525" s="265" customFormat="1"/>
    <row r="526" s="265" customFormat="1"/>
    <row r="527" s="265" customFormat="1"/>
    <row r="528" s="265" customFormat="1"/>
    <row r="529" s="265" customFormat="1"/>
    <row r="530" s="265" customFormat="1"/>
    <row r="531" s="265" customFormat="1"/>
    <row r="532" s="265" customFormat="1"/>
    <row r="533" s="265" customFormat="1"/>
    <row r="534" s="265" customFormat="1"/>
    <row r="535" s="265" customFormat="1"/>
    <row r="536" s="265" customFormat="1"/>
    <row r="537" s="265" customFormat="1"/>
    <row r="538" s="265" customFormat="1"/>
    <row r="539" s="265" customFormat="1"/>
    <row r="540" s="265" customFormat="1"/>
    <row r="541" s="265" customFormat="1"/>
    <row r="542" s="265" customFormat="1"/>
    <row r="543" s="265" customFormat="1"/>
    <row r="544" s="265" customFormat="1"/>
    <row r="545" s="265" customFormat="1"/>
    <row r="546" s="265" customFormat="1"/>
    <row r="547" s="265" customFormat="1"/>
    <row r="548" s="265" customFormat="1"/>
    <row r="549" s="265" customFormat="1"/>
    <row r="550" s="265" customFormat="1"/>
    <row r="551" s="265" customFormat="1"/>
    <row r="552" s="265" customFormat="1"/>
    <row r="553" s="265" customFormat="1"/>
    <row r="554" s="265" customFormat="1"/>
    <row r="555" s="265" customFormat="1"/>
    <row r="556" s="265" customFormat="1"/>
    <row r="557" s="265" customFormat="1"/>
    <row r="558" s="265" customFormat="1"/>
    <row r="559" s="265" customFormat="1"/>
    <row r="560" s="265" customFormat="1"/>
    <row r="561" s="265" customFormat="1"/>
    <row r="562" s="265" customFormat="1"/>
    <row r="563" s="265" customFormat="1"/>
    <row r="564" s="265" customFormat="1"/>
    <row r="565" s="265" customFormat="1"/>
    <row r="566" s="265" customFormat="1"/>
    <row r="567" s="265" customFormat="1"/>
    <row r="568" s="265" customFormat="1"/>
    <row r="569" s="265" customFormat="1"/>
    <row r="570" s="265" customFormat="1"/>
    <row r="571" s="265" customFormat="1"/>
    <row r="572" s="265" customFormat="1"/>
    <row r="573" s="265" customFormat="1"/>
    <row r="574" s="265" customFormat="1"/>
    <row r="575" s="265" customFormat="1"/>
    <row r="576" s="265" customFormat="1"/>
    <row r="577" s="265" customFormat="1"/>
    <row r="578" s="265" customFormat="1"/>
    <row r="579" s="265" customFormat="1"/>
    <row r="580" s="265" customFormat="1"/>
    <row r="581" s="265" customFormat="1"/>
    <row r="582" s="265" customFormat="1"/>
    <row r="583" s="265" customFormat="1"/>
    <row r="584" s="265" customFormat="1"/>
    <row r="585" s="265" customFormat="1"/>
    <row r="586" s="265" customFormat="1"/>
    <row r="587" s="265" customFormat="1"/>
    <row r="588" s="265" customFormat="1"/>
    <row r="589" s="265" customFormat="1"/>
    <row r="590" s="265" customFormat="1"/>
    <row r="591" s="265" customFormat="1"/>
    <row r="592" s="265" customFormat="1"/>
    <row r="593" s="265" customFormat="1"/>
    <row r="594" s="265" customFormat="1"/>
    <row r="595" s="265" customFormat="1"/>
    <row r="596" s="265" customFormat="1"/>
    <row r="597" s="265" customFormat="1"/>
    <row r="598" s="265" customFormat="1"/>
    <row r="599" s="265" customFormat="1"/>
    <row r="600" s="265" customFormat="1"/>
    <row r="601" s="265" customFormat="1"/>
    <row r="602" s="265" customFormat="1"/>
    <row r="603" s="265" customFormat="1"/>
    <row r="604" s="265" customFormat="1"/>
    <row r="605" s="265" customFormat="1"/>
    <row r="606" s="265" customFormat="1"/>
    <row r="607" s="265" customFormat="1"/>
    <row r="608" s="265" customFormat="1"/>
    <row r="609" s="265" customFormat="1"/>
    <row r="610" s="265" customFormat="1"/>
    <row r="611" s="265" customFormat="1"/>
    <row r="612" s="265" customFormat="1"/>
    <row r="613" s="265" customFormat="1"/>
    <row r="614" s="265" customFormat="1"/>
    <row r="615" s="265" customFormat="1"/>
    <row r="616" s="265" customFormat="1"/>
    <row r="617" s="265" customFormat="1"/>
    <row r="618" s="265" customFormat="1"/>
    <row r="619" s="265" customFormat="1"/>
    <row r="620" s="265" customFormat="1"/>
    <row r="621" s="265" customFormat="1"/>
    <row r="622" s="265" customFormat="1"/>
    <row r="623" s="265" customFormat="1"/>
    <row r="624" s="265" customFormat="1"/>
    <row r="625" s="265" customFormat="1"/>
    <row r="626" s="265" customFormat="1"/>
    <row r="627" s="265" customFormat="1"/>
    <row r="628" s="265" customFormat="1"/>
    <row r="629" s="265" customFormat="1"/>
    <row r="630" s="265" customFormat="1"/>
    <row r="631" s="265" customFormat="1"/>
    <row r="632" s="265" customFormat="1"/>
    <row r="633" s="265" customFormat="1"/>
    <row r="634" s="265" customFormat="1"/>
    <row r="635" s="265" customFormat="1"/>
    <row r="636" s="265" customFormat="1"/>
    <row r="637" s="265" customFormat="1"/>
    <row r="638" s="265" customFormat="1"/>
    <row r="639" s="265" customFormat="1"/>
    <row r="640" s="265" customFormat="1"/>
    <row r="641" s="265" customFormat="1"/>
    <row r="642" s="265" customFormat="1"/>
    <row r="643" s="265" customFormat="1"/>
    <row r="644" s="265" customFormat="1"/>
    <row r="645" s="265" customFormat="1"/>
    <row r="646" s="265" customFormat="1"/>
    <row r="647" s="265" customFormat="1"/>
    <row r="648" s="265" customFormat="1"/>
    <row r="649" s="265" customFormat="1"/>
    <row r="650" s="265" customFormat="1"/>
    <row r="651" s="265" customFormat="1"/>
    <row r="652" s="265" customFormat="1"/>
    <row r="653" s="265" customFormat="1"/>
    <row r="654" s="265" customFormat="1"/>
    <row r="655" s="265" customFormat="1"/>
    <row r="656" s="265" customFormat="1"/>
    <row r="657" s="265" customFormat="1"/>
    <row r="658" s="265" customFormat="1"/>
    <row r="659" s="265" customFormat="1"/>
    <row r="660" s="265" customFormat="1"/>
    <row r="661" s="265" customFormat="1"/>
    <row r="662" s="265" customFormat="1"/>
    <row r="663" s="265" customFormat="1"/>
    <row r="664" s="265" customFormat="1"/>
    <row r="665" s="265" customFormat="1"/>
    <row r="666" s="265" customFormat="1"/>
    <row r="667" s="265" customFormat="1"/>
    <row r="668" s="265" customFormat="1"/>
    <row r="669" s="265" customFormat="1"/>
    <row r="670" s="265" customFormat="1"/>
    <row r="671" s="265" customFormat="1"/>
    <row r="672" s="265" customFormat="1"/>
    <row r="673" s="265" customFormat="1"/>
    <row r="674" s="265" customFormat="1"/>
    <row r="675" s="265" customFormat="1"/>
    <row r="676" s="265" customFormat="1"/>
    <row r="677" s="265" customFormat="1"/>
    <row r="678" s="265" customFormat="1"/>
    <row r="679" s="265" customFormat="1"/>
    <row r="680" s="265" customFormat="1"/>
    <row r="681" s="265" customFormat="1"/>
    <row r="682" s="265" customFormat="1"/>
    <row r="683" s="265" customFormat="1"/>
    <row r="684" s="265" customFormat="1"/>
    <row r="685" s="265" customFormat="1"/>
    <row r="686" s="265" customFormat="1"/>
    <row r="687" s="265" customFormat="1"/>
    <row r="688" s="265" customFormat="1"/>
    <row r="689" s="265" customFormat="1"/>
    <row r="690" s="265" customFormat="1"/>
    <row r="691" s="265" customFormat="1"/>
    <row r="692" s="265" customFormat="1"/>
    <row r="693" s="265" customFormat="1"/>
    <row r="694" s="265" customFormat="1"/>
    <row r="695" s="265" customFormat="1"/>
    <row r="696" s="265" customFormat="1"/>
    <row r="697" s="265" customFormat="1"/>
    <row r="698" s="265" customFormat="1"/>
    <row r="699" s="265" customFormat="1"/>
    <row r="700" s="265" customFormat="1"/>
    <row r="701" s="265" customFormat="1"/>
    <row r="702" s="265" customFormat="1"/>
    <row r="703" s="265" customFormat="1"/>
    <row r="704" s="265" customFormat="1"/>
    <row r="705" s="265" customFormat="1"/>
    <row r="706" s="265" customFormat="1"/>
    <row r="707" s="265" customFormat="1"/>
    <row r="708" s="265" customFormat="1"/>
    <row r="709" s="265" customFormat="1"/>
    <row r="710" s="265" customFormat="1"/>
    <row r="711" s="265" customFormat="1"/>
    <row r="712" s="265" customFormat="1"/>
    <row r="713" s="265" customFormat="1"/>
    <row r="714" s="265" customFormat="1"/>
    <row r="715" s="265" customFormat="1"/>
    <row r="716" s="265" customFormat="1"/>
    <row r="717" s="265" customFormat="1"/>
    <row r="718" s="265" customFormat="1"/>
    <row r="719" s="265" customFormat="1"/>
    <row r="720" s="265" customFormat="1"/>
    <row r="721" s="265" customFormat="1"/>
    <row r="722" s="265" customFormat="1"/>
    <row r="723" s="265" customFormat="1"/>
    <row r="724" s="265" customFormat="1"/>
    <row r="725" s="265" customFormat="1"/>
    <row r="726" s="265" customFormat="1"/>
    <row r="727" s="265" customFormat="1"/>
    <row r="728" s="265" customFormat="1"/>
    <row r="729" s="265" customFormat="1"/>
    <row r="730" s="265" customFormat="1"/>
    <row r="731" s="265" customFormat="1"/>
    <row r="732" s="265" customFormat="1"/>
    <row r="733" s="265" customFormat="1"/>
    <row r="734" s="265" customFormat="1"/>
    <row r="735" s="265" customFormat="1"/>
    <row r="736" s="265" customFormat="1"/>
    <row r="737" s="265" customFormat="1"/>
    <row r="738" s="265" customFormat="1"/>
    <row r="739" s="265" customFormat="1"/>
    <row r="740" s="265" customFormat="1"/>
    <row r="741" s="265" customFormat="1"/>
    <row r="742" s="265" customFormat="1"/>
    <row r="743" s="265" customFormat="1"/>
    <row r="744" s="265" customFormat="1"/>
    <row r="745" s="265" customFormat="1"/>
    <row r="746" s="265" customFormat="1"/>
    <row r="747" s="265" customFormat="1"/>
    <row r="748" s="265" customFormat="1"/>
    <row r="749" s="265" customFormat="1"/>
    <row r="750" s="265" customFormat="1"/>
    <row r="751" s="265" customFormat="1"/>
    <row r="752" s="265" customFormat="1"/>
    <row r="753" s="265" customFormat="1"/>
    <row r="754" s="265" customFormat="1"/>
    <row r="755" s="265" customFormat="1"/>
    <row r="756" s="265" customFormat="1"/>
    <row r="757" s="265" customFormat="1"/>
    <row r="758" s="265" customFormat="1"/>
    <row r="759" s="265" customFormat="1"/>
    <row r="760" s="265" customFormat="1"/>
    <row r="761" s="265" customFormat="1"/>
    <row r="762" s="265" customFormat="1"/>
    <row r="763" s="265" customFormat="1"/>
    <row r="764" s="265" customFormat="1"/>
    <row r="765" s="265" customFormat="1"/>
    <row r="766" s="265" customFormat="1"/>
    <row r="767" s="265" customFormat="1"/>
    <row r="768" s="265" customFormat="1"/>
    <row r="769" s="265" customFormat="1"/>
    <row r="770" s="265" customFormat="1"/>
    <row r="771" s="265" customFormat="1"/>
    <row r="772" s="265" customFormat="1"/>
    <row r="773" s="265" customFormat="1"/>
    <row r="774" s="265" customFormat="1"/>
    <row r="775" s="265" customFormat="1"/>
    <row r="776" s="265" customFormat="1"/>
    <row r="777" s="265" customFormat="1"/>
    <row r="778" s="265" customFormat="1"/>
    <row r="779" s="265" customFormat="1"/>
    <row r="780" s="265" customFormat="1"/>
    <row r="781" s="265" customFormat="1"/>
    <row r="782" s="265" customFormat="1"/>
    <row r="783" s="265" customFormat="1"/>
    <row r="784" s="265" customFormat="1"/>
    <row r="785" s="265" customFormat="1"/>
    <row r="786" s="265" customFormat="1"/>
    <row r="787" s="265" customFormat="1"/>
    <row r="788" s="265" customFormat="1"/>
    <row r="789" s="265" customFormat="1"/>
    <row r="790" s="265" customFormat="1"/>
    <row r="791" s="265" customFormat="1"/>
    <row r="792" s="265" customFormat="1"/>
    <row r="793" s="265" customFormat="1"/>
    <row r="794" s="265" customFormat="1"/>
    <row r="795" s="265" customFormat="1"/>
    <row r="796" s="265" customFormat="1"/>
    <row r="797" s="265" customFormat="1"/>
    <row r="798" s="265" customFormat="1"/>
    <row r="799" s="265" customFormat="1"/>
    <row r="800" s="265" customFormat="1"/>
    <row r="801" s="265" customFormat="1"/>
    <row r="802" s="265" customFormat="1"/>
    <row r="803" s="265" customFormat="1"/>
    <row r="804" s="265" customFormat="1"/>
    <row r="805" s="265" customFormat="1"/>
    <row r="806" s="265" customFormat="1"/>
    <row r="807" s="265" customFormat="1"/>
    <row r="808" s="265" customFormat="1"/>
    <row r="809" s="265" customFormat="1"/>
    <row r="810" s="265" customFormat="1"/>
    <row r="811" s="265" customFormat="1"/>
    <row r="812" s="265" customFormat="1"/>
    <row r="813" s="265" customFormat="1"/>
    <row r="814" s="265" customFormat="1"/>
    <row r="815" s="265" customFormat="1"/>
    <row r="816" s="265" customFormat="1"/>
    <row r="817" s="265" customFormat="1"/>
    <row r="818" s="265" customFormat="1"/>
    <row r="819" s="265" customFormat="1"/>
    <row r="820" s="265" customFormat="1"/>
    <row r="821" s="265" customFormat="1"/>
    <row r="822" s="265" customFormat="1"/>
    <row r="823" s="265" customFormat="1"/>
    <row r="824" s="265" customFormat="1"/>
    <row r="825" s="265" customFormat="1"/>
    <row r="826" s="265" customFormat="1"/>
    <row r="827" s="265" customFormat="1"/>
    <row r="828" s="265" customFormat="1"/>
    <row r="829" s="265" customFormat="1"/>
    <row r="830" s="265" customFormat="1"/>
    <row r="831" s="265" customFormat="1"/>
    <row r="832" s="265" customFormat="1"/>
    <row r="833" s="265" customFormat="1"/>
    <row r="834" s="265" customFormat="1"/>
    <row r="835" s="265" customFormat="1"/>
    <row r="836" s="265" customFormat="1"/>
    <row r="837" s="265" customFormat="1"/>
    <row r="838" s="265" customFormat="1"/>
    <row r="839" s="265" customFormat="1"/>
    <row r="840" s="265" customFormat="1"/>
    <row r="841" s="265" customFormat="1"/>
    <row r="842" s="265" customFormat="1"/>
    <row r="843" s="265" customFormat="1"/>
    <row r="844" s="265" customFormat="1"/>
    <row r="845" s="265" customFormat="1"/>
    <row r="846" s="265" customFormat="1"/>
    <row r="847" s="265" customFormat="1"/>
    <row r="848" s="265" customFormat="1"/>
    <row r="849" s="265" customFormat="1"/>
    <row r="850" s="265" customFormat="1"/>
    <row r="851" s="265" customFormat="1"/>
    <row r="852" s="265" customFormat="1"/>
    <row r="853" s="265" customFormat="1"/>
    <row r="854" s="265" customFormat="1"/>
    <row r="855" s="265" customFormat="1"/>
    <row r="856" s="265" customFormat="1"/>
    <row r="857" s="265" customFormat="1"/>
    <row r="858" s="265" customFormat="1"/>
    <row r="859" s="265" customFormat="1"/>
    <row r="860" s="265" customFormat="1"/>
    <row r="861" s="265" customFormat="1"/>
    <row r="862" s="265" customFormat="1"/>
    <row r="863" s="265" customFormat="1"/>
    <row r="864" s="265" customFormat="1"/>
    <row r="865" spans="11:146">
      <c r="K865" s="265"/>
      <c r="L865" s="265"/>
      <c r="M865" s="265"/>
      <c r="N865" s="265"/>
      <c r="O865" s="265"/>
      <c r="P865" s="265"/>
      <c r="Q865" s="265"/>
      <c r="BR865" s="265"/>
      <c r="BS865" s="265"/>
      <c r="BT865" s="265"/>
      <c r="BU865" s="265"/>
      <c r="BV865" s="265"/>
      <c r="CJ865" s="265"/>
      <c r="CO865" s="265"/>
      <c r="CP865" s="265"/>
      <c r="CQ865" s="265"/>
      <c r="CR865" s="265"/>
      <c r="CS865" s="265"/>
      <c r="CT865" s="265"/>
      <c r="CU865" s="265"/>
      <c r="CV865" s="265"/>
      <c r="CW865" s="265"/>
      <c r="CX865" s="265"/>
      <c r="CY865" s="265"/>
      <c r="CZ865" s="265"/>
      <c r="DA865" s="265"/>
      <c r="DB865" s="265"/>
      <c r="DC865" s="265"/>
      <c r="DD865" s="265"/>
      <c r="DE865" s="265"/>
      <c r="DF865" s="265"/>
      <c r="DG865" s="265"/>
      <c r="DH865" s="265"/>
      <c r="DI865" s="265"/>
      <c r="DJ865" s="265"/>
      <c r="DK865" s="265"/>
      <c r="DL865" s="265"/>
      <c r="DM865" s="265"/>
      <c r="DN865" s="265"/>
      <c r="DO865" s="265"/>
      <c r="DP865" s="265"/>
      <c r="DQ865" s="265"/>
      <c r="DR865" s="265"/>
      <c r="DS865" s="265"/>
      <c r="DY865" s="265"/>
      <c r="EC865" s="265"/>
      <c r="EP865" s="265"/>
    </row>
    <row r="866" spans="11:146">
      <c r="K866" s="265"/>
      <c r="L866" s="265"/>
      <c r="M866" s="265"/>
      <c r="N866" s="265"/>
      <c r="O866" s="265"/>
      <c r="P866" s="265"/>
      <c r="Q866" s="265"/>
      <c r="BR866" s="265"/>
      <c r="BS866" s="265"/>
      <c r="BT866" s="265"/>
      <c r="BU866" s="265"/>
      <c r="BV866" s="265"/>
      <c r="CJ866" s="265"/>
      <c r="CO866" s="265"/>
      <c r="CP866" s="265"/>
      <c r="CQ866" s="265"/>
      <c r="CR866" s="265"/>
      <c r="CS866" s="265"/>
      <c r="CT866" s="265"/>
      <c r="CU866" s="265"/>
      <c r="CV866" s="265"/>
      <c r="CW866" s="265"/>
      <c r="CX866" s="265"/>
      <c r="CY866" s="265"/>
      <c r="CZ866" s="265"/>
      <c r="DA866" s="265"/>
      <c r="DB866" s="265"/>
      <c r="DC866" s="265"/>
      <c r="DD866" s="265"/>
      <c r="DE866" s="265"/>
      <c r="DF866" s="265"/>
      <c r="DG866" s="265"/>
      <c r="DH866" s="265"/>
      <c r="DI866" s="265"/>
      <c r="DJ866" s="265"/>
      <c r="DK866" s="265"/>
      <c r="DL866" s="265"/>
      <c r="DM866" s="265"/>
      <c r="DN866" s="265"/>
      <c r="DO866" s="265"/>
      <c r="DP866" s="265"/>
      <c r="DQ866" s="265"/>
      <c r="DR866" s="265"/>
      <c r="DS866" s="265"/>
      <c r="DY866" s="265"/>
      <c r="EC866" s="265"/>
      <c r="EP866" s="265"/>
    </row>
    <row r="867" spans="11:146">
      <c r="K867" s="265"/>
      <c r="L867" s="265"/>
      <c r="M867" s="265"/>
      <c r="N867" s="265"/>
      <c r="O867" s="265"/>
      <c r="P867" s="265"/>
      <c r="Q867" s="265"/>
      <c r="BR867" s="265"/>
      <c r="BS867" s="265"/>
      <c r="BT867" s="265"/>
      <c r="BU867" s="265"/>
      <c r="BV867" s="265"/>
      <c r="CJ867" s="265"/>
      <c r="CO867" s="265"/>
      <c r="CP867" s="265"/>
      <c r="CQ867" s="265"/>
      <c r="CR867" s="265"/>
      <c r="CS867" s="265"/>
      <c r="CT867" s="265"/>
      <c r="CU867" s="265"/>
      <c r="CV867" s="265"/>
      <c r="CW867" s="265"/>
      <c r="CX867" s="265"/>
      <c r="CY867" s="265"/>
      <c r="CZ867" s="265"/>
      <c r="DA867" s="265"/>
      <c r="DB867" s="265"/>
      <c r="DC867" s="265"/>
      <c r="DD867" s="265"/>
      <c r="DE867" s="265"/>
      <c r="DF867" s="265"/>
      <c r="DG867" s="265"/>
      <c r="DH867" s="265"/>
      <c r="DI867" s="265"/>
      <c r="DJ867" s="265"/>
      <c r="DK867" s="265"/>
      <c r="DL867" s="265"/>
      <c r="DM867" s="265"/>
      <c r="DN867" s="265"/>
      <c r="DO867" s="265"/>
      <c r="DP867" s="265"/>
      <c r="DQ867" s="265"/>
      <c r="DR867" s="265"/>
      <c r="DS867" s="265"/>
      <c r="DY867" s="265"/>
      <c r="EC867" s="265"/>
      <c r="EP867" s="265"/>
    </row>
    <row r="868" spans="11:146">
      <c r="K868" s="265"/>
      <c r="L868" s="265"/>
      <c r="M868" s="265"/>
      <c r="N868" s="265"/>
      <c r="O868" s="265"/>
      <c r="P868" s="265"/>
      <c r="Q868" s="265"/>
      <c r="BR868" s="265"/>
      <c r="BS868" s="265"/>
      <c r="BT868" s="265"/>
      <c r="BU868" s="265"/>
      <c r="BV868" s="265"/>
      <c r="CJ868" s="265"/>
      <c r="CO868" s="265"/>
      <c r="CP868" s="265"/>
      <c r="CQ868" s="265"/>
      <c r="CR868" s="265"/>
      <c r="CS868" s="265"/>
      <c r="CT868" s="265"/>
      <c r="CU868" s="265"/>
      <c r="CV868" s="265"/>
      <c r="CW868" s="265"/>
      <c r="CX868" s="265"/>
      <c r="CY868" s="265"/>
      <c r="CZ868" s="265"/>
      <c r="DA868" s="265"/>
      <c r="DB868" s="265"/>
      <c r="DC868" s="265"/>
      <c r="DD868" s="265"/>
      <c r="DE868" s="265"/>
      <c r="DF868" s="265"/>
      <c r="DG868" s="265"/>
      <c r="DH868" s="265"/>
      <c r="DI868" s="265"/>
      <c r="DJ868" s="265"/>
      <c r="DK868" s="265"/>
      <c r="DL868" s="265"/>
      <c r="DM868" s="265"/>
      <c r="DN868" s="265"/>
      <c r="DO868" s="265"/>
      <c r="DP868" s="265"/>
      <c r="DQ868" s="265"/>
      <c r="DR868" s="265"/>
      <c r="DS868" s="265"/>
      <c r="DY868" s="265"/>
      <c r="EC868" s="265"/>
      <c r="EP868" s="265"/>
    </row>
    <row r="869" spans="11:146">
      <c r="K869" s="265"/>
      <c r="L869" s="265"/>
      <c r="M869" s="265"/>
      <c r="N869" s="265"/>
      <c r="O869" s="265"/>
      <c r="P869" s="265"/>
      <c r="Q869" s="265"/>
      <c r="BR869" s="265"/>
      <c r="BS869" s="265"/>
      <c r="BT869" s="265"/>
      <c r="BU869" s="265"/>
      <c r="BV869" s="265"/>
      <c r="CJ869" s="265"/>
      <c r="CO869" s="265"/>
      <c r="CP869" s="265"/>
      <c r="CQ869" s="265"/>
      <c r="CR869" s="265"/>
      <c r="CS869" s="265"/>
      <c r="CT869" s="265"/>
      <c r="CU869" s="265"/>
      <c r="CV869" s="265"/>
      <c r="CW869" s="265"/>
      <c r="CX869" s="265"/>
      <c r="CY869" s="265"/>
      <c r="CZ869" s="265"/>
      <c r="DA869" s="265"/>
      <c r="DB869" s="265"/>
      <c r="DC869" s="265"/>
      <c r="DD869" s="265"/>
      <c r="DE869" s="265"/>
      <c r="DF869" s="265"/>
      <c r="DG869" s="265"/>
      <c r="DH869" s="265"/>
      <c r="DI869" s="265"/>
      <c r="DJ869" s="265"/>
      <c r="DK869" s="265"/>
      <c r="DL869" s="265"/>
      <c r="DM869" s="265"/>
      <c r="DN869" s="265"/>
      <c r="DO869" s="265"/>
      <c r="DP869" s="265"/>
      <c r="DQ869" s="265"/>
      <c r="DR869" s="265"/>
      <c r="DS869" s="265"/>
      <c r="DY869" s="265"/>
      <c r="EC869" s="265"/>
      <c r="EP869" s="265"/>
    </row>
    <row r="870" spans="11:146">
      <c r="K870" s="265"/>
      <c r="L870" s="265"/>
      <c r="M870" s="265"/>
      <c r="N870" s="265"/>
      <c r="O870" s="265"/>
      <c r="P870" s="265"/>
      <c r="Q870" s="265"/>
      <c r="BR870" s="265"/>
      <c r="BS870" s="265"/>
      <c r="BT870" s="265"/>
      <c r="BU870" s="265"/>
      <c r="BV870" s="265"/>
      <c r="CJ870" s="265"/>
      <c r="CO870" s="265"/>
      <c r="CP870" s="265"/>
      <c r="CQ870" s="265"/>
      <c r="CR870" s="265"/>
      <c r="CS870" s="265"/>
      <c r="CT870" s="265"/>
      <c r="CU870" s="265"/>
      <c r="CV870" s="265"/>
      <c r="CW870" s="265"/>
      <c r="CX870" s="265"/>
      <c r="CY870" s="265"/>
      <c r="CZ870" s="265"/>
      <c r="DA870" s="265"/>
      <c r="DB870" s="265"/>
      <c r="DC870" s="265"/>
      <c r="DD870" s="265"/>
      <c r="DE870" s="265"/>
      <c r="DF870" s="265"/>
      <c r="DG870" s="265"/>
      <c r="DH870" s="265"/>
      <c r="DI870" s="265"/>
      <c r="DJ870" s="265"/>
      <c r="DK870" s="265"/>
      <c r="DL870" s="265"/>
      <c r="DM870" s="265"/>
      <c r="DN870" s="265"/>
      <c r="DO870" s="265"/>
      <c r="DP870" s="265"/>
      <c r="DQ870" s="265"/>
      <c r="DR870" s="265"/>
      <c r="DS870" s="265"/>
      <c r="DY870" s="265"/>
      <c r="EC870" s="265"/>
      <c r="EP870" s="265"/>
    </row>
    <row r="871" spans="11:146">
      <c r="K871" s="265"/>
      <c r="L871" s="265"/>
      <c r="M871" s="265"/>
      <c r="N871" s="265"/>
      <c r="O871" s="265"/>
      <c r="P871" s="265"/>
      <c r="Q871" s="265"/>
      <c r="BR871" s="265"/>
      <c r="BS871" s="265"/>
      <c r="BT871" s="265"/>
      <c r="BU871" s="265"/>
      <c r="BV871" s="265"/>
      <c r="CJ871" s="265"/>
      <c r="CO871" s="265"/>
      <c r="CP871" s="265"/>
      <c r="CQ871" s="265"/>
      <c r="CR871" s="265"/>
      <c r="CS871" s="265"/>
      <c r="CT871" s="265"/>
      <c r="CU871" s="265"/>
      <c r="CV871" s="265"/>
      <c r="CW871" s="265"/>
      <c r="CX871" s="265"/>
      <c r="CY871" s="265"/>
      <c r="CZ871" s="265"/>
      <c r="DA871" s="265"/>
      <c r="DB871" s="265"/>
      <c r="DC871" s="265"/>
      <c r="DD871" s="265"/>
      <c r="DE871" s="265"/>
      <c r="DF871" s="265"/>
      <c r="DG871" s="265"/>
      <c r="DH871" s="265"/>
      <c r="DI871" s="265"/>
      <c r="DJ871" s="265"/>
      <c r="DK871" s="265"/>
      <c r="DL871" s="265"/>
      <c r="DM871" s="265"/>
      <c r="DN871" s="265"/>
      <c r="DO871" s="265"/>
      <c r="DP871" s="265"/>
      <c r="DQ871" s="265"/>
      <c r="DR871" s="265"/>
      <c r="DS871" s="265"/>
      <c r="DY871" s="265"/>
      <c r="EC871" s="265"/>
      <c r="EP871" s="265"/>
    </row>
    <row r="872" spans="11:146">
      <c r="K872" s="265"/>
      <c r="L872" s="265"/>
      <c r="M872" s="265"/>
      <c r="N872" s="265"/>
      <c r="O872" s="265"/>
      <c r="P872" s="265"/>
      <c r="Q872" s="265"/>
      <c r="BR872" s="265"/>
      <c r="BS872" s="265"/>
      <c r="BT872" s="265"/>
      <c r="BU872" s="265"/>
      <c r="BV872" s="265"/>
      <c r="CJ872" s="265"/>
      <c r="CO872" s="265"/>
      <c r="CP872" s="265"/>
      <c r="CQ872" s="265"/>
      <c r="CR872" s="265"/>
      <c r="CS872" s="265"/>
      <c r="CT872" s="265"/>
      <c r="CU872" s="265"/>
      <c r="CV872" s="265"/>
      <c r="CW872" s="265"/>
      <c r="CX872" s="265"/>
      <c r="CY872" s="265"/>
      <c r="CZ872" s="265"/>
      <c r="DA872" s="265"/>
      <c r="DB872" s="265"/>
      <c r="DC872" s="265"/>
      <c r="DD872" s="265"/>
      <c r="DE872" s="265"/>
      <c r="DF872" s="265"/>
      <c r="DG872" s="265"/>
      <c r="DH872" s="265"/>
      <c r="DI872" s="265"/>
      <c r="DJ872" s="265"/>
      <c r="DK872" s="265"/>
      <c r="DL872" s="265"/>
      <c r="DM872" s="265"/>
      <c r="DN872" s="265"/>
      <c r="DO872" s="265"/>
      <c r="DP872" s="265"/>
      <c r="DQ872" s="265"/>
      <c r="DR872" s="265"/>
      <c r="DS872" s="265"/>
      <c r="DY872" s="265"/>
      <c r="EC872" s="265"/>
      <c r="EP872" s="265"/>
    </row>
    <row r="873" spans="11:146">
      <c r="K873" s="265"/>
      <c r="L873" s="265"/>
      <c r="M873" s="265"/>
      <c r="N873" s="265"/>
      <c r="O873" s="265"/>
      <c r="P873" s="265"/>
      <c r="Q873" s="265"/>
      <c r="BR873" s="265"/>
      <c r="BS873" s="265"/>
      <c r="BT873" s="265"/>
      <c r="BU873" s="265"/>
      <c r="BV873" s="265"/>
      <c r="CJ873" s="265"/>
      <c r="CO873" s="265"/>
      <c r="CP873" s="265"/>
      <c r="CQ873" s="265"/>
      <c r="CR873" s="265"/>
      <c r="CS873" s="265"/>
      <c r="CT873" s="265"/>
      <c r="CU873" s="265"/>
      <c r="CV873" s="265"/>
      <c r="CW873" s="265"/>
      <c r="CX873" s="265"/>
      <c r="CY873" s="265"/>
      <c r="CZ873" s="265"/>
      <c r="DA873" s="265"/>
      <c r="DB873" s="265"/>
      <c r="DC873" s="265"/>
      <c r="DD873" s="265"/>
      <c r="DE873" s="265"/>
      <c r="DF873" s="265"/>
      <c r="DG873" s="265"/>
      <c r="DH873" s="265"/>
      <c r="DI873" s="265"/>
      <c r="DJ873" s="265"/>
      <c r="DK873" s="265"/>
      <c r="DL873" s="265"/>
      <c r="DM873" s="265"/>
      <c r="DN873" s="265"/>
      <c r="DO873" s="265"/>
      <c r="DP873" s="265"/>
      <c r="DQ873" s="265"/>
      <c r="DR873" s="265"/>
      <c r="DS873" s="265"/>
      <c r="DY873" s="265"/>
      <c r="EC873" s="265"/>
      <c r="EP873" s="265"/>
    </row>
    <row r="874" spans="11:146">
      <c r="K874" s="265"/>
      <c r="L874" s="265"/>
      <c r="M874" s="265"/>
      <c r="N874" s="265"/>
      <c r="O874" s="265"/>
      <c r="P874" s="265"/>
      <c r="Q874" s="265"/>
      <c r="BR874" s="265"/>
      <c r="BS874" s="265"/>
      <c r="BT874" s="265"/>
      <c r="BU874" s="265"/>
      <c r="BV874" s="265"/>
      <c r="CJ874" s="265"/>
      <c r="CO874" s="265"/>
      <c r="CP874" s="265"/>
      <c r="CQ874" s="265"/>
      <c r="CR874" s="265"/>
      <c r="CS874" s="265"/>
      <c r="CT874" s="265"/>
      <c r="CU874" s="265"/>
      <c r="CV874" s="265"/>
      <c r="CW874" s="265"/>
      <c r="CX874" s="265"/>
      <c r="CY874" s="265"/>
      <c r="CZ874" s="265"/>
      <c r="DA874" s="265"/>
      <c r="DB874" s="265"/>
      <c r="DC874" s="265"/>
      <c r="DD874" s="265"/>
      <c r="DE874" s="265"/>
      <c r="DF874" s="265"/>
      <c r="DG874" s="265"/>
      <c r="DH874" s="265"/>
      <c r="DI874" s="265"/>
      <c r="DJ874" s="265"/>
      <c r="DK874" s="265"/>
      <c r="DL874" s="265"/>
      <c r="DM874" s="265"/>
      <c r="DN874" s="265"/>
      <c r="DO874" s="265"/>
      <c r="DP874" s="265"/>
      <c r="DQ874" s="265"/>
      <c r="DR874" s="265"/>
      <c r="DS874" s="265"/>
      <c r="DY874" s="265"/>
      <c r="EC874" s="265"/>
      <c r="EP874" s="265"/>
    </row>
    <row r="875" spans="11:146">
      <c r="K875" s="265"/>
      <c r="L875" s="265"/>
      <c r="M875" s="265"/>
      <c r="N875" s="265"/>
      <c r="O875" s="265"/>
      <c r="P875" s="265"/>
      <c r="Q875" s="265"/>
      <c r="BR875" s="265"/>
      <c r="BS875" s="265"/>
      <c r="BT875" s="265"/>
      <c r="BU875" s="265"/>
      <c r="BV875" s="265"/>
      <c r="CJ875" s="265"/>
      <c r="CO875" s="265"/>
      <c r="CP875" s="265"/>
      <c r="CQ875" s="265"/>
      <c r="CR875" s="265"/>
      <c r="CS875" s="265"/>
      <c r="CT875" s="265"/>
      <c r="CU875" s="265"/>
      <c r="CV875" s="265"/>
      <c r="CW875" s="265"/>
      <c r="CX875" s="265"/>
      <c r="CY875" s="265"/>
      <c r="CZ875" s="265"/>
      <c r="DA875" s="265"/>
      <c r="DB875" s="265"/>
      <c r="DC875" s="265"/>
      <c r="DD875" s="265"/>
      <c r="DE875" s="265"/>
      <c r="DF875" s="265"/>
      <c r="DG875" s="265"/>
      <c r="DH875" s="265"/>
      <c r="DI875" s="265"/>
      <c r="DJ875" s="265"/>
      <c r="DK875" s="265"/>
      <c r="DL875" s="265"/>
      <c r="DM875" s="265"/>
      <c r="DN875" s="265"/>
      <c r="DO875" s="265"/>
      <c r="DP875" s="265"/>
      <c r="DQ875" s="265"/>
      <c r="DR875" s="265"/>
      <c r="DS875" s="265"/>
      <c r="DY875" s="265"/>
      <c r="EC875" s="265"/>
      <c r="EP875" s="265"/>
    </row>
    <row r="876" spans="11:146">
      <c r="K876" s="265"/>
      <c r="L876" s="265"/>
      <c r="M876" s="265"/>
      <c r="N876" s="265"/>
      <c r="O876" s="265"/>
      <c r="P876" s="265"/>
      <c r="Q876" s="265"/>
      <c r="BR876" s="265"/>
      <c r="BS876" s="265"/>
      <c r="BT876" s="265"/>
      <c r="BU876" s="265"/>
      <c r="BV876" s="265"/>
      <c r="CJ876" s="265"/>
      <c r="CO876" s="265"/>
      <c r="CP876" s="265"/>
      <c r="CQ876" s="265"/>
      <c r="CR876" s="265"/>
      <c r="CS876" s="265"/>
      <c r="CT876" s="265"/>
      <c r="CU876" s="265"/>
      <c r="CV876" s="265"/>
      <c r="CW876" s="265"/>
      <c r="CX876" s="265"/>
      <c r="CY876" s="265"/>
      <c r="CZ876" s="265"/>
      <c r="DA876" s="265"/>
      <c r="DB876" s="265"/>
      <c r="DC876" s="265"/>
      <c r="DD876" s="265"/>
      <c r="DE876" s="265"/>
      <c r="DF876" s="265"/>
      <c r="DG876" s="265"/>
      <c r="DH876" s="265"/>
      <c r="DI876" s="265"/>
      <c r="DJ876" s="265"/>
      <c r="DK876" s="265"/>
      <c r="DL876" s="265"/>
      <c r="DM876" s="265"/>
      <c r="DN876" s="265"/>
      <c r="DO876" s="265"/>
      <c r="DP876" s="265"/>
      <c r="DQ876" s="265"/>
      <c r="DR876" s="265"/>
      <c r="DS876" s="265"/>
      <c r="DY876" s="265"/>
      <c r="EC876" s="265"/>
      <c r="EP876" s="265"/>
    </row>
    <row r="877" spans="11:146">
      <c r="K877" s="265"/>
      <c r="L877" s="265"/>
      <c r="M877" s="265"/>
      <c r="N877" s="265"/>
      <c r="O877" s="265"/>
      <c r="P877" s="265"/>
      <c r="Q877" s="265"/>
      <c r="BR877" s="265"/>
      <c r="BS877" s="265"/>
      <c r="BT877" s="265"/>
      <c r="BU877" s="265"/>
      <c r="BV877" s="265"/>
      <c r="CJ877" s="265"/>
      <c r="CO877" s="265"/>
      <c r="CP877" s="265"/>
      <c r="CQ877" s="265"/>
      <c r="CR877" s="265"/>
      <c r="CS877" s="265"/>
      <c r="CT877" s="265"/>
      <c r="CU877" s="265"/>
      <c r="CV877" s="265"/>
      <c r="CW877" s="265"/>
      <c r="CX877" s="265"/>
      <c r="CY877" s="265"/>
      <c r="CZ877" s="265"/>
      <c r="DA877" s="265"/>
      <c r="DB877" s="265"/>
      <c r="DC877" s="265"/>
      <c r="DD877" s="265"/>
      <c r="DE877" s="265"/>
      <c r="DF877" s="265"/>
      <c r="DG877" s="265"/>
      <c r="DH877" s="265"/>
      <c r="DI877" s="265"/>
      <c r="DJ877" s="265"/>
      <c r="DK877" s="265"/>
      <c r="DL877" s="265"/>
      <c r="DM877" s="265"/>
      <c r="DN877" s="265"/>
      <c r="DO877" s="265"/>
      <c r="DP877" s="265"/>
      <c r="DQ877" s="265"/>
      <c r="DR877" s="265"/>
      <c r="DS877" s="265"/>
      <c r="DY877" s="265"/>
      <c r="EC877" s="265"/>
      <c r="EP877" s="265"/>
    </row>
    <row r="878" spans="11:146">
      <c r="K878" s="265"/>
      <c r="L878" s="265"/>
      <c r="M878" s="265"/>
      <c r="N878" s="265"/>
      <c r="O878" s="265"/>
      <c r="P878" s="265"/>
      <c r="Q878" s="265"/>
      <c r="BR878" s="265"/>
      <c r="BS878" s="265"/>
      <c r="BT878" s="265"/>
      <c r="BU878" s="265"/>
      <c r="BV878" s="265"/>
      <c r="CJ878" s="265"/>
      <c r="CO878" s="265"/>
      <c r="CP878" s="265"/>
      <c r="CQ878" s="265"/>
      <c r="CR878" s="265"/>
      <c r="CS878" s="265"/>
      <c r="CT878" s="265"/>
      <c r="CU878" s="265"/>
      <c r="CV878" s="265"/>
      <c r="CW878" s="265"/>
      <c r="CX878" s="265"/>
      <c r="CY878" s="265"/>
      <c r="CZ878" s="265"/>
      <c r="DA878" s="265"/>
      <c r="DB878" s="265"/>
      <c r="DC878" s="265"/>
      <c r="DD878" s="265"/>
      <c r="DE878" s="265"/>
      <c r="DF878" s="265"/>
      <c r="DG878" s="265"/>
      <c r="DH878" s="265"/>
      <c r="DI878" s="265"/>
      <c r="DJ878" s="265"/>
      <c r="DK878" s="265"/>
      <c r="DL878" s="265"/>
      <c r="DM878" s="265"/>
      <c r="DN878" s="265"/>
      <c r="DO878" s="265"/>
      <c r="DP878" s="265"/>
      <c r="DQ878" s="265"/>
      <c r="DR878" s="265"/>
      <c r="DS878" s="265"/>
      <c r="DY878" s="265"/>
      <c r="EC878" s="265"/>
      <c r="EP878" s="265"/>
    </row>
    <row r="879" spans="11:146">
      <c r="K879" s="265"/>
      <c r="L879" s="265"/>
      <c r="M879" s="265"/>
      <c r="N879" s="265"/>
      <c r="O879" s="265"/>
      <c r="P879" s="265"/>
      <c r="Q879" s="265"/>
      <c r="BR879" s="265"/>
      <c r="BS879" s="265"/>
      <c r="BT879" s="265"/>
      <c r="BU879" s="265"/>
      <c r="BV879" s="265"/>
      <c r="CJ879" s="265"/>
      <c r="CO879" s="265"/>
      <c r="CP879" s="265"/>
      <c r="CQ879" s="265"/>
      <c r="CR879" s="265"/>
      <c r="CS879" s="265"/>
      <c r="CT879" s="265"/>
      <c r="CU879" s="265"/>
      <c r="CV879" s="265"/>
      <c r="CW879" s="265"/>
      <c r="CX879" s="265"/>
      <c r="CY879" s="265"/>
      <c r="CZ879" s="265"/>
      <c r="DA879" s="265"/>
      <c r="DB879" s="265"/>
      <c r="DC879" s="265"/>
      <c r="DD879" s="265"/>
      <c r="DE879" s="265"/>
      <c r="DF879" s="265"/>
      <c r="DG879" s="265"/>
      <c r="DH879" s="265"/>
      <c r="DI879" s="265"/>
      <c r="DJ879" s="265"/>
      <c r="DK879" s="265"/>
      <c r="DL879" s="265"/>
      <c r="DM879" s="265"/>
      <c r="DN879" s="265"/>
      <c r="DO879" s="265"/>
      <c r="DP879" s="265"/>
      <c r="DQ879" s="265"/>
      <c r="DR879" s="265"/>
      <c r="DS879" s="265"/>
      <c r="DY879" s="265"/>
      <c r="EC879" s="265"/>
      <c r="EP879" s="265"/>
    </row>
    <row r="880" spans="11:146">
      <c r="K880" s="265"/>
      <c r="L880" s="265"/>
      <c r="M880" s="265"/>
      <c r="N880" s="265"/>
      <c r="O880" s="265"/>
      <c r="P880" s="265"/>
      <c r="Q880" s="265"/>
      <c r="BR880" s="265"/>
      <c r="BS880" s="265"/>
      <c r="BT880" s="265"/>
      <c r="BU880" s="265"/>
      <c r="BV880" s="265"/>
      <c r="CJ880" s="265"/>
      <c r="CO880" s="265"/>
      <c r="CP880" s="265"/>
      <c r="CQ880" s="265"/>
      <c r="CR880" s="265"/>
      <c r="CS880" s="265"/>
      <c r="CT880" s="265"/>
      <c r="CU880" s="265"/>
      <c r="CV880" s="265"/>
      <c r="CW880" s="265"/>
      <c r="CX880" s="265"/>
      <c r="CY880" s="265"/>
      <c r="CZ880" s="265"/>
      <c r="DA880" s="265"/>
      <c r="DB880" s="265"/>
      <c r="DC880" s="265"/>
      <c r="DD880" s="265"/>
      <c r="DE880" s="265"/>
      <c r="DF880" s="265"/>
      <c r="DG880" s="265"/>
      <c r="DH880" s="265"/>
      <c r="DI880" s="265"/>
      <c r="DJ880" s="265"/>
      <c r="DK880" s="265"/>
      <c r="DL880" s="265"/>
      <c r="DM880" s="265"/>
      <c r="DN880" s="265"/>
      <c r="DO880" s="265"/>
      <c r="DP880" s="265"/>
      <c r="DQ880" s="265"/>
      <c r="DR880" s="265"/>
      <c r="DS880" s="265"/>
    </row>
    <row r="881" spans="129:146" s="265" customFormat="1">
      <c r="DY881" s="290"/>
      <c r="EC881" s="290"/>
      <c r="EP881" s="290"/>
    </row>
    <row r="882" spans="129:146" s="265" customFormat="1">
      <c r="DY882" s="290"/>
      <c r="EC882" s="290"/>
      <c r="EP882" s="290"/>
    </row>
    <row r="883" spans="129:146" s="265" customFormat="1">
      <c r="DY883" s="290"/>
      <c r="EC883" s="290"/>
      <c r="EP883" s="290"/>
    </row>
    <row r="884" spans="129:146" s="265" customFormat="1">
      <c r="DY884" s="290"/>
      <c r="EC884" s="290"/>
      <c r="EP884" s="290"/>
    </row>
    <row r="885" spans="129:146" s="265" customFormat="1">
      <c r="DY885" s="290"/>
      <c r="EC885" s="290"/>
      <c r="EP885" s="290"/>
    </row>
    <row r="886" spans="129:146" s="265" customFormat="1">
      <c r="DY886" s="290"/>
      <c r="EC886" s="290"/>
      <c r="EP886" s="290"/>
    </row>
    <row r="887" spans="129:146" s="265" customFormat="1">
      <c r="DY887" s="290"/>
      <c r="EC887" s="290"/>
      <c r="EP887" s="290"/>
    </row>
    <row r="888" spans="129:146" s="265" customFormat="1">
      <c r="DY888" s="290"/>
      <c r="EC888" s="290"/>
      <c r="EP888" s="290"/>
    </row>
    <row r="889" spans="129:146" s="265" customFormat="1">
      <c r="DY889" s="290"/>
      <c r="EC889" s="290"/>
      <c r="EP889" s="290"/>
    </row>
    <row r="890" spans="129:146" s="265" customFormat="1">
      <c r="DY890" s="290"/>
      <c r="EC890" s="290"/>
      <c r="EP890" s="290"/>
    </row>
    <row r="891" spans="129:146" s="265" customFormat="1">
      <c r="DY891" s="290"/>
      <c r="EC891" s="290"/>
      <c r="EP891" s="290"/>
    </row>
    <row r="892" spans="129:146" s="265" customFormat="1">
      <c r="DY892" s="290"/>
      <c r="EC892" s="290"/>
      <c r="EP892" s="290"/>
    </row>
    <row r="893" spans="129:146" s="265" customFormat="1">
      <c r="DY893" s="290"/>
      <c r="EC893" s="290"/>
      <c r="EP893" s="290"/>
    </row>
    <row r="894" spans="129:146" s="265" customFormat="1">
      <c r="DY894" s="290"/>
      <c r="EC894" s="290"/>
      <c r="EP894" s="290"/>
    </row>
    <row r="895" spans="129:146" s="265" customFormat="1">
      <c r="DY895" s="290"/>
      <c r="EC895" s="290"/>
      <c r="EP895" s="290"/>
    </row>
    <row r="896" spans="129:146" s="265" customFormat="1">
      <c r="DY896" s="290"/>
      <c r="EC896" s="290"/>
      <c r="EP896" s="290"/>
    </row>
    <row r="897" spans="129:146" s="265" customFormat="1">
      <c r="DY897" s="290"/>
      <c r="EC897" s="290"/>
      <c r="EP897" s="290"/>
    </row>
    <row r="898" spans="129:146" s="265" customFormat="1">
      <c r="DY898" s="290"/>
      <c r="EC898" s="290"/>
      <c r="EP898" s="290"/>
    </row>
    <row r="899" spans="129:146" s="265" customFormat="1">
      <c r="DY899" s="290"/>
      <c r="EC899" s="290"/>
      <c r="EP899" s="290"/>
    </row>
    <row r="900" spans="129:146" s="265" customFormat="1">
      <c r="DY900" s="290"/>
      <c r="EC900" s="290"/>
      <c r="EP900" s="290"/>
    </row>
    <row r="901" spans="129:146" s="265" customFormat="1">
      <c r="DY901" s="290"/>
      <c r="EC901" s="290"/>
      <c r="EP901" s="290"/>
    </row>
    <row r="902" spans="129:146" s="265" customFormat="1">
      <c r="DY902" s="290"/>
      <c r="EC902" s="290"/>
      <c r="EP902" s="290"/>
    </row>
    <row r="903" spans="129:146" s="265" customFormat="1">
      <c r="DY903" s="290"/>
      <c r="EC903" s="290"/>
      <c r="EP903" s="290"/>
    </row>
    <row r="904" spans="129:146" s="265" customFormat="1">
      <c r="DY904" s="290"/>
      <c r="EC904" s="290"/>
      <c r="EP904" s="290"/>
    </row>
    <row r="905" spans="129:146" s="265" customFormat="1">
      <c r="DY905" s="290"/>
      <c r="EC905" s="290"/>
      <c r="EP905" s="290"/>
    </row>
    <row r="906" spans="129:146" s="265" customFormat="1">
      <c r="DY906" s="290"/>
      <c r="EC906" s="290"/>
      <c r="EP906" s="290"/>
    </row>
    <row r="907" spans="129:146" s="265" customFormat="1">
      <c r="DY907" s="290"/>
      <c r="EC907" s="290"/>
      <c r="EP907" s="290"/>
    </row>
    <row r="908" spans="129:146" s="265" customFormat="1">
      <c r="DY908" s="290"/>
      <c r="EC908" s="290"/>
      <c r="EP908" s="290"/>
    </row>
    <row r="909" spans="129:146" s="265" customFormat="1">
      <c r="DY909" s="290"/>
      <c r="EC909" s="290"/>
      <c r="EP909" s="290"/>
    </row>
    <row r="910" spans="129:146" s="265" customFormat="1">
      <c r="DY910" s="290"/>
      <c r="EC910" s="290"/>
      <c r="EP910" s="290"/>
    </row>
    <row r="911" spans="129:146" s="265" customFormat="1">
      <c r="DY911" s="290"/>
      <c r="EC911" s="290"/>
      <c r="EP911" s="290"/>
    </row>
    <row r="912" spans="129:146" s="265" customFormat="1">
      <c r="DY912" s="290"/>
      <c r="EC912" s="290"/>
      <c r="EP912" s="290"/>
    </row>
    <row r="913" spans="129:146" s="265" customFormat="1">
      <c r="DY913" s="290"/>
      <c r="EC913" s="290"/>
      <c r="EP913" s="290"/>
    </row>
    <row r="914" spans="129:146" s="265" customFormat="1">
      <c r="DY914" s="290"/>
      <c r="EC914" s="290"/>
      <c r="EP914" s="290"/>
    </row>
    <row r="915" spans="129:146" s="265" customFormat="1">
      <c r="DY915" s="290"/>
      <c r="EC915" s="290"/>
      <c r="EP915" s="290"/>
    </row>
    <row r="916" spans="129:146" s="265" customFormat="1">
      <c r="DY916" s="290"/>
      <c r="EC916" s="290"/>
      <c r="EP916" s="290"/>
    </row>
    <row r="917" spans="129:146" s="265" customFormat="1">
      <c r="DY917" s="290"/>
      <c r="EC917" s="290"/>
      <c r="EP917" s="290"/>
    </row>
    <row r="918" spans="129:146" s="265" customFormat="1">
      <c r="DY918" s="290"/>
      <c r="EC918" s="290"/>
      <c r="EP918" s="290"/>
    </row>
    <row r="919" spans="129:146" s="265" customFormat="1">
      <c r="DY919" s="290"/>
      <c r="EC919" s="290"/>
      <c r="EP919" s="290"/>
    </row>
    <row r="920" spans="129:146" s="265" customFormat="1">
      <c r="DY920" s="290"/>
      <c r="EC920" s="290"/>
      <c r="EP920" s="290"/>
    </row>
    <row r="921" spans="129:146" s="265" customFormat="1">
      <c r="DY921" s="290"/>
      <c r="EC921" s="290"/>
      <c r="EP921" s="290"/>
    </row>
    <row r="922" spans="129:146" s="265" customFormat="1">
      <c r="DY922" s="290"/>
      <c r="EC922" s="290"/>
      <c r="EP922" s="290"/>
    </row>
    <row r="923" spans="129:146" s="265" customFormat="1">
      <c r="DY923" s="290"/>
      <c r="EC923" s="290"/>
      <c r="EP923" s="290"/>
    </row>
    <row r="924" spans="129:146" s="265" customFormat="1">
      <c r="DY924" s="290"/>
      <c r="EC924" s="290"/>
      <c r="EP924" s="290"/>
    </row>
    <row r="925" spans="129:146" s="265" customFormat="1">
      <c r="DY925" s="290"/>
      <c r="EC925" s="290"/>
      <c r="EP925" s="290"/>
    </row>
    <row r="926" spans="129:146" s="265" customFormat="1">
      <c r="DY926" s="290"/>
      <c r="EC926" s="290"/>
      <c r="EP926" s="290"/>
    </row>
    <row r="927" spans="129:146" s="265" customFormat="1">
      <c r="DY927" s="290"/>
      <c r="EC927" s="290"/>
      <c r="EP927" s="290"/>
    </row>
    <row r="928" spans="129:146" s="265" customFormat="1">
      <c r="DY928" s="290"/>
      <c r="EC928" s="290"/>
      <c r="EP928" s="290"/>
    </row>
    <row r="929" spans="129:146" s="265" customFormat="1">
      <c r="DY929" s="290"/>
      <c r="EC929" s="290"/>
      <c r="EP929" s="290"/>
    </row>
    <row r="930" spans="129:146" s="265" customFormat="1">
      <c r="DY930" s="290"/>
      <c r="EC930" s="290"/>
      <c r="EP930" s="290"/>
    </row>
    <row r="931" spans="129:146" s="265" customFormat="1">
      <c r="DY931" s="290"/>
      <c r="EC931" s="290"/>
      <c r="EP931" s="290"/>
    </row>
    <row r="932" spans="129:146" s="265" customFormat="1">
      <c r="DY932" s="290"/>
      <c r="EC932" s="290"/>
      <c r="EP932" s="290"/>
    </row>
    <row r="933" spans="129:146" s="265" customFormat="1">
      <c r="DY933" s="290"/>
      <c r="EC933" s="290"/>
      <c r="EP933" s="290"/>
    </row>
    <row r="934" spans="129:146" s="265" customFormat="1">
      <c r="DY934" s="290"/>
      <c r="EC934" s="290"/>
      <c r="EP934" s="290"/>
    </row>
    <row r="935" spans="129:146" s="265" customFormat="1">
      <c r="DY935" s="290"/>
      <c r="EC935" s="290"/>
      <c r="EP935" s="290"/>
    </row>
    <row r="936" spans="129:146" s="265" customFormat="1">
      <c r="DY936" s="290"/>
      <c r="EC936" s="290"/>
      <c r="EP936" s="290"/>
    </row>
    <row r="937" spans="129:146" s="265" customFormat="1">
      <c r="DY937" s="290"/>
      <c r="EC937" s="290"/>
      <c r="EP937" s="290"/>
    </row>
    <row r="938" spans="129:146" s="265" customFormat="1">
      <c r="DY938" s="290"/>
      <c r="EC938" s="290"/>
      <c r="EP938" s="290"/>
    </row>
    <row r="939" spans="129:146" s="265" customFormat="1">
      <c r="DY939" s="290"/>
      <c r="EC939" s="290"/>
      <c r="EP939" s="290"/>
    </row>
    <row r="940" spans="129:146" s="265" customFormat="1">
      <c r="DY940" s="290"/>
      <c r="EC940" s="290"/>
      <c r="EP940" s="290"/>
    </row>
    <row r="941" spans="129:146" s="265" customFormat="1">
      <c r="DY941" s="290"/>
      <c r="EC941" s="290"/>
      <c r="EP941" s="290"/>
    </row>
    <row r="942" spans="129:146" s="265" customFormat="1">
      <c r="DY942" s="290"/>
      <c r="EC942" s="290"/>
      <c r="EP942" s="290"/>
    </row>
    <row r="943" spans="129:146" s="265" customFormat="1">
      <c r="DY943" s="290"/>
      <c r="EC943" s="290"/>
      <c r="EP943" s="290"/>
    </row>
    <row r="944" spans="129:146" s="265" customFormat="1">
      <c r="DY944" s="290"/>
      <c r="EC944" s="290"/>
      <c r="EP944" s="290"/>
    </row>
    <row r="945" spans="129:146" s="265" customFormat="1">
      <c r="DY945" s="290"/>
      <c r="EC945" s="290"/>
      <c r="EP945" s="290"/>
    </row>
    <row r="946" spans="129:146" s="265" customFormat="1">
      <c r="DY946" s="290"/>
      <c r="EC946" s="290"/>
      <c r="EP946" s="290"/>
    </row>
    <row r="947" spans="129:146" s="265" customFormat="1">
      <c r="DY947" s="290"/>
      <c r="EC947" s="290"/>
      <c r="EP947" s="290"/>
    </row>
    <row r="948" spans="129:146" s="265" customFormat="1">
      <c r="DY948" s="290"/>
      <c r="EC948" s="290"/>
      <c r="EP948" s="290"/>
    </row>
    <row r="949" spans="129:146" s="265" customFormat="1">
      <c r="DY949" s="290"/>
      <c r="EC949" s="290"/>
      <c r="EP949" s="290"/>
    </row>
    <row r="950" spans="129:146" s="265" customFormat="1">
      <c r="DY950" s="290"/>
      <c r="EC950" s="290"/>
      <c r="EP950" s="290"/>
    </row>
    <row r="951" spans="129:146" s="265" customFormat="1">
      <c r="DY951" s="290"/>
      <c r="EC951" s="290"/>
      <c r="EP951" s="290"/>
    </row>
    <row r="952" spans="129:146" s="265" customFormat="1">
      <c r="DY952" s="290"/>
      <c r="EC952" s="290"/>
      <c r="EP952" s="290"/>
    </row>
    <row r="953" spans="129:146" s="265" customFormat="1">
      <c r="DY953" s="290"/>
      <c r="EC953" s="290"/>
      <c r="EP953" s="290"/>
    </row>
    <row r="954" spans="129:146" s="265" customFormat="1">
      <c r="DY954" s="290"/>
      <c r="EC954" s="290"/>
      <c r="EP954" s="290"/>
    </row>
    <row r="955" spans="129:146" s="265" customFormat="1">
      <c r="DY955" s="290"/>
      <c r="EC955" s="290"/>
      <c r="EP955" s="290"/>
    </row>
    <row r="956" spans="129:146" s="265" customFormat="1">
      <c r="DY956" s="290"/>
      <c r="EC956" s="290"/>
      <c r="EP956" s="290"/>
    </row>
    <row r="957" spans="129:146" s="265" customFormat="1">
      <c r="DY957" s="290"/>
      <c r="EC957" s="290"/>
      <c r="EP957" s="290"/>
    </row>
    <row r="958" spans="129:146" s="265" customFormat="1">
      <c r="DY958" s="290"/>
      <c r="EC958" s="290"/>
      <c r="EP958" s="290"/>
    </row>
    <row r="959" spans="129:146" s="265" customFormat="1">
      <c r="DY959" s="290"/>
      <c r="EC959" s="290"/>
      <c r="EP959" s="290"/>
    </row>
    <row r="960" spans="129:146" s="265" customFormat="1">
      <c r="DY960" s="290"/>
      <c r="EC960" s="290"/>
      <c r="EP960" s="290"/>
    </row>
    <row r="961" spans="129:146" s="265" customFormat="1">
      <c r="DY961" s="290"/>
      <c r="EC961" s="290"/>
      <c r="EP961" s="290"/>
    </row>
    <row r="962" spans="129:146" s="265" customFormat="1">
      <c r="DY962" s="290"/>
      <c r="EC962" s="290"/>
      <c r="EP962" s="290"/>
    </row>
    <row r="963" spans="129:146" s="265" customFormat="1">
      <c r="DY963" s="290"/>
      <c r="EC963" s="290"/>
      <c r="EP963" s="290"/>
    </row>
    <row r="964" spans="129:146" s="265" customFormat="1">
      <c r="DY964" s="290"/>
      <c r="EC964" s="290"/>
      <c r="EP964" s="290"/>
    </row>
    <row r="965" spans="129:146" s="265" customFormat="1">
      <c r="DY965" s="290"/>
      <c r="EC965" s="290"/>
      <c r="EP965" s="290"/>
    </row>
    <row r="966" spans="129:146" s="265" customFormat="1">
      <c r="DY966" s="290"/>
      <c r="EC966" s="290"/>
      <c r="EP966" s="290"/>
    </row>
    <row r="967" spans="129:146" s="265" customFormat="1">
      <c r="DY967" s="290"/>
      <c r="EC967" s="290"/>
      <c r="EP967" s="290"/>
    </row>
    <row r="968" spans="129:146" s="265" customFormat="1">
      <c r="DY968" s="290"/>
      <c r="EC968" s="290"/>
      <c r="EP968" s="290"/>
    </row>
    <row r="969" spans="129:146" s="265" customFormat="1">
      <c r="DY969" s="290"/>
      <c r="EC969" s="290"/>
      <c r="EP969" s="290"/>
    </row>
    <row r="970" spans="129:146" s="265" customFormat="1">
      <c r="DY970" s="290"/>
      <c r="EC970" s="290"/>
      <c r="EP970" s="290"/>
    </row>
    <row r="971" spans="129:146" s="265" customFormat="1">
      <c r="DY971" s="290"/>
      <c r="EC971" s="290"/>
      <c r="EP971" s="290"/>
    </row>
    <row r="972" spans="129:146" s="265" customFormat="1">
      <c r="DY972" s="290"/>
      <c r="EC972" s="290"/>
      <c r="EP972" s="290"/>
    </row>
    <row r="973" spans="129:146" s="265" customFormat="1">
      <c r="DY973" s="290"/>
      <c r="EC973" s="290"/>
      <c r="EP973" s="290"/>
    </row>
    <row r="974" spans="129:146" s="265" customFormat="1">
      <c r="DY974" s="290"/>
      <c r="EC974" s="290"/>
      <c r="EP974" s="290"/>
    </row>
    <row r="975" spans="129:146" s="265" customFormat="1">
      <c r="DY975" s="290"/>
      <c r="EC975" s="290"/>
      <c r="EP975" s="290"/>
    </row>
    <row r="976" spans="129:146" s="265" customFormat="1">
      <c r="DY976" s="290"/>
      <c r="EC976" s="290"/>
      <c r="EP976" s="290"/>
    </row>
    <row r="977" spans="129:146" s="265" customFormat="1">
      <c r="DY977" s="290"/>
      <c r="EC977" s="290"/>
      <c r="EP977" s="290"/>
    </row>
    <row r="978" spans="129:146" s="265" customFormat="1">
      <c r="DY978" s="290"/>
      <c r="EC978" s="290"/>
      <c r="EP978" s="290"/>
    </row>
    <row r="979" spans="129:146" s="265" customFormat="1">
      <c r="DY979" s="290"/>
      <c r="EC979" s="290"/>
      <c r="EP979" s="290"/>
    </row>
    <row r="980" spans="129:146" s="265" customFormat="1">
      <c r="DY980" s="290"/>
      <c r="EC980" s="290"/>
      <c r="EP980" s="290"/>
    </row>
    <row r="981" spans="129:146" s="265" customFormat="1">
      <c r="DY981" s="290"/>
      <c r="EC981" s="290"/>
      <c r="EP981" s="290"/>
    </row>
    <row r="982" spans="129:146" s="265" customFormat="1">
      <c r="DY982" s="290"/>
      <c r="EC982" s="290"/>
      <c r="EP982" s="290"/>
    </row>
    <row r="983" spans="129:146" s="265" customFormat="1">
      <c r="DY983" s="290"/>
      <c r="EC983" s="290"/>
      <c r="EP983" s="290"/>
    </row>
    <row r="984" spans="129:146" s="265" customFormat="1">
      <c r="DY984" s="290"/>
      <c r="EC984" s="290"/>
      <c r="EP984" s="290"/>
    </row>
    <row r="985" spans="129:146" s="265" customFormat="1">
      <c r="DY985" s="290"/>
      <c r="EC985" s="290"/>
      <c r="EP985" s="290"/>
    </row>
    <row r="986" spans="129:146" s="265" customFormat="1">
      <c r="DY986" s="290"/>
      <c r="EC986" s="290"/>
      <c r="EP986" s="290"/>
    </row>
    <row r="987" spans="129:146" s="265" customFormat="1">
      <c r="DY987" s="290"/>
      <c r="EC987" s="290"/>
      <c r="EP987" s="290"/>
    </row>
    <row r="988" spans="129:146" s="265" customFormat="1">
      <c r="DY988" s="290"/>
      <c r="EC988" s="290"/>
      <c r="EP988" s="290"/>
    </row>
    <row r="989" spans="129:146" s="265" customFormat="1">
      <c r="DY989" s="290"/>
      <c r="EC989" s="290"/>
      <c r="EP989" s="290"/>
    </row>
    <row r="990" spans="129:146" s="265" customFormat="1">
      <c r="DY990" s="290"/>
      <c r="EC990" s="290"/>
      <c r="EP990" s="290"/>
    </row>
    <row r="991" spans="129:146" s="265" customFormat="1">
      <c r="DY991" s="290"/>
      <c r="EC991" s="290"/>
      <c r="EP991" s="290"/>
    </row>
    <row r="992" spans="129:146" s="265" customFormat="1">
      <c r="DY992" s="290"/>
      <c r="EC992" s="290"/>
      <c r="EP992" s="290"/>
    </row>
    <row r="993" spans="129:146" s="265" customFormat="1">
      <c r="DY993" s="290"/>
      <c r="EC993" s="290"/>
      <c r="EP993" s="290"/>
    </row>
    <row r="994" spans="129:146" s="265" customFormat="1">
      <c r="DY994" s="290"/>
      <c r="EC994" s="290"/>
      <c r="EP994" s="290"/>
    </row>
    <row r="995" spans="129:146" s="265" customFormat="1">
      <c r="DY995" s="290"/>
      <c r="EC995" s="290"/>
      <c r="EP995" s="290"/>
    </row>
    <row r="996" spans="129:146" s="265" customFormat="1">
      <c r="DY996" s="290"/>
      <c r="EC996" s="290"/>
      <c r="EP996" s="290"/>
    </row>
    <row r="997" spans="129:146" s="265" customFormat="1">
      <c r="DY997" s="290"/>
      <c r="EC997" s="290"/>
      <c r="EP997" s="290"/>
    </row>
    <row r="998" spans="129:146" s="265" customFormat="1">
      <c r="DY998" s="290"/>
      <c r="EC998" s="290"/>
      <c r="EP998" s="290"/>
    </row>
    <row r="999" spans="129:146" s="265" customFormat="1">
      <c r="DY999" s="290"/>
      <c r="EC999" s="290"/>
      <c r="EP999" s="290"/>
    </row>
    <row r="1000" spans="129:146" s="265" customFormat="1">
      <c r="DY1000" s="290"/>
      <c r="EC1000" s="290"/>
      <c r="EP1000" s="290"/>
    </row>
    <row r="1001" spans="129:146" s="265" customFormat="1">
      <c r="DY1001" s="290"/>
      <c r="EC1001" s="290"/>
      <c r="EP1001" s="290"/>
    </row>
    <row r="1002" spans="129:146" s="265" customFormat="1">
      <c r="DY1002" s="290"/>
      <c r="EC1002" s="290"/>
      <c r="EP1002" s="290"/>
    </row>
    <row r="1003" spans="129:146" s="265" customFormat="1">
      <c r="DY1003" s="290"/>
      <c r="EC1003" s="290"/>
      <c r="EP1003" s="290"/>
    </row>
    <row r="1004" spans="129:146" s="265" customFormat="1">
      <c r="DY1004" s="290"/>
      <c r="EC1004" s="290"/>
      <c r="EP1004" s="290"/>
    </row>
    <row r="1005" spans="129:146" s="265" customFormat="1">
      <c r="DY1005" s="290"/>
      <c r="EC1005" s="290"/>
      <c r="EP1005" s="290"/>
    </row>
    <row r="1006" spans="129:146" s="265" customFormat="1">
      <c r="DY1006" s="290"/>
      <c r="EC1006" s="290"/>
      <c r="EP1006" s="290"/>
    </row>
    <row r="1007" spans="129:146" s="265" customFormat="1">
      <c r="DY1007" s="290"/>
      <c r="EC1007" s="290"/>
      <c r="EP1007" s="290"/>
    </row>
    <row r="1008" spans="129:146" s="265" customFormat="1">
      <c r="DY1008" s="290"/>
      <c r="EC1008" s="290"/>
      <c r="EP1008" s="290"/>
    </row>
    <row r="1009" spans="129:146" s="265" customFormat="1">
      <c r="DY1009" s="290"/>
      <c r="EC1009" s="290"/>
      <c r="EP1009" s="290"/>
    </row>
    <row r="1010" spans="129:146" s="265" customFormat="1">
      <c r="DY1010" s="290"/>
      <c r="EC1010" s="290"/>
      <c r="EP1010" s="290"/>
    </row>
    <row r="1011" spans="129:146" s="265" customFormat="1">
      <c r="DY1011" s="290"/>
      <c r="EC1011" s="290"/>
      <c r="EP1011" s="290"/>
    </row>
    <row r="1012" spans="129:146" s="265" customFormat="1">
      <c r="DY1012" s="290"/>
      <c r="EC1012" s="290"/>
      <c r="EP1012" s="290"/>
    </row>
    <row r="1013" spans="129:146" s="265" customFormat="1">
      <c r="DY1013" s="290"/>
      <c r="EC1013" s="290"/>
      <c r="EP1013" s="290"/>
    </row>
    <row r="1014" spans="129:146" s="265" customFormat="1">
      <c r="DY1014" s="290"/>
      <c r="EC1014" s="290"/>
      <c r="EP1014" s="290"/>
    </row>
    <row r="1015" spans="129:146" s="265" customFormat="1">
      <c r="DY1015" s="290"/>
      <c r="EC1015" s="290"/>
      <c r="EP1015" s="290"/>
    </row>
    <row r="1016" spans="129:146" s="265" customFormat="1">
      <c r="DY1016" s="290"/>
      <c r="EC1016" s="290"/>
      <c r="EP1016" s="290"/>
    </row>
    <row r="1017" spans="129:146" s="265" customFormat="1">
      <c r="DY1017" s="290"/>
      <c r="EC1017" s="290"/>
      <c r="EP1017" s="290"/>
    </row>
    <row r="1018" spans="129:146" s="265" customFormat="1">
      <c r="DY1018" s="290"/>
      <c r="EC1018" s="290"/>
      <c r="EP1018" s="290"/>
    </row>
    <row r="1019" spans="129:146" s="265" customFormat="1">
      <c r="DY1019" s="290"/>
      <c r="EC1019" s="290"/>
      <c r="EP1019" s="290"/>
    </row>
    <row r="1020" spans="129:146" s="265" customFormat="1">
      <c r="DY1020" s="290"/>
      <c r="EC1020" s="290"/>
      <c r="EP1020" s="290"/>
    </row>
    <row r="1021" spans="129:146" s="265" customFormat="1">
      <c r="DY1021" s="290"/>
      <c r="EC1021" s="290"/>
      <c r="EP1021" s="290"/>
    </row>
    <row r="1022" spans="129:146" s="265" customFormat="1">
      <c r="DY1022" s="290"/>
      <c r="EC1022" s="290"/>
      <c r="EP1022" s="290"/>
    </row>
    <row r="1023" spans="129:146" s="265" customFormat="1">
      <c r="DY1023" s="290"/>
      <c r="EC1023" s="290"/>
      <c r="EP1023" s="290"/>
    </row>
    <row r="1024" spans="129:146" s="265" customFormat="1">
      <c r="DY1024" s="290"/>
      <c r="EC1024" s="290"/>
      <c r="EP1024" s="290"/>
    </row>
    <row r="1025" spans="129:146" s="265" customFormat="1">
      <c r="DY1025" s="290"/>
      <c r="EC1025" s="290"/>
      <c r="EP1025" s="290"/>
    </row>
    <row r="1026" spans="129:146" s="265" customFormat="1">
      <c r="DY1026" s="290"/>
      <c r="EC1026" s="290"/>
      <c r="EP1026" s="290"/>
    </row>
    <row r="1027" spans="129:146" s="265" customFormat="1">
      <c r="DY1027" s="290"/>
      <c r="EC1027" s="290"/>
      <c r="EP1027" s="290"/>
    </row>
    <row r="1028" spans="129:146" s="265" customFormat="1">
      <c r="DY1028" s="290"/>
      <c r="EC1028" s="290"/>
      <c r="EP1028" s="290"/>
    </row>
    <row r="1029" spans="129:146" s="265" customFormat="1">
      <c r="DY1029" s="290"/>
      <c r="EC1029" s="290"/>
      <c r="EP1029" s="290"/>
    </row>
    <row r="1030" spans="129:146" s="265" customFormat="1">
      <c r="DY1030" s="290"/>
      <c r="EC1030" s="290"/>
      <c r="EP1030" s="290"/>
    </row>
    <row r="1031" spans="129:146" s="265" customFormat="1">
      <c r="DY1031" s="290"/>
      <c r="EC1031" s="290"/>
      <c r="EP1031" s="290"/>
    </row>
    <row r="1032" spans="129:146" s="265" customFormat="1">
      <c r="DY1032" s="290"/>
      <c r="EC1032" s="290"/>
      <c r="EP1032" s="290"/>
    </row>
    <row r="1033" spans="129:146" s="265" customFormat="1">
      <c r="DY1033" s="290"/>
      <c r="EC1033" s="290"/>
      <c r="EP1033" s="290"/>
    </row>
    <row r="1034" spans="129:146" s="265" customFormat="1">
      <c r="DY1034" s="290"/>
      <c r="EC1034" s="290"/>
      <c r="EP1034" s="290"/>
    </row>
    <row r="1035" spans="129:146" s="265" customFormat="1">
      <c r="DY1035" s="290"/>
      <c r="EC1035" s="290"/>
      <c r="EP1035" s="290"/>
    </row>
    <row r="1036" spans="129:146" s="265" customFormat="1">
      <c r="DY1036" s="290"/>
      <c r="EC1036" s="290"/>
      <c r="EP1036" s="290"/>
    </row>
    <row r="1037" spans="129:146" s="265" customFormat="1">
      <c r="DY1037" s="290"/>
      <c r="EC1037" s="290"/>
      <c r="EP1037" s="290"/>
    </row>
    <row r="1038" spans="129:146" s="265" customFormat="1">
      <c r="DY1038" s="290"/>
      <c r="EC1038" s="290"/>
      <c r="EP1038" s="290"/>
    </row>
    <row r="1039" spans="129:146" s="265" customFormat="1">
      <c r="DY1039" s="290"/>
      <c r="EC1039" s="290"/>
      <c r="EP1039" s="290"/>
    </row>
    <row r="1040" spans="129:146" s="265" customFormat="1">
      <c r="DY1040" s="290"/>
      <c r="EC1040" s="290"/>
      <c r="EP1040" s="290"/>
    </row>
    <row r="1041" spans="129:146" s="265" customFormat="1">
      <c r="DY1041" s="290"/>
      <c r="EC1041" s="290"/>
      <c r="EP1041" s="290"/>
    </row>
    <row r="1042" spans="129:146" s="265" customFormat="1">
      <c r="DY1042" s="290"/>
      <c r="EC1042" s="290"/>
      <c r="EP1042" s="290"/>
    </row>
    <row r="1043" spans="129:146" s="265" customFormat="1">
      <c r="DY1043" s="290"/>
      <c r="EC1043" s="290"/>
      <c r="EP1043" s="290"/>
    </row>
    <row r="1044" spans="129:146" s="265" customFormat="1">
      <c r="DY1044" s="290"/>
      <c r="EC1044" s="290"/>
      <c r="EP1044" s="290"/>
    </row>
    <row r="1045" spans="129:146" s="265" customFormat="1">
      <c r="DY1045" s="290"/>
      <c r="EC1045" s="290"/>
      <c r="EP1045" s="290"/>
    </row>
    <row r="1046" spans="129:146" s="265" customFormat="1">
      <c r="DY1046" s="290"/>
      <c r="EC1046" s="290"/>
      <c r="EP1046" s="290"/>
    </row>
    <row r="1047" spans="129:146" s="265" customFormat="1">
      <c r="DY1047" s="290"/>
      <c r="EC1047" s="290"/>
      <c r="EP1047" s="290"/>
    </row>
    <row r="1048" spans="129:146" s="265" customFormat="1">
      <c r="DY1048" s="290"/>
      <c r="EC1048" s="290"/>
      <c r="EP1048" s="290"/>
    </row>
    <row r="1049" spans="129:146" s="265" customFormat="1">
      <c r="DY1049" s="290"/>
      <c r="EC1049" s="290"/>
      <c r="EP1049" s="290"/>
    </row>
    <row r="1050" spans="129:146" s="265" customFormat="1">
      <c r="DY1050" s="290"/>
      <c r="EC1050" s="290"/>
      <c r="EP1050" s="290"/>
    </row>
    <row r="1051" spans="129:146" s="265" customFormat="1">
      <c r="DY1051" s="290"/>
      <c r="EC1051" s="290"/>
      <c r="EP1051" s="290"/>
    </row>
    <row r="1052" spans="129:146" s="265" customFormat="1">
      <c r="DY1052" s="290"/>
      <c r="EC1052" s="290"/>
      <c r="EP1052" s="290"/>
    </row>
    <row r="1053" spans="129:146" s="265" customFormat="1">
      <c r="DY1053" s="290"/>
      <c r="EC1053" s="290"/>
      <c r="EP1053" s="290"/>
    </row>
    <row r="1054" spans="129:146" s="265" customFormat="1">
      <c r="DY1054" s="290"/>
      <c r="EC1054" s="290"/>
      <c r="EP1054" s="290"/>
    </row>
    <row r="1055" spans="129:146" s="265" customFormat="1">
      <c r="DY1055" s="290"/>
      <c r="EC1055" s="290"/>
      <c r="EP1055" s="290"/>
    </row>
    <row r="1056" spans="129:146" s="265" customFormat="1">
      <c r="DY1056" s="290"/>
      <c r="EC1056" s="290"/>
      <c r="EP1056" s="290"/>
    </row>
    <row r="1057" spans="129:146" s="265" customFormat="1">
      <c r="DY1057" s="290"/>
      <c r="EC1057" s="290"/>
      <c r="EP1057" s="290"/>
    </row>
    <row r="1058" spans="129:146" s="265" customFormat="1">
      <c r="DY1058" s="290"/>
      <c r="EC1058" s="290"/>
      <c r="EP1058" s="290"/>
    </row>
    <row r="1059" spans="129:146" s="265" customFormat="1">
      <c r="DY1059" s="290"/>
      <c r="EC1059" s="290"/>
      <c r="EP1059" s="290"/>
    </row>
    <row r="1060" spans="129:146" s="265" customFormat="1">
      <c r="DY1060" s="290"/>
      <c r="EC1060" s="290"/>
      <c r="EP1060" s="290"/>
    </row>
    <row r="1061" spans="129:146" s="265" customFormat="1">
      <c r="DY1061" s="290"/>
      <c r="EC1061" s="290"/>
      <c r="EP1061" s="290"/>
    </row>
    <row r="1062" spans="129:146" s="265" customFormat="1">
      <c r="DY1062" s="290"/>
      <c r="EC1062" s="290"/>
      <c r="EP1062" s="290"/>
    </row>
    <row r="1063" spans="129:146" s="265" customFormat="1">
      <c r="DY1063" s="290"/>
      <c r="EC1063" s="290"/>
      <c r="EP1063" s="290"/>
    </row>
    <row r="1064" spans="129:146" s="265" customFormat="1">
      <c r="DY1064" s="290"/>
      <c r="EC1064" s="290"/>
      <c r="EP1064" s="290"/>
    </row>
    <row r="1065" spans="129:146" s="265" customFormat="1">
      <c r="DY1065" s="290"/>
      <c r="EC1065" s="290"/>
      <c r="EP1065" s="290"/>
    </row>
    <row r="1066" spans="129:146" s="265" customFormat="1">
      <c r="DY1066" s="290"/>
      <c r="EC1066" s="290"/>
      <c r="EP1066" s="290"/>
    </row>
    <row r="1067" spans="129:146" s="265" customFormat="1">
      <c r="DY1067" s="290"/>
      <c r="EC1067" s="290"/>
      <c r="EP1067" s="290"/>
    </row>
    <row r="1068" spans="129:146" s="265" customFormat="1">
      <c r="DY1068" s="290"/>
      <c r="EC1068" s="290"/>
      <c r="EP1068" s="290"/>
    </row>
    <row r="1069" spans="129:146" s="265" customFormat="1">
      <c r="DY1069" s="290"/>
      <c r="EC1069" s="290"/>
      <c r="EP1069" s="290"/>
    </row>
    <row r="1070" spans="129:146" s="265" customFormat="1">
      <c r="DY1070" s="290"/>
      <c r="EC1070" s="290"/>
      <c r="EP1070" s="290"/>
    </row>
    <row r="1071" spans="129:146" s="265" customFormat="1">
      <c r="DY1071" s="290"/>
      <c r="EC1071" s="290"/>
      <c r="EP1071" s="290"/>
    </row>
    <row r="1072" spans="129:146" s="265" customFormat="1">
      <c r="DY1072" s="290"/>
      <c r="EC1072" s="290"/>
      <c r="EP1072" s="290"/>
    </row>
    <row r="1073" spans="129:146" s="265" customFormat="1">
      <c r="DY1073" s="290"/>
      <c r="EC1073" s="290"/>
      <c r="EP1073" s="290"/>
    </row>
    <row r="1074" spans="129:146" s="265" customFormat="1">
      <c r="DY1074" s="290"/>
      <c r="EC1074" s="290"/>
      <c r="EP1074" s="290"/>
    </row>
    <row r="1075" spans="129:146" s="265" customFormat="1">
      <c r="DY1075" s="290"/>
      <c r="EC1075" s="290"/>
      <c r="EP1075" s="290"/>
    </row>
    <row r="1076" spans="129:146" s="265" customFormat="1">
      <c r="DY1076" s="290"/>
      <c r="EC1076" s="290"/>
      <c r="EP1076" s="290"/>
    </row>
    <row r="1077" spans="129:146" s="265" customFormat="1">
      <c r="DY1077" s="290"/>
      <c r="EC1077" s="290"/>
      <c r="EP1077" s="290"/>
    </row>
    <row r="1078" spans="129:146" s="265" customFormat="1">
      <c r="DY1078" s="290"/>
      <c r="EC1078" s="290"/>
      <c r="EP1078" s="290"/>
    </row>
    <row r="1079" spans="129:146" s="265" customFormat="1">
      <c r="DY1079" s="290"/>
      <c r="EC1079" s="290"/>
      <c r="EP1079" s="290"/>
    </row>
    <row r="1080" spans="129:146" s="265" customFormat="1">
      <c r="DY1080" s="290"/>
      <c r="EC1080" s="290"/>
      <c r="EP1080" s="290"/>
    </row>
    <row r="1081" spans="129:146" s="265" customFormat="1">
      <c r="DY1081" s="290"/>
      <c r="EC1081" s="290"/>
      <c r="EP1081" s="290"/>
    </row>
    <row r="1082" spans="129:146" s="265" customFormat="1">
      <c r="DY1082" s="290"/>
      <c r="EC1082" s="290"/>
      <c r="EP1082" s="290"/>
    </row>
    <row r="1083" spans="129:146" s="265" customFormat="1">
      <c r="DY1083" s="290"/>
      <c r="EC1083" s="290"/>
      <c r="EP1083" s="290"/>
    </row>
    <row r="1084" spans="129:146" s="265" customFormat="1">
      <c r="DY1084" s="290"/>
      <c r="EC1084" s="290"/>
      <c r="EP1084" s="290"/>
    </row>
    <row r="1085" spans="129:146" s="265" customFormat="1">
      <c r="DY1085" s="290"/>
      <c r="EC1085" s="290"/>
      <c r="EP1085" s="290"/>
    </row>
    <row r="1086" spans="129:146" s="265" customFormat="1">
      <c r="DY1086" s="290"/>
      <c r="EC1086" s="290"/>
      <c r="EP1086" s="290"/>
    </row>
    <row r="1087" spans="129:146" s="265" customFormat="1">
      <c r="DY1087" s="290"/>
      <c r="EC1087" s="290"/>
      <c r="EP1087" s="290"/>
    </row>
    <row r="1088" spans="129:146" s="265" customFormat="1">
      <c r="DY1088" s="290"/>
      <c r="EC1088" s="290"/>
      <c r="EP1088" s="290"/>
    </row>
    <row r="1089" spans="129:146" s="265" customFormat="1">
      <c r="DY1089" s="290"/>
      <c r="EC1089" s="290"/>
      <c r="EP1089" s="290"/>
    </row>
    <row r="1090" spans="129:146" s="265" customFormat="1">
      <c r="DY1090" s="290"/>
      <c r="EC1090" s="290"/>
      <c r="EP1090" s="290"/>
    </row>
    <row r="1091" spans="129:146" s="265" customFormat="1">
      <c r="DY1091" s="290"/>
      <c r="EC1091" s="290"/>
      <c r="EP1091" s="290"/>
    </row>
    <row r="1092" spans="129:146" s="265" customFormat="1">
      <c r="DY1092" s="290"/>
      <c r="EC1092" s="290"/>
      <c r="EP1092" s="290"/>
    </row>
    <row r="1093" spans="129:146" s="265" customFormat="1">
      <c r="DY1093" s="290"/>
      <c r="EC1093" s="290"/>
      <c r="EP1093" s="290"/>
    </row>
    <row r="1094" spans="129:146" s="265" customFormat="1">
      <c r="DY1094" s="290"/>
      <c r="EC1094" s="290"/>
      <c r="EP1094" s="290"/>
    </row>
    <row r="1095" spans="129:146" s="265" customFormat="1">
      <c r="DY1095" s="290"/>
      <c r="EC1095" s="290"/>
      <c r="EP1095" s="290"/>
    </row>
    <row r="1096" spans="129:146" s="265" customFormat="1">
      <c r="DY1096" s="290"/>
      <c r="EC1096" s="290"/>
      <c r="EP1096" s="290"/>
    </row>
    <row r="1097" spans="129:146" s="265" customFormat="1">
      <c r="DY1097" s="290"/>
      <c r="EC1097" s="290"/>
      <c r="EP1097" s="290"/>
    </row>
    <row r="1098" spans="129:146" s="265" customFormat="1">
      <c r="DY1098" s="290"/>
      <c r="EC1098" s="290"/>
      <c r="EP1098" s="290"/>
    </row>
    <row r="1099" spans="129:146" s="265" customFormat="1">
      <c r="DY1099" s="290"/>
      <c r="EC1099" s="290"/>
      <c r="EP1099" s="290"/>
    </row>
    <row r="1100" spans="129:146" s="265" customFormat="1">
      <c r="DY1100" s="290"/>
      <c r="EC1100" s="290"/>
      <c r="EP1100" s="290"/>
    </row>
    <row r="1101" spans="129:146" s="265" customFormat="1">
      <c r="DY1101" s="290"/>
      <c r="EC1101" s="290"/>
      <c r="EP1101" s="290"/>
    </row>
    <row r="1102" spans="129:146" s="265" customFormat="1">
      <c r="DY1102" s="290"/>
      <c r="EC1102" s="290"/>
      <c r="EP1102" s="290"/>
    </row>
    <row r="1103" spans="129:146" s="265" customFormat="1">
      <c r="DY1103" s="290"/>
      <c r="EC1103" s="290"/>
      <c r="EP1103" s="290"/>
    </row>
    <row r="1104" spans="129:146" s="265" customFormat="1">
      <c r="DY1104" s="290"/>
      <c r="EC1104" s="290"/>
      <c r="EP1104" s="290"/>
    </row>
    <row r="1105" spans="129:146" s="265" customFormat="1">
      <c r="DY1105" s="290"/>
      <c r="EC1105" s="290"/>
      <c r="EP1105" s="290"/>
    </row>
    <row r="1106" spans="129:146" s="265" customFormat="1">
      <c r="DY1106" s="290"/>
      <c r="EC1106" s="290"/>
      <c r="EP1106" s="290"/>
    </row>
    <row r="1107" spans="129:146" s="265" customFormat="1">
      <c r="DY1107" s="290"/>
      <c r="EC1107" s="290"/>
      <c r="EP1107" s="290"/>
    </row>
    <row r="1108" spans="129:146" s="265" customFormat="1">
      <c r="DY1108" s="290"/>
      <c r="EC1108" s="290"/>
      <c r="EP1108" s="290"/>
    </row>
    <row r="1109" spans="129:146" s="265" customFormat="1">
      <c r="DY1109" s="290"/>
      <c r="EC1109" s="290"/>
      <c r="EP1109" s="290"/>
    </row>
    <row r="1110" spans="129:146" s="265" customFormat="1">
      <c r="DY1110" s="290"/>
      <c r="EC1110" s="290"/>
      <c r="EP1110" s="290"/>
    </row>
    <row r="1111" spans="129:146" s="265" customFormat="1">
      <c r="DY1111" s="290"/>
      <c r="EC1111" s="290"/>
      <c r="EP1111" s="290"/>
    </row>
    <row r="1112" spans="129:146" s="265" customFormat="1">
      <c r="DY1112" s="290"/>
      <c r="EC1112" s="290"/>
      <c r="EP1112" s="290"/>
    </row>
    <row r="1113" spans="129:146" s="265" customFormat="1">
      <c r="DY1113" s="290"/>
      <c r="EC1113" s="290"/>
      <c r="EP1113" s="290"/>
    </row>
    <row r="1114" spans="129:146" s="265" customFormat="1">
      <c r="DY1114" s="290"/>
      <c r="EC1114" s="290"/>
      <c r="EP1114" s="290"/>
    </row>
    <row r="1115" spans="129:146" s="265" customFormat="1">
      <c r="DY1115" s="290"/>
      <c r="EC1115" s="290"/>
      <c r="EP1115" s="290"/>
    </row>
    <row r="1116" spans="129:146" s="265" customFormat="1">
      <c r="DY1116" s="290"/>
      <c r="EC1116" s="290"/>
      <c r="EP1116" s="290"/>
    </row>
    <row r="1117" spans="129:146" s="265" customFormat="1">
      <c r="DY1117" s="290"/>
      <c r="EC1117" s="290"/>
      <c r="EP1117" s="290"/>
    </row>
    <row r="1118" spans="129:146" s="265" customFormat="1">
      <c r="DY1118" s="290"/>
      <c r="EC1118" s="290"/>
      <c r="EP1118" s="290"/>
    </row>
    <row r="1119" spans="129:146" s="265" customFormat="1">
      <c r="DY1119" s="290"/>
      <c r="EC1119" s="290"/>
      <c r="EP1119" s="290"/>
    </row>
    <row r="1120" spans="129:146" s="265" customFormat="1">
      <c r="DY1120" s="290"/>
      <c r="EC1120" s="290"/>
      <c r="EP1120" s="290"/>
    </row>
    <row r="1121" spans="129:146" s="265" customFormat="1">
      <c r="DY1121" s="290"/>
      <c r="EC1121" s="290"/>
      <c r="EP1121" s="290"/>
    </row>
    <row r="1122" spans="129:146" s="265" customFormat="1">
      <c r="DY1122" s="290"/>
      <c r="EC1122" s="290"/>
      <c r="EP1122" s="290"/>
    </row>
    <row r="1123" spans="129:146" s="265" customFormat="1">
      <c r="DY1123" s="290"/>
      <c r="EC1123" s="290"/>
      <c r="EP1123" s="290"/>
    </row>
    <row r="1124" spans="129:146" s="265" customFormat="1">
      <c r="DY1124" s="290"/>
      <c r="EC1124" s="290"/>
      <c r="EP1124" s="290"/>
    </row>
    <row r="1125" spans="129:146" s="265" customFormat="1">
      <c r="DY1125" s="290"/>
      <c r="EC1125" s="290"/>
      <c r="EP1125" s="290"/>
    </row>
    <row r="1126" spans="129:146" s="265" customFormat="1">
      <c r="DY1126" s="290"/>
      <c r="EC1126" s="290"/>
      <c r="EP1126" s="290"/>
    </row>
    <row r="1127" spans="129:146" s="265" customFormat="1">
      <c r="DY1127" s="290"/>
      <c r="EC1127" s="290"/>
      <c r="EP1127" s="290"/>
    </row>
    <row r="1128" spans="129:146" s="265" customFormat="1">
      <c r="DY1128" s="290"/>
      <c r="EC1128" s="290"/>
      <c r="EP1128" s="290"/>
    </row>
    <row r="1129" spans="129:146" s="265" customFormat="1">
      <c r="DY1129" s="290"/>
      <c r="EC1129" s="290"/>
      <c r="EP1129" s="290"/>
    </row>
    <row r="1130" spans="129:146" s="265" customFormat="1">
      <c r="DY1130" s="290"/>
      <c r="EC1130" s="290"/>
      <c r="EP1130" s="290"/>
    </row>
    <row r="1131" spans="129:146" s="265" customFormat="1">
      <c r="DY1131" s="290"/>
      <c r="EC1131" s="290"/>
      <c r="EP1131" s="290"/>
    </row>
    <row r="1132" spans="129:146" s="265" customFormat="1">
      <c r="DY1132" s="290"/>
      <c r="EC1132" s="290"/>
      <c r="EP1132" s="290"/>
    </row>
    <row r="1133" spans="129:146" s="265" customFormat="1">
      <c r="DY1133" s="290"/>
      <c r="EC1133" s="290"/>
      <c r="EP1133" s="290"/>
    </row>
    <row r="1134" spans="129:146" s="265" customFormat="1">
      <c r="DY1134" s="290"/>
      <c r="EC1134" s="290"/>
      <c r="EP1134" s="290"/>
    </row>
    <row r="1135" spans="129:146" s="265" customFormat="1">
      <c r="DY1135" s="290"/>
      <c r="EC1135" s="290"/>
      <c r="EP1135" s="290"/>
    </row>
    <row r="1136" spans="129:146" s="265" customFormat="1">
      <c r="DY1136" s="290"/>
      <c r="EC1136" s="290"/>
      <c r="EP1136" s="290"/>
    </row>
    <row r="1137" spans="129:146" s="265" customFormat="1">
      <c r="DY1137" s="290"/>
      <c r="EC1137" s="290"/>
      <c r="EP1137" s="290"/>
    </row>
    <row r="1138" spans="129:146" s="265" customFormat="1">
      <c r="DY1138" s="290"/>
      <c r="EC1138" s="290"/>
      <c r="EP1138" s="290"/>
    </row>
    <row r="1139" spans="129:146" s="265" customFormat="1">
      <c r="DY1139" s="290"/>
      <c r="EC1139" s="290"/>
      <c r="EP1139" s="290"/>
    </row>
    <row r="1140" spans="129:146" s="265" customFormat="1">
      <c r="DY1140" s="290"/>
      <c r="EC1140" s="290"/>
      <c r="EP1140" s="290"/>
    </row>
    <row r="1141" spans="129:146" s="265" customFormat="1">
      <c r="DY1141" s="290"/>
      <c r="EC1141" s="290"/>
      <c r="EP1141" s="290"/>
    </row>
    <row r="1142" spans="129:146" s="265" customFormat="1">
      <c r="DY1142" s="290"/>
      <c r="EC1142" s="290"/>
      <c r="EP1142" s="290"/>
    </row>
    <row r="1143" spans="129:146" s="265" customFormat="1">
      <c r="DY1143" s="290"/>
      <c r="EC1143" s="290"/>
      <c r="EP1143" s="290"/>
    </row>
    <row r="1144" spans="129:146" s="265" customFormat="1">
      <c r="DY1144" s="290"/>
      <c r="EC1144" s="290"/>
      <c r="EP1144" s="290"/>
    </row>
    <row r="1145" spans="129:146" s="265" customFormat="1">
      <c r="DY1145" s="290"/>
      <c r="EC1145" s="290"/>
      <c r="EP1145" s="290"/>
    </row>
    <row r="1146" spans="129:146" s="265" customFormat="1">
      <c r="DY1146" s="290"/>
      <c r="EC1146" s="290"/>
      <c r="EP1146" s="290"/>
    </row>
    <row r="1147" spans="129:146" s="265" customFormat="1">
      <c r="DY1147" s="290"/>
      <c r="EC1147" s="290"/>
      <c r="EP1147" s="290"/>
    </row>
    <row r="1148" spans="129:146" s="265" customFormat="1">
      <c r="DY1148" s="290"/>
      <c r="EC1148" s="290"/>
      <c r="EP1148" s="290"/>
    </row>
    <row r="1149" spans="129:146" s="265" customFormat="1">
      <c r="DY1149" s="290"/>
      <c r="EC1149" s="290"/>
      <c r="EP1149" s="290"/>
    </row>
    <row r="1150" spans="129:146" s="265" customFormat="1">
      <c r="DY1150" s="290"/>
      <c r="EC1150" s="290"/>
      <c r="EP1150" s="290"/>
    </row>
    <row r="1151" spans="129:146" s="265" customFormat="1">
      <c r="DY1151" s="290"/>
      <c r="EC1151" s="290"/>
      <c r="EP1151" s="290"/>
    </row>
    <row r="1152" spans="129:146" s="265" customFormat="1">
      <c r="DY1152" s="290"/>
      <c r="EC1152" s="290"/>
      <c r="EP1152" s="290"/>
    </row>
    <row r="1153" spans="129:146" s="265" customFormat="1">
      <c r="DY1153" s="290"/>
      <c r="EC1153" s="290"/>
      <c r="EP1153" s="290"/>
    </row>
    <row r="1154" spans="129:146" s="265" customFormat="1">
      <c r="DY1154" s="290"/>
      <c r="EC1154" s="290"/>
      <c r="EP1154" s="290"/>
    </row>
    <row r="1155" spans="129:146" s="265" customFormat="1">
      <c r="DY1155" s="290"/>
      <c r="EC1155" s="290"/>
      <c r="EP1155" s="290"/>
    </row>
    <row r="1156" spans="129:146" s="265" customFormat="1">
      <c r="DY1156" s="290"/>
      <c r="EC1156" s="290"/>
      <c r="EP1156" s="290"/>
    </row>
    <row r="1157" spans="129:146" s="265" customFormat="1">
      <c r="DY1157" s="290"/>
      <c r="EC1157" s="290"/>
      <c r="EP1157" s="290"/>
    </row>
    <row r="1158" spans="129:146" s="265" customFormat="1">
      <c r="DY1158" s="290"/>
      <c r="EC1158" s="290"/>
      <c r="EP1158" s="290"/>
    </row>
    <row r="1159" spans="129:146" s="265" customFormat="1">
      <c r="DY1159" s="290"/>
      <c r="EC1159" s="290"/>
      <c r="EP1159" s="290"/>
    </row>
    <row r="1160" spans="129:146" s="265" customFormat="1">
      <c r="DY1160" s="290"/>
      <c r="EC1160" s="290"/>
      <c r="EP1160" s="290"/>
    </row>
    <row r="1161" spans="129:146" s="265" customFormat="1">
      <c r="DY1161" s="290"/>
      <c r="EC1161" s="290"/>
      <c r="EP1161" s="290"/>
    </row>
    <row r="1162" spans="129:146" s="265" customFormat="1">
      <c r="DY1162" s="290"/>
      <c r="EC1162" s="290"/>
      <c r="EP1162" s="290"/>
    </row>
    <row r="1163" spans="129:146" s="265" customFormat="1">
      <c r="DY1163" s="290"/>
      <c r="EC1163" s="290"/>
      <c r="EP1163" s="290"/>
    </row>
    <row r="1164" spans="129:146" s="265" customFormat="1">
      <c r="DY1164" s="290"/>
      <c r="EC1164" s="290"/>
      <c r="EP1164" s="290"/>
    </row>
    <row r="1165" spans="129:146" s="265" customFormat="1">
      <c r="DY1165" s="290"/>
      <c r="EC1165" s="290"/>
      <c r="EP1165" s="290"/>
    </row>
    <row r="1166" spans="129:146" s="265" customFormat="1">
      <c r="DY1166" s="290"/>
      <c r="EC1166" s="290"/>
      <c r="EP1166" s="290"/>
    </row>
    <row r="1167" spans="129:146" s="265" customFormat="1">
      <c r="DY1167" s="290"/>
      <c r="EC1167" s="290"/>
      <c r="EP1167" s="290"/>
    </row>
    <row r="1168" spans="129:146" s="265" customFormat="1">
      <c r="DY1168" s="290"/>
      <c r="EC1168" s="290"/>
      <c r="EP1168" s="290"/>
    </row>
    <row r="1169" spans="129:146" s="265" customFormat="1">
      <c r="DY1169" s="290"/>
      <c r="EC1169" s="290"/>
      <c r="EP1169" s="290"/>
    </row>
    <row r="1170" spans="129:146" s="265" customFormat="1">
      <c r="DY1170" s="290"/>
      <c r="EC1170" s="290"/>
      <c r="EP1170" s="290"/>
    </row>
    <row r="1171" spans="129:146" s="265" customFormat="1">
      <c r="DY1171" s="290"/>
      <c r="EC1171" s="290"/>
      <c r="EP1171" s="290"/>
    </row>
    <row r="1172" spans="129:146" s="265" customFormat="1">
      <c r="DY1172" s="290"/>
      <c r="EC1172" s="290"/>
      <c r="EP1172" s="290"/>
    </row>
    <row r="1173" spans="129:146" s="265" customFormat="1">
      <c r="DY1173" s="290"/>
      <c r="EC1173" s="290"/>
      <c r="EP1173" s="290"/>
    </row>
    <row r="1174" spans="129:146" s="265" customFormat="1">
      <c r="DY1174" s="290"/>
      <c r="EC1174" s="290"/>
      <c r="EP1174" s="290"/>
    </row>
    <row r="1175" spans="129:146" s="265" customFormat="1">
      <c r="DY1175" s="290"/>
      <c r="EC1175" s="290"/>
      <c r="EP1175" s="290"/>
    </row>
    <row r="1176" spans="129:146" s="265" customFormat="1">
      <c r="DY1176" s="290"/>
      <c r="EC1176" s="290"/>
      <c r="EP1176" s="290"/>
    </row>
    <row r="1177" spans="129:146" s="265" customFormat="1">
      <c r="DY1177" s="290"/>
      <c r="EC1177" s="290"/>
      <c r="EP1177" s="290"/>
    </row>
    <row r="1178" spans="129:146" s="265" customFormat="1">
      <c r="DY1178" s="290"/>
      <c r="EC1178" s="290"/>
      <c r="EP1178" s="290"/>
    </row>
    <row r="1179" spans="129:146" s="265" customFormat="1">
      <c r="DY1179" s="290"/>
      <c r="EC1179" s="290"/>
      <c r="EP1179" s="290"/>
    </row>
    <row r="1180" spans="129:146" s="265" customFormat="1">
      <c r="DY1180" s="290"/>
      <c r="EC1180" s="290"/>
      <c r="EP1180" s="290"/>
    </row>
    <row r="1181" spans="129:146" s="265" customFormat="1">
      <c r="DY1181" s="290"/>
      <c r="EC1181" s="290"/>
      <c r="EP1181" s="290"/>
    </row>
    <row r="1182" spans="129:146" s="265" customFormat="1">
      <c r="DY1182" s="290"/>
      <c r="EC1182" s="290"/>
      <c r="EP1182" s="290"/>
    </row>
    <row r="1183" spans="129:146" s="265" customFormat="1">
      <c r="DY1183" s="290"/>
      <c r="EC1183" s="290"/>
      <c r="EP1183" s="290"/>
    </row>
    <row r="1184" spans="129:146" s="265" customFormat="1">
      <c r="DY1184" s="290"/>
      <c r="EC1184" s="290"/>
      <c r="EP1184" s="290"/>
    </row>
    <row r="1185" spans="11:123">
      <c r="K1185" s="265"/>
      <c r="L1185" s="265"/>
      <c r="M1185" s="265"/>
      <c r="N1185" s="265"/>
      <c r="O1185" s="265"/>
      <c r="P1185" s="265"/>
      <c r="Q1185" s="265"/>
      <c r="BR1185" s="265"/>
      <c r="BS1185" s="265"/>
      <c r="BT1185" s="265"/>
      <c r="BU1185" s="265"/>
      <c r="BV1185" s="265"/>
      <c r="CJ1185" s="265"/>
      <c r="CO1185" s="265"/>
      <c r="CP1185" s="265"/>
      <c r="CQ1185" s="265"/>
      <c r="CR1185" s="265"/>
      <c r="CS1185" s="265"/>
      <c r="CT1185" s="265"/>
      <c r="CU1185" s="265"/>
      <c r="CV1185" s="265"/>
      <c r="CW1185" s="265"/>
      <c r="CX1185" s="265"/>
      <c r="CY1185" s="265"/>
      <c r="CZ1185" s="265"/>
      <c r="DA1185" s="265"/>
      <c r="DB1185" s="265"/>
      <c r="DC1185" s="265"/>
      <c r="DD1185" s="265"/>
      <c r="DE1185" s="265"/>
      <c r="DF1185" s="265"/>
      <c r="DG1185" s="265"/>
      <c r="DH1185" s="265"/>
      <c r="DI1185" s="265"/>
      <c r="DJ1185" s="265"/>
      <c r="DK1185" s="265"/>
      <c r="DL1185" s="265"/>
      <c r="DM1185" s="265"/>
      <c r="DN1185" s="265"/>
      <c r="DO1185" s="265"/>
      <c r="DP1185" s="265"/>
      <c r="DQ1185" s="265"/>
      <c r="DR1185" s="265"/>
      <c r="DS1185" s="265"/>
    </row>
    <row r="1186" spans="11:123">
      <c r="K1186" s="265"/>
      <c r="L1186" s="265"/>
      <c r="M1186" s="265"/>
      <c r="N1186" s="265"/>
      <c r="O1186" s="265"/>
      <c r="P1186" s="265"/>
      <c r="Q1186" s="265"/>
      <c r="BR1186" s="265"/>
      <c r="BS1186" s="265"/>
      <c r="BT1186" s="265"/>
      <c r="BU1186" s="265"/>
      <c r="BV1186" s="265"/>
      <c r="CJ1186" s="265"/>
      <c r="CO1186" s="265"/>
      <c r="CP1186" s="265"/>
      <c r="CQ1186" s="265"/>
      <c r="CR1186" s="265"/>
      <c r="CS1186" s="265"/>
      <c r="CT1186" s="265"/>
      <c r="CU1186" s="265"/>
      <c r="CV1186" s="265"/>
      <c r="CW1186" s="265"/>
      <c r="CX1186" s="265"/>
      <c r="CY1186" s="265"/>
      <c r="CZ1186" s="265"/>
      <c r="DA1186" s="265"/>
      <c r="DB1186" s="265"/>
      <c r="DC1186" s="265"/>
      <c r="DD1186" s="265"/>
      <c r="DE1186" s="265"/>
      <c r="DF1186" s="265"/>
      <c r="DG1186" s="265"/>
      <c r="DH1186" s="265"/>
      <c r="DI1186" s="265"/>
      <c r="DJ1186" s="265"/>
      <c r="DK1186" s="265"/>
      <c r="DL1186" s="265"/>
      <c r="DM1186" s="265"/>
      <c r="DN1186" s="265"/>
      <c r="DO1186" s="265"/>
      <c r="DP1186" s="265"/>
      <c r="DQ1186" s="265"/>
      <c r="DR1186" s="265"/>
      <c r="DS1186" s="265"/>
    </row>
    <row r="1187" spans="11:123">
      <c r="K1187" s="265"/>
      <c r="L1187" s="265"/>
      <c r="M1187" s="265"/>
      <c r="N1187" s="265"/>
      <c r="O1187" s="265"/>
      <c r="P1187" s="265"/>
      <c r="Q1187" s="265"/>
      <c r="BR1187" s="265"/>
      <c r="BS1187" s="265"/>
      <c r="BT1187" s="265"/>
      <c r="BU1187" s="265"/>
      <c r="BV1187" s="265"/>
      <c r="CJ1187" s="265"/>
      <c r="CO1187" s="265"/>
      <c r="CP1187" s="265"/>
      <c r="CQ1187" s="265"/>
      <c r="CR1187" s="265"/>
      <c r="CS1187" s="265"/>
      <c r="CT1187" s="265"/>
      <c r="CU1187" s="265"/>
      <c r="CV1187" s="265"/>
      <c r="CW1187" s="265"/>
      <c r="CX1187" s="265"/>
      <c r="CY1187" s="265"/>
      <c r="CZ1187" s="265"/>
      <c r="DA1187" s="265"/>
      <c r="DB1187" s="265"/>
      <c r="DC1187" s="265"/>
      <c r="DD1187" s="265"/>
      <c r="DE1187" s="265"/>
      <c r="DF1187" s="265"/>
      <c r="DG1187" s="265"/>
      <c r="DH1187" s="265"/>
      <c r="DI1187" s="265"/>
      <c r="DJ1187" s="265"/>
      <c r="DK1187" s="265"/>
      <c r="DL1187" s="265"/>
      <c r="DM1187" s="265"/>
      <c r="DN1187" s="265"/>
      <c r="DO1187" s="265"/>
      <c r="DP1187" s="265"/>
      <c r="DQ1187" s="265"/>
      <c r="DR1187" s="265"/>
      <c r="DS1187" s="265"/>
    </row>
    <row r="1188" spans="11:123">
      <c r="K1188" s="265"/>
      <c r="L1188" s="265"/>
      <c r="M1188" s="265"/>
      <c r="N1188" s="265"/>
      <c r="O1188" s="265"/>
      <c r="P1188" s="265"/>
      <c r="Q1188" s="265"/>
      <c r="BR1188" s="265"/>
      <c r="BS1188" s="265"/>
      <c r="BT1188" s="265"/>
      <c r="BU1188" s="265"/>
      <c r="BV1188" s="265"/>
      <c r="CJ1188" s="265"/>
      <c r="CO1188" s="265"/>
      <c r="CP1188" s="265"/>
      <c r="CQ1188" s="265"/>
      <c r="CR1188" s="265"/>
      <c r="CS1188" s="265"/>
      <c r="CT1188" s="265"/>
      <c r="CU1188" s="265"/>
      <c r="CV1188" s="265"/>
      <c r="CW1188" s="265"/>
      <c r="CX1188" s="265"/>
      <c r="CY1188" s="265"/>
      <c r="CZ1188" s="265"/>
      <c r="DA1188" s="265"/>
      <c r="DB1188" s="265"/>
      <c r="DC1188" s="265"/>
      <c r="DD1188" s="265"/>
      <c r="DE1188" s="265"/>
      <c r="DF1188" s="265"/>
      <c r="DG1188" s="265"/>
      <c r="DH1188" s="265"/>
      <c r="DI1188" s="265"/>
      <c r="DJ1188" s="265"/>
      <c r="DK1188" s="265"/>
      <c r="DL1188" s="265"/>
      <c r="DM1188" s="265"/>
      <c r="DN1188" s="265"/>
      <c r="DO1188" s="265"/>
      <c r="DP1188" s="265"/>
      <c r="DQ1188" s="265"/>
      <c r="DR1188" s="265"/>
      <c r="DS1188" s="265"/>
    </row>
    <row r="1189" spans="11:123">
      <c r="K1189" s="265"/>
      <c r="L1189" s="265"/>
      <c r="M1189" s="265"/>
      <c r="N1189" s="265"/>
      <c r="O1189" s="265"/>
      <c r="P1189" s="265"/>
      <c r="Q1189" s="265"/>
      <c r="BR1189" s="265"/>
      <c r="BS1189" s="265"/>
      <c r="BT1189" s="265"/>
      <c r="BU1189" s="265"/>
      <c r="BV1189" s="265"/>
      <c r="CJ1189" s="265"/>
      <c r="CO1189" s="265"/>
      <c r="CP1189" s="265"/>
      <c r="CQ1189" s="265"/>
      <c r="CR1189" s="265"/>
      <c r="CS1189" s="265"/>
      <c r="CT1189" s="265"/>
      <c r="CU1189" s="265"/>
      <c r="CV1189" s="265"/>
      <c r="CW1189" s="265"/>
      <c r="CX1189" s="265"/>
      <c r="CY1189" s="265"/>
      <c r="CZ1189" s="265"/>
      <c r="DA1189" s="265"/>
      <c r="DB1189" s="265"/>
      <c r="DC1189" s="265"/>
      <c r="DD1189" s="265"/>
      <c r="DE1189" s="265"/>
      <c r="DF1189" s="265"/>
      <c r="DG1189" s="265"/>
      <c r="DH1189" s="265"/>
      <c r="DI1189" s="265"/>
      <c r="DJ1189" s="265"/>
      <c r="DK1189" s="265"/>
      <c r="DL1189" s="265"/>
      <c r="DM1189" s="265"/>
      <c r="DN1189" s="265"/>
      <c r="DO1189" s="265"/>
      <c r="DP1189" s="265"/>
      <c r="DQ1189" s="265"/>
      <c r="DR1189" s="265"/>
      <c r="DS1189" s="265"/>
    </row>
    <row r="1190" spans="11:123">
      <c r="K1190" s="265"/>
      <c r="L1190" s="265"/>
      <c r="M1190" s="265"/>
      <c r="N1190" s="265"/>
      <c r="O1190" s="265"/>
      <c r="P1190" s="265"/>
      <c r="Q1190" s="265"/>
      <c r="BR1190" s="265"/>
      <c r="BS1190" s="265"/>
      <c r="BT1190" s="265"/>
      <c r="BU1190" s="265"/>
      <c r="BV1190" s="265"/>
      <c r="CJ1190" s="265"/>
      <c r="CO1190" s="265"/>
      <c r="CP1190" s="265"/>
      <c r="CQ1190" s="265"/>
      <c r="CR1190" s="265"/>
      <c r="CS1190" s="265"/>
      <c r="CT1190" s="265"/>
      <c r="CU1190" s="265"/>
      <c r="CV1190" s="265"/>
      <c r="CW1190" s="265"/>
      <c r="CX1190" s="265"/>
      <c r="CY1190" s="265"/>
      <c r="CZ1190" s="265"/>
      <c r="DA1190" s="265"/>
      <c r="DB1190" s="265"/>
      <c r="DC1190" s="265"/>
      <c r="DD1190" s="265"/>
      <c r="DE1190" s="265"/>
      <c r="DF1190" s="265"/>
      <c r="DG1190" s="265"/>
      <c r="DH1190" s="265"/>
      <c r="DI1190" s="265"/>
      <c r="DJ1190" s="265"/>
      <c r="DK1190" s="265"/>
      <c r="DL1190" s="265"/>
      <c r="DM1190" s="265"/>
      <c r="DN1190" s="265"/>
      <c r="DO1190" s="265"/>
      <c r="DP1190" s="265"/>
      <c r="DQ1190" s="265"/>
      <c r="DR1190" s="265"/>
      <c r="DS1190" s="265"/>
    </row>
    <row r="1191" spans="11:123">
      <c r="K1191" s="265"/>
      <c r="L1191" s="265"/>
      <c r="M1191" s="265"/>
      <c r="N1191" s="265"/>
      <c r="O1191" s="265"/>
      <c r="P1191" s="265"/>
      <c r="Q1191" s="265"/>
      <c r="BR1191" s="265"/>
      <c r="BS1191" s="265"/>
      <c r="BT1191" s="265"/>
      <c r="BU1191" s="265"/>
      <c r="BV1191" s="265"/>
      <c r="CJ1191" s="265"/>
      <c r="CO1191" s="265"/>
      <c r="CP1191" s="265"/>
      <c r="CQ1191" s="265"/>
      <c r="CR1191" s="265"/>
      <c r="CS1191" s="265"/>
      <c r="CT1191" s="265"/>
      <c r="CU1191" s="265"/>
      <c r="CV1191" s="265"/>
      <c r="CW1191" s="265"/>
      <c r="CX1191" s="265"/>
      <c r="CY1191" s="265"/>
      <c r="CZ1191" s="265"/>
      <c r="DA1191" s="265"/>
      <c r="DB1191" s="265"/>
      <c r="DC1191" s="265"/>
      <c r="DD1191" s="265"/>
      <c r="DE1191" s="265"/>
      <c r="DF1191" s="265"/>
      <c r="DG1191" s="265"/>
      <c r="DH1191" s="265"/>
      <c r="DI1191" s="265"/>
      <c r="DJ1191" s="265"/>
      <c r="DK1191" s="265"/>
      <c r="DL1191" s="265"/>
      <c r="DM1191" s="265"/>
      <c r="DN1191" s="265"/>
      <c r="DO1191" s="265"/>
      <c r="DP1191" s="265"/>
      <c r="DQ1191" s="265"/>
      <c r="DR1191" s="265"/>
      <c r="DS1191" s="265"/>
    </row>
    <row r="1192" spans="11:123">
      <c r="L1192" s="265"/>
      <c r="M1192" s="265"/>
      <c r="N1192" s="265"/>
      <c r="O1192" s="265"/>
      <c r="P1192" s="265"/>
      <c r="Q1192" s="265"/>
      <c r="BR1192" s="265"/>
      <c r="BS1192" s="265"/>
      <c r="BT1192" s="265"/>
      <c r="BU1192" s="265"/>
      <c r="BV1192" s="265"/>
    </row>
    <row r="1193" spans="11:123">
      <c r="L1193" s="265"/>
      <c r="M1193" s="265"/>
      <c r="N1193" s="265"/>
      <c r="O1193" s="265"/>
      <c r="P1193" s="265"/>
      <c r="Q1193" s="265"/>
      <c r="BR1193" s="265"/>
      <c r="BS1193" s="265"/>
      <c r="BT1193" s="265"/>
      <c r="BU1193" s="265"/>
      <c r="BV1193" s="265"/>
    </row>
    <row r="1194" spans="11:123">
      <c r="L1194" s="265"/>
      <c r="M1194" s="265"/>
      <c r="N1194" s="265"/>
      <c r="O1194" s="265"/>
      <c r="P1194" s="265"/>
      <c r="Q1194" s="265"/>
      <c r="BR1194" s="265"/>
      <c r="BS1194" s="265"/>
      <c r="BT1194" s="265"/>
      <c r="BU1194" s="265"/>
      <c r="BV1194" s="265"/>
    </row>
    <row r="1195" spans="11:123">
      <c r="L1195" s="265"/>
      <c r="M1195" s="265"/>
      <c r="N1195" s="265"/>
      <c r="O1195" s="265"/>
      <c r="P1195" s="265"/>
      <c r="Q1195" s="265"/>
      <c r="BR1195" s="265"/>
      <c r="BS1195" s="265"/>
      <c r="BT1195" s="265"/>
      <c r="BU1195" s="265"/>
      <c r="BV1195" s="265"/>
    </row>
    <row r="1196" spans="11:123">
      <c r="L1196" s="265"/>
      <c r="M1196" s="265"/>
      <c r="N1196" s="265"/>
      <c r="O1196" s="265"/>
      <c r="P1196" s="265"/>
      <c r="Q1196" s="265"/>
      <c r="BR1196" s="265"/>
      <c r="BS1196" s="265"/>
      <c r="BT1196" s="265"/>
      <c r="BU1196" s="265"/>
      <c r="BV1196" s="265"/>
    </row>
    <row r="1197" spans="11:123">
      <c r="L1197" s="265"/>
      <c r="M1197" s="265"/>
      <c r="N1197" s="265"/>
      <c r="O1197" s="265"/>
      <c r="P1197" s="265"/>
      <c r="Q1197" s="265"/>
      <c r="BR1197" s="265"/>
      <c r="BS1197" s="265"/>
      <c r="BT1197" s="265"/>
      <c r="BU1197" s="265"/>
      <c r="BV1197" s="265"/>
    </row>
    <row r="1198" spans="11:123">
      <c r="L1198" s="265"/>
      <c r="M1198" s="265"/>
      <c r="N1198" s="265"/>
      <c r="O1198" s="265"/>
      <c r="P1198" s="265"/>
      <c r="Q1198" s="265"/>
      <c r="BR1198" s="265"/>
      <c r="BS1198" s="265"/>
      <c r="BT1198" s="265"/>
      <c r="BU1198" s="265"/>
      <c r="BV1198" s="265"/>
    </row>
    <row r="1199" spans="11:123">
      <c r="L1199" s="265"/>
      <c r="M1199" s="265"/>
      <c r="N1199" s="265"/>
      <c r="O1199" s="265"/>
      <c r="P1199" s="265"/>
      <c r="Q1199" s="265"/>
      <c r="BR1199" s="265"/>
      <c r="BS1199" s="265"/>
      <c r="BT1199" s="265"/>
      <c r="BU1199" s="265"/>
      <c r="BV1199" s="265"/>
    </row>
    <row r="1200" spans="11:123">
      <c r="L1200" s="265"/>
      <c r="M1200" s="265"/>
      <c r="N1200" s="265"/>
      <c r="O1200" s="265"/>
      <c r="P1200" s="265"/>
      <c r="Q1200" s="265"/>
      <c r="BR1200" s="265"/>
      <c r="BS1200" s="265"/>
      <c r="BT1200" s="265"/>
      <c r="BU1200" s="265"/>
      <c r="BV1200" s="265"/>
    </row>
    <row r="1201" spans="12:74">
      <c r="L1201" s="265"/>
      <c r="M1201" s="265"/>
      <c r="N1201" s="265"/>
      <c r="O1201" s="265"/>
      <c r="P1201" s="265"/>
      <c r="Q1201" s="265"/>
      <c r="BR1201" s="265"/>
      <c r="BS1201" s="265"/>
      <c r="BT1201" s="265"/>
      <c r="BU1201" s="265"/>
      <c r="BV1201" s="265"/>
    </row>
    <row r="1202" spans="12:74">
      <c r="L1202" s="265"/>
      <c r="M1202" s="265"/>
      <c r="N1202" s="265"/>
      <c r="O1202" s="265"/>
      <c r="P1202" s="265"/>
      <c r="Q1202" s="265"/>
      <c r="BR1202" s="265"/>
      <c r="BS1202" s="265"/>
      <c r="BT1202" s="265"/>
      <c r="BU1202" s="265"/>
      <c r="BV1202" s="265"/>
    </row>
    <row r="1203" spans="12:74">
      <c r="L1203" s="265"/>
      <c r="M1203" s="265"/>
      <c r="N1203" s="265"/>
      <c r="O1203" s="265"/>
      <c r="P1203" s="265"/>
      <c r="Q1203" s="265"/>
      <c r="BR1203" s="265"/>
      <c r="BS1203" s="265"/>
      <c r="BT1203" s="265"/>
      <c r="BU1203" s="265"/>
      <c r="BV1203" s="265"/>
    </row>
    <row r="1204" spans="12:74">
      <c r="L1204" s="265"/>
      <c r="M1204" s="265"/>
      <c r="N1204" s="265"/>
      <c r="O1204" s="265"/>
      <c r="P1204" s="265"/>
      <c r="Q1204" s="265"/>
      <c r="BR1204" s="265"/>
      <c r="BS1204" s="265"/>
      <c r="BT1204" s="265"/>
      <c r="BU1204" s="265"/>
      <c r="BV1204" s="265"/>
    </row>
    <row r="1205" spans="12:74">
      <c r="L1205" s="265"/>
      <c r="M1205" s="265"/>
      <c r="N1205" s="265"/>
      <c r="O1205" s="265"/>
      <c r="P1205" s="265"/>
      <c r="Q1205" s="265"/>
      <c r="BR1205" s="265"/>
      <c r="BS1205" s="265"/>
      <c r="BT1205" s="265"/>
      <c r="BU1205" s="265"/>
      <c r="BV1205" s="265"/>
    </row>
    <row r="1206" spans="12:74">
      <c r="L1206" s="265"/>
      <c r="M1206" s="265"/>
      <c r="N1206" s="265"/>
      <c r="O1206" s="265"/>
      <c r="P1206" s="265"/>
      <c r="Q1206" s="265"/>
      <c r="BR1206" s="265"/>
      <c r="BS1206" s="265"/>
      <c r="BT1206" s="265"/>
      <c r="BU1206" s="265"/>
      <c r="BV1206" s="265"/>
    </row>
    <row r="1207" spans="12:74">
      <c r="L1207" s="265"/>
      <c r="M1207" s="265"/>
      <c r="N1207" s="265"/>
      <c r="O1207" s="265"/>
      <c r="P1207" s="265"/>
      <c r="Q1207" s="265"/>
      <c r="BR1207" s="265"/>
      <c r="BS1207" s="265"/>
      <c r="BT1207" s="265"/>
      <c r="BU1207" s="265"/>
      <c r="BV1207" s="265"/>
    </row>
    <row r="1208" spans="12:74">
      <c r="L1208" s="265"/>
      <c r="M1208" s="265"/>
      <c r="N1208" s="265"/>
      <c r="O1208" s="265"/>
      <c r="P1208" s="265"/>
      <c r="Q1208" s="265"/>
      <c r="BR1208" s="265"/>
      <c r="BS1208" s="265"/>
      <c r="BT1208" s="265"/>
      <c r="BU1208" s="265"/>
      <c r="BV1208" s="265"/>
    </row>
    <row r="1209" spans="12:74">
      <c r="L1209" s="265"/>
      <c r="M1209" s="265"/>
      <c r="N1209" s="265"/>
      <c r="O1209" s="265"/>
      <c r="P1209" s="265"/>
      <c r="Q1209" s="265"/>
      <c r="BR1209" s="265"/>
      <c r="BS1209" s="265"/>
      <c r="BT1209" s="265"/>
      <c r="BU1209" s="265"/>
      <c r="BV1209" s="265"/>
    </row>
    <row r="1210" spans="12:74">
      <c r="L1210" s="265"/>
      <c r="M1210" s="265"/>
      <c r="N1210" s="265"/>
      <c r="O1210" s="265"/>
      <c r="P1210" s="265"/>
      <c r="Q1210" s="265"/>
      <c r="BR1210" s="265"/>
      <c r="BS1210" s="265"/>
      <c r="BT1210" s="265"/>
      <c r="BU1210" s="265"/>
      <c r="BV1210" s="265"/>
    </row>
    <row r="1211" spans="12:74">
      <c r="L1211" s="265"/>
      <c r="M1211" s="265"/>
      <c r="N1211" s="265"/>
      <c r="O1211" s="265"/>
      <c r="P1211" s="265"/>
      <c r="Q1211" s="265"/>
      <c r="BR1211" s="265"/>
      <c r="BS1211" s="265"/>
      <c r="BT1211" s="265"/>
      <c r="BU1211" s="265"/>
      <c r="BV1211" s="265"/>
    </row>
    <row r="1212" spans="12:74">
      <c r="L1212" s="265"/>
      <c r="M1212" s="265"/>
      <c r="N1212" s="265"/>
      <c r="O1212" s="265"/>
      <c r="P1212" s="265"/>
      <c r="Q1212" s="265"/>
      <c r="BR1212" s="265"/>
      <c r="BS1212" s="265"/>
      <c r="BT1212" s="265"/>
      <c r="BU1212" s="265"/>
      <c r="BV1212" s="265"/>
    </row>
    <row r="1213" spans="12:74">
      <c r="L1213" s="265"/>
      <c r="M1213" s="265"/>
      <c r="N1213" s="265"/>
      <c r="O1213" s="265"/>
      <c r="P1213" s="265"/>
      <c r="Q1213" s="265"/>
      <c r="BR1213" s="265"/>
      <c r="BS1213" s="265"/>
      <c r="BT1213" s="265"/>
      <c r="BU1213" s="265"/>
      <c r="BV1213" s="265"/>
    </row>
    <row r="1214" spans="12:74">
      <c r="L1214" s="265"/>
      <c r="M1214" s="265"/>
      <c r="N1214" s="265"/>
      <c r="O1214" s="265"/>
      <c r="P1214" s="265"/>
      <c r="Q1214" s="265"/>
      <c r="BR1214" s="265"/>
      <c r="BS1214" s="265"/>
      <c r="BT1214" s="265"/>
      <c r="BU1214" s="265"/>
      <c r="BV1214" s="265"/>
    </row>
    <row r="1215" spans="12:74">
      <c r="L1215" s="265"/>
      <c r="M1215" s="265"/>
      <c r="N1215" s="265"/>
      <c r="O1215" s="265"/>
      <c r="P1215" s="265"/>
      <c r="Q1215" s="265"/>
      <c r="BR1215" s="265"/>
      <c r="BS1215" s="265"/>
      <c r="BT1215" s="265"/>
      <c r="BU1215" s="265"/>
      <c r="BV1215" s="265"/>
    </row>
    <row r="1216" spans="12:74">
      <c r="L1216" s="265"/>
      <c r="M1216" s="265"/>
      <c r="N1216" s="265"/>
      <c r="O1216" s="265"/>
      <c r="P1216" s="265"/>
      <c r="Q1216" s="265"/>
      <c r="BR1216" s="265"/>
      <c r="BS1216" s="265"/>
      <c r="BT1216" s="265"/>
      <c r="BU1216" s="265"/>
      <c r="BV1216" s="265"/>
    </row>
    <row r="1217" spans="12:74">
      <c r="L1217" s="265"/>
      <c r="M1217" s="265"/>
      <c r="N1217" s="265"/>
      <c r="O1217" s="265"/>
      <c r="P1217" s="265"/>
      <c r="Q1217" s="265"/>
      <c r="BR1217" s="265"/>
      <c r="BS1217" s="265"/>
      <c r="BT1217" s="265"/>
      <c r="BU1217" s="265"/>
      <c r="BV1217" s="265"/>
    </row>
    <row r="1218" spans="12:74">
      <c r="L1218" s="265"/>
      <c r="M1218" s="265"/>
      <c r="N1218" s="265"/>
      <c r="O1218" s="265"/>
      <c r="P1218" s="265"/>
      <c r="Q1218" s="265"/>
      <c r="BR1218" s="265"/>
      <c r="BS1218" s="265"/>
      <c r="BT1218" s="265"/>
      <c r="BU1218" s="265"/>
      <c r="BV1218" s="265"/>
    </row>
    <row r="1219" spans="12:74">
      <c r="L1219" s="265"/>
      <c r="M1219" s="265"/>
      <c r="N1219" s="265"/>
      <c r="O1219" s="265"/>
      <c r="P1219" s="265"/>
      <c r="Q1219" s="265"/>
      <c r="BR1219" s="265"/>
      <c r="BS1219" s="265"/>
      <c r="BT1219" s="265"/>
      <c r="BU1219" s="265"/>
      <c r="BV1219" s="265"/>
    </row>
    <row r="1220" spans="12:74">
      <c r="L1220" s="265"/>
      <c r="M1220" s="265"/>
      <c r="N1220" s="265"/>
      <c r="O1220" s="265"/>
      <c r="P1220" s="265"/>
      <c r="Q1220" s="265"/>
      <c r="BR1220" s="265"/>
      <c r="BS1220" s="265"/>
      <c r="BT1220" s="265"/>
      <c r="BU1220" s="265"/>
      <c r="BV1220" s="265"/>
    </row>
    <row r="1221" spans="12:74">
      <c r="L1221" s="265"/>
      <c r="M1221" s="265"/>
      <c r="N1221" s="265"/>
      <c r="O1221" s="265"/>
      <c r="P1221" s="265"/>
      <c r="Q1221" s="265"/>
      <c r="BR1221" s="265"/>
      <c r="BS1221" s="265"/>
      <c r="BT1221" s="265"/>
      <c r="BU1221" s="265"/>
      <c r="BV1221" s="265"/>
    </row>
    <row r="1222" spans="12:74">
      <c r="L1222" s="265"/>
      <c r="M1222" s="265"/>
      <c r="N1222" s="265"/>
      <c r="O1222" s="265"/>
      <c r="P1222" s="265"/>
      <c r="Q1222" s="265"/>
      <c r="BR1222" s="265"/>
      <c r="BS1222" s="265"/>
      <c r="BT1222" s="265"/>
      <c r="BU1222" s="265"/>
      <c r="BV1222" s="265"/>
    </row>
    <row r="1223" spans="12:74">
      <c r="L1223" s="265"/>
      <c r="M1223" s="265"/>
      <c r="N1223" s="265"/>
      <c r="O1223" s="265"/>
      <c r="P1223" s="265"/>
      <c r="Q1223" s="265"/>
      <c r="BR1223" s="265"/>
      <c r="BS1223" s="265"/>
      <c r="BT1223" s="265"/>
      <c r="BU1223" s="265"/>
      <c r="BV1223" s="265"/>
    </row>
    <row r="1224" spans="12:74">
      <c r="L1224" s="265"/>
      <c r="M1224" s="265"/>
      <c r="N1224" s="265"/>
      <c r="O1224" s="265"/>
      <c r="P1224" s="265"/>
      <c r="Q1224" s="265"/>
      <c r="BR1224" s="265"/>
      <c r="BS1224" s="265"/>
      <c r="BT1224" s="265"/>
      <c r="BU1224" s="265"/>
      <c r="BV1224" s="265"/>
    </row>
    <row r="1225" spans="12:74">
      <c r="L1225" s="265"/>
      <c r="M1225" s="265"/>
      <c r="N1225" s="265"/>
      <c r="O1225" s="265"/>
      <c r="P1225" s="265"/>
      <c r="Q1225" s="265"/>
      <c r="BR1225" s="265"/>
      <c r="BS1225" s="265"/>
      <c r="BT1225" s="265"/>
      <c r="BU1225" s="265"/>
      <c r="BV1225" s="265"/>
    </row>
    <row r="1226" spans="12:74">
      <c r="L1226" s="265"/>
      <c r="M1226" s="265"/>
      <c r="N1226" s="265"/>
      <c r="O1226" s="265"/>
      <c r="P1226" s="265"/>
      <c r="Q1226" s="265"/>
      <c r="BR1226" s="265"/>
      <c r="BS1226" s="265"/>
      <c r="BT1226" s="265"/>
      <c r="BU1226" s="265"/>
      <c r="BV1226" s="265"/>
    </row>
    <row r="1227" spans="12:74">
      <c r="L1227" s="265"/>
      <c r="M1227" s="265"/>
      <c r="N1227" s="265"/>
      <c r="O1227" s="265"/>
      <c r="P1227" s="265"/>
      <c r="Q1227" s="265"/>
      <c r="BR1227" s="265"/>
      <c r="BS1227" s="265"/>
      <c r="BT1227" s="265"/>
      <c r="BU1227" s="265"/>
      <c r="BV1227" s="265"/>
    </row>
    <row r="1228" spans="12:74">
      <c r="L1228" s="265"/>
      <c r="M1228" s="265"/>
      <c r="N1228" s="265"/>
      <c r="O1228" s="265"/>
      <c r="P1228" s="265"/>
      <c r="Q1228" s="265"/>
      <c r="BR1228" s="265"/>
      <c r="BS1228" s="265"/>
      <c r="BT1228" s="265"/>
      <c r="BU1228" s="265"/>
      <c r="BV1228" s="265"/>
    </row>
    <row r="1229" spans="12:74">
      <c r="L1229" s="265"/>
      <c r="M1229" s="265"/>
      <c r="N1229" s="265"/>
      <c r="O1229" s="265"/>
      <c r="P1229" s="265"/>
      <c r="Q1229" s="265"/>
      <c r="BR1229" s="265"/>
      <c r="BS1229" s="265"/>
      <c r="BT1229" s="265"/>
      <c r="BU1229" s="265"/>
      <c r="BV1229" s="265"/>
    </row>
    <row r="1230" spans="12:74">
      <c r="L1230" s="265"/>
      <c r="M1230" s="265"/>
      <c r="N1230" s="265"/>
      <c r="O1230" s="265"/>
      <c r="P1230" s="265"/>
      <c r="Q1230" s="265"/>
      <c r="BR1230" s="265"/>
      <c r="BS1230" s="265"/>
      <c r="BT1230" s="265"/>
      <c r="BU1230" s="265"/>
      <c r="BV1230" s="265"/>
    </row>
    <row r="1231" spans="12:74">
      <c r="L1231" s="265"/>
      <c r="M1231" s="265"/>
      <c r="N1231" s="265"/>
      <c r="O1231" s="265"/>
      <c r="P1231" s="265"/>
      <c r="Q1231" s="265"/>
      <c r="BR1231" s="265"/>
      <c r="BS1231" s="265"/>
      <c r="BT1231" s="265"/>
      <c r="BU1231" s="265"/>
      <c r="BV1231" s="265"/>
    </row>
    <row r="1232" spans="12:74">
      <c r="L1232" s="265"/>
      <c r="M1232" s="265"/>
      <c r="N1232" s="265"/>
      <c r="O1232" s="265"/>
      <c r="P1232" s="265"/>
      <c r="Q1232" s="265"/>
      <c r="BR1232" s="265"/>
      <c r="BS1232" s="265"/>
      <c r="BT1232" s="265"/>
      <c r="BU1232" s="265"/>
      <c r="BV1232" s="265"/>
    </row>
    <row r="1233" spans="12:74">
      <c r="L1233" s="265"/>
      <c r="M1233" s="265"/>
      <c r="N1233" s="265"/>
      <c r="O1233" s="265"/>
      <c r="P1233" s="265"/>
      <c r="Q1233" s="265"/>
      <c r="BR1233" s="265"/>
      <c r="BS1233" s="265"/>
      <c r="BT1233" s="265"/>
      <c r="BU1233" s="265"/>
      <c r="BV1233" s="265"/>
    </row>
    <row r="1234" spans="12:74">
      <c r="L1234" s="265"/>
      <c r="M1234" s="265"/>
      <c r="N1234" s="265"/>
      <c r="O1234" s="265"/>
      <c r="P1234" s="265"/>
      <c r="Q1234" s="265"/>
      <c r="BR1234" s="265"/>
      <c r="BS1234" s="265"/>
      <c r="BT1234" s="265"/>
      <c r="BU1234" s="265"/>
      <c r="BV1234" s="265"/>
    </row>
    <row r="1235" spans="12:74">
      <c r="L1235" s="265"/>
      <c r="M1235" s="265"/>
      <c r="N1235" s="265"/>
      <c r="O1235" s="265"/>
      <c r="P1235" s="265"/>
      <c r="Q1235" s="265"/>
      <c r="BR1235" s="265"/>
      <c r="BS1235" s="265"/>
      <c r="BT1235" s="265"/>
      <c r="BU1235" s="265"/>
      <c r="BV1235" s="265"/>
    </row>
    <row r="1236" spans="12:74">
      <c r="L1236" s="265"/>
      <c r="M1236" s="265"/>
      <c r="N1236" s="265"/>
      <c r="O1236" s="265"/>
      <c r="P1236" s="265"/>
      <c r="Q1236" s="265"/>
      <c r="BR1236" s="265"/>
      <c r="BS1236" s="265"/>
      <c r="BT1236" s="265"/>
      <c r="BU1236" s="265"/>
      <c r="BV1236" s="265"/>
    </row>
    <row r="1237" spans="12:74">
      <c r="L1237" s="265"/>
      <c r="M1237" s="265"/>
      <c r="N1237" s="265"/>
      <c r="O1237" s="265"/>
      <c r="P1237" s="265"/>
      <c r="Q1237" s="265"/>
      <c r="BR1237" s="265"/>
      <c r="BS1237" s="265"/>
      <c r="BT1237" s="265"/>
      <c r="BU1237" s="265"/>
      <c r="BV1237" s="265"/>
    </row>
    <row r="1238" spans="12:74">
      <c r="L1238" s="265"/>
      <c r="M1238" s="265"/>
      <c r="N1238" s="265"/>
      <c r="O1238" s="265"/>
      <c r="P1238" s="265"/>
      <c r="Q1238" s="265"/>
      <c r="BR1238" s="265"/>
      <c r="BS1238" s="265"/>
      <c r="BT1238" s="265"/>
      <c r="BU1238" s="265"/>
      <c r="BV1238" s="265"/>
    </row>
    <row r="1239" spans="12:74">
      <c r="L1239" s="265"/>
      <c r="M1239" s="265"/>
      <c r="N1239" s="265"/>
      <c r="O1239" s="265"/>
      <c r="P1239" s="265"/>
      <c r="Q1239" s="265"/>
      <c r="BR1239" s="265"/>
      <c r="BS1239" s="265"/>
      <c r="BT1239" s="265"/>
      <c r="BU1239" s="265"/>
      <c r="BV1239" s="265"/>
    </row>
    <row r="1240" spans="12:74">
      <c r="L1240" s="265"/>
      <c r="M1240" s="265"/>
      <c r="N1240" s="265"/>
      <c r="O1240" s="265"/>
      <c r="P1240" s="265"/>
      <c r="Q1240" s="265"/>
      <c r="BR1240" s="265"/>
      <c r="BS1240" s="265"/>
      <c r="BT1240" s="265"/>
      <c r="BU1240" s="265"/>
      <c r="BV1240" s="265"/>
    </row>
    <row r="1241" spans="12:74">
      <c r="L1241" s="265"/>
      <c r="M1241" s="265"/>
      <c r="N1241" s="265"/>
      <c r="O1241" s="265"/>
      <c r="P1241" s="265"/>
      <c r="Q1241" s="265"/>
      <c r="BR1241" s="265"/>
      <c r="BS1241" s="265"/>
      <c r="BT1241" s="265"/>
      <c r="BU1241" s="265"/>
      <c r="BV1241" s="265"/>
    </row>
    <row r="1242" spans="12:74">
      <c r="L1242" s="265"/>
      <c r="M1242" s="265"/>
      <c r="N1242" s="265"/>
      <c r="O1242" s="265"/>
      <c r="P1242" s="265"/>
      <c r="Q1242" s="265"/>
      <c r="BR1242" s="265"/>
      <c r="BS1242" s="265"/>
      <c r="BT1242" s="265"/>
      <c r="BU1242" s="265"/>
      <c r="BV1242" s="265"/>
    </row>
    <row r="1243" spans="12:74">
      <c r="L1243" s="265"/>
      <c r="M1243" s="265"/>
      <c r="N1243" s="265"/>
      <c r="O1243" s="265"/>
      <c r="P1243" s="265"/>
      <c r="Q1243" s="265"/>
      <c r="BR1243" s="265"/>
      <c r="BS1243" s="265"/>
      <c r="BT1243" s="265"/>
      <c r="BU1243" s="265"/>
      <c r="BV1243" s="265"/>
    </row>
    <row r="1244" spans="12:74">
      <c r="L1244" s="265"/>
      <c r="M1244" s="265"/>
      <c r="N1244" s="265"/>
      <c r="O1244" s="265"/>
      <c r="P1244" s="265"/>
      <c r="Q1244" s="265"/>
      <c r="BR1244" s="265"/>
      <c r="BS1244" s="265"/>
      <c r="BT1244" s="265"/>
      <c r="BU1244" s="265"/>
      <c r="BV1244" s="265"/>
    </row>
    <row r="1245" spans="12:74">
      <c r="L1245" s="265"/>
      <c r="M1245" s="265"/>
      <c r="N1245" s="265"/>
      <c r="O1245" s="265"/>
      <c r="P1245" s="265"/>
      <c r="Q1245" s="265"/>
      <c r="BR1245" s="265"/>
      <c r="BS1245" s="265"/>
      <c r="BT1245" s="265"/>
      <c r="BU1245" s="265"/>
      <c r="BV1245" s="265"/>
    </row>
    <row r="1246" spans="12:74">
      <c r="L1246" s="265"/>
      <c r="M1246" s="265"/>
      <c r="N1246" s="265"/>
      <c r="O1246" s="265"/>
      <c r="P1246" s="265"/>
      <c r="Q1246" s="265"/>
      <c r="BR1246" s="265"/>
      <c r="BS1246" s="265"/>
      <c r="BT1246" s="265"/>
      <c r="BU1246" s="265"/>
      <c r="BV1246" s="265"/>
    </row>
    <row r="1247" spans="12:74">
      <c r="L1247" s="265"/>
      <c r="M1247" s="265"/>
      <c r="N1247" s="265"/>
      <c r="O1247" s="265"/>
      <c r="P1247" s="265"/>
      <c r="Q1247" s="265"/>
      <c r="BR1247" s="265"/>
      <c r="BS1247" s="265"/>
      <c r="BT1247" s="265"/>
      <c r="BU1247" s="265"/>
      <c r="BV1247" s="265"/>
    </row>
    <row r="1248" spans="12:74">
      <c r="L1248" s="265"/>
      <c r="M1248" s="265"/>
      <c r="N1248" s="265"/>
      <c r="O1248" s="265"/>
      <c r="P1248" s="265"/>
      <c r="Q1248" s="265"/>
      <c r="BR1248" s="265"/>
      <c r="BS1248" s="265"/>
      <c r="BT1248" s="265"/>
      <c r="BU1248" s="265"/>
      <c r="BV1248" s="265"/>
    </row>
    <row r="1249" spans="12:74">
      <c r="L1249" s="265"/>
      <c r="M1249" s="265"/>
      <c r="N1249" s="265"/>
      <c r="O1249" s="265"/>
      <c r="P1249" s="265"/>
      <c r="Q1249" s="265"/>
      <c r="BR1249" s="265"/>
      <c r="BS1249" s="265"/>
      <c r="BT1249" s="265"/>
      <c r="BU1249" s="265"/>
      <c r="BV1249" s="265"/>
    </row>
    <row r="1250" spans="12:74">
      <c r="L1250" s="265"/>
      <c r="M1250" s="265"/>
      <c r="N1250" s="265"/>
      <c r="O1250" s="265"/>
      <c r="P1250" s="265"/>
      <c r="Q1250" s="265"/>
      <c r="BR1250" s="265"/>
      <c r="BS1250" s="265"/>
      <c r="BT1250" s="265"/>
      <c r="BU1250" s="265"/>
      <c r="BV1250" s="265"/>
    </row>
    <row r="1251" spans="12:74">
      <c r="L1251" s="265"/>
      <c r="M1251" s="265"/>
      <c r="N1251" s="265"/>
      <c r="O1251" s="265"/>
      <c r="P1251" s="265"/>
      <c r="Q1251" s="265"/>
      <c r="BR1251" s="265"/>
      <c r="BS1251" s="265"/>
      <c r="BT1251" s="265"/>
      <c r="BU1251" s="265"/>
      <c r="BV1251" s="265"/>
    </row>
    <row r="1252" spans="12:74">
      <c r="L1252" s="265"/>
      <c r="M1252" s="265"/>
      <c r="N1252" s="265"/>
      <c r="O1252" s="265"/>
      <c r="P1252" s="265"/>
      <c r="Q1252" s="265"/>
      <c r="BR1252" s="265"/>
      <c r="BS1252" s="265"/>
      <c r="BT1252" s="265"/>
      <c r="BU1252" s="265"/>
      <c r="BV1252" s="265"/>
    </row>
    <row r="1253" spans="12:74">
      <c r="L1253" s="265"/>
      <c r="M1253" s="265"/>
      <c r="N1253" s="265"/>
      <c r="O1253" s="265"/>
      <c r="P1253" s="265"/>
      <c r="Q1253" s="265"/>
      <c r="BR1253" s="265"/>
      <c r="BS1253" s="265"/>
      <c r="BT1253" s="265"/>
      <c r="BU1253" s="265"/>
      <c r="BV1253" s="265"/>
    </row>
    <row r="1254" spans="12:74">
      <c r="L1254" s="265"/>
      <c r="M1254" s="265"/>
      <c r="N1254" s="265"/>
      <c r="O1254" s="265"/>
      <c r="P1254" s="265"/>
      <c r="Q1254" s="265"/>
      <c r="BR1254" s="265"/>
      <c r="BS1254" s="265"/>
      <c r="BT1254" s="265"/>
      <c r="BU1254" s="265"/>
      <c r="BV1254" s="265"/>
    </row>
    <row r="1255" spans="12:74">
      <c r="L1255" s="265"/>
      <c r="M1255" s="265"/>
      <c r="N1255" s="265"/>
      <c r="O1255" s="265"/>
      <c r="P1255" s="265"/>
      <c r="Q1255" s="265"/>
      <c r="BR1255" s="265"/>
      <c r="BS1255" s="265"/>
      <c r="BT1255" s="265"/>
      <c r="BU1255" s="265"/>
      <c r="BV1255" s="265"/>
    </row>
    <row r="1256" spans="12:74">
      <c r="L1256" s="265"/>
      <c r="M1256" s="265"/>
      <c r="N1256" s="265"/>
      <c r="O1256" s="265"/>
      <c r="P1256" s="265"/>
      <c r="Q1256" s="265"/>
      <c r="BR1256" s="265"/>
      <c r="BS1256" s="265"/>
      <c r="BT1256" s="265"/>
      <c r="BU1256" s="265"/>
      <c r="BV1256" s="265"/>
    </row>
    <row r="1257" spans="12:74">
      <c r="L1257" s="265"/>
      <c r="M1257" s="265"/>
      <c r="N1257" s="265"/>
      <c r="O1257" s="265"/>
      <c r="P1257" s="265"/>
      <c r="Q1257" s="265"/>
      <c r="BR1257" s="265"/>
      <c r="BS1257" s="265"/>
      <c r="BT1257" s="265"/>
      <c r="BU1257" s="265"/>
      <c r="BV1257" s="265"/>
    </row>
    <row r="1258" spans="12:74">
      <c r="L1258" s="265"/>
      <c r="M1258" s="265"/>
      <c r="N1258" s="265"/>
      <c r="O1258" s="265"/>
      <c r="P1258" s="265"/>
      <c r="Q1258" s="265"/>
      <c r="BR1258" s="265"/>
      <c r="BS1258" s="265"/>
      <c r="BT1258" s="265"/>
      <c r="BU1258" s="265"/>
      <c r="BV1258" s="265"/>
    </row>
    <row r="1259" spans="12:74">
      <c r="L1259" s="265"/>
      <c r="M1259" s="265"/>
      <c r="N1259" s="265"/>
      <c r="O1259" s="265"/>
      <c r="P1259" s="265"/>
      <c r="Q1259" s="265"/>
      <c r="BR1259" s="265"/>
      <c r="BS1259" s="265"/>
      <c r="BT1259" s="265"/>
      <c r="BU1259" s="265"/>
      <c r="BV1259" s="265"/>
    </row>
    <row r="1260" spans="12:74">
      <c r="L1260" s="265"/>
      <c r="M1260" s="265"/>
      <c r="N1260" s="265"/>
      <c r="O1260" s="265"/>
      <c r="P1260" s="265"/>
      <c r="Q1260" s="265"/>
      <c r="BR1260" s="265"/>
      <c r="BS1260" s="265"/>
      <c r="BT1260" s="265"/>
      <c r="BU1260" s="265"/>
      <c r="BV1260" s="265"/>
    </row>
    <row r="1261" spans="12:74">
      <c r="L1261" s="265"/>
      <c r="M1261" s="265"/>
      <c r="N1261" s="265"/>
      <c r="O1261" s="265"/>
      <c r="P1261" s="265"/>
      <c r="Q1261" s="265"/>
      <c r="BR1261" s="265"/>
      <c r="BS1261" s="265"/>
      <c r="BT1261" s="265"/>
      <c r="BU1261" s="265"/>
      <c r="BV1261" s="265"/>
    </row>
    <row r="1262" spans="12:74">
      <c r="L1262" s="265"/>
      <c r="M1262" s="265"/>
      <c r="N1262" s="265"/>
      <c r="O1262" s="265"/>
      <c r="P1262" s="265"/>
      <c r="Q1262" s="265"/>
      <c r="BR1262" s="265"/>
      <c r="BS1262" s="265"/>
      <c r="BT1262" s="265"/>
      <c r="BU1262" s="265"/>
      <c r="BV1262" s="265"/>
    </row>
    <row r="1263" spans="12:74">
      <c r="L1263" s="265"/>
      <c r="M1263" s="265"/>
      <c r="N1263" s="265"/>
      <c r="O1263" s="265"/>
      <c r="P1263" s="265"/>
      <c r="Q1263" s="265"/>
      <c r="BR1263" s="265"/>
      <c r="BS1263" s="265"/>
      <c r="BT1263" s="265"/>
      <c r="BU1263" s="265"/>
      <c r="BV1263" s="265"/>
    </row>
    <row r="1264" spans="12:74">
      <c r="L1264" s="265"/>
      <c r="M1264" s="265"/>
      <c r="N1264" s="265"/>
      <c r="O1264" s="265"/>
      <c r="P1264" s="265"/>
      <c r="Q1264" s="265"/>
      <c r="BR1264" s="265"/>
      <c r="BS1264" s="265"/>
      <c r="BT1264" s="265"/>
      <c r="BU1264" s="265"/>
      <c r="BV1264" s="265"/>
    </row>
    <row r="1265" spans="12:74">
      <c r="L1265" s="265"/>
      <c r="M1265" s="265"/>
      <c r="N1265" s="265"/>
      <c r="O1265" s="265"/>
      <c r="P1265" s="265"/>
      <c r="Q1265" s="265"/>
      <c r="BR1265" s="265"/>
      <c r="BS1265" s="265"/>
      <c r="BT1265" s="265"/>
      <c r="BU1265" s="265"/>
      <c r="BV1265" s="265"/>
    </row>
    <row r="1266" spans="12:74">
      <c r="L1266" s="265"/>
      <c r="M1266" s="265"/>
      <c r="N1266" s="265"/>
      <c r="O1266" s="265"/>
      <c r="P1266" s="265"/>
      <c r="Q1266" s="265"/>
      <c r="BR1266" s="265"/>
      <c r="BS1266" s="265"/>
      <c r="BT1266" s="265"/>
      <c r="BU1266" s="265"/>
      <c r="BV1266" s="265"/>
    </row>
    <row r="1267" spans="12:74">
      <c r="L1267" s="265"/>
      <c r="M1267" s="265"/>
      <c r="N1267" s="265"/>
      <c r="O1267" s="265"/>
      <c r="P1267" s="265"/>
      <c r="Q1267" s="265"/>
      <c r="BR1267" s="265"/>
      <c r="BS1267" s="265"/>
      <c r="BT1267" s="265"/>
      <c r="BU1267" s="265"/>
      <c r="BV1267" s="265"/>
    </row>
    <row r="1268" spans="12:74">
      <c r="L1268" s="265"/>
      <c r="M1268" s="265"/>
      <c r="N1268" s="265"/>
      <c r="O1268" s="265"/>
      <c r="P1268" s="265"/>
      <c r="Q1268" s="265"/>
      <c r="BR1268" s="265"/>
      <c r="BS1268" s="265"/>
      <c r="BT1268" s="265"/>
      <c r="BU1268" s="265"/>
      <c r="BV1268" s="265"/>
    </row>
    <row r="1269" spans="12:74">
      <c r="L1269" s="265"/>
      <c r="M1269" s="265"/>
      <c r="N1269" s="265"/>
      <c r="O1269" s="265"/>
      <c r="P1269" s="265"/>
      <c r="Q1269" s="265"/>
      <c r="BR1269" s="265"/>
      <c r="BS1269" s="265"/>
      <c r="BT1269" s="265"/>
      <c r="BU1269" s="265"/>
      <c r="BV1269" s="265"/>
    </row>
    <row r="1270" spans="12:74">
      <c r="L1270" s="265"/>
      <c r="M1270" s="265"/>
      <c r="N1270" s="265"/>
      <c r="O1270" s="265"/>
      <c r="P1270" s="265"/>
      <c r="Q1270" s="265"/>
      <c r="BR1270" s="265"/>
      <c r="BS1270" s="265"/>
      <c r="BT1270" s="265"/>
      <c r="BU1270" s="265"/>
      <c r="BV1270" s="265"/>
    </row>
    <row r="1271" spans="12:74">
      <c r="L1271" s="265"/>
      <c r="M1271" s="265"/>
      <c r="N1271" s="265"/>
      <c r="O1271" s="265"/>
      <c r="P1271" s="265"/>
      <c r="Q1271" s="265"/>
      <c r="BR1271" s="265"/>
      <c r="BS1271" s="265"/>
      <c r="BT1271" s="265"/>
      <c r="BU1271" s="265"/>
      <c r="BV1271" s="265"/>
    </row>
    <row r="1272" spans="12:74">
      <c r="L1272" s="265"/>
      <c r="M1272" s="265"/>
      <c r="N1272" s="265"/>
      <c r="O1272" s="265"/>
      <c r="P1272" s="265"/>
      <c r="Q1272" s="265"/>
      <c r="BR1272" s="265"/>
      <c r="BS1272" s="265"/>
      <c r="BT1272" s="265"/>
      <c r="BU1272" s="265"/>
      <c r="BV1272" s="265"/>
    </row>
    <row r="1273" spans="12:74">
      <c r="L1273" s="265"/>
      <c r="M1273" s="265"/>
      <c r="N1273" s="265"/>
      <c r="O1273" s="265"/>
      <c r="P1273" s="265"/>
      <c r="Q1273" s="265"/>
      <c r="BR1273" s="265"/>
      <c r="BS1273" s="265"/>
      <c r="BT1273" s="265"/>
      <c r="BU1273" s="265"/>
      <c r="BV1273" s="265"/>
    </row>
    <row r="1274" spans="12:74">
      <c r="L1274" s="265"/>
      <c r="M1274" s="265"/>
      <c r="N1274" s="265"/>
      <c r="O1274" s="265"/>
      <c r="P1274" s="265"/>
      <c r="Q1274" s="265"/>
      <c r="BR1274" s="265"/>
      <c r="BS1274" s="265"/>
      <c r="BT1274" s="265"/>
      <c r="BU1274" s="265"/>
      <c r="BV1274" s="265"/>
    </row>
    <row r="1275" spans="12:74">
      <c r="L1275" s="265"/>
      <c r="M1275" s="265"/>
      <c r="N1275" s="265"/>
      <c r="O1275" s="265"/>
      <c r="P1275" s="265"/>
      <c r="Q1275" s="265"/>
      <c r="BR1275" s="265"/>
      <c r="BS1275" s="265"/>
      <c r="BT1275" s="265"/>
      <c r="BU1275" s="265"/>
      <c r="BV1275" s="265"/>
    </row>
    <row r="1276" spans="12:74">
      <c r="L1276" s="265"/>
      <c r="M1276" s="265"/>
      <c r="N1276" s="265"/>
      <c r="O1276" s="265"/>
      <c r="P1276" s="265"/>
      <c r="Q1276" s="265"/>
      <c r="BR1276" s="265"/>
      <c r="BS1276" s="265"/>
      <c r="BT1276" s="265"/>
      <c r="BU1276" s="265"/>
      <c r="BV1276" s="265"/>
    </row>
    <row r="1277" spans="12:74">
      <c r="L1277" s="265"/>
      <c r="M1277" s="265"/>
      <c r="N1277" s="265"/>
      <c r="O1277" s="265"/>
      <c r="P1277" s="265"/>
      <c r="Q1277" s="265"/>
      <c r="BR1277" s="265"/>
      <c r="BS1277" s="265"/>
      <c r="BT1277" s="265"/>
      <c r="BU1277" s="265"/>
      <c r="BV1277" s="265"/>
    </row>
    <row r="1278" spans="12:74">
      <c r="L1278" s="265"/>
      <c r="M1278" s="265"/>
      <c r="N1278" s="265"/>
      <c r="O1278" s="265"/>
      <c r="P1278" s="265"/>
      <c r="Q1278" s="265"/>
      <c r="BR1278" s="265"/>
      <c r="BS1278" s="265"/>
      <c r="BT1278" s="265"/>
      <c r="BU1278" s="265"/>
      <c r="BV1278" s="265"/>
    </row>
    <row r="1279" spans="12:74">
      <c r="L1279" s="265"/>
      <c r="M1279" s="265"/>
      <c r="N1279" s="265"/>
      <c r="O1279" s="265"/>
      <c r="P1279" s="265"/>
      <c r="Q1279" s="265"/>
      <c r="BR1279" s="265"/>
      <c r="BS1279" s="265"/>
      <c r="BT1279" s="265"/>
      <c r="BU1279" s="265"/>
      <c r="BV1279" s="265"/>
    </row>
    <row r="1280" spans="12:74">
      <c r="L1280" s="265"/>
      <c r="M1280" s="265"/>
      <c r="N1280" s="265"/>
      <c r="O1280" s="265"/>
      <c r="P1280" s="265"/>
      <c r="Q1280" s="265"/>
      <c r="BR1280" s="265"/>
      <c r="BS1280" s="265"/>
      <c r="BT1280" s="265"/>
      <c r="BU1280" s="265"/>
      <c r="BV1280" s="265"/>
    </row>
    <row r="1281" spans="12:74">
      <c r="L1281" s="265"/>
      <c r="M1281" s="265"/>
      <c r="N1281" s="265"/>
      <c r="O1281" s="265"/>
      <c r="P1281" s="265"/>
      <c r="Q1281" s="265"/>
      <c r="BR1281" s="265"/>
      <c r="BS1281" s="265"/>
      <c r="BT1281" s="265"/>
      <c r="BU1281" s="265"/>
      <c r="BV1281" s="265"/>
    </row>
    <row r="1282" spans="12:74">
      <c r="L1282" s="265"/>
      <c r="M1282" s="265"/>
      <c r="N1282" s="265"/>
      <c r="O1282" s="265"/>
      <c r="P1282" s="265"/>
      <c r="Q1282" s="265"/>
      <c r="BR1282" s="265"/>
      <c r="BS1282" s="265"/>
      <c r="BT1282" s="265"/>
      <c r="BU1282" s="265"/>
      <c r="BV1282" s="265"/>
    </row>
    <row r="1283" spans="12:74">
      <c r="L1283" s="265"/>
      <c r="M1283" s="265"/>
      <c r="N1283" s="265"/>
      <c r="O1283" s="265"/>
      <c r="P1283" s="265"/>
      <c r="Q1283" s="265"/>
      <c r="BR1283" s="265"/>
      <c r="BS1283" s="265"/>
      <c r="BT1283" s="265"/>
      <c r="BU1283" s="265"/>
      <c r="BV1283" s="265"/>
    </row>
    <row r="1284" spans="12:74">
      <c r="L1284" s="265"/>
      <c r="M1284" s="265"/>
      <c r="N1284" s="265"/>
      <c r="O1284" s="265"/>
      <c r="P1284" s="265"/>
      <c r="Q1284" s="265"/>
      <c r="BR1284" s="265"/>
      <c r="BS1284" s="265"/>
      <c r="BT1284" s="265"/>
      <c r="BU1284" s="265"/>
      <c r="BV1284" s="265"/>
    </row>
    <row r="1285" spans="12:74">
      <c r="L1285" s="265"/>
      <c r="M1285" s="265"/>
      <c r="N1285" s="265"/>
      <c r="O1285" s="265"/>
      <c r="P1285" s="265"/>
      <c r="Q1285" s="265"/>
      <c r="BR1285" s="265"/>
      <c r="BS1285" s="265"/>
      <c r="BT1285" s="265"/>
      <c r="BU1285" s="265"/>
      <c r="BV1285" s="265"/>
    </row>
    <row r="1286" spans="12:74">
      <c r="L1286" s="265"/>
      <c r="M1286" s="265"/>
      <c r="N1286" s="265"/>
      <c r="O1286" s="265"/>
      <c r="P1286" s="265"/>
      <c r="Q1286" s="265"/>
      <c r="BR1286" s="265"/>
      <c r="BS1286" s="265"/>
      <c r="BT1286" s="265"/>
      <c r="BU1286" s="265"/>
      <c r="BV1286" s="265"/>
    </row>
    <row r="1287" spans="12:74">
      <c r="L1287" s="265"/>
      <c r="M1287" s="265"/>
      <c r="N1287" s="265"/>
      <c r="O1287" s="265"/>
      <c r="P1287" s="265"/>
      <c r="Q1287" s="265"/>
      <c r="BR1287" s="265"/>
      <c r="BS1287" s="265"/>
      <c r="BT1287" s="265"/>
      <c r="BU1287" s="265"/>
      <c r="BV1287" s="265"/>
    </row>
    <row r="1288" spans="12:74">
      <c r="L1288" s="265"/>
      <c r="M1288" s="265"/>
      <c r="N1288" s="265"/>
      <c r="O1288" s="265"/>
      <c r="P1288" s="265"/>
      <c r="Q1288" s="265"/>
      <c r="BR1288" s="265"/>
      <c r="BS1288" s="265"/>
      <c r="BT1288" s="265"/>
      <c r="BU1288" s="265"/>
      <c r="BV1288" s="265"/>
    </row>
    <row r="1289" spans="12:74">
      <c r="L1289" s="265"/>
      <c r="M1289" s="265"/>
      <c r="N1289" s="265"/>
      <c r="O1289" s="265"/>
      <c r="P1289" s="265"/>
      <c r="Q1289" s="265"/>
      <c r="BR1289" s="265"/>
      <c r="BS1289" s="265"/>
      <c r="BT1289" s="265"/>
      <c r="BU1289" s="265"/>
      <c r="BV1289" s="265"/>
    </row>
    <row r="1290" spans="12:74">
      <c r="L1290" s="265"/>
      <c r="M1290" s="265"/>
      <c r="N1290" s="265"/>
      <c r="O1290" s="265"/>
      <c r="P1290" s="265"/>
      <c r="Q1290" s="265"/>
      <c r="BR1290" s="265"/>
      <c r="BS1290" s="265"/>
      <c r="BT1290" s="265"/>
      <c r="BU1290" s="265"/>
      <c r="BV1290" s="265"/>
    </row>
    <row r="1291" spans="12:74">
      <c r="L1291" s="265"/>
      <c r="M1291" s="265"/>
      <c r="N1291" s="265"/>
      <c r="O1291" s="265"/>
      <c r="P1291" s="265"/>
      <c r="Q1291" s="265"/>
      <c r="BR1291" s="265"/>
      <c r="BS1291" s="265"/>
      <c r="BT1291" s="265"/>
      <c r="BU1291" s="265"/>
      <c r="BV1291" s="265"/>
    </row>
    <row r="1292" spans="12:74">
      <c r="L1292" s="265"/>
      <c r="M1292" s="265"/>
      <c r="N1292" s="265"/>
      <c r="O1292" s="265"/>
      <c r="P1292" s="265"/>
      <c r="Q1292" s="265"/>
      <c r="BR1292" s="265"/>
      <c r="BS1292" s="265"/>
      <c r="BT1292" s="265"/>
      <c r="BU1292" s="265"/>
      <c r="BV1292" s="265"/>
    </row>
    <row r="1293" spans="12:74">
      <c r="L1293" s="265"/>
      <c r="M1293" s="265"/>
      <c r="N1293" s="265"/>
      <c r="O1293" s="265"/>
      <c r="P1293" s="265"/>
      <c r="Q1293" s="265"/>
      <c r="BR1293" s="265"/>
      <c r="BS1293" s="265"/>
      <c r="BT1293" s="265"/>
      <c r="BU1293" s="265"/>
      <c r="BV1293" s="265"/>
    </row>
    <row r="1294" spans="12:74">
      <c r="L1294" s="265"/>
      <c r="M1294" s="265"/>
      <c r="N1294" s="265"/>
      <c r="O1294" s="265"/>
      <c r="P1294" s="265"/>
      <c r="Q1294" s="265"/>
      <c r="BR1294" s="265"/>
      <c r="BS1294" s="265"/>
      <c r="BT1294" s="265"/>
      <c r="BU1294" s="265"/>
      <c r="BV1294" s="265"/>
    </row>
    <row r="1295" spans="12:74">
      <c r="L1295" s="265"/>
      <c r="M1295" s="265"/>
      <c r="N1295" s="265"/>
      <c r="O1295" s="265"/>
      <c r="P1295" s="265"/>
      <c r="Q1295" s="265"/>
      <c r="BR1295" s="265"/>
      <c r="BS1295" s="265"/>
      <c r="BT1295" s="265"/>
      <c r="BU1295" s="265"/>
      <c r="BV1295" s="265"/>
    </row>
    <row r="1296" spans="12:74">
      <c r="L1296" s="265"/>
      <c r="M1296" s="265"/>
      <c r="N1296" s="265"/>
      <c r="O1296" s="265"/>
      <c r="P1296" s="265"/>
      <c r="Q1296" s="265"/>
      <c r="BR1296" s="265"/>
      <c r="BS1296" s="265"/>
      <c r="BT1296" s="265"/>
      <c r="BU1296" s="265"/>
      <c r="BV1296" s="265"/>
    </row>
    <row r="1297" spans="12:74">
      <c r="L1297" s="265"/>
      <c r="M1297" s="265"/>
      <c r="N1297" s="265"/>
      <c r="O1297" s="265"/>
      <c r="P1297" s="265"/>
      <c r="Q1297" s="265"/>
      <c r="BR1297" s="265"/>
      <c r="BS1297" s="265"/>
      <c r="BT1297" s="265"/>
      <c r="BU1297" s="265"/>
      <c r="BV1297" s="265"/>
    </row>
    <row r="1298" spans="12:74">
      <c r="L1298" s="265"/>
      <c r="M1298" s="265"/>
      <c r="N1298" s="265"/>
      <c r="O1298" s="265"/>
      <c r="P1298" s="265"/>
      <c r="Q1298" s="265"/>
      <c r="BR1298" s="265"/>
      <c r="BS1298" s="265"/>
      <c r="BT1298" s="265"/>
      <c r="BU1298" s="265"/>
      <c r="BV1298" s="265"/>
    </row>
    <row r="1299" spans="12:74">
      <c r="L1299" s="265"/>
      <c r="M1299" s="265"/>
      <c r="N1299" s="265"/>
      <c r="O1299" s="265"/>
      <c r="P1299" s="265"/>
      <c r="Q1299" s="265"/>
      <c r="BR1299" s="265"/>
      <c r="BS1299" s="265"/>
      <c r="BT1299" s="265"/>
      <c r="BU1299" s="265"/>
      <c r="BV1299" s="265"/>
    </row>
    <row r="1300" spans="12:74">
      <c r="L1300" s="265"/>
      <c r="M1300" s="265"/>
      <c r="N1300" s="265"/>
      <c r="O1300" s="265"/>
      <c r="P1300" s="265"/>
      <c r="Q1300" s="265"/>
      <c r="BR1300" s="265"/>
      <c r="BS1300" s="265"/>
      <c r="BT1300" s="265"/>
      <c r="BU1300" s="265"/>
      <c r="BV1300" s="265"/>
    </row>
    <row r="1301" spans="12:74">
      <c r="L1301" s="265"/>
      <c r="M1301" s="265"/>
      <c r="N1301" s="265"/>
      <c r="O1301" s="265"/>
      <c r="P1301" s="265"/>
      <c r="Q1301" s="265"/>
      <c r="BR1301" s="265"/>
      <c r="BS1301" s="265"/>
      <c r="BT1301" s="265"/>
      <c r="BU1301" s="265"/>
      <c r="BV1301" s="265"/>
    </row>
    <row r="1302" spans="12:74">
      <c r="L1302" s="265"/>
      <c r="M1302" s="265"/>
      <c r="N1302" s="265"/>
      <c r="O1302" s="265"/>
      <c r="P1302" s="265"/>
      <c r="Q1302" s="265"/>
      <c r="BR1302" s="265"/>
      <c r="BS1302" s="265"/>
      <c r="BT1302" s="265"/>
      <c r="BU1302" s="265"/>
      <c r="BV1302" s="265"/>
    </row>
    <row r="1303" spans="12:74">
      <c r="L1303" s="265"/>
      <c r="M1303" s="265"/>
      <c r="N1303" s="265"/>
      <c r="O1303" s="265"/>
      <c r="P1303" s="265"/>
      <c r="Q1303" s="265"/>
      <c r="BR1303" s="265"/>
      <c r="BS1303" s="265"/>
      <c r="BT1303" s="265"/>
      <c r="BU1303" s="265"/>
      <c r="BV1303" s="265"/>
    </row>
    <row r="1304" spans="12:74">
      <c r="L1304" s="265"/>
      <c r="M1304" s="265"/>
      <c r="N1304" s="265"/>
      <c r="O1304" s="265"/>
      <c r="P1304" s="265"/>
      <c r="Q1304" s="265"/>
      <c r="BR1304" s="265"/>
      <c r="BS1304" s="265"/>
      <c r="BT1304" s="265"/>
      <c r="BU1304" s="265"/>
      <c r="BV1304" s="265"/>
    </row>
    <row r="1305" spans="12:74">
      <c r="L1305" s="265"/>
      <c r="M1305" s="265"/>
      <c r="N1305" s="265"/>
      <c r="O1305" s="265"/>
      <c r="P1305" s="265"/>
      <c r="Q1305" s="265"/>
      <c r="BR1305" s="265"/>
      <c r="BS1305" s="265"/>
      <c r="BT1305" s="265"/>
      <c r="BU1305" s="265"/>
      <c r="BV1305" s="265"/>
    </row>
    <row r="1306" spans="12:74">
      <c r="L1306" s="265"/>
      <c r="M1306" s="265"/>
      <c r="N1306" s="265"/>
      <c r="O1306" s="265"/>
      <c r="P1306" s="265"/>
      <c r="Q1306" s="265"/>
      <c r="BR1306" s="265"/>
      <c r="BS1306" s="265"/>
      <c r="BT1306" s="265"/>
      <c r="BU1306" s="265"/>
      <c r="BV1306" s="265"/>
    </row>
    <row r="1307" spans="12:74">
      <c r="L1307" s="265"/>
      <c r="M1307" s="265"/>
      <c r="N1307" s="265"/>
      <c r="O1307" s="265"/>
      <c r="P1307" s="265"/>
      <c r="Q1307" s="265"/>
      <c r="BR1307" s="265"/>
      <c r="BS1307" s="265"/>
      <c r="BT1307" s="265"/>
      <c r="BU1307" s="265"/>
      <c r="BV1307" s="265"/>
    </row>
    <row r="1308" spans="12:74">
      <c r="L1308" s="265"/>
      <c r="M1308" s="265"/>
      <c r="N1308" s="265"/>
      <c r="O1308" s="265"/>
      <c r="P1308" s="265"/>
      <c r="Q1308" s="265"/>
      <c r="BR1308" s="265"/>
      <c r="BS1308" s="265"/>
      <c r="BT1308" s="265"/>
      <c r="BU1308" s="265"/>
      <c r="BV1308" s="265"/>
    </row>
    <row r="1309" spans="12:74">
      <c r="L1309" s="265"/>
      <c r="M1309" s="265"/>
      <c r="N1309" s="265"/>
      <c r="O1309" s="265"/>
      <c r="P1309" s="265"/>
      <c r="Q1309" s="265"/>
      <c r="BR1309" s="265"/>
      <c r="BS1309" s="265"/>
      <c r="BT1309" s="265"/>
      <c r="BU1309" s="265"/>
      <c r="BV1309" s="265"/>
    </row>
    <row r="1310" spans="12:74">
      <c r="L1310" s="265"/>
      <c r="M1310" s="265"/>
      <c r="N1310" s="265"/>
      <c r="O1310" s="265"/>
      <c r="P1310" s="265"/>
      <c r="Q1310" s="265"/>
      <c r="BR1310" s="265"/>
      <c r="BS1310" s="265"/>
      <c r="BT1310" s="265"/>
      <c r="BU1310" s="265"/>
      <c r="BV1310" s="265"/>
    </row>
    <row r="1311" spans="12:74">
      <c r="L1311" s="265"/>
      <c r="M1311" s="265"/>
      <c r="N1311" s="265"/>
      <c r="O1311" s="265"/>
      <c r="P1311" s="265"/>
      <c r="Q1311" s="265"/>
      <c r="BR1311" s="265"/>
      <c r="BS1311" s="265"/>
      <c r="BT1311" s="265"/>
      <c r="BU1311" s="265"/>
      <c r="BV1311" s="265"/>
    </row>
    <row r="1312" spans="12:74">
      <c r="L1312" s="265"/>
      <c r="M1312" s="265"/>
      <c r="N1312" s="265"/>
      <c r="O1312" s="265"/>
      <c r="P1312" s="265"/>
      <c r="Q1312" s="265"/>
      <c r="BR1312" s="265"/>
      <c r="BS1312" s="265"/>
      <c r="BT1312" s="265"/>
      <c r="BU1312" s="265"/>
      <c r="BV1312" s="265"/>
    </row>
    <row r="1313" spans="12:74">
      <c r="L1313" s="265"/>
      <c r="M1313" s="265"/>
      <c r="N1313" s="265"/>
      <c r="O1313" s="265"/>
      <c r="P1313" s="265"/>
      <c r="Q1313" s="265"/>
      <c r="BR1313" s="265"/>
      <c r="BS1313" s="265"/>
      <c r="BT1313" s="265"/>
      <c r="BU1313" s="265"/>
      <c r="BV1313" s="265"/>
    </row>
    <row r="1314" spans="12:74">
      <c r="L1314" s="265"/>
      <c r="M1314" s="265"/>
      <c r="N1314" s="265"/>
      <c r="O1314" s="265"/>
      <c r="P1314" s="265"/>
      <c r="Q1314" s="265"/>
      <c r="BR1314" s="265"/>
      <c r="BS1314" s="265"/>
      <c r="BT1314" s="265"/>
      <c r="BU1314" s="265"/>
      <c r="BV1314" s="265"/>
    </row>
    <row r="1315" spans="12:74">
      <c r="L1315" s="265"/>
      <c r="M1315" s="265"/>
      <c r="N1315" s="265"/>
      <c r="O1315" s="265"/>
      <c r="P1315" s="265"/>
      <c r="Q1315" s="265"/>
      <c r="BR1315" s="265"/>
      <c r="BS1315" s="265"/>
      <c r="BT1315" s="265"/>
      <c r="BU1315" s="265"/>
      <c r="BV1315" s="265"/>
    </row>
    <row r="1316" spans="12:74">
      <c r="L1316" s="265"/>
      <c r="M1316" s="265"/>
      <c r="N1316" s="265"/>
      <c r="O1316" s="265"/>
      <c r="P1316" s="265"/>
      <c r="Q1316" s="265"/>
      <c r="BR1316" s="265"/>
      <c r="BS1316" s="265"/>
      <c r="BT1316" s="265"/>
      <c r="BU1316" s="265"/>
      <c r="BV1316" s="265"/>
    </row>
    <row r="1317" spans="12:74">
      <c r="L1317" s="265"/>
      <c r="M1317" s="265"/>
      <c r="N1317" s="265"/>
      <c r="O1317" s="265"/>
      <c r="P1317" s="265"/>
      <c r="Q1317" s="265"/>
      <c r="BR1317" s="265"/>
      <c r="BS1317" s="265"/>
      <c r="BT1317" s="265"/>
      <c r="BU1317" s="265"/>
      <c r="BV1317" s="265"/>
    </row>
    <row r="1318" spans="12:74">
      <c r="L1318" s="265"/>
      <c r="M1318" s="265"/>
      <c r="N1318" s="265"/>
      <c r="O1318" s="265"/>
      <c r="P1318" s="265"/>
      <c r="Q1318" s="265"/>
      <c r="BR1318" s="265"/>
      <c r="BS1318" s="265"/>
      <c r="BT1318" s="265"/>
      <c r="BU1318" s="265"/>
      <c r="BV1318" s="265"/>
    </row>
    <row r="1319" spans="12:74">
      <c r="L1319" s="265"/>
      <c r="M1319" s="265"/>
      <c r="N1319" s="265"/>
      <c r="O1319" s="265"/>
      <c r="P1319" s="265"/>
      <c r="Q1319" s="265"/>
      <c r="BR1319" s="265"/>
      <c r="BS1319" s="265"/>
      <c r="BT1319" s="265"/>
      <c r="BU1319" s="265"/>
      <c r="BV1319" s="265"/>
    </row>
    <row r="1320" spans="12:74">
      <c r="L1320" s="265"/>
      <c r="M1320" s="265"/>
      <c r="N1320" s="265"/>
      <c r="O1320" s="265"/>
      <c r="P1320" s="265"/>
      <c r="Q1320" s="265"/>
      <c r="BR1320" s="265"/>
      <c r="BS1320" s="265"/>
      <c r="BT1320" s="265"/>
      <c r="BU1320" s="265"/>
      <c r="BV1320" s="265"/>
    </row>
    <row r="1321" spans="12:74">
      <c r="L1321" s="265"/>
      <c r="M1321" s="265"/>
      <c r="N1321" s="265"/>
      <c r="O1321" s="265"/>
      <c r="P1321" s="265"/>
      <c r="Q1321" s="265"/>
      <c r="BR1321" s="265"/>
      <c r="BS1321" s="265"/>
      <c r="BT1321" s="265"/>
      <c r="BU1321" s="265"/>
      <c r="BV1321" s="265"/>
    </row>
    <row r="1322" spans="12:74">
      <c r="L1322" s="265"/>
      <c r="M1322" s="265"/>
      <c r="N1322" s="265"/>
      <c r="O1322" s="265"/>
      <c r="P1322" s="265"/>
      <c r="Q1322" s="265"/>
      <c r="BR1322" s="265"/>
      <c r="BS1322" s="265"/>
      <c r="BT1322" s="265"/>
      <c r="BU1322" s="265"/>
      <c r="BV1322" s="265"/>
    </row>
    <row r="1323" spans="12:74">
      <c r="L1323" s="265"/>
      <c r="M1323" s="265"/>
      <c r="N1323" s="265"/>
      <c r="O1323" s="265"/>
      <c r="P1323" s="265"/>
      <c r="Q1323" s="265"/>
      <c r="BR1323" s="265"/>
      <c r="BS1323" s="265"/>
      <c r="BT1323" s="265"/>
      <c r="BU1323" s="265"/>
      <c r="BV1323" s="265"/>
    </row>
    <row r="1324" spans="12:74">
      <c r="L1324" s="265"/>
      <c r="M1324" s="265"/>
      <c r="N1324" s="265"/>
      <c r="O1324" s="265"/>
      <c r="P1324" s="265"/>
      <c r="Q1324" s="265"/>
      <c r="BR1324" s="265"/>
      <c r="BS1324" s="265"/>
      <c r="BT1324" s="265"/>
      <c r="BU1324" s="265"/>
      <c r="BV1324" s="265"/>
    </row>
    <row r="1325" spans="12:74">
      <c r="L1325" s="265"/>
      <c r="M1325" s="265"/>
      <c r="N1325" s="265"/>
      <c r="O1325" s="265"/>
      <c r="P1325" s="265"/>
      <c r="Q1325" s="265"/>
      <c r="BR1325" s="265"/>
      <c r="BS1325" s="265"/>
      <c r="BT1325" s="265"/>
      <c r="BU1325" s="265"/>
      <c r="BV1325" s="265"/>
    </row>
    <row r="1326" spans="12:74">
      <c r="L1326" s="265"/>
      <c r="M1326" s="265"/>
      <c r="N1326" s="265"/>
      <c r="O1326" s="265"/>
      <c r="P1326" s="265"/>
      <c r="Q1326" s="265"/>
      <c r="BR1326" s="265"/>
      <c r="BS1326" s="265"/>
      <c r="BT1326" s="265"/>
      <c r="BU1326" s="265"/>
      <c r="BV1326" s="265"/>
    </row>
    <row r="1327" spans="12:74">
      <c r="L1327" s="265"/>
      <c r="M1327" s="265"/>
      <c r="N1327" s="265"/>
      <c r="O1327" s="265"/>
      <c r="P1327" s="265"/>
      <c r="Q1327" s="265"/>
      <c r="BR1327" s="265"/>
      <c r="BS1327" s="265"/>
      <c r="BT1327" s="265"/>
      <c r="BU1327" s="265"/>
      <c r="BV1327" s="265"/>
    </row>
    <row r="1328" spans="12:74">
      <c r="L1328" s="265"/>
      <c r="M1328" s="265"/>
      <c r="N1328" s="265"/>
      <c r="O1328" s="265"/>
      <c r="P1328" s="265"/>
      <c r="Q1328" s="265"/>
      <c r="BR1328" s="265"/>
      <c r="BS1328" s="265"/>
      <c r="BT1328" s="265"/>
      <c r="BU1328" s="265"/>
      <c r="BV1328" s="265"/>
    </row>
    <row r="1329" spans="12:74">
      <c r="L1329" s="265"/>
      <c r="M1329" s="265"/>
      <c r="N1329" s="265"/>
      <c r="O1329" s="265"/>
      <c r="P1329" s="265"/>
      <c r="Q1329" s="265"/>
      <c r="BR1329" s="265"/>
      <c r="BS1329" s="265"/>
      <c r="BT1329" s="265"/>
      <c r="BU1329" s="265"/>
      <c r="BV1329" s="265"/>
    </row>
    <row r="1330" spans="12:74">
      <c r="L1330" s="265"/>
      <c r="M1330" s="265"/>
      <c r="N1330" s="265"/>
      <c r="O1330" s="265"/>
      <c r="P1330" s="265"/>
      <c r="Q1330" s="265"/>
      <c r="BR1330" s="265"/>
      <c r="BS1330" s="265"/>
      <c r="BT1330" s="265"/>
      <c r="BU1330" s="265"/>
      <c r="BV1330" s="265"/>
    </row>
    <row r="1331" spans="12:74">
      <c r="L1331" s="265"/>
      <c r="M1331" s="265"/>
      <c r="N1331" s="265"/>
      <c r="O1331" s="265"/>
      <c r="P1331" s="265"/>
      <c r="Q1331" s="265"/>
      <c r="BR1331" s="265"/>
      <c r="BS1331" s="265"/>
      <c r="BT1331" s="265"/>
      <c r="BU1331" s="265"/>
      <c r="BV1331" s="265"/>
    </row>
    <row r="1332" spans="12:74">
      <c r="L1332" s="265"/>
      <c r="M1332" s="265"/>
      <c r="N1332" s="265"/>
      <c r="O1332" s="265"/>
      <c r="P1332" s="265"/>
      <c r="Q1332" s="265"/>
      <c r="BR1332" s="265"/>
      <c r="BS1332" s="265"/>
      <c r="BT1332" s="265"/>
      <c r="BU1332" s="265"/>
      <c r="BV1332" s="265"/>
    </row>
    <row r="1333" spans="12:74">
      <c r="L1333" s="265"/>
      <c r="M1333" s="265"/>
      <c r="N1333" s="265"/>
      <c r="O1333" s="265"/>
      <c r="P1333" s="265"/>
      <c r="Q1333" s="265"/>
      <c r="BR1333" s="265"/>
      <c r="BS1333" s="265"/>
      <c r="BT1333" s="265"/>
      <c r="BU1333" s="265"/>
      <c r="BV1333" s="265"/>
    </row>
    <row r="1334" spans="12:74">
      <c r="L1334" s="265"/>
      <c r="M1334" s="265"/>
      <c r="N1334" s="265"/>
      <c r="O1334" s="265"/>
      <c r="P1334" s="265"/>
      <c r="Q1334" s="265"/>
      <c r="BR1334" s="265"/>
      <c r="BS1334" s="265"/>
      <c r="BT1334" s="265"/>
      <c r="BU1334" s="265"/>
      <c r="BV1334" s="265"/>
    </row>
    <row r="1335" spans="12:74">
      <c r="L1335" s="265"/>
      <c r="M1335" s="265"/>
      <c r="N1335" s="265"/>
      <c r="O1335" s="265"/>
      <c r="P1335" s="265"/>
      <c r="Q1335" s="265"/>
      <c r="BR1335" s="265"/>
      <c r="BS1335" s="265"/>
      <c r="BT1335" s="265"/>
      <c r="BU1335" s="265"/>
      <c r="BV1335" s="265"/>
    </row>
    <row r="1336" spans="12:74">
      <c r="L1336" s="265"/>
      <c r="M1336" s="265"/>
      <c r="N1336" s="265"/>
      <c r="O1336" s="265"/>
      <c r="P1336" s="265"/>
      <c r="Q1336" s="265"/>
      <c r="BR1336" s="265"/>
      <c r="BS1336" s="265"/>
      <c r="BT1336" s="265"/>
      <c r="BU1336" s="265"/>
      <c r="BV1336" s="265"/>
    </row>
    <row r="1337" spans="12:74">
      <c r="L1337" s="265"/>
      <c r="M1337" s="265"/>
      <c r="N1337" s="265"/>
      <c r="O1337" s="265"/>
      <c r="P1337" s="265"/>
      <c r="Q1337" s="265"/>
      <c r="BR1337" s="265"/>
      <c r="BS1337" s="265"/>
      <c r="BT1337" s="265"/>
      <c r="BU1337" s="265"/>
      <c r="BV1337" s="265"/>
    </row>
    <row r="1338" spans="12:74">
      <c r="L1338" s="265"/>
      <c r="M1338" s="265"/>
      <c r="N1338" s="265"/>
      <c r="O1338" s="265"/>
      <c r="P1338" s="265"/>
      <c r="Q1338" s="265"/>
      <c r="BR1338" s="265"/>
      <c r="BS1338" s="265"/>
      <c r="BT1338" s="265"/>
      <c r="BU1338" s="265"/>
      <c r="BV1338" s="265"/>
    </row>
    <row r="1339" spans="12:74">
      <c r="L1339" s="265"/>
      <c r="M1339" s="265"/>
      <c r="N1339" s="265"/>
      <c r="O1339" s="265"/>
      <c r="P1339" s="265"/>
      <c r="Q1339" s="265"/>
      <c r="BR1339" s="265"/>
      <c r="BS1339" s="265"/>
      <c r="BT1339" s="265"/>
      <c r="BU1339" s="265"/>
      <c r="BV1339" s="265"/>
    </row>
    <row r="1340" spans="12:74">
      <c r="L1340" s="265"/>
      <c r="M1340" s="265"/>
      <c r="N1340" s="265"/>
      <c r="O1340" s="265"/>
      <c r="P1340" s="265"/>
      <c r="Q1340" s="265"/>
      <c r="BR1340" s="265"/>
      <c r="BS1340" s="265"/>
      <c r="BT1340" s="265"/>
      <c r="BU1340" s="265"/>
      <c r="BV1340" s="265"/>
    </row>
    <row r="1341" spans="12:74">
      <c r="L1341" s="265"/>
      <c r="M1341" s="265"/>
      <c r="N1341" s="265"/>
      <c r="O1341" s="265"/>
      <c r="P1341" s="265"/>
      <c r="Q1341" s="265"/>
      <c r="BR1341" s="265"/>
      <c r="BS1341" s="265"/>
      <c r="BT1341" s="265"/>
      <c r="BU1341" s="265"/>
      <c r="BV1341" s="265"/>
    </row>
    <row r="1342" spans="12:74">
      <c r="L1342" s="265"/>
      <c r="M1342" s="265"/>
      <c r="N1342" s="265"/>
      <c r="O1342" s="265"/>
      <c r="P1342" s="265"/>
      <c r="Q1342" s="265"/>
      <c r="BR1342" s="265"/>
      <c r="BS1342" s="265"/>
      <c r="BT1342" s="265"/>
      <c r="BU1342" s="265"/>
      <c r="BV1342" s="265"/>
    </row>
    <row r="1343" spans="12:74">
      <c r="L1343" s="265"/>
      <c r="M1343" s="265"/>
      <c r="N1343" s="265"/>
      <c r="O1343" s="265"/>
      <c r="P1343" s="265"/>
      <c r="Q1343" s="265"/>
      <c r="BR1343" s="265"/>
      <c r="BS1343" s="265"/>
      <c r="BT1343" s="265"/>
      <c r="BU1343" s="265"/>
      <c r="BV1343" s="265"/>
    </row>
    <row r="1344" spans="12:74">
      <c r="L1344" s="265"/>
      <c r="M1344" s="265"/>
      <c r="N1344" s="265"/>
      <c r="O1344" s="265"/>
      <c r="P1344" s="265"/>
      <c r="Q1344" s="265"/>
      <c r="BR1344" s="265"/>
      <c r="BS1344" s="265"/>
      <c r="BT1344" s="265"/>
      <c r="BU1344" s="265"/>
      <c r="BV1344" s="265"/>
    </row>
    <row r="1345" spans="12:74">
      <c r="L1345" s="265"/>
      <c r="M1345" s="265"/>
      <c r="N1345" s="265"/>
      <c r="O1345" s="265"/>
      <c r="P1345" s="265"/>
      <c r="Q1345" s="265"/>
      <c r="BR1345" s="265"/>
      <c r="BS1345" s="265"/>
      <c r="BT1345" s="265"/>
      <c r="BU1345" s="265"/>
      <c r="BV1345" s="265"/>
    </row>
    <row r="1346" spans="12:74">
      <c r="L1346" s="265"/>
      <c r="M1346" s="265"/>
      <c r="N1346" s="265"/>
      <c r="O1346" s="265"/>
      <c r="P1346" s="265"/>
      <c r="Q1346" s="265"/>
      <c r="BR1346" s="265"/>
      <c r="BS1346" s="265"/>
      <c r="BT1346" s="265"/>
      <c r="BU1346" s="265"/>
      <c r="BV1346" s="265"/>
    </row>
    <row r="1347" spans="12:74">
      <c r="L1347" s="265"/>
      <c r="M1347" s="265"/>
      <c r="N1347" s="265"/>
      <c r="O1347" s="265"/>
      <c r="P1347" s="265"/>
      <c r="Q1347" s="265"/>
      <c r="BR1347" s="265"/>
      <c r="BS1347" s="265"/>
      <c r="BT1347" s="265"/>
      <c r="BU1347" s="265"/>
      <c r="BV1347" s="265"/>
    </row>
    <row r="1348" spans="12:74">
      <c r="L1348" s="265"/>
      <c r="M1348" s="265"/>
      <c r="N1348" s="265"/>
      <c r="O1348" s="265"/>
      <c r="P1348" s="265"/>
      <c r="Q1348" s="265"/>
      <c r="BR1348" s="265"/>
      <c r="BS1348" s="265"/>
      <c r="BT1348" s="265"/>
      <c r="BU1348" s="265"/>
      <c r="BV1348" s="265"/>
    </row>
    <row r="1349" spans="12:74">
      <c r="L1349" s="265"/>
      <c r="M1349" s="265"/>
      <c r="N1349" s="265"/>
      <c r="O1349" s="265"/>
      <c r="P1349" s="265"/>
      <c r="Q1349" s="265"/>
      <c r="BR1349" s="265"/>
      <c r="BS1349" s="265"/>
      <c r="BT1349" s="265"/>
      <c r="BU1349" s="265"/>
      <c r="BV1349" s="265"/>
    </row>
    <row r="1350" spans="12:74">
      <c r="L1350" s="265"/>
      <c r="M1350" s="265"/>
      <c r="N1350" s="265"/>
      <c r="O1350" s="265"/>
      <c r="P1350" s="265"/>
      <c r="Q1350" s="265"/>
      <c r="BR1350" s="265"/>
      <c r="BS1350" s="265"/>
      <c r="BT1350" s="265"/>
      <c r="BU1350" s="265"/>
      <c r="BV1350" s="265"/>
    </row>
    <row r="1351" spans="12:74">
      <c r="L1351" s="265"/>
      <c r="M1351" s="265"/>
      <c r="N1351" s="265"/>
      <c r="O1351" s="265"/>
      <c r="P1351" s="265"/>
      <c r="Q1351" s="265"/>
      <c r="BR1351" s="265"/>
      <c r="BS1351" s="265"/>
      <c r="BT1351" s="265"/>
      <c r="BU1351" s="265"/>
      <c r="BV1351" s="265"/>
    </row>
    <row r="1352" spans="12:74">
      <c r="L1352" s="265"/>
      <c r="M1352" s="265"/>
      <c r="N1352" s="265"/>
      <c r="O1352" s="265"/>
      <c r="P1352" s="265"/>
      <c r="Q1352" s="265"/>
      <c r="BR1352" s="265"/>
      <c r="BS1352" s="265"/>
      <c r="BT1352" s="265"/>
      <c r="BU1352" s="265"/>
      <c r="BV1352" s="265"/>
    </row>
    <row r="1353" spans="12:74">
      <c r="L1353" s="265"/>
      <c r="M1353" s="265"/>
      <c r="N1353" s="265"/>
      <c r="O1353" s="265"/>
      <c r="P1353" s="265"/>
      <c r="Q1353" s="265"/>
      <c r="BR1353" s="265"/>
      <c r="BS1353" s="265"/>
      <c r="BT1353" s="265"/>
      <c r="BU1353" s="265"/>
      <c r="BV1353" s="265"/>
    </row>
    <row r="1354" spans="12:74">
      <c r="L1354" s="265"/>
      <c r="M1354" s="265"/>
      <c r="N1354" s="265"/>
      <c r="O1354" s="265"/>
      <c r="P1354" s="265"/>
      <c r="Q1354" s="265"/>
      <c r="BR1354" s="265"/>
      <c r="BS1354" s="265"/>
      <c r="BT1354" s="265"/>
      <c r="BU1354" s="265"/>
      <c r="BV1354" s="265"/>
    </row>
    <row r="1355" spans="12:74">
      <c r="L1355" s="265"/>
      <c r="M1355" s="265"/>
      <c r="N1355" s="265"/>
      <c r="O1355" s="265"/>
      <c r="P1355" s="265"/>
      <c r="Q1355" s="265"/>
      <c r="BR1355" s="265"/>
      <c r="BS1355" s="265"/>
      <c r="BT1355" s="265"/>
      <c r="BU1355" s="265"/>
      <c r="BV1355" s="265"/>
    </row>
    <row r="1356" spans="12:74">
      <c r="L1356" s="265"/>
      <c r="M1356" s="265"/>
      <c r="N1356" s="265"/>
      <c r="O1356" s="265"/>
      <c r="P1356" s="265"/>
      <c r="Q1356" s="265"/>
      <c r="BR1356" s="265"/>
      <c r="BS1356" s="265"/>
      <c r="BT1356" s="265"/>
      <c r="BU1356" s="265"/>
      <c r="BV1356" s="265"/>
    </row>
    <row r="1357" spans="12:74">
      <c r="L1357" s="265"/>
      <c r="M1357" s="265"/>
      <c r="N1357" s="265"/>
      <c r="O1357" s="265"/>
      <c r="P1357" s="265"/>
      <c r="Q1357" s="265"/>
      <c r="BR1357" s="265"/>
      <c r="BS1357" s="265"/>
      <c r="BT1357" s="265"/>
      <c r="BU1357" s="265"/>
      <c r="BV1357" s="265"/>
    </row>
    <row r="1358" spans="12:74">
      <c r="L1358" s="265"/>
      <c r="M1358" s="265"/>
      <c r="N1358" s="265"/>
      <c r="O1358" s="265"/>
      <c r="P1358" s="265"/>
      <c r="Q1358" s="265"/>
      <c r="BR1358" s="265"/>
      <c r="BS1358" s="265"/>
      <c r="BT1358" s="265"/>
      <c r="BU1358" s="265"/>
      <c r="BV1358" s="265"/>
    </row>
    <row r="1359" spans="12:74">
      <c r="L1359" s="265"/>
      <c r="M1359" s="265"/>
      <c r="N1359" s="265"/>
      <c r="O1359" s="265"/>
      <c r="P1359" s="265"/>
      <c r="Q1359" s="265"/>
      <c r="BR1359" s="265"/>
      <c r="BS1359" s="265"/>
      <c r="BT1359" s="265"/>
      <c r="BU1359" s="265"/>
      <c r="BV1359" s="265"/>
    </row>
    <row r="1360" spans="12:74">
      <c r="L1360" s="265"/>
      <c r="M1360" s="265"/>
      <c r="N1360" s="265"/>
      <c r="O1360" s="265"/>
      <c r="P1360" s="265"/>
      <c r="Q1360" s="265"/>
      <c r="BR1360" s="265"/>
      <c r="BS1360" s="265"/>
      <c r="BT1360" s="265"/>
      <c r="BU1360" s="265"/>
      <c r="BV1360" s="265"/>
    </row>
    <row r="1361" spans="12:74">
      <c r="L1361" s="265"/>
      <c r="M1361" s="265"/>
      <c r="N1361" s="265"/>
      <c r="O1361" s="265"/>
      <c r="P1361" s="265"/>
      <c r="Q1361" s="265"/>
      <c r="BR1361" s="265"/>
      <c r="BS1361" s="265"/>
      <c r="BT1361" s="265"/>
      <c r="BU1361" s="265"/>
      <c r="BV1361" s="265"/>
    </row>
    <row r="1362" spans="12:74">
      <c r="L1362" s="265"/>
      <c r="M1362" s="265"/>
      <c r="N1362" s="265"/>
      <c r="O1362" s="265"/>
      <c r="P1362" s="265"/>
      <c r="Q1362" s="265"/>
      <c r="BR1362" s="265"/>
      <c r="BS1362" s="265"/>
      <c r="BT1362" s="265"/>
      <c r="BU1362" s="265"/>
      <c r="BV1362" s="265"/>
    </row>
    <row r="1363" spans="12:74">
      <c r="L1363" s="265"/>
      <c r="M1363" s="265"/>
      <c r="N1363" s="265"/>
      <c r="O1363" s="265"/>
      <c r="P1363" s="265"/>
      <c r="Q1363" s="265"/>
      <c r="BR1363" s="265"/>
      <c r="BS1363" s="265"/>
      <c r="BT1363" s="265"/>
      <c r="BU1363" s="265"/>
      <c r="BV1363" s="265"/>
    </row>
    <row r="1364" spans="12:74">
      <c r="L1364" s="265"/>
      <c r="M1364" s="265"/>
      <c r="N1364" s="265"/>
      <c r="O1364" s="265"/>
      <c r="P1364" s="265"/>
      <c r="Q1364" s="265"/>
      <c r="BR1364" s="265"/>
      <c r="BS1364" s="265"/>
      <c r="BT1364" s="265"/>
      <c r="BU1364" s="265"/>
      <c r="BV1364" s="265"/>
    </row>
    <row r="1365" spans="12:74">
      <c r="L1365" s="265"/>
      <c r="M1365" s="265"/>
      <c r="N1365" s="265"/>
      <c r="O1365" s="265"/>
      <c r="P1365" s="265"/>
      <c r="Q1365" s="265"/>
      <c r="BR1365" s="265"/>
      <c r="BS1365" s="265"/>
      <c r="BT1365" s="265"/>
      <c r="BU1365" s="265"/>
      <c r="BV1365" s="265"/>
    </row>
    <row r="1366" spans="12:74">
      <c r="L1366" s="265"/>
      <c r="M1366" s="265"/>
      <c r="N1366" s="265"/>
      <c r="O1366" s="265"/>
      <c r="P1366" s="265"/>
      <c r="Q1366" s="265"/>
      <c r="BR1366" s="265"/>
      <c r="BS1366" s="265"/>
      <c r="BT1366" s="265"/>
      <c r="BU1366" s="265"/>
      <c r="BV1366" s="265"/>
    </row>
    <row r="1367" spans="12:74">
      <c r="L1367" s="265"/>
      <c r="M1367" s="265"/>
      <c r="N1367" s="265"/>
      <c r="O1367" s="265"/>
      <c r="P1367" s="265"/>
      <c r="Q1367" s="265"/>
      <c r="BR1367" s="265"/>
      <c r="BS1367" s="265"/>
      <c r="BT1367" s="265"/>
      <c r="BU1367" s="265"/>
      <c r="BV1367" s="265"/>
    </row>
    <row r="1368" spans="12:74">
      <c r="L1368" s="265"/>
      <c r="M1368" s="265"/>
      <c r="N1368" s="265"/>
      <c r="O1368" s="265"/>
      <c r="P1368" s="265"/>
      <c r="Q1368" s="265"/>
      <c r="BR1368" s="265"/>
      <c r="BS1368" s="265"/>
      <c r="BT1368" s="265"/>
      <c r="BU1368" s="265"/>
      <c r="BV1368" s="265"/>
    </row>
    <row r="1369" spans="12:74">
      <c r="L1369" s="265"/>
      <c r="M1369" s="265"/>
      <c r="N1369" s="265"/>
      <c r="O1369" s="265"/>
      <c r="P1369" s="265"/>
      <c r="Q1369" s="265"/>
      <c r="BR1369" s="265"/>
      <c r="BS1369" s="265"/>
      <c r="BT1369" s="265"/>
      <c r="BU1369" s="265"/>
      <c r="BV1369" s="265"/>
    </row>
    <row r="1370" spans="12:74">
      <c r="L1370" s="265"/>
      <c r="M1370" s="265"/>
      <c r="N1370" s="265"/>
      <c r="O1370" s="265"/>
      <c r="P1370" s="265"/>
      <c r="Q1370" s="265"/>
      <c r="BR1370" s="265"/>
      <c r="BS1370" s="265"/>
      <c r="BT1370" s="265"/>
      <c r="BU1370" s="265"/>
      <c r="BV1370" s="265"/>
    </row>
    <row r="1371" spans="12:74">
      <c r="L1371" s="265"/>
      <c r="M1371" s="265"/>
      <c r="N1371" s="265"/>
      <c r="O1371" s="265"/>
      <c r="P1371" s="265"/>
      <c r="Q1371" s="265"/>
      <c r="BR1371" s="265"/>
      <c r="BS1371" s="265"/>
      <c r="BT1371" s="265"/>
      <c r="BU1371" s="265"/>
      <c r="BV1371" s="265"/>
    </row>
    <row r="1372" spans="12:74">
      <c r="L1372" s="265"/>
      <c r="M1372" s="265"/>
      <c r="N1372" s="265"/>
      <c r="O1372" s="265"/>
      <c r="P1372" s="265"/>
      <c r="Q1372" s="265"/>
      <c r="BR1372" s="265"/>
      <c r="BS1372" s="265"/>
      <c r="BT1372" s="265"/>
      <c r="BU1372" s="265"/>
      <c r="BV1372" s="265"/>
    </row>
    <row r="1373" spans="12:74">
      <c r="L1373" s="265"/>
      <c r="M1373" s="265"/>
      <c r="N1373" s="265"/>
      <c r="O1373" s="265"/>
      <c r="P1373" s="265"/>
      <c r="Q1373" s="265"/>
      <c r="BR1373" s="265"/>
      <c r="BS1373" s="265"/>
      <c r="BT1373" s="265"/>
      <c r="BU1373" s="265"/>
      <c r="BV1373" s="265"/>
    </row>
    <row r="1374" spans="12:74">
      <c r="L1374" s="265"/>
      <c r="M1374" s="265"/>
      <c r="N1374" s="265"/>
      <c r="O1374" s="265"/>
      <c r="P1374" s="265"/>
      <c r="Q1374" s="265"/>
      <c r="BR1374" s="265"/>
      <c r="BS1374" s="265"/>
      <c r="BT1374" s="265"/>
      <c r="BU1374" s="265"/>
      <c r="BV1374" s="265"/>
    </row>
    <row r="1375" spans="12:74">
      <c r="L1375" s="265"/>
      <c r="M1375" s="265"/>
      <c r="N1375" s="265"/>
      <c r="O1375" s="265"/>
      <c r="P1375" s="265"/>
      <c r="Q1375" s="265"/>
      <c r="BR1375" s="265"/>
      <c r="BS1375" s="265"/>
      <c r="BT1375" s="265"/>
      <c r="BU1375" s="265"/>
      <c r="BV1375" s="265"/>
    </row>
    <row r="1376" spans="12:74">
      <c r="L1376" s="265"/>
      <c r="M1376" s="265"/>
      <c r="N1376" s="265"/>
      <c r="O1376" s="265"/>
      <c r="P1376" s="265"/>
      <c r="Q1376" s="265"/>
      <c r="BR1376" s="265"/>
      <c r="BS1376" s="265"/>
      <c r="BT1376" s="265"/>
      <c r="BU1376" s="265"/>
      <c r="BV1376" s="265"/>
    </row>
    <row r="1377" spans="12:74">
      <c r="L1377" s="265"/>
      <c r="M1377" s="265"/>
      <c r="N1377" s="265"/>
      <c r="O1377" s="265"/>
      <c r="P1377" s="265"/>
      <c r="Q1377" s="265"/>
      <c r="BR1377" s="265"/>
      <c r="BS1377" s="265"/>
      <c r="BT1377" s="265"/>
      <c r="BU1377" s="265"/>
      <c r="BV1377" s="265"/>
    </row>
    <row r="1378" spans="12:74">
      <c r="L1378" s="265"/>
      <c r="M1378" s="265"/>
      <c r="N1378" s="265"/>
      <c r="O1378" s="265"/>
      <c r="P1378" s="265"/>
      <c r="Q1378" s="265"/>
      <c r="BR1378" s="265"/>
      <c r="BS1378" s="265"/>
      <c r="BT1378" s="265"/>
      <c r="BU1378" s="265"/>
      <c r="BV1378" s="265"/>
    </row>
    <row r="1379" spans="12:74">
      <c r="L1379" s="265"/>
      <c r="M1379" s="265"/>
      <c r="N1379" s="265"/>
      <c r="O1379" s="265"/>
      <c r="P1379" s="265"/>
      <c r="Q1379" s="265"/>
      <c r="BR1379" s="265"/>
      <c r="BS1379" s="265"/>
      <c r="BT1379" s="265"/>
      <c r="BU1379" s="265"/>
      <c r="BV1379" s="265"/>
    </row>
    <row r="1380" spans="12:74">
      <c r="L1380" s="265"/>
      <c r="M1380" s="265"/>
      <c r="N1380" s="265"/>
      <c r="O1380" s="265"/>
      <c r="P1380" s="265"/>
      <c r="Q1380" s="265"/>
      <c r="BR1380" s="265"/>
      <c r="BS1380" s="265"/>
      <c r="BT1380" s="265"/>
      <c r="BU1380" s="265"/>
      <c r="BV1380" s="265"/>
    </row>
    <row r="1381" spans="12:74">
      <c r="L1381" s="265"/>
      <c r="M1381" s="265"/>
      <c r="N1381" s="265"/>
      <c r="O1381" s="265"/>
      <c r="P1381" s="265"/>
      <c r="Q1381" s="265"/>
      <c r="BR1381" s="265"/>
      <c r="BS1381" s="265"/>
      <c r="BT1381" s="265"/>
      <c r="BU1381" s="265"/>
      <c r="BV1381" s="265"/>
    </row>
    <row r="1382" spans="12:74">
      <c r="L1382" s="265"/>
      <c r="M1382" s="265"/>
      <c r="N1382" s="265"/>
      <c r="O1382" s="265"/>
      <c r="P1382" s="265"/>
      <c r="Q1382" s="265"/>
      <c r="BR1382" s="265"/>
      <c r="BS1382" s="265"/>
      <c r="BT1382" s="265"/>
      <c r="BU1382" s="265"/>
      <c r="BV1382" s="265"/>
    </row>
    <row r="1383" spans="12:74">
      <c r="L1383" s="265"/>
      <c r="M1383" s="265"/>
      <c r="N1383" s="265"/>
      <c r="O1383" s="265"/>
      <c r="P1383" s="265"/>
      <c r="Q1383" s="265"/>
      <c r="BR1383" s="265"/>
      <c r="BS1383" s="265"/>
      <c r="BT1383" s="265"/>
      <c r="BU1383" s="265"/>
      <c r="BV1383" s="265"/>
    </row>
    <row r="1384" spans="12:74">
      <c r="L1384" s="265"/>
      <c r="M1384" s="265"/>
      <c r="N1384" s="265"/>
      <c r="O1384" s="265"/>
      <c r="P1384" s="265"/>
      <c r="Q1384" s="265"/>
      <c r="BR1384" s="265"/>
      <c r="BS1384" s="265"/>
      <c r="BT1384" s="265"/>
      <c r="BU1384" s="265"/>
      <c r="BV1384" s="265"/>
    </row>
    <row r="1385" spans="12:74">
      <c r="L1385" s="265"/>
      <c r="M1385" s="265"/>
      <c r="N1385" s="265"/>
      <c r="O1385" s="265"/>
      <c r="P1385" s="265"/>
      <c r="Q1385" s="265"/>
      <c r="BR1385" s="265"/>
      <c r="BS1385" s="265"/>
      <c r="BT1385" s="265"/>
      <c r="BU1385" s="265"/>
      <c r="BV1385" s="265"/>
    </row>
    <row r="1386" spans="12:74">
      <c r="L1386" s="265"/>
      <c r="M1386" s="265"/>
      <c r="N1386" s="265"/>
      <c r="O1386" s="265"/>
      <c r="P1386" s="265"/>
      <c r="Q1386" s="265"/>
      <c r="BR1386" s="265"/>
      <c r="BS1386" s="265"/>
      <c r="BT1386" s="265"/>
      <c r="BU1386" s="265"/>
      <c r="BV1386" s="265"/>
    </row>
    <row r="1387" spans="12:74">
      <c r="L1387" s="265"/>
      <c r="M1387" s="265"/>
      <c r="N1387" s="265"/>
      <c r="O1387" s="265"/>
      <c r="P1387" s="265"/>
      <c r="Q1387" s="265"/>
      <c r="BR1387" s="265"/>
      <c r="BS1387" s="265"/>
      <c r="BT1387" s="265"/>
      <c r="BU1387" s="265"/>
      <c r="BV1387" s="265"/>
    </row>
    <row r="1388" spans="12:74">
      <c r="L1388" s="265"/>
      <c r="M1388" s="265"/>
      <c r="N1388" s="265"/>
      <c r="O1388" s="265"/>
      <c r="P1388" s="265"/>
      <c r="Q1388" s="265"/>
      <c r="BR1388" s="265"/>
      <c r="BS1388" s="265"/>
      <c r="BT1388" s="265"/>
      <c r="BU1388" s="265"/>
      <c r="BV1388" s="265"/>
    </row>
    <row r="1389" spans="12:74">
      <c r="L1389" s="265"/>
      <c r="M1389" s="265"/>
      <c r="N1389" s="265"/>
      <c r="O1389" s="265"/>
      <c r="P1389" s="265"/>
      <c r="Q1389" s="265"/>
      <c r="BR1389" s="265"/>
      <c r="BS1389" s="265"/>
      <c r="BT1389" s="265"/>
      <c r="BU1389" s="265"/>
      <c r="BV1389" s="265"/>
    </row>
    <row r="1390" spans="12:74">
      <c r="L1390" s="265"/>
      <c r="M1390" s="265"/>
      <c r="N1390" s="265"/>
      <c r="O1390" s="265"/>
      <c r="P1390" s="265"/>
      <c r="Q1390" s="265"/>
      <c r="BR1390" s="265"/>
      <c r="BS1390" s="265"/>
      <c r="BT1390" s="265"/>
      <c r="BU1390" s="265"/>
      <c r="BV1390" s="265"/>
    </row>
    <row r="1391" spans="12:74">
      <c r="L1391" s="265"/>
      <c r="M1391" s="265"/>
      <c r="N1391" s="265"/>
      <c r="O1391" s="265"/>
      <c r="P1391" s="265"/>
      <c r="Q1391" s="265"/>
      <c r="BR1391" s="265"/>
      <c r="BS1391" s="265"/>
      <c r="BT1391" s="265"/>
      <c r="BU1391" s="265"/>
      <c r="BV1391" s="265"/>
    </row>
    <row r="1392" spans="12:74">
      <c r="L1392" s="265"/>
      <c r="M1392" s="265"/>
      <c r="N1392" s="265"/>
      <c r="O1392" s="265"/>
      <c r="P1392" s="265"/>
      <c r="Q1392" s="265"/>
      <c r="BR1392" s="265"/>
      <c r="BS1392" s="265"/>
      <c r="BT1392" s="265"/>
      <c r="BU1392" s="265"/>
      <c r="BV1392" s="265"/>
    </row>
    <row r="1393" spans="12:74">
      <c r="L1393" s="265"/>
      <c r="M1393" s="265"/>
      <c r="N1393" s="265"/>
      <c r="O1393" s="265"/>
      <c r="P1393" s="265"/>
      <c r="Q1393" s="265"/>
      <c r="BR1393" s="265"/>
      <c r="BS1393" s="265"/>
      <c r="BT1393" s="265"/>
      <c r="BU1393" s="265"/>
      <c r="BV1393" s="265"/>
    </row>
    <row r="1394" spans="12:74">
      <c r="L1394" s="265"/>
      <c r="M1394" s="265"/>
      <c r="N1394" s="265"/>
      <c r="O1394" s="265"/>
      <c r="P1394" s="265"/>
      <c r="Q1394" s="265"/>
      <c r="BR1394" s="265"/>
      <c r="BS1394" s="265"/>
      <c r="BT1394" s="265"/>
      <c r="BU1394" s="265"/>
      <c r="BV1394" s="265"/>
    </row>
    <row r="1395" spans="12:74">
      <c r="L1395" s="265"/>
      <c r="M1395" s="265"/>
      <c r="N1395" s="265"/>
      <c r="O1395" s="265"/>
      <c r="P1395" s="265"/>
      <c r="Q1395" s="265"/>
      <c r="BR1395" s="265"/>
      <c r="BS1395" s="265"/>
      <c r="BT1395" s="265"/>
      <c r="BU1395" s="265"/>
      <c r="BV1395" s="265"/>
    </row>
    <row r="1396" spans="12:74">
      <c r="L1396" s="265"/>
      <c r="M1396" s="265"/>
      <c r="N1396" s="265"/>
      <c r="O1396" s="265"/>
      <c r="P1396" s="265"/>
      <c r="Q1396" s="265"/>
      <c r="BR1396" s="265"/>
      <c r="BS1396" s="265"/>
      <c r="BT1396" s="265"/>
      <c r="BU1396" s="265"/>
      <c r="BV1396" s="265"/>
    </row>
    <row r="1397" spans="12:74">
      <c r="L1397" s="265"/>
      <c r="M1397" s="265"/>
      <c r="N1397" s="265"/>
      <c r="O1397" s="265"/>
      <c r="P1397" s="265"/>
      <c r="Q1397" s="265"/>
      <c r="BR1397" s="265"/>
      <c r="BS1397" s="265"/>
      <c r="BT1397" s="265"/>
      <c r="BU1397" s="265"/>
      <c r="BV1397" s="265"/>
    </row>
    <row r="1398" spans="12:74">
      <c r="L1398" s="265"/>
      <c r="M1398" s="265"/>
      <c r="N1398" s="265"/>
      <c r="O1398" s="265"/>
      <c r="P1398" s="265"/>
      <c r="Q1398" s="265"/>
      <c r="BR1398" s="265"/>
      <c r="BS1398" s="265"/>
      <c r="BT1398" s="265"/>
      <c r="BU1398" s="265"/>
      <c r="BV1398" s="265"/>
    </row>
    <row r="1399" spans="12:74">
      <c r="L1399" s="265"/>
      <c r="M1399" s="265"/>
      <c r="N1399" s="265"/>
      <c r="O1399" s="265"/>
      <c r="P1399" s="265"/>
      <c r="Q1399" s="265"/>
      <c r="BR1399" s="265"/>
      <c r="BS1399" s="265"/>
      <c r="BT1399" s="265"/>
      <c r="BU1399" s="265"/>
      <c r="BV1399" s="265"/>
    </row>
    <row r="1400" spans="12:74">
      <c r="L1400" s="265"/>
      <c r="M1400" s="265"/>
      <c r="N1400" s="265"/>
      <c r="O1400" s="265"/>
      <c r="P1400" s="265"/>
      <c r="Q1400" s="265"/>
      <c r="BR1400" s="265"/>
      <c r="BS1400" s="265"/>
      <c r="BT1400" s="265"/>
      <c r="BU1400" s="265"/>
      <c r="BV1400" s="265"/>
    </row>
    <row r="1401" spans="12:74">
      <c r="L1401" s="265"/>
      <c r="M1401" s="265"/>
      <c r="N1401" s="265"/>
      <c r="O1401" s="265"/>
      <c r="P1401" s="265"/>
      <c r="Q1401" s="265"/>
      <c r="BR1401" s="265"/>
      <c r="BS1401" s="265"/>
      <c r="BT1401" s="265"/>
      <c r="BU1401" s="265"/>
      <c r="BV1401" s="265"/>
    </row>
    <row r="1402" spans="12:74">
      <c r="L1402" s="265"/>
      <c r="M1402" s="265"/>
      <c r="N1402" s="265"/>
      <c r="O1402" s="265"/>
      <c r="P1402" s="265"/>
      <c r="Q1402" s="265"/>
      <c r="BR1402" s="265"/>
      <c r="BS1402" s="265"/>
      <c r="BT1402" s="265"/>
      <c r="BU1402" s="265"/>
      <c r="BV1402" s="265"/>
    </row>
    <row r="1403" spans="12:74">
      <c r="L1403" s="265"/>
      <c r="M1403" s="265"/>
      <c r="N1403" s="265"/>
      <c r="O1403" s="265"/>
      <c r="P1403" s="265"/>
      <c r="Q1403" s="265"/>
      <c r="BR1403" s="265"/>
      <c r="BS1403" s="265"/>
      <c r="BT1403" s="265"/>
      <c r="BU1403" s="265"/>
      <c r="BV1403" s="265"/>
    </row>
    <row r="1404" spans="12:74">
      <c r="L1404" s="265"/>
      <c r="M1404" s="265"/>
      <c r="N1404" s="265"/>
      <c r="O1404" s="265"/>
      <c r="P1404" s="265"/>
      <c r="Q1404" s="265"/>
      <c r="BR1404" s="265"/>
      <c r="BS1404" s="265"/>
      <c r="BT1404" s="265"/>
      <c r="BU1404" s="265"/>
      <c r="BV1404" s="265"/>
    </row>
    <row r="1405" spans="12:74">
      <c r="L1405" s="265"/>
      <c r="M1405" s="265"/>
      <c r="N1405" s="265"/>
      <c r="O1405" s="265"/>
      <c r="P1405" s="265"/>
      <c r="Q1405" s="265"/>
      <c r="BR1405" s="265"/>
      <c r="BS1405" s="265"/>
      <c r="BT1405" s="265"/>
      <c r="BU1405" s="265"/>
      <c r="BV1405" s="265"/>
    </row>
    <row r="1406" spans="12:74">
      <c r="L1406" s="265"/>
      <c r="M1406" s="265"/>
      <c r="N1406" s="265"/>
      <c r="O1406" s="265"/>
      <c r="P1406" s="265"/>
      <c r="Q1406" s="265"/>
      <c r="BR1406" s="265"/>
      <c r="BS1406" s="265"/>
      <c r="BT1406" s="265"/>
      <c r="BU1406" s="265"/>
      <c r="BV1406" s="265"/>
    </row>
    <row r="1407" spans="12:74">
      <c r="L1407" s="265"/>
      <c r="M1407" s="265"/>
      <c r="N1407" s="265"/>
      <c r="O1407" s="265"/>
      <c r="P1407" s="265"/>
      <c r="Q1407" s="265"/>
      <c r="BR1407" s="265"/>
      <c r="BS1407" s="265"/>
      <c r="BT1407" s="265"/>
      <c r="BU1407" s="265"/>
      <c r="BV1407" s="265"/>
    </row>
    <row r="1408" spans="12:74">
      <c r="L1408" s="265"/>
      <c r="M1408" s="265"/>
      <c r="N1408" s="265"/>
      <c r="O1408" s="265"/>
      <c r="P1408" s="265"/>
      <c r="Q1408" s="265"/>
      <c r="BR1408" s="265"/>
      <c r="BS1408" s="265"/>
      <c r="BT1408" s="265"/>
      <c r="BU1408" s="265"/>
      <c r="BV1408" s="265"/>
    </row>
    <row r="1409" spans="12:74">
      <c r="L1409" s="265"/>
      <c r="M1409" s="265"/>
      <c r="N1409" s="265"/>
      <c r="O1409" s="265"/>
      <c r="P1409" s="265"/>
      <c r="Q1409" s="265"/>
      <c r="BR1409" s="265"/>
      <c r="BS1409" s="265"/>
      <c r="BT1409" s="265"/>
      <c r="BU1409" s="265"/>
      <c r="BV1409" s="265"/>
    </row>
    <row r="1410" spans="12:74">
      <c r="L1410" s="265"/>
      <c r="M1410" s="265"/>
      <c r="N1410" s="265"/>
      <c r="O1410" s="265"/>
      <c r="P1410" s="265"/>
      <c r="Q1410" s="265"/>
      <c r="BR1410" s="265"/>
      <c r="BS1410" s="265"/>
      <c r="BT1410" s="265"/>
      <c r="BU1410" s="265"/>
      <c r="BV1410" s="265"/>
    </row>
    <row r="1411" spans="12:74">
      <c r="L1411" s="265"/>
      <c r="M1411" s="265"/>
      <c r="N1411" s="265"/>
      <c r="O1411" s="265"/>
      <c r="P1411" s="265"/>
      <c r="Q1411" s="265"/>
      <c r="BR1411" s="265"/>
      <c r="BS1411" s="265"/>
      <c r="BT1411" s="265"/>
      <c r="BU1411" s="265"/>
      <c r="BV1411" s="265"/>
    </row>
    <row r="1412" spans="12:74">
      <c r="L1412" s="265"/>
      <c r="M1412" s="265"/>
      <c r="N1412" s="265"/>
      <c r="O1412" s="265"/>
      <c r="P1412" s="265"/>
      <c r="Q1412" s="265"/>
      <c r="BR1412" s="265"/>
      <c r="BS1412" s="265"/>
      <c r="BT1412" s="265"/>
      <c r="BU1412" s="265"/>
      <c r="BV1412" s="265"/>
    </row>
    <row r="1413" spans="12:74">
      <c r="L1413" s="265"/>
      <c r="M1413" s="265"/>
      <c r="N1413" s="265"/>
      <c r="O1413" s="265"/>
      <c r="P1413" s="265"/>
      <c r="Q1413" s="265"/>
      <c r="BR1413" s="265"/>
      <c r="BS1413" s="265"/>
      <c r="BT1413" s="265"/>
      <c r="BU1413" s="265"/>
      <c r="BV1413" s="265"/>
    </row>
    <row r="1414" spans="12:74">
      <c r="L1414" s="265"/>
      <c r="M1414" s="265"/>
      <c r="N1414" s="265"/>
      <c r="O1414" s="265"/>
      <c r="P1414" s="265"/>
      <c r="Q1414" s="265"/>
      <c r="BR1414" s="265"/>
      <c r="BS1414" s="265"/>
      <c r="BT1414" s="265"/>
      <c r="BU1414" s="265"/>
      <c r="BV1414" s="265"/>
    </row>
    <row r="1415" spans="12:74">
      <c r="L1415" s="265"/>
      <c r="M1415" s="265"/>
      <c r="N1415" s="265"/>
      <c r="O1415" s="265"/>
      <c r="P1415" s="265"/>
      <c r="Q1415" s="265"/>
      <c r="BR1415" s="265"/>
      <c r="BS1415" s="265"/>
      <c r="BT1415" s="265"/>
      <c r="BU1415" s="265"/>
      <c r="BV1415" s="265"/>
    </row>
    <row r="1416" spans="12:74">
      <c r="L1416" s="265"/>
      <c r="M1416" s="265"/>
      <c r="N1416" s="265"/>
      <c r="O1416" s="265"/>
      <c r="P1416" s="265"/>
      <c r="Q1416" s="265"/>
      <c r="BR1416" s="265"/>
      <c r="BS1416" s="265"/>
      <c r="BT1416" s="265"/>
      <c r="BU1416" s="265"/>
      <c r="BV1416" s="265"/>
    </row>
    <row r="1417" spans="12:74">
      <c r="L1417" s="265"/>
      <c r="M1417" s="265"/>
      <c r="N1417" s="265"/>
      <c r="O1417" s="265"/>
      <c r="P1417" s="265"/>
      <c r="Q1417" s="265"/>
      <c r="BR1417" s="265"/>
      <c r="BS1417" s="265"/>
      <c r="BT1417" s="265"/>
      <c r="BU1417" s="265"/>
      <c r="BV1417" s="265"/>
    </row>
    <row r="1418" spans="12:74">
      <c r="L1418" s="265"/>
      <c r="M1418" s="265"/>
      <c r="N1418" s="265"/>
      <c r="O1418" s="265"/>
      <c r="P1418" s="265"/>
      <c r="Q1418" s="265"/>
      <c r="BR1418" s="265"/>
      <c r="BS1418" s="265"/>
      <c r="BT1418" s="265"/>
      <c r="BU1418" s="265"/>
      <c r="BV1418" s="265"/>
    </row>
    <row r="1419" spans="12:74">
      <c r="L1419" s="265"/>
      <c r="M1419" s="265"/>
      <c r="N1419" s="265"/>
      <c r="O1419" s="265"/>
      <c r="P1419" s="265"/>
      <c r="Q1419" s="265"/>
      <c r="BR1419" s="265"/>
      <c r="BS1419" s="265"/>
      <c r="BT1419" s="265"/>
      <c r="BU1419" s="265"/>
      <c r="BV1419" s="265"/>
    </row>
    <row r="1420" spans="12:74">
      <c r="L1420" s="265"/>
      <c r="M1420" s="265"/>
      <c r="N1420" s="265"/>
      <c r="O1420" s="265"/>
      <c r="P1420" s="265"/>
      <c r="Q1420" s="265"/>
      <c r="BR1420" s="265"/>
      <c r="BS1420" s="265"/>
      <c r="BT1420" s="265"/>
      <c r="BU1420" s="265"/>
      <c r="BV1420" s="265"/>
    </row>
    <row r="1421" spans="12:74">
      <c r="L1421" s="265"/>
      <c r="M1421" s="265"/>
      <c r="N1421" s="265"/>
      <c r="O1421" s="265"/>
      <c r="P1421" s="265"/>
      <c r="Q1421" s="265"/>
      <c r="BR1421" s="265"/>
      <c r="BS1421" s="265"/>
      <c r="BT1421" s="265"/>
      <c r="BU1421" s="265"/>
      <c r="BV1421" s="265"/>
    </row>
    <row r="1422" spans="12:74">
      <c r="L1422" s="265"/>
      <c r="M1422" s="265"/>
      <c r="N1422" s="265"/>
      <c r="O1422" s="265"/>
      <c r="P1422" s="265"/>
      <c r="Q1422" s="265"/>
      <c r="BR1422" s="265"/>
      <c r="BS1422" s="265"/>
      <c r="BT1422" s="265"/>
      <c r="BU1422" s="265"/>
      <c r="BV1422" s="265"/>
    </row>
    <row r="1423" spans="12:74">
      <c r="L1423" s="265"/>
      <c r="M1423" s="265"/>
      <c r="N1423" s="265"/>
      <c r="O1423" s="265"/>
      <c r="P1423" s="265"/>
      <c r="Q1423" s="265"/>
      <c r="BR1423" s="265"/>
      <c r="BS1423" s="265"/>
      <c r="BT1423" s="265"/>
      <c r="BU1423" s="265"/>
      <c r="BV1423" s="265"/>
    </row>
    <row r="1424" spans="12:74">
      <c r="L1424" s="265"/>
      <c r="M1424" s="265"/>
      <c r="N1424" s="265"/>
      <c r="O1424" s="265"/>
      <c r="P1424" s="265"/>
      <c r="Q1424" s="265"/>
      <c r="BR1424" s="265"/>
      <c r="BS1424" s="265"/>
      <c r="BT1424" s="265"/>
      <c r="BU1424" s="265"/>
      <c r="BV1424" s="265"/>
    </row>
    <row r="1425" spans="12:74">
      <c r="L1425" s="265"/>
      <c r="M1425" s="265"/>
      <c r="N1425" s="265"/>
      <c r="O1425" s="265"/>
      <c r="P1425" s="265"/>
      <c r="Q1425" s="265"/>
      <c r="BR1425" s="265"/>
      <c r="BS1425" s="265"/>
      <c r="BT1425" s="265"/>
      <c r="BU1425" s="265"/>
      <c r="BV1425" s="265"/>
    </row>
    <row r="1426" spans="12:74">
      <c r="L1426" s="265"/>
      <c r="M1426" s="265"/>
      <c r="N1426" s="265"/>
      <c r="O1426" s="265"/>
      <c r="P1426" s="265"/>
      <c r="Q1426" s="265"/>
      <c r="BR1426" s="265"/>
      <c r="BS1426" s="265"/>
      <c r="BT1426" s="265"/>
      <c r="BU1426" s="265"/>
      <c r="BV1426" s="265"/>
    </row>
    <row r="1427" spans="12:74">
      <c r="L1427" s="265"/>
      <c r="M1427" s="265"/>
      <c r="N1427" s="265"/>
      <c r="O1427" s="265"/>
      <c r="P1427" s="265"/>
      <c r="Q1427" s="265"/>
      <c r="BR1427" s="265"/>
      <c r="BS1427" s="265"/>
      <c r="BT1427" s="265"/>
      <c r="BU1427" s="265"/>
      <c r="BV1427" s="265"/>
    </row>
    <row r="1428" spans="12:74">
      <c r="L1428" s="265"/>
      <c r="M1428" s="265"/>
      <c r="N1428" s="265"/>
      <c r="O1428" s="265"/>
      <c r="P1428" s="265"/>
      <c r="Q1428" s="265"/>
      <c r="BR1428" s="265"/>
      <c r="BS1428" s="265"/>
      <c r="BT1428" s="265"/>
      <c r="BU1428" s="265"/>
      <c r="BV1428" s="265"/>
    </row>
    <row r="1429" spans="12:74">
      <c r="L1429" s="265"/>
      <c r="M1429" s="265"/>
      <c r="N1429" s="265"/>
      <c r="O1429" s="265"/>
      <c r="P1429" s="265"/>
      <c r="Q1429" s="265"/>
      <c r="BR1429" s="265"/>
      <c r="BS1429" s="265"/>
      <c r="BT1429" s="265"/>
      <c r="BU1429" s="265"/>
      <c r="BV1429" s="265"/>
    </row>
    <row r="1430" spans="12:74">
      <c r="L1430" s="265"/>
      <c r="M1430" s="265"/>
      <c r="N1430" s="265"/>
      <c r="O1430" s="265"/>
      <c r="P1430" s="265"/>
      <c r="Q1430" s="265"/>
      <c r="BR1430" s="265"/>
      <c r="BS1430" s="265"/>
      <c r="BT1430" s="265"/>
      <c r="BU1430" s="265"/>
      <c r="BV1430" s="265"/>
    </row>
    <row r="1431" spans="12:74">
      <c r="L1431" s="265"/>
      <c r="M1431" s="265"/>
      <c r="N1431" s="265"/>
      <c r="O1431" s="265"/>
      <c r="P1431" s="265"/>
      <c r="Q1431" s="265"/>
      <c r="BR1431" s="265"/>
      <c r="BS1431" s="265"/>
      <c r="BT1431" s="265"/>
      <c r="BU1431" s="265"/>
      <c r="BV1431" s="265"/>
    </row>
    <row r="1432" spans="12:74">
      <c r="L1432" s="265"/>
      <c r="M1432" s="265"/>
      <c r="N1432" s="265"/>
      <c r="O1432" s="265"/>
      <c r="P1432" s="265"/>
      <c r="Q1432" s="265"/>
      <c r="BR1432" s="265"/>
      <c r="BS1432" s="265"/>
      <c r="BT1432" s="265"/>
      <c r="BU1432" s="265"/>
      <c r="BV1432" s="265"/>
    </row>
    <row r="1433" spans="12:74">
      <c r="L1433" s="265"/>
      <c r="M1433" s="265"/>
      <c r="N1433" s="265"/>
      <c r="O1433" s="265"/>
      <c r="P1433" s="265"/>
      <c r="Q1433" s="265"/>
      <c r="BR1433" s="265"/>
      <c r="BS1433" s="265"/>
      <c r="BT1433" s="265"/>
      <c r="BU1433" s="265"/>
      <c r="BV1433" s="265"/>
    </row>
    <row r="1434" spans="12:74">
      <c r="L1434" s="265"/>
      <c r="M1434" s="265"/>
      <c r="N1434" s="265"/>
      <c r="O1434" s="265"/>
      <c r="P1434" s="265"/>
      <c r="Q1434" s="265"/>
      <c r="BR1434" s="265"/>
      <c r="BS1434" s="265"/>
      <c r="BT1434" s="265"/>
      <c r="BU1434" s="265"/>
      <c r="BV1434" s="265"/>
    </row>
    <row r="1435" spans="12:74">
      <c r="L1435" s="265"/>
      <c r="M1435" s="265"/>
      <c r="N1435" s="265"/>
      <c r="O1435" s="265"/>
      <c r="P1435" s="265"/>
      <c r="Q1435" s="265"/>
      <c r="BR1435" s="265"/>
      <c r="BS1435" s="265"/>
      <c r="BT1435" s="265"/>
      <c r="BU1435" s="265"/>
      <c r="BV1435" s="265"/>
    </row>
    <row r="1436" spans="12:74">
      <c r="L1436" s="265"/>
      <c r="M1436" s="265"/>
      <c r="N1436" s="265"/>
      <c r="O1436" s="265"/>
      <c r="P1436" s="265"/>
      <c r="Q1436" s="265"/>
      <c r="BR1436" s="265"/>
      <c r="BS1436" s="265"/>
      <c r="BT1436" s="265"/>
      <c r="BU1436" s="265"/>
      <c r="BV1436" s="265"/>
    </row>
    <row r="1437" spans="12:74">
      <c r="L1437" s="265"/>
      <c r="M1437" s="265"/>
      <c r="N1437" s="265"/>
      <c r="O1437" s="265"/>
      <c r="P1437" s="265"/>
      <c r="Q1437" s="265"/>
      <c r="BR1437" s="265"/>
      <c r="BS1437" s="265"/>
      <c r="BT1437" s="265"/>
      <c r="BU1437" s="265"/>
      <c r="BV1437" s="265"/>
    </row>
    <row r="1438" spans="12:74">
      <c r="L1438" s="265"/>
      <c r="M1438" s="265"/>
      <c r="N1438" s="265"/>
      <c r="O1438" s="265"/>
      <c r="P1438" s="265"/>
      <c r="Q1438" s="265"/>
      <c r="BR1438" s="265"/>
      <c r="BS1438" s="265"/>
      <c r="BT1438" s="265"/>
      <c r="BU1438" s="265"/>
      <c r="BV1438" s="265"/>
    </row>
    <row r="1439" spans="12:74">
      <c r="L1439" s="265"/>
      <c r="M1439" s="265"/>
      <c r="N1439" s="265"/>
      <c r="O1439" s="265"/>
      <c r="P1439" s="265"/>
      <c r="Q1439" s="265"/>
      <c r="BR1439" s="265"/>
      <c r="BS1439" s="265"/>
      <c r="BT1439" s="265"/>
      <c r="BU1439" s="265"/>
      <c r="BV1439" s="265"/>
    </row>
    <row r="1440" spans="12:74">
      <c r="L1440" s="265"/>
      <c r="M1440" s="265"/>
      <c r="N1440" s="265"/>
      <c r="O1440" s="265"/>
      <c r="P1440" s="265"/>
      <c r="Q1440" s="265"/>
      <c r="BR1440" s="265"/>
      <c r="BS1440" s="265"/>
      <c r="BT1440" s="265"/>
      <c r="BU1440" s="265"/>
      <c r="BV1440" s="265"/>
    </row>
    <row r="1441" spans="12:74">
      <c r="L1441" s="265"/>
      <c r="M1441" s="265"/>
      <c r="N1441" s="265"/>
      <c r="O1441" s="265"/>
      <c r="P1441" s="265"/>
      <c r="Q1441" s="265"/>
      <c r="BR1441" s="265"/>
      <c r="BS1441" s="265"/>
      <c r="BT1441" s="265"/>
      <c r="BU1441" s="265"/>
      <c r="BV1441" s="265"/>
    </row>
    <row r="1442" spans="12:74">
      <c r="L1442" s="265"/>
      <c r="M1442" s="265"/>
      <c r="N1442" s="265"/>
      <c r="O1442" s="265"/>
      <c r="P1442" s="265"/>
      <c r="Q1442" s="265"/>
      <c r="BR1442" s="265"/>
      <c r="BS1442" s="265"/>
      <c r="BT1442" s="265"/>
      <c r="BU1442" s="265"/>
      <c r="BV1442" s="265"/>
    </row>
    <row r="1443" spans="12:74">
      <c r="L1443" s="265"/>
      <c r="M1443" s="265"/>
      <c r="N1443" s="265"/>
      <c r="O1443" s="265"/>
      <c r="P1443" s="265"/>
      <c r="Q1443" s="265"/>
      <c r="BR1443" s="265"/>
      <c r="BS1443" s="265"/>
      <c r="BT1443" s="265"/>
      <c r="BU1443" s="265"/>
      <c r="BV1443" s="265"/>
    </row>
    <row r="1444" spans="12:74">
      <c r="L1444" s="265"/>
      <c r="M1444" s="265"/>
      <c r="N1444" s="265"/>
      <c r="O1444" s="265"/>
      <c r="P1444" s="265"/>
      <c r="Q1444" s="265"/>
      <c r="BR1444" s="265"/>
      <c r="BS1444" s="265"/>
      <c r="BT1444" s="265"/>
      <c r="BU1444" s="265"/>
      <c r="BV1444" s="265"/>
    </row>
    <row r="1445" spans="12:74">
      <c r="L1445" s="265"/>
      <c r="M1445" s="265"/>
      <c r="N1445" s="265"/>
      <c r="O1445" s="265"/>
      <c r="P1445" s="265"/>
      <c r="Q1445" s="265"/>
      <c r="BR1445" s="265"/>
      <c r="BS1445" s="265"/>
      <c r="BT1445" s="265"/>
      <c r="BU1445" s="265"/>
      <c r="BV1445" s="265"/>
    </row>
    <row r="1446" spans="12:74">
      <c r="L1446" s="265"/>
      <c r="M1446" s="265"/>
      <c r="N1446" s="265"/>
      <c r="O1446" s="265"/>
      <c r="P1446" s="265"/>
      <c r="Q1446" s="265"/>
      <c r="BR1446" s="265"/>
      <c r="BS1446" s="265"/>
      <c r="BT1446" s="265"/>
      <c r="BU1446" s="265"/>
      <c r="BV1446" s="265"/>
    </row>
    <row r="1447" spans="12:74">
      <c r="L1447" s="265"/>
      <c r="M1447" s="265"/>
      <c r="N1447" s="265"/>
      <c r="O1447" s="265"/>
      <c r="P1447" s="265"/>
      <c r="Q1447" s="265"/>
      <c r="BR1447" s="265"/>
      <c r="BS1447" s="265"/>
      <c r="BT1447" s="265"/>
      <c r="BU1447" s="265"/>
      <c r="BV1447" s="265"/>
    </row>
    <row r="1448" spans="12:74">
      <c r="L1448" s="265"/>
      <c r="M1448" s="265"/>
      <c r="N1448" s="265"/>
      <c r="O1448" s="265"/>
      <c r="P1448" s="265"/>
      <c r="Q1448" s="265"/>
      <c r="BR1448" s="265"/>
      <c r="BS1448" s="265"/>
      <c r="BT1448" s="265"/>
      <c r="BU1448" s="265"/>
      <c r="BV1448" s="265"/>
    </row>
    <row r="1449" spans="12:74">
      <c r="L1449" s="265"/>
      <c r="M1449" s="265"/>
      <c r="N1449" s="265"/>
      <c r="O1449" s="265"/>
      <c r="P1449" s="265"/>
      <c r="Q1449" s="265"/>
      <c r="BR1449" s="265"/>
      <c r="BS1449" s="265"/>
      <c r="BT1449" s="265"/>
      <c r="BU1449" s="265"/>
      <c r="BV1449" s="265"/>
    </row>
    <row r="1450" spans="12:74">
      <c r="L1450" s="265"/>
      <c r="M1450" s="265"/>
      <c r="N1450" s="265"/>
      <c r="O1450" s="265"/>
      <c r="P1450" s="265"/>
      <c r="Q1450" s="265"/>
      <c r="BR1450" s="265"/>
      <c r="BS1450" s="265"/>
      <c r="BT1450" s="265"/>
      <c r="BU1450" s="265"/>
      <c r="BV1450" s="265"/>
    </row>
    <row r="1451" spans="12:74">
      <c r="L1451" s="265"/>
      <c r="M1451" s="265"/>
      <c r="N1451" s="265"/>
      <c r="O1451" s="265"/>
      <c r="P1451" s="265"/>
      <c r="Q1451" s="265"/>
      <c r="BR1451" s="265"/>
      <c r="BS1451" s="265"/>
      <c r="BT1451" s="265"/>
      <c r="BU1451" s="265"/>
      <c r="BV1451" s="265"/>
    </row>
    <row r="1452" spans="12:74">
      <c r="L1452" s="265"/>
      <c r="M1452" s="265"/>
      <c r="N1452" s="265"/>
      <c r="O1452" s="265"/>
      <c r="P1452" s="265"/>
      <c r="Q1452" s="265"/>
      <c r="BR1452" s="265"/>
      <c r="BS1452" s="265"/>
      <c r="BT1452" s="265"/>
      <c r="BU1452" s="265"/>
      <c r="BV1452" s="265"/>
    </row>
    <row r="1453" spans="12:74">
      <c r="L1453" s="265"/>
      <c r="M1453" s="265"/>
      <c r="N1453" s="265"/>
      <c r="O1453" s="265"/>
      <c r="P1453" s="265"/>
      <c r="Q1453" s="265"/>
      <c r="BR1453" s="265"/>
      <c r="BS1453" s="265"/>
      <c r="BT1453" s="265"/>
      <c r="BU1453" s="265"/>
      <c r="BV1453" s="265"/>
    </row>
    <row r="1454" spans="12:74">
      <c r="L1454" s="265"/>
      <c r="M1454" s="265"/>
      <c r="N1454" s="265"/>
      <c r="O1454" s="265"/>
      <c r="P1454" s="265"/>
      <c r="Q1454" s="265"/>
      <c r="BR1454" s="265"/>
      <c r="BS1454" s="265"/>
      <c r="BT1454" s="265"/>
      <c r="BU1454" s="265"/>
      <c r="BV1454" s="265"/>
    </row>
    <row r="1455" spans="12:74">
      <c r="L1455" s="265"/>
      <c r="M1455" s="265"/>
      <c r="N1455" s="265"/>
      <c r="O1455" s="265"/>
      <c r="P1455" s="265"/>
      <c r="Q1455" s="265"/>
      <c r="BR1455" s="265"/>
      <c r="BS1455" s="265"/>
      <c r="BT1455" s="265"/>
      <c r="BU1455" s="265"/>
      <c r="BV1455" s="265"/>
    </row>
    <row r="1456" spans="12:74">
      <c r="L1456" s="265"/>
      <c r="M1456" s="265"/>
      <c r="N1456" s="265"/>
      <c r="O1456" s="265"/>
      <c r="P1456" s="265"/>
      <c r="Q1456" s="265"/>
      <c r="BR1456" s="265"/>
      <c r="BS1456" s="265"/>
      <c r="BT1456" s="265"/>
      <c r="BU1456" s="265"/>
      <c r="BV1456" s="265"/>
    </row>
    <row r="1457" spans="12:74">
      <c r="L1457" s="265"/>
      <c r="M1457" s="265"/>
      <c r="N1457" s="265"/>
      <c r="O1457" s="265"/>
      <c r="P1457" s="265"/>
      <c r="Q1457" s="265"/>
      <c r="BR1457" s="265"/>
      <c r="BS1457" s="265"/>
      <c r="BT1457" s="265"/>
      <c r="BU1457" s="265"/>
      <c r="BV1457" s="265"/>
    </row>
    <row r="1458" spans="12:74">
      <c r="L1458" s="265"/>
      <c r="M1458" s="265"/>
      <c r="N1458" s="265"/>
      <c r="O1458" s="265"/>
      <c r="P1458" s="265"/>
      <c r="Q1458" s="265"/>
      <c r="BR1458" s="265"/>
      <c r="BS1458" s="265"/>
      <c r="BT1458" s="265"/>
      <c r="BU1458" s="265"/>
      <c r="BV1458" s="265"/>
    </row>
    <row r="1459" spans="12:74">
      <c r="L1459" s="265"/>
      <c r="M1459" s="265"/>
      <c r="N1459" s="265"/>
      <c r="O1459" s="265"/>
      <c r="P1459" s="265"/>
      <c r="Q1459" s="265"/>
      <c r="BR1459" s="265"/>
      <c r="BS1459" s="265"/>
      <c r="BT1459" s="265"/>
      <c r="BU1459" s="265"/>
      <c r="BV1459" s="265"/>
    </row>
    <row r="1460" spans="12:74">
      <c r="L1460" s="265"/>
      <c r="M1460" s="265"/>
      <c r="N1460" s="265"/>
      <c r="O1460" s="265"/>
      <c r="P1460" s="265"/>
      <c r="Q1460" s="265"/>
      <c r="BR1460" s="265"/>
      <c r="BS1460" s="265"/>
      <c r="BT1460" s="265"/>
      <c r="BU1460" s="265"/>
      <c r="BV1460" s="265"/>
    </row>
    <row r="1461" spans="12:74">
      <c r="L1461" s="265"/>
      <c r="M1461" s="265"/>
      <c r="N1461" s="265"/>
      <c r="O1461" s="265"/>
      <c r="P1461" s="265"/>
      <c r="Q1461" s="265"/>
      <c r="BR1461" s="265"/>
      <c r="BS1461" s="265"/>
      <c r="BT1461" s="265"/>
      <c r="BU1461" s="265"/>
      <c r="BV1461" s="265"/>
    </row>
    <row r="1462" spans="12:74">
      <c r="L1462" s="265"/>
      <c r="M1462" s="265"/>
      <c r="N1462" s="265"/>
      <c r="O1462" s="265"/>
      <c r="P1462" s="265"/>
      <c r="Q1462" s="265"/>
      <c r="BR1462" s="265"/>
      <c r="BS1462" s="265"/>
      <c r="BT1462" s="265"/>
      <c r="BU1462" s="265"/>
      <c r="BV1462" s="265"/>
    </row>
    <row r="1463" spans="12:74">
      <c r="L1463" s="265"/>
      <c r="M1463" s="265"/>
      <c r="N1463" s="265"/>
      <c r="O1463" s="265"/>
      <c r="P1463" s="265"/>
      <c r="Q1463" s="265"/>
      <c r="BR1463" s="265"/>
      <c r="BS1463" s="265"/>
      <c r="BT1463" s="265"/>
      <c r="BU1463" s="265"/>
      <c r="BV1463" s="265"/>
    </row>
    <row r="1464" spans="12:74">
      <c r="L1464" s="265"/>
      <c r="M1464" s="265"/>
      <c r="N1464" s="265"/>
      <c r="O1464" s="265"/>
      <c r="P1464" s="265"/>
      <c r="Q1464" s="265"/>
      <c r="BR1464" s="265"/>
      <c r="BS1464" s="265"/>
      <c r="BT1464" s="265"/>
      <c r="BU1464" s="265"/>
      <c r="BV1464" s="265"/>
    </row>
    <row r="1465" spans="12:74">
      <c r="L1465" s="265"/>
      <c r="M1465" s="265"/>
      <c r="N1465" s="265"/>
      <c r="O1465" s="265"/>
      <c r="P1465" s="265"/>
      <c r="Q1465" s="265"/>
      <c r="BR1465" s="265"/>
      <c r="BS1465" s="265"/>
      <c r="BT1465" s="265"/>
      <c r="BU1465" s="265"/>
      <c r="BV1465" s="265"/>
    </row>
    <row r="1466" spans="12:74">
      <c r="L1466" s="265"/>
      <c r="M1466" s="265"/>
      <c r="N1466" s="265"/>
      <c r="O1466" s="265"/>
      <c r="P1466" s="265"/>
      <c r="Q1466" s="265"/>
      <c r="BR1466" s="265"/>
      <c r="BS1466" s="265"/>
      <c r="BT1466" s="265"/>
      <c r="BU1466" s="265"/>
      <c r="BV1466" s="265"/>
    </row>
    <row r="1467" spans="12:74">
      <c r="L1467" s="265"/>
      <c r="M1467" s="265"/>
      <c r="N1467" s="265"/>
      <c r="O1467" s="265"/>
      <c r="P1467" s="265"/>
      <c r="Q1467" s="265"/>
      <c r="BR1467" s="265"/>
      <c r="BS1467" s="265"/>
      <c r="BT1467" s="265"/>
      <c r="BU1467" s="265"/>
      <c r="BV1467" s="265"/>
    </row>
    <row r="1468" spans="12:74">
      <c r="L1468" s="265"/>
      <c r="M1468" s="265"/>
      <c r="N1468" s="265"/>
      <c r="O1468" s="265"/>
      <c r="P1468" s="265"/>
      <c r="Q1468" s="265"/>
      <c r="BR1468" s="265"/>
      <c r="BS1468" s="265"/>
      <c r="BT1468" s="265"/>
      <c r="BU1468" s="265"/>
      <c r="BV1468" s="265"/>
    </row>
    <row r="1469" spans="12:74">
      <c r="L1469" s="265"/>
      <c r="M1469" s="265"/>
      <c r="N1469" s="265"/>
      <c r="O1469" s="265"/>
      <c r="P1469" s="265"/>
      <c r="Q1469" s="265"/>
      <c r="BR1469" s="265"/>
      <c r="BS1469" s="265"/>
      <c r="BT1469" s="265"/>
      <c r="BU1469" s="265"/>
      <c r="BV1469" s="265"/>
    </row>
    <row r="1470" spans="12:74">
      <c r="L1470" s="265"/>
      <c r="M1470" s="265"/>
      <c r="N1470" s="265"/>
      <c r="O1470" s="265"/>
      <c r="P1470" s="265"/>
      <c r="Q1470" s="265"/>
      <c r="BR1470" s="265"/>
      <c r="BS1470" s="265"/>
      <c r="BT1470" s="265"/>
      <c r="BU1470" s="265"/>
      <c r="BV1470" s="265"/>
    </row>
    <row r="1471" spans="12:74">
      <c r="L1471" s="265"/>
      <c r="M1471" s="265"/>
      <c r="N1471" s="265"/>
      <c r="O1471" s="265"/>
      <c r="P1471" s="265"/>
      <c r="Q1471" s="265"/>
      <c r="BR1471" s="265"/>
      <c r="BS1471" s="265"/>
      <c r="BT1471" s="265"/>
      <c r="BU1471" s="265"/>
      <c r="BV1471" s="265"/>
    </row>
    <row r="1472" spans="12:74">
      <c r="L1472" s="265"/>
      <c r="M1472" s="265"/>
      <c r="N1472" s="265"/>
      <c r="O1472" s="265"/>
      <c r="P1472" s="265"/>
      <c r="Q1472" s="265"/>
      <c r="BR1472" s="265"/>
      <c r="BS1472" s="265"/>
      <c r="BT1472" s="265"/>
      <c r="BU1472" s="265"/>
      <c r="BV1472" s="265"/>
    </row>
    <row r="1473" spans="12:74">
      <c r="L1473" s="265"/>
      <c r="M1473" s="265"/>
      <c r="N1473" s="265"/>
      <c r="O1473" s="265"/>
      <c r="P1473" s="265"/>
      <c r="Q1473" s="265"/>
      <c r="BR1473" s="265"/>
      <c r="BS1473" s="265"/>
      <c r="BT1473" s="265"/>
      <c r="BU1473" s="265"/>
      <c r="BV1473" s="265"/>
    </row>
    <row r="1474" spans="12:74">
      <c r="L1474" s="265"/>
      <c r="M1474" s="265"/>
      <c r="N1474" s="265"/>
      <c r="O1474" s="265"/>
      <c r="P1474" s="265"/>
      <c r="Q1474" s="265"/>
      <c r="BR1474" s="265"/>
      <c r="BS1474" s="265"/>
      <c r="BT1474" s="265"/>
      <c r="BU1474" s="265"/>
      <c r="BV1474" s="265"/>
    </row>
    <row r="1475" spans="12:74">
      <c r="L1475" s="265"/>
      <c r="M1475" s="265"/>
      <c r="N1475" s="265"/>
      <c r="O1475" s="265"/>
      <c r="P1475" s="265"/>
      <c r="Q1475" s="265"/>
      <c r="BR1475" s="265"/>
      <c r="BS1475" s="265"/>
      <c r="BT1475" s="265"/>
      <c r="BU1475" s="265"/>
      <c r="BV1475" s="265"/>
    </row>
    <row r="1476" spans="12:74">
      <c r="L1476" s="265"/>
      <c r="M1476" s="265"/>
      <c r="N1476" s="265"/>
      <c r="O1476" s="265"/>
      <c r="P1476" s="265"/>
      <c r="Q1476" s="265"/>
      <c r="BR1476" s="265"/>
      <c r="BS1476" s="265"/>
      <c r="BT1476" s="265"/>
      <c r="BU1476" s="265"/>
      <c r="BV1476" s="265"/>
    </row>
    <row r="1477" spans="12:74">
      <c r="L1477" s="265"/>
      <c r="M1477" s="265"/>
      <c r="N1477" s="265"/>
      <c r="O1477" s="265"/>
      <c r="P1477" s="265"/>
      <c r="Q1477" s="265"/>
      <c r="BR1477" s="265"/>
      <c r="BS1477" s="265"/>
      <c r="BT1477" s="265"/>
      <c r="BU1477" s="265"/>
      <c r="BV1477" s="265"/>
    </row>
    <row r="1478" spans="12:74">
      <c r="L1478" s="265"/>
      <c r="M1478" s="265"/>
      <c r="N1478" s="265"/>
      <c r="O1478" s="265"/>
      <c r="P1478" s="265"/>
      <c r="Q1478" s="265"/>
      <c r="BR1478" s="265"/>
      <c r="BS1478" s="265"/>
      <c r="BT1478" s="265"/>
      <c r="BU1478" s="265"/>
      <c r="BV1478" s="265"/>
    </row>
    <row r="1479" spans="12:74">
      <c r="L1479" s="265"/>
      <c r="M1479" s="265"/>
      <c r="N1479" s="265"/>
      <c r="O1479" s="265"/>
      <c r="P1479" s="265"/>
      <c r="Q1479" s="265"/>
      <c r="BR1479" s="265"/>
      <c r="BS1479" s="265"/>
      <c r="BT1479" s="265"/>
      <c r="BU1479" s="265"/>
      <c r="BV1479" s="265"/>
    </row>
    <row r="1480" spans="12:74">
      <c r="L1480" s="265"/>
      <c r="M1480" s="265"/>
      <c r="N1480" s="265"/>
      <c r="O1480" s="265"/>
      <c r="P1480" s="265"/>
      <c r="Q1480" s="265"/>
      <c r="BR1480" s="265"/>
      <c r="BS1480" s="265"/>
      <c r="BT1480" s="265"/>
      <c r="BU1480" s="265"/>
      <c r="BV1480" s="265"/>
    </row>
    <row r="1481" spans="12:74">
      <c r="L1481" s="265"/>
      <c r="M1481" s="265"/>
      <c r="N1481" s="265"/>
      <c r="O1481" s="265"/>
      <c r="P1481" s="265"/>
      <c r="Q1481" s="265"/>
      <c r="BR1481" s="265"/>
      <c r="BS1481" s="265"/>
      <c r="BT1481" s="265"/>
      <c r="BU1481" s="265"/>
      <c r="BV1481" s="265"/>
    </row>
    <row r="1482" spans="12:74">
      <c r="L1482" s="265"/>
      <c r="M1482" s="265"/>
      <c r="N1482" s="265"/>
      <c r="O1482" s="265"/>
      <c r="P1482" s="265"/>
      <c r="Q1482" s="265"/>
      <c r="BR1482" s="265"/>
      <c r="BS1482" s="265"/>
      <c r="BT1482" s="265"/>
      <c r="BU1482" s="265"/>
      <c r="BV1482" s="265"/>
    </row>
    <row r="1483" spans="12:74">
      <c r="L1483" s="265"/>
      <c r="M1483" s="265"/>
      <c r="N1483" s="265"/>
      <c r="O1483" s="265"/>
      <c r="P1483" s="265"/>
      <c r="Q1483" s="265"/>
      <c r="BR1483" s="265"/>
      <c r="BS1483" s="265"/>
      <c r="BT1483" s="265"/>
      <c r="BU1483" s="265"/>
      <c r="BV1483" s="265"/>
    </row>
    <row r="1484" spans="12:74">
      <c r="L1484" s="265"/>
      <c r="M1484" s="265"/>
      <c r="N1484" s="265"/>
      <c r="O1484" s="265"/>
      <c r="P1484" s="265"/>
      <c r="Q1484" s="265"/>
      <c r="BR1484" s="265"/>
      <c r="BS1484" s="265"/>
      <c r="BT1484" s="265"/>
      <c r="BU1484" s="265"/>
      <c r="BV1484" s="265"/>
    </row>
    <row r="1485" spans="12:74">
      <c r="L1485" s="265"/>
      <c r="M1485" s="265"/>
      <c r="N1485" s="265"/>
      <c r="O1485" s="265"/>
      <c r="P1485" s="265"/>
      <c r="Q1485" s="265"/>
      <c r="BR1485" s="265"/>
      <c r="BS1485" s="265"/>
      <c r="BT1485" s="265"/>
      <c r="BU1485" s="265"/>
      <c r="BV1485" s="265"/>
    </row>
    <row r="1486" spans="12:74">
      <c r="L1486" s="265"/>
      <c r="M1486" s="265"/>
      <c r="N1486" s="265"/>
      <c r="O1486" s="265"/>
      <c r="P1486" s="265"/>
      <c r="Q1486" s="265"/>
      <c r="BR1486" s="265"/>
      <c r="BS1486" s="265"/>
      <c r="BT1486" s="265"/>
      <c r="BU1486" s="265"/>
      <c r="BV1486" s="265"/>
    </row>
    <row r="1487" spans="12:74">
      <c r="L1487" s="265"/>
      <c r="M1487" s="265"/>
      <c r="N1487" s="265"/>
      <c r="O1487" s="265"/>
      <c r="P1487" s="265"/>
      <c r="Q1487" s="265"/>
      <c r="BR1487" s="265"/>
      <c r="BS1487" s="265"/>
      <c r="BT1487" s="265"/>
      <c r="BU1487" s="265"/>
      <c r="BV1487" s="265"/>
    </row>
    <row r="1488" spans="12:74">
      <c r="L1488" s="265"/>
      <c r="M1488" s="265"/>
      <c r="N1488" s="265"/>
      <c r="O1488" s="265"/>
      <c r="P1488" s="265"/>
      <c r="Q1488" s="265"/>
      <c r="BR1488" s="265"/>
      <c r="BS1488" s="265"/>
      <c r="BT1488" s="265"/>
      <c r="BU1488" s="265"/>
      <c r="BV1488" s="265"/>
    </row>
    <row r="1489" spans="12:74">
      <c r="L1489" s="265"/>
      <c r="M1489" s="265"/>
      <c r="N1489" s="265"/>
      <c r="O1489" s="265"/>
      <c r="P1489" s="265"/>
      <c r="Q1489" s="265"/>
      <c r="BR1489" s="265"/>
      <c r="BS1489" s="265"/>
      <c r="BT1489" s="265"/>
      <c r="BU1489" s="265"/>
      <c r="BV1489" s="265"/>
    </row>
    <row r="1490" spans="12:74">
      <c r="L1490" s="265"/>
      <c r="M1490" s="265"/>
      <c r="N1490" s="265"/>
      <c r="O1490" s="265"/>
      <c r="P1490" s="265"/>
      <c r="Q1490" s="265"/>
      <c r="BR1490" s="265"/>
      <c r="BS1490" s="265"/>
      <c r="BT1490" s="265"/>
      <c r="BU1490" s="265"/>
      <c r="BV1490" s="265"/>
    </row>
    <row r="1491" spans="12:74">
      <c r="L1491" s="265"/>
      <c r="M1491" s="265"/>
      <c r="N1491" s="265"/>
      <c r="O1491" s="265"/>
      <c r="P1491" s="265"/>
      <c r="Q1491" s="265"/>
      <c r="BR1491" s="265"/>
      <c r="BS1491" s="265"/>
      <c r="BT1491" s="265"/>
      <c r="BU1491" s="265"/>
      <c r="BV1491" s="265"/>
    </row>
    <row r="1492" spans="12:74">
      <c r="L1492" s="265"/>
      <c r="M1492" s="265"/>
      <c r="N1492" s="265"/>
      <c r="O1492" s="265"/>
      <c r="P1492" s="265"/>
      <c r="Q1492" s="265"/>
      <c r="BR1492" s="265"/>
      <c r="BS1492" s="265"/>
      <c r="BT1492" s="265"/>
      <c r="BU1492" s="265"/>
      <c r="BV1492" s="265"/>
    </row>
    <row r="1493" spans="12:74">
      <c r="L1493" s="265"/>
      <c r="M1493" s="265"/>
      <c r="N1493" s="265"/>
      <c r="O1493" s="265"/>
      <c r="P1493" s="265"/>
      <c r="Q1493" s="265"/>
      <c r="BR1493" s="265"/>
      <c r="BS1493" s="265"/>
      <c r="BT1493" s="265"/>
      <c r="BU1493" s="265"/>
      <c r="BV1493" s="265"/>
    </row>
    <row r="1494" spans="12:74">
      <c r="L1494" s="265"/>
      <c r="M1494" s="265"/>
      <c r="N1494" s="265"/>
      <c r="O1494" s="265"/>
      <c r="P1494" s="265"/>
      <c r="Q1494" s="265"/>
      <c r="BR1494" s="265"/>
      <c r="BS1494" s="265"/>
      <c r="BT1494" s="265"/>
      <c r="BU1494" s="265"/>
      <c r="BV1494" s="265"/>
    </row>
    <row r="1495" spans="12:74">
      <c r="L1495" s="265"/>
      <c r="M1495" s="265"/>
      <c r="N1495" s="265"/>
      <c r="O1495" s="265"/>
      <c r="P1495" s="265"/>
      <c r="Q1495" s="265"/>
      <c r="BR1495" s="265"/>
      <c r="BS1495" s="265"/>
      <c r="BT1495" s="265"/>
      <c r="BU1495" s="265"/>
      <c r="BV1495" s="265"/>
    </row>
    <row r="1496" spans="12:74">
      <c r="L1496" s="265"/>
      <c r="M1496" s="265"/>
      <c r="N1496" s="265"/>
      <c r="O1496" s="265"/>
      <c r="P1496" s="265"/>
      <c r="Q1496" s="265"/>
      <c r="BR1496" s="265"/>
      <c r="BS1496" s="265"/>
      <c r="BT1496" s="265"/>
      <c r="BU1496" s="265"/>
      <c r="BV1496" s="265"/>
    </row>
    <row r="1497" spans="12:74">
      <c r="L1497" s="265"/>
      <c r="M1497" s="265"/>
      <c r="N1497" s="265"/>
      <c r="O1497" s="265"/>
      <c r="P1497" s="265"/>
      <c r="Q1497" s="265"/>
      <c r="BR1497" s="265"/>
      <c r="BS1497" s="265"/>
      <c r="BT1497" s="265"/>
      <c r="BU1497" s="265"/>
      <c r="BV1497" s="265"/>
    </row>
    <row r="1498" spans="12:74">
      <c r="L1498" s="265"/>
      <c r="M1498" s="265"/>
      <c r="N1498" s="265"/>
      <c r="O1498" s="265"/>
      <c r="P1498" s="265"/>
      <c r="Q1498" s="265"/>
      <c r="BR1498" s="265"/>
      <c r="BS1498" s="265"/>
      <c r="BT1498" s="265"/>
      <c r="BU1498" s="265"/>
      <c r="BV1498" s="265"/>
    </row>
    <row r="1499" spans="12:74">
      <c r="L1499" s="265"/>
      <c r="M1499" s="265"/>
      <c r="N1499" s="265"/>
      <c r="O1499" s="265"/>
      <c r="P1499" s="265"/>
      <c r="Q1499" s="265"/>
      <c r="BR1499" s="265"/>
      <c r="BS1499" s="265"/>
      <c r="BT1499" s="265"/>
      <c r="BU1499" s="265"/>
      <c r="BV1499" s="265"/>
    </row>
    <row r="1500" spans="12:74">
      <c r="L1500" s="265"/>
      <c r="M1500" s="265"/>
      <c r="N1500" s="265"/>
      <c r="O1500" s="265"/>
      <c r="P1500" s="265"/>
      <c r="Q1500" s="265"/>
      <c r="BR1500" s="265"/>
      <c r="BS1500" s="265"/>
      <c r="BT1500" s="265"/>
      <c r="BU1500" s="265"/>
      <c r="BV1500" s="265"/>
    </row>
    <row r="1501" spans="12:74">
      <c r="L1501" s="265"/>
      <c r="M1501" s="265"/>
      <c r="N1501" s="265"/>
      <c r="O1501" s="265"/>
      <c r="P1501" s="265"/>
      <c r="Q1501" s="265"/>
      <c r="BR1501" s="265"/>
      <c r="BS1501" s="265"/>
      <c r="BT1501" s="265"/>
      <c r="BU1501" s="265"/>
      <c r="BV1501" s="265"/>
    </row>
    <row r="1502" spans="12:74">
      <c r="L1502" s="265"/>
      <c r="M1502" s="265"/>
      <c r="N1502" s="265"/>
      <c r="O1502" s="265"/>
      <c r="P1502" s="265"/>
      <c r="Q1502" s="265"/>
      <c r="BR1502" s="265"/>
      <c r="BS1502" s="265"/>
      <c r="BT1502" s="265"/>
      <c r="BU1502" s="265"/>
      <c r="BV1502" s="265"/>
    </row>
    <row r="1503" spans="12:74">
      <c r="L1503" s="265"/>
      <c r="M1503" s="265"/>
      <c r="N1503" s="265"/>
      <c r="O1503" s="265"/>
      <c r="P1503" s="265"/>
      <c r="Q1503" s="265"/>
      <c r="BR1503" s="265"/>
      <c r="BS1503" s="265"/>
      <c r="BT1503" s="265"/>
      <c r="BU1503" s="265"/>
      <c r="BV1503" s="265"/>
    </row>
    <row r="1504" spans="12:74">
      <c r="L1504" s="265"/>
      <c r="M1504" s="265"/>
      <c r="N1504" s="265"/>
      <c r="O1504" s="265"/>
      <c r="P1504" s="265"/>
      <c r="Q1504" s="265"/>
      <c r="BR1504" s="265"/>
      <c r="BS1504" s="265"/>
      <c r="BT1504" s="265"/>
      <c r="BU1504" s="265"/>
      <c r="BV1504" s="265"/>
    </row>
    <row r="1505" spans="12:74">
      <c r="L1505" s="265"/>
      <c r="M1505" s="265"/>
      <c r="N1505" s="265"/>
      <c r="O1505" s="265"/>
      <c r="P1505" s="265"/>
      <c r="Q1505" s="265"/>
      <c r="BR1505" s="265"/>
      <c r="BS1505" s="265"/>
      <c r="BT1505" s="265"/>
      <c r="BU1505" s="265"/>
      <c r="BV1505" s="265"/>
    </row>
    <row r="1506" spans="12:74">
      <c r="L1506" s="265"/>
      <c r="M1506" s="265"/>
      <c r="N1506" s="265"/>
      <c r="O1506" s="265"/>
      <c r="P1506" s="265"/>
      <c r="Q1506" s="265"/>
      <c r="BR1506" s="265"/>
      <c r="BS1506" s="265"/>
      <c r="BT1506" s="265"/>
      <c r="BU1506" s="265"/>
      <c r="BV1506" s="265"/>
    </row>
    <row r="1507" spans="12:74">
      <c r="L1507" s="265"/>
      <c r="M1507" s="265"/>
      <c r="N1507" s="265"/>
      <c r="O1507" s="265"/>
      <c r="P1507" s="265"/>
      <c r="Q1507" s="265"/>
      <c r="BR1507" s="265"/>
      <c r="BS1507" s="265"/>
      <c r="BT1507" s="265"/>
      <c r="BU1507" s="265"/>
      <c r="BV1507" s="265"/>
    </row>
    <row r="1508" spans="12:74">
      <c r="L1508" s="265"/>
      <c r="M1508" s="265"/>
      <c r="N1508" s="265"/>
      <c r="O1508" s="265"/>
      <c r="P1508" s="265"/>
      <c r="Q1508" s="265"/>
      <c r="BR1508" s="265"/>
      <c r="BS1508" s="265"/>
      <c r="BT1508" s="265"/>
      <c r="BU1508" s="265"/>
      <c r="BV1508" s="265"/>
    </row>
    <row r="1509" spans="12:74">
      <c r="L1509" s="265"/>
      <c r="M1509" s="265"/>
      <c r="N1509" s="265"/>
      <c r="O1509" s="265"/>
      <c r="P1509" s="265"/>
      <c r="Q1509" s="265"/>
      <c r="BR1509" s="265"/>
      <c r="BS1509" s="265"/>
      <c r="BT1509" s="265"/>
      <c r="BU1509" s="265"/>
      <c r="BV1509" s="265"/>
    </row>
    <row r="1510" spans="12:74">
      <c r="L1510" s="265"/>
      <c r="M1510" s="265"/>
      <c r="N1510" s="265"/>
      <c r="O1510" s="265"/>
      <c r="P1510" s="265"/>
      <c r="Q1510" s="265"/>
      <c r="BR1510" s="265"/>
      <c r="BS1510" s="265"/>
      <c r="BT1510" s="265"/>
      <c r="BU1510" s="265"/>
      <c r="BV1510" s="265"/>
    </row>
    <row r="1511" spans="12:74">
      <c r="L1511" s="265"/>
      <c r="M1511" s="265"/>
      <c r="N1511" s="265"/>
      <c r="O1511" s="265"/>
      <c r="P1511" s="265"/>
      <c r="Q1511" s="265"/>
      <c r="BR1511" s="265"/>
      <c r="BS1511" s="265"/>
      <c r="BT1511" s="265"/>
      <c r="BU1511" s="265"/>
      <c r="BV1511" s="265"/>
    </row>
    <row r="1512" spans="12:74">
      <c r="L1512" s="265"/>
      <c r="M1512" s="265"/>
      <c r="N1512" s="265"/>
      <c r="O1512" s="265"/>
      <c r="P1512" s="265"/>
      <c r="Q1512" s="265"/>
      <c r="BR1512" s="265"/>
      <c r="BS1512" s="265"/>
      <c r="BT1512" s="265"/>
      <c r="BU1512" s="265"/>
      <c r="BV1512" s="265"/>
    </row>
    <row r="1513" spans="12:74">
      <c r="L1513" s="265"/>
      <c r="M1513" s="265"/>
      <c r="N1513" s="265"/>
      <c r="O1513" s="265"/>
      <c r="P1513" s="265"/>
      <c r="Q1513" s="265"/>
      <c r="BR1513" s="265"/>
      <c r="BS1513" s="265"/>
      <c r="BT1513" s="265"/>
      <c r="BU1513" s="265"/>
      <c r="BV1513" s="265"/>
    </row>
    <row r="1514" spans="12:74">
      <c r="L1514" s="265"/>
      <c r="M1514" s="265"/>
      <c r="N1514" s="265"/>
      <c r="O1514" s="265"/>
      <c r="P1514" s="265"/>
      <c r="Q1514" s="265"/>
      <c r="BR1514" s="265"/>
      <c r="BS1514" s="265"/>
      <c r="BT1514" s="265"/>
      <c r="BU1514" s="265"/>
      <c r="BV1514" s="265"/>
    </row>
    <row r="1515" spans="12:74">
      <c r="L1515" s="265"/>
      <c r="M1515" s="265"/>
      <c r="N1515" s="265"/>
      <c r="O1515" s="265"/>
      <c r="P1515" s="265"/>
      <c r="Q1515" s="265"/>
      <c r="BR1515" s="265"/>
      <c r="BS1515" s="265"/>
      <c r="BT1515" s="265"/>
      <c r="BU1515" s="265"/>
      <c r="BV1515" s="265"/>
    </row>
    <row r="1516" spans="12:74">
      <c r="L1516" s="265"/>
      <c r="M1516" s="265"/>
      <c r="N1516" s="265"/>
      <c r="O1516" s="265"/>
      <c r="P1516" s="265"/>
      <c r="Q1516" s="265"/>
      <c r="BR1516" s="265"/>
      <c r="BS1516" s="265"/>
      <c r="BT1516" s="265"/>
      <c r="BU1516" s="265"/>
      <c r="BV1516" s="265"/>
    </row>
    <row r="1517" spans="12:74">
      <c r="L1517" s="265"/>
      <c r="M1517" s="265"/>
      <c r="N1517" s="265"/>
      <c r="O1517" s="265"/>
      <c r="P1517" s="265"/>
      <c r="Q1517" s="265"/>
      <c r="BR1517" s="265"/>
      <c r="BS1517" s="265"/>
      <c r="BT1517" s="265"/>
      <c r="BU1517" s="265"/>
      <c r="BV1517" s="265"/>
    </row>
    <row r="1518" spans="12:74">
      <c r="L1518" s="265"/>
      <c r="M1518" s="265"/>
      <c r="N1518" s="265"/>
      <c r="O1518" s="265"/>
      <c r="P1518" s="265"/>
      <c r="Q1518" s="265"/>
      <c r="BR1518" s="265"/>
      <c r="BS1518" s="265"/>
      <c r="BT1518" s="265"/>
      <c r="BU1518" s="265"/>
      <c r="BV1518" s="265"/>
    </row>
    <row r="1519" spans="12:74">
      <c r="L1519" s="265"/>
      <c r="M1519" s="265"/>
      <c r="N1519" s="265"/>
      <c r="O1519" s="265"/>
      <c r="P1519" s="265"/>
      <c r="Q1519" s="265"/>
      <c r="BR1519" s="265"/>
      <c r="BS1519" s="265"/>
      <c r="BT1519" s="265"/>
      <c r="BU1519" s="265"/>
      <c r="BV1519" s="265"/>
    </row>
    <row r="1520" spans="12:74">
      <c r="L1520" s="265"/>
      <c r="M1520" s="265"/>
      <c r="N1520" s="265"/>
      <c r="O1520" s="265"/>
      <c r="P1520" s="265"/>
      <c r="Q1520" s="265"/>
      <c r="BR1520" s="265"/>
      <c r="BS1520" s="265"/>
      <c r="BT1520" s="265"/>
      <c r="BU1520" s="265"/>
      <c r="BV1520" s="265"/>
    </row>
    <row r="1521" spans="12:74">
      <c r="L1521" s="265"/>
      <c r="M1521" s="265"/>
      <c r="N1521" s="265"/>
      <c r="O1521" s="265"/>
      <c r="P1521" s="265"/>
      <c r="Q1521" s="265"/>
      <c r="BR1521" s="265"/>
      <c r="BS1521" s="265"/>
      <c r="BT1521" s="265"/>
      <c r="BU1521" s="265"/>
      <c r="BV1521" s="265"/>
    </row>
    <row r="1522" spans="12:74">
      <c r="L1522" s="265"/>
      <c r="M1522" s="265"/>
      <c r="N1522" s="265"/>
      <c r="O1522" s="265"/>
      <c r="P1522" s="265"/>
      <c r="Q1522" s="265"/>
      <c r="BR1522" s="265"/>
      <c r="BS1522" s="265"/>
      <c r="BT1522" s="265"/>
      <c r="BU1522" s="265"/>
      <c r="BV1522" s="265"/>
    </row>
    <row r="1523" spans="12:74">
      <c r="L1523" s="265"/>
      <c r="M1523" s="265"/>
      <c r="N1523" s="265"/>
      <c r="O1523" s="265"/>
      <c r="P1523" s="265"/>
      <c r="Q1523" s="265"/>
      <c r="BR1523" s="265"/>
      <c r="BS1523" s="265"/>
      <c r="BT1523" s="265"/>
      <c r="BU1523" s="265"/>
      <c r="BV1523" s="265"/>
    </row>
    <row r="1524" spans="12:74">
      <c r="L1524" s="265"/>
      <c r="M1524" s="265"/>
      <c r="N1524" s="265"/>
      <c r="O1524" s="265"/>
      <c r="P1524" s="265"/>
      <c r="Q1524" s="265"/>
      <c r="BR1524" s="265"/>
      <c r="BS1524" s="265"/>
      <c r="BT1524" s="265"/>
      <c r="BU1524" s="265"/>
      <c r="BV1524" s="265"/>
    </row>
    <row r="1525" spans="12:74">
      <c r="L1525" s="265"/>
      <c r="M1525" s="265"/>
      <c r="N1525" s="265"/>
      <c r="O1525" s="265"/>
      <c r="P1525" s="265"/>
      <c r="Q1525" s="265"/>
      <c r="BR1525" s="265"/>
      <c r="BS1525" s="265"/>
      <c r="BT1525" s="265"/>
      <c r="BU1525" s="265"/>
      <c r="BV1525" s="265"/>
    </row>
    <row r="1526" spans="12:74">
      <c r="L1526" s="265"/>
      <c r="M1526" s="265"/>
      <c r="N1526" s="265"/>
      <c r="O1526" s="265"/>
      <c r="P1526" s="265"/>
      <c r="Q1526" s="265"/>
      <c r="BR1526" s="265"/>
      <c r="BS1526" s="265"/>
      <c r="BT1526" s="265"/>
      <c r="BU1526" s="265"/>
      <c r="BV1526" s="265"/>
    </row>
    <row r="1527" spans="12:74">
      <c r="L1527" s="265"/>
      <c r="M1527" s="265"/>
      <c r="N1527" s="265"/>
      <c r="O1527" s="265"/>
      <c r="P1527" s="265"/>
      <c r="Q1527" s="265"/>
      <c r="BR1527" s="265"/>
      <c r="BS1527" s="265"/>
      <c r="BT1527" s="265"/>
      <c r="BU1527" s="265"/>
      <c r="BV1527" s="265"/>
    </row>
    <row r="1528" spans="12:74">
      <c r="L1528" s="265"/>
      <c r="M1528" s="265"/>
      <c r="N1528" s="265"/>
      <c r="O1528" s="265"/>
      <c r="P1528" s="265"/>
      <c r="Q1528" s="265"/>
      <c r="BR1528" s="265"/>
      <c r="BS1528" s="265"/>
      <c r="BT1528" s="265"/>
      <c r="BU1528" s="265"/>
      <c r="BV1528" s="265"/>
    </row>
    <row r="1529" spans="12:74">
      <c r="L1529" s="265"/>
      <c r="M1529" s="265"/>
      <c r="N1529" s="265"/>
      <c r="O1529" s="265"/>
      <c r="P1529" s="265"/>
      <c r="Q1529" s="265"/>
      <c r="BR1529" s="265"/>
      <c r="BS1529" s="265"/>
      <c r="BT1529" s="265"/>
      <c r="BU1529" s="265"/>
      <c r="BV1529" s="265"/>
    </row>
    <row r="1530" spans="12:74">
      <c r="L1530" s="265"/>
      <c r="M1530" s="265"/>
      <c r="N1530" s="265"/>
      <c r="O1530" s="265"/>
      <c r="P1530" s="265"/>
      <c r="Q1530" s="265"/>
      <c r="BR1530" s="265"/>
      <c r="BS1530" s="265"/>
      <c r="BT1530" s="265"/>
      <c r="BU1530" s="265"/>
      <c r="BV1530" s="265"/>
    </row>
    <row r="1531" spans="12:74">
      <c r="L1531" s="265"/>
      <c r="M1531" s="265"/>
      <c r="N1531" s="265"/>
      <c r="O1531" s="265"/>
      <c r="P1531" s="265"/>
      <c r="Q1531" s="265"/>
      <c r="BR1531" s="265"/>
      <c r="BS1531" s="265"/>
      <c r="BT1531" s="265"/>
      <c r="BU1531" s="265"/>
      <c r="BV1531" s="265"/>
    </row>
    <row r="1532" spans="12:74">
      <c r="L1532" s="265"/>
      <c r="M1532" s="265"/>
      <c r="N1532" s="265"/>
      <c r="O1532" s="265"/>
      <c r="P1532" s="265"/>
      <c r="Q1532" s="265"/>
      <c r="BR1532" s="265"/>
      <c r="BS1532" s="265"/>
      <c r="BT1532" s="265"/>
      <c r="BU1532" s="265"/>
      <c r="BV1532" s="265"/>
    </row>
    <row r="1533" spans="12:74">
      <c r="L1533" s="265"/>
      <c r="M1533" s="265"/>
      <c r="N1533" s="265"/>
      <c r="O1533" s="265"/>
      <c r="P1533" s="265"/>
      <c r="Q1533" s="265"/>
      <c r="BR1533" s="265"/>
      <c r="BS1533" s="265"/>
      <c r="BT1533" s="265"/>
      <c r="BU1533" s="265"/>
      <c r="BV1533" s="265"/>
    </row>
    <row r="1534" spans="12:74">
      <c r="L1534" s="265"/>
      <c r="M1534" s="265"/>
      <c r="N1534" s="265"/>
      <c r="O1534" s="265"/>
      <c r="P1534" s="265"/>
      <c r="Q1534" s="265"/>
      <c r="BR1534" s="265"/>
      <c r="BS1534" s="265"/>
      <c r="BT1534" s="265"/>
      <c r="BU1534" s="265"/>
      <c r="BV1534" s="265"/>
    </row>
    <row r="1535" spans="12:74">
      <c r="L1535" s="265"/>
      <c r="M1535" s="265"/>
      <c r="N1535" s="265"/>
      <c r="O1535" s="265"/>
      <c r="P1535" s="265"/>
      <c r="Q1535" s="265"/>
      <c r="BR1535" s="265"/>
      <c r="BS1535" s="265"/>
      <c r="BT1535" s="265"/>
      <c r="BU1535" s="265"/>
      <c r="BV1535" s="265"/>
    </row>
    <row r="1536" spans="12:74">
      <c r="L1536" s="265"/>
      <c r="M1536" s="265"/>
      <c r="N1536" s="265"/>
      <c r="O1536" s="265"/>
      <c r="P1536" s="265"/>
      <c r="Q1536" s="265"/>
      <c r="BR1536" s="265"/>
      <c r="BS1536" s="265"/>
      <c r="BT1536" s="265"/>
      <c r="BU1536" s="265"/>
      <c r="BV1536" s="265"/>
    </row>
    <row r="1537" spans="12:74">
      <c r="L1537" s="265"/>
      <c r="M1537" s="265"/>
      <c r="N1537" s="265"/>
      <c r="O1537" s="265"/>
      <c r="P1537" s="265"/>
      <c r="Q1537" s="265"/>
      <c r="BR1537" s="265"/>
      <c r="BS1537" s="265"/>
      <c r="BT1537" s="265"/>
      <c r="BU1537" s="265"/>
      <c r="BV1537" s="265"/>
    </row>
    <row r="1538" spans="12:74">
      <c r="L1538" s="265"/>
      <c r="M1538" s="265"/>
      <c r="N1538" s="265"/>
      <c r="O1538" s="265"/>
      <c r="P1538" s="265"/>
      <c r="Q1538" s="265"/>
      <c r="BR1538" s="265"/>
      <c r="BS1538" s="265"/>
      <c r="BT1538" s="265"/>
      <c r="BU1538" s="265"/>
      <c r="BV1538" s="265"/>
    </row>
    <row r="1539" spans="12:74">
      <c r="L1539" s="265"/>
      <c r="M1539" s="265"/>
      <c r="N1539" s="265"/>
      <c r="O1539" s="265"/>
      <c r="P1539" s="265"/>
      <c r="Q1539" s="265"/>
      <c r="BR1539" s="265"/>
      <c r="BS1539" s="265"/>
      <c r="BT1539" s="265"/>
      <c r="BU1539" s="265"/>
      <c r="BV1539" s="265"/>
    </row>
    <row r="1540" spans="12:74">
      <c r="L1540" s="265"/>
      <c r="M1540" s="265"/>
      <c r="N1540" s="265"/>
      <c r="O1540" s="265"/>
      <c r="P1540" s="265"/>
      <c r="Q1540" s="265"/>
      <c r="BR1540" s="265"/>
      <c r="BS1540" s="265"/>
      <c r="BT1540" s="265"/>
      <c r="BU1540" s="265"/>
      <c r="BV1540" s="265"/>
    </row>
    <row r="1541" spans="12:74">
      <c r="L1541" s="265"/>
      <c r="M1541" s="265"/>
      <c r="N1541" s="265"/>
      <c r="O1541" s="265"/>
      <c r="P1541" s="265"/>
      <c r="Q1541" s="265"/>
      <c r="BR1541" s="265"/>
      <c r="BS1541" s="265"/>
      <c r="BT1541" s="265"/>
      <c r="BU1541" s="265"/>
      <c r="BV1541" s="265"/>
    </row>
    <row r="1542" spans="12:74">
      <c r="L1542" s="265"/>
      <c r="M1542" s="265"/>
      <c r="N1542" s="265"/>
      <c r="O1542" s="265"/>
      <c r="P1542" s="265"/>
      <c r="Q1542" s="265"/>
      <c r="BR1542" s="265"/>
      <c r="BS1542" s="265"/>
      <c r="BT1542" s="265"/>
      <c r="BU1542" s="265"/>
      <c r="BV1542" s="265"/>
    </row>
    <row r="1543" spans="12:74">
      <c r="L1543" s="265"/>
      <c r="M1543" s="265"/>
      <c r="N1543" s="265"/>
      <c r="O1543" s="265"/>
      <c r="P1543" s="265"/>
      <c r="Q1543" s="265"/>
      <c r="BR1543" s="265"/>
      <c r="BS1543" s="265"/>
      <c r="BT1543" s="265"/>
      <c r="BU1543" s="265"/>
      <c r="BV1543" s="265"/>
    </row>
    <row r="1544" spans="12:74">
      <c r="L1544" s="265"/>
      <c r="M1544" s="265"/>
      <c r="N1544" s="265"/>
      <c r="O1544" s="265"/>
      <c r="P1544" s="265"/>
      <c r="Q1544" s="265"/>
      <c r="BR1544" s="265"/>
      <c r="BS1544" s="265"/>
      <c r="BT1544" s="265"/>
      <c r="BU1544" s="265"/>
      <c r="BV1544" s="265"/>
    </row>
    <row r="1545" spans="12:74">
      <c r="L1545" s="265"/>
      <c r="M1545" s="265"/>
      <c r="N1545" s="265"/>
      <c r="O1545" s="265"/>
      <c r="P1545" s="265"/>
      <c r="Q1545" s="265"/>
      <c r="BR1545" s="265"/>
      <c r="BS1545" s="265"/>
      <c r="BT1545" s="265"/>
      <c r="BU1545" s="265"/>
      <c r="BV1545" s="265"/>
    </row>
    <row r="1546" spans="12:74">
      <c r="L1546" s="265"/>
      <c r="M1546" s="265"/>
      <c r="N1546" s="265"/>
      <c r="O1546" s="265"/>
      <c r="P1546" s="265"/>
      <c r="Q1546" s="265"/>
      <c r="BR1546" s="265"/>
      <c r="BS1546" s="265"/>
      <c r="BT1546" s="265"/>
      <c r="BU1546" s="265"/>
      <c r="BV1546" s="265"/>
    </row>
    <row r="1547" spans="12:74">
      <c r="L1547" s="265"/>
      <c r="M1547" s="265"/>
      <c r="N1547" s="265"/>
      <c r="O1547" s="265"/>
      <c r="P1547" s="265"/>
      <c r="Q1547" s="265"/>
      <c r="BR1547" s="265"/>
      <c r="BS1547" s="265"/>
      <c r="BT1547" s="265"/>
      <c r="BU1547" s="265"/>
      <c r="BV1547" s="265"/>
    </row>
    <row r="1548" spans="12:74">
      <c r="L1548" s="265"/>
      <c r="M1548" s="265"/>
      <c r="N1548" s="265"/>
      <c r="O1548" s="265"/>
      <c r="P1548" s="265"/>
      <c r="Q1548" s="265"/>
      <c r="BR1548" s="265"/>
      <c r="BS1548" s="265"/>
      <c r="BT1548" s="265"/>
      <c r="BU1548" s="265"/>
      <c r="BV1548" s="265"/>
    </row>
    <row r="1549" spans="12:74">
      <c r="L1549" s="265"/>
      <c r="M1549" s="265"/>
      <c r="N1549" s="265"/>
      <c r="O1549" s="265"/>
      <c r="P1549" s="265"/>
      <c r="Q1549" s="265"/>
      <c r="BR1549" s="265"/>
      <c r="BS1549" s="265"/>
      <c r="BT1549" s="265"/>
      <c r="BU1549" s="265"/>
      <c r="BV1549" s="265"/>
    </row>
    <row r="1550" spans="12:74">
      <c r="L1550" s="265"/>
      <c r="M1550" s="265"/>
      <c r="N1550" s="265"/>
      <c r="O1550" s="265"/>
      <c r="P1550" s="265"/>
      <c r="Q1550" s="265"/>
      <c r="BR1550" s="265"/>
      <c r="BS1550" s="265"/>
      <c r="BT1550" s="265"/>
      <c r="BU1550" s="265"/>
      <c r="BV1550" s="265"/>
    </row>
    <row r="1551" spans="12:74">
      <c r="L1551" s="265"/>
      <c r="M1551" s="265"/>
      <c r="N1551" s="265"/>
      <c r="O1551" s="265"/>
      <c r="P1551" s="265"/>
      <c r="Q1551" s="265"/>
      <c r="BR1551" s="265"/>
      <c r="BS1551" s="265"/>
      <c r="BT1551" s="265"/>
      <c r="BU1551" s="265"/>
      <c r="BV1551" s="265"/>
    </row>
    <row r="1552" spans="12:74">
      <c r="L1552" s="265"/>
      <c r="M1552" s="265"/>
      <c r="N1552" s="265"/>
      <c r="O1552" s="265"/>
      <c r="P1552" s="265"/>
      <c r="Q1552" s="265"/>
      <c r="BR1552" s="265"/>
      <c r="BS1552" s="265"/>
      <c r="BT1552" s="265"/>
      <c r="BU1552" s="265"/>
      <c r="BV1552" s="265"/>
    </row>
    <row r="1553" spans="12:74">
      <c r="L1553" s="265"/>
      <c r="M1553" s="265"/>
      <c r="N1553" s="265"/>
      <c r="O1553" s="265"/>
      <c r="P1553" s="265"/>
      <c r="Q1553" s="265"/>
      <c r="BR1553" s="265"/>
      <c r="BS1553" s="265"/>
      <c r="BT1553" s="265"/>
      <c r="BU1553" s="265"/>
      <c r="BV1553" s="265"/>
    </row>
    <row r="1554" spans="12:74">
      <c r="L1554" s="265"/>
      <c r="M1554" s="265"/>
      <c r="N1554" s="265"/>
      <c r="O1554" s="265"/>
      <c r="P1554" s="265"/>
      <c r="Q1554" s="265"/>
      <c r="BR1554" s="265"/>
      <c r="BS1554" s="265"/>
      <c r="BT1554" s="265"/>
      <c r="BU1554" s="265"/>
      <c r="BV1554" s="265"/>
    </row>
    <row r="1555" spans="12:74">
      <c r="L1555" s="265"/>
      <c r="M1555" s="265"/>
      <c r="N1555" s="265"/>
      <c r="O1555" s="265"/>
      <c r="P1555" s="265"/>
      <c r="Q1555" s="265"/>
      <c r="BR1555" s="265"/>
      <c r="BS1555" s="265"/>
      <c r="BT1555" s="265"/>
      <c r="BU1555" s="265"/>
      <c r="BV1555" s="265"/>
    </row>
    <row r="1556" spans="12:74">
      <c r="L1556" s="265"/>
      <c r="M1556" s="265"/>
      <c r="N1556" s="265"/>
      <c r="O1556" s="265"/>
      <c r="P1556" s="265"/>
      <c r="Q1556" s="265"/>
      <c r="BR1556" s="265"/>
      <c r="BS1556" s="265"/>
      <c r="BT1556" s="265"/>
      <c r="BU1556" s="265"/>
      <c r="BV1556" s="265"/>
    </row>
    <row r="1557" spans="12:74">
      <c r="L1557" s="265"/>
      <c r="M1557" s="265"/>
      <c r="N1557" s="265"/>
      <c r="O1557" s="265"/>
      <c r="P1557" s="265"/>
      <c r="Q1557" s="265"/>
      <c r="BR1557" s="265"/>
      <c r="BS1557" s="265"/>
      <c r="BT1557" s="265"/>
      <c r="BU1557" s="265"/>
      <c r="BV1557" s="265"/>
    </row>
    <row r="1558" spans="12:74">
      <c r="L1558" s="265"/>
      <c r="M1558" s="265"/>
      <c r="N1558" s="265"/>
      <c r="O1558" s="265"/>
      <c r="P1558" s="265"/>
      <c r="Q1558" s="265"/>
      <c r="BR1558" s="265"/>
      <c r="BS1558" s="265"/>
      <c r="BT1558" s="265"/>
      <c r="BU1558" s="265"/>
      <c r="BV1558" s="265"/>
    </row>
    <row r="1559" spans="12:74">
      <c r="L1559" s="265"/>
      <c r="M1559" s="265"/>
      <c r="N1559" s="265"/>
      <c r="O1559" s="265"/>
      <c r="P1559" s="265"/>
      <c r="Q1559" s="265"/>
      <c r="BR1559" s="265"/>
      <c r="BS1559" s="265"/>
      <c r="BT1559" s="265"/>
      <c r="BU1559" s="265"/>
      <c r="BV1559" s="265"/>
    </row>
    <row r="1560" spans="12:74">
      <c r="L1560" s="265"/>
      <c r="M1560" s="265"/>
      <c r="N1560" s="265"/>
      <c r="O1560" s="265"/>
      <c r="P1560" s="265"/>
      <c r="Q1560" s="265"/>
      <c r="BR1560" s="265"/>
      <c r="BS1560" s="265"/>
      <c r="BT1560" s="265"/>
      <c r="BU1560" s="265"/>
      <c r="BV1560" s="265"/>
    </row>
    <row r="1561" spans="12:74">
      <c r="L1561" s="265"/>
      <c r="M1561" s="265"/>
      <c r="N1561" s="265"/>
      <c r="O1561" s="265"/>
      <c r="P1561" s="265"/>
      <c r="Q1561" s="265"/>
      <c r="BR1561" s="265"/>
      <c r="BS1561" s="265"/>
      <c r="BT1561" s="265"/>
      <c r="BU1561" s="265"/>
      <c r="BV1561" s="265"/>
    </row>
    <row r="1562" spans="12:74">
      <c r="L1562" s="265"/>
      <c r="M1562" s="265"/>
      <c r="N1562" s="265"/>
      <c r="O1562" s="265"/>
      <c r="P1562" s="265"/>
      <c r="Q1562" s="265"/>
      <c r="BR1562" s="265"/>
      <c r="BS1562" s="265"/>
      <c r="BT1562" s="265"/>
      <c r="BU1562" s="265"/>
      <c r="BV1562" s="265"/>
    </row>
    <row r="1563" spans="12:74">
      <c r="L1563" s="265"/>
      <c r="M1563" s="265"/>
      <c r="N1563" s="265"/>
      <c r="O1563" s="265"/>
      <c r="P1563" s="265"/>
      <c r="Q1563" s="265"/>
      <c r="BR1563" s="265"/>
      <c r="BS1563" s="265"/>
      <c r="BT1563" s="265"/>
      <c r="BU1563" s="265"/>
      <c r="BV1563" s="265"/>
    </row>
    <row r="1564" spans="12:74">
      <c r="L1564" s="265"/>
      <c r="M1564" s="265"/>
      <c r="N1564" s="265"/>
      <c r="O1564" s="265"/>
      <c r="P1564" s="265"/>
      <c r="Q1564" s="265"/>
      <c r="BR1564" s="265"/>
      <c r="BS1564" s="265"/>
      <c r="BT1564" s="265"/>
      <c r="BU1564" s="265"/>
      <c r="BV1564" s="265"/>
    </row>
    <row r="1565" spans="12:74">
      <c r="L1565" s="265"/>
      <c r="M1565" s="265"/>
      <c r="N1565" s="265"/>
      <c r="O1565" s="265"/>
      <c r="P1565" s="265"/>
      <c r="Q1565" s="265"/>
      <c r="BR1565" s="265"/>
      <c r="BS1565" s="265"/>
      <c r="BT1565" s="265"/>
      <c r="BU1565" s="265"/>
      <c r="BV1565" s="265"/>
    </row>
    <row r="1566" spans="12:74">
      <c r="L1566" s="265"/>
      <c r="M1566" s="265"/>
      <c r="N1566" s="265"/>
      <c r="O1566" s="265"/>
      <c r="P1566" s="265"/>
      <c r="Q1566" s="265"/>
      <c r="BR1566" s="265"/>
      <c r="BS1566" s="265"/>
      <c r="BT1566" s="265"/>
      <c r="BU1566" s="265"/>
      <c r="BV1566" s="265"/>
    </row>
    <row r="1567" spans="12:74">
      <c r="L1567" s="265"/>
      <c r="M1567" s="265"/>
      <c r="N1567" s="265"/>
      <c r="O1567" s="265"/>
      <c r="P1567" s="265"/>
      <c r="Q1567" s="265"/>
      <c r="BR1567" s="265"/>
      <c r="BS1567" s="265"/>
      <c r="BT1567" s="265"/>
      <c r="BU1567" s="265"/>
      <c r="BV1567" s="265"/>
    </row>
    <row r="1568" spans="12:74">
      <c r="L1568" s="265"/>
      <c r="M1568" s="265"/>
      <c r="N1568" s="265"/>
      <c r="O1568" s="265"/>
      <c r="P1568" s="265"/>
      <c r="Q1568" s="265"/>
      <c r="BR1568" s="265"/>
      <c r="BS1568" s="265"/>
      <c r="BT1568" s="265"/>
      <c r="BU1568" s="265"/>
      <c r="BV1568" s="265"/>
    </row>
    <row r="1569" spans="12:74">
      <c r="L1569" s="265"/>
      <c r="M1569" s="265"/>
      <c r="N1569" s="265"/>
      <c r="O1569" s="265"/>
      <c r="P1569" s="265"/>
      <c r="Q1569" s="265"/>
      <c r="BR1569" s="265"/>
      <c r="BS1569" s="265"/>
      <c r="BT1569" s="265"/>
      <c r="BU1569" s="265"/>
      <c r="BV1569" s="265"/>
    </row>
    <row r="1570" spans="12:74">
      <c r="L1570" s="265"/>
      <c r="M1570" s="265"/>
      <c r="N1570" s="265"/>
      <c r="O1570" s="265"/>
      <c r="P1570" s="265"/>
      <c r="Q1570" s="265"/>
      <c r="BR1570" s="265"/>
      <c r="BS1570" s="265"/>
      <c r="BT1570" s="265"/>
      <c r="BU1570" s="265"/>
      <c r="BV1570" s="265"/>
    </row>
    <row r="1571" spans="12:74">
      <c r="L1571" s="265"/>
      <c r="M1571" s="265"/>
      <c r="N1571" s="265"/>
      <c r="O1571" s="265"/>
      <c r="P1571" s="265"/>
      <c r="Q1571" s="265"/>
      <c r="BR1571" s="265"/>
      <c r="BS1571" s="265"/>
      <c r="BT1571" s="265"/>
      <c r="BU1571" s="265"/>
      <c r="BV1571" s="265"/>
    </row>
    <row r="1572" spans="12:74">
      <c r="L1572" s="265"/>
      <c r="M1572" s="265"/>
      <c r="N1572" s="265"/>
      <c r="O1572" s="265"/>
      <c r="P1572" s="265"/>
      <c r="Q1572" s="265"/>
      <c r="BR1572" s="265"/>
      <c r="BS1572" s="265"/>
      <c r="BT1572" s="265"/>
      <c r="BU1572" s="265"/>
      <c r="BV1572" s="265"/>
    </row>
    <row r="1573" spans="12:74">
      <c r="L1573" s="265"/>
      <c r="M1573" s="265"/>
      <c r="N1573" s="265"/>
      <c r="O1573" s="265"/>
      <c r="P1573" s="265"/>
      <c r="Q1573" s="265"/>
      <c r="BR1573" s="265"/>
      <c r="BS1573" s="265"/>
      <c r="BT1573" s="265"/>
      <c r="BU1573" s="265"/>
      <c r="BV1573" s="265"/>
    </row>
    <row r="1574" spans="12:74">
      <c r="L1574" s="265"/>
      <c r="M1574" s="265"/>
      <c r="N1574" s="265"/>
      <c r="O1574" s="265"/>
      <c r="P1574" s="265"/>
      <c r="Q1574" s="265"/>
      <c r="BR1574" s="265"/>
      <c r="BS1574" s="265"/>
      <c r="BT1574" s="265"/>
      <c r="BU1574" s="265"/>
      <c r="BV1574" s="265"/>
    </row>
    <row r="1575" spans="12:74">
      <c r="L1575" s="265"/>
      <c r="M1575" s="265"/>
      <c r="N1575" s="265"/>
      <c r="O1575" s="265"/>
      <c r="P1575" s="265"/>
      <c r="Q1575" s="265"/>
      <c r="BR1575" s="265"/>
      <c r="BS1575" s="265"/>
      <c r="BT1575" s="265"/>
      <c r="BU1575" s="265"/>
      <c r="BV1575" s="265"/>
    </row>
    <row r="1576" spans="12:74">
      <c r="L1576" s="265"/>
      <c r="M1576" s="265"/>
      <c r="N1576" s="265"/>
      <c r="O1576" s="265"/>
      <c r="P1576" s="265"/>
      <c r="Q1576" s="265"/>
      <c r="BR1576" s="265"/>
      <c r="BS1576" s="265"/>
      <c r="BT1576" s="265"/>
      <c r="BU1576" s="265"/>
      <c r="BV1576" s="265"/>
    </row>
    <row r="1577" spans="12:74">
      <c r="L1577" s="265"/>
      <c r="M1577" s="265"/>
      <c r="N1577" s="265"/>
      <c r="O1577" s="265"/>
      <c r="P1577" s="265"/>
      <c r="Q1577" s="265"/>
      <c r="BR1577" s="265"/>
      <c r="BS1577" s="265"/>
      <c r="BT1577" s="265"/>
      <c r="BU1577" s="265"/>
      <c r="BV1577" s="265"/>
    </row>
    <row r="1578" spans="12:74">
      <c r="L1578" s="265"/>
      <c r="M1578" s="265"/>
      <c r="N1578" s="265"/>
      <c r="O1578" s="265"/>
      <c r="P1578" s="265"/>
      <c r="Q1578" s="265"/>
      <c r="BR1578" s="265"/>
      <c r="BS1578" s="265"/>
      <c r="BT1578" s="265"/>
      <c r="BU1578" s="265"/>
      <c r="BV1578" s="265"/>
    </row>
    <row r="1579" spans="12:74">
      <c r="L1579" s="265"/>
      <c r="M1579" s="265"/>
      <c r="N1579" s="265"/>
      <c r="O1579" s="265"/>
      <c r="P1579" s="265"/>
      <c r="Q1579" s="265"/>
      <c r="BR1579" s="265"/>
      <c r="BS1579" s="265"/>
      <c r="BT1579" s="265"/>
      <c r="BU1579" s="265"/>
      <c r="BV1579" s="265"/>
    </row>
    <row r="1580" spans="12:74">
      <c r="L1580" s="265"/>
      <c r="M1580" s="265"/>
      <c r="N1580" s="265"/>
      <c r="O1580" s="265"/>
      <c r="P1580" s="265"/>
      <c r="Q1580" s="265"/>
      <c r="BR1580" s="265"/>
      <c r="BS1580" s="265"/>
      <c r="BT1580" s="265"/>
      <c r="BU1580" s="265"/>
      <c r="BV1580" s="265"/>
    </row>
    <row r="1581" spans="12:74">
      <c r="L1581" s="265"/>
      <c r="M1581" s="265"/>
      <c r="N1581" s="265"/>
      <c r="O1581" s="265"/>
      <c r="P1581" s="265"/>
      <c r="Q1581" s="265"/>
      <c r="BR1581" s="265"/>
      <c r="BS1581" s="265"/>
      <c r="BT1581" s="265"/>
      <c r="BU1581" s="265"/>
      <c r="BV1581" s="265"/>
    </row>
    <row r="1582" spans="12:74">
      <c r="L1582" s="265"/>
      <c r="M1582" s="265"/>
      <c r="N1582" s="265"/>
      <c r="O1582" s="265"/>
      <c r="P1582" s="265"/>
      <c r="Q1582" s="265"/>
      <c r="BR1582" s="265"/>
      <c r="BS1582" s="265"/>
      <c r="BT1582" s="265"/>
      <c r="BU1582" s="265"/>
      <c r="BV1582" s="265"/>
    </row>
    <row r="1583" spans="12:74">
      <c r="L1583" s="265"/>
      <c r="M1583" s="265"/>
      <c r="N1583" s="265"/>
      <c r="O1583" s="265"/>
      <c r="P1583" s="265"/>
      <c r="Q1583" s="265"/>
      <c r="BR1583" s="265"/>
      <c r="BS1583" s="265"/>
      <c r="BT1583" s="265"/>
      <c r="BU1583" s="265"/>
      <c r="BV1583" s="265"/>
    </row>
    <row r="1584" spans="12:74">
      <c r="L1584" s="265"/>
      <c r="M1584" s="265"/>
      <c r="N1584" s="265"/>
      <c r="O1584" s="265"/>
      <c r="P1584" s="265"/>
      <c r="Q1584" s="265"/>
      <c r="BR1584" s="265"/>
      <c r="BS1584" s="265"/>
      <c r="BT1584" s="265"/>
      <c r="BU1584" s="265"/>
      <c r="BV1584" s="265"/>
    </row>
    <row r="1585" spans="12:74">
      <c r="L1585" s="265"/>
      <c r="M1585" s="265"/>
      <c r="N1585" s="265"/>
      <c r="O1585" s="265"/>
      <c r="P1585" s="265"/>
      <c r="Q1585" s="265"/>
      <c r="BR1585" s="265"/>
      <c r="BS1585" s="265"/>
      <c r="BT1585" s="265"/>
      <c r="BU1585" s="265"/>
      <c r="BV1585" s="265"/>
    </row>
    <row r="1586" spans="12:74">
      <c r="L1586" s="265"/>
      <c r="M1586" s="265"/>
      <c r="N1586" s="265"/>
      <c r="O1586" s="265"/>
      <c r="P1586" s="265"/>
      <c r="Q1586" s="265"/>
      <c r="BR1586" s="265"/>
      <c r="BS1586" s="265"/>
      <c r="BT1586" s="265"/>
      <c r="BU1586" s="265"/>
      <c r="BV1586" s="265"/>
    </row>
    <row r="1587" spans="12:74">
      <c r="L1587" s="265"/>
      <c r="M1587" s="265"/>
      <c r="N1587" s="265"/>
      <c r="O1587" s="265"/>
      <c r="P1587" s="265"/>
      <c r="Q1587" s="265"/>
      <c r="BR1587" s="265"/>
      <c r="BS1587" s="265"/>
      <c r="BT1587" s="265"/>
      <c r="BU1587" s="265"/>
      <c r="BV1587" s="265"/>
    </row>
    <row r="1588" spans="12:74">
      <c r="L1588" s="265"/>
      <c r="M1588" s="265"/>
      <c r="N1588" s="265"/>
      <c r="O1588" s="265"/>
      <c r="P1588" s="265"/>
      <c r="Q1588" s="265"/>
      <c r="BR1588" s="265"/>
      <c r="BS1588" s="265"/>
      <c r="BT1588" s="265"/>
      <c r="BU1588" s="265"/>
      <c r="BV1588" s="265"/>
    </row>
    <row r="1589" spans="12:74">
      <c r="L1589" s="265"/>
      <c r="M1589" s="265"/>
      <c r="N1589" s="265"/>
      <c r="O1589" s="265"/>
      <c r="P1589" s="265"/>
      <c r="Q1589" s="265"/>
      <c r="BR1589" s="265"/>
      <c r="BS1589" s="265"/>
      <c r="BT1589" s="265"/>
      <c r="BU1589" s="265"/>
      <c r="BV1589" s="265"/>
    </row>
    <row r="1590" spans="12:74">
      <c r="L1590" s="265"/>
      <c r="M1590" s="265"/>
      <c r="N1590" s="265"/>
      <c r="O1590" s="265"/>
      <c r="P1590" s="265"/>
      <c r="Q1590" s="265"/>
      <c r="BR1590" s="265"/>
      <c r="BS1590" s="265"/>
      <c r="BT1590" s="265"/>
      <c r="BU1590" s="265"/>
      <c r="BV1590" s="265"/>
    </row>
    <row r="1591" spans="12:74">
      <c r="L1591" s="265"/>
      <c r="M1591" s="265"/>
      <c r="N1591" s="265"/>
      <c r="O1591" s="265"/>
      <c r="P1591" s="265"/>
      <c r="Q1591" s="265"/>
      <c r="BR1591" s="265"/>
      <c r="BS1591" s="265"/>
      <c r="BT1591" s="265"/>
      <c r="BU1591" s="265"/>
      <c r="BV1591" s="265"/>
    </row>
    <row r="1592" spans="12:74">
      <c r="L1592" s="265"/>
      <c r="M1592" s="265"/>
      <c r="N1592" s="265"/>
      <c r="O1592" s="265"/>
      <c r="P1592" s="265"/>
      <c r="Q1592" s="265"/>
      <c r="BR1592" s="265"/>
      <c r="BS1592" s="265"/>
      <c r="BT1592" s="265"/>
      <c r="BU1592" s="265"/>
      <c r="BV1592" s="265"/>
    </row>
    <row r="1593" spans="12:74">
      <c r="L1593" s="265"/>
      <c r="M1593" s="265"/>
      <c r="N1593" s="265"/>
      <c r="O1593" s="265"/>
      <c r="P1593" s="265"/>
      <c r="Q1593" s="265"/>
      <c r="BR1593" s="265"/>
      <c r="BS1593" s="265"/>
      <c r="BT1593" s="265"/>
      <c r="BU1593" s="265"/>
      <c r="BV1593" s="265"/>
    </row>
    <row r="1594" spans="12:74">
      <c r="L1594" s="265"/>
      <c r="M1594" s="265"/>
      <c r="N1594" s="265"/>
      <c r="O1594" s="265"/>
      <c r="P1594" s="265"/>
      <c r="Q1594" s="265"/>
      <c r="BR1594" s="265"/>
      <c r="BS1594" s="265"/>
      <c r="BT1594" s="265"/>
      <c r="BU1594" s="265"/>
      <c r="BV1594" s="265"/>
    </row>
    <row r="1595" spans="12:74">
      <c r="L1595" s="265"/>
      <c r="M1595" s="265"/>
      <c r="N1595" s="265"/>
      <c r="O1595" s="265"/>
      <c r="P1595" s="265"/>
      <c r="Q1595" s="265"/>
      <c r="BR1595" s="265"/>
      <c r="BS1595" s="265"/>
      <c r="BT1595" s="265"/>
      <c r="BU1595" s="265"/>
      <c r="BV1595" s="265"/>
    </row>
    <row r="1596" spans="12:74">
      <c r="L1596" s="265"/>
      <c r="M1596" s="265"/>
      <c r="N1596" s="265"/>
      <c r="O1596" s="265"/>
      <c r="P1596" s="265"/>
      <c r="Q1596" s="265"/>
      <c r="BR1596" s="265"/>
      <c r="BS1596" s="265"/>
      <c r="BT1596" s="265"/>
      <c r="BU1596" s="265"/>
      <c r="BV1596" s="265"/>
    </row>
    <row r="1597" spans="12:74">
      <c r="L1597" s="265"/>
      <c r="M1597" s="265"/>
      <c r="N1597" s="265"/>
      <c r="O1597" s="265"/>
      <c r="P1597" s="265"/>
      <c r="Q1597" s="265"/>
      <c r="BR1597" s="265"/>
      <c r="BS1597" s="265"/>
      <c r="BT1597" s="265"/>
      <c r="BU1597" s="265"/>
      <c r="BV1597" s="265"/>
    </row>
    <row r="1598" spans="12:74">
      <c r="L1598" s="265"/>
      <c r="M1598" s="265"/>
      <c r="N1598" s="265"/>
      <c r="O1598" s="265"/>
      <c r="P1598" s="265"/>
      <c r="Q1598" s="265"/>
      <c r="BR1598" s="265"/>
      <c r="BS1598" s="265"/>
      <c r="BT1598" s="265"/>
      <c r="BU1598" s="265"/>
      <c r="BV1598" s="265"/>
    </row>
    <row r="1599" spans="12:74">
      <c r="L1599" s="265"/>
      <c r="M1599" s="265"/>
      <c r="N1599" s="265"/>
      <c r="O1599" s="265"/>
      <c r="P1599" s="265"/>
      <c r="Q1599" s="265"/>
      <c r="BR1599" s="265"/>
      <c r="BS1599" s="265"/>
      <c r="BT1599" s="265"/>
      <c r="BU1599" s="265"/>
      <c r="BV1599" s="265"/>
    </row>
    <row r="1600" spans="12:74">
      <c r="L1600" s="265"/>
      <c r="M1600" s="265"/>
      <c r="N1600" s="265"/>
      <c r="O1600" s="265"/>
      <c r="P1600" s="265"/>
      <c r="Q1600" s="265"/>
      <c r="BR1600" s="265"/>
      <c r="BS1600" s="265"/>
      <c r="BT1600" s="265"/>
      <c r="BU1600" s="265"/>
      <c r="BV1600" s="265"/>
    </row>
    <row r="1601" spans="12:74">
      <c r="L1601" s="265"/>
      <c r="M1601" s="265"/>
      <c r="N1601" s="265"/>
      <c r="O1601" s="265"/>
      <c r="P1601" s="265"/>
      <c r="Q1601" s="265"/>
      <c r="BR1601" s="265"/>
      <c r="BS1601" s="265"/>
      <c r="BT1601" s="265"/>
      <c r="BU1601" s="265"/>
      <c r="BV1601" s="265"/>
    </row>
    <row r="1602" spans="12:74">
      <c r="L1602" s="265"/>
      <c r="M1602" s="265"/>
      <c r="N1602" s="265"/>
      <c r="O1602" s="265"/>
      <c r="P1602" s="265"/>
      <c r="Q1602" s="265"/>
      <c r="BR1602" s="265"/>
      <c r="BS1602" s="265"/>
      <c r="BT1602" s="265"/>
      <c r="BU1602" s="265"/>
      <c r="BV1602" s="265"/>
    </row>
    <row r="1603" spans="12:74">
      <c r="L1603" s="265"/>
      <c r="M1603" s="265"/>
      <c r="N1603" s="265"/>
      <c r="O1603" s="265"/>
      <c r="P1603" s="265"/>
      <c r="Q1603" s="265"/>
      <c r="BR1603" s="265"/>
      <c r="BS1603" s="265"/>
      <c r="BT1603" s="265"/>
      <c r="BU1603" s="265"/>
      <c r="BV1603" s="265"/>
    </row>
    <row r="1604" spans="12:74">
      <c r="L1604" s="265"/>
      <c r="M1604" s="265"/>
      <c r="N1604" s="265"/>
      <c r="O1604" s="265"/>
      <c r="P1604" s="265"/>
      <c r="Q1604" s="265"/>
      <c r="BR1604" s="265"/>
      <c r="BS1604" s="265"/>
      <c r="BT1604" s="265"/>
      <c r="BU1604" s="265"/>
      <c r="BV1604" s="265"/>
    </row>
    <row r="1605" spans="12:74">
      <c r="L1605" s="265"/>
      <c r="M1605" s="265"/>
      <c r="N1605" s="265"/>
      <c r="O1605" s="265"/>
      <c r="P1605" s="265"/>
      <c r="Q1605" s="265"/>
      <c r="BR1605" s="265"/>
      <c r="BS1605" s="265"/>
      <c r="BT1605" s="265"/>
      <c r="BU1605" s="265"/>
      <c r="BV1605" s="265"/>
    </row>
    <row r="1606" spans="12:74">
      <c r="L1606" s="265"/>
      <c r="M1606" s="265"/>
      <c r="N1606" s="265"/>
      <c r="O1606" s="265"/>
      <c r="P1606" s="265"/>
      <c r="Q1606" s="265"/>
      <c r="BR1606" s="265"/>
      <c r="BS1606" s="265"/>
      <c r="BT1606" s="265"/>
      <c r="BU1606" s="265"/>
      <c r="BV1606" s="265"/>
    </row>
    <row r="1607" spans="12:74">
      <c r="L1607" s="265"/>
      <c r="M1607" s="265"/>
      <c r="N1607" s="265"/>
      <c r="O1607" s="265"/>
      <c r="P1607" s="265"/>
      <c r="Q1607" s="265"/>
      <c r="BR1607" s="265"/>
      <c r="BS1607" s="265"/>
      <c r="BT1607" s="265"/>
      <c r="BU1607" s="265"/>
      <c r="BV1607" s="265"/>
    </row>
    <row r="1608" spans="12:74">
      <c r="L1608" s="265"/>
      <c r="M1608" s="265"/>
      <c r="N1608" s="265"/>
      <c r="O1608" s="265"/>
      <c r="P1608" s="265"/>
      <c r="Q1608" s="265"/>
      <c r="BR1608" s="265"/>
      <c r="BS1608" s="265"/>
      <c r="BT1608" s="265"/>
      <c r="BU1608" s="265"/>
      <c r="BV1608" s="265"/>
    </row>
    <row r="1609" spans="12:74">
      <c r="L1609" s="265"/>
      <c r="M1609" s="265"/>
      <c r="N1609" s="265"/>
      <c r="O1609" s="265"/>
      <c r="P1609" s="265"/>
      <c r="Q1609" s="265"/>
      <c r="BR1609" s="265"/>
      <c r="BS1609" s="265"/>
      <c r="BT1609" s="265"/>
      <c r="BU1609" s="265"/>
      <c r="BV1609" s="265"/>
    </row>
    <row r="1610" spans="12:74">
      <c r="L1610" s="265"/>
      <c r="M1610" s="265"/>
      <c r="N1610" s="265"/>
      <c r="O1610" s="265"/>
      <c r="P1610" s="265"/>
      <c r="Q1610" s="265"/>
      <c r="BR1610" s="265"/>
      <c r="BS1610" s="265"/>
      <c r="BT1610" s="265"/>
      <c r="BU1610" s="265"/>
      <c r="BV1610" s="265"/>
    </row>
    <row r="1611" spans="12:74">
      <c r="L1611" s="265"/>
      <c r="M1611" s="265"/>
      <c r="N1611" s="265"/>
      <c r="O1611" s="265"/>
      <c r="P1611" s="265"/>
      <c r="Q1611" s="265"/>
      <c r="BR1611" s="265"/>
      <c r="BS1611" s="265"/>
      <c r="BT1611" s="265"/>
      <c r="BU1611" s="265"/>
      <c r="BV1611" s="265"/>
    </row>
    <row r="1612" spans="12:74">
      <c r="L1612" s="265"/>
      <c r="M1612" s="265"/>
      <c r="N1612" s="265"/>
      <c r="O1612" s="265"/>
      <c r="P1612" s="265"/>
      <c r="Q1612" s="265"/>
      <c r="BR1612" s="265"/>
      <c r="BS1612" s="265"/>
      <c r="BT1612" s="265"/>
      <c r="BU1612" s="265"/>
      <c r="BV1612" s="265"/>
    </row>
    <row r="1613" spans="12:74">
      <c r="L1613" s="265"/>
      <c r="M1613" s="265"/>
      <c r="N1613" s="265"/>
      <c r="O1613" s="265"/>
      <c r="P1613" s="265"/>
      <c r="Q1613" s="265"/>
      <c r="BR1613" s="265"/>
      <c r="BS1613" s="265"/>
      <c r="BT1613" s="265"/>
      <c r="BU1613" s="265"/>
      <c r="BV1613" s="265"/>
    </row>
    <row r="1614" spans="12:74">
      <c r="L1614" s="265"/>
      <c r="M1614" s="265"/>
      <c r="N1614" s="265"/>
      <c r="O1614" s="265"/>
      <c r="P1614" s="265"/>
      <c r="Q1614" s="265"/>
      <c r="BR1614" s="265"/>
      <c r="BS1614" s="265"/>
      <c r="BT1614" s="265"/>
      <c r="BU1614" s="265"/>
      <c r="BV1614" s="265"/>
    </row>
    <row r="1615" spans="12:74">
      <c r="L1615" s="265"/>
      <c r="M1615" s="265"/>
      <c r="N1615" s="265"/>
      <c r="O1615" s="265"/>
      <c r="P1615" s="265"/>
      <c r="Q1615" s="265"/>
      <c r="BR1615" s="265"/>
      <c r="BS1615" s="265"/>
      <c r="BT1615" s="265"/>
      <c r="BU1615" s="265"/>
      <c r="BV1615" s="265"/>
    </row>
    <row r="1616" spans="12:74">
      <c r="L1616" s="265"/>
      <c r="M1616" s="265"/>
      <c r="N1616" s="265"/>
      <c r="O1616" s="265"/>
      <c r="P1616" s="265"/>
      <c r="Q1616" s="265"/>
      <c r="BR1616" s="265"/>
      <c r="BS1616" s="265"/>
      <c r="BT1616" s="265"/>
      <c r="BU1616" s="265"/>
      <c r="BV1616" s="265"/>
    </row>
    <row r="1617" spans="12:74">
      <c r="L1617" s="265"/>
      <c r="M1617" s="265"/>
      <c r="N1617" s="265"/>
      <c r="O1617" s="265"/>
      <c r="P1617" s="265"/>
      <c r="Q1617" s="265"/>
      <c r="BR1617" s="265"/>
      <c r="BS1617" s="265"/>
      <c r="BT1617" s="265"/>
      <c r="BU1617" s="265"/>
      <c r="BV1617" s="265"/>
    </row>
    <row r="1618" spans="12:74">
      <c r="L1618" s="265"/>
      <c r="M1618" s="265"/>
      <c r="N1618" s="265"/>
      <c r="O1618" s="265"/>
      <c r="P1618" s="265"/>
      <c r="Q1618" s="265"/>
      <c r="BR1618" s="265"/>
      <c r="BS1618" s="265"/>
      <c r="BT1618" s="265"/>
      <c r="BU1618" s="265"/>
      <c r="BV1618" s="265"/>
    </row>
    <row r="1619" spans="12:74">
      <c r="L1619" s="265"/>
      <c r="M1619" s="265"/>
      <c r="N1619" s="265"/>
      <c r="O1619" s="265"/>
      <c r="P1619" s="265"/>
      <c r="Q1619" s="265"/>
      <c r="BR1619" s="265"/>
      <c r="BS1619" s="265"/>
      <c r="BT1619" s="265"/>
      <c r="BU1619" s="265"/>
      <c r="BV1619" s="265"/>
    </row>
    <row r="1620" spans="12:74">
      <c r="L1620" s="265"/>
      <c r="M1620" s="265"/>
      <c r="N1620" s="265"/>
      <c r="O1620" s="265"/>
      <c r="P1620" s="265"/>
      <c r="Q1620" s="265"/>
      <c r="BR1620" s="265"/>
      <c r="BS1620" s="265"/>
      <c r="BT1620" s="265"/>
      <c r="BU1620" s="265"/>
      <c r="BV1620" s="265"/>
    </row>
    <row r="1621" spans="12:74">
      <c r="L1621" s="265"/>
      <c r="M1621" s="265"/>
      <c r="N1621" s="265"/>
      <c r="O1621" s="265"/>
      <c r="P1621" s="265"/>
      <c r="Q1621" s="265"/>
      <c r="BR1621" s="265"/>
      <c r="BS1621" s="265"/>
      <c r="BT1621" s="265"/>
      <c r="BU1621" s="265"/>
      <c r="BV1621" s="265"/>
    </row>
    <row r="1622" spans="12:74">
      <c r="L1622" s="265"/>
      <c r="M1622" s="265"/>
      <c r="N1622" s="265"/>
      <c r="O1622" s="265"/>
      <c r="P1622" s="265"/>
      <c r="Q1622" s="265"/>
      <c r="BR1622" s="265"/>
      <c r="BS1622" s="265"/>
      <c r="BT1622" s="265"/>
      <c r="BU1622" s="265"/>
      <c r="BV1622" s="265"/>
    </row>
    <row r="1623" spans="12:74">
      <c r="L1623" s="265"/>
      <c r="M1623" s="265"/>
      <c r="N1623" s="265"/>
      <c r="O1623" s="265"/>
      <c r="P1623" s="265"/>
      <c r="Q1623" s="265"/>
      <c r="BR1623" s="265"/>
      <c r="BS1623" s="265"/>
      <c r="BT1623" s="265"/>
      <c r="BU1623" s="265"/>
      <c r="BV1623" s="265"/>
    </row>
    <row r="1624" spans="12:74">
      <c r="L1624" s="265"/>
      <c r="M1624" s="265"/>
      <c r="N1624" s="265"/>
      <c r="O1624" s="265"/>
      <c r="P1624" s="265"/>
      <c r="Q1624" s="265"/>
      <c r="BR1624" s="265"/>
      <c r="BS1624" s="265"/>
      <c r="BT1624" s="265"/>
      <c r="BU1624" s="265"/>
      <c r="BV1624" s="265"/>
    </row>
    <row r="1625" spans="12:74">
      <c r="L1625" s="265"/>
      <c r="M1625" s="265"/>
      <c r="N1625" s="265"/>
      <c r="O1625" s="265"/>
      <c r="P1625" s="265"/>
      <c r="Q1625" s="265"/>
      <c r="BR1625" s="265"/>
      <c r="BS1625" s="265"/>
      <c r="BT1625" s="265"/>
      <c r="BU1625" s="265"/>
      <c r="BV1625" s="265"/>
    </row>
    <row r="1626" spans="12:74">
      <c r="L1626" s="265"/>
      <c r="M1626" s="265"/>
      <c r="N1626" s="265"/>
      <c r="O1626" s="265"/>
      <c r="P1626" s="265"/>
      <c r="Q1626" s="265"/>
      <c r="BR1626" s="265"/>
      <c r="BS1626" s="265"/>
      <c r="BT1626" s="265"/>
      <c r="BU1626" s="265"/>
      <c r="BV1626" s="265"/>
    </row>
    <row r="1627" spans="12:74">
      <c r="L1627" s="265"/>
      <c r="M1627" s="265"/>
      <c r="N1627" s="265"/>
      <c r="O1627" s="265"/>
      <c r="P1627" s="265"/>
      <c r="Q1627" s="265"/>
      <c r="BR1627" s="265"/>
      <c r="BS1627" s="265"/>
      <c r="BT1627" s="265"/>
      <c r="BU1627" s="265"/>
      <c r="BV1627" s="265"/>
    </row>
    <row r="1628" spans="12:74">
      <c r="L1628" s="265"/>
      <c r="M1628" s="265"/>
      <c r="N1628" s="265"/>
      <c r="O1628" s="265"/>
      <c r="P1628" s="265"/>
      <c r="Q1628" s="265"/>
      <c r="BR1628" s="265"/>
      <c r="BS1628" s="265"/>
      <c r="BT1628" s="265"/>
      <c r="BU1628" s="265"/>
      <c r="BV1628" s="265"/>
    </row>
    <row r="1629" spans="12:74">
      <c r="L1629" s="265"/>
      <c r="M1629" s="265"/>
      <c r="N1629" s="265"/>
      <c r="O1629" s="265"/>
      <c r="P1629" s="265"/>
      <c r="Q1629" s="265"/>
      <c r="BR1629" s="265"/>
      <c r="BS1629" s="265"/>
      <c r="BT1629" s="265"/>
      <c r="BU1629" s="265"/>
      <c r="BV1629" s="265"/>
    </row>
    <row r="1630" spans="12:74">
      <c r="L1630" s="265"/>
      <c r="M1630" s="265"/>
      <c r="N1630" s="265"/>
      <c r="O1630" s="265"/>
      <c r="P1630" s="265"/>
      <c r="Q1630" s="265"/>
      <c r="BR1630" s="265"/>
      <c r="BS1630" s="265"/>
      <c r="BT1630" s="265"/>
      <c r="BU1630" s="265"/>
      <c r="BV1630" s="265"/>
    </row>
    <row r="1631" spans="12:74">
      <c r="L1631" s="265"/>
      <c r="M1631" s="265"/>
      <c r="N1631" s="265"/>
      <c r="O1631" s="265"/>
      <c r="P1631" s="265"/>
      <c r="Q1631" s="265"/>
      <c r="BR1631" s="265"/>
      <c r="BS1631" s="265"/>
      <c r="BT1631" s="265"/>
      <c r="BU1631" s="265"/>
      <c r="BV1631" s="265"/>
    </row>
    <row r="1632" spans="12:74">
      <c r="L1632" s="265"/>
      <c r="M1632" s="265"/>
      <c r="N1632" s="265"/>
      <c r="O1632" s="265"/>
      <c r="P1632" s="265"/>
      <c r="Q1632" s="265"/>
      <c r="BR1632" s="265"/>
      <c r="BS1632" s="265"/>
      <c r="BT1632" s="265"/>
      <c r="BU1632" s="265"/>
      <c r="BV1632" s="265"/>
    </row>
    <row r="1633" spans="12:74">
      <c r="L1633" s="265"/>
      <c r="M1633" s="265"/>
      <c r="N1633" s="265"/>
      <c r="O1633" s="265"/>
      <c r="P1633" s="265"/>
      <c r="Q1633" s="265"/>
      <c r="BR1633" s="265"/>
      <c r="BS1633" s="265"/>
      <c r="BT1633" s="265"/>
      <c r="BU1633" s="265"/>
      <c r="BV1633" s="265"/>
    </row>
    <row r="1634" spans="12:74">
      <c r="L1634" s="265"/>
      <c r="M1634" s="265"/>
      <c r="N1634" s="265"/>
      <c r="O1634" s="265"/>
      <c r="P1634" s="265"/>
      <c r="Q1634" s="265"/>
      <c r="BR1634" s="265"/>
      <c r="BS1634" s="265"/>
      <c r="BT1634" s="265"/>
      <c r="BU1634" s="265"/>
      <c r="BV1634" s="265"/>
    </row>
    <row r="1635" spans="12:74">
      <c r="L1635" s="265"/>
      <c r="M1635" s="265"/>
      <c r="N1635" s="265"/>
      <c r="O1635" s="265"/>
      <c r="P1635" s="265"/>
      <c r="Q1635" s="265"/>
      <c r="BR1635" s="265"/>
      <c r="BS1635" s="265"/>
      <c r="BT1635" s="265"/>
      <c r="BU1635" s="265"/>
      <c r="BV1635" s="265"/>
    </row>
    <row r="1636" spans="12:74">
      <c r="L1636" s="265"/>
      <c r="M1636" s="265"/>
      <c r="N1636" s="265"/>
      <c r="O1636" s="265"/>
      <c r="P1636" s="265"/>
      <c r="Q1636" s="265"/>
      <c r="BR1636" s="265"/>
      <c r="BS1636" s="265"/>
      <c r="BT1636" s="265"/>
      <c r="BU1636" s="265"/>
      <c r="BV1636" s="265"/>
    </row>
    <row r="1637" spans="12:74">
      <c r="L1637" s="265"/>
      <c r="M1637" s="265"/>
      <c r="N1637" s="265"/>
      <c r="O1637" s="265"/>
      <c r="P1637" s="265"/>
      <c r="Q1637" s="265"/>
      <c r="BR1637" s="265"/>
      <c r="BS1637" s="265"/>
      <c r="BT1637" s="265"/>
      <c r="BU1637" s="265"/>
      <c r="BV1637" s="265"/>
    </row>
    <row r="1638" spans="12:74">
      <c r="L1638" s="265"/>
      <c r="M1638" s="265"/>
      <c r="N1638" s="265"/>
      <c r="O1638" s="265"/>
      <c r="P1638" s="265"/>
      <c r="Q1638" s="265"/>
      <c r="BR1638" s="265"/>
      <c r="BS1638" s="265"/>
      <c r="BT1638" s="265"/>
      <c r="BU1638" s="265"/>
      <c r="BV1638" s="265"/>
    </row>
    <row r="1639" spans="12:74">
      <c r="L1639" s="265"/>
      <c r="M1639" s="265"/>
      <c r="N1639" s="265"/>
      <c r="O1639" s="265"/>
      <c r="P1639" s="265"/>
      <c r="Q1639" s="265"/>
      <c r="BR1639" s="265"/>
      <c r="BS1639" s="265"/>
      <c r="BT1639" s="265"/>
      <c r="BU1639" s="265"/>
      <c r="BV1639" s="265"/>
    </row>
    <row r="1640" spans="12:74">
      <c r="L1640" s="265"/>
      <c r="M1640" s="265"/>
      <c r="N1640" s="265"/>
      <c r="O1640" s="265"/>
      <c r="P1640" s="265"/>
      <c r="Q1640" s="265"/>
      <c r="BR1640" s="265"/>
      <c r="BS1640" s="265"/>
      <c r="BT1640" s="265"/>
      <c r="BU1640" s="265"/>
      <c r="BV1640" s="265"/>
    </row>
    <row r="1641" spans="12:74">
      <c r="L1641" s="265"/>
      <c r="M1641" s="265"/>
      <c r="N1641" s="265"/>
      <c r="O1641" s="265"/>
      <c r="P1641" s="265"/>
      <c r="Q1641" s="265"/>
      <c r="BR1641" s="265"/>
      <c r="BS1641" s="265"/>
      <c r="BT1641" s="265"/>
      <c r="BU1641" s="265"/>
      <c r="BV1641" s="265"/>
    </row>
    <row r="1642" spans="12:74">
      <c r="L1642" s="265"/>
      <c r="M1642" s="265"/>
      <c r="N1642" s="265"/>
      <c r="O1642" s="265"/>
      <c r="P1642" s="265"/>
      <c r="Q1642" s="265"/>
      <c r="BR1642" s="265"/>
      <c r="BS1642" s="265"/>
      <c r="BT1642" s="265"/>
      <c r="BU1642" s="265"/>
      <c r="BV1642" s="265"/>
    </row>
    <row r="1643" spans="12:74">
      <c r="L1643" s="265"/>
      <c r="M1643" s="265"/>
      <c r="N1643" s="265"/>
      <c r="O1643" s="265"/>
      <c r="P1643" s="265"/>
      <c r="Q1643" s="265"/>
      <c r="BR1643" s="265"/>
      <c r="BS1643" s="265"/>
      <c r="BT1643" s="265"/>
      <c r="BU1643" s="265"/>
      <c r="BV1643" s="265"/>
    </row>
    <row r="1644" spans="12:74">
      <c r="L1644" s="265"/>
      <c r="M1644" s="265"/>
      <c r="N1644" s="265"/>
      <c r="O1644" s="265"/>
      <c r="P1644" s="265"/>
      <c r="Q1644" s="265"/>
      <c r="BR1644" s="265"/>
      <c r="BS1644" s="265"/>
      <c r="BT1644" s="265"/>
      <c r="BU1644" s="265"/>
      <c r="BV1644" s="265"/>
    </row>
    <row r="1645" spans="12:74">
      <c r="L1645" s="265"/>
      <c r="M1645" s="265"/>
      <c r="N1645" s="265"/>
      <c r="O1645" s="265"/>
      <c r="P1645" s="265"/>
      <c r="Q1645" s="265"/>
      <c r="BR1645" s="265"/>
      <c r="BS1645" s="265"/>
      <c r="BT1645" s="265"/>
      <c r="BU1645" s="265"/>
      <c r="BV1645" s="265"/>
    </row>
    <row r="1646" spans="12:74">
      <c r="L1646" s="265"/>
      <c r="M1646" s="265"/>
      <c r="N1646" s="265"/>
      <c r="O1646" s="265"/>
      <c r="P1646" s="265"/>
      <c r="Q1646" s="265"/>
      <c r="BR1646" s="265"/>
      <c r="BS1646" s="265"/>
      <c r="BT1646" s="265"/>
      <c r="BU1646" s="265"/>
      <c r="BV1646" s="265"/>
    </row>
    <row r="1647" spans="12:74">
      <c r="L1647" s="265"/>
      <c r="M1647" s="265"/>
      <c r="N1647" s="265"/>
      <c r="O1647" s="265"/>
      <c r="P1647" s="265"/>
      <c r="Q1647" s="265"/>
      <c r="BR1647" s="265"/>
      <c r="BS1647" s="265"/>
      <c r="BT1647" s="265"/>
      <c r="BU1647" s="265"/>
      <c r="BV1647" s="265"/>
    </row>
    <row r="1648" spans="12:74">
      <c r="L1648" s="265"/>
      <c r="M1648" s="265"/>
      <c r="N1648" s="265"/>
      <c r="O1648" s="265"/>
      <c r="P1648" s="265"/>
      <c r="Q1648" s="265"/>
      <c r="BR1648" s="265"/>
      <c r="BS1648" s="265"/>
      <c r="BT1648" s="265"/>
      <c r="BU1648" s="265"/>
      <c r="BV1648" s="265"/>
    </row>
    <row r="1649" spans="12:74">
      <c r="L1649" s="265"/>
      <c r="M1649" s="265"/>
      <c r="N1649" s="265"/>
      <c r="O1649" s="265"/>
      <c r="P1649" s="265"/>
      <c r="Q1649" s="265"/>
      <c r="BR1649" s="265"/>
      <c r="BS1649" s="265"/>
      <c r="BT1649" s="265"/>
      <c r="BU1649" s="265"/>
      <c r="BV1649" s="265"/>
    </row>
    <row r="1650" spans="12:74">
      <c r="L1650" s="265"/>
      <c r="M1650" s="265"/>
      <c r="N1650" s="265"/>
      <c r="O1650" s="265"/>
      <c r="P1650" s="265"/>
      <c r="Q1650" s="265"/>
      <c r="BR1650" s="265"/>
      <c r="BS1650" s="265"/>
      <c r="BT1650" s="265"/>
      <c r="BU1650" s="265"/>
      <c r="BV1650" s="265"/>
    </row>
    <row r="1651" spans="12:74">
      <c r="L1651" s="265"/>
      <c r="M1651" s="265"/>
      <c r="N1651" s="265"/>
      <c r="O1651" s="265"/>
      <c r="P1651" s="265"/>
      <c r="Q1651" s="265"/>
      <c r="BR1651" s="265"/>
      <c r="BS1651" s="265"/>
      <c r="BT1651" s="265"/>
      <c r="BU1651" s="265"/>
      <c r="BV1651" s="265"/>
    </row>
    <row r="1652" spans="12:74">
      <c r="L1652" s="265"/>
      <c r="M1652" s="265"/>
      <c r="N1652" s="265"/>
      <c r="O1652" s="265"/>
      <c r="P1652" s="265"/>
      <c r="Q1652" s="265"/>
      <c r="BR1652" s="265"/>
      <c r="BS1652" s="265"/>
      <c r="BT1652" s="265"/>
      <c r="BU1652" s="265"/>
      <c r="BV1652" s="265"/>
    </row>
    <row r="1653" spans="12:74">
      <c r="L1653" s="265"/>
      <c r="M1653" s="265"/>
      <c r="N1653" s="265"/>
      <c r="O1653" s="265"/>
      <c r="P1653" s="265"/>
      <c r="Q1653" s="265"/>
      <c r="BR1653" s="265"/>
      <c r="BS1653" s="265"/>
      <c r="BT1653" s="265"/>
      <c r="BU1653" s="265"/>
      <c r="BV1653" s="265"/>
    </row>
    <row r="1654" spans="12:74">
      <c r="L1654" s="265"/>
      <c r="M1654" s="265"/>
      <c r="N1654" s="265"/>
      <c r="O1654" s="265"/>
      <c r="P1654" s="265"/>
      <c r="Q1654" s="265"/>
      <c r="BR1654" s="265"/>
      <c r="BS1654" s="265"/>
      <c r="BT1654" s="265"/>
      <c r="BU1654" s="265"/>
      <c r="BV1654" s="265"/>
    </row>
    <row r="1655" spans="12:74">
      <c r="L1655" s="265"/>
      <c r="M1655" s="265"/>
      <c r="N1655" s="265"/>
      <c r="O1655" s="265"/>
      <c r="P1655" s="265"/>
      <c r="Q1655" s="265"/>
      <c r="BR1655" s="265"/>
      <c r="BS1655" s="265"/>
      <c r="BT1655" s="265"/>
      <c r="BU1655" s="265"/>
      <c r="BV1655" s="265"/>
    </row>
    <row r="1656" spans="12:74">
      <c r="L1656" s="265"/>
      <c r="M1656" s="265"/>
      <c r="N1656" s="265"/>
      <c r="O1656" s="265"/>
      <c r="P1656" s="265"/>
      <c r="Q1656" s="265"/>
      <c r="BR1656" s="265"/>
      <c r="BS1656" s="265"/>
      <c r="BT1656" s="265"/>
      <c r="BU1656" s="265"/>
      <c r="BV1656" s="265"/>
    </row>
    <row r="1657" spans="12:74">
      <c r="L1657" s="265"/>
      <c r="M1657" s="265"/>
      <c r="N1657" s="265"/>
      <c r="O1657" s="265"/>
      <c r="P1657" s="265"/>
      <c r="Q1657" s="265"/>
      <c r="BR1657" s="265"/>
      <c r="BS1657" s="265"/>
      <c r="BT1657" s="265"/>
      <c r="BU1657" s="265"/>
      <c r="BV1657" s="265"/>
    </row>
    <row r="1658" spans="12:74">
      <c r="L1658" s="265"/>
      <c r="M1658" s="265"/>
      <c r="N1658" s="265"/>
      <c r="O1658" s="265"/>
      <c r="P1658" s="265"/>
      <c r="Q1658" s="265"/>
      <c r="BR1658" s="265"/>
      <c r="BS1658" s="265"/>
      <c r="BT1658" s="265"/>
      <c r="BU1658" s="265"/>
      <c r="BV1658" s="265"/>
    </row>
    <row r="1659" spans="12:74">
      <c r="L1659" s="265"/>
      <c r="M1659" s="265"/>
      <c r="N1659" s="265"/>
      <c r="O1659" s="265"/>
      <c r="P1659" s="265"/>
      <c r="Q1659" s="265"/>
      <c r="BR1659" s="265"/>
      <c r="BS1659" s="265"/>
      <c r="BT1659" s="265"/>
      <c r="BU1659" s="265"/>
      <c r="BV1659" s="265"/>
    </row>
    <row r="1660" spans="12:74">
      <c r="L1660" s="265"/>
      <c r="M1660" s="265"/>
      <c r="N1660" s="265"/>
      <c r="O1660" s="265"/>
      <c r="P1660" s="265"/>
      <c r="Q1660" s="265"/>
      <c r="BR1660" s="265"/>
      <c r="BS1660" s="265"/>
      <c r="BT1660" s="265"/>
      <c r="BU1660" s="265"/>
      <c r="BV1660" s="265"/>
    </row>
    <row r="1661" spans="12:74">
      <c r="L1661" s="265"/>
      <c r="M1661" s="265"/>
      <c r="N1661" s="265"/>
      <c r="O1661" s="265"/>
      <c r="P1661" s="265"/>
      <c r="Q1661" s="265"/>
      <c r="BR1661" s="265"/>
      <c r="BS1661" s="265"/>
      <c r="BT1661" s="265"/>
      <c r="BU1661" s="265"/>
      <c r="BV1661" s="265"/>
    </row>
    <row r="1662" spans="12:74">
      <c r="L1662" s="265"/>
      <c r="M1662" s="265"/>
      <c r="N1662" s="265"/>
      <c r="O1662" s="265"/>
      <c r="P1662" s="265"/>
      <c r="Q1662" s="265"/>
      <c r="BR1662" s="265"/>
      <c r="BS1662" s="265"/>
      <c r="BT1662" s="265"/>
      <c r="BU1662" s="265"/>
      <c r="BV1662" s="265"/>
    </row>
    <row r="1663" spans="12:74">
      <c r="L1663" s="265"/>
      <c r="M1663" s="265"/>
      <c r="N1663" s="265"/>
      <c r="O1663" s="265"/>
      <c r="P1663" s="265"/>
      <c r="Q1663" s="265"/>
      <c r="BR1663" s="265"/>
      <c r="BS1663" s="265"/>
      <c r="BT1663" s="265"/>
      <c r="BU1663" s="265"/>
      <c r="BV1663" s="265"/>
    </row>
    <row r="1664" spans="12:74">
      <c r="L1664" s="265"/>
      <c r="M1664" s="265"/>
      <c r="N1664" s="265"/>
      <c r="O1664" s="265"/>
      <c r="P1664" s="265"/>
      <c r="Q1664" s="265"/>
      <c r="BR1664" s="265"/>
      <c r="BS1664" s="265"/>
      <c r="BT1664" s="265"/>
      <c r="BU1664" s="265"/>
      <c r="BV1664" s="265"/>
    </row>
    <row r="1665" spans="12:74">
      <c r="L1665" s="265"/>
      <c r="M1665" s="265"/>
      <c r="N1665" s="265"/>
      <c r="O1665" s="265"/>
      <c r="P1665" s="265"/>
      <c r="Q1665" s="265"/>
      <c r="BR1665" s="265"/>
      <c r="BS1665" s="265"/>
      <c r="BT1665" s="265"/>
      <c r="BU1665" s="265"/>
      <c r="BV1665" s="265"/>
    </row>
    <row r="1666" spans="12:74">
      <c r="L1666" s="265"/>
      <c r="M1666" s="265"/>
      <c r="N1666" s="265"/>
      <c r="O1666" s="265"/>
      <c r="P1666" s="265"/>
      <c r="Q1666" s="265"/>
      <c r="BR1666" s="265"/>
      <c r="BS1666" s="265"/>
      <c r="BT1666" s="265"/>
      <c r="BU1666" s="265"/>
      <c r="BV1666" s="265"/>
    </row>
    <row r="1667" spans="12:74">
      <c r="L1667" s="265"/>
      <c r="M1667" s="265"/>
      <c r="N1667" s="265"/>
      <c r="O1667" s="265"/>
      <c r="P1667" s="265"/>
      <c r="Q1667" s="265"/>
      <c r="BR1667" s="265"/>
      <c r="BS1667" s="265"/>
      <c r="BT1667" s="265"/>
      <c r="BU1667" s="265"/>
      <c r="BV1667" s="265"/>
    </row>
    <row r="1668" spans="12:74">
      <c r="L1668" s="265"/>
      <c r="M1668" s="265"/>
      <c r="N1668" s="265"/>
      <c r="O1668" s="265"/>
      <c r="P1668" s="265"/>
      <c r="Q1668" s="265"/>
      <c r="BR1668" s="265"/>
      <c r="BS1668" s="265"/>
      <c r="BT1668" s="265"/>
      <c r="BU1668" s="265"/>
      <c r="BV1668" s="265"/>
    </row>
    <row r="1669" spans="12:74">
      <c r="L1669" s="265"/>
      <c r="M1669" s="265"/>
      <c r="N1669" s="265"/>
      <c r="O1669" s="265"/>
      <c r="P1669" s="265"/>
      <c r="Q1669" s="265"/>
      <c r="BR1669" s="265"/>
      <c r="BS1669" s="265"/>
      <c r="BT1669" s="265"/>
      <c r="BU1669" s="265"/>
      <c r="BV1669" s="265"/>
    </row>
    <row r="1670" spans="12:74">
      <c r="L1670" s="265"/>
      <c r="M1670" s="265"/>
      <c r="N1670" s="265"/>
      <c r="O1670" s="265"/>
      <c r="P1670" s="265"/>
      <c r="Q1670" s="265"/>
      <c r="BR1670" s="265"/>
      <c r="BS1670" s="265"/>
      <c r="BT1670" s="265"/>
      <c r="BU1670" s="265"/>
      <c r="BV1670" s="265"/>
    </row>
    <row r="1671" spans="12:74">
      <c r="L1671" s="265"/>
      <c r="M1671" s="265"/>
      <c r="N1671" s="265"/>
      <c r="O1671" s="265"/>
      <c r="P1671" s="265"/>
      <c r="Q1671" s="265"/>
      <c r="BR1671" s="265"/>
      <c r="BS1671" s="265"/>
      <c r="BT1671" s="265"/>
      <c r="BU1671" s="265"/>
      <c r="BV1671" s="265"/>
    </row>
    <row r="1672" spans="12:74">
      <c r="L1672" s="265"/>
      <c r="M1672" s="265"/>
      <c r="N1672" s="265"/>
      <c r="O1672" s="265"/>
      <c r="P1672" s="265"/>
      <c r="Q1672" s="265"/>
      <c r="BR1672" s="265"/>
      <c r="BS1672" s="265"/>
      <c r="BT1672" s="265"/>
      <c r="BU1672" s="265"/>
      <c r="BV1672" s="265"/>
    </row>
    <row r="1673" spans="12:74">
      <c r="L1673" s="265"/>
      <c r="M1673" s="265"/>
      <c r="N1673" s="265"/>
      <c r="O1673" s="265"/>
      <c r="P1673" s="265"/>
      <c r="Q1673" s="265"/>
      <c r="BR1673" s="265"/>
      <c r="BS1673" s="265"/>
      <c r="BT1673" s="265"/>
      <c r="BU1673" s="265"/>
      <c r="BV1673" s="265"/>
    </row>
    <row r="1674" spans="12:74">
      <c r="L1674" s="265"/>
      <c r="M1674" s="265"/>
      <c r="N1674" s="265"/>
      <c r="O1674" s="265"/>
      <c r="P1674" s="265"/>
      <c r="Q1674" s="265"/>
      <c r="BR1674" s="265"/>
      <c r="BS1674" s="265"/>
      <c r="BT1674" s="265"/>
      <c r="BU1674" s="265"/>
      <c r="BV1674" s="265"/>
    </row>
    <row r="1675" spans="12:74">
      <c r="L1675" s="265"/>
      <c r="M1675" s="265"/>
      <c r="N1675" s="265"/>
      <c r="O1675" s="265"/>
      <c r="P1675" s="265"/>
      <c r="Q1675" s="265"/>
      <c r="BR1675" s="265"/>
      <c r="BS1675" s="265"/>
      <c r="BT1675" s="265"/>
      <c r="BU1675" s="265"/>
      <c r="BV1675" s="265"/>
    </row>
    <row r="1676" spans="12:74">
      <c r="L1676" s="265"/>
      <c r="M1676" s="265"/>
      <c r="N1676" s="265"/>
      <c r="O1676" s="265"/>
      <c r="P1676" s="265"/>
      <c r="Q1676" s="265"/>
      <c r="BR1676" s="265"/>
      <c r="BS1676" s="265"/>
      <c r="BT1676" s="265"/>
      <c r="BU1676" s="265"/>
      <c r="BV1676" s="265"/>
    </row>
    <row r="1677" spans="12:74">
      <c r="L1677" s="265"/>
      <c r="M1677" s="265"/>
      <c r="N1677" s="265"/>
      <c r="O1677" s="265"/>
      <c r="P1677" s="265"/>
      <c r="Q1677" s="265"/>
      <c r="BR1677" s="265"/>
      <c r="BS1677" s="265"/>
      <c r="BT1677" s="265"/>
      <c r="BU1677" s="265"/>
      <c r="BV1677" s="265"/>
    </row>
    <row r="1678" spans="12:74">
      <c r="L1678" s="265"/>
      <c r="M1678" s="265"/>
      <c r="N1678" s="265"/>
      <c r="O1678" s="265"/>
      <c r="P1678" s="265"/>
      <c r="Q1678" s="265"/>
      <c r="BR1678" s="265"/>
      <c r="BS1678" s="265"/>
      <c r="BT1678" s="265"/>
      <c r="BU1678" s="265"/>
      <c r="BV1678" s="265"/>
    </row>
    <row r="1679" spans="12:74">
      <c r="L1679" s="265"/>
      <c r="M1679" s="265"/>
      <c r="N1679" s="265"/>
      <c r="O1679" s="265"/>
      <c r="P1679" s="265"/>
      <c r="Q1679" s="265"/>
      <c r="BR1679" s="265"/>
      <c r="BS1679" s="265"/>
      <c r="BT1679" s="265"/>
      <c r="BU1679" s="265"/>
      <c r="BV1679" s="265"/>
    </row>
    <row r="1680" spans="12:74">
      <c r="L1680" s="265"/>
      <c r="M1680" s="265"/>
      <c r="N1680" s="265"/>
      <c r="O1680" s="265"/>
      <c r="P1680" s="265"/>
      <c r="Q1680" s="265"/>
      <c r="BR1680" s="265"/>
      <c r="BS1680" s="265"/>
      <c r="BT1680" s="265"/>
      <c r="BU1680" s="265"/>
      <c r="BV1680" s="265"/>
    </row>
    <row r="1681" spans="12:74">
      <c r="L1681" s="265"/>
      <c r="M1681" s="265"/>
      <c r="N1681" s="265"/>
      <c r="O1681" s="265"/>
      <c r="P1681" s="265"/>
      <c r="Q1681" s="265"/>
      <c r="BR1681" s="265"/>
      <c r="BS1681" s="265"/>
      <c r="BT1681" s="265"/>
      <c r="BU1681" s="265"/>
      <c r="BV1681" s="265"/>
    </row>
    <row r="1682" spans="12:74">
      <c r="L1682" s="265"/>
      <c r="M1682" s="265"/>
      <c r="N1682" s="265"/>
      <c r="O1682" s="265"/>
      <c r="P1682" s="265"/>
      <c r="Q1682" s="265"/>
      <c r="BR1682" s="265"/>
      <c r="BS1682" s="265"/>
      <c r="BT1682" s="265"/>
      <c r="BU1682" s="265"/>
      <c r="BV1682" s="265"/>
    </row>
    <row r="1683" spans="12:74">
      <c r="L1683" s="265"/>
      <c r="M1683" s="265"/>
      <c r="N1683" s="265"/>
      <c r="O1683" s="265"/>
      <c r="P1683" s="265"/>
      <c r="Q1683" s="265"/>
      <c r="BR1683" s="265"/>
      <c r="BS1683" s="265"/>
      <c r="BT1683" s="265"/>
      <c r="BU1683" s="265"/>
      <c r="BV1683" s="265"/>
    </row>
    <row r="1684" spans="12:74">
      <c r="L1684" s="265"/>
      <c r="M1684" s="265"/>
      <c r="N1684" s="265"/>
      <c r="O1684" s="265"/>
      <c r="P1684" s="265"/>
      <c r="Q1684" s="265"/>
      <c r="BR1684" s="265"/>
      <c r="BS1684" s="265"/>
      <c r="BT1684" s="265"/>
      <c r="BU1684" s="265"/>
      <c r="BV1684" s="265"/>
    </row>
    <row r="1685" spans="12:74">
      <c r="L1685" s="265"/>
      <c r="M1685" s="265"/>
      <c r="N1685" s="265"/>
      <c r="O1685" s="265"/>
      <c r="P1685" s="265"/>
      <c r="Q1685" s="265"/>
      <c r="BR1685" s="265"/>
      <c r="BS1685" s="265"/>
      <c r="BT1685" s="265"/>
      <c r="BU1685" s="265"/>
      <c r="BV1685" s="265"/>
    </row>
    <row r="1686" spans="12:74">
      <c r="L1686" s="265"/>
      <c r="M1686" s="265"/>
      <c r="N1686" s="265"/>
      <c r="O1686" s="265"/>
      <c r="P1686" s="265"/>
      <c r="Q1686" s="265"/>
      <c r="BR1686" s="265"/>
      <c r="BS1686" s="265"/>
      <c r="BT1686" s="265"/>
      <c r="BU1686" s="265"/>
      <c r="BV1686" s="265"/>
    </row>
    <row r="1687" spans="12:74">
      <c r="L1687" s="265"/>
      <c r="M1687" s="265"/>
      <c r="N1687" s="265"/>
      <c r="O1687" s="265"/>
      <c r="P1687" s="265"/>
      <c r="Q1687" s="265"/>
      <c r="BR1687" s="265"/>
      <c r="BS1687" s="265"/>
      <c r="BT1687" s="265"/>
      <c r="BU1687" s="265"/>
      <c r="BV1687" s="265"/>
    </row>
    <row r="1688" spans="12:74">
      <c r="L1688" s="265"/>
      <c r="M1688" s="265"/>
      <c r="N1688" s="265"/>
      <c r="O1688" s="265"/>
      <c r="P1688" s="265"/>
      <c r="Q1688" s="265"/>
      <c r="BR1688" s="265"/>
      <c r="BS1688" s="265"/>
      <c r="BT1688" s="265"/>
      <c r="BU1688" s="265"/>
      <c r="BV1688" s="265"/>
    </row>
    <row r="1689" spans="12:74">
      <c r="L1689" s="265"/>
      <c r="M1689" s="265"/>
      <c r="N1689" s="265"/>
      <c r="O1689" s="265"/>
      <c r="P1689" s="265"/>
      <c r="Q1689" s="265"/>
      <c r="BR1689" s="265"/>
      <c r="BS1689" s="265"/>
      <c r="BT1689" s="265"/>
      <c r="BU1689" s="265"/>
      <c r="BV1689" s="265"/>
    </row>
    <row r="1690" spans="12:74">
      <c r="L1690" s="265"/>
      <c r="M1690" s="265"/>
      <c r="N1690" s="265"/>
      <c r="O1690" s="265"/>
      <c r="P1690" s="265"/>
      <c r="Q1690" s="265"/>
      <c r="BR1690" s="265"/>
      <c r="BS1690" s="265"/>
      <c r="BT1690" s="265"/>
      <c r="BU1690" s="265"/>
      <c r="BV1690" s="265"/>
    </row>
    <row r="1691" spans="12:74">
      <c r="L1691" s="265"/>
      <c r="M1691" s="265"/>
      <c r="N1691" s="265"/>
      <c r="O1691" s="265"/>
      <c r="P1691" s="265"/>
      <c r="Q1691" s="265"/>
      <c r="BR1691" s="265"/>
      <c r="BS1691" s="265"/>
      <c r="BT1691" s="265"/>
      <c r="BU1691" s="265"/>
      <c r="BV1691" s="265"/>
    </row>
    <row r="1692" spans="12:74">
      <c r="L1692" s="265"/>
      <c r="M1692" s="265"/>
      <c r="N1692" s="265"/>
      <c r="O1692" s="265"/>
      <c r="P1692" s="265"/>
      <c r="Q1692" s="265"/>
      <c r="BR1692" s="265"/>
      <c r="BS1692" s="265"/>
      <c r="BT1692" s="265"/>
      <c r="BU1692" s="265"/>
      <c r="BV1692" s="265"/>
    </row>
    <row r="1693" spans="12:74">
      <c r="L1693" s="265"/>
      <c r="M1693" s="265"/>
      <c r="N1693" s="265"/>
      <c r="O1693" s="265"/>
      <c r="P1693" s="265"/>
      <c r="Q1693" s="265"/>
      <c r="BR1693" s="265"/>
      <c r="BS1693" s="265"/>
      <c r="BT1693" s="265"/>
      <c r="BU1693" s="265"/>
      <c r="BV1693" s="265"/>
    </row>
    <row r="1694" spans="12:74">
      <c r="L1694" s="265"/>
      <c r="M1694" s="265"/>
      <c r="N1694" s="265"/>
      <c r="O1694" s="265"/>
      <c r="P1694" s="265"/>
      <c r="Q1694" s="265"/>
      <c r="BR1694" s="265"/>
      <c r="BS1694" s="265"/>
      <c r="BT1694" s="265"/>
      <c r="BU1694" s="265"/>
      <c r="BV1694" s="265"/>
    </row>
    <row r="1695" spans="12:74">
      <c r="L1695" s="265"/>
      <c r="M1695" s="265"/>
      <c r="N1695" s="265"/>
      <c r="O1695" s="265"/>
      <c r="P1695" s="265"/>
      <c r="Q1695" s="265"/>
      <c r="BR1695" s="265"/>
      <c r="BS1695" s="265"/>
      <c r="BT1695" s="265"/>
      <c r="BU1695" s="265"/>
      <c r="BV1695" s="265"/>
    </row>
    <row r="1696" spans="12:74">
      <c r="L1696" s="265"/>
      <c r="M1696" s="265"/>
      <c r="N1696" s="265"/>
      <c r="O1696" s="265"/>
      <c r="P1696" s="265"/>
      <c r="Q1696" s="265"/>
      <c r="BR1696" s="265"/>
      <c r="BS1696" s="265"/>
      <c r="BT1696" s="265"/>
      <c r="BU1696" s="265"/>
      <c r="BV1696" s="265"/>
    </row>
    <row r="1697" spans="12:74">
      <c r="L1697" s="265"/>
      <c r="M1697" s="265"/>
      <c r="N1697" s="265"/>
      <c r="O1697" s="265"/>
      <c r="P1697" s="265"/>
      <c r="Q1697" s="265"/>
      <c r="BR1697" s="265"/>
      <c r="BS1697" s="265"/>
      <c r="BT1697" s="265"/>
      <c r="BU1697" s="265"/>
      <c r="BV1697" s="265"/>
    </row>
    <row r="1698" spans="12:74">
      <c r="L1698" s="265"/>
      <c r="M1698" s="265"/>
      <c r="N1698" s="265"/>
      <c r="O1698" s="265"/>
      <c r="P1698" s="265"/>
      <c r="Q1698" s="265"/>
      <c r="BR1698" s="265"/>
      <c r="BS1698" s="265"/>
      <c r="BT1698" s="265"/>
      <c r="BU1698" s="265"/>
      <c r="BV1698" s="265"/>
    </row>
    <row r="1699" spans="12:74">
      <c r="L1699" s="265"/>
      <c r="M1699" s="265"/>
      <c r="N1699" s="265"/>
      <c r="O1699" s="265"/>
      <c r="P1699" s="265"/>
      <c r="Q1699" s="265"/>
      <c r="BR1699" s="265"/>
      <c r="BS1699" s="265"/>
      <c r="BT1699" s="265"/>
      <c r="BU1699" s="265"/>
      <c r="BV1699" s="265"/>
    </row>
    <row r="1700" spans="12:74">
      <c r="L1700" s="265"/>
      <c r="M1700" s="265"/>
      <c r="N1700" s="265"/>
      <c r="O1700" s="265"/>
      <c r="P1700" s="265"/>
      <c r="Q1700" s="265"/>
      <c r="BR1700" s="265"/>
      <c r="BS1700" s="265"/>
      <c r="BT1700" s="265"/>
      <c r="BU1700" s="265"/>
      <c r="BV1700" s="265"/>
    </row>
    <row r="1701" spans="12:74">
      <c r="L1701" s="265"/>
      <c r="M1701" s="265"/>
      <c r="N1701" s="265"/>
      <c r="O1701" s="265"/>
      <c r="P1701" s="265"/>
      <c r="Q1701" s="265"/>
      <c r="BR1701" s="265"/>
      <c r="BS1701" s="265"/>
      <c r="BT1701" s="265"/>
      <c r="BU1701" s="265"/>
      <c r="BV1701" s="265"/>
    </row>
    <row r="1702" spans="12:74">
      <c r="L1702" s="265"/>
      <c r="M1702" s="265"/>
      <c r="N1702" s="265"/>
      <c r="O1702" s="265"/>
      <c r="P1702" s="265"/>
      <c r="Q1702" s="265"/>
      <c r="BR1702" s="265"/>
      <c r="BS1702" s="265"/>
      <c r="BT1702" s="265"/>
      <c r="BU1702" s="265"/>
      <c r="BV1702" s="265"/>
    </row>
    <row r="1703" spans="12:74">
      <c r="L1703" s="265"/>
      <c r="M1703" s="265"/>
      <c r="N1703" s="265"/>
      <c r="O1703" s="265"/>
      <c r="P1703" s="265"/>
      <c r="Q1703" s="265"/>
      <c r="BR1703" s="265"/>
      <c r="BS1703" s="265"/>
      <c r="BT1703" s="265"/>
      <c r="BU1703" s="265"/>
      <c r="BV1703" s="265"/>
    </row>
    <row r="1704" spans="12:74">
      <c r="L1704" s="265"/>
      <c r="M1704" s="265"/>
      <c r="N1704" s="265"/>
      <c r="O1704" s="265"/>
      <c r="P1704" s="265"/>
      <c r="Q1704" s="265"/>
      <c r="BR1704" s="265"/>
      <c r="BS1704" s="265"/>
      <c r="BT1704" s="265"/>
      <c r="BU1704" s="265"/>
      <c r="BV1704" s="265"/>
    </row>
    <row r="1705" spans="12:74">
      <c r="L1705" s="265"/>
      <c r="M1705" s="265"/>
      <c r="N1705" s="265"/>
      <c r="O1705" s="265"/>
      <c r="P1705" s="265"/>
      <c r="Q1705" s="265"/>
      <c r="BR1705" s="265"/>
      <c r="BS1705" s="265"/>
      <c r="BT1705" s="265"/>
      <c r="BU1705" s="265"/>
      <c r="BV1705" s="265"/>
    </row>
    <row r="1706" spans="12:74">
      <c r="L1706" s="265"/>
      <c r="M1706" s="265"/>
      <c r="N1706" s="265"/>
      <c r="O1706" s="265"/>
      <c r="P1706" s="265"/>
      <c r="Q1706" s="265"/>
      <c r="BR1706" s="265"/>
      <c r="BS1706" s="265"/>
      <c r="BT1706" s="265"/>
      <c r="BU1706" s="265"/>
      <c r="BV1706" s="265"/>
    </row>
    <row r="1707" spans="12:74">
      <c r="L1707" s="265"/>
      <c r="M1707" s="265"/>
      <c r="N1707" s="265"/>
      <c r="O1707" s="265"/>
      <c r="P1707" s="265"/>
      <c r="Q1707" s="265"/>
      <c r="BR1707" s="265"/>
      <c r="BS1707" s="265"/>
      <c r="BT1707" s="265"/>
      <c r="BU1707" s="265"/>
      <c r="BV1707" s="265"/>
    </row>
    <row r="1708" spans="12:74">
      <c r="L1708" s="265"/>
      <c r="M1708" s="265"/>
      <c r="N1708" s="265"/>
      <c r="O1708" s="265"/>
      <c r="P1708" s="265"/>
      <c r="Q1708" s="265"/>
      <c r="BR1708" s="265"/>
      <c r="BS1708" s="265"/>
      <c r="BT1708" s="265"/>
      <c r="BU1708" s="265"/>
      <c r="BV1708" s="265"/>
    </row>
    <row r="1709" spans="12:74">
      <c r="L1709" s="265"/>
      <c r="M1709" s="265"/>
      <c r="N1709" s="265"/>
      <c r="O1709" s="265"/>
      <c r="P1709" s="265"/>
      <c r="Q1709" s="265"/>
      <c r="BR1709" s="265"/>
      <c r="BS1709" s="265"/>
      <c r="BT1709" s="265"/>
      <c r="BU1709" s="265"/>
      <c r="BV1709" s="265"/>
    </row>
    <row r="1710" spans="12:74">
      <c r="L1710" s="265"/>
      <c r="M1710" s="265"/>
      <c r="N1710" s="265"/>
      <c r="O1710" s="265"/>
      <c r="P1710" s="265"/>
      <c r="Q1710" s="265"/>
      <c r="BR1710" s="265"/>
      <c r="BS1710" s="265"/>
      <c r="BT1710" s="265"/>
      <c r="BU1710" s="265"/>
      <c r="BV1710" s="265"/>
    </row>
    <row r="1711" spans="12:74">
      <c r="L1711" s="265"/>
      <c r="M1711" s="265"/>
      <c r="N1711" s="265"/>
      <c r="O1711" s="265"/>
      <c r="P1711" s="265"/>
      <c r="Q1711" s="265"/>
      <c r="BR1711" s="265"/>
      <c r="BS1711" s="265"/>
      <c r="BT1711" s="265"/>
      <c r="BU1711" s="265"/>
      <c r="BV1711" s="265"/>
    </row>
    <row r="1712" spans="12:74">
      <c r="L1712" s="265"/>
      <c r="M1712" s="265"/>
      <c r="N1712" s="265"/>
      <c r="O1712" s="265"/>
      <c r="P1712" s="265"/>
      <c r="Q1712" s="265"/>
      <c r="BR1712" s="265"/>
      <c r="BS1712" s="265"/>
      <c r="BT1712" s="265"/>
      <c r="BU1712" s="265"/>
      <c r="BV1712" s="265"/>
    </row>
    <row r="1713" spans="12:74">
      <c r="L1713" s="265"/>
      <c r="M1713" s="265"/>
      <c r="N1713" s="265"/>
      <c r="O1713" s="265"/>
      <c r="P1713" s="265"/>
      <c r="Q1713" s="265"/>
      <c r="BR1713" s="265"/>
      <c r="BS1713" s="265"/>
      <c r="BT1713" s="265"/>
      <c r="BU1713" s="265"/>
      <c r="BV1713" s="265"/>
    </row>
    <row r="1714" spans="12:74">
      <c r="L1714" s="265"/>
      <c r="M1714" s="265"/>
      <c r="N1714" s="265"/>
      <c r="O1714" s="265"/>
      <c r="P1714" s="265"/>
      <c r="Q1714" s="265"/>
      <c r="BR1714" s="265"/>
      <c r="BS1714" s="265"/>
      <c r="BT1714" s="265"/>
      <c r="BU1714" s="265"/>
      <c r="BV1714" s="265"/>
    </row>
    <row r="1715" spans="12:74">
      <c r="L1715" s="265"/>
      <c r="M1715" s="265"/>
      <c r="N1715" s="265"/>
      <c r="O1715" s="265"/>
      <c r="P1715" s="265"/>
      <c r="Q1715" s="265"/>
      <c r="BR1715" s="265"/>
      <c r="BS1715" s="265"/>
      <c r="BT1715" s="265"/>
      <c r="BU1715" s="265"/>
      <c r="BV1715" s="265"/>
    </row>
    <row r="1716" spans="12:74">
      <c r="L1716" s="265"/>
      <c r="M1716" s="265"/>
      <c r="N1716" s="265"/>
      <c r="O1716" s="265"/>
      <c r="P1716" s="265"/>
      <c r="Q1716" s="265"/>
      <c r="BR1716" s="265"/>
      <c r="BS1716" s="265"/>
      <c r="BT1716" s="265"/>
      <c r="BU1716" s="265"/>
      <c r="BV1716" s="265"/>
    </row>
    <row r="1717" spans="12:74">
      <c r="L1717" s="265"/>
      <c r="M1717" s="265"/>
      <c r="N1717" s="265"/>
      <c r="O1717" s="265"/>
      <c r="P1717" s="265"/>
      <c r="Q1717" s="265"/>
      <c r="BR1717" s="265"/>
      <c r="BS1717" s="265"/>
      <c r="BT1717" s="265"/>
      <c r="BU1717" s="265"/>
      <c r="BV1717" s="265"/>
    </row>
    <row r="1718" spans="12:74">
      <c r="L1718" s="265"/>
      <c r="M1718" s="265"/>
      <c r="N1718" s="265"/>
      <c r="O1718" s="265"/>
      <c r="P1718" s="265"/>
      <c r="Q1718" s="265"/>
      <c r="BR1718" s="265"/>
      <c r="BS1718" s="265"/>
      <c r="BT1718" s="265"/>
      <c r="BU1718" s="265"/>
      <c r="BV1718" s="265"/>
    </row>
    <row r="1719" spans="12:74">
      <c r="L1719" s="265"/>
      <c r="M1719" s="265"/>
      <c r="N1719" s="265"/>
      <c r="O1719" s="265"/>
      <c r="P1719" s="265"/>
      <c r="Q1719" s="265"/>
      <c r="BR1719" s="265"/>
      <c r="BS1719" s="265"/>
      <c r="BT1719" s="265"/>
      <c r="BU1719" s="265"/>
      <c r="BV1719" s="265"/>
    </row>
    <row r="1720" spans="12:74">
      <c r="L1720" s="265"/>
      <c r="M1720" s="265"/>
      <c r="N1720" s="265"/>
      <c r="O1720" s="265"/>
      <c r="P1720" s="265"/>
      <c r="Q1720" s="265"/>
      <c r="BR1720" s="265"/>
      <c r="BS1720" s="265"/>
      <c r="BT1720" s="265"/>
      <c r="BU1720" s="265"/>
      <c r="BV1720" s="265"/>
    </row>
    <row r="1721" spans="12:74">
      <c r="L1721" s="265"/>
      <c r="M1721" s="265"/>
      <c r="N1721" s="265"/>
      <c r="O1721" s="265"/>
      <c r="P1721" s="265"/>
      <c r="Q1721" s="265"/>
      <c r="BR1721" s="265"/>
      <c r="BS1721" s="265"/>
      <c r="BT1721" s="265"/>
      <c r="BU1721" s="265"/>
      <c r="BV1721" s="265"/>
    </row>
    <row r="1722" spans="12:74">
      <c r="L1722" s="265"/>
      <c r="M1722" s="265"/>
      <c r="N1722" s="265"/>
      <c r="O1722" s="265"/>
      <c r="P1722" s="265"/>
      <c r="Q1722" s="265"/>
      <c r="BR1722" s="265"/>
      <c r="BS1722" s="265"/>
      <c r="BT1722" s="265"/>
      <c r="BU1722" s="265"/>
      <c r="BV1722" s="265"/>
    </row>
    <row r="1723" spans="12:74">
      <c r="L1723" s="265"/>
      <c r="M1723" s="265"/>
      <c r="N1723" s="265"/>
      <c r="O1723" s="265"/>
      <c r="P1723" s="265"/>
      <c r="Q1723" s="265"/>
      <c r="BR1723" s="265"/>
      <c r="BS1723" s="265"/>
      <c r="BT1723" s="265"/>
      <c r="BU1723" s="265"/>
      <c r="BV1723" s="265"/>
    </row>
    <row r="1724" spans="12:74">
      <c r="L1724" s="265"/>
      <c r="M1724" s="265"/>
      <c r="N1724" s="265"/>
      <c r="O1724" s="265"/>
      <c r="P1724" s="265"/>
      <c r="Q1724" s="265"/>
      <c r="BR1724" s="265"/>
      <c r="BS1724" s="265"/>
      <c r="BT1724" s="265"/>
      <c r="BU1724" s="265"/>
      <c r="BV1724" s="265"/>
    </row>
    <row r="1725" spans="12:74">
      <c r="L1725" s="265"/>
      <c r="M1725" s="265"/>
      <c r="N1725" s="265"/>
      <c r="O1725" s="265"/>
      <c r="P1725" s="265"/>
      <c r="Q1725" s="265"/>
      <c r="BR1725" s="265"/>
      <c r="BS1725" s="265"/>
      <c r="BT1725" s="265"/>
      <c r="BU1725" s="265"/>
      <c r="BV1725" s="265"/>
    </row>
    <row r="1726" spans="12:74">
      <c r="L1726" s="265"/>
      <c r="M1726" s="265"/>
      <c r="N1726" s="265"/>
      <c r="O1726" s="265"/>
      <c r="P1726" s="265"/>
      <c r="Q1726" s="265"/>
      <c r="BR1726" s="265"/>
      <c r="BS1726" s="265"/>
      <c r="BT1726" s="265"/>
      <c r="BU1726" s="265"/>
      <c r="BV1726" s="265"/>
    </row>
    <row r="1727" spans="12:74">
      <c r="L1727" s="265"/>
      <c r="M1727" s="265"/>
      <c r="N1727" s="265"/>
      <c r="O1727" s="265"/>
      <c r="P1727" s="265"/>
      <c r="Q1727" s="265"/>
      <c r="BR1727" s="265"/>
      <c r="BS1727" s="265"/>
      <c r="BT1727" s="265"/>
      <c r="BU1727" s="265"/>
      <c r="BV1727" s="265"/>
    </row>
    <row r="1728" spans="12:74">
      <c r="L1728" s="265"/>
      <c r="M1728" s="265"/>
      <c r="N1728" s="265"/>
      <c r="O1728" s="265"/>
      <c r="P1728" s="265"/>
      <c r="Q1728" s="265"/>
      <c r="BR1728" s="265"/>
      <c r="BS1728" s="265"/>
      <c r="BT1728" s="265"/>
      <c r="BU1728" s="265"/>
      <c r="BV1728" s="265"/>
    </row>
    <row r="1729" spans="12:74">
      <c r="L1729" s="265"/>
      <c r="M1729" s="265"/>
      <c r="N1729" s="265"/>
      <c r="O1729" s="265"/>
      <c r="P1729" s="265"/>
      <c r="Q1729" s="265"/>
      <c r="BR1729" s="265"/>
      <c r="BS1729" s="265"/>
      <c r="BT1729" s="265"/>
      <c r="BU1729" s="265"/>
      <c r="BV1729" s="265"/>
    </row>
    <row r="1730" spans="12:74">
      <c r="L1730" s="265"/>
      <c r="M1730" s="265"/>
      <c r="N1730" s="265"/>
      <c r="O1730" s="265"/>
      <c r="P1730" s="265"/>
      <c r="Q1730" s="265"/>
      <c r="BR1730" s="265"/>
      <c r="BS1730" s="265"/>
      <c r="BT1730" s="265"/>
      <c r="BU1730" s="265"/>
      <c r="BV1730" s="265"/>
    </row>
    <row r="1731" spans="12:74">
      <c r="L1731" s="265"/>
      <c r="M1731" s="265"/>
      <c r="N1731" s="265"/>
      <c r="O1731" s="265"/>
      <c r="P1731" s="265"/>
      <c r="Q1731" s="265"/>
      <c r="BR1731" s="265"/>
      <c r="BS1731" s="265"/>
      <c r="BT1731" s="265"/>
      <c r="BU1731" s="265"/>
      <c r="BV1731" s="265"/>
    </row>
    <row r="1732" spans="12:74">
      <c r="L1732" s="265"/>
      <c r="M1732" s="265"/>
      <c r="N1732" s="265"/>
      <c r="O1732" s="265"/>
      <c r="P1732" s="265"/>
      <c r="Q1732" s="265"/>
      <c r="BR1732" s="265"/>
      <c r="BS1732" s="265"/>
      <c r="BT1732" s="265"/>
      <c r="BU1732" s="265"/>
      <c r="BV1732" s="265"/>
    </row>
    <row r="1733" spans="12:74">
      <c r="L1733" s="265"/>
      <c r="M1733" s="265"/>
      <c r="N1733" s="265"/>
      <c r="O1733" s="265"/>
      <c r="P1733" s="265"/>
      <c r="Q1733" s="265"/>
      <c r="BR1733" s="265"/>
      <c r="BS1733" s="265"/>
      <c r="BT1733" s="265"/>
      <c r="BU1733" s="265"/>
      <c r="BV1733" s="265"/>
    </row>
    <row r="1734" spans="12:74">
      <c r="L1734" s="265"/>
      <c r="M1734" s="265"/>
      <c r="N1734" s="265"/>
      <c r="O1734" s="265"/>
      <c r="P1734" s="265"/>
      <c r="Q1734" s="265"/>
      <c r="BR1734" s="265"/>
      <c r="BS1734" s="265"/>
      <c r="BT1734" s="265"/>
      <c r="BU1734" s="265"/>
      <c r="BV1734" s="265"/>
    </row>
    <row r="1735" spans="12:74">
      <c r="L1735" s="265"/>
      <c r="M1735" s="265"/>
      <c r="N1735" s="265"/>
      <c r="O1735" s="265"/>
      <c r="P1735" s="265"/>
      <c r="Q1735" s="265"/>
      <c r="BR1735" s="265"/>
      <c r="BS1735" s="265"/>
      <c r="BT1735" s="265"/>
      <c r="BU1735" s="265"/>
      <c r="BV1735" s="265"/>
    </row>
    <row r="1736" spans="12:74">
      <c r="L1736" s="265"/>
      <c r="M1736" s="265"/>
      <c r="N1736" s="265"/>
      <c r="O1736" s="265"/>
      <c r="P1736" s="265"/>
      <c r="Q1736" s="265"/>
      <c r="BR1736" s="265"/>
      <c r="BS1736" s="265"/>
      <c r="BT1736" s="265"/>
      <c r="BU1736" s="265"/>
      <c r="BV1736" s="265"/>
    </row>
    <row r="1737" spans="12:74">
      <c r="L1737" s="265"/>
      <c r="M1737" s="265"/>
      <c r="N1737" s="265"/>
      <c r="O1737" s="265"/>
      <c r="P1737" s="265"/>
      <c r="Q1737" s="265"/>
      <c r="BR1737" s="265"/>
      <c r="BS1737" s="265"/>
      <c r="BT1737" s="265"/>
      <c r="BU1737" s="265"/>
      <c r="BV1737" s="265"/>
    </row>
    <row r="1738" spans="12:74">
      <c r="L1738" s="265"/>
      <c r="M1738" s="265"/>
      <c r="N1738" s="265"/>
      <c r="O1738" s="265"/>
      <c r="P1738" s="265"/>
      <c r="Q1738" s="265"/>
      <c r="BR1738" s="265"/>
      <c r="BS1738" s="265"/>
      <c r="BT1738" s="265"/>
      <c r="BU1738" s="265"/>
      <c r="BV1738" s="265"/>
    </row>
    <row r="1739" spans="12:74">
      <c r="L1739" s="265"/>
      <c r="M1739" s="265"/>
      <c r="N1739" s="265"/>
      <c r="O1739" s="265"/>
      <c r="P1739" s="265"/>
      <c r="Q1739" s="265"/>
      <c r="BR1739" s="265"/>
      <c r="BS1739" s="265"/>
      <c r="BT1739" s="265"/>
      <c r="BU1739" s="265"/>
      <c r="BV1739" s="265"/>
    </row>
    <row r="1740" spans="12:74">
      <c r="L1740" s="265"/>
      <c r="M1740" s="265"/>
      <c r="N1740" s="265"/>
      <c r="O1740" s="265"/>
      <c r="P1740" s="265"/>
      <c r="Q1740" s="265"/>
      <c r="BR1740" s="265"/>
      <c r="BS1740" s="265"/>
      <c r="BT1740" s="265"/>
      <c r="BU1740" s="265"/>
      <c r="BV1740" s="265"/>
    </row>
    <row r="1741" spans="12:74">
      <c r="L1741" s="265"/>
      <c r="M1741" s="265"/>
      <c r="N1741" s="265"/>
      <c r="O1741" s="265"/>
      <c r="P1741" s="265"/>
      <c r="Q1741" s="265"/>
      <c r="BR1741" s="265"/>
      <c r="BS1741" s="265"/>
      <c r="BT1741" s="265"/>
      <c r="BU1741" s="265"/>
      <c r="BV1741" s="265"/>
    </row>
    <row r="1742" spans="12:74">
      <c r="L1742" s="265"/>
      <c r="M1742" s="265"/>
      <c r="N1742" s="265"/>
      <c r="O1742" s="265"/>
      <c r="P1742" s="265"/>
      <c r="Q1742" s="265"/>
      <c r="BR1742" s="265"/>
      <c r="BS1742" s="265"/>
      <c r="BT1742" s="265"/>
      <c r="BU1742" s="265"/>
      <c r="BV1742" s="265"/>
    </row>
    <row r="1743" spans="12:74">
      <c r="L1743" s="265"/>
      <c r="M1743" s="265"/>
      <c r="N1743" s="265"/>
      <c r="O1743" s="265"/>
      <c r="P1743" s="265"/>
      <c r="Q1743" s="265"/>
      <c r="BR1743" s="265"/>
      <c r="BS1743" s="265"/>
      <c r="BT1743" s="265"/>
      <c r="BU1743" s="265"/>
      <c r="BV1743" s="265"/>
    </row>
    <row r="1744" spans="12:74">
      <c r="L1744" s="265"/>
      <c r="M1744" s="265"/>
      <c r="N1744" s="265"/>
      <c r="O1744" s="265"/>
      <c r="P1744" s="265"/>
      <c r="Q1744" s="265"/>
      <c r="BR1744" s="265"/>
      <c r="BS1744" s="265"/>
      <c r="BT1744" s="265"/>
      <c r="BU1744" s="265"/>
      <c r="BV1744" s="265"/>
    </row>
    <row r="1745" spans="12:74">
      <c r="L1745" s="265"/>
      <c r="M1745" s="265"/>
      <c r="N1745" s="265"/>
      <c r="O1745" s="265"/>
      <c r="P1745" s="265"/>
      <c r="Q1745" s="265"/>
      <c r="BR1745" s="265"/>
      <c r="BS1745" s="265"/>
      <c r="BT1745" s="265"/>
      <c r="BU1745" s="265"/>
      <c r="BV1745" s="265"/>
    </row>
    <row r="1746" spans="12:74">
      <c r="L1746" s="265"/>
      <c r="M1746" s="265"/>
      <c r="N1746" s="265"/>
      <c r="O1746" s="265"/>
      <c r="P1746" s="265"/>
      <c r="Q1746" s="265"/>
      <c r="BR1746" s="265"/>
      <c r="BS1746" s="265"/>
      <c r="BT1746" s="265"/>
      <c r="BU1746" s="265"/>
      <c r="BV1746" s="265"/>
    </row>
    <row r="1747" spans="12:74">
      <c r="L1747" s="265"/>
      <c r="M1747" s="265"/>
      <c r="N1747" s="265"/>
      <c r="O1747" s="265"/>
      <c r="P1747" s="265"/>
      <c r="Q1747" s="265"/>
      <c r="BR1747" s="265"/>
      <c r="BS1747" s="265"/>
      <c r="BT1747" s="265"/>
      <c r="BU1747" s="265"/>
      <c r="BV1747" s="265"/>
    </row>
    <row r="1748" spans="12:74">
      <c r="L1748" s="265"/>
      <c r="M1748" s="265"/>
      <c r="N1748" s="265"/>
      <c r="O1748" s="265"/>
      <c r="P1748" s="265"/>
      <c r="Q1748" s="265"/>
      <c r="BR1748" s="265"/>
      <c r="BS1748" s="265"/>
      <c r="BT1748" s="265"/>
      <c r="BU1748" s="265"/>
      <c r="BV1748" s="265"/>
    </row>
    <row r="1749" spans="12:74">
      <c r="L1749" s="265"/>
      <c r="M1749" s="265"/>
      <c r="N1749" s="265"/>
      <c r="O1749" s="265"/>
      <c r="P1749" s="265"/>
      <c r="Q1749" s="265"/>
      <c r="BR1749" s="265"/>
      <c r="BS1749" s="265"/>
      <c r="BT1749" s="265"/>
      <c r="BU1749" s="265"/>
      <c r="BV1749" s="265"/>
    </row>
    <row r="1750" spans="12:74">
      <c r="L1750" s="265"/>
      <c r="M1750" s="265"/>
      <c r="N1750" s="265"/>
      <c r="O1750" s="265"/>
      <c r="P1750" s="265"/>
      <c r="Q1750" s="265"/>
      <c r="BR1750" s="265"/>
      <c r="BS1750" s="265"/>
      <c r="BT1750" s="265"/>
      <c r="BU1750" s="265"/>
      <c r="BV1750" s="265"/>
    </row>
    <row r="1751" spans="12:74">
      <c r="L1751" s="265"/>
      <c r="M1751" s="265"/>
      <c r="N1751" s="265"/>
      <c r="O1751" s="265"/>
      <c r="P1751" s="265"/>
      <c r="Q1751" s="265"/>
      <c r="BR1751" s="265"/>
      <c r="BS1751" s="265"/>
      <c r="BT1751" s="265"/>
      <c r="BU1751" s="265"/>
      <c r="BV1751" s="265"/>
    </row>
    <row r="1752" spans="12:74">
      <c r="L1752" s="265"/>
      <c r="M1752" s="265"/>
      <c r="N1752" s="265"/>
      <c r="O1752" s="265"/>
      <c r="P1752" s="265"/>
      <c r="Q1752" s="265"/>
      <c r="BR1752" s="265"/>
      <c r="BS1752" s="265"/>
      <c r="BT1752" s="265"/>
      <c r="BU1752" s="265"/>
      <c r="BV1752" s="265"/>
    </row>
    <row r="1753" spans="12:74">
      <c r="L1753" s="265"/>
      <c r="M1753" s="265"/>
      <c r="N1753" s="265"/>
      <c r="O1753" s="265"/>
      <c r="P1753" s="265"/>
      <c r="Q1753" s="265"/>
      <c r="BR1753" s="265"/>
      <c r="BS1753" s="265"/>
      <c r="BT1753" s="265"/>
      <c r="BU1753" s="265"/>
      <c r="BV1753" s="265"/>
    </row>
    <row r="1754" spans="12:74">
      <c r="L1754" s="265"/>
      <c r="M1754" s="265"/>
      <c r="N1754" s="265"/>
      <c r="O1754" s="265"/>
      <c r="P1754" s="265"/>
      <c r="Q1754" s="265"/>
      <c r="BR1754" s="265"/>
      <c r="BS1754" s="265"/>
      <c r="BT1754" s="265"/>
      <c r="BU1754" s="265"/>
      <c r="BV1754" s="265"/>
    </row>
    <row r="1755" spans="12:74">
      <c r="L1755" s="265"/>
      <c r="M1755" s="265"/>
      <c r="N1755" s="265"/>
      <c r="O1755" s="265"/>
      <c r="P1755" s="265"/>
      <c r="Q1755" s="265"/>
      <c r="BR1755" s="265"/>
      <c r="BS1755" s="265"/>
      <c r="BT1755" s="265"/>
      <c r="BU1755" s="265"/>
      <c r="BV1755" s="265"/>
    </row>
    <row r="1756" spans="12:74">
      <c r="L1756" s="265"/>
      <c r="M1756" s="265"/>
      <c r="N1756" s="265"/>
      <c r="O1756" s="265"/>
      <c r="P1756" s="265"/>
      <c r="Q1756" s="265"/>
      <c r="BR1756" s="265"/>
      <c r="BS1756" s="265"/>
      <c r="BT1756" s="265"/>
      <c r="BU1756" s="265"/>
      <c r="BV1756" s="265"/>
    </row>
    <row r="1757" spans="12:74">
      <c r="L1757" s="265"/>
      <c r="M1757" s="265"/>
      <c r="N1757" s="265"/>
      <c r="O1757" s="265"/>
      <c r="P1757" s="265"/>
      <c r="Q1757" s="265"/>
      <c r="BR1757" s="265"/>
      <c r="BS1757" s="265"/>
      <c r="BT1757" s="265"/>
      <c r="BU1757" s="265"/>
      <c r="BV1757" s="265"/>
    </row>
    <row r="1758" spans="12:74">
      <c r="L1758" s="265"/>
      <c r="M1758" s="265"/>
      <c r="N1758" s="265"/>
      <c r="O1758" s="265"/>
      <c r="P1758" s="265"/>
      <c r="Q1758" s="265"/>
      <c r="BR1758" s="265"/>
      <c r="BS1758" s="265"/>
      <c r="BT1758" s="265"/>
      <c r="BU1758" s="265"/>
      <c r="BV1758" s="265"/>
    </row>
    <row r="1759" spans="12:74">
      <c r="L1759" s="265"/>
      <c r="M1759" s="265"/>
      <c r="N1759" s="265"/>
      <c r="O1759" s="265"/>
      <c r="P1759" s="265"/>
      <c r="Q1759" s="265"/>
      <c r="BR1759" s="265"/>
      <c r="BS1759" s="265"/>
      <c r="BT1759" s="265"/>
      <c r="BU1759" s="265"/>
      <c r="BV1759" s="265"/>
    </row>
    <row r="1760" spans="12:74">
      <c r="L1760" s="265"/>
      <c r="M1760" s="265"/>
      <c r="N1760" s="265"/>
      <c r="O1760" s="265"/>
      <c r="P1760" s="265"/>
      <c r="Q1760" s="265"/>
      <c r="BR1760" s="265"/>
      <c r="BS1760" s="265"/>
      <c r="BT1760" s="265"/>
      <c r="BU1760" s="265"/>
      <c r="BV1760" s="265"/>
    </row>
    <row r="1761" spans="12:74">
      <c r="L1761" s="265"/>
      <c r="M1761" s="265"/>
      <c r="N1761" s="265"/>
      <c r="O1761" s="265"/>
      <c r="P1761" s="265"/>
      <c r="Q1761" s="265"/>
      <c r="BR1761" s="265"/>
      <c r="BS1761" s="265"/>
      <c r="BT1761" s="265"/>
      <c r="BU1761" s="265"/>
      <c r="BV1761" s="265"/>
    </row>
    <row r="1762" spans="12:74">
      <c r="L1762" s="265"/>
      <c r="M1762" s="265"/>
      <c r="N1762" s="265"/>
      <c r="O1762" s="265"/>
      <c r="P1762" s="265"/>
      <c r="Q1762" s="265"/>
      <c r="BR1762" s="265"/>
      <c r="BS1762" s="265"/>
      <c r="BT1762" s="265"/>
      <c r="BU1762" s="265"/>
      <c r="BV1762" s="265"/>
    </row>
    <row r="1763" spans="12:74">
      <c r="L1763" s="265"/>
      <c r="M1763" s="265"/>
      <c r="N1763" s="265"/>
      <c r="O1763" s="265"/>
      <c r="P1763" s="265"/>
      <c r="Q1763" s="265"/>
      <c r="BR1763" s="265"/>
      <c r="BS1763" s="265"/>
      <c r="BT1763" s="265"/>
      <c r="BU1763" s="265"/>
      <c r="BV1763" s="265"/>
    </row>
    <row r="1764" spans="12:74">
      <c r="L1764" s="265"/>
      <c r="M1764" s="265"/>
      <c r="N1764" s="265"/>
      <c r="O1764" s="265"/>
      <c r="P1764" s="265"/>
      <c r="Q1764" s="265"/>
      <c r="BR1764" s="265"/>
      <c r="BS1764" s="265"/>
      <c r="BT1764" s="265"/>
      <c r="BU1764" s="265"/>
      <c r="BV1764" s="265"/>
    </row>
    <row r="1765" spans="12:74">
      <c r="L1765" s="265"/>
      <c r="M1765" s="265"/>
      <c r="N1765" s="265"/>
      <c r="O1765" s="265"/>
      <c r="P1765" s="265"/>
      <c r="Q1765" s="265"/>
      <c r="BR1765" s="265"/>
      <c r="BS1765" s="265"/>
      <c r="BT1765" s="265"/>
      <c r="BU1765" s="265"/>
      <c r="BV1765" s="265"/>
    </row>
    <row r="1766" spans="12:74">
      <c r="L1766" s="265"/>
      <c r="M1766" s="265"/>
      <c r="N1766" s="265"/>
      <c r="O1766" s="265"/>
      <c r="P1766" s="265"/>
      <c r="Q1766" s="265"/>
      <c r="BR1766" s="265"/>
      <c r="BS1766" s="265"/>
      <c r="BT1766" s="265"/>
      <c r="BU1766" s="265"/>
      <c r="BV1766" s="265"/>
    </row>
    <row r="1767" spans="12:74">
      <c r="L1767" s="265"/>
      <c r="M1767" s="265"/>
      <c r="N1767" s="265"/>
      <c r="O1767" s="265"/>
      <c r="P1767" s="265"/>
      <c r="Q1767" s="265"/>
      <c r="BR1767" s="265"/>
      <c r="BS1767" s="265"/>
      <c r="BT1767" s="265"/>
      <c r="BU1767" s="265"/>
      <c r="BV1767" s="265"/>
    </row>
    <row r="1768" spans="12:74">
      <c r="L1768" s="265"/>
      <c r="M1768" s="265"/>
      <c r="N1768" s="265"/>
      <c r="O1768" s="265"/>
      <c r="P1768" s="265"/>
      <c r="Q1768" s="265"/>
      <c r="BR1768" s="265"/>
      <c r="BS1768" s="265"/>
      <c r="BT1768" s="265"/>
      <c r="BU1768" s="265"/>
      <c r="BV1768" s="265"/>
    </row>
    <row r="1769" spans="12:74">
      <c r="L1769" s="265"/>
      <c r="M1769" s="265"/>
      <c r="N1769" s="265"/>
      <c r="O1769" s="265"/>
      <c r="P1769" s="265"/>
      <c r="Q1769" s="265"/>
      <c r="BR1769" s="265"/>
      <c r="BS1769" s="265"/>
      <c r="BT1769" s="265"/>
      <c r="BU1769" s="265"/>
      <c r="BV1769" s="265"/>
    </row>
    <row r="1770" spans="12:74">
      <c r="L1770" s="265"/>
      <c r="M1770" s="265"/>
      <c r="N1770" s="265"/>
      <c r="O1770" s="265"/>
      <c r="P1770" s="265"/>
      <c r="Q1770" s="265"/>
      <c r="BR1770" s="265"/>
      <c r="BS1770" s="265"/>
      <c r="BT1770" s="265"/>
      <c r="BU1770" s="265"/>
      <c r="BV1770" s="265"/>
    </row>
    <row r="1771" spans="12:74">
      <c r="L1771" s="265"/>
      <c r="M1771" s="265"/>
      <c r="N1771" s="265"/>
      <c r="O1771" s="265"/>
      <c r="P1771" s="265"/>
      <c r="Q1771" s="265"/>
      <c r="BR1771" s="265"/>
      <c r="BS1771" s="265"/>
      <c r="BT1771" s="265"/>
      <c r="BU1771" s="265"/>
      <c r="BV1771" s="265"/>
    </row>
    <row r="1772" spans="12:74">
      <c r="L1772" s="265"/>
      <c r="M1772" s="265"/>
      <c r="N1772" s="265"/>
      <c r="O1772" s="265"/>
      <c r="P1772" s="265"/>
      <c r="Q1772" s="265"/>
      <c r="BR1772" s="265"/>
      <c r="BS1772" s="265"/>
      <c r="BT1772" s="265"/>
      <c r="BU1772" s="265"/>
      <c r="BV1772" s="265"/>
    </row>
    <row r="1773" spans="12:74">
      <c r="L1773" s="265"/>
      <c r="M1773" s="265"/>
      <c r="N1773" s="265"/>
      <c r="O1773" s="265"/>
      <c r="P1773" s="265"/>
      <c r="Q1773" s="265"/>
      <c r="BR1773" s="265"/>
      <c r="BS1773" s="265"/>
      <c r="BT1773" s="265"/>
      <c r="BU1773" s="265"/>
      <c r="BV1773" s="265"/>
    </row>
    <row r="1774" spans="12:74">
      <c r="L1774" s="265"/>
      <c r="M1774" s="265"/>
      <c r="N1774" s="265"/>
      <c r="O1774" s="265"/>
      <c r="P1774" s="265"/>
      <c r="Q1774" s="265"/>
      <c r="BR1774" s="265"/>
      <c r="BS1774" s="265"/>
      <c r="BT1774" s="265"/>
      <c r="BU1774" s="265"/>
      <c r="BV1774" s="265"/>
    </row>
    <row r="1775" spans="12:74">
      <c r="L1775" s="265"/>
      <c r="M1775" s="265"/>
      <c r="N1775" s="265"/>
      <c r="O1775" s="265"/>
      <c r="P1775" s="265"/>
      <c r="Q1775" s="265"/>
      <c r="BR1775" s="265"/>
      <c r="BS1775" s="265"/>
      <c r="BT1775" s="265"/>
      <c r="BU1775" s="265"/>
      <c r="BV1775" s="265"/>
    </row>
    <row r="1776" spans="12:74">
      <c r="L1776" s="265"/>
      <c r="M1776" s="265"/>
      <c r="N1776" s="265"/>
      <c r="O1776" s="265"/>
      <c r="P1776" s="265"/>
      <c r="Q1776" s="265"/>
      <c r="BR1776" s="265"/>
      <c r="BS1776" s="265"/>
      <c r="BT1776" s="265"/>
      <c r="BU1776" s="265"/>
      <c r="BV1776" s="265"/>
    </row>
    <row r="1777" spans="12:74">
      <c r="L1777" s="265"/>
      <c r="M1777" s="265"/>
      <c r="N1777" s="265"/>
      <c r="O1777" s="265"/>
      <c r="P1777" s="265"/>
      <c r="Q1777" s="265"/>
      <c r="BR1777" s="265"/>
      <c r="BS1777" s="265"/>
      <c r="BT1777" s="265"/>
      <c r="BU1777" s="265"/>
      <c r="BV1777" s="265"/>
    </row>
    <row r="1778" spans="12:74">
      <c r="L1778" s="265"/>
      <c r="M1778" s="265"/>
      <c r="N1778" s="265"/>
      <c r="O1778" s="265"/>
      <c r="P1778" s="265"/>
      <c r="Q1778" s="265"/>
      <c r="BR1778" s="265"/>
      <c r="BS1778" s="265"/>
      <c r="BT1778" s="265"/>
      <c r="BU1778" s="265"/>
      <c r="BV1778" s="265"/>
    </row>
    <row r="1779" spans="12:74">
      <c r="L1779" s="265"/>
      <c r="M1779" s="265"/>
      <c r="N1779" s="265"/>
      <c r="O1779" s="265"/>
      <c r="P1779" s="265"/>
      <c r="Q1779" s="265"/>
      <c r="BR1779" s="265"/>
      <c r="BS1779" s="265"/>
      <c r="BT1779" s="265"/>
      <c r="BU1779" s="265"/>
      <c r="BV1779" s="265"/>
    </row>
    <row r="1780" spans="12:74">
      <c r="L1780" s="265"/>
      <c r="M1780" s="265"/>
      <c r="N1780" s="265"/>
      <c r="O1780" s="265"/>
      <c r="P1780" s="265"/>
      <c r="Q1780" s="265"/>
      <c r="BR1780" s="265"/>
      <c r="BS1780" s="265"/>
      <c r="BT1780" s="265"/>
      <c r="BU1780" s="265"/>
      <c r="BV1780" s="265"/>
    </row>
    <row r="1781" spans="12:74">
      <c r="L1781" s="265"/>
      <c r="M1781" s="265"/>
      <c r="N1781" s="265"/>
      <c r="O1781" s="265"/>
      <c r="P1781" s="265"/>
      <c r="Q1781" s="265"/>
      <c r="BR1781" s="265"/>
      <c r="BS1781" s="265"/>
      <c r="BT1781" s="265"/>
      <c r="BU1781" s="265"/>
      <c r="BV1781" s="265"/>
    </row>
    <row r="1782" spans="12:74">
      <c r="L1782" s="265"/>
      <c r="M1782" s="265"/>
      <c r="N1782" s="265"/>
      <c r="O1782" s="265"/>
      <c r="P1782" s="265"/>
      <c r="Q1782" s="265"/>
      <c r="BR1782" s="265"/>
      <c r="BS1782" s="265"/>
      <c r="BT1782" s="265"/>
      <c r="BU1782" s="265"/>
      <c r="BV1782" s="265"/>
    </row>
    <row r="1783" spans="12:74">
      <c r="L1783" s="265"/>
      <c r="M1783" s="265"/>
      <c r="N1783" s="265"/>
      <c r="O1783" s="265"/>
      <c r="P1783" s="265"/>
      <c r="Q1783" s="265"/>
      <c r="BR1783" s="265"/>
      <c r="BS1783" s="265"/>
      <c r="BT1783" s="265"/>
      <c r="BU1783" s="265"/>
      <c r="BV1783" s="265"/>
    </row>
    <row r="1784" spans="12:74">
      <c r="L1784" s="265"/>
      <c r="M1784" s="265"/>
      <c r="N1784" s="265"/>
      <c r="O1784" s="265"/>
      <c r="P1784" s="265"/>
      <c r="Q1784" s="265"/>
      <c r="BR1784" s="265"/>
      <c r="BS1784" s="265"/>
      <c r="BT1784" s="265"/>
      <c r="BU1784" s="265"/>
      <c r="BV1784" s="265"/>
    </row>
    <row r="1785" spans="12:74">
      <c r="L1785" s="265"/>
      <c r="M1785" s="265"/>
      <c r="N1785" s="265"/>
      <c r="O1785" s="265"/>
      <c r="P1785" s="265"/>
      <c r="Q1785" s="265"/>
      <c r="BR1785" s="265"/>
      <c r="BS1785" s="265"/>
      <c r="BT1785" s="265"/>
      <c r="BU1785" s="265"/>
      <c r="BV1785" s="265"/>
    </row>
    <row r="1786" spans="12:74">
      <c r="L1786" s="265"/>
      <c r="M1786" s="265"/>
      <c r="N1786" s="265"/>
      <c r="O1786" s="265"/>
      <c r="P1786" s="265"/>
      <c r="Q1786" s="265"/>
      <c r="BR1786" s="265"/>
      <c r="BS1786" s="265"/>
      <c r="BT1786" s="265"/>
      <c r="BU1786" s="265"/>
      <c r="BV1786" s="265"/>
    </row>
    <row r="1787" spans="12:74">
      <c r="L1787" s="265"/>
      <c r="M1787" s="265"/>
      <c r="N1787" s="265"/>
      <c r="O1787" s="265"/>
      <c r="P1787" s="265"/>
      <c r="Q1787" s="265"/>
      <c r="BR1787" s="265"/>
      <c r="BS1787" s="265"/>
      <c r="BT1787" s="265"/>
      <c r="BU1787" s="265"/>
      <c r="BV1787" s="265"/>
    </row>
    <row r="1788" spans="12:74">
      <c r="L1788" s="265"/>
      <c r="M1788" s="265"/>
      <c r="N1788" s="265"/>
      <c r="O1788" s="265"/>
      <c r="P1788" s="265"/>
      <c r="Q1788" s="265"/>
      <c r="BR1788" s="265"/>
      <c r="BS1788" s="265"/>
      <c r="BT1788" s="265"/>
      <c r="BU1788" s="265"/>
      <c r="BV1788" s="265"/>
    </row>
    <row r="1789" spans="12:74">
      <c r="L1789" s="265"/>
      <c r="M1789" s="265"/>
      <c r="N1789" s="265"/>
      <c r="O1789" s="265"/>
      <c r="P1789" s="265"/>
      <c r="Q1789" s="265"/>
      <c r="BR1789" s="265"/>
      <c r="BS1789" s="265"/>
      <c r="BT1789" s="265"/>
      <c r="BU1789" s="265"/>
      <c r="BV1789" s="265"/>
    </row>
    <row r="1790" spans="12:74">
      <c r="L1790" s="265"/>
      <c r="M1790" s="265"/>
      <c r="N1790" s="265"/>
      <c r="O1790" s="265"/>
      <c r="P1790" s="265"/>
      <c r="Q1790" s="265"/>
      <c r="BR1790" s="265"/>
      <c r="BS1790" s="265"/>
      <c r="BT1790" s="265"/>
      <c r="BU1790" s="265"/>
      <c r="BV1790" s="265"/>
    </row>
    <row r="1791" spans="12:74">
      <c r="L1791" s="265"/>
      <c r="M1791" s="265"/>
      <c r="N1791" s="265"/>
      <c r="O1791" s="265"/>
      <c r="P1791" s="265"/>
      <c r="Q1791" s="265"/>
      <c r="BR1791" s="265"/>
      <c r="BS1791" s="265"/>
      <c r="BT1791" s="265"/>
      <c r="BU1791" s="265"/>
      <c r="BV1791" s="265"/>
    </row>
    <row r="1792" spans="12:74">
      <c r="L1792" s="265"/>
      <c r="M1792" s="265"/>
      <c r="N1792" s="265"/>
      <c r="O1792" s="265"/>
      <c r="P1792" s="265"/>
      <c r="Q1792" s="265"/>
      <c r="BR1792" s="265"/>
      <c r="BS1792" s="265"/>
      <c r="BT1792" s="265"/>
      <c r="BU1792" s="265"/>
      <c r="BV1792" s="265"/>
    </row>
    <row r="1793" spans="12:74">
      <c r="L1793" s="265"/>
      <c r="M1793" s="265"/>
      <c r="N1793" s="265"/>
      <c r="O1793" s="265"/>
      <c r="P1793" s="265"/>
      <c r="Q1793" s="265"/>
      <c r="BR1793" s="265"/>
      <c r="BS1793" s="265"/>
      <c r="BT1793" s="265"/>
      <c r="BU1793" s="265"/>
      <c r="BV1793" s="265"/>
    </row>
    <row r="1794" spans="12:74">
      <c r="L1794" s="265"/>
      <c r="M1794" s="265"/>
      <c r="N1794" s="265"/>
      <c r="O1794" s="265"/>
      <c r="P1794" s="265"/>
      <c r="Q1794" s="265"/>
      <c r="BR1794" s="265"/>
      <c r="BS1794" s="265"/>
      <c r="BT1794" s="265"/>
      <c r="BU1794" s="265"/>
      <c r="BV1794" s="265"/>
    </row>
    <row r="1795" spans="12:74">
      <c r="L1795" s="265"/>
      <c r="M1795" s="265"/>
      <c r="N1795" s="265"/>
      <c r="O1795" s="265"/>
      <c r="P1795" s="265"/>
      <c r="Q1795" s="265"/>
      <c r="BR1795" s="265"/>
      <c r="BS1795" s="265"/>
      <c r="BT1795" s="265"/>
      <c r="BU1795" s="265"/>
      <c r="BV1795" s="265"/>
    </row>
    <row r="1796" spans="12:74">
      <c r="L1796" s="265"/>
      <c r="M1796" s="265"/>
      <c r="N1796" s="265"/>
      <c r="O1796" s="265"/>
      <c r="P1796" s="265"/>
      <c r="Q1796" s="265"/>
      <c r="BR1796" s="265"/>
      <c r="BS1796" s="265"/>
      <c r="BT1796" s="265"/>
      <c r="BU1796" s="265"/>
      <c r="BV1796" s="265"/>
    </row>
    <row r="1797" spans="12:74">
      <c r="L1797" s="265"/>
      <c r="M1797" s="265"/>
      <c r="N1797" s="265"/>
      <c r="O1797" s="265"/>
      <c r="P1797" s="265"/>
      <c r="Q1797" s="265"/>
      <c r="BR1797" s="265"/>
      <c r="BS1797" s="265"/>
      <c r="BT1797" s="265"/>
      <c r="BU1797" s="265"/>
      <c r="BV1797" s="265"/>
    </row>
    <row r="1798" spans="12:74">
      <c r="L1798" s="265"/>
      <c r="M1798" s="265"/>
      <c r="N1798" s="265"/>
      <c r="O1798" s="265"/>
      <c r="P1798" s="265"/>
      <c r="Q1798" s="265"/>
      <c r="BR1798" s="265"/>
      <c r="BS1798" s="265"/>
      <c r="BT1798" s="265"/>
      <c r="BU1798" s="265"/>
      <c r="BV1798" s="265"/>
    </row>
    <row r="1799" spans="12:74">
      <c r="L1799" s="265"/>
      <c r="M1799" s="265"/>
      <c r="N1799" s="265"/>
      <c r="O1799" s="265"/>
      <c r="P1799" s="265"/>
      <c r="Q1799" s="265"/>
      <c r="BR1799" s="265"/>
      <c r="BS1799" s="265"/>
      <c r="BT1799" s="265"/>
      <c r="BU1799" s="265"/>
      <c r="BV1799" s="265"/>
    </row>
    <row r="1800" spans="12:74">
      <c r="L1800" s="265"/>
      <c r="M1800" s="265"/>
      <c r="N1800" s="265"/>
      <c r="O1800" s="265"/>
      <c r="P1800" s="265"/>
      <c r="Q1800" s="265"/>
      <c r="BR1800" s="265"/>
      <c r="BS1800" s="265"/>
      <c r="BT1800" s="265"/>
      <c r="BU1800" s="265"/>
      <c r="BV1800" s="265"/>
    </row>
    <row r="1801" spans="12:74">
      <c r="L1801" s="265"/>
      <c r="M1801" s="265"/>
      <c r="N1801" s="265"/>
      <c r="O1801" s="265"/>
      <c r="P1801" s="265"/>
      <c r="Q1801" s="265"/>
      <c r="BR1801" s="265"/>
      <c r="BS1801" s="265"/>
      <c r="BT1801" s="265"/>
      <c r="BU1801" s="265"/>
      <c r="BV1801" s="265"/>
    </row>
    <row r="1802" spans="12:74">
      <c r="L1802" s="265"/>
      <c r="M1802" s="265"/>
      <c r="N1802" s="265"/>
      <c r="O1802" s="265"/>
      <c r="P1802" s="265"/>
      <c r="Q1802" s="265"/>
      <c r="BR1802" s="265"/>
      <c r="BS1802" s="265"/>
      <c r="BT1802" s="265"/>
      <c r="BU1802" s="265"/>
      <c r="BV1802" s="265"/>
    </row>
    <row r="1803" spans="12:74">
      <c r="L1803" s="265"/>
      <c r="M1803" s="265"/>
      <c r="N1803" s="265"/>
      <c r="O1803" s="265"/>
      <c r="P1803" s="265"/>
      <c r="Q1803" s="265"/>
      <c r="BR1803" s="265"/>
      <c r="BS1803" s="265"/>
      <c r="BT1803" s="265"/>
      <c r="BU1803" s="265"/>
      <c r="BV1803" s="265"/>
    </row>
    <row r="1804" spans="12:74">
      <c r="L1804" s="265"/>
      <c r="M1804" s="265"/>
      <c r="N1804" s="265"/>
      <c r="O1804" s="265"/>
      <c r="P1804" s="265"/>
      <c r="Q1804" s="265"/>
      <c r="BR1804" s="265"/>
      <c r="BS1804" s="265"/>
      <c r="BT1804" s="265"/>
      <c r="BU1804" s="265"/>
      <c r="BV1804" s="265"/>
    </row>
    <row r="1805" spans="12:74">
      <c r="L1805" s="265"/>
      <c r="M1805" s="265"/>
      <c r="N1805" s="265"/>
      <c r="O1805" s="265"/>
      <c r="P1805" s="265"/>
      <c r="Q1805" s="265"/>
      <c r="BR1805" s="265"/>
      <c r="BS1805" s="265"/>
      <c r="BT1805" s="265"/>
      <c r="BU1805" s="265"/>
      <c r="BV1805" s="265"/>
    </row>
    <row r="1806" spans="12:74">
      <c r="L1806" s="265"/>
      <c r="M1806" s="265"/>
      <c r="N1806" s="265"/>
      <c r="O1806" s="265"/>
      <c r="P1806" s="265"/>
      <c r="Q1806" s="265"/>
      <c r="BR1806" s="265"/>
      <c r="BS1806" s="265"/>
      <c r="BT1806" s="265"/>
      <c r="BU1806" s="265"/>
      <c r="BV1806" s="265"/>
    </row>
    <row r="1807" spans="12:74">
      <c r="L1807" s="265"/>
      <c r="M1807" s="265"/>
      <c r="N1807" s="265"/>
      <c r="O1807" s="265"/>
      <c r="P1807" s="265"/>
      <c r="Q1807" s="265"/>
      <c r="BR1807" s="265"/>
      <c r="BS1807" s="265"/>
      <c r="BT1807" s="265"/>
      <c r="BU1807" s="265"/>
      <c r="BV1807" s="265"/>
    </row>
    <row r="1808" spans="12:74">
      <c r="L1808" s="265"/>
      <c r="M1808" s="265"/>
      <c r="N1808" s="265"/>
      <c r="O1808" s="265"/>
      <c r="P1808" s="265"/>
      <c r="Q1808" s="265"/>
      <c r="BR1808" s="265"/>
      <c r="BS1808" s="265"/>
      <c r="BT1808" s="265"/>
      <c r="BU1808" s="265"/>
      <c r="BV1808" s="265"/>
    </row>
    <row r="1809" spans="12:74">
      <c r="L1809" s="265"/>
      <c r="M1809" s="265"/>
      <c r="N1809" s="265"/>
      <c r="O1809" s="265"/>
      <c r="P1809" s="265"/>
      <c r="Q1809" s="265"/>
      <c r="BR1809" s="265"/>
      <c r="BS1809" s="265"/>
      <c r="BT1809" s="265"/>
      <c r="BU1809" s="265"/>
      <c r="BV1809" s="265"/>
    </row>
    <row r="1810" spans="12:74">
      <c r="L1810" s="265"/>
      <c r="M1810" s="265"/>
      <c r="N1810" s="265"/>
      <c r="O1810" s="265"/>
      <c r="P1810" s="265"/>
      <c r="Q1810" s="265"/>
      <c r="BR1810" s="265"/>
      <c r="BS1810" s="265"/>
      <c r="BT1810" s="265"/>
      <c r="BU1810" s="265"/>
      <c r="BV1810" s="265"/>
    </row>
    <row r="1811" spans="12:74">
      <c r="L1811" s="265"/>
      <c r="M1811" s="265"/>
      <c r="N1811" s="265"/>
      <c r="O1811" s="265"/>
      <c r="P1811" s="265"/>
      <c r="Q1811" s="265"/>
      <c r="BR1811" s="265"/>
      <c r="BS1811" s="265"/>
      <c r="BT1811" s="265"/>
      <c r="BU1811" s="265"/>
      <c r="BV1811" s="265"/>
    </row>
    <row r="1812" spans="12:74">
      <c r="L1812" s="265"/>
      <c r="M1812" s="265"/>
      <c r="N1812" s="265"/>
      <c r="O1812" s="265"/>
      <c r="P1812" s="265"/>
      <c r="Q1812" s="265"/>
      <c r="BR1812" s="265"/>
      <c r="BS1812" s="265"/>
      <c r="BT1812" s="265"/>
      <c r="BU1812" s="265"/>
      <c r="BV1812" s="265"/>
    </row>
    <row r="1813" spans="12:74">
      <c r="L1813" s="265"/>
      <c r="M1813" s="265"/>
      <c r="N1813" s="265"/>
      <c r="O1813" s="265"/>
      <c r="P1813" s="265"/>
      <c r="Q1813" s="265"/>
      <c r="BR1813" s="265"/>
      <c r="BS1813" s="265"/>
      <c r="BT1813" s="265"/>
      <c r="BU1813" s="265"/>
      <c r="BV1813" s="265"/>
    </row>
    <row r="1814" spans="12:74">
      <c r="L1814" s="265"/>
      <c r="M1814" s="265"/>
      <c r="N1814" s="265"/>
      <c r="O1814" s="265"/>
      <c r="P1814" s="265"/>
      <c r="Q1814" s="265"/>
      <c r="BR1814" s="265"/>
      <c r="BS1814" s="265"/>
      <c r="BT1814" s="265"/>
      <c r="BU1814" s="265"/>
      <c r="BV1814" s="265"/>
    </row>
    <row r="1815" spans="12:74">
      <c r="L1815" s="265"/>
      <c r="M1815" s="265"/>
      <c r="N1815" s="265"/>
      <c r="O1815" s="265"/>
      <c r="P1815" s="265"/>
      <c r="Q1815" s="265"/>
      <c r="BR1815" s="265"/>
      <c r="BS1815" s="265"/>
      <c r="BT1815" s="265"/>
      <c r="BU1815" s="265"/>
      <c r="BV1815" s="265"/>
    </row>
    <row r="1816" spans="12:74">
      <c r="L1816" s="265"/>
      <c r="M1816" s="265"/>
      <c r="N1816" s="265"/>
      <c r="O1816" s="265"/>
      <c r="P1816" s="265"/>
      <c r="Q1816" s="265"/>
      <c r="BR1816" s="265"/>
      <c r="BS1816" s="265"/>
      <c r="BT1816" s="265"/>
      <c r="BU1816" s="265"/>
      <c r="BV1816" s="265"/>
    </row>
    <row r="1817" spans="12:74">
      <c r="L1817" s="265"/>
      <c r="M1817" s="265"/>
      <c r="N1817" s="265"/>
      <c r="O1817" s="265"/>
      <c r="P1817" s="265"/>
      <c r="Q1817" s="265"/>
      <c r="BR1817" s="265"/>
      <c r="BS1817" s="265"/>
      <c r="BT1817" s="265"/>
      <c r="BU1817" s="265"/>
      <c r="BV1817" s="265"/>
    </row>
    <row r="1818" spans="12:74">
      <c r="L1818" s="265"/>
      <c r="M1818" s="265"/>
      <c r="N1818" s="265"/>
      <c r="O1818" s="265"/>
      <c r="P1818" s="265"/>
      <c r="Q1818" s="265"/>
      <c r="BR1818" s="265"/>
      <c r="BS1818" s="265"/>
      <c r="BT1818" s="265"/>
      <c r="BU1818" s="265"/>
      <c r="BV1818" s="265"/>
    </row>
    <row r="1819" spans="12:74">
      <c r="L1819" s="265"/>
      <c r="M1819" s="265"/>
      <c r="N1819" s="265"/>
      <c r="O1819" s="265"/>
      <c r="P1819" s="265"/>
      <c r="Q1819" s="265"/>
      <c r="BR1819" s="265"/>
      <c r="BS1819" s="265"/>
      <c r="BT1819" s="265"/>
      <c r="BU1819" s="265"/>
      <c r="BV1819" s="265"/>
    </row>
    <row r="1820" spans="12:74">
      <c r="L1820" s="265"/>
      <c r="M1820" s="265"/>
      <c r="N1820" s="265"/>
      <c r="O1820" s="265"/>
      <c r="P1820" s="265"/>
      <c r="Q1820" s="265"/>
      <c r="BR1820" s="265"/>
      <c r="BS1820" s="265"/>
      <c r="BT1820" s="265"/>
      <c r="BU1820" s="265"/>
      <c r="BV1820" s="265"/>
    </row>
    <row r="1821" spans="12:74">
      <c r="L1821" s="265"/>
      <c r="M1821" s="265"/>
      <c r="N1821" s="265"/>
      <c r="O1821" s="265"/>
      <c r="P1821" s="265"/>
      <c r="Q1821" s="265"/>
      <c r="BR1821" s="265"/>
      <c r="BS1821" s="265"/>
      <c r="BT1821" s="265"/>
      <c r="BU1821" s="265"/>
      <c r="BV1821" s="265"/>
    </row>
    <row r="1822" spans="12:74">
      <c r="L1822" s="265"/>
      <c r="M1822" s="265"/>
      <c r="N1822" s="265"/>
      <c r="O1822" s="265"/>
      <c r="P1822" s="265"/>
      <c r="Q1822" s="265"/>
      <c r="BR1822" s="265"/>
      <c r="BS1822" s="265"/>
      <c r="BT1822" s="265"/>
      <c r="BU1822" s="265"/>
      <c r="BV1822" s="265"/>
    </row>
    <row r="1823" spans="12:74">
      <c r="L1823" s="265"/>
      <c r="M1823" s="265"/>
      <c r="N1823" s="265"/>
      <c r="O1823" s="265"/>
      <c r="P1823" s="265"/>
      <c r="Q1823" s="265"/>
      <c r="BR1823" s="265"/>
      <c r="BS1823" s="265"/>
      <c r="BT1823" s="265"/>
      <c r="BU1823" s="265"/>
      <c r="BV1823" s="265"/>
    </row>
    <row r="1824" spans="12:74">
      <c r="L1824" s="265"/>
      <c r="M1824" s="265"/>
      <c r="N1824" s="265"/>
      <c r="O1824" s="265"/>
      <c r="P1824" s="265"/>
      <c r="Q1824" s="265"/>
      <c r="BR1824" s="265"/>
      <c r="BS1824" s="265"/>
      <c r="BT1824" s="265"/>
      <c r="BU1824" s="265"/>
      <c r="BV1824" s="265"/>
    </row>
    <row r="1825" spans="12:74">
      <c r="L1825" s="265"/>
      <c r="M1825" s="265"/>
      <c r="N1825" s="265"/>
      <c r="O1825" s="265"/>
      <c r="P1825" s="265"/>
      <c r="Q1825" s="265"/>
      <c r="BR1825" s="265"/>
      <c r="BS1825" s="265"/>
      <c r="BT1825" s="265"/>
      <c r="BU1825" s="265"/>
      <c r="BV1825" s="265"/>
    </row>
    <row r="1826" spans="12:74">
      <c r="L1826" s="265"/>
      <c r="M1826" s="265"/>
      <c r="N1826" s="265"/>
      <c r="O1826" s="265"/>
      <c r="P1826" s="265"/>
      <c r="Q1826" s="265"/>
      <c r="BR1826" s="265"/>
      <c r="BS1826" s="265"/>
      <c r="BT1826" s="265"/>
      <c r="BU1826" s="265"/>
      <c r="BV1826" s="265"/>
    </row>
    <row r="1827" spans="12:74">
      <c r="L1827" s="265"/>
      <c r="M1827" s="265"/>
      <c r="N1827" s="265"/>
      <c r="O1827" s="265"/>
      <c r="P1827" s="265"/>
      <c r="Q1827" s="265"/>
      <c r="BR1827" s="265"/>
      <c r="BS1827" s="265"/>
      <c r="BT1827" s="265"/>
      <c r="BU1827" s="265"/>
      <c r="BV1827" s="265"/>
    </row>
    <row r="1828" spans="12:74">
      <c r="L1828" s="265"/>
      <c r="M1828" s="265"/>
      <c r="N1828" s="265"/>
      <c r="O1828" s="265"/>
      <c r="P1828" s="265"/>
      <c r="Q1828" s="265"/>
      <c r="BR1828" s="265"/>
      <c r="BS1828" s="265"/>
      <c r="BT1828" s="265"/>
      <c r="BU1828" s="265"/>
      <c r="BV1828" s="265"/>
    </row>
    <row r="1829" spans="12:74">
      <c r="L1829" s="265"/>
      <c r="M1829" s="265"/>
      <c r="N1829" s="265"/>
      <c r="O1829" s="265"/>
      <c r="P1829" s="265"/>
      <c r="Q1829" s="265"/>
      <c r="BR1829" s="265"/>
      <c r="BS1829" s="265"/>
      <c r="BT1829" s="265"/>
      <c r="BU1829" s="265"/>
      <c r="BV1829" s="265"/>
    </row>
    <row r="1830" spans="12:74">
      <c r="L1830" s="265"/>
      <c r="M1830" s="265"/>
      <c r="N1830" s="265"/>
      <c r="O1830" s="265"/>
      <c r="P1830" s="265"/>
      <c r="Q1830" s="265"/>
      <c r="BR1830" s="265"/>
      <c r="BS1830" s="265"/>
      <c r="BT1830" s="265"/>
      <c r="BU1830" s="265"/>
      <c r="BV1830" s="265"/>
    </row>
    <row r="1831" spans="12:74">
      <c r="L1831" s="265"/>
      <c r="M1831" s="265"/>
      <c r="N1831" s="265"/>
      <c r="O1831" s="265"/>
      <c r="P1831" s="265"/>
      <c r="Q1831" s="265"/>
      <c r="BR1831" s="265"/>
      <c r="BS1831" s="265"/>
      <c r="BT1831" s="265"/>
      <c r="BU1831" s="265"/>
      <c r="BV1831" s="265"/>
    </row>
    <row r="1832" spans="12:74">
      <c r="L1832" s="265"/>
      <c r="M1832" s="265"/>
      <c r="N1832" s="265"/>
      <c r="O1832" s="265"/>
      <c r="P1832" s="265"/>
      <c r="Q1832" s="265"/>
      <c r="BR1832" s="265"/>
      <c r="BS1832" s="265"/>
      <c r="BT1832" s="265"/>
      <c r="BU1832" s="265"/>
      <c r="BV1832" s="265"/>
    </row>
    <row r="1833" spans="12:74">
      <c r="L1833" s="265"/>
      <c r="M1833" s="265"/>
      <c r="N1833" s="265"/>
      <c r="O1833" s="265"/>
      <c r="P1833" s="265"/>
      <c r="Q1833" s="265"/>
      <c r="BR1833" s="265"/>
      <c r="BS1833" s="265"/>
      <c r="BT1833" s="265"/>
      <c r="BU1833" s="265"/>
      <c r="BV1833" s="265"/>
    </row>
    <row r="1834" spans="12:74">
      <c r="L1834" s="265"/>
      <c r="M1834" s="265"/>
      <c r="N1834" s="265"/>
      <c r="O1834" s="265"/>
      <c r="P1834" s="265"/>
      <c r="Q1834" s="265"/>
      <c r="BR1834" s="265"/>
      <c r="BS1834" s="265"/>
      <c r="BT1834" s="265"/>
      <c r="BU1834" s="265"/>
      <c r="BV1834" s="265"/>
    </row>
    <row r="1835" spans="12:74">
      <c r="L1835" s="265"/>
      <c r="M1835" s="265"/>
      <c r="N1835" s="265"/>
      <c r="O1835" s="265"/>
      <c r="P1835" s="265"/>
      <c r="Q1835" s="265"/>
      <c r="BR1835" s="265"/>
      <c r="BS1835" s="265"/>
      <c r="BT1835" s="265"/>
      <c r="BU1835" s="265"/>
      <c r="BV1835" s="265"/>
    </row>
    <row r="1836" spans="12:74">
      <c r="L1836" s="265"/>
      <c r="M1836" s="265"/>
      <c r="N1836" s="265"/>
      <c r="O1836" s="265"/>
      <c r="P1836" s="265"/>
      <c r="Q1836" s="265"/>
      <c r="BR1836" s="265"/>
      <c r="BS1836" s="265"/>
      <c r="BT1836" s="265"/>
      <c r="BU1836" s="265"/>
      <c r="BV1836" s="265"/>
    </row>
    <row r="1837" spans="12:74">
      <c r="L1837" s="265"/>
      <c r="M1837" s="265"/>
      <c r="N1837" s="265"/>
      <c r="O1837" s="265"/>
      <c r="P1837" s="265"/>
      <c r="Q1837" s="265"/>
      <c r="BR1837" s="265"/>
      <c r="BS1837" s="265"/>
      <c r="BT1837" s="265"/>
      <c r="BU1837" s="265"/>
      <c r="BV1837" s="265"/>
    </row>
    <row r="1838" spans="12:74">
      <c r="L1838" s="265"/>
      <c r="M1838" s="265"/>
      <c r="N1838" s="265"/>
      <c r="O1838" s="265"/>
      <c r="P1838" s="265"/>
      <c r="Q1838" s="265"/>
      <c r="BR1838" s="265"/>
      <c r="BS1838" s="265"/>
      <c r="BT1838" s="265"/>
      <c r="BU1838" s="265"/>
      <c r="BV1838" s="265"/>
    </row>
    <row r="1839" spans="12:74">
      <c r="L1839" s="265"/>
      <c r="M1839" s="265"/>
      <c r="N1839" s="265"/>
      <c r="O1839" s="265"/>
      <c r="P1839" s="265"/>
      <c r="Q1839" s="265"/>
      <c r="BR1839" s="265"/>
      <c r="BS1839" s="265"/>
      <c r="BT1839" s="265"/>
      <c r="BU1839" s="265"/>
      <c r="BV1839" s="265"/>
    </row>
    <row r="1840" spans="12:74">
      <c r="L1840" s="265"/>
      <c r="M1840" s="265"/>
      <c r="N1840" s="265"/>
      <c r="O1840" s="265"/>
      <c r="P1840" s="265"/>
      <c r="Q1840" s="265"/>
      <c r="BR1840" s="265"/>
      <c r="BS1840" s="265"/>
      <c r="BT1840" s="265"/>
      <c r="BU1840" s="265"/>
      <c r="BV1840" s="265"/>
    </row>
    <row r="1841" spans="12:74">
      <c r="L1841" s="265"/>
      <c r="M1841" s="265"/>
      <c r="N1841" s="265"/>
      <c r="O1841" s="265"/>
      <c r="P1841" s="265"/>
      <c r="Q1841" s="265"/>
      <c r="BR1841" s="265"/>
      <c r="BS1841" s="265"/>
      <c r="BT1841" s="265"/>
      <c r="BU1841" s="265"/>
      <c r="BV1841" s="265"/>
    </row>
    <row r="1842" spans="12:74">
      <c r="L1842" s="265"/>
      <c r="M1842" s="265"/>
      <c r="N1842" s="265"/>
      <c r="O1842" s="265"/>
      <c r="P1842" s="265"/>
      <c r="Q1842" s="265"/>
      <c r="BR1842" s="265"/>
      <c r="BS1842" s="265"/>
      <c r="BT1842" s="265"/>
      <c r="BU1842" s="265"/>
      <c r="BV1842" s="265"/>
    </row>
    <row r="1843" spans="12:74">
      <c r="L1843" s="265"/>
      <c r="M1843" s="265"/>
      <c r="N1843" s="265"/>
      <c r="O1843" s="265"/>
      <c r="P1843" s="265"/>
      <c r="Q1843" s="265"/>
      <c r="BR1843" s="265"/>
      <c r="BS1843" s="265"/>
      <c r="BT1843" s="265"/>
      <c r="BU1843" s="265"/>
      <c r="BV1843" s="265"/>
    </row>
    <row r="1844" spans="12:74">
      <c r="L1844" s="265"/>
      <c r="M1844" s="265"/>
      <c r="N1844" s="265"/>
      <c r="O1844" s="265"/>
      <c r="P1844" s="265"/>
      <c r="Q1844" s="265"/>
      <c r="BR1844" s="265"/>
      <c r="BS1844" s="265"/>
      <c r="BT1844" s="265"/>
      <c r="BU1844" s="265"/>
      <c r="BV1844" s="265"/>
    </row>
    <row r="1845" spans="12:74">
      <c r="L1845" s="265"/>
      <c r="M1845" s="265"/>
      <c r="N1845" s="265"/>
      <c r="O1845" s="265"/>
      <c r="P1845" s="265"/>
      <c r="Q1845" s="265"/>
      <c r="BR1845" s="265"/>
      <c r="BS1845" s="265"/>
      <c r="BT1845" s="265"/>
      <c r="BU1845" s="265"/>
      <c r="BV1845" s="265"/>
    </row>
    <row r="1846" spans="12:74">
      <c r="L1846" s="265"/>
      <c r="M1846" s="265"/>
      <c r="N1846" s="265"/>
      <c r="O1846" s="265"/>
      <c r="P1846" s="265"/>
      <c r="Q1846" s="265"/>
      <c r="BR1846" s="265"/>
      <c r="BS1846" s="265"/>
      <c r="BT1846" s="265"/>
      <c r="BU1846" s="265"/>
      <c r="BV1846" s="265"/>
    </row>
    <row r="1847" spans="12:74">
      <c r="L1847" s="265"/>
      <c r="M1847" s="265"/>
      <c r="N1847" s="265"/>
      <c r="O1847" s="265"/>
      <c r="P1847" s="265"/>
      <c r="Q1847" s="265"/>
      <c r="BR1847" s="265"/>
      <c r="BS1847" s="265"/>
      <c r="BT1847" s="265"/>
      <c r="BU1847" s="265"/>
      <c r="BV1847" s="265"/>
    </row>
    <row r="1848" spans="12:74">
      <c r="L1848" s="265"/>
      <c r="M1848" s="265"/>
      <c r="N1848" s="265"/>
      <c r="O1848" s="265"/>
      <c r="P1848" s="265"/>
      <c r="Q1848" s="265"/>
      <c r="BR1848" s="265"/>
      <c r="BS1848" s="265"/>
      <c r="BT1848" s="265"/>
      <c r="BU1848" s="265"/>
      <c r="BV1848" s="265"/>
    </row>
    <row r="1849" spans="12:74">
      <c r="L1849" s="265"/>
      <c r="M1849" s="265"/>
      <c r="N1849" s="265"/>
      <c r="O1849" s="265"/>
      <c r="P1849" s="265"/>
      <c r="Q1849" s="265"/>
      <c r="BR1849" s="265"/>
      <c r="BS1849" s="265"/>
      <c r="BT1849" s="265"/>
      <c r="BU1849" s="265"/>
      <c r="BV1849" s="265"/>
    </row>
    <row r="1850" spans="12:74">
      <c r="L1850" s="265"/>
      <c r="M1850" s="265"/>
      <c r="N1850" s="265"/>
      <c r="O1850" s="265"/>
      <c r="P1850" s="265"/>
      <c r="Q1850" s="265"/>
      <c r="BR1850" s="265"/>
      <c r="BS1850" s="265"/>
      <c r="BT1850" s="265"/>
      <c r="BU1850" s="265"/>
      <c r="BV1850" s="265"/>
    </row>
    <row r="1851" spans="12:74">
      <c r="L1851" s="265"/>
      <c r="M1851" s="265"/>
      <c r="N1851" s="265"/>
      <c r="O1851" s="265"/>
      <c r="P1851" s="265"/>
      <c r="Q1851" s="265"/>
      <c r="BR1851" s="265"/>
      <c r="BS1851" s="265"/>
      <c r="BT1851" s="265"/>
      <c r="BU1851" s="265"/>
      <c r="BV1851" s="265"/>
    </row>
    <row r="1852" spans="12:74">
      <c r="L1852" s="265"/>
      <c r="M1852" s="265"/>
      <c r="N1852" s="265"/>
      <c r="O1852" s="265"/>
      <c r="P1852" s="265"/>
      <c r="Q1852" s="265"/>
      <c r="BR1852" s="265"/>
      <c r="BS1852" s="265"/>
      <c r="BT1852" s="265"/>
      <c r="BU1852" s="265"/>
      <c r="BV1852" s="265"/>
    </row>
    <row r="1853" spans="12:74">
      <c r="L1853" s="265"/>
      <c r="M1853" s="265"/>
      <c r="N1853" s="265"/>
      <c r="O1853" s="265"/>
      <c r="P1853" s="265"/>
      <c r="Q1853" s="265"/>
      <c r="BR1853" s="265"/>
      <c r="BS1853" s="265"/>
      <c r="BT1853" s="265"/>
      <c r="BU1853" s="265"/>
      <c r="BV1853" s="265"/>
    </row>
    <row r="1854" spans="12:74">
      <c r="L1854" s="265"/>
      <c r="M1854" s="265"/>
      <c r="N1854" s="265"/>
      <c r="O1854" s="265"/>
      <c r="P1854" s="265"/>
      <c r="Q1854" s="265"/>
      <c r="BR1854" s="265"/>
      <c r="BS1854" s="265"/>
      <c r="BT1854" s="265"/>
      <c r="BU1854" s="265"/>
      <c r="BV1854" s="265"/>
    </row>
    <row r="1855" spans="12:74">
      <c r="L1855" s="265"/>
      <c r="M1855" s="265"/>
      <c r="N1855" s="265"/>
      <c r="O1855" s="265"/>
      <c r="P1855" s="265"/>
      <c r="Q1855" s="265"/>
      <c r="BR1855" s="265"/>
      <c r="BS1855" s="265"/>
      <c r="BT1855" s="265"/>
      <c r="BU1855" s="265"/>
      <c r="BV1855" s="265"/>
    </row>
    <row r="1856" spans="12:74">
      <c r="L1856" s="265"/>
      <c r="M1856" s="265"/>
      <c r="N1856" s="265"/>
      <c r="O1856" s="265"/>
      <c r="P1856" s="265"/>
      <c r="Q1856" s="265"/>
      <c r="BR1856" s="265"/>
      <c r="BS1856" s="265"/>
      <c r="BT1856" s="265"/>
      <c r="BU1856" s="265"/>
      <c r="BV1856" s="265"/>
    </row>
    <row r="1857" spans="12:74">
      <c r="L1857" s="265"/>
      <c r="M1857" s="265"/>
      <c r="N1857" s="265"/>
      <c r="O1857" s="265"/>
      <c r="P1857" s="265"/>
      <c r="Q1857" s="265"/>
      <c r="BR1857" s="265"/>
      <c r="BS1857" s="265"/>
      <c r="BT1857" s="265"/>
      <c r="BU1857" s="265"/>
      <c r="BV1857" s="265"/>
    </row>
    <row r="1858" spans="12:74">
      <c r="L1858" s="265"/>
      <c r="M1858" s="265"/>
      <c r="N1858" s="265"/>
      <c r="O1858" s="265"/>
      <c r="P1858" s="265"/>
      <c r="Q1858" s="265"/>
      <c r="BR1858" s="265"/>
      <c r="BS1858" s="265"/>
      <c r="BT1858" s="265"/>
      <c r="BU1858" s="265"/>
      <c r="BV1858" s="265"/>
    </row>
    <row r="1859" spans="12:74">
      <c r="L1859" s="265"/>
      <c r="M1859" s="265"/>
      <c r="N1859" s="265"/>
      <c r="O1859" s="265"/>
      <c r="P1859" s="265"/>
      <c r="Q1859" s="265"/>
      <c r="BR1859" s="265"/>
      <c r="BS1859" s="265"/>
      <c r="BT1859" s="265"/>
      <c r="BU1859" s="265"/>
      <c r="BV1859" s="265"/>
    </row>
    <row r="1860" spans="12:74">
      <c r="L1860" s="265"/>
      <c r="M1860" s="265"/>
      <c r="N1860" s="265"/>
      <c r="O1860" s="265"/>
      <c r="P1860" s="265"/>
      <c r="Q1860" s="265"/>
      <c r="BR1860" s="265"/>
      <c r="BS1860" s="265"/>
      <c r="BT1860" s="265"/>
      <c r="BU1860" s="265"/>
      <c r="BV1860" s="265"/>
    </row>
    <row r="1861" spans="12:74">
      <c r="L1861" s="265"/>
      <c r="M1861" s="265"/>
      <c r="N1861" s="265"/>
      <c r="O1861" s="265"/>
      <c r="P1861" s="265"/>
      <c r="Q1861" s="265"/>
      <c r="BR1861" s="265"/>
      <c r="BS1861" s="265"/>
      <c r="BT1861" s="265"/>
      <c r="BU1861" s="265"/>
      <c r="BV1861" s="265"/>
    </row>
    <row r="1862" spans="12:74">
      <c r="L1862" s="265"/>
      <c r="M1862" s="265"/>
      <c r="N1862" s="265"/>
      <c r="O1862" s="265"/>
      <c r="P1862" s="265"/>
      <c r="Q1862" s="265"/>
      <c r="BR1862" s="265"/>
      <c r="BS1862" s="265"/>
      <c r="BT1862" s="265"/>
      <c r="BU1862" s="265"/>
      <c r="BV1862" s="265"/>
    </row>
    <row r="1863" spans="12:74">
      <c r="L1863" s="265"/>
      <c r="M1863" s="265"/>
      <c r="N1863" s="265"/>
      <c r="O1863" s="265"/>
      <c r="P1863" s="265"/>
      <c r="Q1863" s="265"/>
      <c r="BR1863" s="265"/>
      <c r="BS1863" s="265"/>
      <c r="BT1863" s="265"/>
      <c r="BU1863" s="265"/>
      <c r="BV1863" s="265"/>
    </row>
    <row r="1864" spans="12:74">
      <c r="L1864" s="265"/>
      <c r="M1864" s="265"/>
      <c r="N1864" s="265"/>
      <c r="O1864" s="265"/>
      <c r="P1864" s="265"/>
      <c r="Q1864" s="265"/>
      <c r="BR1864" s="265"/>
      <c r="BS1864" s="265"/>
      <c r="BT1864" s="265"/>
      <c r="BU1864" s="265"/>
      <c r="BV1864" s="265"/>
    </row>
    <row r="1865" spans="12:74">
      <c r="L1865" s="265"/>
      <c r="M1865" s="265"/>
      <c r="N1865" s="265"/>
      <c r="O1865" s="265"/>
      <c r="P1865" s="265"/>
      <c r="Q1865" s="265"/>
      <c r="BR1865" s="265"/>
      <c r="BS1865" s="265"/>
      <c r="BT1865" s="265"/>
      <c r="BU1865" s="265"/>
      <c r="BV1865" s="265"/>
    </row>
    <row r="1866" spans="12:74">
      <c r="L1866" s="265"/>
      <c r="M1866" s="265"/>
      <c r="N1866" s="265"/>
      <c r="O1866" s="265"/>
      <c r="P1866" s="265"/>
      <c r="Q1866" s="265"/>
      <c r="BR1866" s="265"/>
      <c r="BS1866" s="265"/>
      <c r="BT1866" s="265"/>
      <c r="BU1866" s="265"/>
      <c r="BV1866" s="265"/>
    </row>
    <row r="1867" spans="12:74">
      <c r="L1867" s="265"/>
      <c r="M1867" s="265"/>
      <c r="N1867" s="265"/>
      <c r="O1867" s="265"/>
      <c r="P1867" s="265"/>
      <c r="Q1867" s="265"/>
      <c r="BR1867" s="265"/>
      <c r="BS1867" s="265"/>
      <c r="BT1867" s="265"/>
      <c r="BU1867" s="265"/>
      <c r="BV1867" s="265"/>
    </row>
    <row r="1868" spans="12:74">
      <c r="L1868" s="265"/>
      <c r="M1868" s="265"/>
      <c r="N1868" s="265"/>
      <c r="O1868" s="265"/>
      <c r="P1868" s="265"/>
      <c r="Q1868" s="265"/>
      <c r="BR1868" s="265"/>
      <c r="BS1868" s="265"/>
      <c r="BT1868" s="265"/>
      <c r="BU1868" s="265"/>
      <c r="BV1868" s="265"/>
    </row>
    <row r="1869" spans="12:74">
      <c r="L1869" s="265"/>
      <c r="M1869" s="265"/>
      <c r="N1869" s="265"/>
      <c r="O1869" s="265"/>
      <c r="P1869" s="265"/>
      <c r="Q1869" s="265"/>
      <c r="BR1869" s="265"/>
      <c r="BS1869" s="265"/>
      <c r="BT1869" s="265"/>
      <c r="BU1869" s="265"/>
      <c r="BV1869" s="265"/>
    </row>
    <row r="1870" spans="12:74">
      <c r="L1870" s="265"/>
      <c r="M1870" s="265"/>
      <c r="N1870" s="265"/>
      <c r="O1870" s="265"/>
      <c r="P1870" s="265"/>
      <c r="Q1870" s="265"/>
      <c r="BR1870" s="265"/>
      <c r="BS1870" s="265"/>
      <c r="BT1870" s="265"/>
      <c r="BU1870" s="265"/>
      <c r="BV1870" s="265"/>
    </row>
    <row r="1871" spans="12:74">
      <c r="L1871" s="265"/>
      <c r="M1871" s="265"/>
      <c r="N1871" s="265"/>
      <c r="O1871" s="265"/>
      <c r="P1871" s="265"/>
      <c r="Q1871" s="265"/>
      <c r="BR1871" s="265"/>
      <c r="BS1871" s="265"/>
      <c r="BT1871" s="265"/>
      <c r="BU1871" s="265"/>
      <c r="BV1871" s="265"/>
    </row>
    <row r="1872" spans="12:74">
      <c r="L1872" s="265"/>
      <c r="M1872" s="265"/>
      <c r="N1872" s="265"/>
      <c r="O1872" s="265"/>
      <c r="P1872" s="265"/>
      <c r="Q1872" s="265"/>
      <c r="BR1872" s="265"/>
      <c r="BS1872" s="265"/>
      <c r="BT1872" s="265"/>
      <c r="BU1872" s="265"/>
      <c r="BV1872" s="265"/>
    </row>
    <row r="1873" spans="12:74">
      <c r="L1873" s="265"/>
      <c r="M1873" s="265"/>
      <c r="N1873" s="265"/>
      <c r="O1873" s="265"/>
      <c r="P1873" s="265"/>
      <c r="Q1873" s="265"/>
      <c r="BR1873" s="265"/>
      <c r="BS1873" s="265"/>
      <c r="BT1873" s="265"/>
      <c r="BU1873" s="265"/>
      <c r="BV1873" s="265"/>
    </row>
    <row r="1874" spans="12:74">
      <c r="L1874" s="265"/>
      <c r="M1874" s="265"/>
      <c r="N1874" s="265"/>
      <c r="O1874" s="265"/>
      <c r="P1874" s="265"/>
      <c r="Q1874" s="265"/>
      <c r="BR1874" s="265"/>
      <c r="BS1874" s="265"/>
      <c r="BT1874" s="265"/>
      <c r="BU1874" s="265"/>
      <c r="BV1874" s="265"/>
    </row>
    <row r="1875" spans="12:74">
      <c r="L1875" s="265"/>
      <c r="M1875" s="265"/>
      <c r="N1875" s="265"/>
      <c r="O1875" s="265"/>
      <c r="P1875" s="265"/>
      <c r="Q1875" s="265"/>
      <c r="BR1875" s="265"/>
      <c r="BS1875" s="265"/>
      <c r="BT1875" s="265"/>
      <c r="BU1875" s="265"/>
      <c r="BV1875" s="265"/>
    </row>
    <row r="1876" spans="12:74">
      <c r="L1876" s="265"/>
      <c r="M1876" s="265"/>
      <c r="N1876" s="265"/>
      <c r="O1876" s="265"/>
      <c r="P1876" s="265"/>
      <c r="Q1876" s="265"/>
      <c r="BR1876" s="265"/>
      <c r="BS1876" s="265"/>
      <c r="BT1876" s="265"/>
      <c r="BU1876" s="265"/>
      <c r="BV1876" s="265"/>
    </row>
    <row r="1877" spans="12:74">
      <c r="L1877" s="265"/>
      <c r="M1877" s="265"/>
      <c r="N1877" s="265"/>
      <c r="O1877" s="265"/>
      <c r="P1877" s="265"/>
      <c r="Q1877" s="265"/>
      <c r="BR1877" s="265"/>
      <c r="BS1877" s="265"/>
      <c r="BT1877" s="265"/>
      <c r="BU1877" s="265"/>
      <c r="BV1877" s="265"/>
    </row>
    <row r="1878" spans="12:74">
      <c r="L1878" s="265"/>
      <c r="M1878" s="265"/>
      <c r="N1878" s="265"/>
      <c r="O1878" s="265"/>
      <c r="P1878" s="265"/>
      <c r="Q1878" s="265"/>
      <c r="BR1878" s="265"/>
      <c r="BS1878" s="265"/>
      <c r="BT1878" s="265"/>
      <c r="BU1878" s="265"/>
      <c r="BV1878" s="265"/>
    </row>
    <row r="1879" spans="12:74">
      <c r="L1879" s="265"/>
      <c r="M1879" s="265"/>
      <c r="N1879" s="265"/>
      <c r="O1879" s="265"/>
      <c r="P1879" s="265"/>
      <c r="Q1879" s="265"/>
      <c r="BR1879" s="265"/>
      <c r="BS1879" s="265"/>
      <c r="BT1879" s="265"/>
      <c r="BU1879" s="265"/>
      <c r="BV1879" s="265"/>
    </row>
    <row r="1880" spans="12:74">
      <c r="L1880" s="265"/>
      <c r="M1880" s="265"/>
      <c r="N1880" s="265"/>
      <c r="O1880" s="265"/>
      <c r="P1880" s="265"/>
      <c r="Q1880" s="265"/>
      <c r="BR1880" s="265"/>
      <c r="BS1880" s="265"/>
      <c r="BT1880" s="265"/>
      <c r="BU1880" s="265"/>
      <c r="BV1880" s="265"/>
    </row>
    <row r="1881" spans="12:74">
      <c r="L1881" s="265"/>
      <c r="M1881" s="265"/>
      <c r="N1881" s="265"/>
      <c r="O1881" s="265"/>
      <c r="P1881" s="265"/>
      <c r="Q1881" s="265"/>
      <c r="BR1881" s="265"/>
      <c r="BS1881" s="265"/>
      <c r="BT1881" s="265"/>
      <c r="BU1881" s="265"/>
      <c r="BV1881" s="265"/>
    </row>
    <row r="1882" spans="12:74">
      <c r="L1882" s="265"/>
      <c r="M1882" s="265"/>
      <c r="N1882" s="265"/>
      <c r="O1882" s="265"/>
      <c r="P1882" s="265"/>
      <c r="Q1882" s="265"/>
      <c r="BR1882" s="265"/>
      <c r="BS1882" s="265"/>
      <c r="BT1882" s="265"/>
      <c r="BU1882" s="265"/>
      <c r="BV1882" s="265"/>
    </row>
    <row r="1883" spans="12:74">
      <c r="L1883" s="265"/>
      <c r="M1883" s="265"/>
      <c r="N1883" s="265"/>
      <c r="O1883" s="265"/>
      <c r="P1883" s="265"/>
      <c r="Q1883" s="265"/>
      <c r="BR1883" s="265"/>
      <c r="BS1883" s="265"/>
      <c r="BT1883" s="265"/>
      <c r="BU1883" s="265"/>
      <c r="BV1883" s="265"/>
    </row>
    <row r="1884" spans="12:74">
      <c r="L1884" s="265"/>
      <c r="M1884" s="265"/>
      <c r="N1884" s="265"/>
      <c r="O1884" s="265"/>
      <c r="P1884" s="265"/>
      <c r="Q1884" s="265"/>
      <c r="BR1884" s="265"/>
      <c r="BS1884" s="265"/>
      <c r="BT1884" s="265"/>
      <c r="BU1884" s="265"/>
      <c r="BV1884" s="265"/>
    </row>
    <row r="1885" spans="12:74">
      <c r="L1885" s="265"/>
      <c r="M1885" s="265"/>
      <c r="N1885" s="265"/>
      <c r="O1885" s="265"/>
      <c r="P1885" s="265"/>
      <c r="Q1885" s="265"/>
      <c r="BR1885" s="265"/>
      <c r="BS1885" s="265"/>
      <c r="BT1885" s="265"/>
      <c r="BU1885" s="265"/>
      <c r="BV1885" s="265"/>
    </row>
    <row r="1886" spans="12:74">
      <c r="L1886" s="265"/>
      <c r="M1886" s="265"/>
      <c r="N1886" s="265"/>
      <c r="O1886" s="265"/>
      <c r="P1886" s="265"/>
      <c r="Q1886" s="265"/>
      <c r="BR1886" s="265"/>
      <c r="BS1886" s="265"/>
      <c r="BT1886" s="265"/>
      <c r="BU1886" s="265"/>
      <c r="BV1886" s="265"/>
    </row>
    <row r="1887" spans="12:74">
      <c r="L1887" s="265"/>
      <c r="M1887" s="265"/>
      <c r="N1887" s="265"/>
      <c r="O1887" s="265"/>
      <c r="P1887" s="265"/>
      <c r="Q1887" s="265"/>
      <c r="BR1887" s="265"/>
      <c r="BS1887" s="265"/>
      <c r="BT1887" s="265"/>
      <c r="BU1887" s="265"/>
      <c r="BV1887" s="265"/>
    </row>
    <row r="1888" spans="12:74">
      <c r="L1888" s="265"/>
      <c r="M1888" s="265"/>
      <c r="N1888" s="265"/>
      <c r="O1888" s="265"/>
      <c r="P1888" s="265"/>
      <c r="Q1888" s="265"/>
      <c r="BR1888" s="265"/>
      <c r="BS1888" s="265"/>
      <c r="BT1888" s="265"/>
      <c r="BU1888" s="265"/>
      <c r="BV1888" s="265"/>
    </row>
    <row r="1889" spans="12:74">
      <c r="L1889" s="265"/>
      <c r="M1889" s="265"/>
      <c r="N1889" s="265"/>
      <c r="O1889" s="265"/>
      <c r="P1889" s="265"/>
      <c r="Q1889" s="265"/>
      <c r="BR1889" s="265"/>
      <c r="BS1889" s="265"/>
      <c r="BT1889" s="265"/>
      <c r="BU1889" s="265"/>
      <c r="BV1889" s="265"/>
    </row>
    <row r="1890" spans="12:74">
      <c r="L1890" s="265"/>
      <c r="M1890" s="265"/>
      <c r="N1890" s="265"/>
      <c r="O1890" s="265"/>
      <c r="P1890" s="265"/>
      <c r="Q1890" s="265"/>
      <c r="BR1890" s="265"/>
      <c r="BS1890" s="265"/>
      <c r="BT1890" s="265"/>
      <c r="BU1890" s="265"/>
      <c r="BV1890" s="265"/>
    </row>
    <row r="1891" spans="12:74">
      <c r="L1891" s="265"/>
      <c r="M1891" s="265"/>
      <c r="N1891" s="265"/>
      <c r="O1891" s="265"/>
      <c r="P1891" s="265"/>
      <c r="Q1891" s="265"/>
      <c r="BR1891" s="265"/>
      <c r="BS1891" s="265"/>
      <c r="BT1891" s="265"/>
      <c r="BU1891" s="265"/>
      <c r="BV1891" s="265"/>
    </row>
    <row r="1892" spans="12:74">
      <c r="L1892" s="265"/>
      <c r="M1892" s="265"/>
      <c r="N1892" s="265"/>
      <c r="O1892" s="265"/>
      <c r="P1892" s="265"/>
      <c r="Q1892" s="265"/>
      <c r="BR1892" s="265"/>
      <c r="BS1892" s="265"/>
      <c r="BT1892" s="265"/>
      <c r="BU1892" s="265"/>
      <c r="BV1892" s="265"/>
    </row>
    <row r="1893" spans="12:74">
      <c r="L1893" s="265"/>
      <c r="M1893" s="265"/>
      <c r="N1893" s="265"/>
      <c r="O1893" s="265"/>
      <c r="P1893" s="265"/>
      <c r="Q1893" s="265"/>
      <c r="BR1893" s="265"/>
      <c r="BS1893" s="265"/>
      <c r="BT1893" s="265"/>
      <c r="BU1893" s="265"/>
      <c r="BV1893" s="265"/>
    </row>
    <row r="1894" spans="12:74">
      <c r="L1894" s="265"/>
      <c r="M1894" s="265"/>
      <c r="N1894" s="265"/>
      <c r="O1894" s="265"/>
      <c r="P1894" s="265"/>
      <c r="Q1894" s="265"/>
      <c r="BR1894" s="265"/>
      <c r="BS1894" s="265"/>
      <c r="BT1894" s="265"/>
      <c r="BU1894" s="265"/>
      <c r="BV1894" s="265"/>
    </row>
    <row r="1895" spans="12:74">
      <c r="L1895" s="265"/>
      <c r="M1895" s="265"/>
      <c r="N1895" s="265"/>
      <c r="O1895" s="265"/>
      <c r="P1895" s="265"/>
      <c r="Q1895" s="265"/>
      <c r="BR1895" s="265"/>
      <c r="BS1895" s="265"/>
      <c r="BT1895" s="265"/>
      <c r="BU1895" s="265"/>
      <c r="BV1895" s="265"/>
    </row>
    <row r="1896" spans="12:74">
      <c r="L1896" s="265"/>
      <c r="M1896" s="265"/>
      <c r="N1896" s="265"/>
      <c r="O1896" s="265"/>
      <c r="P1896" s="265"/>
      <c r="Q1896" s="265"/>
      <c r="BR1896" s="265"/>
      <c r="BS1896" s="265"/>
      <c r="BT1896" s="265"/>
      <c r="BU1896" s="265"/>
      <c r="BV1896" s="265"/>
    </row>
    <row r="1897" spans="12:74">
      <c r="L1897" s="265"/>
      <c r="M1897" s="265"/>
      <c r="N1897" s="265"/>
      <c r="O1897" s="265"/>
      <c r="P1897" s="265"/>
      <c r="Q1897" s="265"/>
      <c r="BR1897" s="265"/>
      <c r="BS1897" s="265"/>
      <c r="BT1897" s="265"/>
      <c r="BU1897" s="265"/>
      <c r="BV1897" s="265"/>
    </row>
    <row r="1898" spans="12:74">
      <c r="L1898" s="265"/>
      <c r="M1898" s="265"/>
      <c r="N1898" s="265"/>
      <c r="O1898" s="265"/>
      <c r="P1898" s="265"/>
      <c r="Q1898" s="265"/>
      <c r="BR1898" s="265"/>
      <c r="BS1898" s="265"/>
      <c r="BT1898" s="265"/>
      <c r="BU1898" s="265"/>
      <c r="BV1898" s="265"/>
    </row>
    <row r="1899" spans="12:74">
      <c r="L1899" s="265"/>
      <c r="M1899" s="265"/>
      <c r="N1899" s="265"/>
      <c r="O1899" s="265"/>
      <c r="P1899" s="265"/>
      <c r="Q1899" s="265"/>
      <c r="BR1899" s="265"/>
      <c r="BS1899" s="265"/>
      <c r="BT1899" s="265"/>
      <c r="BU1899" s="265"/>
      <c r="BV1899" s="265"/>
    </row>
    <row r="1900" spans="12:74">
      <c r="L1900" s="265"/>
      <c r="M1900" s="265"/>
      <c r="N1900" s="265"/>
      <c r="O1900" s="265"/>
      <c r="P1900" s="265"/>
      <c r="Q1900" s="265"/>
      <c r="BR1900" s="265"/>
      <c r="BS1900" s="265"/>
      <c r="BT1900" s="265"/>
      <c r="BU1900" s="265"/>
      <c r="BV1900" s="265"/>
    </row>
    <row r="1901" spans="12:74">
      <c r="L1901" s="265"/>
      <c r="M1901" s="265"/>
      <c r="N1901" s="265"/>
      <c r="O1901" s="265"/>
      <c r="P1901" s="265"/>
      <c r="Q1901" s="265"/>
      <c r="BR1901" s="265"/>
      <c r="BS1901" s="265"/>
      <c r="BT1901" s="265"/>
      <c r="BU1901" s="265"/>
      <c r="BV1901" s="265"/>
    </row>
    <row r="1902" spans="12:74">
      <c r="L1902" s="265"/>
      <c r="M1902" s="265"/>
      <c r="N1902" s="265"/>
      <c r="O1902" s="265"/>
      <c r="P1902" s="265"/>
      <c r="Q1902" s="265"/>
      <c r="BR1902" s="265"/>
      <c r="BS1902" s="265"/>
      <c r="BT1902" s="265"/>
      <c r="BU1902" s="265"/>
      <c r="BV1902" s="265"/>
    </row>
    <row r="1903" spans="12:74">
      <c r="L1903" s="265"/>
      <c r="M1903" s="265"/>
      <c r="N1903" s="265"/>
      <c r="O1903" s="265"/>
      <c r="P1903" s="265"/>
      <c r="Q1903" s="265"/>
      <c r="BR1903" s="265"/>
      <c r="BS1903" s="265"/>
      <c r="BT1903" s="265"/>
      <c r="BU1903" s="265"/>
      <c r="BV1903" s="265"/>
    </row>
    <row r="1904" spans="12:74">
      <c r="L1904" s="265"/>
      <c r="M1904" s="265"/>
      <c r="N1904" s="265"/>
      <c r="O1904" s="265"/>
      <c r="P1904" s="265"/>
      <c r="Q1904" s="265"/>
      <c r="BR1904" s="265"/>
      <c r="BS1904" s="265"/>
      <c r="BT1904" s="265"/>
      <c r="BU1904" s="265"/>
      <c r="BV1904" s="265"/>
    </row>
    <row r="1905" spans="12:74">
      <c r="L1905" s="265"/>
      <c r="M1905" s="265"/>
      <c r="N1905" s="265"/>
      <c r="O1905" s="265"/>
      <c r="P1905" s="265"/>
      <c r="Q1905" s="265"/>
      <c r="BR1905" s="265"/>
      <c r="BS1905" s="265"/>
      <c r="BT1905" s="265"/>
      <c r="BU1905" s="265"/>
      <c r="BV1905" s="265"/>
    </row>
    <row r="1906" spans="12:74">
      <c r="L1906" s="265"/>
      <c r="M1906" s="265"/>
      <c r="N1906" s="265"/>
      <c r="O1906" s="265"/>
      <c r="P1906" s="265"/>
      <c r="Q1906" s="265"/>
      <c r="BR1906" s="265"/>
      <c r="BS1906" s="265"/>
      <c r="BT1906" s="265"/>
      <c r="BU1906" s="265"/>
      <c r="BV1906" s="265"/>
    </row>
    <row r="1907" spans="12:74">
      <c r="L1907" s="265"/>
      <c r="M1907" s="265"/>
      <c r="N1907" s="265"/>
      <c r="O1907" s="265"/>
      <c r="P1907" s="265"/>
      <c r="Q1907" s="265"/>
      <c r="BR1907" s="265"/>
      <c r="BS1907" s="265"/>
      <c r="BT1907" s="265"/>
      <c r="BU1907" s="265"/>
      <c r="BV1907" s="265"/>
    </row>
    <row r="1908" spans="12:74">
      <c r="L1908" s="265"/>
      <c r="M1908" s="265"/>
      <c r="N1908" s="265"/>
      <c r="O1908" s="265"/>
      <c r="P1908" s="265"/>
      <c r="Q1908" s="265"/>
      <c r="BR1908" s="265"/>
      <c r="BS1908" s="265"/>
      <c r="BT1908" s="265"/>
      <c r="BU1908" s="265"/>
      <c r="BV1908" s="265"/>
    </row>
    <row r="1909" spans="12:74">
      <c r="L1909" s="265"/>
      <c r="M1909" s="265"/>
      <c r="N1909" s="265"/>
      <c r="O1909" s="265"/>
      <c r="P1909" s="265"/>
      <c r="Q1909" s="265"/>
      <c r="BR1909" s="265"/>
      <c r="BS1909" s="265"/>
      <c r="BT1909" s="265"/>
      <c r="BU1909" s="265"/>
      <c r="BV1909" s="265"/>
    </row>
    <row r="1910" spans="12:74">
      <c r="L1910" s="265"/>
      <c r="M1910" s="265"/>
      <c r="N1910" s="265"/>
      <c r="O1910" s="265"/>
      <c r="P1910" s="265"/>
      <c r="Q1910" s="265"/>
      <c r="BR1910" s="265"/>
      <c r="BS1910" s="265"/>
      <c r="BT1910" s="265"/>
      <c r="BU1910" s="265"/>
      <c r="BV1910" s="265"/>
    </row>
    <row r="1911" spans="12:74">
      <c r="L1911" s="265"/>
      <c r="M1911" s="265"/>
      <c r="N1911" s="265"/>
      <c r="O1911" s="265"/>
      <c r="P1911" s="265"/>
      <c r="Q1911" s="265"/>
      <c r="BR1911" s="265"/>
      <c r="BS1911" s="265"/>
      <c r="BT1911" s="265"/>
      <c r="BU1911" s="265"/>
      <c r="BV1911" s="265"/>
    </row>
    <row r="1912" spans="12:74">
      <c r="L1912" s="265"/>
      <c r="M1912" s="265"/>
      <c r="N1912" s="265"/>
      <c r="O1912" s="265"/>
      <c r="P1912" s="265"/>
      <c r="Q1912" s="265"/>
      <c r="BR1912" s="265"/>
      <c r="BS1912" s="265"/>
      <c r="BT1912" s="265"/>
      <c r="BU1912" s="265"/>
      <c r="BV1912" s="265"/>
    </row>
    <row r="1913" spans="12:74">
      <c r="L1913" s="265"/>
      <c r="M1913" s="265"/>
      <c r="N1913" s="265"/>
      <c r="O1913" s="265"/>
      <c r="P1913" s="265"/>
      <c r="Q1913" s="265"/>
      <c r="BR1913" s="265"/>
      <c r="BS1913" s="265"/>
      <c r="BT1913" s="265"/>
      <c r="BU1913" s="265"/>
      <c r="BV1913" s="265"/>
    </row>
    <row r="1914" spans="12:74">
      <c r="L1914" s="265"/>
      <c r="M1914" s="265"/>
      <c r="N1914" s="265"/>
      <c r="O1914" s="265"/>
      <c r="P1914" s="265"/>
      <c r="Q1914" s="265"/>
      <c r="BR1914" s="265"/>
      <c r="BS1914" s="265"/>
      <c r="BT1914" s="265"/>
      <c r="BU1914" s="265"/>
      <c r="BV1914" s="265"/>
    </row>
    <row r="1915" spans="12:74">
      <c r="L1915" s="265"/>
      <c r="M1915" s="265"/>
      <c r="N1915" s="265"/>
      <c r="O1915" s="265"/>
      <c r="P1915" s="265"/>
      <c r="Q1915" s="265"/>
      <c r="BR1915" s="265"/>
      <c r="BS1915" s="265"/>
      <c r="BT1915" s="265"/>
      <c r="BU1915" s="265"/>
      <c r="BV1915" s="265"/>
    </row>
    <row r="1916" spans="12:74">
      <c r="L1916" s="265"/>
      <c r="M1916" s="265"/>
      <c r="N1916" s="265"/>
      <c r="O1916" s="265"/>
      <c r="P1916" s="265"/>
      <c r="Q1916" s="265"/>
      <c r="BR1916" s="265"/>
      <c r="BS1916" s="265"/>
      <c r="BT1916" s="265"/>
      <c r="BU1916" s="265"/>
      <c r="BV1916" s="265"/>
    </row>
    <row r="1917" spans="12:74">
      <c r="L1917" s="265"/>
      <c r="M1917" s="265"/>
      <c r="N1917" s="265"/>
      <c r="O1917" s="265"/>
      <c r="P1917" s="265"/>
      <c r="Q1917" s="265"/>
      <c r="BR1917" s="265"/>
      <c r="BS1917" s="265"/>
      <c r="BT1917" s="265"/>
      <c r="BU1917" s="265"/>
      <c r="BV1917" s="265"/>
    </row>
    <row r="1918" spans="12:74">
      <c r="L1918" s="265"/>
      <c r="M1918" s="265"/>
      <c r="N1918" s="265"/>
      <c r="O1918" s="265"/>
      <c r="P1918" s="265"/>
      <c r="Q1918" s="265"/>
      <c r="BR1918" s="265"/>
      <c r="BS1918" s="265"/>
      <c r="BT1918" s="265"/>
      <c r="BU1918" s="265"/>
      <c r="BV1918" s="265"/>
    </row>
    <row r="1919" spans="12:74">
      <c r="L1919" s="265"/>
      <c r="M1919" s="265"/>
      <c r="N1919" s="265"/>
      <c r="O1919" s="265"/>
      <c r="P1919" s="265"/>
      <c r="Q1919" s="265"/>
      <c r="BR1919" s="265"/>
      <c r="BS1919" s="265"/>
      <c r="BT1919" s="265"/>
      <c r="BU1919" s="265"/>
      <c r="BV1919" s="265"/>
    </row>
    <row r="1920" spans="12:74">
      <c r="L1920" s="265"/>
      <c r="M1920" s="265"/>
      <c r="N1920" s="265"/>
      <c r="O1920" s="265"/>
      <c r="P1920" s="265"/>
      <c r="Q1920" s="265"/>
      <c r="BR1920" s="265"/>
      <c r="BS1920" s="265"/>
      <c r="BT1920" s="265"/>
      <c r="BU1920" s="265"/>
      <c r="BV1920" s="265"/>
    </row>
    <row r="1921" spans="12:74">
      <c r="L1921" s="265"/>
      <c r="M1921" s="265"/>
      <c r="N1921" s="265"/>
      <c r="O1921" s="265"/>
      <c r="P1921" s="265"/>
      <c r="Q1921" s="265"/>
      <c r="BR1921" s="265"/>
      <c r="BS1921" s="265"/>
      <c r="BT1921" s="265"/>
      <c r="BU1921" s="265"/>
      <c r="BV1921" s="265"/>
    </row>
    <row r="1922" spans="12:74">
      <c r="L1922" s="265"/>
      <c r="M1922" s="265"/>
      <c r="N1922" s="265"/>
      <c r="O1922" s="265"/>
      <c r="P1922" s="265"/>
      <c r="Q1922" s="265"/>
      <c r="BR1922" s="265"/>
      <c r="BS1922" s="265"/>
      <c r="BT1922" s="265"/>
      <c r="BU1922" s="265"/>
      <c r="BV1922" s="265"/>
    </row>
    <row r="1923" spans="12:74">
      <c r="L1923" s="265"/>
      <c r="M1923" s="265"/>
      <c r="N1923" s="265"/>
      <c r="O1923" s="265"/>
      <c r="P1923" s="265"/>
      <c r="Q1923" s="265"/>
      <c r="BR1923" s="265"/>
      <c r="BS1923" s="265"/>
      <c r="BT1923" s="265"/>
      <c r="BU1923" s="265"/>
      <c r="BV1923" s="265"/>
    </row>
    <row r="1924" spans="12:74">
      <c r="L1924" s="265"/>
      <c r="M1924" s="265"/>
      <c r="N1924" s="265"/>
      <c r="O1924" s="265"/>
      <c r="P1924" s="265"/>
      <c r="Q1924" s="265"/>
      <c r="BR1924" s="265"/>
      <c r="BS1924" s="265"/>
      <c r="BT1924" s="265"/>
      <c r="BU1924" s="265"/>
      <c r="BV1924" s="265"/>
    </row>
    <row r="1925" spans="12:74">
      <c r="L1925" s="265"/>
      <c r="M1925" s="265"/>
      <c r="N1925" s="265"/>
      <c r="O1925" s="265"/>
      <c r="P1925" s="265"/>
      <c r="Q1925" s="265"/>
      <c r="BR1925" s="265"/>
      <c r="BS1925" s="265"/>
      <c r="BT1925" s="265"/>
      <c r="BU1925" s="265"/>
      <c r="BV1925" s="265"/>
    </row>
    <row r="1926" spans="12:74">
      <c r="L1926" s="265"/>
      <c r="M1926" s="265"/>
      <c r="N1926" s="265"/>
      <c r="O1926" s="265"/>
      <c r="P1926" s="265"/>
      <c r="Q1926" s="265"/>
      <c r="BR1926" s="265"/>
      <c r="BS1926" s="265"/>
      <c r="BT1926" s="265"/>
      <c r="BU1926" s="265"/>
      <c r="BV1926" s="265"/>
    </row>
    <row r="1927" spans="12:74">
      <c r="L1927" s="265"/>
      <c r="M1927" s="265"/>
      <c r="N1927" s="265"/>
      <c r="O1927" s="265"/>
      <c r="P1927" s="265"/>
      <c r="Q1927" s="265"/>
      <c r="BR1927" s="265"/>
      <c r="BS1927" s="265"/>
      <c r="BT1927" s="265"/>
      <c r="BU1927" s="265"/>
      <c r="BV1927" s="265"/>
    </row>
    <row r="1928" spans="12:74">
      <c r="L1928" s="265"/>
      <c r="M1928" s="265"/>
      <c r="N1928" s="265"/>
      <c r="O1928" s="265"/>
      <c r="P1928" s="265"/>
      <c r="Q1928" s="265"/>
      <c r="BR1928" s="265"/>
      <c r="BS1928" s="265"/>
      <c r="BT1928" s="265"/>
      <c r="BU1928" s="265"/>
      <c r="BV1928" s="265"/>
    </row>
    <row r="1929" spans="12:74">
      <c r="L1929" s="265"/>
      <c r="M1929" s="265"/>
      <c r="N1929" s="265"/>
      <c r="O1929" s="265"/>
      <c r="P1929" s="265"/>
      <c r="Q1929" s="265"/>
      <c r="BR1929" s="265"/>
      <c r="BS1929" s="265"/>
      <c r="BT1929" s="265"/>
      <c r="BU1929" s="265"/>
      <c r="BV1929" s="265"/>
    </row>
    <row r="1930" spans="12:74">
      <c r="L1930" s="265"/>
      <c r="M1930" s="265"/>
      <c r="N1930" s="265"/>
      <c r="O1930" s="265"/>
      <c r="P1930" s="265"/>
      <c r="Q1930" s="265"/>
      <c r="BR1930" s="265"/>
      <c r="BS1930" s="265"/>
      <c r="BT1930" s="265"/>
      <c r="BU1930" s="265"/>
      <c r="BV1930" s="265"/>
    </row>
    <row r="1931" spans="12:74">
      <c r="L1931" s="265"/>
      <c r="M1931" s="265"/>
      <c r="N1931" s="265"/>
      <c r="O1931" s="265"/>
      <c r="P1931" s="265"/>
      <c r="Q1931" s="265"/>
      <c r="BR1931" s="265"/>
      <c r="BS1931" s="265"/>
      <c r="BT1931" s="265"/>
      <c r="BU1931" s="265"/>
      <c r="BV1931" s="265"/>
    </row>
    <row r="1932" spans="12:74">
      <c r="L1932" s="265"/>
      <c r="M1932" s="265"/>
      <c r="N1932" s="265"/>
      <c r="O1932" s="265"/>
      <c r="P1932" s="265"/>
      <c r="Q1932" s="265"/>
      <c r="BR1932" s="265"/>
      <c r="BS1932" s="265"/>
      <c r="BT1932" s="265"/>
      <c r="BU1932" s="265"/>
      <c r="BV1932" s="265"/>
    </row>
    <row r="1933" spans="12:74">
      <c r="L1933" s="265"/>
      <c r="M1933" s="265"/>
      <c r="N1933" s="265"/>
      <c r="O1933" s="265"/>
      <c r="P1933" s="265"/>
      <c r="Q1933" s="265"/>
      <c r="BR1933" s="265"/>
      <c r="BS1933" s="265"/>
      <c r="BT1933" s="265"/>
      <c r="BU1933" s="265"/>
      <c r="BV1933" s="265"/>
    </row>
    <row r="1934" spans="12:74">
      <c r="L1934" s="265"/>
      <c r="M1934" s="265"/>
      <c r="N1934" s="265"/>
      <c r="O1934" s="265"/>
      <c r="P1934" s="265"/>
      <c r="Q1934" s="265"/>
      <c r="BR1934" s="265"/>
      <c r="BS1934" s="265"/>
      <c r="BT1934" s="265"/>
      <c r="BU1934" s="265"/>
      <c r="BV1934" s="265"/>
    </row>
    <row r="1935" spans="12:74">
      <c r="L1935" s="265"/>
      <c r="M1935" s="265"/>
      <c r="N1935" s="265"/>
      <c r="O1935" s="265"/>
      <c r="P1935" s="265"/>
      <c r="Q1935" s="265"/>
      <c r="BR1935" s="265"/>
      <c r="BS1935" s="265"/>
      <c r="BT1935" s="265"/>
      <c r="BU1935" s="265"/>
      <c r="BV1935" s="265"/>
    </row>
    <row r="1936" spans="12:74">
      <c r="L1936" s="265"/>
      <c r="M1936" s="265"/>
      <c r="N1936" s="265"/>
      <c r="O1936" s="265"/>
      <c r="P1936" s="265"/>
      <c r="Q1936" s="265"/>
      <c r="BR1936" s="265"/>
      <c r="BS1936" s="265"/>
      <c r="BT1936" s="265"/>
      <c r="BU1936" s="265"/>
      <c r="BV1936" s="265"/>
    </row>
    <row r="1937" spans="12:74">
      <c r="L1937" s="265"/>
      <c r="M1937" s="265"/>
      <c r="N1937" s="265"/>
      <c r="O1937" s="265"/>
      <c r="P1937" s="265"/>
      <c r="Q1937" s="265"/>
      <c r="BR1937" s="265"/>
      <c r="BS1937" s="265"/>
      <c r="BT1937" s="265"/>
      <c r="BU1937" s="265"/>
      <c r="BV1937" s="265"/>
    </row>
    <row r="1938" spans="12:74">
      <c r="L1938" s="265"/>
      <c r="M1938" s="265"/>
      <c r="N1938" s="265"/>
      <c r="O1938" s="265"/>
      <c r="P1938" s="265"/>
      <c r="Q1938" s="265"/>
      <c r="BR1938" s="265"/>
      <c r="BS1938" s="265"/>
      <c r="BT1938" s="265"/>
      <c r="BU1938" s="265"/>
      <c r="BV1938" s="265"/>
    </row>
    <row r="1939" spans="12:74">
      <c r="L1939" s="265"/>
      <c r="M1939" s="265"/>
      <c r="N1939" s="265"/>
      <c r="O1939" s="265"/>
      <c r="P1939" s="265"/>
      <c r="Q1939" s="265"/>
      <c r="BR1939" s="265"/>
      <c r="BS1939" s="265"/>
      <c r="BT1939" s="265"/>
      <c r="BU1939" s="265"/>
      <c r="BV1939" s="265"/>
    </row>
    <row r="1940" spans="12:74">
      <c r="L1940" s="265"/>
      <c r="M1940" s="265"/>
      <c r="N1940" s="265"/>
      <c r="O1940" s="265"/>
      <c r="P1940" s="265"/>
      <c r="Q1940" s="265"/>
      <c r="BR1940" s="265"/>
      <c r="BS1940" s="265"/>
      <c r="BT1940" s="265"/>
      <c r="BU1940" s="265"/>
      <c r="BV1940" s="265"/>
    </row>
    <row r="1941" spans="12:74">
      <c r="L1941" s="265"/>
      <c r="M1941" s="265"/>
      <c r="N1941" s="265"/>
      <c r="O1941" s="265"/>
      <c r="P1941" s="265"/>
      <c r="Q1941" s="265"/>
      <c r="BR1941" s="265"/>
      <c r="BS1941" s="265"/>
      <c r="BT1941" s="265"/>
      <c r="BU1941" s="265"/>
      <c r="BV1941" s="265"/>
    </row>
    <row r="1942" spans="12:74">
      <c r="L1942" s="265"/>
      <c r="M1942" s="265"/>
      <c r="N1942" s="265"/>
      <c r="O1942" s="265"/>
      <c r="P1942" s="265"/>
      <c r="Q1942" s="265"/>
      <c r="BR1942" s="265"/>
      <c r="BS1942" s="265"/>
      <c r="BT1942" s="265"/>
      <c r="BU1942" s="265"/>
      <c r="BV1942" s="265"/>
    </row>
    <row r="1943" spans="12:74">
      <c r="L1943" s="265"/>
      <c r="M1943" s="265"/>
      <c r="N1943" s="265"/>
      <c r="O1943" s="265"/>
      <c r="P1943" s="265"/>
      <c r="Q1943" s="265"/>
      <c r="BR1943" s="265"/>
      <c r="BS1943" s="265"/>
      <c r="BT1943" s="265"/>
      <c r="BU1943" s="265"/>
      <c r="BV1943" s="265"/>
    </row>
    <row r="1944" spans="12:74">
      <c r="L1944" s="265"/>
      <c r="M1944" s="265"/>
      <c r="N1944" s="265"/>
      <c r="O1944" s="265"/>
      <c r="P1944" s="265"/>
      <c r="Q1944" s="265"/>
      <c r="BR1944" s="265"/>
      <c r="BS1944" s="265"/>
      <c r="BT1944" s="265"/>
      <c r="BU1944" s="265"/>
      <c r="BV1944" s="265"/>
    </row>
    <row r="1945" spans="12:74">
      <c r="L1945" s="265"/>
      <c r="M1945" s="265"/>
      <c r="N1945" s="265"/>
      <c r="O1945" s="265"/>
      <c r="P1945" s="265"/>
      <c r="Q1945" s="265"/>
      <c r="BR1945" s="265"/>
      <c r="BS1945" s="265"/>
      <c r="BT1945" s="265"/>
      <c r="BU1945" s="265"/>
      <c r="BV1945" s="265"/>
    </row>
    <row r="1946" spans="12:74">
      <c r="L1946" s="265"/>
      <c r="M1946" s="265"/>
      <c r="N1946" s="265"/>
      <c r="O1946" s="265"/>
      <c r="P1946" s="265"/>
      <c r="Q1946" s="265"/>
      <c r="BR1946" s="265"/>
      <c r="BS1946" s="265"/>
      <c r="BT1946" s="265"/>
      <c r="BU1946" s="265"/>
      <c r="BV1946" s="265"/>
    </row>
    <row r="1947" spans="12:74">
      <c r="L1947" s="265"/>
      <c r="M1947" s="265"/>
      <c r="N1947" s="265"/>
      <c r="O1947" s="265"/>
      <c r="P1947" s="265"/>
      <c r="Q1947" s="265"/>
      <c r="BR1947" s="265"/>
      <c r="BS1947" s="265"/>
      <c r="BT1947" s="265"/>
      <c r="BU1947" s="265"/>
      <c r="BV1947" s="265"/>
    </row>
    <row r="1948" spans="12:74">
      <c r="L1948" s="265"/>
      <c r="M1948" s="265"/>
      <c r="N1948" s="265"/>
      <c r="O1948" s="265"/>
      <c r="P1948" s="265"/>
      <c r="Q1948" s="265"/>
      <c r="BR1948" s="265"/>
      <c r="BS1948" s="265"/>
      <c r="BT1948" s="265"/>
      <c r="BU1948" s="265"/>
      <c r="BV1948" s="265"/>
    </row>
    <row r="1949" spans="12:74">
      <c r="L1949" s="265"/>
      <c r="M1949" s="265"/>
      <c r="N1949" s="265"/>
      <c r="O1949" s="265"/>
      <c r="P1949" s="265"/>
      <c r="Q1949" s="265"/>
      <c r="BR1949" s="265"/>
      <c r="BS1949" s="265"/>
      <c r="BT1949" s="265"/>
      <c r="BU1949" s="265"/>
      <c r="BV1949" s="265"/>
    </row>
    <row r="1950" spans="12:74">
      <c r="L1950" s="265"/>
      <c r="M1950" s="265"/>
      <c r="N1950" s="265"/>
      <c r="O1950" s="265"/>
      <c r="P1950" s="265"/>
      <c r="Q1950" s="265"/>
      <c r="BR1950" s="265"/>
      <c r="BS1950" s="265"/>
      <c r="BT1950" s="265"/>
      <c r="BU1950" s="265"/>
      <c r="BV1950" s="265"/>
    </row>
    <row r="1951" spans="12:74">
      <c r="L1951" s="265"/>
      <c r="M1951" s="265"/>
      <c r="N1951" s="265"/>
      <c r="O1951" s="265"/>
      <c r="P1951" s="265"/>
      <c r="Q1951" s="265"/>
      <c r="BR1951" s="265"/>
      <c r="BS1951" s="265"/>
      <c r="BT1951" s="265"/>
      <c r="BU1951" s="265"/>
      <c r="BV1951" s="265"/>
    </row>
    <row r="1952" spans="12:74">
      <c r="L1952" s="265"/>
      <c r="M1952" s="265"/>
      <c r="N1952" s="265"/>
      <c r="O1952" s="265"/>
      <c r="P1952" s="265"/>
      <c r="Q1952" s="265"/>
      <c r="BR1952" s="265"/>
      <c r="BS1952" s="265"/>
      <c r="BT1952" s="265"/>
      <c r="BU1952" s="265"/>
      <c r="BV1952" s="265"/>
    </row>
    <row r="1953" spans="12:74">
      <c r="L1953" s="265"/>
      <c r="M1953" s="265"/>
      <c r="N1953" s="265"/>
      <c r="O1953" s="265"/>
      <c r="P1953" s="265"/>
      <c r="Q1953" s="265"/>
      <c r="BR1953" s="265"/>
      <c r="BS1953" s="265"/>
      <c r="BT1953" s="265"/>
      <c r="BU1953" s="265"/>
      <c r="BV1953" s="265"/>
    </row>
    <row r="1954" spans="12:74">
      <c r="L1954" s="265"/>
      <c r="M1954" s="265"/>
      <c r="N1954" s="265"/>
      <c r="O1954" s="265"/>
      <c r="P1954" s="265"/>
      <c r="Q1954" s="265"/>
      <c r="BR1954" s="265"/>
      <c r="BS1954" s="265"/>
      <c r="BT1954" s="265"/>
      <c r="BU1954" s="265"/>
      <c r="BV1954" s="265"/>
    </row>
    <row r="1955" spans="12:74">
      <c r="L1955" s="265"/>
      <c r="M1955" s="265"/>
      <c r="N1955" s="265"/>
      <c r="O1955" s="265"/>
      <c r="P1955" s="265"/>
      <c r="Q1955" s="265"/>
      <c r="BR1955" s="265"/>
      <c r="BS1955" s="265"/>
      <c r="BT1955" s="265"/>
      <c r="BU1955" s="265"/>
      <c r="BV1955" s="265"/>
    </row>
    <row r="1956" spans="12:74">
      <c r="L1956" s="265"/>
      <c r="M1956" s="265"/>
      <c r="N1956" s="265"/>
      <c r="O1956" s="265"/>
      <c r="P1956" s="265"/>
      <c r="Q1956" s="265"/>
      <c r="BR1956" s="265"/>
      <c r="BS1956" s="265"/>
      <c r="BT1956" s="265"/>
      <c r="BU1956" s="265"/>
      <c r="BV1956" s="265"/>
    </row>
    <row r="1957" spans="12:74">
      <c r="L1957" s="265"/>
      <c r="M1957" s="265"/>
      <c r="N1957" s="265"/>
      <c r="O1957" s="265"/>
      <c r="P1957" s="265"/>
      <c r="Q1957" s="265"/>
      <c r="BR1957" s="265"/>
      <c r="BS1957" s="265"/>
      <c r="BT1957" s="265"/>
      <c r="BU1957" s="265"/>
      <c r="BV1957" s="265"/>
    </row>
    <row r="1958" spans="12:74">
      <c r="L1958" s="265"/>
      <c r="M1958" s="265"/>
      <c r="N1958" s="265"/>
      <c r="O1958" s="265"/>
      <c r="P1958" s="265"/>
      <c r="Q1958" s="265"/>
      <c r="BR1958" s="265"/>
      <c r="BS1958" s="265"/>
      <c r="BT1958" s="265"/>
      <c r="BU1958" s="265"/>
      <c r="BV1958" s="265"/>
    </row>
    <row r="1959" spans="12:74">
      <c r="L1959" s="265"/>
      <c r="M1959" s="265"/>
      <c r="N1959" s="265"/>
      <c r="O1959" s="265"/>
      <c r="P1959" s="265"/>
      <c r="Q1959" s="265"/>
      <c r="BR1959" s="265"/>
      <c r="BS1959" s="265"/>
      <c r="BT1959" s="265"/>
      <c r="BU1959" s="265"/>
      <c r="BV1959" s="265"/>
    </row>
    <row r="1960" spans="12:74">
      <c r="L1960" s="265"/>
      <c r="M1960" s="265"/>
      <c r="N1960" s="265"/>
      <c r="O1960" s="265"/>
      <c r="P1960" s="265"/>
      <c r="Q1960" s="265"/>
      <c r="BR1960" s="265"/>
      <c r="BS1960" s="265"/>
      <c r="BT1960" s="265"/>
      <c r="BU1960" s="265"/>
      <c r="BV1960" s="265"/>
    </row>
    <row r="1961" spans="12:74">
      <c r="L1961" s="265"/>
      <c r="M1961" s="265"/>
      <c r="N1961" s="265"/>
      <c r="O1961" s="265"/>
      <c r="P1961" s="265"/>
      <c r="Q1961" s="265"/>
      <c r="BR1961" s="265"/>
      <c r="BS1961" s="265"/>
      <c r="BT1961" s="265"/>
      <c r="BU1961" s="265"/>
      <c r="BV1961" s="265"/>
    </row>
    <row r="1962" spans="12:74">
      <c r="L1962" s="265"/>
      <c r="M1962" s="265"/>
      <c r="N1962" s="265"/>
      <c r="O1962" s="265"/>
      <c r="P1962" s="265"/>
      <c r="Q1962" s="265"/>
      <c r="BR1962" s="265"/>
      <c r="BS1962" s="265"/>
      <c r="BT1962" s="265"/>
      <c r="BU1962" s="265"/>
      <c r="BV1962" s="265"/>
    </row>
    <row r="1963" spans="12:74">
      <c r="L1963" s="265"/>
      <c r="M1963" s="265"/>
      <c r="N1963" s="265"/>
      <c r="O1963" s="265"/>
      <c r="P1963" s="265"/>
      <c r="Q1963" s="265"/>
      <c r="BR1963" s="265"/>
      <c r="BS1963" s="265"/>
      <c r="BT1963" s="265"/>
      <c r="BU1963" s="265"/>
      <c r="BV1963" s="265"/>
    </row>
    <row r="1964" spans="12:74">
      <c r="L1964" s="265"/>
      <c r="M1964" s="265"/>
      <c r="N1964" s="265"/>
      <c r="O1964" s="265"/>
      <c r="P1964" s="265"/>
      <c r="Q1964" s="265"/>
      <c r="BR1964" s="265"/>
      <c r="BS1964" s="265"/>
      <c r="BT1964" s="265"/>
      <c r="BU1964" s="265"/>
      <c r="BV1964" s="265"/>
    </row>
    <row r="1965" spans="12:74">
      <c r="L1965" s="265"/>
      <c r="M1965" s="265"/>
      <c r="N1965" s="265"/>
      <c r="O1965" s="265"/>
      <c r="P1965" s="265"/>
      <c r="Q1965" s="265"/>
      <c r="BR1965" s="265"/>
      <c r="BS1965" s="265"/>
      <c r="BT1965" s="265"/>
      <c r="BU1965" s="265"/>
      <c r="BV1965" s="265"/>
    </row>
    <row r="1966" spans="12:74">
      <c r="L1966" s="265"/>
      <c r="M1966" s="265"/>
      <c r="N1966" s="265"/>
      <c r="O1966" s="265"/>
      <c r="P1966" s="265"/>
      <c r="Q1966" s="265"/>
      <c r="BR1966" s="265"/>
      <c r="BS1966" s="265"/>
      <c r="BT1966" s="265"/>
      <c r="BU1966" s="265"/>
      <c r="BV1966" s="265"/>
    </row>
    <row r="1967" spans="12:74">
      <c r="L1967" s="265"/>
      <c r="M1967" s="265"/>
      <c r="N1967" s="265"/>
      <c r="O1967" s="265"/>
      <c r="P1967" s="265"/>
      <c r="Q1967" s="265"/>
      <c r="BR1967" s="265"/>
      <c r="BS1967" s="265"/>
      <c r="BT1967" s="265"/>
      <c r="BU1967" s="265"/>
      <c r="BV1967" s="265"/>
    </row>
    <row r="1968" spans="12:74">
      <c r="L1968" s="265"/>
      <c r="M1968" s="265"/>
      <c r="N1968" s="265"/>
      <c r="O1968" s="265"/>
      <c r="P1968" s="265"/>
      <c r="Q1968" s="265"/>
      <c r="BR1968" s="265"/>
      <c r="BS1968" s="265"/>
      <c r="BT1968" s="265"/>
      <c r="BU1968" s="265"/>
      <c r="BV1968" s="265"/>
    </row>
    <row r="1969" spans="12:74">
      <c r="L1969" s="265"/>
      <c r="M1969" s="265"/>
      <c r="N1969" s="265"/>
      <c r="O1969" s="265"/>
      <c r="P1969" s="265"/>
      <c r="Q1969" s="265"/>
      <c r="BR1969" s="265"/>
      <c r="BS1969" s="265"/>
      <c r="BT1969" s="265"/>
      <c r="BU1969" s="265"/>
      <c r="BV1969" s="265"/>
    </row>
    <row r="1970" spans="12:74">
      <c r="L1970" s="265"/>
      <c r="M1970" s="265"/>
      <c r="N1970" s="265"/>
      <c r="O1970" s="265"/>
      <c r="P1970" s="265"/>
      <c r="Q1970" s="265"/>
      <c r="BR1970" s="265"/>
      <c r="BS1970" s="265"/>
      <c r="BT1970" s="265"/>
      <c r="BU1970" s="265"/>
      <c r="BV1970" s="265"/>
    </row>
    <row r="1971" spans="12:74">
      <c r="L1971" s="265"/>
      <c r="M1971" s="265"/>
      <c r="N1971" s="265"/>
      <c r="O1971" s="265"/>
      <c r="P1971" s="265"/>
      <c r="Q1971" s="265"/>
      <c r="BR1971" s="265"/>
      <c r="BS1971" s="265"/>
      <c r="BT1971" s="265"/>
      <c r="BU1971" s="265"/>
      <c r="BV1971" s="265"/>
    </row>
    <row r="1972" spans="12:74">
      <c r="L1972" s="265"/>
      <c r="M1972" s="265"/>
      <c r="N1972" s="265"/>
      <c r="O1972" s="265"/>
      <c r="P1972" s="265"/>
      <c r="Q1972" s="265"/>
      <c r="BR1972" s="265"/>
      <c r="BS1972" s="265"/>
      <c r="BT1972" s="265"/>
      <c r="BU1972" s="265"/>
      <c r="BV1972" s="265"/>
    </row>
    <row r="1973" spans="12:74">
      <c r="L1973" s="265"/>
      <c r="M1973" s="265"/>
      <c r="N1973" s="265"/>
      <c r="O1973" s="265"/>
      <c r="P1973" s="265"/>
      <c r="Q1973" s="265"/>
      <c r="BR1973" s="265"/>
      <c r="BS1973" s="265"/>
      <c r="BT1973" s="265"/>
      <c r="BU1973" s="265"/>
      <c r="BV1973" s="265"/>
    </row>
    <row r="1974" spans="12:74">
      <c r="L1974" s="265"/>
      <c r="M1974" s="265"/>
      <c r="N1974" s="265"/>
      <c r="O1974" s="265"/>
      <c r="P1974" s="265"/>
      <c r="Q1974" s="265"/>
      <c r="BR1974" s="265"/>
      <c r="BS1974" s="265"/>
      <c r="BT1974" s="265"/>
      <c r="BU1974" s="265"/>
      <c r="BV1974" s="265"/>
    </row>
    <row r="1975" spans="12:74">
      <c r="L1975" s="265"/>
      <c r="M1975" s="265"/>
      <c r="N1975" s="265"/>
      <c r="O1975" s="265"/>
      <c r="P1975" s="265"/>
      <c r="Q1975" s="265"/>
      <c r="BR1975" s="265"/>
      <c r="BS1975" s="265"/>
      <c r="BT1975" s="265"/>
      <c r="BU1975" s="265"/>
      <c r="BV1975" s="265"/>
    </row>
    <row r="1976" spans="12:74">
      <c r="L1976" s="265"/>
      <c r="M1976" s="265"/>
      <c r="N1976" s="265"/>
      <c r="O1976" s="265"/>
      <c r="P1976" s="265"/>
      <c r="Q1976" s="265"/>
      <c r="BR1976" s="265"/>
      <c r="BS1976" s="265"/>
      <c r="BT1976" s="265"/>
      <c r="BU1976" s="265"/>
      <c r="BV1976" s="265"/>
    </row>
    <row r="1977" spans="12:74">
      <c r="L1977" s="265"/>
      <c r="M1977" s="265"/>
      <c r="N1977" s="265"/>
      <c r="O1977" s="265"/>
      <c r="P1977" s="265"/>
      <c r="Q1977" s="265"/>
      <c r="BR1977" s="265"/>
      <c r="BS1977" s="265"/>
      <c r="BT1977" s="265"/>
      <c r="BU1977" s="265"/>
      <c r="BV1977" s="265"/>
    </row>
    <row r="1978" spans="12:74">
      <c r="L1978" s="265"/>
      <c r="M1978" s="265"/>
      <c r="N1978" s="265"/>
      <c r="O1978" s="265"/>
      <c r="P1978" s="265"/>
      <c r="Q1978" s="265"/>
      <c r="BR1978" s="265"/>
      <c r="BS1978" s="265"/>
      <c r="BT1978" s="265"/>
      <c r="BU1978" s="265"/>
      <c r="BV1978" s="265"/>
    </row>
    <row r="1979" spans="12:74">
      <c r="L1979" s="265"/>
      <c r="M1979" s="265"/>
      <c r="N1979" s="265"/>
      <c r="O1979" s="265"/>
      <c r="P1979" s="265"/>
      <c r="Q1979" s="265"/>
      <c r="BR1979" s="265"/>
      <c r="BS1979" s="265"/>
      <c r="BT1979" s="265"/>
      <c r="BU1979" s="265"/>
      <c r="BV1979" s="265"/>
    </row>
    <row r="1980" spans="12:74">
      <c r="L1980" s="265"/>
      <c r="M1980" s="265"/>
      <c r="N1980" s="265"/>
      <c r="O1980" s="265"/>
      <c r="P1980" s="265"/>
      <c r="Q1980" s="265"/>
      <c r="BR1980" s="265"/>
      <c r="BS1980" s="265"/>
      <c r="BT1980" s="265"/>
      <c r="BU1980" s="265"/>
      <c r="BV1980" s="265"/>
    </row>
    <row r="1981" spans="12:74">
      <c r="L1981" s="265"/>
      <c r="M1981" s="265"/>
      <c r="N1981" s="265"/>
      <c r="O1981" s="265"/>
      <c r="P1981" s="265"/>
      <c r="Q1981" s="265"/>
      <c r="BR1981" s="265"/>
      <c r="BS1981" s="265"/>
      <c r="BT1981" s="265"/>
      <c r="BU1981" s="265"/>
      <c r="BV1981" s="265"/>
    </row>
    <row r="1982" spans="12:74">
      <c r="L1982" s="265"/>
      <c r="M1982" s="265"/>
      <c r="N1982" s="265"/>
      <c r="O1982" s="265"/>
      <c r="P1982" s="265"/>
      <c r="Q1982" s="265"/>
      <c r="BR1982" s="265"/>
      <c r="BS1982" s="265"/>
      <c r="BT1982" s="265"/>
      <c r="BU1982" s="265"/>
      <c r="BV1982" s="265"/>
    </row>
    <row r="1983" spans="12:74">
      <c r="L1983" s="265"/>
      <c r="M1983" s="265"/>
      <c r="N1983" s="265"/>
      <c r="O1983" s="265"/>
      <c r="P1983" s="265"/>
      <c r="Q1983" s="265"/>
      <c r="BR1983" s="265"/>
      <c r="BS1983" s="265"/>
      <c r="BT1983" s="265"/>
      <c r="BU1983" s="265"/>
      <c r="BV1983" s="265"/>
    </row>
    <row r="1984" spans="12:74">
      <c r="L1984" s="265"/>
      <c r="M1984" s="265"/>
      <c r="N1984" s="265"/>
      <c r="O1984" s="265"/>
      <c r="P1984" s="265"/>
      <c r="Q1984" s="265"/>
      <c r="BR1984" s="265"/>
      <c r="BS1984" s="265"/>
      <c r="BT1984" s="265"/>
      <c r="BU1984" s="265"/>
      <c r="BV1984" s="265"/>
    </row>
    <row r="1985" spans="12:74">
      <c r="L1985" s="265"/>
      <c r="M1985" s="265"/>
      <c r="N1985" s="265"/>
      <c r="O1985" s="265"/>
      <c r="P1985" s="265"/>
      <c r="Q1985" s="265"/>
      <c r="BR1985" s="265"/>
      <c r="BS1985" s="265"/>
      <c r="BT1985" s="265"/>
      <c r="BU1985" s="265"/>
      <c r="BV1985" s="265"/>
    </row>
    <row r="1986" spans="12:74">
      <c r="L1986" s="265"/>
      <c r="M1986" s="265"/>
      <c r="N1986" s="265"/>
      <c r="O1986" s="265"/>
      <c r="P1986" s="265"/>
      <c r="Q1986" s="265"/>
      <c r="BR1986" s="265"/>
      <c r="BS1986" s="265"/>
      <c r="BT1986" s="265"/>
      <c r="BU1986" s="265"/>
      <c r="BV1986" s="265"/>
    </row>
    <row r="1987" spans="12:74">
      <c r="L1987" s="265"/>
      <c r="M1987" s="265"/>
      <c r="N1987" s="265"/>
      <c r="O1987" s="265"/>
      <c r="P1987" s="265"/>
      <c r="Q1987" s="265"/>
      <c r="BR1987" s="265"/>
      <c r="BS1987" s="265"/>
      <c r="BT1987" s="265"/>
      <c r="BU1987" s="265"/>
      <c r="BV1987" s="265"/>
    </row>
    <row r="1988" spans="12:74">
      <c r="L1988" s="265"/>
      <c r="M1988" s="265"/>
      <c r="N1988" s="265"/>
      <c r="O1988" s="265"/>
      <c r="P1988" s="265"/>
      <c r="Q1988" s="265"/>
      <c r="BR1988" s="265"/>
      <c r="BS1988" s="265"/>
      <c r="BT1988" s="265"/>
      <c r="BU1988" s="265"/>
      <c r="BV1988" s="265"/>
    </row>
    <row r="1989" spans="12:74">
      <c r="L1989" s="265"/>
      <c r="M1989" s="265"/>
      <c r="N1989" s="265"/>
      <c r="O1989" s="265"/>
      <c r="P1989" s="265"/>
      <c r="Q1989" s="265"/>
      <c r="BR1989" s="265"/>
      <c r="BS1989" s="265"/>
      <c r="BT1989" s="265"/>
      <c r="BU1989" s="265"/>
      <c r="BV1989" s="265"/>
    </row>
    <row r="1990" spans="12:74">
      <c r="L1990" s="265"/>
      <c r="M1990" s="265"/>
      <c r="N1990" s="265"/>
      <c r="O1990" s="265"/>
      <c r="P1990" s="265"/>
      <c r="Q1990" s="265"/>
      <c r="BR1990" s="265"/>
      <c r="BS1990" s="265"/>
      <c r="BT1990" s="265"/>
      <c r="BU1990" s="265"/>
      <c r="BV1990" s="265"/>
    </row>
    <row r="1991" spans="12:74">
      <c r="L1991" s="265"/>
      <c r="M1991" s="265"/>
      <c r="N1991" s="265"/>
      <c r="O1991" s="265"/>
      <c r="P1991" s="265"/>
      <c r="Q1991" s="265"/>
      <c r="BR1991" s="265"/>
      <c r="BS1991" s="265"/>
      <c r="BT1991" s="265"/>
      <c r="BU1991" s="265"/>
      <c r="BV1991" s="265"/>
    </row>
    <row r="1992" spans="12:74">
      <c r="L1992" s="265"/>
      <c r="M1992" s="265"/>
      <c r="N1992" s="265"/>
      <c r="O1992" s="265"/>
      <c r="P1992" s="265"/>
      <c r="Q1992" s="265"/>
      <c r="BR1992" s="265"/>
      <c r="BS1992" s="265"/>
      <c r="BT1992" s="265"/>
      <c r="BU1992" s="265"/>
      <c r="BV1992" s="265"/>
    </row>
    <row r="1993" spans="12:74">
      <c r="L1993" s="265"/>
      <c r="M1993" s="265"/>
      <c r="N1993" s="265"/>
      <c r="O1993" s="265"/>
      <c r="P1993" s="265"/>
      <c r="Q1993" s="265"/>
      <c r="BR1993" s="265"/>
      <c r="BS1993" s="265"/>
      <c r="BT1993" s="265"/>
      <c r="BU1993" s="265"/>
      <c r="BV1993" s="265"/>
    </row>
    <row r="1994" spans="12:74">
      <c r="L1994" s="265"/>
      <c r="M1994" s="265"/>
      <c r="N1994" s="265"/>
      <c r="O1994" s="265"/>
      <c r="P1994" s="265"/>
      <c r="Q1994" s="265"/>
      <c r="BR1994" s="265"/>
      <c r="BS1994" s="265"/>
      <c r="BT1994" s="265"/>
      <c r="BU1994" s="265"/>
      <c r="BV1994" s="265"/>
    </row>
    <row r="1995" spans="12:74">
      <c r="L1995" s="265"/>
      <c r="M1995" s="265"/>
      <c r="N1995" s="265"/>
      <c r="O1995" s="265"/>
      <c r="P1995" s="265"/>
      <c r="Q1995" s="265"/>
      <c r="BR1995" s="265"/>
      <c r="BS1995" s="265"/>
      <c r="BT1995" s="265"/>
      <c r="BU1995" s="265"/>
      <c r="BV1995" s="265"/>
    </row>
    <row r="1996" spans="12:74">
      <c r="L1996" s="265"/>
      <c r="M1996" s="265"/>
      <c r="N1996" s="265"/>
      <c r="O1996" s="265"/>
      <c r="P1996" s="265"/>
      <c r="Q1996" s="265"/>
      <c r="BR1996" s="265"/>
      <c r="BS1996" s="265"/>
      <c r="BT1996" s="265"/>
      <c r="BU1996" s="265"/>
      <c r="BV1996" s="265"/>
    </row>
    <row r="1997" spans="12:74">
      <c r="L1997" s="265"/>
      <c r="M1997" s="265"/>
      <c r="N1997" s="265"/>
      <c r="O1997" s="265"/>
      <c r="P1997" s="265"/>
      <c r="Q1997" s="265"/>
      <c r="BR1997" s="265"/>
      <c r="BS1997" s="265"/>
      <c r="BT1997" s="265"/>
      <c r="BU1997" s="265"/>
      <c r="BV1997" s="265"/>
    </row>
    <row r="1998" spans="12:74">
      <c r="L1998" s="265"/>
      <c r="M1998" s="265"/>
      <c r="N1998" s="265"/>
      <c r="O1998" s="265"/>
      <c r="P1998" s="265"/>
      <c r="Q1998" s="265"/>
      <c r="BR1998" s="265"/>
      <c r="BS1998" s="265"/>
      <c r="BT1998" s="265"/>
      <c r="BU1998" s="265"/>
      <c r="BV1998" s="265"/>
    </row>
    <row r="1999" spans="12:74">
      <c r="L1999" s="265"/>
      <c r="M1999" s="265"/>
      <c r="N1999" s="265"/>
      <c r="O1999" s="265"/>
      <c r="P1999" s="265"/>
      <c r="Q1999" s="265"/>
      <c r="BR1999" s="265"/>
      <c r="BS1999" s="265"/>
      <c r="BT1999" s="265"/>
      <c r="BU1999" s="265"/>
      <c r="BV1999" s="265"/>
    </row>
    <row r="2000" spans="12:74">
      <c r="L2000" s="265"/>
      <c r="M2000" s="265"/>
      <c r="N2000" s="265"/>
      <c r="O2000" s="265"/>
      <c r="P2000" s="265"/>
      <c r="Q2000" s="265"/>
      <c r="BR2000" s="265"/>
      <c r="BS2000" s="265"/>
      <c r="BT2000" s="265"/>
      <c r="BU2000" s="265"/>
      <c r="BV2000" s="265"/>
    </row>
    <row r="2001" spans="12:74">
      <c r="L2001" s="265"/>
      <c r="M2001" s="265"/>
      <c r="N2001" s="265"/>
      <c r="O2001" s="265"/>
      <c r="P2001" s="265"/>
      <c r="Q2001" s="265"/>
      <c r="BR2001" s="265"/>
      <c r="BS2001" s="265"/>
      <c r="BT2001" s="265"/>
      <c r="BU2001" s="265"/>
      <c r="BV2001" s="265"/>
    </row>
    <row r="2002" spans="12:74">
      <c r="L2002" s="265"/>
      <c r="M2002" s="265"/>
      <c r="N2002" s="265"/>
      <c r="O2002" s="265"/>
      <c r="P2002" s="265"/>
      <c r="Q2002" s="265"/>
      <c r="BR2002" s="265"/>
      <c r="BS2002" s="265"/>
      <c r="BT2002" s="265"/>
      <c r="BU2002" s="265"/>
      <c r="BV2002" s="265"/>
    </row>
    <row r="2003" spans="12:74">
      <c r="L2003" s="265"/>
      <c r="M2003" s="265"/>
      <c r="N2003" s="265"/>
      <c r="O2003" s="265"/>
      <c r="P2003" s="265"/>
      <c r="Q2003" s="265"/>
      <c r="BR2003" s="265"/>
      <c r="BS2003" s="265"/>
      <c r="BT2003" s="265"/>
      <c r="BU2003" s="265"/>
      <c r="BV2003" s="265"/>
    </row>
    <row r="2004" spans="12:74">
      <c r="L2004" s="265"/>
      <c r="M2004" s="265"/>
      <c r="N2004" s="265"/>
      <c r="O2004" s="265"/>
      <c r="P2004" s="265"/>
      <c r="Q2004" s="265"/>
      <c r="BR2004" s="265"/>
      <c r="BS2004" s="265"/>
      <c r="BT2004" s="265"/>
      <c r="BU2004" s="265"/>
      <c r="BV2004" s="265"/>
    </row>
    <row r="2005" spans="12:74">
      <c r="L2005" s="265"/>
      <c r="M2005" s="265"/>
      <c r="N2005" s="265"/>
      <c r="O2005" s="265"/>
      <c r="P2005" s="265"/>
      <c r="Q2005" s="265"/>
      <c r="BR2005" s="265"/>
      <c r="BS2005" s="265"/>
      <c r="BT2005" s="265"/>
      <c r="BU2005" s="265"/>
      <c r="BV2005" s="265"/>
    </row>
    <row r="2006" spans="12:74">
      <c r="L2006" s="265"/>
      <c r="M2006" s="265"/>
      <c r="N2006" s="265"/>
      <c r="O2006" s="265"/>
      <c r="P2006" s="265"/>
      <c r="Q2006" s="265"/>
      <c r="BR2006" s="265"/>
      <c r="BS2006" s="265"/>
      <c r="BT2006" s="265"/>
      <c r="BU2006" s="265"/>
      <c r="BV2006" s="265"/>
    </row>
    <row r="2007" spans="12:74">
      <c r="L2007" s="265"/>
      <c r="M2007" s="265"/>
      <c r="N2007" s="265"/>
      <c r="O2007" s="265"/>
      <c r="P2007" s="265"/>
      <c r="Q2007" s="265"/>
      <c r="BR2007" s="265"/>
      <c r="BS2007" s="265"/>
      <c r="BT2007" s="265"/>
      <c r="BU2007" s="265"/>
      <c r="BV2007" s="265"/>
    </row>
    <row r="2008" spans="12:74">
      <c r="L2008" s="265"/>
      <c r="M2008" s="265"/>
      <c r="N2008" s="265"/>
      <c r="O2008" s="265"/>
      <c r="P2008" s="265"/>
      <c r="Q2008" s="265"/>
      <c r="BR2008" s="265"/>
      <c r="BS2008" s="265"/>
      <c r="BT2008" s="265"/>
      <c r="BU2008" s="265"/>
      <c r="BV2008" s="265"/>
    </row>
    <row r="2009" spans="12:74">
      <c r="L2009" s="265"/>
      <c r="M2009" s="265"/>
      <c r="N2009" s="265"/>
      <c r="O2009" s="265"/>
      <c r="P2009" s="265"/>
      <c r="Q2009" s="265"/>
      <c r="BR2009" s="265"/>
      <c r="BS2009" s="265"/>
      <c r="BT2009" s="265"/>
      <c r="BU2009" s="265"/>
      <c r="BV2009" s="265"/>
    </row>
    <row r="2010" spans="12:74">
      <c r="L2010" s="265"/>
      <c r="M2010" s="265"/>
      <c r="N2010" s="265"/>
      <c r="O2010" s="265"/>
      <c r="P2010" s="265"/>
      <c r="Q2010" s="265"/>
      <c r="BR2010" s="265"/>
      <c r="BS2010" s="265"/>
      <c r="BT2010" s="265"/>
      <c r="BU2010" s="265"/>
      <c r="BV2010" s="265"/>
    </row>
    <row r="2011" spans="12:74">
      <c r="L2011" s="265"/>
      <c r="M2011" s="265"/>
      <c r="N2011" s="265"/>
      <c r="O2011" s="265"/>
      <c r="P2011" s="265"/>
      <c r="Q2011" s="265"/>
      <c r="BR2011" s="265"/>
      <c r="BS2011" s="265"/>
      <c r="BT2011" s="265"/>
      <c r="BU2011" s="265"/>
      <c r="BV2011" s="265"/>
    </row>
    <row r="2012" spans="12:74">
      <c r="L2012" s="265"/>
      <c r="M2012" s="265"/>
      <c r="N2012" s="265"/>
      <c r="O2012" s="265"/>
      <c r="P2012" s="265"/>
      <c r="Q2012" s="265"/>
      <c r="BR2012" s="265"/>
      <c r="BS2012" s="265"/>
      <c r="BT2012" s="265"/>
      <c r="BU2012" s="265"/>
      <c r="BV2012" s="265"/>
    </row>
    <row r="2013" spans="12:74">
      <c r="L2013" s="265"/>
      <c r="M2013" s="265"/>
      <c r="N2013" s="265"/>
      <c r="O2013" s="265"/>
      <c r="P2013" s="265"/>
      <c r="Q2013" s="265"/>
      <c r="BR2013" s="265"/>
      <c r="BS2013" s="265"/>
      <c r="BT2013" s="265"/>
      <c r="BU2013" s="265"/>
      <c r="BV2013" s="265"/>
    </row>
    <row r="2014" spans="12:74">
      <c r="L2014" s="265"/>
      <c r="M2014" s="265"/>
      <c r="N2014" s="265"/>
      <c r="O2014" s="265"/>
      <c r="P2014" s="265"/>
      <c r="Q2014" s="265"/>
      <c r="BR2014" s="265"/>
      <c r="BS2014" s="265"/>
      <c r="BT2014" s="265"/>
      <c r="BU2014" s="265"/>
      <c r="BV2014" s="265"/>
    </row>
    <row r="2015" spans="12:74">
      <c r="L2015" s="265"/>
      <c r="M2015" s="265"/>
      <c r="N2015" s="265"/>
      <c r="O2015" s="265"/>
      <c r="P2015" s="265"/>
      <c r="Q2015" s="265"/>
      <c r="BR2015" s="265"/>
      <c r="BS2015" s="265"/>
      <c r="BT2015" s="265"/>
      <c r="BU2015" s="265"/>
      <c r="BV2015" s="265"/>
    </row>
    <row r="2016" spans="12:74">
      <c r="L2016" s="265"/>
      <c r="M2016" s="265"/>
      <c r="N2016" s="265"/>
      <c r="O2016" s="265"/>
      <c r="P2016" s="265"/>
      <c r="Q2016" s="265"/>
      <c r="BR2016" s="265"/>
      <c r="BS2016" s="265"/>
      <c r="BT2016" s="265"/>
      <c r="BU2016" s="265"/>
      <c r="BV2016" s="265"/>
    </row>
    <row r="2017" spans="12:74">
      <c r="L2017" s="265"/>
      <c r="M2017" s="265"/>
      <c r="N2017" s="265"/>
      <c r="O2017" s="265"/>
      <c r="P2017" s="265"/>
      <c r="Q2017" s="265"/>
      <c r="BR2017" s="265"/>
      <c r="BS2017" s="265"/>
      <c r="BT2017" s="265"/>
      <c r="BU2017" s="265"/>
      <c r="BV2017" s="265"/>
    </row>
    <row r="2018" spans="12:74">
      <c r="L2018" s="265"/>
      <c r="M2018" s="265"/>
      <c r="N2018" s="265"/>
      <c r="O2018" s="265"/>
      <c r="P2018" s="265"/>
      <c r="Q2018" s="265"/>
      <c r="BR2018" s="265"/>
      <c r="BS2018" s="265"/>
      <c r="BT2018" s="265"/>
      <c r="BU2018" s="265"/>
      <c r="BV2018" s="265"/>
    </row>
    <row r="2019" spans="12:74">
      <c r="L2019" s="265"/>
      <c r="M2019" s="265"/>
      <c r="N2019" s="265"/>
      <c r="O2019" s="265"/>
      <c r="P2019" s="265"/>
      <c r="Q2019" s="265"/>
      <c r="BR2019" s="265"/>
      <c r="BS2019" s="265"/>
      <c r="BT2019" s="265"/>
      <c r="BU2019" s="265"/>
      <c r="BV2019" s="265"/>
    </row>
    <row r="2020" spans="12:74">
      <c r="L2020" s="265"/>
      <c r="M2020" s="265"/>
      <c r="N2020" s="265"/>
      <c r="O2020" s="265"/>
      <c r="P2020" s="265"/>
      <c r="Q2020" s="265"/>
      <c r="BR2020" s="265"/>
      <c r="BS2020" s="265"/>
      <c r="BT2020" s="265"/>
      <c r="BU2020" s="265"/>
      <c r="BV2020" s="265"/>
    </row>
    <row r="2021" spans="12:74">
      <c r="L2021" s="265"/>
      <c r="M2021" s="265"/>
      <c r="N2021" s="265"/>
      <c r="O2021" s="265"/>
      <c r="P2021" s="265"/>
      <c r="Q2021" s="265"/>
      <c r="BR2021" s="265"/>
      <c r="BS2021" s="265"/>
      <c r="BT2021" s="265"/>
      <c r="BU2021" s="265"/>
      <c r="BV2021" s="265"/>
    </row>
    <row r="2022" spans="12:74">
      <c r="L2022" s="265"/>
      <c r="M2022" s="265"/>
      <c r="N2022" s="265"/>
      <c r="O2022" s="265"/>
      <c r="P2022" s="265"/>
      <c r="Q2022" s="265"/>
      <c r="BR2022" s="265"/>
      <c r="BS2022" s="265"/>
      <c r="BT2022" s="265"/>
      <c r="BU2022" s="265"/>
      <c r="BV2022" s="265"/>
    </row>
    <row r="2023" spans="12:74">
      <c r="L2023" s="265"/>
      <c r="M2023" s="265"/>
      <c r="N2023" s="265"/>
      <c r="O2023" s="265"/>
      <c r="P2023" s="265"/>
      <c r="Q2023" s="265"/>
      <c r="BR2023" s="265"/>
      <c r="BS2023" s="265"/>
      <c r="BT2023" s="265"/>
      <c r="BU2023" s="265"/>
      <c r="BV2023" s="265"/>
    </row>
    <row r="2024" spans="12:74">
      <c r="L2024" s="265"/>
      <c r="M2024" s="265"/>
      <c r="N2024" s="265"/>
      <c r="O2024" s="265"/>
      <c r="P2024" s="265"/>
      <c r="Q2024" s="265"/>
      <c r="BR2024" s="265"/>
      <c r="BS2024" s="265"/>
      <c r="BT2024" s="265"/>
      <c r="BU2024" s="265"/>
      <c r="BV2024" s="265"/>
    </row>
    <row r="2025" spans="12:74">
      <c r="L2025" s="265"/>
      <c r="M2025" s="265"/>
      <c r="N2025" s="265"/>
      <c r="O2025" s="265"/>
      <c r="P2025" s="265"/>
      <c r="Q2025" s="265"/>
      <c r="BR2025" s="265"/>
      <c r="BS2025" s="265"/>
      <c r="BT2025" s="265"/>
      <c r="BU2025" s="265"/>
      <c r="BV2025" s="265"/>
    </row>
    <row r="2026" spans="12:74">
      <c r="L2026" s="265"/>
      <c r="M2026" s="265"/>
      <c r="N2026" s="265"/>
      <c r="O2026" s="265"/>
      <c r="P2026" s="265"/>
      <c r="Q2026" s="265"/>
      <c r="BR2026" s="265"/>
      <c r="BS2026" s="265"/>
      <c r="BT2026" s="265"/>
      <c r="BU2026" s="265"/>
      <c r="BV2026" s="265"/>
    </row>
    <row r="2027" spans="12:74">
      <c r="L2027" s="265"/>
      <c r="M2027" s="265"/>
      <c r="N2027" s="265"/>
      <c r="O2027" s="265"/>
      <c r="P2027" s="265"/>
      <c r="Q2027" s="265"/>
      <c r="BR2027" s="265"/>
      <c r="BS2027" s="265"/>
      <c r="BT2027" s="265"/>
      <c r="BU2027" s="265"/>
      <c r="BV2027" s="265"/>
    </row>
    <row r="2028" spans="12:74">
      <c r="L2028" s="265"/>
      <c r="M2028" s="265"/>
      <c r="N2028" s="265"/>
      <c r="O2028" s="265"/>
      <c r="P2028" s="265"/>
      <c r="Q2028" s="265"/>
      <c r="BR2028" s="265"/>
      <c r="BS2028" s="265"/>
      <c r="BT2028" s="265"/>
      <c r="BU2028" s="265"/>
      <c r="BV2028" s="265"/>
    </row>
    <row r="2029" spans="12:74">
      <c r="L2029" s="265"/>
      <c r="M2029" s="265"/>
      <c r="N2029" s="265"/>
      <c r="O2029" s="265"/>
      <c r="P2029" s="265"/>
      <c r="Q2029" s="265"/>
      <c r="BR2029" s="265"/>
      <c r="BS2029" s="265"/>
      <c r="BT2029" s="265"/>
      <c r="BU2029" s="265"/>
      <c r="BV2029" s="265"/>
    </row>
    <row r="2030" spans="12:74">
      <c r="L2030" s="265"/>
      <c r="M2030" s="265"/>
      <c r="N2030" s="265"/>
      <c r="O2030" s="265"/>
      <c r="P2030" s="265"/>
      <c r="Q2030" s="265"/>
      <c r="BR2030" s="265"/>
      <c r="BS2030" s="265"/>
      <c r="BT2030" s="265"/>
      <c r="BU2030" s="265"/>
      <c r="BV2030" s="265"/>
    </row>
    <row r="2031" spans="12:74">
      <c r="L2031" s="265"/>
      <c r="M2031" s="265"/>
      <c r="N2031" s="265"/>
      <c r="O2031" s="265"/>
      <c r="P2031" s="265"/>
      <c r="Q2031" s="265"/>
      <c r="BR2031" s="265"/>
      <c r="BS2031" s="265"/>
      <c r="BT2031" s="265"/>
      <c r="BU2031" s="265"/>
      <c r="BV2031" s="265"/>
    </row>
    <row r="2032" spans="12:74">
      <c r="L2032" s="265"/>
      <c r="M2032" s="265"/>
      <c r="N2032" s="265"/>
      <c r="O2032" s="265"/>
      <c r="P2032" s="265"/>
      <c r="Q2032" s="265"/>
      <c r="BR2032" s="265"/>
      <c r="BS2032" s="265"/>
      <c r="BT2032" s="265"/>
      <c r="BU2032" s="265"/>
      <c r="BV2032" s="265"/>
    </row>
    <row r="2033" spans="12:74">
      <c r="L2033" s="265"/>
      <c r="M2033" s="265"/>
      <c r="N2033" s="265"/>
      <c r="O2033" s="265"/>
      <c r="P2033" s="265"/>
      <c r="Q2033" s="265"/>
      <c r="BR2033" s="265"/>
      <c r="BS2033" s="265"/>
      <c r="BT2033" s="265"/>
      <c r="BU2033" s="265"/>
      <c r="BV2033" s="265"/>
    </row>
    <row r="2034" spans="12:74">
      <c r="L2034" s="265"/>
      <c r="M2034" s="265"/>
      <c r="N2034" s="265"/>
      <c r="O2034" s="265"/>
      <c r="P2034" s="265"/>
      <c r="Q2034" s="265"/>
      <c r="BR2034" s="265"/>
      <c r="BS2034" s="265"/>
      <c r="BT2034" s="265"/>
      <c r="BU2034" s="265"/>
      <c r="BV2034" s="265"/>
    </row>
    <row r="2035" spans="12:74">
      <c r="L2035" s="265"/>
      <c r="M2035" s="265"/>
      <c r="N2035" s="265"/>
      <c r="O2035" s="265"/>
      <c r="P2035" s="265"/>
      <c r="Q2035" s="265"/>
      <c r="BR2035" s="265"/>
      <c r="BS2035" s="265"/>
      <c r="BT2035" s="265"/>
      <c r="BU2035" s="265"/>
      <c r="BV2035" s="265"/>
    </row>
    <row r="2036" spans="12:74">
      <c r="L2036" s="265"/>
      <c r="M2036" s="265"/>
      <c r="N2036" s="265"/>
      <c r="O2036" s="265"/>
      <c r="P2036" s="265"/>
      <c r="Q2036" s="265"/>
      <c r="BR2036" s="265"/>
      <c r="BS2036" s="265"/>
      <c r="BT2036" s="265"/>
      <c r="BU2036" s="265"/>
      <c r="BV2036" s="265"/>
    </row>
    <row r="2037" spans="12:74">
      <c r="L2037" s="265"/>
      <c r="M2037" s="265"/>
      <c r="N2037" s="265"/>
      <c r="O2037" s="265"/>
      <c r="P2037" s="265"/>
      <c r="Q2037" s="265"/>
      <c r="BR2037" s="265"/>
      <c r="BS2037" s="265"/>
      <c r="BT2037" s="265"/>
      <c r="BU2037" s="265"/>
      <c r="BV2037" s="265"/>
    </row>
    <row r="2038" spans="12:74">
      <c r="L2038" s="265"/>
      <c r="M2038" s="265"/>
      <c r="N2038" s="265"/>
      <c r="O2038" s="265"/>
      <c r="P2038" s="265"/>
      <c r="Q2038" s="265"/>
      <c r="BR2038" s="265"/>
      <c r="BS2038" s="265"/>
      <c r="BT2038" s="265"/>
      <c r="BU2038" s="265"/>
      <c r="BV2038" s="265"/>
    </row>
    <row r="2039" spans="12:74">
      <c r="L2039" s="265"/>
      <c r="M2039" s="265"/>
      <c r="N2039" s="265"/>
      <c r="O2039" s="265"/>
      <c r="P2039" s="265"/>
      <c r="Q2039" s="265"/>
      <c r="BR2039" s="265"/>
      <c r="BS2039" s="265"/>
      <c r="BT2039" s="265"/>
      <c r="BU2039" s="265"/>
      <c r="BV2039" s="265"/>
    </row>
    <row r="2040" spans="12:74">
      <c r="L2040" s="265"/>
      <c r="M2040" s="265"/>
      <c r="N2040" s="265"/>
      <c r="O2040" s="265"/>
      <c r="P2040" s="265"/>
      <c r="Q2040" s="265"/>
      <c r="BR2040" s="265"/>
      <c r="BS2040" s="265"/>
      <c r="BT2040" s="265"/>
      <c r="BU2040" s="265"/>
      <c r="BV2040" s="265"/>
    </row>
    <row r="2041" spans="12:74">
      <c r="L2041" s="265"/>
      <c r="M2041" s="265"/>
      <c r="N2041" s="265"/>
      <c r="O2041" s="265"/>
      <c r="P2041" s="265"/>
      <c r="Q2041" s="265"/>
      <c r="BR2041" s="265"/>
      <c r="BS2041" s="265"/>
      <c r="BT2041" s="265"/>
      <c r="BU2041" s="265"/>
      <c r="BV2041" s="265"/>
    </row>
    <row r="2042" spans="12:74">
      <c r="L2042" s="265"/>
      <c r="M2042" s="265"/>
      <c r="N2042" s="265"/>
      <c r="O2042" s="265"/>
      <c r="P2042" s="265"/>
      <c r="Q2042" s="265"/>
      <c r="BR2042" s="265"/>
      <c r="BS2042" s="265"/>
      <c r="BT2042" s="265"/>
      <c r="BU2042" s="265"/>
      <c r="BV2042" s="265"/>
    </row>
    <row r="2043" spans="12:74">
      <c r="L2043" s="265"/>
      <c r="M2043" s="265"/>
      <c r="N2043" s="265"/>
      <c r="O2043" s="265"/>
      <c r="P2043" s="265"/>
      <c r="Q2043" s="265"/>
      <c r="BR2043" s="265"/>
      <c r="BS2043" s="265"/>
      <c r="BT2043" s="265"/>
      <c r="BU2043" s="265"/>
      <c r="BV2043" s="265"/>
    </row>
    <row r="2044" spans="12:74">
      <c r="L2044" s="265"/>
      <c r="M2044" s="265"/>
      <c r="N2044" s="265"/>
      <c r="O2044" s="265"/>
      <c r="P2044" s="265"/>
      <c r="Q2044" s="265"/>
      <c r="BR2044" s="265"/>
      <c r="BS2044" s="265"/>
      <c r="BT2044" s="265"/>
      <c r="BU2044" s="265"/>
      <c r="BV2044" s="265"/>
    </row>
    <row r="2045" spans="12:74">
      <c r="L2045" s="265"/>
      <c r="M2045" s="265"/>
      <c r="N2045" s="265"/>
      <c r="O2045" s="265"/>
      <c r="P2045" s="265"/>
      <c r="Q2045" s="265"/>
      <c r="BR2045" s="265"/>
      <c r="BS2045" s="265"/>
      <c r="BT2045" s="265"/>
      <c r="BU2045" s="265"/>
      <c r="BV2045" s="265"/>
    </row>
    <row r="2046" spans="12:74">
      <c r="L2046" s="265"/>
      <c r="M2046" s="265"/>
      <c r="N2046" s="265"/>
      <c r="O2046" s="265"/>
      <c r="P2046" s="265"/>
      <c r="Q2046" s="265"/>
      <c r="BR2046" s="265"/>
      <c r="BS2046" s="265"/>
      <c r="BT2046" s="265"/>
      <c r="BU2046" s="265"/>
      <c r="BV2046" s="265"/>
    </row>
    <row r="2047" spans="12:74">
      <c r="L2047" s="265"/>
      <c r="M2047" s="265"/>
      <c r="N2047" s="265"/>
      <c r="O2047" s="265"/>
      <c r="P2047" s="265"/>
      <c r="Q2047" s="265"/>
      <c r="BR2047" s="265"/>
      <c r="BS2047" s="265"/>
      <c r="BT2047" s="265"/>
      <c r="BU2047" s="265"/>
      <c r="BV2047" s="265"/>
    </row>
    <row r="2048" spans="12:74">
      <c r="L2048" s="265"/>
      <c r="M2048" s="265"/>
      <c r="N2048" s="265"/>
      <c r="O2048" s="265"/>
      <c r="P2048" s="265"/>
      <c r="Q2048" s="265"/>
      <c r="BR2048" s="265"/>
      <c r="BS2048" s="265"/>
      <c r="BT2048" s="265"/>
      <c r="BU2048" s="265"/>
      <c r="BV2048" s="265"/>
    </row>
    <row r="2049" spans="12:74">
      <c r="L2049" s="265"/>
      <c r="M2049" s="265"/>
      <c r="N2049" s="265"/>
      <c r="O2049" s="265"/>
      <c r="P2049" s="265"/>
      <c r="Q2049" s="265"/>
      <c r="BR2049" s="265"/>
      <c r="BS2049" s="265"/>
      <c r="BT2049" s="265"/>
      <c r="BU2049" s="265"/>
      <c r="BV2049" s="265"/>
    </row>
    <row r="2050" spans="12:74">
      <c r="L2050" s="265"/>
      <c r="M2050" s="265"/>
      <c r="N2050" s="265"/>
      <c r="O2050" s="265"/>
      <c r="P2050" s="265"/>
      <c r="Q2050" s="265"/>
      <c r="BR2050" s="265"/>
      <c r="BS2050" s="265"/>
      <c r="BT2050" s="265"/>
      <c r="BU2050" s="265"/>
      <c r="BV2050" s="265"/>
    </row>
    <row r="2051" spans="12:74">
      <c r="L2051" s="265"/>
      <c r="M2051" s="265"/>
      <c r="N2051" s="265"/>
      <c r="O2051" s="265"/>
      <c r="P2051" s="265"/>
      <c r="Q2051" s="265"/>
      <c r="BR2051" s="265"/>
      <c r="BS2051" s="265"/>
      <c r="BT2051" s="265"/>
      <c r="BU2051" s="265"/>
      <c r="BV2051" s="265"/>
    </row>
    <row r="2052" spans="12:74">
      <c r="L2052" s="265"/>
      <c r="M2052" s="265"/>
      <c r="N2052" s="265"/>
      <c r="O2052" s="265"/>
      <c r="P2052" s="265"/>
      <c r="Q2052" s="265"/>
      <c r="BR2052" s="265"/>
      <c r="BS2052" s="265"/>
      <c r="BT2052" s="265"/>
      <c r="BU2052" s="265"/>
      <c r="BV2052" s="265"/>
    </row>
    <row r="2053" spans="12:74">
      <c r="L2053" s="265"/>
      <c r="M2053" s="265"/>
      <c r="N2053" s="265"/>
      <c r="O2053" s="265"/>
      <c r="P2053" s="265"/>
      <c r="Q2053" s="265"/>
      <c r="BR2053" s="265"/>
      <c r="BS2053" s="265"/>
      <c r="BT2053" s="265"/>
      <c r="BU2053" s="265"/>
      <c r="BV2053" s="265"/>
    </row>
    <row r="2054" spans="12:74">
      <c r="L2054" s="265"/>
      <c r="M2054" s="265"/>
      <c r="N2054" s="265"/>
      <c r="O2054" s="265"/>
      <c r="P2054" s="265"/>
      <c r="Q2054" s="265"/>
      <c r="BR2054" s="265"/>
      <c r="BS2054" s="265"/>
      <c r="BT2054" s="265"/>
      <c r="BU2054" s="265"/>
      <c r="BV2054" s="265"/>
    </row>
    <row r="2055" spans="12:74">
      <c r="L2055" s="265"/>
      <c r="M2055" s="265"/>
      <c r="N2055" s="265"/>
      <c r="O2055" s="265"/>
      <c r="P2055" s="265"/>
      <c r="Q2055" s="265"/>
      <c r="BR2055" s="265"/>
      <c r="BS2055" s="265"/>
      <c r="BT2055" s="265"/>
      <c r="BU2055" s="265"/>
      <c r="BV2055" s="265"/>
    </row>
    <row r="2056" spans="12:74">
      <c r="L2056" s="265"/>
      <c r="M2056" s="265"/>
      <c r="N2056" s="265"/>
      <c r="O2056" s="265"/>
      <c r="P2056" s="265"/>
      <c r="Q2056" s="265"/>
      <c r="BR2056" s="265"/>
      <c r="BS2056" s="265"/>
      <c r="BT2056" s="265"/>
      <c r="BU2056" s="265"/>
      <c r="BV2056" s="265"/>
    </row>
    <row r="2057" spans="12:74">
      <c r="L2057" s="265"/>
      <c r="M2057" s="265"/>
      <c r="N2057" s="265"/>
      <c r="O2057" s="265"/>
      <c r="P2057" s="265"/>
      <c r="Q2057" s="265"/>
      <c r="BR2057" s="265"/>
      <c r="BS2057" s="265"/>
      <c r="BT2057" s="265"/>
      <c r="BU2057" s="265"/>
      <c r="BV2057" s="265"/>
    </row>
    <row r="2058" spans="12:74">
      <c r="L2058" s="265"/>
      <c r="M2058" s="265"/>
      <c r="N2058" s="265"/>
      <c r="O2058" s="265"/>
      <c r="P2058" s="265"/>
      <c r="Q2058" s="265"/>
      <c r="BR2058" s="265"/>
      <c r="BS2058" s="265"/>
      <c r="BT2058" s="265"/>
      <c r="BU2058" s="265"/>
      <c r="BV2058" s="265"/>
    </row>
    <row r="2059" spans="12:74">
      <c r="L2059" s="265"/>
      <c r="M2059" s="265"/>
      <c r="N2059" s="265"/>
      <c r="O2059" s="265"/>
      <c r="P2059" s="265"/>
      <c r="Q2059" s="265"/>
      <c r="BR2059" s="265"/>
      <c r="BS2059" s="265"/>
      <c r="BT2059" s="265"/>
      <c r="BU2059" s="265"/>
      <c r="BV2059" s="265"/>
    </row>
    <row r="2060" spans="12:74">
      <c r="L2060" s="265"/>
      <c r="M2060" s="265"/>
      <c r="N2060" s="265"/>
      <c r="O2060" s="265"/>
      <c r="P2060" s="265"/>
      <c r="Q2060" s="265"/>
      <c r="BR2060" s="265"/>
      <c r="BS2060" s="265"/>
      <c r="BT2060" s="265"/>
      <c r="BU2060" s="265"/>
      <c r="BV2060" s="265"/>
    </row>
    <row r="2061" spans="12:74">
      <c r="L2061" s="265"/>
      <c r="M2061" s="265"/>
      <c r="N2061" s="265"/>
      <c r="O2061" s="265"/>
      <c r="P2061" s="265"/>
      <c r="Q2061" s="265"/>
      <c r="BR2061" s="265"/>
      <c r="BS2061" s="265"/>
      <c r="BT2061" s="265"/>
      <c r="BU2061" s="265"/>
      <c r="BV2061" s="265"/>
    </row>
    <row r="2062" spans="12:74">
      <c r="L2062" s="265"/>
      <c r="M2062" s="265"/>
      <c r="N2062" s="265"/>
      <c r="O2062" s="265"/>
      <c r="P2062" s="265"/>
      <c r="Q2062" s="265"/>
      <c r="BR2062" s="265"/>
      <c r="BS2062" s="265"/>
      <c r="BT2062" s="265"/>
      <c r="BU2062" s="265"/>
      <c r="BV2062" s="265"/>
    </row>
    <row r="2063" spans="12:74">
      <c r="L2063" s="265"/>
      <c r="M2063" s="265"/>
      <c r="N2063" s="265"/>
      <c r="O2063" s="265"/>
      <c r="P2063" s="265"/>
      <c r="Q2063" s="265"/>
      <c r="BR2063" s="265"/>
      <c r="BS2063" s="265"/>
      <c r="BT2063" s="265"/>
      <c r="BU2063" s="265"/>
      <c r="BV2063" s="265"/>
    </row>
    <row r="2064" spans="12:74">
      <c r="L2064" s="265"/>
      <c r="M2064" s="265"/>
      <c r="N2064" s="265"/>
      <c r="O2064" s="265"/>
      <c r="P2064" s="265"/>
      <c r="Q2064" s="265"/>
      <c r="BR2064" s="265"/>
      <c r="BS2064" s="265"/>
      <c r="BT2064" s="265"/>
      <c r="BU2064" s="265"/>
      <c r="BV2064" s="265"/>
    </row>
    <row r="2065" spans="12:74">
      <c r="L2065" s="265"/>
      <c r="M2065" s="265"/>
      <c r="N2065" s="265"/>
      <c r="O2065" s="265"/>
      <c r="P2065" s="265"/>
      <c r="Q2065" s="265"/>
      <c r="BR2065" s="265"/>
      <c r="BS2065" s="265"/>
      <c r="BT2065" s="265"/>
      <c r="BU2065" s="265"/>
      <c r="BV2065" s="265"/>
    </row>
    <row r="2066" spans="12:74">
      <c r="L2066" s="265"/>
      <c r="M2066" s="265"/>
      <c r="N2066" s="265"/>
      <c r="O2066" s="265"/>
      <c r="P2066" s="265"/>
      <c r="Q2066" s="265"/>
      <c r="BR2066" s="265"/>
      <c r="BS2066" s="265"/>
      <c r="BT2066" s="265"/>
      <c r="BU2066" s="265"/>
      <c r="BV2066" s="265"/>
    </row>
    <row r="2067" spans="12:74">
      <c r="L2067" s="265"/>
      <c r="M2067" s="265"/>
      <c r="N2067" s="265"/>
      <c r="O2067" s="265"/>
      <c r="P2067" s="265"/>
      <c r="Q2067" s="265"/>
      <c r="BR2067" s="265"/>
      <c r="BS2067" s="265"/>
      <c r="BT2067" s="265"/>
      <c r="BU2067" s="265"/>
      <c r="BV2067" s="265"/>
    </row>
    <row r="2068" spans="12:74">
      <c r="L2068" s="265"/>
      <c r="M2068" s="265"/>
      <c r="N2068" s="265"/>
      <c r="O2068" s="265"/>
      <c r="P2068" s="265"/>
      <c r="Q2068" s="265"/>
      <c r="BR2068" s="265"/>
      <c r="BS2068" s="265"/>
      <c r="BT2068" s="265"/>
      <c r="BU2068" s="265"/>
      <c r="BV2068" s="265"/>
    </row>
    <row r="2069" spans="12:74">
      <c r="L2069" s="265"/>
      <c r="M2069" s="265"/>
      <c r="N2069" s="265"/>
      <c r="O2069" s="265"/>
      <c r="P2069" s="265"/>
      <c r="Q2069" s="265"/>
      <c r="BR2069" s="265"/>
      <c r="BS2069" s="265"/>
      <c r="BT2069" s="265"/>
      <c r="BU2069" s="265"/>
      <c r="BV2069" s="265"/>
    </row>
    <row r="2070" spans="12:74">
      <c r="L2070" s="265"/>
      <c r="M2070" s="265"/>
      <c r="N2070" s="265"/>
      <c r="O2070" s="265"/>
      <c r="P2070" s="265"/>
      <c r="Q2070" s="265"/>
      <c r="BR2070" s="265"/>
      <c r="BS2070" s="265"/>
      <c r="BT2070" s="265"/>
      <c r="BU2070" s="265"/>
      <c r="BV2070" s="265"/>
    </row>
    <row r="2071" spans="12:74">
      <c r="L2071" s="265"/>
      <c r="M2071" s="265"/>
      <c r="N2071" s="265"/>
      <c r="O2071" s="265"/>
      <c r="P2071" s="265"/>
      <c r="Q2071" s="265"/>
      <c r="BR2071" s="265"/>
      <c r="BS2071" s="265"/>
      <c r="BT2071" s="265"/>
      <c r="BU2071" s="265"/>
      <c r="BV2071" s="265"/>
    </row>
    <row r="2072" spans="12:74">
      <c r="L2072" s="265"/>
      <c r="M2072" s="265"/>
      <c r="N2072" s="265"/>
      <c r="O2072" s="265"/>
      <c r="P2072" s="265"/>
      <c r="Q2072" s="265"/>
      <c r="BR2072" s="265"/>
      <c r="BS2072" s="265"/>
      <c r="BT2072" s="265"/>
      <c r="BU2072" s="265"/>
      <c r="BV2072" s="265"/>
    </row>
    <row r="2073" spans="12:74">
      <c r="L2073" s="265"/>
      <c r="M2073" s="265"/>
      <c r="N2073" s="265"/>
      <c r="O2073" s="265"/>
      <c r="P2073" s="265"/>
      <c r="Q2073" s="265"/>
      <c r="BR2073" s="265"/>
      <c r="BS2073" s="265"/>
      <c r="BT2073" s="265"/>
      <c r="BU2073" s="265"/>
      <c r="BV2073" s="265"/>
    </row>
    <row r="2074" spans="12:74">
      <c r="L2074" s="265"/>
      <c r="M2074" s="265"/>
      <c r="N2074" s="265"/>
      <c r="O2074" s="265"/>
      <c r="P2074" s="265"/>
      <c r="Q2074" s="265"/>
      <c r="BR2074" s="265"/>
      <c r="BS2074" s="265"/>
      <c r="BT2074" s="265"/>
      <c r="BU2074" s="265"/>
      <c r="BV2074" s="265"/>
    </row>
    <row r="2075" spans="12:74">
      <c r="L2075" s="265"/>
      <c r="M2075" s="265"/>
      <c r="N2075" s="265"/>
      <c r="O2075" s="265"/>
      <c r="P2075" s="265"/>
      <c r="Q2075" s="265"/>
      <c r="BR2075" s="265"/>
      <c r="BS2075" s="265"/>
      <c r="BT2075" s="265"/>
      <c r="BU2075" s="265"/>
      <c r="BV2075" s="265"/>
    </row>
    <row r="2076" spans="12:74">
      <c r="L2076" s="265"/>
      <c r="M2076" s="265"/>
      <c r="N2076" s="265"/>
      <c r="O2076" s="265"/>
      <c r="P2076" s="265"/>
      <c r="Q2076" s="265"/>
      <c r="BR2076" s="265"/>
      <c r="BS2076" s="265"/>
      <c r="BT2076" s="265"/>
      <c r="BU2076" s="265"/>
      <c r="BV2076" s="265"/>
    </row>
    <row r="2077" spans="12:74">
      <c r="L2077" s="265"/>
      <c r="M2077" s="265"/>
      <c r="N2077" s="265"/>
      <c r="O2077" s="265"/>
      <c r="P2077" s="265"/>
      <c r="Q2077" s="265"/>
      <c r="BR2077" s="265"/>
      <c r="BS2077" s="265"/>
      <c r="BT2077" s="265"/>
      <c r="BU2077" s="265"/>
      <c r="BV2077" s="265"/>
    </row>
    <row r="2078" spans="12:74">
      <c r="L2078" s="265"/>
      <c r="M2078" s="265"/>
      <c r="N2078" s="265"/>
      <c r="O2078" s="265"/>
      <c r="P2078" s="265"/>
      <c r="Q2078" s="265"/>
      <c r="BR2078" s="265"/>
      <c r="BS2078" s="265"/>
      <c r="BT2078" s="265"/>
      <c r="BU2078" s="265"/>
      <c r="BV2078" s="265"/>
    </row>
    <row r="2079" spans="12:74">
      <c r="L2079" s="265"/>
      <c r="M2079" s="265"/>
      <c r="N2079" s="265"/>
      <c r="O2079" s="265"/>
      <c r="P2079" s="265"/>
      <c r="Q2079" s="265"/>
      <c r="BR2079" s="265"/>
      <c r="BS2079" s="265"/>
      <c r="BT2079" s="265"/>
      <c r="BU2079" s="265"/>
      <c r="BV2079" s="265"/>
    </row>
    <row r="2080" spans="12:74">
      <c r="L2080" s="265"/>
      <c r="M2080" s="265"/>
      <c r="N2080" s="265"/>
      <c r="O2080" s="265"/>
      <c r="P2080" s="265"/>
      <c r="Q2080" s="265"/>
      <c r="BR2080" s="265"/>
      <c r="BS2080" s="265"/>
      <c r="BT2080" s="265"/>
      <c r="BU2080" s="265"/>
      <c r="BV2080" s="265"/>
    </row>
    <row r="2081" spans="12:74">
      <c r="L2081" s="265"/>
      <c r="M2081" s="265"/>
      <c r="N2081" s="265"/>
      <c r="O2081" s="265"/>
      <c r="P2081" s="265"/>
      <c r="Q2081" s="265"/>
      <c r="BR2081" s="265"/>
      <c r="BS2081" s="265"/>
      <c r="BT2081" s="265"/>
      <c r="BU2081" s="265"/>
      <c r="BV2081" s="265"/>
    </row>
    <row r="2082" spans="12:74">
      <c r="L2082" s="265"/>
      <c r="M2082" s="265"/>
      <c r="N2082" s="265"/>
      <c r="O2082" s="265"/>
      <c r="P2082" s="265"/>
      <c r="Q2082" s="265"/>
      <c r="BR2082" s="265"/>
      <c r="BS2082" s="265"/>
      <c r="BT2082" s="265"/>
      <c r="BU2082" s="265"/>
      <c r="BV2082" s="265"/>
    </row>
    <row r="2083" spans="12:74">
      <c r="L2083" s="265"/>
      <c r="M2083" s="265"/>
      <c r="N2083" s="265"/>
      <c r="O2083" s="265"/>
      <c r="P2083" s="265"/>
      <c r="Q2083" s="265"/>
      <c r="BR2083" s="265"/>
      <c r="BS2083" s="265"/>
      <c r="BT2083" s="265"/>
      <c r="BU2083" s="265"/>
      <c r="BV2083" s="265"/>
    </row>
    <row r="2084" spans="12:74">
      <c r="L2084" s="265"/>
      <c r="M2084" s="265"/>
      <c r="N2084" s="265"/>
      <c r="O2084" s="265"/>
      <c r="P2084" s="265"/>
      <c r="Q2084" s="265"/>
      <c r="BR2084" s="265"/>
      <c r="BS2084" s="265"/>
      <c r="BT2084" s="265"/>
      <c r="BU2084" s="265"/>
      <c r="BV2084" s="265"/>
    </row>
    <row r="2085" spans="12:74">
      <c r="L2085" s="265"/>
      <c r="M2085" s="265"/>
      <c r="N2085" s="265"/>
      <c r="O2085" s="265"/>
      <c r="P2085" s="265"/>
      <c r="Q2085" s="265"/>
      <c r="BR2085" s="265"/>
      <c r="BS2085" s="265"/>
      <c r="BT2085" s="265"/>
      <c r="BU2085" s="265"/>
      <c r="BV2085" s="265"/>
    </row>
    <row r="2086" spans="12:74">
      <c r="L2086" s="265"/>
      <c r="M2086" s="265"/>
      <c r="N2086" s="265"/>
      <c r="O2086" s="265"/>
      <c r="P2086" s="265"/>
      <c r="Q2086" s="265"/>
      <c r="BR2086" s="265"/>
      <c r="BS2086" s="265"/>
      <c r="BT2086" s="265"/>
      <c r="BU2086" s="265"/>
      <c r="BV2086" s="265"/>
    </row>
    <row r="2087" spans="12:74">
      <c r="L2087" s="265"/>
      <c r="M2087" s="265"/>
      <c r="N2087" s="265"/>
      <c r="O2087" s="265"/>
      <c r="P2087" s="265"/>
      <c r="Q2087" s="265"/>
      <c r="BR2087" s="265"/>
      <c r="BS2087" s="265"/>
      <c r="BT2087" s="265"/>
      <c r="BU2087" s="265"/>
      <c r="BV2087" s="265"/>
    </row>
    <row r="2088" spans="12:74">
      <c r="L2088" s="265"/>
      <c r="M2088" s="265"/>
      <c r="N2088" s="265"/>
      <c r="O2088" s="265"/>
      <c r="P2088" s="265"/>
      <c r="Q2088" s="265"/>
      <c r="BR2088" s="265"/>
      <c r="BS2088" s="265"/>
      <c r="BT2088" s="265"/>
      <c r="BU2088" s="265"/>
      <c r="BV2088" s="265"/>
    </row>
    <row r="2089" spans="12:74">
      <c r="L2089" s="265"/>
      <c r="M2089" s="265"/>
      <c r="N2089" s="265"/>
      <c r="O2089" s="265"/>
      <c r="P2089" s="265"/>
      <c r="Q2089" s="265"/>
      <c r="BR2089" s="265"/>
      <c r="BS2089" s="265"/>
      <c r="BT2089" s="265"/>
      <c r="BU2089" s="265"/>
      <c r="BV2089" s="265"/>
    </row>
    <row r="2090" spans="12:74">
      <c r="L2090" s="265"/>
      <c r="M2090" s="265"/>
      <c r="N2090" s="265"/>
      <c r="O2090" s="265"/>
      <c r="P2090" s="265"/>
      <c r="Q2090" s="265"/>
      <c r="BR2090" s="265"/>
      <c r="BS2090" s="265"/>
      <c r="BT2090" s="265"/>
      <c r="BU2090" s="265"/>
      <c r="BV2090" s="265"/>
    </row>
    <row r="2091" spans="12:74">
      <c r="L2091" s="265"/>
      <c r="M2091" s="265"/>
      <c r="N2091" s="265"/>
      <c r="O2091" s="265"/>
      <c r="P2091" s="265"/>
      <c r="Q2091" s="265"/>
      <c r="BR2091" s="265"/>
      <c r="BS2091" s="265"/>
      <c r="BT2091" s="265"/>
      <c r="BU2091" s="265"/>
      <c r="BV2091" s="265"/>
    </row>
    <row r="2092" spans="12:74">
      <c r="L2092" s="265"/>
      <c r="M2092" s="265"/>
      <c r="N2092" s="265"/>
      <c r="O2092" s="265"/>
      <c r="P2092" s="265"/>
      <c r="Q2092" s="265"/>
      <c r="BR2092" s="265"/>
      <c r="BS2092" s="265"/>
      <c r="BT2092" s="265"/>
      <c r="BU2092" s="265"/>
      <c r="BV2092" s="265"/>
    </row>
    <row r="2093" spans="12:74">
      <c r="L2093" s="265"/>
      <c r="M2093" s="265"/>
      <c r="N2093" s="265"/>
      <c r="O2093" s="265"/>
      <c r="P2093" s="265"/>
      <c r="Q2093" s="265"/>
      <c r="BR2093" s="265"/>
      <c r="BS2093" s="265"/>
      <c r="BT2093" s="265"/>
      <c r="BU2093" s="265"/>
      <c r="BV2093" s="265"/>
    </row>
    <row r="2094" spans="12:74">
      <c r="L2094" s="265"/>
      <c r="M2094" s="265"/>
      <c r="N2094" s="265"/>
      <c r="O2094" s="265"/>
      <c r="P2094" s="265"/>
      <c r="Q2094" s="265"/>
      <c r="BR2094" s="265"/>
      <c r="BS2094" s="265"/>
      <c r="BT2094" s="265"/>
      <c r="BU2094" s="265"/>
      <c r="BV2094" s="265"/>
    </row>
    <row r="2095" spans="12:74">
      <c r="L2095" s="265"/>
      <c r="M2095" s="265"/>
      <c r="N2095" s="265"/>
      <c r="O2095" s="265"/>
      <c r="P2095" s="265"/>
      <c r="Q2095" s="265"/>
      <c r="BR2095" s="265"/>
      <c r="BS2095" s="265"/>
      <c r="BT2095" s="265"/>
      <c r="BU2095" s="265"/>
      <c r="BV2095" s="265"/>
    </row>
    <row r="2096" spans="12:74">
      <c r="L2096" s="265"/>
      <c r="M2096" s="265"/>
      <c r="N2096" s="265"/>
      <c r="O2096" s="265"/>
      <c r="P2096" s="265"/>
      <c r="Q2096" s="265"/>
      <c r="BR2096" s="265"/>
      <c r="BS2096" s="265"/>
      <c r="BT2096" s="265"/>
      <c r="BU2096" s="265"/>
      <c r="BV2096" s="265"/>
    </row>
    <row r="2097" spans="12:74">
      <c r="L2097" s="265"/>
      <c r="M2097" s="265"/>
      <c r="N2097" s="265"/>
      <c r="O2097" s="265"/>
      <c r="P2097" s="265"/>
      <c r="Q2097" s="265"/>
      <c r="BR2097" s="265"/>
      <c r="BS2097" s="265"/>
      <c r="BT2097" s="265"/>
      <c r="BU2097" s="265"/>
      <c r="BV2097" s="265"/>
    </row>
    <row r="2098" spans="12:74">
      <c r="L2098" s="265"/>
      <c r="M2098" s="265"/>
      <c r="N2098" s="265"/>
      <c r="O2098" s="265"/>
      <c r="P2098" s="265"/>
      <c r="Q2098" s="265"/>
      <c r="BR2098" s="265"/>
      <c r="BS2098" s="265"/>
      <c r="BT2098" s="265"/>
      <c r="BU2098" s="265"/>
      <c r="BV2098" s="265"/>
    </row>
    <row r="2099" spans="12:74">
      <c r="L2099" s="265"/>
      <c r="M2099" s="265"/>
      <c r="N2099" s="265"/>
      <c r="O2099" s="265"/>
      <c r="P2099" s="265"/>
      <c r="Q2099" s="265"/>
      <c r="BR2099" s="265"/>
      <c r="BS2099" s="265"/>
      <c r="BT2099" s="265"/>
      <c r="BU2099" s="265"/>
      <c r="BV2099" s="265"/>
    </row>
    <row r="2100" spans="12:74">
      <c r="L2100" s="265"/>
      <c r="M2100" s="265"/>
      <c r="N2100" s="265"/>
      <c r="O2100" s="265"/>
      <c r="P2100" s="265"/>
      <c r="Q2100" s="265"/>
      <c r="BR2100" s="265"/>
      <c r="BS2100" s="265"/>
      <c r="BT2100" s="265"/>
      <c r="BU2100" s="265"/>
      <c r="BV2100" s="265"/>
    </row>
    <row r="2101" spans="12:74">
      <c r="L2101" s="265"/>
      <c r="M2101" s="265"/>
      <c r="N2101" s="265"/>
      <c r="O2101" s="265"/>
      <c r="P2101" s="265"/>
      <c r="Q2101" s="265"/>
      <c r="BR2101" s="265"/>
      <c r="BS2101" s="265"/>
      <c r="BT2101" s="265"/>
      <c r="BU2101" s="265"/>
      <c r="BV2101" s="265"/>
    </row>
    <row r="2102" spans="12:74">
      <c r="L2102" s="265"/>
      <c r="M2102" s="265"/>
      <c r="N2102" s="265"/>
      <c r="O2102" s="265"/>
      <c r="P2102" s="265"/>
      <c r="Q2102" s="265"/>
      <c r="BR2102" s="265"/>
      <c r="BS2102" s="265"/>
      <c r="BT2102" s="265"/>
      <c r="BU2102" s="265"/>
      <c r="BV2102" s="265"/>
    </row>
    <row r="2103" spans="12:74">
      <c r="L2103" s="265"/>
      <c r="M2103" s="265"/>
      <c r="N2103" s="265"/>
      <c r="O2103" s="265"/>
      <c r="P2103" s="265"/>
      <c r="Q2103" s="265"/>
      <c r="BR2103" s="265"/>
      <c r="BS2103" s="265"/>
      <c r="BT2103" s="265"/>
      <c r="BU2103" s="265"/>
      <c r="BV2103" s="265"/>
    </row>
    <row r="2104" spans="12:74">
      <c r="L2104" s="265"/>
      <c r="M2104" s="265"/>
      <c r="N2104" s="265"/>
      <c r="O2104" s="265"/>
      <c r="P2104" s="265"/>
      <c r="Q2104" s="265"/>
      <c r="BR2104" s="265"/>
      <c r="BS2104" s="265"/>
      <c r="BT2104" s="265"/>
      <c r="BU2104" s="265"/>
      <c r="BV2104" s="265"/>
    </row>
    <row r="2105" spans="12:74">
      <c r="L2105" s="265"/>
      <c r="M2105" s="265"/>
      <c r="N2105" s="265"/>
      <c r="O2105" s="265"/>
      <c r="P2105" s="265"/>
      <c r="Q2105" s="265"/>
      <c r="BR2105" s="265"/>
      <c r="BS2105" s="265"/>
      <c r="BT2105" s="265"/>
      <c r="BU2105" s="265"/>
      <c r="BV2105" s="265"/>
    </row>
    <row r="2106" spans="12:74">
      <c r="L2106" s="265"/>
      <c r="M2106" s="265"/>
      <c r="N2106" s="265"/>
      <c r="O2106" s="265"/>
      <c r="P2106" s="265"/>
      <c r="Q2106" s="265"/>
      <c r="BR2106" s="265"/>
      <c r="BS2106" s="265"/>
      <c r="BT2106" s="265"/>
      <c r="BU2106" s="265"/>
      <c r="BV2106" s="265"/>
    </row>
    <row r="2107" spans="12:74">
      <c r="L2107" s="265"/>
      <c r="M2107" s="265"/>
      <c r="N2107" s="265"/>
      <c r="O2107" s="265"/>
      <c r="P2107" s="265"/>
      <c r="Q2107" s="265"/>
      <c r="BR2107" s="265"/>
      <c r="BS2107" s="265"/>
      <c r="BT2107" s="265"/>
      <c r="BU2107" s="265"/>
      <c r="BV2107" s="265"/>
    </row>
    <row r="2108" spans="12:74">
      <c r="L2108" s="265"/>
      <c r="M2108" s="265"/>
      <c r="N2108" s="265"/>
      <c r="O2108" s="265"/>
      <c r="P2108" s="265"/>
      <c r="Q2108" s="265"/>
      <c r="BR2108" s="265"/>
      <c r="BS2108" s="265"/>
      <c r="BT2108" s="265"/>
      <c r="BU2108" s="265"/>
      <c r="BV2108" s="265"/>
    </row>
    <row r="2109" spans="12:74">
      <c r="L2109" s="265"/>
      <c r="M2109" s="265"/>
      <c r="N2109" s="265"/>
      <c r="O2109" s="265"/>
      <c r="P2109" s="265"/>
      <c r="Q2109" s="265"/>
      <c r="BR2109" s="265"/>
      <c r="BS2109" s="265"/>
      <c r="BT2109" s="265"/>
      <c r="BU2109" s="265"/>
      <c r="BV2109" s="265"/>
    </row>
    <row r="2110" spans="12:74">
      <c r="L2110" s="265"/>
      <c r="M2110" s="265"/>
      <c r="N2110" s="265"/>
      <c r="O2110" s="265"/>
      <c r="P2110" s="265"/>
      <c r="Q2110" s="265"/>
      <c r="BR2110" s="265"/>
      <c r="BS2110" s="265"/>
      <c r="BT2110" s="265"/>
      <c r="BU2110" s="265"/>
      <c r="BV2110" s="265"/>
    </row>
    <row r="2111" spans="12:74">
      <c r="L2111" s="265"/>
      <c r="M2111" s="265"/>
      <c r="N2111" s="265"/>
      <c r="O2111" s="265"/>
      <c r="P2111" s="265"/>
      <c r="Q2111" s="265"/>
      <c r="BR2111" s="265"/>
      <c r="BS2111" s="265"/>
      <c r="BT2111" s="265"/>
      <c r="BU2111" s="265"/>
      <c r="BV2111" s="265"/>
    </row>
    <row r="2112" spans="12:74">
      <c r="L2112" s="265"/>
      <c r="M2112" s="265"/>
      <c r="N2112" s="265"/>
      <c r="O2112" s="265"/>
      <c r="P2112" s="265"/>
      <c r="Q2112" s="265"/>
      <c r="BR2112" s="265"/>
      <c r="BS2112" s="265"/>
      <c r="BT2112" s="265"/>
      <c r="BU2112" s="265"/>
      <c r="BV2112" s="265"/>
    </row>
    <row r="2113" spans="12:74">
      <c r="L2113" s="265"/>
      <c r="M2113" s="265"/>
      <c r="N2113" s="265"/>
      <c r="O2113" s="265"/>
      <c r="P2113" s="265"/>
      <c r="Q2113" s="265"/>
      <c r="BR2113" s="265"/>
      <c r="BS2113" s="265"/>
      <c r="BT2113" s="265"/>
      <c r="BU2113" s="265"/>
      <c r="BV2113" s="265"/>
    </row>
    <row r="2114" spans="12:74">
      <c r="L2114" s="265"/>
      <c r="M2114" s="265"/>
      <c r="N2114" s="265"/>
      <c r="O2114" s="265"/>
      <c r="P2114" s="265"/>
      <c r="Q2114" s="265"/>
      <c r="BR2114" s="265"/>
      <c r="BS2114" s="265"/>
      <c r="BT2114" s="265"/>
      <c r="BU2114" s="265"/>
      <c r="BV2114" s="265"/>
    </row>
    <row r="2115" spans="12:74">
      <c r="L2115" s="265"/>
      <c r="M2115" s="265"/>
      <c r="N2115" s="265"/>
      <c r="O2115" s="265"/>
      <c r="P2115" s="265"/>
      <c r="Q2115" s="265"/>
      <c r="BR2115" s="265"/>
      <c r="BS2115" s="265"/>
      <c r="BT2115" s="265"/>
      <c r="BU2115" s="265"/>
      <c r="BV2115" s="265"/>
    </row>
    <row r="2116" spans="12:74">
      <c r="L2116" s="265"/>
      <c r="M2116" s="265"/>
      <c r="N2116" s="265"/>
      <c r="O2116" s="265"/>
      <c r="P2116" s="265"/>
      <c r="Q2116" s="265"/>
      <c r="BR2116" s="265"/>
      <c r="BS2116" s="265"/>
      <c r="BT2116" s="265"/>
      <c r="BU2116" s="265"/>
      <c r="BV2116" s="265"/>
    </row>
    <row r="2117" spans="12:74">
      <c r="L2117" s="265"/>
      <c r="M2117" s="265"/>
      <c r="N2117" s="265"/>
      <c r="O2117" s="265"/>
      <c r="P2117" s="265"/>
      <c r="Q2117" s="265"/>
      <c r="BR2117" s="265"/>
      <c r="BS2117" s="265"/>
      <c r="BT2117" s="265"/>
      <c r="BU2117" s="265"/>
      <c r="BV2117" s="265"/>
    </row>
    <row r="2118" spans="12:74">
      <c r="L2118" s="265"/>
      <c r="M2118" s="265"/>
      <c r="N2118" s="265"/>
      <c r="O2118" s="265"/>
      <c r="P2118" s="265"/>
      <c r="Q2118" s="265"/>
      <c r="BR2118" s="265"/>
      <c r="BS2118" s="265"/>
      <c r="BT2118" s="265"/>
      <c r="BU2118" s="265"/>
      <c r="BV2118" s="265"/>
    </row>
    <row r="2119" spans="12:74">
      <c r="L2119" s="265"/>
      <c r="M2119" s="265"/>
      <c r="N2119" s="265"/>
      <c r="O2119" s="265"/>
      <c r="P2119" s="265"/>
      <c r="Q2119" s="265"/>
      <c r="BR2119" s="265"/>
      <c r="BS2119" s="265"/>
      <c r="BT2119" s="265"/>
      <c r="BU2119" s="265"/>
      <c r="BV2119" s="265"/>
    </row>
    <row r="2120" spans="12:74">
      <c r="L2120" s="265"/>
      <c r="M2120" s="265"/>
      <c r="N2120" s="265"/>
      <c r="O2120" s="265"/>
      <c r="P2120" s="265"/>
      <c r="Q2120" s="265"/>
      <c r="BR2120" s="265"/>
      <c r="BS2120" s="265"/>
      <c r="BT2120" s="265"/>
      <c r="BU2120" s="265"/>
      <c r="BV2120" s="265"/>
    </row>
    <row r="2121" spans="12:74">
      <c r="L2121" s="265"/>
      <c r="M2121" s="265"/>
      <c r="N2121" s="265"/>
      <c r="O2121" s="265"/>
      <c r="P2121" s="265"/>
      <c r="Q2121" s="265"/>
      <c r="BR2121" s="265"/>
      <c r="BS2121" s="265"/>
      <c r="BT2121" s="265"/>
      <c r="BU2121" s="265"/>
      <c r="BV2121" s="265"/>
    </row>
    <row r="2122" spans="12:74">
      <c r="L2122" s="265"/>
      <c r="M2122" s="265"/>
      <c r="N2122" s="265"/>
      <c r="O2122" s="265"/>
      <c r="P2122" s="265"/>
      <c r="Q2122" s="265"/>
      <c r="BR2122" s="265"/>
      <c r="BS2122" s="265"/>
      <c r="BT2122" s="265"/>
      <c r="BU2122" s="265"/>
      <c r="BV2122" s="265"/>
    </row>
    <row r="2123" spans="12:74">
      <c r="L2123" s="265"/>
      <c r="M2123" s="265"/>
      <c r="N2123" s="265"/>
      <c r="O2123" s="265"/>
      <c r="P2123" s="265"/>
      <c r="Q2123" s="265"/>
      <c r="BR2123" s="265"/>
      <c r="BS2123" s="265"/>
      <c r="BT2123" s="265"/>
      <c r="BU2123" s="265"/>
      <c r="BV2123" s="265"/>
    </row>
    <row r="2124" spans="12:74">
      <c r="L2124" s="265"/>
      <c r="M2124" s="265"/>
      <c r="N2124" s="265"/>
      <c r="O2124" s="265"/>
      <c r="P2124" s="265"/>
      <c r="Q2124" s="265"/>
      <c r="BR2124" s="265"/>
      <c r="BS2124" s="265"/>
      <c r="BT2124" s="265"/>
      <c r="BU2124" s="265"/>
      <c r="BV2124" s="265"/>
    </row>
    <row r="2125" spans="12:74">
      <c r="L2125" s="265"/>
      <c r="M2125" s="265"/>
      <c r="N2125" s="265"/>
      <c r="O2125" s="265"/>
      <c r="P2125" s="265"/>
      <c r="Q2125" s="265"/>
      <c r="BR2125" s="265"/>
      <c r="BS2125" s="265"/>
      <c r="BT2125" s="265"/>
      <c r="BU2125" s="265"/>
      <c r="BV2125" s="265"/>
    </row>
    <row r="2126" spans="12:74">
      <c r="L2126" s="265"/>
      <c r="M2126" s="265"/>
      <c r="N2126" s="265"/>
      <c r="O2126" s="265"/>
      <c r="P2126" s="265"/>
      <c r="Q2126" s="265"/>
      <c r="BR2126" s="265"/>
      <c r="BS2126" s="265"/>
      <c r="BT2126" s="265"/>
      <c r="BU2126" s="265"/>
      <c r="BV2126" s="265"/>
    </row>
    <row r="2127" spans="12:74">
      <c r="L2127" s="265"/>
      <c r="M2127" s="265"/>
      <c r="N2127" s="265"/>
      <c r="O2127" s="265"/>
      <c r="P2127" s="265"/>
      <c r="Q2127" s="265"/>
      <c r="BR2127" s="265"/>
      <c r="BS2127" s="265"/>
      <c r="BT2127" s="265"/>
      <c r="BU2127" s="265"/>
      <c r="BV2127" s="265"/>
    </row>
    <row r="2128" spans="12:74">
      <c r="L2128" s="265"/>
      <c r="M2128" s="265"/>
      <c r="N2128" s="265"/>
      <c r="O2128" s="265"/>
      <c r="P2128" s="265"/>
      <c r="Q2128" s="265"/>
      <c r="BR2128" s="265"/>
      <c r="BS2128" s="265"/>
      <c r="BT2128" s="265"/>
      <c r="BU2128" s="265"/>
      <c r="BV2128" s="265"/>
    </row>
    <row r="2129" spans="12:74">
      <c r="L2129" s="265"/>
      <c r="M2129" s="265"/>
      <c r="N2129" s="265"/>
      <c r="O2129" s="265"/>
      <c r="P2129" s="265"/>
      <c r="Q2129" s="265"/>
      <c r="BR2129" s="265"/>
      <c r="BS2129" s="265"/>
      <c r="BT2129" s="265"/>
      <c r="BU2129" s="265"/>
      <c r="BV2129" s="265"/>
    </row>
    <row r="2130" spans="12:74">
      <c r="L2130" s="265"/>
      <c r="M2130" s="265"/>
      <c r="N2130" s="265"/>
      <c r="O2130" s="265"/>
      <c r="P2130" s="265"/>
      <c r="Q2130" s="265"/>
      <c r="BR2130" s="265"/>
      <c r="BS2130" s="265"/>
      <c r="BT2130" s="265"/>
      <c r="BU2130" s="265"/>
      <c r="BV2130" s="265"/>
    </row>
    <row r="2131" spans="12:74">
      <c r="L2131" s="265"/>
      <c r="M2131" s="265"/>
      <c r="N2131" s="265"/>
      <c r="O2131" s="265"/>
      <c r="P2131" s="265"/>
      <c r="Q2131" s="265"/>
      <c r="BR2131" s="265"/>
      <c r="BS2131" s="265"/>
      <c r="BT2131" s="265"/>
      <c r="BU2131" s="265"/>
      <c r="BV2131" s="265"/>
    </row>
    <row r="2132" spans="12:74">
      <c r="L2132" s="265"/>
      <c r="M2132" s="265"/>
      <c r="N2132" s="265"/>
      <c r="O2132" s="265"/>
      <c r="P2132" s="265"/>
      <c r="Q2132" s="265"/>
      <c r="BR2132" s="265"/>
      <c r="BS2132" s="265"/>
      <c r="BT2132" s="265"/>
      <c r="BU2132" s="265"/>
      <c r="BV2132" s="265"/>
    </row>
    <row r="2133" spans="12:74">
      <c r="L2133" s="265"/>
      <c r="M2133" s="265"/>
      <c r="N2133" s="265"/>
      <c r="O2133" s="265"/>
      <c r="P2133" s="265"/>
      <c r="Q2133" s="265"/>
      <c r="BR2133" s="265"/>
      <c r="BS2133" s="265"/>
      <c r="BT2133" s="265"/>
      <c r="BU2133" s="265"/>
      <c r="BV2133" s="265"/>
    </row>
    <row r="2134" spans="12:74">
      <c r="L2134" s="265"/>
      <c r="M2134" s="265"/>
      <c r="N2134" s="265"/>
      <c r="O2134" s="265"/>
      <c r="P2134" s="265"/>
      <c r="Q2134" s="265"/>
      <c r="BR2134" s="265"/>
      <c r="BS2134" s="265"/>
      <c r="BT2134" s="265"/>
      <c r="BU2134" s="265"/>
      <c r="BV2134" s="265"/>
    </row>
    <row r="2135" spans="12:74">
      <c r="L2135" s="265"/>
      <c r="M2135" s="265"/>
      <c r="N2135" s="265"/>
      <c r="O2135" s="265"/>
      <c r="P2135" s="265"/>
      <c r="Q2135" s="265"/>
      <c r="BR2135" s="265"/>
      <c r="BS2135" s="265"/>
      <c r="BT2135" s="265"/>
      <c r="BU2135" s="265"/>
      <c r="BV2135" s="265"/>
    </row>
    <row r="2136" spans="12:74">
      <c r="L2136" s="265"/>
      <c r="M2136" s="265"/>
      <c r="N2136" s="265"/>
      <c r="O2136" s="265"/>
      <c r="P2136" s="265"/>
      <c r="Q2136" s="265"/>
      <c r="BR2136" s="265"/>
      <c r="BS2136" s="265"/>
      <c r="BT2136" s="265"/>
      <c r="BU2136" s="265"/>
      <c r="BV2136" s="265"/>
    </row>
    <row r="2137" spans="12:74">
      <c r="L2137" s="265"/>
      <c r="M2137" s="265"/>
      <c r="N2137" s="265"/>
      <c r="O2137" s="265"/>
      <c r="P2137" s="265"/>
      <c r="Q2137" s="265"/>
      <c r="BR2137" s="265"/>
      <c r="BS2137" s="265"/>
      <c r="BT2137" s="265"/>
      <c r="BU2137" s="265"/>
      <c r="BV2137" s="265"/>
    </row>
    <row r="2138" spans="12:74">
      <c r="L2138" s="265"/>
      <c r="M2138" s="265"/>
      <c r="N2138" s="265"/>
      <c r="O2138" s="265"/>
      <c r="P2138" s="265"/>
      <c r="Q2138" s="265"/>
      <c r="BR2138" s="265"/>
      <c r="BS2138" s="265"/>
      <c r="BT2138" s="265"/>
      <c r="BU2138" s="265"/>
      <c r="BV2138" s="265"/>
    </row>
    <row r="2139" spans="12:74">
      <c r="L2139" s="265"/>
      <c r="M2139" s="265"/>
      <c r="N2139" s="265"/>
      <c r="O2139" s="265"/>
      <c r="P2139" s="265"/>
      <c r="Q2139" s="265"/>
      <c r="BR2139" s="265"/>
      <c r="BS2139" s="265"/>
      <c r="BT2139" s="265"/>
      <c r="BU2139" s="265"/>
      <c r="BV2139" s="265"/>
    </row>
    <row r="2140" spans="12:74">
      <c r="L2140" s="265"/>
      <c r="M2140" s="265"/>
      <c r="N2140" s="265"/>
      <c r="O2140" s="265"/>
      <c r="P2140" s="265"/>
      <c r="Q2140" s="265"/>
      <c r="BR2140" s="265"/>
      <c r="BS2140" s="265"/>
      <c r="BT2140" s="265"/>
      <c r="BU2140" s="265"/>
      <c r="BV2140" s="265"/>
    </row>
    <row r="2141" spans="12:74">
      <c r="L2141" s="265"/>
      <c r="M2141" s="265"/>
      <c r="N2141" s="265"/>
      <c r="O2141" s="265"/>
      <c r="P2141" s="265"/>
      <c r="Q2141" s="265"/>
      <c r="BR2141" s="265"/>
      <c r="BS2141" s="265"/>
      <c r="BT2141" s="265"/>
      <c r="BU2141" s="265"/>
      <c r="BV2141" s="265"/>
    </row>
    <row r="2142" spans="12:74">
      <c r="L2142" s="265"/>
      <c r="M2142" s="265"/>
      <c r="N2142" s="265"/>
      <c r="O2142" s="265"/>
      <c r="P2142" s="265"/>
      <c r="Q2142" s="265"/>
      <c r="BR2142" s="265"/>
      <c r="BS2142" s="265"/>
      <c r="BT2142" s="265"/>
      <c r="BU2142" s="265"/>
      <c r="BV2142" s="265"/>
    </row>
    <row r="2143" spans="12:74">
      <c r="L2143" s="265"/>
      <c r="M2143" s="265"/>
      <c r="N2143" s="265"/>
      <c r="O2143" s="265"/>
      <c r="P2143" s="265"/>
      <c r="Q2143" s="265"/>
      <c r="BR2143" s="265"/>
      <c r="BS2143" s="265"/>
      <c r="BT2143" s="265"/>
      <c r="BU2143" s="265"/>
      <c r="BV2143" s="265"/>
    </row>
    <row r="2144" spans="12:74">
      <c r="L2144" s="265"/>
      <c r="M2144" s="265"/>
      <c r="N2144" s="265"/>
      <c r="O2144" s="265"/>
      <c r="P2144" s="265"/>
      <c r="Q2144" s="265"/>
      <c r="BR2144" s="265"/>
      <c r="BS2144" s="265"/>
      <c r="BT2144" s="265"/>
      <c r="BU2144" s="265"/>
      <c r="BV2144" s="265"/>
    </row>
    <row r="2145" spans="12:74">
      <c r="L2145" s="265"/>
      <c r="M2145" s="265"/>
      <c r="N2145" s="265"/>
      <c r="O2145" s="265"/>
      <c r="P2145" s="265"/>
      <c r="Q2145" s="265"/>
      <c r="BR2145" s="265"/>
      <c r="BS2145" s="265"/>
      <c r="BT2145" s="265"/>
      <c r="BU2145" s="265"/>
      <c r="BV2145" s="265"/>
    </row>
    <row r="2146" spans="12:74">
      <c r="L2146" s="265"/>
      <c r="M2146" s="265"/>
      <c r="N2146" s="265"/>
      <c r="O2146" s="265"/>
      <c r="P2146" s="265"/>
      <c r="Q2146" s="265"/>
      <c r="BR2146" s="265"/>
      <c r="BS2146" s="265"/>
      <c r="BT2146" s="265"/>
      <c r="BU2146" s="265"/>
      <c r="BV2146" s="265"/>
    </row>
    <row r="2147" spans="12:74">
      <c r="L2147" s="265"/>
      <c r="M2147" s="265"/>
      <c r="N2147" s="265"/>
      <c r="O2147" s="265"/>
      <c r="P2147" s="265"/>
      <c r="Q2147" s="265"/>
      <c r="BR2147" s="265"/>
      <c r="BS2147" s="265"/>
      <c r="BT2147" s="265"/>
      <c r="BU2147" s="265"/>
      <c r="BV2147" s="265"/>
    </row>
    <row r="2148" spans="12:74">
      <c r="L2148" s="265"/>
      <c r="M2148" s="265"/>
      <c r="N2148" s="265"/>
      <c r="O2148" s="265"/>
      <c r="P2148" s="265"/>
      <c r="Q2148" s="265"/>
      <c r="BR2148" s="265"/>
      <c r="BS2148" s="265"/>
      <c r="BT2148" s="265"/>
      <c r="BU2148" s="265"/>
      <c r="BV2148" s="265"/>
    </row>
    <row r="2149" spans="12:74">
      <c r="L2149" s="265"/>
      <c r="M2149" s="265"/>
      <c r="N2149" s="265"/>
      <c r="O2149" s="265"/>
      <c r="P2149" s="265"/>
      <c r="Q2149" s="265"/>
      <c r="BR2149" s="265"/>
      <c r="BS2149" s="265"/>
      <c r="BT2149" s="265"/>
      <c r="BU2149" s="265"/>
      <c r="BV2149" s="265"/>
    </row>
    <row r="2150" spans="12:74">
      <c r="L2150" s="265"/>
      <c r="M2150" s="265"/>
      <c r="N2150" s="265"/>
      <c r="O2150" s="265"/>
      <c r="P2150" s="265"/>
      <c r="Q2150" s="265"/>
      <c r="BR2150" s="265"/>
      <c r="BS2150" s="265"/>
      <c r="BT2150" s="265"/>
      <c r="BU2150" s="265"/>
      <c r="BV2150" s="265"/>
    </row>
    <row r="2151" spans="12:74">
      <c r="L2151" s="265"/>
      <c r="M2151" s="265"/>
      <c r="N2151" s="265"/>
      <c r="O2151" s="265"/>
      <c r="P2151" s="265"/>
      <c r="Q2151" s="265"/>
      <c r="BR2151" s="265"/>
      <c r="BS2151" s="265"/>
      <c r="BT2151" s="265"/>
      <c r="BU2151" s="265"/>
      <c r="BV2151" s="265"/>
    </row>
    <row r="2152" spans="12:74">
      <c r="L2152" s="265"/>
      <c r="M2152" s="265"/>
      <c r="N2152" s="265"/>
      <c r="O2152" s="265"/>
      <c r="P2152" s="265"/>
      <c r="Q2152" s="265"/>
      <c r="BR2152" s="265"/>
      <c r="BS2152" s="265"/>
      <c r="BT2152" s="265"/>
      <c r="BU2152" s="265"/>
      <c r="BV2152" s="265"/>
    </row>
    <row r="2153" spans="12:74">
      <c r="L2153" s="265"/>
      <c r="M2153" s="265"/>
      <c r="N2153" s="265"/>
      <c r="O2153" s="265"/>
      <c r="P2153" s="265"/>
      <c r="Q2153" s="265"/>
      <c r="BR2153" s="265"/>
      <c r="BS2153" s="265"/>
      <c r="BT2153" s="265"/>
      <c r="BU2153" s="265"/>
      <c r="BV2153" s="265"/>
    </row>
    <row r="2154" spans="12:74">
      <c r="L2154" s="265"/>
      <c r="M2154" s="265"/>
      <c r="N2154" s="265"/>
      <c r="O2154" s="265"/>
      <c r="P2154" s="265"/>
      <c r="Q2154" s="265"/>
      <c r="BR2154" s="265"/>
      <c r="BS2154" s="265"/>
      <c r="BT2154" s="265"/>
      <c r="BU2154" s="265"/>
      <c r="BV2154" s="265"/>
    </row>
    <row r="2155" spans="12:74">
      <c r="L2155" s="265"/>
      <c r="M2155" s="265"/>
      <c r="N2155" s="265"/>
      <c r="O2155" s="265"/>
      <c r="P2155" s="265"/>
      <c r="Q2155" s="265"/>
      <c r="BR2155" s="265"/>
      <c r="BS2155" s="265"/>
      <c r="BT2155" s="265"/>
      <c r="BU2155" s="265"/>
      <c r="BV2155" s="265"/>
    </row>
    <row r="2156" spans="12:74">
      <c r="L2156" s="265"/>
      <c r="M2156" s="265"/>
      <c r="N2156" s="265"/>
      <c r="O2156" s="265"/>
      <c r="P2156" s="265"/>
      <c r="Q2156" s="265"/>
      <c r="BR2156" s="265"/>
      <c r="BS2156" s="265"/>
      <c r="BT2156" s="265"/>
      <c r="BU2156" s="265"/>
      <c r="BV2156" s="265"/>
    </row>
    <row r="2157" spans="12:74">
      <c r="L2157" s="265"/>
      <c r="M2157" s="265"/>
      <c r="N2157" s="265"/>
      <c r="O2157" s="265"/>
      <c r="P2157" s="265"/>
      <c r="Q2157" s="265"/>
      <c r="BR2157" s="265"/>
      <c r="BS2157" s="265"/>
      <c r="BT2157" s="265"/>
      <c r="BU2157" s="265"/>
      <c r="BV2157" s="265"/>
    </row>
    <row r="2158" spans="12:74">
      <c r="L2158" s="265"/>
      <c r="M2158" s="265"/>
      <c r="N2158" s="265"/>
      <c r="O2158" s="265"/>
      <c r="P2158" s="265"/>
      <c r="Q2158" s="265"/>
      <c r="BR2158" s="265"/>
      <c r="BS2158" s="265"/>
      <c r="BT2158" s="265"/>
      <c r="BU2158" s="265"/>
      <c r="BV2158" s="265"/>
    </row>
    <row r="2159" spans="12:74">
      <c r="L2159" s="265"/>
      <c r="M2159" s="265"/>
      <c r="N2159" s="265"/>
      <c r="O2159" s="265"/>
      <c r="P2159" s="265"/>
      <c r="Q2159" s="265"/>
      <c r="BR2159" s="265"/>
      <c r="BS2159" s="265"/>
      <c r="BT2159" s="265"/>
      <c r="BU2159" s="265"/>
      <c r="BV2159" s="265"/>
    </row>
    <row r="2160" spans="12:74">
      <c r="L2160" s="265"/>
      <c r="M2160" s="265"/>
      <c r="N2160" s="265"/>
      <c r="O2160" s="265"/>
      <c r="P2160" s="265"/>
      <c r="Q2160" s="265"/>
      <c r="BR2160" s="265"/>
      <c r="BS2160" s="265"/>
      <c r="BT2160" s="265"/>
      <c r="BU2160" s="265"/>
      <c r="BV2160" s="265"/>
    </row>
    <row r="2161" spans="12:74">
      <c r="L2161" s="265"/>
      <c r="M2161" s="265"/>
      <c r="N2161" s="265"/>
      <c r="O2161" s="265"/>
      <c r="P2161" s="265"/>
      <c r="Q2161" s="265"/>
      <c r="BR2161" s="265"/>
      <c r="BS2161" s="265"/>
      <c r="BT2161" s="265"/>
      <c r="BU2161" s="265"/>
      <c r="BV2161" s="265"/>
    </row>
    <row r="2162" spans="12:74">
      <c r="L2162" s="265"/>
      <c r="M2162" s="265"/>
      <c r="N2162" s="265"/>
      <c r="O2162" s="265"/>
      <c r="P2162" s="265"/>
      <c r="Q2162" s="265"/>
      <c r="BR2162" s="265"/>
      <c r="BS2162" s="265"/>
      <c r="BT2162" s="265"/>
      <c r="BU2162" s="265"/>
      <c r="BV2162" s="265"/>
    </row>
    <row r="2163" spans="12:74">
      <c r="L2163" s="265"/>
      <c r="M2163" s="265"/>
      <c r="N2163" s="265"/>
      <c r="O2163" s="265"/>
      <c r="P2163" s="265"/>
      <c r="Q2163" s="265"/>
      <c r="BR2163" s="265"/>
      <c r="BS2163" s="265"/>
      <c r="BT2163" s="265"/>
      <c r="BU2163" s="265"/>
      <c r="BV2163" s="265"/>
    </row>
    <row r="2164" spans="12:74">
      <c r="L2164" s="265"/>
      <c r="M2164" s="265"/>
      <c r="N2164" s="265"/>
      <c r="O2164" s="265"/>
      <c r="P2164" s="265"/>
      <c r="Q2164" s="265"/>
      <c r="BR2164" s="265"/>
      <c r="BS2164" s="265"/>
      <c r="BT2164" s="265"/>
      <c r="BU2164" s="265"/>
      <c r="BV2164" s="265"/>
    </row>
    <row r="2165" spans="12:74">
      <c r="L2165" s="265"/>
      <c r="M2165" s="265"/>
      <c r="N2165" s="265"/>
      <c r="O2165" s="265"/>
      <c r="P2165" s="265"/>
      <c r="Q2165" s="265"/>
      <c r="BR2165" s="265"/>
      <c r="BS2165" s="265"/>
      <c r="BT2165" s="265"/>
      <c r="BU2165" s="265"/>
      <c r="BV2165" s="265"/>
    </row>
    <row r="2166" spans="12:74">
      <c r="L2166" s="265"/>
      <c r="M2166" s="265"/>
      <c r="N2166" s="265"/>
      <c r="O2166" s="265"/>
      <c r="P2166" s="265"/>
      <c r="Q2166" s="265"/>
      <c r="BR2166" s="265"/>
      <c r="BS2166" s="265"/>
      <c r="BT2166" s="265"/>
      <c r="BU2166" s="265"/>
      <c r="BV2166" s="265"/>
    </row>
    <row r="2167" spans="12:74">
      <c r="L2167" s="265"/>
      <c r="M2167" s="265"/>
      <c r="N2167" s="265"/>
      <c r="O2167" s="265"/>
      <c r="P2167" s="265"/>
      <c r="Q2167" s="265"/>
      <c r="BR2167" s="265"/>
      <c r="BS2167" s="265"/>
      <c r="BT2167" s="265"/>
      <c r="BU2167" s="265"/>
      <c r="BV2167" s="265"/>
    </row>
    <row r="2168" spans="12:74">
      <c r="L2168" s="265"/>
      <c r="M2168" s="265"/>
      <c r="N2168" s="265"/>
      <c r="O2168" s="265"/>
      <c r="P2168" s="265"/>
      <c r="Q2168" s="265"/>
      <c r="BR2168" s="265"/>
      <c r="BS2168" s="265"/>
      <c r="BT2168" s="265"/>
      <c r="BU2168" s="265"/>
      <c r="BV2168" s="265"/>
    </row>
    <row r="2169" spans="12:74">
      <c r="L2169" s="265"/>
      <c r="M2169" s="265"/>
      <c r="N2169" s="265"/>
      <c r="O2169" s="265"/>
      <c r="P2169" s="265"/>
      <c r="Q2169" s="265"/>
      <c r="BR2169" s="265"/>
      <c r="BS2169" s="265"/>
      <c r="BT2169" s="265"/>
      <c r="BU2169" s="265"/>
      <c r="BV2169" s="265"/>
    </row>
    <row r="2170" spans="12:74">
      <c r="L2170" s="265"/>
      <c r="M2170" s="265"/>
      <c r="N2170" s="265"/>
      <c r="O2170" s="265"/>
      <c r="P2170" s="265"/>
      <c r="Q2170" s="265"/>
      <c r="BR2170" s="265"/>
      <c r="BS2170" s="265"/>
      <c r="BT2170" s="265"/>
      <c r="BU2170" s="265"/>
      <c r="BV2170" s="265"/>
    </row>
    <row r="2171" spans="12:74">
      <c r="L2171" s="265"/>
      <c r="M2171" s="265"/>
      <c r="N2171" s="265"/>
      <c r="O2171" s="265"/>
      <c r="P2171" s="265"/>
      <c r="Q2171" s="265"/>
      <c r="BR2171" s="265"/>
      <c r="BS2171" s="265"/>
      <c r="BT2171" s="265"/>
      <c r="BU2171" s="265"/>
      <c r="BV2171" s="265"/>
    </row>
    <row r="2172" spans="12:74">
      <c r="L2172" s="265"/>
      <c r="M2172" s="265"/>
      <c r="N2172" s="265"/>
      <c r="O2172" s="265"/>
      <c r="P2172" s="265"/>
      <c r="Q2172" s="265"/>
      <c r="BR2172" s="265"/>
      <c r="BS2172" s="265"/>
      <c r="BT2172" s="265"/>
      <c r="BU2172" s="265"/>
      <c r="BV2172" s="265"/>
    </row>
    <row r="2173" spans="12:74">
      <c r="L2173" s="265"/>
      <c r="M2173" s="265"/>
      <c r="N2173" s="265"/>
      <c r="O2173" s="265"/>
      <c r="P2173" s="265"/>
      <c r="Q2173" s="265"/>
      <c r="BR2173" s="265"/>
      <c r="BS2173" s="265"/>
      <c r="BT2173" s="265"/>
      <c r="BU2173" s="265"/>
      <c r="BV2173" s="265"/>
    </row>
    <row r="2174" spans="12:74">
      <c r="L2174" s="265"/>
      <c r="M2174" s="265"/>
      <c r="N2174" s="265"/>
      <c r="O2174" s="265"/>
      <c r="P2174" s="265"/>
      <c r="Q2174" s="265"/>
      <c r="BR2174" s="265"/>
      <c r="BS2174" s="265"/>
      <c r="BT2174" s="265"/>
      <c r="BU2174" s="265"/>
      <c r="BV2174" s="265"/>
    </row>
    <row r="2175" spans="12:74">
      <c r="L2175" s="265"/>
      <c r="M2175" s="265"/>
      <c r="N2175" s="265"/>
      <c r="O2175" s="265"/>
      <c r="P2175" s="265"/>
      <c r="Q2175" s="265"/>
      <c r="BR2175" s="265"/>
      <c r="BS2175" s="265"/>
      <c r="BT2175" s="265"/>
      <c r="BU2175" s="265"/>
      <c r="BV2175" s="265"/>
    </row>
    <row r="2176" spans="12:74">
      <c r="L2176" s="265"/>
      <c r="M2176" s="265"/>
      <c r="N2176" s="265"/>
      <c r="O2176" s="265"/>
      <c r="P2176" s="265"/>
      <c r="Q2176" s="265"/>
      <c r="BR2176" s="265"/>
      <c r="BS2176" s="265"/>
      <c r="BT2176" s="265"/>
      <c r="BU2176" s="265"/>
      <c r="BV2176" s="265"/>
    </row>
    <row r="2177" spans="12:74">
      <c r="L2177" s="265"/>
      <c r="M2177" s="265"/>
      <c r="N2177" s="265"/>
      <c r="O2177" s="265"/>
      <c r="P2177" s="265"/>
      <c r="Q2177" s="265"/>
      <c r="BR2177" s="265"/>
      <c r="BS2177" s="265"/>
      <c r="BT2177" s="265"/>
      <c r="BU2177" s="265"/>
      <c r="BV2177" s="265"/>
    </row>
    <row r="2178" spans="12:74">
      <c r="L2178" s="265"/>
      <c r="M2178" s="265"/>
      <c r="N2178" s="265"/>
      <c r="O2178" s="265"/>
      <c r="P2178" s="265"/>
      <c r="Q2178" s="265"/>
      <c r="BR2178" s="265"/>
      <c r="BS2178" s="265"/>
      <c r="BT2178" s="265"/>
      <c r="BU2178" s="265"/>
      <c r="BV2178" s="265"/>
    </row>
    <row r="2179" spans="12:74">
      <c r="L2179" s="265"/>
      <c r="M2179" s="265"/>
      <c r="N2179" s="265"/>
      <c r="O2179" s="265"/>
      <c r="P2179" s="265"/>
      <c r="Q2179" s="265"/>
      <c r="BR2179" s="265"/>
      <c r="BS2179" s="265"/>
      <c r="BT2179" s="265"/>
      <c r="BU2179" s="265"/>
      <c r="BV2179" s="265"/>
    </row>
    <row r="2180" spans="12:74">
      <c r="L2180" s="265"/>
      <c r="M2180" s="265"/>
      <c r="N2180" s="265"/>
      <c r="O2180" s="265"/>
      <c r="P2180" s="265"/>
      <c r="Q2180" s="265"/>
      <c r="BR2180" s="265"/>
      <c r="BS2180" s="265"/>
      <c r="BT2180" s="265"/>
      <c r="BU2180" s="265"/>
      <c r="BV2180" s="265"/>
    </row>
    <row r="2181" spans="12:74">
      <c r="L2181" s="265"/>
      <c r="M2181" s="265"/>
      <c r="N2181" s="265"/>
      <c r="O2181" s="265"/>
      <c r="P2181" s="265"/>
      <c r="Q2181" s="265"/>
      <c r="BR2181" s="265"/>
      <c r="BS2181" s="265"/>
      <c r="BT2181" s="265"/>
      <c r="BU2181" s="265"/>
      <c r="BV2181" s="265"/>
    </row>
    <row r="2182" spans="12:74">
      <c r="L2182" s="265"/>
      <c r="M2182" s="265"/>
      <c r="N2182" s="265"/>
      <c r="O2182" s="265"/>
      <c r="P2182" s="265"/>
      <c r="Q2182" s="265"/>
      <c r="BR2182" s="265"/>
      <c r="BS2182" s="265"/>
      <c r="BT2182" s="265"/>
      <c r="BU2182" s="265"/>
      <c r="BV2182" s="265"/>
    </row>
    <row r="2183" spans="12:74">
      <c r="L2183" s="265"/>
      <c r="M2183" s="265"/>
      <c r="N2183" s="265"/>
      <c r="O2183" s="265"/>
      <c r="P2183" s="265"/>
      <c r="Q2183" s="265"/>
      <c r="BR2183" s="265"/>
      <c r="BS2183" s="265"/>
      <c r="BT2183" s="265"/>
      <c r="BU2183" s="265"/>
      <c r="BV2183" s="265"/>
    </row>
    <row r="2184" spans="12:74">
      <c r="L2184" s="265"/>
      <c r="M2184" s="265"/>
      <c r="N2184" s="265"/>
      <c r="O2184" s="265"/>
      <c r="P2184" s="265"/>
      <c r="Q2184" s="265"/>
      <c r="BR2184" s="265"/>
      <c r="BS2184" s="265"/>
      <c r="BT2184" s="265"/>
      <c r="BU2184" s="265"/>
      <c r="BV2184" s="265"/>
    </row>
    <row r="2185" spans="12:74">
      <c r="L2185" s="265"/>
      <c r="M2185" s="265"/>
      <c r="N2185" s="265"/>
      <c r="O2185" s="265"/>
      <c r="P2185" s="265"/>
      <c r="Q2185" s="265"/>
      <c r="BR2185" s="265"/>
      <c r="BS2185" s="265"/>
      <c r="BT2185" s="265"/>
      <c r="BU2185" s="265"/>
      <c r="BV2185" s="265"/>
    </row>
    <row r="2186" spans="12:74">
      <c r="L2186" s="265"/>
      <c r="M2186" s="265"/>
      <c r="N2186" s="265"/>
      <c r="O2186" s="265"/>
      <c r="P2186" s="265"/>
      <c r="Q2186" s="265"/>
      <c r="BR2186" s="265"/>
      <c r="BS2186" s="265"/>
      <c r="BT2186" s="265"/>
      <c r="BU2186" s="265"/>
      <c r="BV2186" s="265"/>
    </row>
    <row r="2187" spans="12:74">
      <c r="L2187" s="265"/>
      <c r="M2187" s="265"/>
      <c r="N2187" s="265"/>
      <c r="O2187" s="265"/>
      <c r="P2187" s="265"/>
      <c r="Q2187" s="265"/>
      <c r="BR2187" s="265"/>
      <c r="BS2187" s="265"/>
      <c r="BT2187" s="265"/>
      <c r="BU2187" s="265"/>
      <c r="BV2187" s="265"/>
    </row>
    <row r="2188" spans="12:74">
      <c r="L2188" s="265"/>
      <c r="M2188" s="265"/>
      <c r="N2188" s="265"/>
      <c r="O2188" s="265"/>
      <c r="P2188" s="265"/>
      <c r="Q2188" s="265"/>
      <c r="BR2188" s="265"/>
      <c r="BS2188" s="265"/>
      <c r="BT2188" s="265"/>
      <c r="BU2188" s="265"/>
      <c r="BV2188" s="265"/>
    </row>
    <row r="2189" spans="12:74">
      <c r="L2189" s="265"/>
      <c r="M2189" s="265"/>
      <c r="N2189" s="265"/>
      <c r="O2189" s="265"/>
      <c r="P2189" s="265"/>
      <c r="Q2189" s="265"/>
      <c r="BR2189" s="265"/>
      <c r="BS2189" s="265"/>
      <c r="BT2189" s="265"/>
      <c r="BU2189" s="265"/>
      <c r="BV2189" s="265"/>
    </row>
    <row r="2190" spans="12:74">
      <c r="L2190" s="265"/>
      <c r="M2190" s="265"/>
      <c r="N2190" s="265"/>
      <c r="O2190" s="265"/>
      <c r="P2190" s="265"/>
      <c r="Q2190" s="265"/>
      <c r="BR2190" s="265"/>
      <c r="BS2190" s="265"/>
      <c r="BT2190" s="265"/>
      <c r="BU2190" s="265"/>
      <c r="BV2190" s="265"/>
    </row>
    <row r="2191" spans="12:74">
      <c r="L2191" s="265"/>
      <c r="M2191" s="265"/>
      <c r="N2191" s="265"/>
      <c r="O2191" s="265"/>
      <c r="P2191" s="265"/>
      <c r="Q2191" s="265"/>
      <c r="BR2191" s="265"/>
      <c r="BS2191" s="265"/>
      <c r="BT2191" s="265"/>
      <c r="BU2191" s="265"/>
      <c r="BV2191" s="265"/>
    </row>
    <row r="2192" spans="12:74">
      <c r="L2192" s="265"/>
      <c r="M2192" s="265"/>
      <c r="N2192" s="265"/>
      <c r="O2192" s="265"/>
      <c r="P2192" s="265"/>
      <c r="Q2192" s="265"/>
      <c r="BR2192" s="265"/>
      <c r="BS2192" s="265"/>
      <c r="BT2192" s="265"/>
      <c r="BU2192" s="265"/>
      <c r="BV2192" s="265"/>
    </row>
    <row r="2193" spans="12:74">
      <c r="L2193" s="265"/>
      <c r="M2193" s="265"/>
      <c r="N2193" s="265"/>
      <c r="O2193" s="265"/>
      <c r="P2193" s="265"/>
      <c r="Q2193" s="265"/>
      <c r="BR2193" s="265"/>
      <c r="BS2193" s="265"/>
      <c r="BT2193" s="265"/>
      <c r="BU2193" s="265"/>
      <c r="BV2193" s="265"/>
    </row>
    <row r="2194" spans="12:74">
      <c r="L2194" s="265"/>
      <c r="M2194" s="265"/>
      <c r="N2194" s="265"/>
      <c r="O2194" s="265"/>
      <c r="P2194" s="265"/>
      <c r="Q2194" s="265"/>
      <c r="BR2194" s="265"/>
      <c r="BS2194" s="265"/>
      <c r="BT2194" s="265"/>
      <c r="BU2194" s="265"/>
      <c r="BV2194" s="265"/>
    </row>
    <row r="2195" spans="12:74">
      <c r="L2195" s="265"/>
      <c r="M2195" s="265"/>
      <c r="N2195" s="265"/>
      <c r="O2195" s="265"/>
      <c r="P2195" s="265"/>
      <c r="Q2195" s="265"/>
      <c r="BR2195" s="265"/>
      <c r="BS2195" s="265"/>
      <c r="BT2195" s="265"/>
      <c r="BU2195" s="265"/>
      <c r="BV2195" s="265"/>
    </row>
    <row r="2196" spans="12:74">
      <c r="L2196" s="265"/>
      <c r="M2196" s="265"/>
      <c r="N2196" s="265"/>
      <c r="O2196" s="265"/>
      <c r="P2196" s="265"/>
      <c r="Q2196" s="265"/>
      <c r="BR2196" s="265"/>
      <c r="BS2196" s="265"/>
      <c r="BT2196" s="265"/>
      <c r="BU2196" s="265"/>
      <c r="BV2196" s="265"/>
    </row>
    <row r="2197" spans="12:74">
      <c r="L2197" s="265"/>
      <c r="M2197" s="265"/>
      <c r="N2197" s="265"/>
      <c r="O2197" s="265"/>
      <c r="P2197" s="265"/>
      <c r="Q2197" s="265"/>
      <c r="BR2197" s="265"/>
      <c r="BS2197" s="265"/>
      <c r="BT2197" s="265"/>
      <c r="BU2197" s="265"/>
      <c r="BV2197" s="265"/>
    </row>
    <row r="2198" spans="12:74">
      <c r="L2198" s="265"/>
      <c r="M2198" s="265"/>
      <c r="N2198" s="265"/>
      <c r="O2198" s="265"/>
      <c r="P2198" s="265"/>
      <c r="Q2198" s="265"/>
      <c r="BR2198" s="265"/>
      <c r="BS2198" s="265"/>
      <c r="BT2198" s="265"/>
      <c r="BU2198" s="265"/>
      <c r="BV2198" s="265"/>
    </row>
    <row r="2199" spans="12:74">
      <c r="L2199" s="265"/>
      <c r="M2199" s="265"/>
      <c r="N2199" s="265"/>
      <c r="O2199" s="265"/>
      <c r="P2199" s="265"/>
      <c r="Q2199" s="265"/>
      <c r="BR2199" s="265"/>
      <c r="BS2199" s="265"/>
      <c r="BT2199" s="265"/>
      <c r="BU2199" s="265"/>
      <c r="BV2199" s="265"/>
    </row>
    <row r="2200" spans="12:74">
      <c r="L2200" s="265"/>
      <c r="M2200" s="265"/>
      <c r="N2200" s="265"/>
      <c r="O2200" s="265"/>
      <c r="P2200" s="265"/>
      <c r="Q2200" s="265"/>
      <c r="BR2200" s="265"/>
      <c r="BS2200" s="265"/>
      <c r="BT2200" s="265"/>
      <c r="BU2200" s="265"/>
      <c r="BV2200" s="265"/>
    </row>
    <row r="2201" spans="12:74">
      <c r="L2201" s="265"/>
      <c r="M2201" s="265"/>
      <c r="N2201" s="265"/>
      <c r="O2201" s="265"/>
      <c r="P2201" s="265"/>
      <c r="Q2201" s="265"/>
      <c r="BR2201" s="265"/>
      <c r="BS2201" s="265"/>
      <c r="BT2201" s="265"/>
      <c r="BU2201" s="265"/>
      <c r="BV2201" s="265"/>
    </row>
    <row r="2202" spans="12:74">
      <c r="L2202" s="265"/>
      <c r="M2202" s="265"/>
      <c r="N2202" s="265"/>
      <c r="O2202" s="265"/>
      <c r="P2202" s="265"/>
      <c r="Q2202" s="265"/>
      <c r="BR2202" s="265"/>
      <c r="BS2202" s="265"/>
      <c r="BT2202" s="265"/>
      <c r="BU2202" s="265"/>
      <c r="BV2202" s="265"/>
    </row>
    <row r="2203" spans="12:74">
      <c r="L2203" s="265"/>
      <c r="M2203" s="265"/>
      <c r="N2203" s="265"/>
      <c r="O2203" s="265"/>
      <c r="P2203" s="265"/>
      <c r="Q2203" s="265"/>
      <c r="BR2203" s="265"/>
      <c r="BS2203" s="265"/>
      <c r="BT2203" s="265"/>
      <c r="BU2203" s="265"/>
      <c r="BV2203" s="265"/>
    </row>
    <row r="2204" spans="12:74">
      <c r="L2204" s="265"/>
      <c r="M2204" s="265"/>
      <c r="N2204" s="265"/>
      <c r="O2204" s="265"/>
      <c r="P2204" s="265"/>
      <c r="Q2204" s="265"/>
      <c r="BR2204" s="265"/>
      <c r="BS2204" s="265"/>
      <c r="BT2204" s="265"/>
      <c r="BU2204" s="265"/>
      <c r="BV2204" s="265"/>
    </row>
    <row r="2205" spans="12:74">
      <c r="L2205" s="265"/>
      <c r="M2205" s="265"/>
      <c r="N2205" s="265"/>
      <c r="O2205" s="265"/>
      <c r="P2205" s="265"/>
      <c r="Q2205" s="265"/>
      <c r="BR2205" s="265"/>
      <c r="BS2205" s="265"/>
      <c r="BT2205" s="265"/>
      <c r="BU2205" s="265"/>
      <c r="BV2205" s="265"/>
    </row>
    <row r="2206" spans="12:74">
      <c r="L2206" s="265"/>
      <c r="M2206" s="265"/>
      <c r="N2206" s="265"/>
      <c r="O2206" s="265"/>
      <c r="P2206" s="265"/>
      <c r="Q2206" s="265"/>
      <c r="BR2206" s="265"/>
      <c r="BS2206" s="265"/>
      <c r="BT2206" s="265"/>
      <c r="BU2206" s="265"/>
      <c r="BV2206" s="265"/>
    </row>
    <row r="2207" spans="12:74">
      <c r="L2207" s="265"/>
      <c r="M2207" s="265"/>
      <c r="N2207" s="265"/>
      <c r="O2207" s="265"/>
      <c r="P2207" s="265"/>
      <c r="Q2207" s="265"/>
      <c r="BR2207" s="265"/>
      <c r="BS2207" s="265"/>
      <c r="BT2207" s="265"/>
      <c r="BU2207" s="265"/>
      <c r="BV2207" s="265"/>
    </row>
    <row r="2208" spans="12:74">
      <c r="L2208" s="265"/>
      <c r="M2208" s="265"/>
      <c r="N2208" s="265"/>
      <c r="O2208" s="265"/>
      <c r="P2208" s="265"/>
      <c r="Q2208" s="265"/>
      <c r="BR2208" s="265"/>
      <c r="BS2208" s="265"/>
      <c r="BT2208" s="265"/>
      <c r="BU2208" s="265"/>
      <c r="BV2208" s="265"/>
    </row>
    <row r="2209" spans="12:74">
      <c r="L2209" s="265"/>
      <c r="M2209" s="265"/>
      <c r="N2209" s="265"/>
      <c r="O2209" s="265"/>
      <c r="P2209" s="265"/>
      <c r="Q2209" s="265"/>
      <c r="BR2209" s="265"/>
      <c r="BS2209" s="265"/>
      <c r="BT2209" s="265"/>
      <c r="BU2209" s="265"/>
      <c r="BV2209" s="265"/>
    </row>
    <row r="2210" spans="12:74">
      <c r="L2210" s="265"/>
      <c r="M2210" s="265"/>
      <c r="N2210" s="265"/>
      <c r="O2210" s="265"/>
      <c r="P2210" s="265"/>
      <c r="Q2210" s="265"/>
      <c r="BR2210" s="265"/>
      <c r="BS2210" s="265"/>
      <c r="BT2210" s="265"/>
      <c r="BU2210" s="265"/>
      <c r="BV2210" s="265"/>
    </row>
    <row r="2211" spans="12:74">
      <c r="L2211" s="265"/>
      <c r="M2211" s="265"/>
      <c r="N2211" s="265"/>
      <c r="O2211" s="265"/>
      <c r="P2211" s="265"/>
      <c r="Q2211" s="265"/>
      <c r="BR2211" s="265"/>
      <c r="BS2211" s="265"/>
      <c r="BT2211" s="265"/>
      <c r="BU2211" s="265"/>
      <c r="BV2211" s="265"/>
    </row>
    <row r="2212" spans="12:74">
      <c r="L2212" s="265"/>
      <c r="M2212" s="265"/>
      <c r="N2212" s="265"/>
      <c r="O2212" s="265"/>
      <c r="P2212" s="265"/>
      <c r="Q2212" s="265"/>
      <c r="BR2212" s="265"/>
      <c r="BS2212" s="265"/>
      <c r="BT2212" s="265"/>
      <c r="BU2212" s="265"/>
      <c r="BV2212" s="265"/>
    </row>
    <row r="2213" spans="12:74">
      <c r="L2213" s="265"/>
      <c r="M2213" s="265"/>
      <c r="N2213" s="265"/>
      <c r="O2213" s="265"/>
      <c r="P2213" s="265"/>
      <c r="Q2213" s="265"/>
      <c r="BR2213" s="265"/>
      <c r="BS2213" s="265"/>
      <c r="BT2213" s="265"/>
      <c r="BU2213" s="265"/>
      <c r="BV2213" s="265"/>
    </row>
    <row r="2214" spans="12:74">
      <c r="L2214" s="265"/>
      <c r="M2214" s="265"/>
      <c r="N2214" s="265"/>
      <c r="O2214" s="265"/>
      <c r="P2214" s="265"/>
      <c r="Q2214" s="265"/>
      <c r="BR2214" s="265"/>
      <c r="BS2214" s="265"/>
      <c r="BT2214" s="265"/>
      <c r="BU2214" s="265"/>
      <c r="BV2214" s="265"/>
    </row>
    <row r="2215" spans="12:74">
      <c r="L2215" s="265"/>
      <c r="M2215" s="265"/>
      <c r="N2215" s="265"/>
      <c r="O2215" s="265"/>
      <c r="P2215" s="265"/>
      <c r="Q2215" s="265"/>
      <c r="BR2215" s="265"/>
      <c r="BS2215" s="265"/>
      <c r="BT2215" s="265"/>
      <c r="BU2215" s="265"/>
      <c r="BV2215" s="265"/>
    </row>
    <row r="2216" spans="12:74">
      <c r="L2216" s="265"/>
      <c r="M2216" s="265"/>
      <c r="N2216" s="265"/>
      <c r="O2216" s="265"/>
      <c r="P2216" s="265"/>
      <c r="Q2216" s="265"/>
      <c r="BR2216" s="265"/>
      <c r="BS2216" s="265"/>
      <c r="BT2216" s="265"/>
      <c r="BU2216" s="265"/>
      <c r="BV2216" s="265"/>
    </row>
    <row r="2217" spans="12:74">
      <c r="L2217" s="265"/>
      <c r="M2217" s="265"/>
      <c r="N2217" s="265"/>
      <c r="O2217" s="265"/>
      <c r="P2217" s="265"/>
      <c r="Q2217" s="265"/>
      <c r="BR2217" s="265"/>
      <c r="BS2217" s="265"/>
      <c r="BT2217" s="265"/>
      <c r="BU2217" s="265"/>
      <c r="BV2217" s="265"/>
    </row>
    <row r="2218" spans="12:74">
      <c r="L2218" s="265"/>
      <c r="M2218" s="265"/>
      <c r="N2218" s="265"/>
      <c r="O2218" s="265"/>
      <c r="P2218" s="265"/>
      <c r="Q2218" s="265"/>
      <c r="BR2218" s="265"/>
      <c r="BS2218" s="265"/>
      <c r="BT2218" s="265"/>
      <c r="BU2218" s="265"/>
      <c r="BV2218" s="265"/>
    </row>
    <row r="2219" spans="12:74">
      <c r="L2219" s="265"/>
      <c r="M2219" s="265"/>
      <c r="N2219" s="265"/>
      <c r="O2219" s="265"/>
      <c r="P2219" s="265"/>
      <c r="Q2219" s="265"/>
      <c r="BR2219" s="265"/>
      <c r="BS2219" s="265"/>
      <c r="BT2219" s="265"/>
      <c r="BU2219" s="265"/>
      <c r="BV2219" s="265"/>
    </row>
    <row r="2220" spans="12:74">
      <c r="L2220" s="265"/>
      <c r="M2220" s="265"/>
      <c r="N2220" s="265"/>
      <c r="O2220" s="265"/>
      <c r="P2220" s="265"/>
      <c r="Q2220" s="265"/>
      <c r="BR2220" s="265"/>
      <c r="BS2220" s="265"/>
      <c r="BT2220" s="265"/>
      <c r="BU2220" s="265"/>
      <c r="BV2220" s="265"/>
    </row>
    <row r="2221" spans="12:74">
      <c r="L2221" s="265"/>
      <c r="M2221" s="265"/>
      <c r="N2221" s="265"/>
      <c r="O2221" s="265"/>
      <c r="P2221" s="265"/>
      <c r="Q2221" s="265"/>
      <c r="BR2221" s="265"/>
      <c r="BS2221" s="265"/>
      <c r="BT2221" s="265"/>
      <c r="BU2221" s="265"/>
      <c r="BV2221" s="265"/>
    </row>
    <row r="2222" spans="12:74">
      <c r="L2222" s="265"/>
      <c r="M2222" s="265"/>
      <c r="N2222" s="265"/>
      <c r="O2222" s="265"/>
      <c r="P2222" s="265"/>
      <c r="Q2222" s="265"/>
      <c r="BR2222" s="265"/>
      <c r="BS2222" s="265"/>
      <c r="BT2222" s="265"/>
      <c r="BU2222" s="265"/>
      <c r="BV2222" s="265"/>
    </row>
    <row r="2223" spans="12:74">
      <c r="L2223" s="265"/>
      <c r="M2223" s="265"/>
      <c r="N2223" s="265"/>
      <c r="O2223" s="265"/>
      <c r="P2223" s="265"/>
      <c r="Q2223" s="265"/>
      <c r="BR2223" s="265"/>
      <c r="BS2223" s="265"/>
      <c r="BT2223" s="265"/>
      <c r="BU2223" s="265"/>
      <c r="BV2223" s="265"/>
    </row>
    <row r="2224" spans="12:74">
      <c r="L2224" s="265"/>
      <c r="M2224" s="265"/>
      <c r="N2224" s="265"/>
      <c r="O2224" s="265"/>
      <c r="P2224" s="265"/>
      <c r="Q2224" s="265"/>
      <c r="BR2224" s="265"/>
      <c r="BS2224" s="265"/>
      <c r="BT2224" s="265"/>
      <c r="BU2224" s="265"/>
      <c r="BV2224" s="265"/>
    </row>
    <row r="2225" spans="12:74">
      <c r="L2225" s="265"/>
      <c r="M2225" s="265"/>
      <c r="N2225" s="265"/>
      <c r="O2225" s="265"/>
      <c r="P2225" s="265"/>
      <c r="Q2225" s="265"/>
      <c r="BR2225" s="265"/>
      <c r="BS2225" s="265"/>
      <c r="BT2225" s="265"/>
      <c r="BU2225" s="265"/>
      <c r="BV2225" s="265"/>
    </row>
    <row r="2226" spans="12:74">
      <c r="L2226" s="265"/>
      <c r="M2226" s="265"/>
      <c r="N2226" s="265"/>
      <c r="O2226" s="265"/>
      <c r="P2226" s="265"/>
      <c r="Q2226" s="265"/>
      <c r="BR2226" s="265"/>
      <c r="BS2226" s="265"/>
      <c r="BT2226" s="265"/>
      <c r="BU2226" s="265"/>
      <c r="BV2226" s="265"/>
    </row>
    <row r="2227" spans="12:74">
      <c r="L2227" s="265"/>
      <c r="M2227" s="265"/>
      <c r="N2227" s="265"/>
      <c r="O2227" s="265"/>
      <c r="P2227" s="265"/>
      <c r="Q2227" s="265"/>
      <c r="BR2227" s="265"/>
      <c r="BS2227" s="265"/>
      <c r="BT2227" s="265"/>
      <c r="BU2227" s="265"/>
      <c r="BV2227" s="265"/>
    </row>
    <row r="2228" spans="12:74">
      <c r="L2228" s="265"/>
      <c r="M2228" s="265"/>
      <c r="N2228" s="265"/>
      <c r="O2228" s="265"/>
      <c r="P2228" s="265"/>
      <c r="Q2228" s="265"/>
      <c r="BR2228" s="265"/>
      <c r="BS2228" s="265"/>
      <c r="BT2228" s="265"/>
      <c r="BU2228" s="265"/>
      <c r="BV2228" s="265"/>
    </row>
    <row r="2229" spans="12:74">
      <c r="L2229" s="265"/>
      <c r="M2229" s="265"/>
      <c r="N2229" s="265"/>
      <c r="O2229" s="265"/>
      <c r="P2229" s="265"/>
      <c r="Q2229" s="265"/>
      <c r="BR2229" s="265"/>
      <c r="BS2229" s="265"/>
      <c r="BT2229" s="265"/>
      <c r="BU2229" s="265"/>
      <c r="BV2229" s="265"/>
    </row>
    <row r="2230" spans="12:74">
      <c r="L2230" s="265"/>
      <c r="M2230" s="265"/>
      <c r="N2230" s="265"/>
      <c r="O2230" s="265"/>
      <c r="P2230" s="265"/>
      <c r="Q2230" s="265"/>
      <c r="BR2230" s="265"/>
      <c r="BS2230" s="265"/>
      <c r="BT2230" s="265"/>
      <c r="BU2230" s="265"/>
      <c r="BV2230" s="265"/>
    </row>
    <row r="2231" spans="12:74">
      <c r="L2231" s="265"/>
      <c r="M2231" s="265"/>
      <c r="N2231" s="265"/>
      <c r="O2231" s="265"/>
      <c r="P2231" s="265"/>
      <c r="Q2231" s="265"/>
      <c r="BR2231" s="265"/>
      <c r="BS2231" s="265"/>
      <c r="BT2231" s="265"/>
      <c r="BU2231" s="265"/>
      <c r="BV2231" s="265"/>
    </row>
    <row r="2232" spans="12:74">
      <c r="L2232" s="265"/>
      <c r="M2232" s="265"/>
      <c r="N2232" s="265"/>
      <c r="O2232" s="265"/>
      <c r="P2232" s="265"/>
      <c r="Q2232" s="265"/>
      <c r="BR2232" s="265"/>
      <c r="BS2232" s="265"/>
      <c r="BT2232" s="265"/>
      <c r="BU2232" s="265"/>
      <c r="BV2232" s="265"/>
    </row>
    <row r="2233" spans="12:74">
      <c r="L2233" s="265"/>
      <c r="M2233" s="265"/>
      <c r="N2233" s="265"/>
      <c r="O2233" s="265"/>
      <c r="P2233" s="265"/>
      <c r="Q2233" s="265"/>
      <c r="BR2233" s="265"/>
      <c r="BS2233" s="265"/>
      <c r="BT2233" s="265"/>
      <c r="BU2233" s="265"/>
      <c r="BV2233" s="265"/>
    </row>
    <row r="2234" spans="12:74">
      <c r="L2234" s="265"/>
      <c r="M2234" s="265"/>
      <c r="N2234" s="265"/>
      <c r="O2234" s="265"/>
      <c r="P2234" s="265"/>
      <c r="Q2234" s="265"/>
      <c r="BR2234" s="265"/>
      <c r="BS2234" s="265"/>
      <c r="BT2234" s="265"/>
      <c r="BU2234" s="265"/>
      <c r="BV2234" s="265"/>
    </row>
    <row r="2235" spans="12:74">
      <c r="L2235" s="265"/>
      <c r="M2235" s="265"/>
      <c r="N2235" s="265"/>
      <c r="O2235" s="265"/>
      <c r="P2235" s="265"/>
      <c r="Q2235" s="265"/>
      <c r="BR2235" s="265"/>
      <c r="BS2235" s="265"/>
      <c r="BT2235" s="265"/>
      <c r="BU2235" s="265"/>
      <c r="BV2235" s="265"/>
    </row>
    <row r="2236" spans="12:74">
      <c r="L2236" s="265"/>
      <c r="M2236" s="265"/>
      <c r="N2236" s="265"/>
      <c r="O2236" s="265"/>
      <c r="P2236" s="265"/>
      <c r="Q2236" s="265"/>
      <c r="BR2236" s="265"/>
      <c r="BS2236" s="265"/>
      <c r="BT2236" s="265"/>
      <c r="BU2236" s="265"/>
      <c r="BV2236" s="265"/>
    </row>
    <row r="2237" spans="12:74">
      <c r="L2237" s="265"/>
      <c r="M2237" s="265"/>
      <c r="N2237" s="265"/>
      <c r="O2237" s="265"/>
      <c r="P2237" s="265"/>
      <c r="Q2237" s="265"/>
      <c r="BR2237" s="265"/>
      <c r="BS2237" s="265"/>
      <c r="BT2237" s="265"/>
      <c r="BU2237" s="265"/>
      <c r="BV2237" s="265"/>
    </row>
    <row r="2238" spans="12:74">
      <c r="L2238" s="265"/>
      <c r="M2238" s="265"/>
      <c r="N2238" s="265"/>
      <c r="O2238" s="265"/>
      <c r="P2238" s="265"/>
      <c r="Q2238" s="265"/>
      <c r="BR2238" s="265"/>
      <c r="BS2238" s="265"/>
      <c r="BT2238" s="265"/>
      <c r="BU2238" s="265"/>
      <c r="BV2238" s="265"/>
    </row>
    <row r="2239" spans="12:74">
      <c r="L2239" s="265"/>
      <c r="M2239" s="265"/>
      <c r="N2239" s="265"/>
      <c r="O2239" s="265"/>
      <c r="P2239" s="265"/>
      <c r="Q2239" s="265"/>
      <c r="BR2239" s="265"/>
      <c r="BS2239" s="265"/>
      <c r="BT2239" s="265"/>
      <c r="BU2239" s="265"/>
      <c r="BV2239" s="265"/>
    </row>
    <row r="2240" spans="12:74">
      <c r="L2240" s="265"/>
      <c r="M2240" s="265"/>
      <c r="N2240" s="265"/>
      <c r="O2240" s="265"/>
      <c r="P2240" s="265"/>
      <c r="Q2240" s="265"/>
      <c r="BR2240" s="265"/>
      <c r="BS2240" s="265"/>
      <c r="BT2240" s="265"/>
      <c r="BU2240" s="265"/>
      <c r="BV2240" s="265"/>
    </row>
    <row r="2241" spans="12:74">
      <c r="L2241" s="265"/>
      <c r="M2241" s="265"/>
      <c r="N2241" s="265"/>
      <c r="O2241" s="265"/>
      <c r="P2241" s="265"/>
      <c r="Q2241" s="265"/>
      <c r="BR2241" s="265"/>
      <c r="BS2241" s="265"/>
      <c r="BT2241" s="265"/>
      <c r="BU2241" s="265"/>
      <c r="BV2241" s="265"/>
    </row>
    <row r="2242" spans="12:74">
      <c r="L2242" s="265"/>
      <c r="M2242" s="265"/>
      <c r="N2242" s="265"/>
      <c r="O2242" s="265"/>
      <c r="P2242" s="265"/>
      <c r="Q2242" s="265"/>
      <c r="BR2242" s="265"/>
      <c r="BS2242" s="265"/>
      <c r="BT2242" s="265"/>
      <c r="BU2242" s="265"/>
      <c r="BV2242" s="265"/>
    </row>
    <row r="2243" spans="12:74">
      <c r="L2243" s="265"/>
      <c r="M2243" s="265"/>
      <c r="N2243" s="265"/>
      <c r="O2243" s="265"/>
      <c r="P2243" s="265"/>
      <c r="Q2243" s="265"/>
      <c r="BR2243" s="265"/>
      <c r="BS2243" s="265"/>
      <c r="BT2243" s="265"/>
      <c r="BU2243" s="265"/>
      <c r="BV2243" s="265"/>
    </row>
    <row r="2244" spans="12:74">
      <c r="L2244" s="265"/>
      <c r="M2244" s="265"/>
      <c r="N2244" s="265"/>
      <c r="O2244" s="265"/>
      <c r="P2244" s="265"/>
      <c r="Q2244" s="265"/>
      <c r="BR2244" s="265"/>
      <c r="BS2244" s="265"/>
      <c r="BT2244" s="265"/>
      <c r="BU2244" s="265"/>
      <c r="BV2244" s="265"/>
    </row>
    <row r="2245" spans="12:74">
      <c r="L2245" s="265"/>
      <c r="M2245" s="265"/>
      <c r="N2245" s="265"/>
      <c r="O2245" s="265"/>
      <c r="P2245" s="265"/>
      <c r="Q2245" s="265"/>
      <c r="BR2245" s="265"/>
      <c r="BS2245" s="265"/>
      <c r="BT2245" s="265"/>
      <c r="BU2245" s="265"/>
      <c r="BV2245" s="265"/>
    </row>
    <row r="2246" spans="12:74">
      <c r="L2246" s="265"/>
      <c r="M2246" s="265"/>
      <c r="N2246" s="265"/>
      <c r="O2246" s="265"/>
      <c r="P2246" s="265"/>
      <c r="Q2246" s="265"/>
      <c r="BR2246" s="265"/>
      <c r="BS2246" s="265"/>
      <c r="BT2246" s="265"/>
      <c r="BU2246" s="265"/>
      <c r="BV2246" s="265"/>
    </row>
    <row r="2247" spans="12:74">
      <c r="L2247" s="265"/>
      <c r="M2247" s="265"/>
      <c r="N2247" s="265"/>
      <c r="O2247" s="265"/>
      <c r="P2247" s="265"/>
      <c r="Q2247" s="265"/>
      <c r="BR2247" s="265"/>
      <c r="BS2247" s="265"/>
      <c r="BT2247" s="265"/>
      <c r="BU2247" s="265"/>
      <c r="BV2247" s="265"/>
    </row>
    <row r="2248" spans="12:74">
      <c r="L2248" s="265"/>
      <c r="M2248" s="265"/>
      <c r="N2248" s="265"/>
      <c r="O2248" s="265"/>
      <c r="P2248" s="265"/>
      <c r="Q2248" s="265"/>
      <c r="BR2248" s="265"/>
      <c r="BS2248" s="265"/>
      <c r="BT2248" s="265"/>
      <c r="BU2248" s="265"/>
      <c r="BV2248" s="265"/>
    </row>
    <row r="2249" spans="12:74">
      <c r="L2249" s="265"/>
      <c r="M2249" s="265"/>
      <c r="N2249" s="265"/>
      <c r="O2249" s="265"/>
      <c r="P2249" s="265"/>
      <c r="Q2249" s="265"/>
      <c r="BR2249" s="265"/>
      <c r="BS2249" s="265"/>
      <c r="BT2249" s="265"/>
      <c r="BU2249" s="265"/>
      <c r="BV2249" s="265"/>
    </row>
    <row r="2250" spans="12:74">
      <c r="L2250" s="265"/>
      <c r="M2250" s="265"/>
      <c r="N2250" s="265"/>
      <c r="O2250" s="265"/>
      <c r="P2250" s="265"/>
      <c r="Q2250" s="265"/>
      <c r="BR2250" s="265"/>
      <c r="BS2250" s="265"/>
      <c r="BT2250" s="265"/>
      <c r="BU2250" s="265"/>
      <c r="BV2250" s="265"/>
    </row>
    <row r="2251" spans="12:74">
      <c r="L2251" s="265"/>
      <c r="M2251" s="265"/>
      <c r="N2251" s="265"/>
      <c r="O2251" s="265"/>
      <c r="P2251" s="265"/>
      <c r="Q2251" s="265"/>
      <c r="BR2251" s="265"/>
      <c r="BS2251" s="265"/>
      <c r="BT2251" s="265"/>
      <c r="BU2251" s="265"/>
      <c r="BV2251" s="265"/>
    </row>
    <row r="2252" spans="12:74">
      <c r="L2252" s="265"/>
      <c r="M2252" s="265"/>
      <c r="N2252" s="265"/>
      <c r="O2252" s="265"/>
      <c r="P2252" s="265"/>
      <c r="Q2252" s="265"/>
      <c r="BR2252" s="265"/>
      <c r="BS2252" s="265"/>
      <c r="BT2252" s="265"/>
      <c r="BU2252" s="265"/>
      <c r="BV2252" s="265"/>
    </row>
    <row r="2253" spans="12:74">
      <c r="L2253" s="265"/>
      <c r="M2253" s="265"/>
      <c r="N2253" s="265"/>
      <c r="O2253" s="265"/>
      <c r="P2253" s="265"/>
      <c r="Q2253" s="265"/>
      <c r="BR2253" s="265"/>
      <c r="BS2253" s="265"/>
      <c r="BT2253" s="265"/>
      <c r="BU2253" s="265"/>
      <c r="BV2253" s="265"/>
    </row>
    <row r="2254" spans="12:74">
      <c r="L2254" s="265"/>
      <c r="M2254" s="265"/>
      <c r="N2254" s="265"/>
      <c r="O2254" s="265"/>
      <c r="P2254" s="265"/>
      <c r="Q2254" s="265"/>
      <c r="BR2254" s="265"/>
      <c r="BS2254" s="265"/>
      <c r="BT2254" s="265"/>
      <c r="BU2254" s="265"/>
      <c r="BV2254" s="265"/>
    </row>
    <row r="2255" spans="12:74">
      <c r="L2255" s="265"/>
      <c r="M2255" s="265"/>
      <c r="N2255" s="265"/>
      <c r="O2255" s="265"/>
      <c r="P2255" s="265"/>
      <c r="Q2255" s="265"/>
      <c r="BR2255" s="265"/>
      <c r="BS2255" s="265"/>
      <c r="BT2255" s="265"/>
      <c r="BU2255" s="265"/>
      <c r="BV2255" s="265"/>
    </row>
    <row r="2256" spans="12:74">
      <c r="L2256" s="265"/>
      <c r="M2256" s="265"/>
      <c r="N2256" s="265"/>
      <c r="O2256" s="265"/>
      <c r="P2256" s="265"/>
      <c r="Q2256" s="265"/>
      <c r="BR2256" s="265"/>
      <c r="BS2256" s="265"/>
      <c r="BT2256" s="265"/>
      <c r="BU2256" s="265"/>
      <c r="BV2256" s="265"/>
    </row>
    <row r="2257" spans="12:74">
      <c r="L2257" s="265"/>
      <c r="M2257" s="265"/>
      <c r="N2257" s="265"/>
      <c r="O2257" s="265"/>
      <c r="P2257" s="265"/>
      <c r="Q2257" s="265"/>
      <c r="BR2257" s="265"/>
      <c r="BS2257" s="265"/>
      <c r="BT2257" s="265"/>
      <c r="BU2257" s="265"/>
      <c r="BV2257" s="265"/>
    </row>
    <row r="2258" spans="12:74">
      <c r="L2258" s="265"/>
      <c r="M2258" s="265"/>
      <c r="N2258" s="265"/>
      <c r="O2258" s="265"/>
      <c r="P2258" s="265"/>
      <c r="Q2258" s="265"/>
      <c r="BR2258" s="265"/>
      <c r="BS2258" s="265"/>
      <c r="BT2258" s="265"/>
      <c r="BU2258" s="265"/>
      <c r="BV2258" s="265"/>
    </row>
    <row r="2259" spans="12:74">
      <c r="L2259" s="265"/>
      <c r="M2259" s="265"/>
      <c r="N2259" s="265"/>
      <c r="O2259" s="265"/>
      <c r="P2259" s="265"/>
      <c r="Q2259" s="265"/>
      <c r="BR2259" s="265"/>
      <c r="BS2259" s="265"/>
      <c r="BT2259" s="265"/>
      <c r="BU2259" s="265"/>
      <c r="BV2259" s="265"/>
    </row>
    <row r="2260" spans="12:74">
      <c r="L2260" s="265"/>
      <c r="M2260" s="265"/>
      <c r="N2260" s="265"/>
      <c r="O2260" s="265"/>
      <c r="P2260" s="265"/>
      <c r="Q2260" s="265"/>
      <c r="BR2260" s="265"/>
      <c r="BS2260" s="265"/>
      <c r="BT2260" s="265"/>
      <c r="BU2260" s="265"/>
      <c r="BV2260" s="265"/>
    </row>
    <row r="2261" spans="12:74">
      <c r="L2261" s="265"/>
      <c r="M2261" s="265"/>
      <c r="N2261" s="265"/>
      <c r="O2261" s="265"/>
      <c r="P2261" s="265"/>
      <c r="Q2261" s="265"/>
      <c r="BR2261" s="265"/>
      <c r="BS2261" s="265"/>
      <c r="BT2261" s="265"/>
      <c r="BU2261" s="265"/>
      <c r="BV2261" s="265"/>
    </row>
    <row r="2262" spans="12:74">
      <c r="L2262" s="265"/>
      <c r="M2262" s="265"/>
      <c r="N2262" s="265"/>
      <c r="O2262" s="265"/>
      <c r="P2262" s="265"/>
      <c r="Q2262" s="265"/>
      <c r="BR2262" s="265"/>
      <c r="BS2262" s="265"/>
      <c r="BT2262" s="265"/>
      <c r="BU2262" s="265"/>
      <c r="BV2262" s="265"/>
    </row>
    <row r="2263" spans="12:74">
      <c r="L2263" s="265"/>
      <c r="M2263" s="265"/>
      <c r="N2263" s="265"/>
      <c r="O2263" s="265"/>
      <c r="P2263" s="265"/>
      <c r="Q2263" s="265"/>
      <c r="BR2263" s="265"/>
      <c r="BS2263" s="265"/>
      <c r="BT2263" s="265"/>
      <c r="BU2263" s="265"/>
      <c r="BV2263" s="265"/>
    </row>
    <row r="2264" spans="12:74">
      <c r="L2264" s="265"/>
      <c r="M2264" s="265"/>
      <c r="N2264" s="265"/>
      <c r="O2264" s="265"/>
      <c r="P2264" s="265"/>
      <c r="Q2264" s="265"/>
      <c r="BR2264" s="265"/>
      <c r="BS2264" s="265"/>
      <c r="BT2264" s="265"/>
      <c r="BU2264" s="265"/>
      <c r="BV2264" s="265"/>
    </row>
    <row r="2265" spans="12:74">
      <c r="L2265" s="265"/>
      <c r="M2265" s="265"/>
      <c r="N2265" s="265"/>
      <c r="O2265" s="265"/>
      <c r="P2265" s="265"/>
      <c r="Q2265" s="265"/>
      <c r="BR2265" s="265"/>
      <c r="BS2265" s="265"/>
      <c r="BT2265" s="265"/>
      <c r="BU2265" s="265"/>
      <c r="BV2265" s="265"/>
    </row>
    <row r="2266" spans="12:74">
      <c r="L2266" s="265"/>
      <c r="M2266" s="265"/>
      <c r="N2266" s="265"/>
      <c r="O2266" s="265"/>
      <c r="P2266" s="265"/>
      <c r="Q2266" s="265"/>
      <c r="BR2266" s="265"/>
      <c r="BS2266" s="265"/>
      <c r="BT2266" s="265"/>
      <c r="BU2266" s="265"/>
      <c r="BV2266" s="265"/>
    </row>
    <row r="2267" spans="12:74">
      <c r="L2267" s="265"/>
      <c r="M2267" s="265"/>
      <c r="N2267" s="265"/>
      <c r="O2267" s="265"/>
      <c r="P2267" s="265"/>
      <c r="Q2267" s="265"/>
      <c r="BR2267" s="265"/>
      <c r="BS2267" s="265"/>
      <c r="BT2267" s="265"/>
      <c r="BU2267" s="265"/>
      <c r="BV2267" s="265"/>
    </row>
    <row r="2268" spans="12:74">
      <c r="L2268" s="265"/>
      <c r="M2268" s="265"/>
      <c r="N2268" s="265"/>
      <c r="O2268" s="265"/>
      <c r="P2268" s="265"/>
      <c r="Q2268" s="265"/>
      <c r="BR2268" s="265"/>
      <c r="BS2268" s="265"/>
      <c r="BT2268" s="265"/>
      <c r="BU2268" s="265"/>
      <c r="BV2268" s="265"/>
    </row>
    <row r="2269" spans="12:74">
      <c r="L2269" s="265"/>
      <c r="M2269" s="265"/>
      <c r="N2269" s="265"/>
      <c r="O2269" s="265"/>
      <c r="P2269" s="265"/>
      <c r="Q2269" s="265"/>
      <c r="BR2269" s="265"/>
      <c r="BS2269" s="265"/>
      <c r="BT2269" s="265"/>
      <c r="BU2269" s="265"/>
      <c r="BV2269" s="265"/>
    </row>
    <row r="2270" spans="12:74">
      <c r="L2270" s="265"/>
      <c r="M2270" s="265"/>
      <c r="N2270" s="265"/>
      <c r="O2270" s="265"/>
      <c r="P2270" s="265"/>
      <c r="Q2270" s="265"/>
      <c r="BR2270" s="265"/>
      <c r="BS2270" s="265"/>
      <c r="BT2270" s="265"/>
      <c r="BU2270" s="265"/>
      <c r="BV2270" s="265"/>
    </row>
    <row r="2271" spans="12:74">
      <c r="L2271" s="265"/>
      <c r="M2271" s="265"/>
      <c r="N2271" s="265"/>
      <c r="O2271" s="265"/>
      <c r="P2271" s="265"/>
      <c r="Q2271" s="265"/>
      <c r="BR2271" s="265"/>
      <c r="BS2271" s="265"/>
      <c r="BT2271" s="265"/>
      <c r="BU2271" s="265"/>
      <c r="BV2271" s="265"/>
    </row>
    <row r="2272" spans="12:74">
      <c r="L2272" s="265"/>
      <c r="M2272" s="265"/>
      <c r="N2272" s="265"/>
      <c r="O2272" s="265"/>
      <c r="P2272" s="265"/>
      <c r="Q2272" s="265"/>
      <c r="BR2272" s="265"/>
      <c r="BS2272" s="265"/>
      <c r="BT2272" s="265"/>
      <c r="BU2272" s="265"/>
      <c r="BV2272" s="265"/>
    </row>
    <row r="2273" spans="12:74">
      <c r="L2273" s="265"/>
      <c r="M2273" s="265"/>
      <c r="N2273" s="265"/>
      <c r="O2273" s="265"/>
      <c r="P2273" s="265"/>
      <c r="Q2273" s="265"/>
      <c r="BR2273" s="265"/>
      <c r="BS2273" s="265"/>
      <c r="BT2273" s="265"/>
      <c r="BU2273" s="265"/>
      <c r="BV2273" s="265"/>
    </row>
    <row r="2274" spans="12:74">
      <c r="L2274" s="265"/>
      <c r="M2274" s="265"/>
      <c r="N2274" s="265"/>
      <c r="O2274" s="265"/>
      <c r="P2274" s="265"/>
      <c r="Q2274" s="265"/>
      <c r="BR2274" s="265"/>
      <c r="BS2274" s="265"/>
      <c r="BT2274" s="265"/>
      <c r="BU2274" s="265"/>
      <c r="BV2274" s="265"/>
    </row>
    <row r="2275" spans="12:74">
      <c r="L2275" s="265"/>
      <c r="M2275" s="265"/>
      <c r="N2275" s="265"/>
      <c r="O2275" s="265"/>
      <c r="P2275" s="265"/>
      <c r="Q2275" s="265"/>
      <c r="BR2275" s="265"/>
      <c r="BS2275" s="265"/>
      <c r="BT2275" s="265"/>
      <c r="BU2275" s="265"/>
      <c r="BV2275" s="265"/>
    </row>
    <row r="2276" spans="12:74">
      <c r="L2276" s="265"/>
      <c r="M2276" s="265"/>
      <c r="N2276" s="265"/>
      <c r="O2276" s="265"/>
      <c r="P2276" s="265"/>
      <c r="Q2276" s="265"/>
      <c r="BR2276" s="265"/>
      <c r="BS2276" s="265"/>
      <c r="BT2276" s="265"/>
      <c r="BU2276" s="265"/>
      <c r="BV2276" s="265"/>
    </row>
    <row r="2277" spans="12:74">
      <c r="L2277" s="265"/>
      <c r="M2277" s="265"/>
      <c r="N2277" s="265"/>
      <c r="O2277" s="265"/>
      <c r="P2277" s="265"/>
      <c r="Q2277" s="265"/>
      <c r="BR2277" s="265"/>
      <c r="BS2277" s="265"/>
      <c r="BT2277" s="265"/>
      <c r="BU2277" s="265"/>
      <c r="BV2277" s="265"/>
    </row>
    <row r="2278" spans="12:74">
      <c r="L2278" s="265"/>
      <c r="M2278" s="265"/>
      <c r="N2278" s="265"/>
      <c r="O2278" s="265"/>
      <c r="P2278" s="265"/>
      <c r="Q2278" s="265"/>
      <c r="BR2278" s="265"/>
      <c r="BS2278" s="265"/>
      <c r="BT2278" s="265"/>
      <c r="BU2278" s="265"/>
      <c r="BV2278" s="265"/>
    </row>
    <row r="2279" spans="12:74">
      <c r="L2279" s="265"/>
      <c r="M2279" s="265"/>
      <c r="N2279" s="265"/>
      <c r="O2279" s="265"/>
      <c r="P2279" s="265"/>
      <c r="Q2279" s="265"/>
      <c r="BR2279" s="265"/>
      <c r="BS2279" s="265"/>
      <c r="BT2279" s="265"/>
      <c r="BU2279" s="265"/>
      <c r="BV2279" s="265"/>
    </row>
    <row r="2280" spans="12:74">
      <c r="L2280" s="265"/>
      <c r="M2280" s="265"/>
      <c r="N2280" s="265"/>
      <c r="O2280" s="265"/>
      <c r="P2280" s="265"/>
      <c r="Q2280" s="265"/>
      <c r="BR2280" s="265"/>
      <c r="BS2280" s="265"/>
      <c r="BT2280" s="265"/>
      <c r="BU2280" s="265"/>
      <c r="BV2280" s="265"/>
    </row>
    <row r="2281" spans="12:74">
      <c r="L2281" s="265"/>
      <c r="M2281" s="265"/>
      <c r="N2281" s="265"/>
      <c r="O2281" s="265"/>
      <c r="P2281" s="265"/>
      <c r="Q2281" s="265"/>
      <c r="BR2281" s="265"/>
      <c r="BS2281" s="265"/>
      <c r="BT2281" s="265"/>
      <c r="BU2281" s="265"/>
      <c r="BV2281" s="265"/>
    </row>
    <row r="2282" spans="12:74">
      <c r="L2282" s="265"/>
      <c r="M2282" s="265"/>
      <c r="N2282" s="265"/>
      <c r="O2282" s="265"/>
      <c r="P2282" s="265"/>
      <c r="Q2282" s="265"/>
      <c r="BR2282" s="265"/>
      <c r="BS2282" s="265"/>
      <c r="BT2282" s="265"/>
      <c r="BU2282" s="265"/>
      <c r="BV2282" s="265"/>
    </row>
    <row r="2283" spans="12:74">
      <c r="L2283" s="265"/>
      <c r="M2283" s="265"/>
      <c r="N2283" s="265"/>
      <c r="O2283" s="265"/>
      <c r="P2283" s="265"/>
      <c r="Q2283" s="265"/>
      <c r="BR2283" s="265"/>
      <c r="BS2283" s="265"/>
      <c r="BT2283" s="265"/>
      <c r="BU2283" s="265"/>
      <c r="BV2283" s="265"/>
    </row>
    <row r="2284" spans="12:74">
      <c r="L2284" s="265"/>
      <c r="M2284" s="265"/>
      <c r="N2284" s="265"/>
      <c r="O2284" s="265"/>
      <c r="P2284" s="265"/>
      <c r="Q2284" s="265"/>
      <c r="BR2284" s="265"/>
      <c r="BS2284" s="265"/>
      <c r="BT2284" s="265"/>
      <c r="BU2284" s="265"/>
      <c r="BV2284" s="265"/>
    </row>
    <row r="2285" spans="12:74">
      <c r="L2285" s="265"/>
      <c r="M2285" s="265"/>
      <c r="N2285" s="265"/>
      <c r="O2285" s="265"/>
      <c r="P2285" s="265"/>
      <c r="Q2285" s="265"/>
      <c r="BR2285" s="265"/>
      <c r="BS2285" s="265"/>
      <c r="BT2285" s="265"/>
      <c r="BU2285" s="265"/>
      <c r="BV2285" s="265"/>
    </row>
    <row r="2286" spans="12:74">
      <c r="L2286" s="265"/>
      <c r="M2286" s="265"/>
      <c r="N2286" s="265"/>
      <c r="O2286" s="265"/>
      <c r="P2286" s="265"/>
      <c r="Q2286" s="265"/>
      <c r="BR2286" s="265"/>
      <c r="BS2286" s="265"/>
      <c r="BT2286" s="265"/>
      <c r="BU2286" s="265"/>
      <c r="BV2286" s="265"/>
    </row>
    <row r="2287" spans="12:74">
      <c r="L2287" s="265"/>
      <c r="M2287" s="265"/>
      <c r="N2287" s="265"/>
      <c r="O2287" s="265"/>
      <c r="P2287" s="265"/>
      <c r="Q2287" s="265"/>
      <c r="BR2287" s="265"/>
      <c r="BS2287" s="265"/>
      <c r="BT2287" s="265"/>
      <c r="BU2287" s="265"/>
      <c r="BV2287" s="265"/>
    </row>
    <row r="2288" spans="12:74">
      <c r="L2288" s="265"/>
      <c r="M2288" s="265"/>
      <c r="N2288" s="265"/>
      <c r="O2288" s="265"/>
      <c r="P2288" s="265"/>
      <c r="Q2288" s="265"/>
      <c r="BR2288" s="265"/>
      <c r="BS2288" s="265"/>
      <c r="BT2288" s="265"/>
      <c r="BU2288" s="265"/>
      <c r="BV2288" s="265"/>
    </row>
    <row r="2289" spans="12:74">
      <c r="L2289" s="265"/>
      <c r="M2289" s="265"/>
      <c r="N2289" s="265"/>
      <c r="O2289" s="265"/>
      <c r="P2289" s="265"/>
      <c r="Q2289" s="265"/>
      <c r="BR2289" s="265"/>
      <c r="BS2289" s="265"/>
      <c r="BT2289" s="265"/>
      <c r="BU2289" s="265"/>
      <c r="BV2289" s="265"/>
    </row>
    <row r="2290" spans="12:74">
      <c r="L2290" s="265"/>
      <c r="M2290" s="265"/>
      <c r="N2290" s="265"/>
      <c r="O2290" s="265"/>
      <c r="P2290" s="265"/>
      <c r="Q2290" s="265"/>
      <c r="BR2290" s="265"/>
      <c r="BS2290" s="265"/>
      <c r="BT2290" s="265"/>
      <c r="BU2290" s="265"/>
      <c r="BV2290" s="265"/>
    </row>
    <row r="2291" spans="12:74">
      <c r="L2291" s="265"/>
      <c r="M2291" s="265"/>
      <c r="N2291" s="265"/>
      <c r="O2291" s="265"/>
      <c r="P2291" s="265"/>
      <c r="Q2291" s="265"/>
      <c r="BR2291" s="265"/>
      <c r="BS2291" s="265"/>
      <c r="BT2291" s="265"/>
      <c r="BU2291" s="265"/>
      <c r="BV2291" s="265"/>
    </row>
    <row r="2292" spans="12:74">
      <c r="L2292" s="265"/>
      <c r="M2292" s="265"/>
      <c r="N2292" s="265"/>
      <c r="O2292" s="265"/>
      <c r="P2292" s="265"/>
      <c r="Q2292" s="265"/>
      <c r="BR2292" s="265"/>
      <c r="BS2292" s="265"/>
      <c r="BT2292" s="265"/>
      <c r="BU2292" s="265"/>
      <c r="BV2292" s="265"/>
    </row>
    <row r="2293" spans="12:74">
      <c r="L2293" s="265"/>
      <c r="M2293" s="265"/>
      <c r="N2293" s="265"/>
      <c r="O2293" s="265"/>
      <c r="P2293" s="265"/>
      <c r="Q2293" s="265"/>
      <c r="BR2293" s="265"/>
      <c r="BS2293" s="265"/>
      <c r="BT2293" s="265"/>
      <c r="BU2293" s="265"/>
      <c r="BV2293" s="265"/>
    </row>
    <row r="2294" spans="12:74">
      <c r="L2294" s="265"/>
      <c r="M2294" s="265"/>
      <c r="N2294" s="265"/>
      <c r="O2294" s="265"/>
      <c r="P2294" s="265"/>
      <c r="Q2294" s="265"/>
      <c r="BR2294" s="265"/>
      <c r="BS2294" s="265"/>
      <c r="BT2294" s="265"/>
      <c r="BU2294" s="265"/>
      <c r="BV2294" s="265"/>
    </row>
    <row r="2295" spans="12:74">
      <c r="L2295" s="265"/>
      <c r="M2295" s="265"/>
      <c r="N2295" s="265"/>
      <c r="O2295" s="265"/>
      <c r="P2295" s="265"/>
      <c r="Q2295" s="265"/>
      <c r="BR2295" s="265"/>
      <c r="BS2295" s="265"/>
      <c r="BT2295" s="265"/>
      <c r="BU2295" s="265"/>
      <c r="BV2295" s="265"/>
    </row>
    <row r="2296" spans="12:74">
      <c r="L2296" s="265"/>
      <c r="M2296" s="265"/>
      <c r="N2296" s="265"/>
      <c r="O2296" s="265"/>
      <c r="P2296" s="265"/>
      <c r="Q2296" s="265"/>
      <c r="BR2296" s="265"/>
      <c r="BS2296" s="265"/>
      <c r="BT2296" s="265"/>
      <c r="BU2296" s="265"/>
      <c r="BV2296" s="265"/>
    </row>
    <row r="2297" spans="12:74">
      <c r="L2297" s="265"/>
      <c r="M2297" s="265"/>
      <c r="N2297" s="265"/>
      <c r="O2297" s="265"/>
      <c r="P2297" s="265"/>
      <c r="Q2297" s="265"/>
      <c r="BR2297" s="265"/>
      <c r="BS2297" s="265"/>
      <c r="BT2297" s="265"/>
      <c r="BU2297" s="265"/>
      <c r="BV2297" s="265"/>
    </row>
    <row r="2298" spans="12:74">
      <c r="L2298" s="265"/>
      <c r="M2298" s="265"/>
      <c r="N2298" s="265"/>
      <c r="O2298" s="265"/>
      <c r="P2298" s="265"/>
      <c r="Q2298" s="265"/>
      <c r="BR2298" s="265"/>
      <c r="BS2298" s="265"/>
      <c r="BT2298" s="265"/>
      <c r="BU2298" s="265"/>
      <c r="BV2298" s="265"/>
    </row>
    <row r="2299" spans="12:74">
      <c r="L2299" s="265"/>
      <c r="M2299" s="265"/>
      <c r="N2299" s="265"/>
      <c r="O2299" s="265"/>
      <c r="P2299" s="265"/>
      <c r="Q2299" s="265"/>
      <c r="BR2299" s="265"/>
      <c r="BS2299" s="265"/>
      <c r="BT2299" s="265"/>
      <c r="BU2299" s="265"/>
      <c r="BV2299" s="265"/>
    </row>
    <row r="2300" spans="12:74">
      <c r="L2300" s="265"/>
      <c r="M2300" s="265"/>
      <c r="N2300" s="265"/>
      <c r="O2300" s="265"/>
      <c r="P2300" s="265"/>
      <c r="Q2300" s="265"/>
      <c r="BR2300" s="265"/>
      <c r="BS2300" s="265"/>
      <c r="BT2300" s="265"/>
      <c r="BU2300" s="265"/>
      <c r="BV2300" s="265"/>
    </row>
    <row r="2301" spans="12:74">
      <c r="L2301" s="265"/>
      <c r="M2301" s="265"/>
      <c r="N2301" s="265"/>
      <c r="O2301" s="265"/>
      <c r="P2301" s="265"/>
      <c r="Q2301" s="265"/>
      <c r="BR2301" s="265"/>
      <c r="BS2301" s="265"/>
      <c r="BT2301" s="265"/>
      <c r="BU2301" s="265"/>
      <c r="BV2301" s="265"/>
    </row>
    <row r="2302" spans="12:74">
      <c r="L2302" s="265"/>
      <c r="M2302" s="265"/>
      <c r="N2302" s="265"/>
      <c r="O2302" s="265"/>
      <c r="P2302" s="265"/>
      <c r="Q2302" s="265"/>
      <c r="BR2302" s="265"/>
      <c r="BS2302" s="265"/>
      <c r="BT2302" s="265"/>
      <c r="BU2302" s="265"/>
      <c r="BV2302" s="265"/>
    </row>
    <row r="2303" spans="12:74">
      <c r="L2303" s="265"/>
      <c r="M2303" s="265"/>
      <c r="N2303" s="265"/>
      <c r="O2303" s="265"/>
      <c r="P2303" s="265"/>
      <c r="Q2303" s="265"/>
      <c r="BR2303" s="265"/>
      <c r="BS2303" s="265"/>
      <c r="BT2303" s="265"/>
      <c r="BU2303" s="265"/>
      <c r="BV2303" s="265"/>
    </row>
    <row r="2304" spans="12:74">
      <c r="L2304" s="265"/>
      <c r="M2304" s="265"/>
      <c r="N2304" s="265"/>
      <c r="O2304" s="265"/>
      <c r="P2304" s="265"/>
      <c r="Q2304" s="265"/>
      <c r="BR2304" s="265"/>
      <c r="BS2304" s="265"/>
      <c r="BT2304" s="265"/>
      <c r="BU2304" s="265"/>
      <c r="BV2304" s="265"/>
    </row>
    <row r="2305" spans="12:74">
      <c r="L2305" s="265"/>
      <c r="M2305" s="265"/>
      <c r="N2305" s="265"/>
      <c r="O2305" s="265"/>
      <c r="P2305" s="265"/>
      <c r="Q2305" s="265"/>
      <c r="BR2305" s="265"/>
      <c r="BS2305" s="265"/>
      <c r="BT2305" s="265"/>
      <c r="BU2305" s="265"/>
      <c r="BV2305" s="265"/>
    </row>
    <row r="2306" spans="12:74">
      <c r="L2306" s="265"/>
      <c r="M2306" s="265"/>
      <c r="N2306" s="265"/>
      <c r="O2306" s="265"/>
      <c r="P2306" s="265"/>
      <c r="Q2306" s="265"/>
      <c r="BR2306" s="265"/>
      <c r="BS2306" s="265"/>
      <c r="BT2306" s="265"/>
      <c r="BU2306" s="265"/>
      <c r="BV2306" s="265"/>
    </row>
    <row r="2307" spans="12:74">
      <c r="L2307" s="265"/>
      <c r="M2307" s="265"/>
      <c r="N2307" s="265"/>
      <c r="O2307" s="265"/>
      <c r="P2307" s="265"/>
      <c r="Q2307" s="265"/>
      <c r="BR2307" s="265"/>
      <c r="BS2307" s="265"/>
      <c r="BT2307" s="265"/>
      <c r="BU2307" s="265"/>
      <c r="BV2307" s="265"/>
    </row>
    <row r="2308" spans="12:74">
      <c r="L2308" s="265"/>
      <c r="M2308" s="265"/>
      <c r="N2308" s="265"/>
      <c r="O2308" s="265"/>
      <c r="P2308" s="265"/>
      <c r="Q2308" s="265"/>
      <c r="BR2308" s="265"/>
      <c r="BS2308" s="265"/>
      <c r="BT2308" s="265"/>
      <c r="BU2308" s="265"/>
      <c r="BV2308" s="265"/>
    </row>
    <row r="2309" spans="12:74">
      <c r="L2309" s="265"/>
      <c r="M2309" s="265"/>
      <c r="N2309" s="265"/>
      <c r="O2309" s="265"/>
      <c r="P2309" s="265"/>
      <c r="Q2309" s="265"/>
      <c r="BR2309" s="265"/>
      <c r="BS2309" s="265"/>
      <c r="BT2309" s="265"/>
      <c r="BU2309" s="265"/>
      <c r="BV2309" s="265"/>
    </row>
    <row r="2310" spans="12:74">
      <c r="L2310" s="265"/>
      <c r="M2310" s="265"/>
      <c r="N2310" s="265"/>
      <c r="O2310" s="265"/>
      <c r="P2310" s="265"/>
      <c r="Q2310" s="265"/>
      <c r="BR2310" s="265"/>
      <c r="BS2310" s="265"/>
      <c r="BT2310" s="265"/>
      <c r="BU2310" s="265"/>
      <c r="BV2310" s="265"/>
    </row>
    <row r="2311" spans="12:74">
      <c r="L2311" s="265"/>
      <c r="M2311" s="265"/>
      <c r="N2311" s="265"/>
      <c r="O2311" s="265"/>
      <c r="P2311" s="265"/>
      <c r="Q2311" s="265"/>
      <c r="BR2311" s="265"/>
      <c r="BS2311" s="265"/>
      <c r="BT2311" s="265"/>
      <c r="BU2311" s="265"/>
      <c r="BV2311" s="265"/>
    </row>
    <row r="2312" spans="12:74">
      <c r="L2312" s="265"/>
      <c r="M2312" s="265"/>
      <c r="N2312" s="265"/>
      <c r="O2312" s="265"/>
      <c r="P2312" s="265"/>
      <c r="Q2312" s="265"/>
      <c r="BR2312" s="265"/>
      <c r="BS2312" s="265"/>
      <c r="BT2312" s="265"/>
      <c r="BU2312" s="265"/>
      <c r="BV2312" s="265"/>
    </row>
    <row r="2313" spans="12:74">
      <c r="L2313" s="265"/>
      <c r="M2313" s="265"/>
      <c r="N2313" s="265"/>
      <c r="O2313" s="265"/>
      <c r="P2313" s="265"/>
      <c r="Q2313" s="265"/>
      <c r="BR2313" s="265"/>
      <c r="BS2313" s="265"/>
      <c r="BT2313" s="265"/>
      <c r="BU2313" s="265"/>
      <c r="BV2313" s="265"/>
    </row>
    <row r="2314" spans="12:74">
      <c r="L2314" s="265"/>
      <c r="M2314" s="265"/>
      <c r="N2314" s="265"/>
      <c r="O2314" s="265"/>
      <c r="P2314" s="265"/>
      <c r="Q2314" s="265"/>
      <c r="BR2314" s="265"/>
      <c r="BS2314" s="265"/>
      <c r="BT2314" s="265"/>
      <c r="BU2314" s="265"/>
      <c r="BV2314" s="265"/>
    </row>
    <row r="2315" spans="12:74">
      <c r="L2315" s="265"/>
      <c r="M2315" s="265"/>
      <c r="N2315" s="265"/>
      <c r="O2315" s="265"/>
      <c r="P2315" s="265"/>
      <c r="Q2315" s="265"/>
      <c r="BR2315" s="265"/>
      <c r="BS2315" s="265"/>
      <c r="BT2315" s="265"/>
      <c r="BU2315" s="265"/>
      <c r="BV2315" s="265"/>
    </row>
    <row r="2316" spans="12:74">
      <c r="L2316" s="265"/>
      <c r="M2316" s="265"/>
      <c r="N2316" s="265"/>
      <c r="O2316" s="265"/>
      <c r="P2316" s="265"/>
      <c r="Q2316" s="265"/>
      <c r="BR2316" s="265"/>
      <c r="BS2316" s="265"/>
      <c r="BT2316" s="265"/>
      <c r="BU2316" s="265"/>
      <c r="BV2316" s="265"/>
    </row>
    <row r="2317" spans="12:74">
      <c r="L2317" s="265"/>
      <c r="M2317" s="265"/>
      <c r="N2317" s="265"/>
      <c r="O2317" s="265"/>
      <c r="P2317" s="265"/>
      <c r="Q2317" s="265"/>
      <c r="BR2317" s="265"/>
      <c r="BS2317" s="265"/>
      <c r="BT2317" s="265"/>
      <c r="BU2317" s="265"/>
      <c r="BV2317" s="265"/>
    </row>
    <row r="2318" spans="12:74">
      <c r="L2318" s="265"/>
      <c r="M2318" s="265"/>
      <c r="N2318" s="265"/>
      <c r="O2318" s="265"/>
      <c r="P2318" s="265"/>
      <c r="Q2318" s="265"/>
      <c r="BR2318" s="265"/>
      <c r="BS2318" s="265"/>
      <c r="BT2318" s="265"/>
      <c r="BU2318" s="265"/>
      <c r="BV2318" s="265"/>
    </row>
    <row r="2319" spans="12:74">
      <c r="L2319" s="265"/>
      <c r="M2319" s="265"/>
      <c r="N2319" s="265"/>
      <c r="O2319" s="265"/>
      <c r="P2319" s="265"/>
      <c r="Q2319" s="265"/>
      <c r="BR2319" s="265"/>
      <c r="BS2319" s="265"/>
      <c r="BT2319" s="265"/>
      <c r="BU2319" s="265"/>
      <c r="BV2319" s="265"/>
    </row>
    <row r="2320" spans="12:74">
      <c r="L2320" s="265"/>
      <c r="M2320" s="265"/>
      <c r="N2320" s="265"/>
      <c r="O2320" s="265"/>
      <c r="P2320" s="265"/>
      <c r="Q2320" s="265"/>
      <c r="BR2320" s="265"/>
      <c r="BS2320" s="265"/>
      <c r="BT2320" s="265"/>
      <c r="BU2320" s="265"/>
      <c r="BV2320" s="265"/>
    </row>
    <row r="2321" spans="12:74">
      <c r="L2321" s="265"/>
      <c r="M2321" s="265"/>
      <c r="N2321" s="265"/>
      <c r="O2321" s="265"/>
      <c r="P2321" s="265"/>
      <c r="Q2321" s="265"/>
      <c r="BR2321" s="265"/>
      <c r="BS2321" s="265"/>
      <c r="BT2321" s="265"/>
      <c r="BU2321" s="265"/>
      <c r="BV2321" s="265"/>
    </row>
    <row r="2322" spans="12:74">
      <c r="L2322" s="265"/>
      <c r="M2322" s="265"/>
      <c r="N2322" s="265"/>
      <c r="O2322" s="265"/>
      <c r="P2322" s="265"/>
      <c r="Q2322" s="265"/>
      <c r="BR2322" s="265"/>
      <c r="BS2322" s="265"/>
      <c r="BT2322" s="265"/>
      <c r="BU2322" s="265"/>
      <c r="BV2322" s="265"/>
    </row>
    <row r="2323" spans="12:74">
      <c r="L2323" s="265"/>
      <c r="M2323" s="265"/>
      <c r="N2323" s="265"/>
      <c r="O2323" s="265"/>
      <c r="P2323" s="265"/>
      <c r="Q2323" s="265"/>
      <c r="BR2323" s="265"/>
      <c r="BS2323" s="265"/>
      <c r="BT2323" s="265"/>
      <c r="BU2323" s="265"/>
      <c r="BV2323" s="265"/>
    </row>
    <row r="2324" spans="12:74">
      <c r="L2324" s="265"/>
      <c r="M2324" s="265"/>
      <c r="N2324" s="265"/>
      <c r="O2324" s="265"/>
      <c r="P2324" s="265"/>
      <c r="Q2324" s="265"/>
      <c r="BR2324" s="265"/>
      <c r="BS2324" s="265"/>
      <c r="BT2324" s="265"/>
      <c r="BU2324" s="265"/>
      <c r="BV2324" s="265"/>
    </row>
    <row r="2325" spans="12:74">
      <c r="L2325" s="265"/>
      <c r="M2325" s="265"/>
      <c r="N2325" s="265"/>
      <c r="O2325" s="265"/>
      <c r="P2325" s="265"/>
      <c r="Q2325" s="265"/>
      <c r="BR2325" s="265"/>
      <c r="BS2325" s="265"/>
      <c r="BT2325" s="265"/>
      <c r="BU2325" s="265"/>
      <c r="BV2325" s="265"/>
    </row>
    <row r="2326" spans="12:74">
      <c r="L2326" s="265"/>
      <c r="M2326" s="265"/>
      <c r="N2326" s="265"/>
      <c r="O2326" s="265"/>
      <c r="P2326" s="265"/>
      <c r="Q2326" s="265"/>
      <c r="BR2326" s="265"/>
      <c r="BS2326" s="265"/>
      <c r="BT2326" s="265"/>
      <c r="BU2326" s="265"/>
      <c r="BV2326" s="265"/>
    </row>
    <row r="2327" spans="12:74">
      <c r="L2327" s="265"/>
      <c r="M2327" s="265"/>
      <c r="N2327" s="265"/>
      <c r="O2327" s="265"/>
      <c r="P2327" s="265"/>
      <c r="Q2327" s="265"/>
      <c r="BR2327" s="265"/>
      <c r="BS2327" s="265"/>
      <c r="BT2327" s="265"/>
      <c r="BU2327" s="265"/>
      <c r="BV2327" s="265"/>
    </row>
    <row r="2328" spans="12:74">
      <c r="L2328" s="265"/>
      <c r="M2328" s="265"/>
      <c r="N2328" s="265"/>
      <c r="O2328" s="265"/>
      <c r="P2328" s="265"/>
      <c r="Q2328" s="265"/>
      <c r="BR2328" s="265"/>
      <c r="BS2328" s="265"/>
      <c r="BT2328" s="265"/>
      <c r="BU2328" s="265"/>
      <c r="BV2328" s="265"/>
    </row>
    <row r="2329" spans="12:74">
      <c r="L2329" s="265"/>
      <c r="M2329" s="265"/>
      <c r="N2329" s="265"/>
      <c r="O2329" s="265"/>
      <c r="P2329" s="265"/>
      <c r="Q2329" s="265"/>
      <c r="BR2329" s="265"/>
      <c r="BS2329" s="265"/>
      <c r="BT2329" s="265"/>
      <c r="BU2329" s="265"/>
      <c r="BV2329" s="265"/>
    </row>
    <row r="2330" spans="12:74">
      <c r="L2330" s="265"/>
      <c r="M2330" s="265"/>
      <c r="N2330" s="265"/>
      <c r="O2330" s="265"/>
      <c r="P2330" s="265"/>
      <c r="Q2330" s="265"/>
      <c r="BR2330" s="265"/>
      <c r="BS2330" s="265"/>
      <c r="BT2330" s="265"/>
      <c r="BU2330" s="265"/>
      <c r="BV2330" s="265"/>
    </row>
    <row r="2331" spans="12:74">
      <c r="L2331" s="265"/>
      <c r="M2331" s="265"/>
      <c r="N2331" s="265"/>
      <c r="O2331" s="265"/>
      <c r="P2331" s="265"/>
      <c r="Q2331" s="265"/>
      <c r="BR2331" s="265"/>
      <c r="BS2331" s="265"/>
      <c r="BT2331" s="265"/>
      <c r="BU2331" s="265"/>
      <c r="BV2331" s="265"/>
    </row>
    <row r="2332" spans="12:74">
      <c r="L2332" s="265"/>
      <c r="M2332" s="265"/>
      <c r="N2332" s="265"/>
      <c r="O2332" s="265"/>
      <c r="P2332" s="265"/>
      <c r="Q2332" s="265"/>
      <c r="BR2332" s="265"/>
      <c r="BS2332" s="265"/>
      <c r="BT2332" s="265"/>
      <c r="BU2332" s="265"/>
      <c r="BV2332" s="265"/>
    </row>
    <row r="2333" spans="12:74">
      <c r="L2333" s="265"/>
      <c r="M2333" s="265"/>
      <c r="N2333" s="265"/>
      <c r="O2333" s="265"/>
      <c r="P2333" s="265"/>
      <c r="Q2333" s="265"/>
      <c r="BR2333" s="265"/>
      <c r="BS2333" s="265"/>
      <c r="BT2333" s="265"/>
      <c r="BU2333" s="265"/>
      <c r="BV2333" s="265"/>
    </row>
    <row r="2334" spans="12:74">
      <c r="L2334" s="265"/>
      <c r="M2334" s="265"/>
      <c r="N2334" s="265"/>
      <c r="O2334" s="265"/>
      <c r="P2334" s="265"/>
      <c r="Q2334" s="265"/>
      <c r="BR2334" s="265"/>
      <c r="BS2334" s="265"/>
      <c r="BT2334" s="265"/>
      <c r="BU2334" s="265"/>
      <c r="BV2334" s="265"/>
    </row>
    <row r="2335" spans="12:74">
      <c r="L2335" s="265"/>
      <c r="M2335" s="265"/>
      <c r="N2335" s="265"/>
      <c r="O2335" s="265"/>
      <c r="P2335" s="265"/>
      <c r="Q2335" s="265"/>
      <c r="BR2335" s="265"/>
      <c r="BS2335" s="265"/>
      <c r="BT2335" s="265"/>
      <c r="BU2335" s="265"/>
      <c r="BV2335" s="265"/>
    </row>
    <row r="2336" spans="12:74">
      <c r="L2336" s="265"/>
      <c r="M2336" s="265"/>
      <c r="N2336" s="265"/>
      <c r="O2336" s="265"/>
      <c r="P2336" s="265"/>
      <c r="Q2336" s="265"/>
      <c r="BR2336" s="265"/>
      <c r="BS2336" s="265"/>
      <c r="BT2336" s="265"/>
      <c r="BU2336" s="265"/>
      <c r="BV2336" s="265"/>
    </row>
    <row r="2337" spans="12:74">
      <c r="L2337" s="265"/>
      <c r="M2337" s="265"/>
      <c r="N2337" s="265"/>
      <c r="O2337" s="265"/>
      <c r="P2337" s="265"/>
      <c r="Q2337" s="265"/>
      <c r="BR2337" s="265"/>
      <c r="BS2337" s="265"/>
      <c r="BT2337" s="265"/>
      <c r="BU2337" s="265"/>
      <c r="BV2337" s="265"/>
    </row>
    <row r="2338" spans="12:74">
      <c r="L2338" s="265"/>
      <c r="M2338" s="265"/>
      <c r="N2338" s="265"/>
      <c r="O2338" s="265"/>
      <c r="P2338" s="265"/>
      <c r="Q2338" s="265"/>
      <c r="BR2338" s="265"/>
      <c r="BS2338" s="265"/>
      <c r="BT2338" s="265"/>
      <c r="BU2338" s="265"/>
      <c r="BV2338" s="265"/>
    </row>
    <row r="2339" spans="12:74">
      <c r="L2339" s="265"/>
      <c r="M2339" s="265"/>
      <c r="N2339" s="265"/>
      <c r="O2339" s="265"/>
      <c r="P2339" s="265"/>
      <c r="Q2339" s="265"/>
      <c r="BR2339" s="265"/>
      <c r="BS2339" s="265"/>
      <c r="BT2339" s="265"/>
      <c r="BU2339" s="265"/>
      <c r="BV2339" s="265"/>
    </row>
    <row r="2340" spans="12:74">
      <c r="L2340" s="265"/>
      <c r="M2340" s="265"/>
      <c r="N2340" s="265"/>
      <c r="O2340" s="265"/>
      <c r="P2340" s="265"/>
      <c r="Q2340" s="265"/>
      <c r="BR2340" s="265"/>
      <c r="BS2340" s="265"/>
      <c r="BT2340" s="265"/>
      <c r="BU2340" s="265"/>
      <c r="BV2340" s="265"/>
    </row>
    <row r="2341" spans="12:74">
      <c r="L2341" s="265"/>
      <c r="M2341" s="265"/>
      <c r="N2341" s="265"/>
      <c r="O2341" s="265"/>
      <c r="P2341" s="265"/>
      <c r="Q2341" s="265"/>
      <c r="BR2341" s="265"/>
      <c r="BS2341" s="265"/>
      <c r="BT2341" s="265"/>
      <c r="BU2341" s="265"/>
      <c r="BV2341" s="265"/>
    </row>
    <row r="2342" spans="12:74">
      <c r="L2342" s="265"/>
      <c r="M2342" s="265"/>
      <c r="N2342" s="265"/>
      <c r="O2342" s="265"/>
      <c r="P2342" s="265"/>
      <c r="Q2342" s="265"/>
      <c r="BR2342" s="265"/>
      <c r="BS2342" s="265"/>
      <c r="BT2342" s="265"/>
      <c r="BU2342" s="265"/>
      <c r="BV2342" s="265"/>
    </row>
    <row r="2343" spans="12:74">
      <c r="L2343" s="265"/>
      <c r="M2343" s="265"/>
      <c r="N2343" s="265"/>
      <c r="O2343" s="265"/>
      <c r="P2343" s="265"/>
      <c r="Q2343" s="265"/>
      <c r="BR2343" s="265"/>
      <c r="BS2343" s="265"/>
      <c r="BT2343" s="265"/>
      <c r="BU2343" s="265"/>
      <c r="BV2343" s="265"/>
    </row>
    <row r="2344" spans="12:74">
      <c r="L2344" s="265"/>
      <c r="M2344" s="265"/>
      <c r="N2344" s="265"/>
      <c r="O2344" s="265"/>
      <c r="P2344" s="265"/>
      <c r="Q2344" s="265"/>
      <c r="BR2344" s="265"/>
      <c r="BS2344" s="265"/>
      <c r="BT2344" s="265"/>
      <c r="BU2344" s="265"/>
      <c r="BV2344" s="265"/>
    </row>
    <row r="2345" spans="12:74">
      <c r="L2345" s="265"/>
      <c r="M2345" s="265"/>
      <c r="N2345" s="265"/>
      <c r="O2345" s="265"/>
      <c r="P2345" s="265"/>
      <c r="Q2345" s="265"/>
      <c r="BR2345" s="265"/>
      <c r="BS2345" s="265"/>
      <c r="BT2345" s="265"/>
      <c r="BU2345" s="265"/>
      <c r="BV2345" s="265"/>
    </row>
    <row r="2346" spans="12:74">
      <c r="L2346" s="265"/>
      <c r="M2346" s="265"/>
      <c r="N2346" s="265"/>
      <c r="O2346" s="265"/>
      <c r="P2346" s="265"/>
      <c r="Q2346" s="265"/>
      <c r="BR2346" s="265"/>
      <c r="BS2346" s="265"/>
      <c r="BT2346" s="265"/>
      <c r="BU2346" s="265"/>
      <c r="BV2346" s="265"/>
    </row>
    <row r="2347" spans="12:74">
      <c r="L2347" s="265"/>
      <c r="M2347" s="265"/>
      <c r="N2347" s="265"/>
      <c r="O2347" s="265"/>
      <c r="P2347" s="265"/>
      <c r="Q2347" s="265"/>
      <c r="BR2347" s="265"/>
      <c r="BS2347" s="265"/>
      <c r="BT2347" s="265"/>
      <c r="BU2347" s="265"/>
      <c r="BV2347" s="265"/>
    </row>
    <row r="2348" spans="12:74">
      <c r="L2348" s="265"/>
      <c r="M2348" s="265"/>
      <c r="N2348" s="265"/>
      <c r="O2348" s="265"/>
      <c r="P2348" s="265"/>
      <c r="Q2348" s="265"/>
      <c r="BR2348" s="265"/>
      <c r="BS2348" s="265"/>
      <c r="BT2348" s="265"/>
      <c r="BU2348" s="265"/>
      <c r="BV2348" s="265"/>
    </row>
    <row r="2349" spans="12:74">
      <c r="L2349" s="265"/>
      <c r="M2349" s="265"/>
      <c r="N2349" s="265"/>
      <c r="O2349" s="265"/>
      <c r="P2349" s="265"/>
      <c r="Q2349" s="265"/>
      <c r="BR2349" s="265"/>
      <c r="BS2349" s="265"/>
      <c r="BT2349" s="265"/>
      <c r="BU2349" s="265"/>
      <c r="BV2349" s="265"/>
    </row>
    <row r="2350" spans="12:74">
      <c r="L2350" s="265"/>
      <c r="M2350" s="265"/>
      <c r="N2350" s="265"/>
      <c r="O2350" s="265"/>
      <c r="P2350" s="265"/>
      <c r="Q2350" s="265"/>
      <c r="BR2350" s="265"/>
      <c r="BS2350" s="265"/>
      <c r="BT2350" s="265"/>
      <c r="BU2350" s="265"/>
      <c r="BV2350" s="265"/>
    </row>
    <row r="2351" spans="12:74">
      <c r="L2351" s="265"/>
      <c r="M2351" s="265"/>
      <c r="N2351" s="265"/>
      <c r="O2351" s="265"/>
      <c r="P2351" s="265"/>
      <c r="Q2351" s="265"/>
      <c r="BR2351" s="265"/>
      <c r="BS2351" s="265"/>
      <c r="BT2351" s="265"/>
      <c r="BU2351" s="265"/>
      <c r="BV2351" s="265"/>
    </row>
    <row r="2352" spans="12:74">
      <c r="L2352" s="265"/>
      <c r="M2352" s="265"/>
      <c r="N2352" s="265"/>
      <c r="O2352" s="265"/>
      <c r="P2352" s="265"/>
      <c r="Q2352" s="265"/>
      <c r="BR2352" s="265"/>
      <c r="BS2352" s="265"/>
      <c r="BT2352" s="265"/>
      <c r="BU2352" s="265"/>
      <c r="BV2352" s="265"/>
    </row>
    <row r="2353" spans="12:74">
      <c r="L2353" s="265"/>
      <c r="M2353" s="265"/>
      <c r="N2353" s="265"/>
      <c r="O2353" s="265"/>
      <c r="P2353" s="265"/>
      <c r="Q2353" s="265"/>
      <c r="BR2353" s="265"/>
      <c r="BS2353" s="265"/>
      <c r="BT2353" s="265"/>
      <c r="BU2353" s="265"/>
      <c r="BV2353" s="265"/>
    </row>
    <row r="2354" spans="12:74">
      <c r="L2354" s="265"/>
      <c r="M2354" s="265"/>
      <c r="N2354" s="265"/>
      <c r="O2354" s="265"/>
      <c r="P2354" s="265"/>
      <c r="Q2354" s="265"/>
      <c r="BR2354" s="265"/>
      <c r="BS2354" s="265"/>
      <c r="BT2354" s="265"/>
      <c r="BU2354" s="265"/>
      <c r="BV2354" s="265"/>
    </row>
    <row r="2355" spans="12:74">
      <c r="L2355" s="265"/>
      <c r="M2355" s="265"/>
      <c r="N2355" s="265"/>
      <c r="O2355" s="265"/>
      <c r="P2355" s="265"/>
      <c r="Q2355" s="265"/>
      <c r="BR2355" s="265"/>
      <c r="BS2355" s="265"/>
      <c r="BT2355" s="265"/>
      <c r="BU2355" s="265"/>
      <c r="BV2355" s="265"/>
    </row>
    <row r="2356" spans="12:74">
      <c r="L2356" s="265"/>
      <c r="M2356" s="265"/>
      <c r="N2356" s="265"/>
      <c r="O2356" s="265"/>
      <c r="P2356" s="265"/>
      <c r="Q2356" s="265"/>
      <c r="BR2356" s="265"/>
      <c r="BS2356" s="265"/>
      <c r="BT2356" s="265"/>
      <c r="BU2356" s="265"/>
      <c r="BV2356" s="265"/>
    </row>
    <row r="2357" spans="12:74">
      <c r="L2357" s="265"/>
      <c r="M2357" s="265"/>
      <c r="N2357" s="265"/>
      <c r="O2357" s="265"/>
      <c r="P2357" s="265"/>
      <c r="Q2357" s="265"/>
      <c r="BR2357" s="265"/>
      <c r="BS2357" s="265"/>
      <c r="BT2357" s="265"/>
      <c r="BU2357" s="265"/>
      <c r="BV2357" s="265"/>
    </row>
    <row r="2358" spans="12:74">
      <c r="L2358" s="265"/>
      <c r="M2358" s="265"/>
      <c r="N2358" s="265"/>
      <c r="O2358" s="265"/>
      <c r="P2358" s="265"/>
      <c r="Q2358" s="265"/>
      <c r="BR2358" s="265"/>
      <c r="BS2358" s="265"/>
      <c r="BT2358" s="265"/>
      <c r="BU2358" s="265"/>
      <c r="BV2358" s="265"/>
    </row>
    <row r="2359" spans="12:74">
      <c r="L2359" s="265"/>
      <c r="M2359" s="265"/>
      <c r="N2359" s="265"/>
      <c r="O2359" s="265"/>
      <c r="P2359" s="265"/>
      <c r="Q2359" s="265"/>
      <c r="BR2359" s="265"/>
      <c r="BS2359" s="265"/>
      <c r="BT2359" s="265"/>
      <c r="BU2359" s="265"/>
      <c r="BV2359" s="265"/>
    </row>
    <row r="2360" spans="12:74">
      <c r="L2360" s="265"/>
      <c r="M2360" s="265"/>
      <c r="N2360" s="265"/>
      <c r="O2360" s="265"/>
      <c r="P2360" s="265"/>
      <c r="Q2360" s="265"/>
      <c r="BR2360" s="265"/>
      <c r="BS2360" s="265"/>
      <c r="BT2360" s="265"/>
      <c r="BU2360" s="265"/>
      <c r="BV2360" s="265"/>
    </row>
    <row r="2361" spans="12:74">
      <c r="L2361" s="265"/>
      <c r="M2361" s="265"/>
      <c r="N2361" s="265"/>
      <c r="O2361" s="265"/>
      <c r="P2361" s="265"/>
      <c r="Q2361" s="265"/>
      <c r="BR2361" s="265"/>
      <c r="BS2361" s="265"/>
      <c r="BT2361" s="265"/>
      <c r="BU2361" s="265"/>
      <c r="BV2361" s="265"/>
    </row>
    <row r="2362" spans="12:74">
      <c r="L2362" s="265"/>
      <c r="M2362" s="265"/>
      <c r="N2362" s="265"/>
      <c r="O2362" s="265"/>
      <c r="P2362" s="265"/>
      <c r="Q2362" s="265"/>
      <c r="BR2362" s="265"/>
      <c r="BS2362" s="265"/>
      <c r="BT2362" s="265"/>
      <c r="BU2362" s="265"/>
      <c r="BV2362" s="265"/>
    </row>
    <row r="2363" spans="12:74">
      <c r="L2363" s="265"/>
      <c r="M2363" s="265"/>
      <c r="N2363" s="265"/>
      <c r="O2363" s="265"/>
      <c r="P2363" s="265"/>
      <c r="Q2363" s="265"/>
      <c r="BR2363" s="265"/>
      <c r="BS2363" s="265"/>
      <c r="BT2363" s="265"/>
      <c r="BU2363" s="265"/>
      <c r="BV2363" s="265"/>
    </row>
    <row r="2364" spans="12:74">
      <c r="L2364" s="265"/>
      <c r="M2364" s="265"/>
      <c r="N2364" s="265"/>
      <c r="O2364" s="265"/>
      <c r="P2364" s="265"/>
      <c r="Q2364" s="265"/>
      <c r="BR2364" s="265"/>
      <c r="BS2364" s="265"/>
      <c r="BT2364" s="265"/>
      <c r="BU2364" s="265"/>
      <c r="BV2364" s="265"/>
    </row>
    <row r="2365" spans="12:74">
      <c r="L2365" s="265"/>
      <c r="M2365" s="265"/>
      <c r="N2365" s="265"/>
      <c r="O2365" s="265"/>
      <c r="P2365" s="265"/>
      <c r="Q2365" s="265"/>
      <c r="BR2365" s="265"/>
      <c r="BS2365" s="265"/>
      <c r="BT2365" s="265"/>
      <c r="BU2365" s="265"/>
      <c r="BV2365" s="265"/>
    </row>
    <row r="2366" spans="12:74">
      <c r="L2366" s="265"/>
      <c r="M2366" s="265"/>
      <c r="N2366" s="265"/>
      <c r="O2366" s="265"/>
      <c r="P2366" s="265"/>
      <c r="Q2366" s="265"/>
      <c r="BR2366" s="265"/>
      <c r="BS2366" s="265"/>
      <c r="BT2366" s="265"/>
      <c r="BU2366" s="265"/>
      <c r="BV2366" s="265"/>
    </row>
    <row r="2367" spans="12:74">
      <c r="L2367" s="265"/>
      <c r="M2367" s="265"/>
      <c r="N2367" s="265"/>
      <c r="O2367" s="265"/>
      <c r="P2367" s="265"/>
      <c r="Q2367" s="265"/>
      <c r="BR2367" s="265"/>
      <c r="BS2367" s="265"/>
      <c r="BT2367" s="265"/>
      <c r="BU2367" s="265"/>
      <c r="BV2367" s="265"/>
    </row>
    <row r="2368" spans="12:74">
      <c r="L2368" s="265"/>
      <c r="M2368" s="265"/>
      <c r="N2368" s="265"/>
      <c r="O2368" s="265"/>
      <c r="P2368" s="265"/>
      <c r="Q2368" s="265"/>
      <c r="BR2368" s="265"/>
      <c r="BS2368" s="265"/>
      <c r="BT2368" s="265"/>
      <c r="BU2368" s="265"/>
      <c r="BV2368" s="265"/>
    </row>
    <row r="2369" spans="12:74">
      <c r="L2369" s="265"/>
      <c r="M2369" s="265"/>
      <c r="N2369" s="265"/>
      <c r="O2369" s="265"/>
      <c r="P2369" s="265"/>
      <c r="Q2369" s="265"/>
      <c r="BR2369" s="265"/>
      <c r="BS2369" s="265"/>
      <c r="BT2369" s="265"/>
      <c r="BU2369" s="265"/>
      <c r="BV2369" s="265"/>
    </row>
    <row r="2370" spans="12:74">
      <c r="L2370" s="265"/>
      <c r="M2370" s="265"/>
      <c r="N2370" s="265"/>
      <c r="O2370" s="265"/>
      <c r="P2370" s="265"/>
      <c r="Q2370" s="265"/>
      <c r="BR2370" s="265"/>
      <c r="BS2370" s="265"/>
      <c r="BT2370" s="265"/>
      <c r="BU2370" s="265"/>
      <c r="BV2370" s="265"/>
    </row>
    <row r="2371" spans="12:74">
      <c r="L2371" s="265"/>
      <c r="M2371" s="265"/>
      <c r="N2371" s="265"/>
      <c r="O2371" s="265"/>
      <c r="P2371" s="265"/>
      <c r="Q2371" s="265"/>
      <c r="BR2371" s="265"/>
      <c r="BS2371" s="265"/>
      <c r="BT2371" s="265"/>
      <c r="BU2371" s="265"/>
      <c r="BV2371" s="265"/>
    </row>
    <row r="2372" spans="12:74">
      <c r="L2372" s="265"/>
      <c r="M2372" s="265"/>
      <c r="N2372" s="265"/>
      <c r="O2372" s="265"/>
      <c r="P2372" s="265"/>
      <c r="Q2372" s="265"/>
      <c r="BR2372" s="265"/>
      <c r="BS2372" s="265"/>
      <c r="BT2372" s="265"/>
      <c r="BU2372" s="265"/>
      <c r="BV2372" s="265"/>
    </row>
    <row r="2373" spans="12:74">
      <c r="L2373" s="265"/>
      <c r="M2373" s="265"/>
      <c r="N2373" s="265"/>
      <c r="O2373" s="265"/>
      <c r="P2373" s="265"/>
      <c r="Q2373" s="265"/>
      <c r="BR2373" s="265"/>
      <c r="BS2373" s="265"/>
      <c r="BT2373" s="265"/>
      <c r="BU2373" s="265"/>
      <c r="BV2373" s="265"/>
    </row>
    <row r="2374" spans="12:74">
      <c r="L2374" s="265"/>
      <c r="M2374" s="265"/>
      <c r="N2374" s="265"/>
      <c r="O2374" s="265"/>
      <c r="P2374" s="265"/>
      <c r="Q2374" s="265"/>
      <c r="BR2374" s="265"/>
      <c r="BS2374" s="265"/>
      <c r="BT2374" s="265"/>
      <c r="BU2374" s="265"/>
      <c r="BV2374" s="265"/>
    </row>
    <row r="2375" spans="12:74">
      <c r="L2375" s="265"/>
      <c r="M2375" s="265"/>
      <c r="N2375" s="265"/>
      <c r="O2375" s="265"/>
      <c r="P2375" s="265"/>
      <c r="Q2375" s="265"/>
      <c r="BR2375" s="265"/>
      <c r="BS2375" s="265"/>
      <c r="BT2375" s="265"/>
      <c r="BU2375" s="265"/>
      <c r="BV2375" s="265"/>
    </row>
    <row r="2376" spans="12:74">
      <c r="L2376" s="265"/>
      <c r="M2376" s="265"/>
      <c r="N2376" s="265"/>
      <c r="O2376" s="265"/>
      <c r="P2376" s="265"/>
      <c r="Q2376" s="265"/>
      <c r="BR2376" s="265"/>
      <c r="BS2376" s="265"/>
      <c r="BT2376" s="265"/>
      <c r="BU2376" s="265"/>
      <c r="BV2376" s="265"/>
    </row>
    <row r="2377" spans="12:74">
      <c r="L2377" s="265"/>
      <c r="M2377" s="265"/>
      <c r="N2377" s="265"/>
      <c r="O2377" s="265"/>
      <c r="P2377" s="265"/>
      <c r="Q2377" s="265"/>
      <c r="BR2377" s="265"/>
      <c r="BS2377" s="265"/>
      <c r="BT2377" s="265"/>
      <c r="BU2377" s="265"/>
      <c r="BV2377" s="265"/>
    </row>
    <row r="2378" spans="12:74">
      <c r="L2378" s="265"/>
      <c r="M2378" s="265"/>
      <c r="N2378" s="265"/>
      <c r="O2378" s="265"/>
      <c r="P2378" s="265"/>
      <c r="Q2378" s="265"/>
      <c r="BR2378" s="265"/>
      <c r="BS2378" s="265"/>
      <c r="BT2378" s="265"/>
      <c r="BU2378" s="265"/>
      <c r="BV2378" s="265"/>
    </row>
    <row r="2379" spans="12:74">
      <c r="L2379" s="265"/>
      <c r="M2379" s="265"/>
      <c r="N2379" s="265"/>
      <c r="O2379" s="265"/>
      <c r="P2379" s="265"/>
      <c r="Q2379" s="265"/>
      <c r="BR2379" s="265"/>
      <c r="BS2379" s="265"/>
      <c r="BT2379" s="265"/>
      <c r="BU2379" s="265"/>
      <c r="BV2379" s="265"/>
    </row>
    <row r="2380" spans="12:74">
      <c r="L2380" s="265"/>
      <c r="M2380" s="265"/>
      <c r="N2380" s="265"/>
      <c r="O2380" s="265"/>
      <c r="P2380" s="265"/>
      <c r="Q2380" s="265"/>
      <c r="BR2380" s="265"/>
      <c r="BS2380" s="265"/>
      <c r="BT2380" s="265"/>
      <c r="BU2380" s="265"/>
      <c r="BV2380" s="265"/>
    </row>
    <row r="2381" spans="12:74">
      <c r="L2381" s="265"/>
      <c r="M2381" s="265"/>
      <c r="N2381" s="265"/>
      <c r="O2381" s="265"/>
      <c r="P2381" s="265"/>
      <c r="Q2381" s="265"/>
      <c r="BR2381" s="265"/>
      <c r="BS2381" s="265"/>
      <c r="BT2381" s="265"/>
      <c r="BU2381" s="265"/>
      <c r="BV2381" s="265"/>
    </row>
    <row r="2382" spans="12:74">
      <c r="L2382" s="265"/>
      <c r="M2382" s="265"/>
      <c r="N2382" s="265"/>
      <c r="O2382" s="265"/>
      <c r="P2382" s="265"/>
      <c r="Q2382" s="265"/>
      <c r="BR2382" s="265"/>
      <c r="BS2382" s="265"/>
      <c r="BT2382" s="265"/>
      <c r="BU2382" s="265"/>
      <c r="BV2382" s="265"/>
    </row>
    <row r="2383" spans="12:74">
      <c r="L2383" s="265"/>
      <c r="M2383" s="265"/>
      <c r="N2383" s="265"/>
      <c r="O2383" s="265"/>
      <c r="P2383" s="265"/>
      <c r="Q2383" s="265"/>
      <c r="BR2383" s="265"/>
      <c r="BS2383" s="265"/>
      <c r="BT2383" s="265"/>
      <c r="BU2383" s="265"/>
      <c r="BV2383" s="265"/>
    </row>
    <row r="2384" spans="12:74">
      <c r="L2384" s="265"/>
      <c r="M2384" s="265"/>
      <c r="N2384" s="265"/>
      <c r="O2384" s="265"/>
      <c r="P2384" s="265"/>
      <c r="Q2384" s="265"/>
      <c r="BR2384" s="265"/>
      <c r="BS2384" s="265"/>
      <c r="BT2384" s="265"/>
      <c r="BU2384" s="265"/>
      <c r="BV2384" s="265"/>
    </row>
    <row r="2385" spans="12:74">
      <c r="L2385" s="265"/>
      <c r="M2385" s="265"/>
      <c r="N2385" s="265"/>
      <c r="O2385" s="265"/>
      <c r="P2385" s="265"/>
      <c r="Q2385" s="265"/>
      <c r="BR2385" s="265"/>
      <c r="BS2385" s="265"/>
      <c r="BT2385" s="265"/>
      <c r="BU2385" s="265"/>
      <c r="BV2385" s="265"/>
    </row>
    <row r="2386" spans="12:74">
      <c r="L2386" s="265"/>
      <c r="M2386" s="265"/>
      <c r="N2386" s="265"/>
      <c r="O2386" s="265"/>
      <c r="P2386" s="265"/>
      <c r="Q2386" s="265"/>
      <c r="BR2386" s="265"/>
      <c r="BS2386" s="265"/>
      <c r="BT2386" s="265"/>
      <c r="BU2386" s="265"/>
      <c r="BV2386" s="265"/>
    </row>
    <row r="2387" spans="12:74">
      <c r="L2387" s="265"/>
      <c r="M2387" s="265"/>
      <c r="N2387" s="265"/>
      <c r="O2387" s="265"/>
      <c r="P2387" s="265"/>
      <c r="Q2387" s="265"/>
      <c r="BR2387" s="265"/>
      <c r="BS2387" s="265"/>
      <c r="BT2387" s="265"/>
      <c r="BU2387" s="265"/>
      <c r="BV2387" s="265"/>
    </row>
    <row r="2388" spans="12:74">
      <c r="L2388" s="265"/>
      <c r="M2388" s="265"/>
      <c r="N2388" s="265"/>
      <c r="O2388" s="265"/>
      <c r="P2388" s="265"/>
      <c r="Q2388" s="265"/>
      <c r="BR2388" s="265"/>
      <c r="BS2388" s="265"/>
      <c r="BT2388" s="265"/>
      <c r="BU2388" s="265"/>
      <c r="BV2388" s="265"/>
    </row>
    <row r="2389" spans="12:74">
      <c r="L2389" s="265"/>
      <c r="M2389" s="265"/>
      <c r="N2389" s="265"/>
      <c r="O2389" s="265"/>
      <c r="P2389" s="265"/>
      <c r="Q2389" s="265"/>
      <c r="BR2389" s="265"/>
      <c r="BS2389" s="265"/>
      <c r="BT2389" s="265"/>
      <c r="BU2389" s="265"/>
      <c r="BV2389" s="265"/>
    </row>
    <row r="2390" spans="12:74">
      <c r="L2390" s="265"/>
      <c r="M2390" s="265"/>
      <c r="N2390" s="265"/>
      <c r="O2390" s="265"/>
      <c r="P2390" s="265"/>
      <c r="Q2390" s="265"/>
      <c r="BR2390" s="265"/>
      <c r="BS2390" s="265"/>
      <c r="BT2390" s="265"/>
      <c r="BU2390" s="265"/>
      <c r="BV2390" s="265"/>
    </row>
    <row r="2391" spans="12:74">
      <c r="L2391" s="265"/>
      <c r="M2391" s="265"/>
      <c r="N2391" s="265"/>
      <c r="O2391" s="265"/>
      <c r="P2391" s="265"/>
      <c r="Q2391" s="265"/>
      <c r="BR2391" s="265"/>
      <c r="BS2391" s="265"/>
      <c r="BT2391" s="265"/>
      <c r="BU2391" s="265"/>
      <c r="BV2391" s="265"/>
    </row>
    <row r="2392" spans="12:74">
      <c r="L2392" s="265"/>
      <c r="M2392" s="265"/>
      <c r="N2392" s="265"/>
      <c r="O2392" s="265"/>
      <c r="P2392" s="265"/>
      <c r="Q2392" s="265"/>
      <c r="BR2392" s="265"/>
      <c r="BS2392" s="265"/>
      <c r="BT2392" s="265"/>
      <c r="BU2392" s="265"/>
      <c r="BV2392" s="265"/>
    </row>
    <row r="2393" spans="12:74">
      <c r="L2393" s="265"/>
      <c r="M2393" s="265"/>
      <c r="N2393" s="265"/>
      <c r="O2393" s="265"/>
      <c r="P2393" s="265"/>
      <c r="Q2393" s="265"/>
      <c r="BR2393" s="265"/>
      <c r="BS2393" s="265"/>
      <c r="BT2393" s="265"/>
      <c r="BU2393" s="265"/>
      <c r="BV2393" s="265"/>
    </row>
    <row r="2394" spans="12:74">
      <c r="L2394" s="265"/>
      <c r="M2394" s="265"/>
      <c r="N2394" s="265"/>
      <c r="O2394" s="265"/>
      <c r="P2394" s="265"/>
      <c r="Q2394" s="265"/>
      <c r="BR2394" s="265"/>
      <c r="BS2394" s="265"/>
      <c r="BT2394" s="265"/>
      <c r="BU2394" s="265"/>
      <c r="BV2394" s="265"/>
    </row>
    <row r="2395" spans="12:74">
      <c r="L2395" s="265"/>
      <c r="M2395" s="265"/>
      <c r="N2395" s="265"/>
      <c r="O2395" s="265"/>
      <c r="P2395" s="265"/>
      <c r="Q2395" s="265"/>
      <c r="BR2395" s="265"/>
      <c r="BS2395" s="265"/>
      <c r="BT2395" s="265"/>
      <c r="BU2395" s="265"/>
      <c r="BV2395" s="265"/>
    </row>
    <row r="2396" spans="12:74">
      <c r="L2396" s="265"/>
      <c r="M2396" s="265"/>
      <c r="N2396" s="265"/>
      <c r="O2396" s="265"/>
      <c r="P2396" s="265"/>
      <c r="Q2396" s="265"/>
      <c r="BR2396" s="265"/>
      <c r="BS2396" s="265"/>
      <c r="BT2396" s="265"/>
      <c r="BU2396" s="265"/>
      <c r="BV2396" s="265"/>
    </row>
    <row r="2397" spans="12:74">
      <c r="L2397" s="265"/>
      <c r="M2397" s="265"/>
      <c r="N2397" s="265"/>
      <c r="O2397" s="265"/>
      <c r="P2397" s="265"/>
      <c r="Q2397" s="265"/>
      <c r="BR2397" s="265"/>
      <c r="BS2397" s="265"/>
      <c r="BT2397" s="265"/>
      <c r="BU2397" s="265"/>
      <c r="BV2397" s="265"/>
    </row>
    <row r="2398" spans="12:74">
      <c r="L2398" s="265"/>
      <c r="M2398" s="265"/>
      <c r="N2398" s="265"/>
      <c r="O2398" s="265"/>
      <c r="P2398" s="265"/>
      <c r="Q2398" s="265"/>
      <c r="BR2398" s="265"/>
      <c r="BS2398" s="265"/>
      <c r="BT2398" s="265"/>
      <c r="BU2398" s="265"/>
      <c r="BV2398" s="265"/>
    </row>
    <row r="2399" spans="12:74">
      <c r="L2399" s="265"/>
      <c r="M2399" s="265"/>
      <c r="N2399" s="265"/>
      <c r="O2399" s="265"/>
      <c r="P2399" s="265"/>
      <c r="Q2399" s="265"/>
      <c r="BR2399" s="265"/>
      <c r="BS2399" s="265"/>
      <c r="BT2399" s="265"/>
      <c r="BU2399" s="265"/>
      <c r="BV2399" s="265"/>
    </row>
    <row r="2400" spans="12:74">
      <c r="L2400" s="265"/>
      <c r="M2400" s="265"/>
      <c r="N2400" s="265"/>
      <c r="O2400" s="265"/>
      <c r="P2400" s="265"/>
      <c r="Q2400" s="265"/>
      <c r="BR2400" s="265"/>
      <c r="BS2400" s="265"/>
      <c r="BT2400" s="265"/>
      <c r="BU2400" s="265"/>
      <c r="BV2400" s="265"/>
    </row>
    <row r="2401" spans="12:74">
      <c r="L2401" s="265"/>
      <c r="M2401" s="265"/>
      <c r="N2401" s="265"/>
      <c r="O2401" s="265"/>
      <c r="P2401" s="265"/>
      <c r="Q2401" s="265"/>
      <c r="BR2401" s="265"/>
      <c r="BS2401" s="265"/>
      <c r="BT2401" s="265"/>
      <c r="BU2401" s="265"/>
      <c r="BV2401" s="265"/>
    </row>
    <row r="2402" spans="12:74">
      <c r="L2402" s="265"/>
      <c r="M2402" s="265"/>
      <c r="N2402" s="265"/>
      <c r="O2402" s="265"/>
      <c r="P2402" s="265"/>
      <c r="Q2402" s="265"/>
      <c r="BR2402" s="265"/>
      <c r="BS2402" s="265"/>
      <c r="BT2402" s="265"/>
      <c r="BU2402" s="265"/>
      <c r="BV2402" s="265"/>
    </row>
    <row r="2403" spans="12:74">
      <c r="L2403" s="265"/>
      <c r="M2403" s="265"/>
      <c r="N2403" s="265"/>
      <c r="O2403" s="265"/>
      <c r="P2403" s="265"/>
      <c r="Q2403" s="265"/>
      <c r="BR2403" s="265"/>
      <c r="BS2403" s="265"/>
      <c r="BT2403" s="265"/>
      <c r="BU2403" s="265"/>
      <c r="BV2403" s="265"/>
    </row>
    <row r="2404" spans="12:74">
      <c r="L2404" s="265"/>
      <c r="M2404" s="265"/>
      <c r="N2404" s="265"/>
      <c r="O2404" s="265"/>
      <c r="P2404" s="265"/>
      <c r="Q2404" s="265"/>
      <c r="BR2404" s="265"/>
      <c r="BS2404" s="265"/>
      <c r="BT2404" s="265"/>
      <c r="BU2404" s="265"/>
      <c r="BV2404" s="265"/>
    </row>
    <row r="2405" spans="12:74">
      <c r="L2405" s="265"/>
      <c r="M2405" s="265"/>
      <c r="N2405" s="265"/>
      <c r="O2405" s="265"/>
      <c r="P2405" s="265"/>
      <c r="Q2405" s="265"/>
      <c r="BR2405" s="265"/>
      <c r="BS2405" s="265"/>
      <c r="BT2405" s="265"/>
      <c r="BU2405" s="265"/>
      <c r="BV2405" s="265"/>
    </row>
    <row r="2406" spans="12:74">
      <c r="L2406" s="265"/>
      <c r="M2406" s="265"/>
      <c r="N2406" s="265"/>
      <c r="O2406" s="265"/>
      <c r="P2406" s="265"/>
      <c r="Q2406" s="265"/>
      <c r="BR2406" s="265"/>
      <c r="BS2406" s="265"/>
      <c r="BT2406" s="265"/>
      <c r="BU2406" s="265"/>
      <c r="BV2406" s="265"/>
    </row>
    <row r="2407" spans="12:74">
      <c r="L2407" s="265"/>
      <c r="M2407" s="265"/>
      <c r="N2407" s="265"/>
      <c r="O2407" s="265"/>
      <c r="P2407" s="265"/>
      <c r="Q2407" s="265"/>
      <c r="BR2407" s="265"/>
      <c r="BS2407" s="265"/>
      <c r="BT2407" s="265"/>
      <c r="BU2407" s="265"/>
      <c r="BV2407" s="265"/>
    </row>
    <row r="2408" spans="12:74">
      <c r="L2408" s="265"/>
      <c r="M2408" s="265"/>
      <c r="N2408" s="265"/>
      <c r="O2408" s="265"/>
      <c r="P2408" s="265"/>
      <c r="Q2408" s="265"/>
      <c r="BR2408" s="265"/>
      <c r="BS2408" s="265"/>
      <c r="BT2408" s="265"/>
      <c r="BU2408" s="265"/>
      <c r="BV2408" s="265"/>
    </row>
    <row r="2409" spans="12:74">
      <c r="L2409" s="265"/>
      <c r="M2409" s="265"/>
      <c r="N2409" s="265"/>
      <c r="O2409" s="265"/>
      <c r="P2409" s="265"/>
      <c r="Q2409" s="265"/>
      <c r="BR2409" s="265"/>
      <c r="BS2409" s="265"/>
      <c r="BT2409" s="265"/>
      <c r="BU2409" s="265"/>
      <c r="BV2409" s="265"/>
    </row>
    <row r="2410" spans="12:74">
      <c r="L2410" s="265"/>
      <c r="M2410" s="265"/>
      <c r="N2410" s="265"/>
      <c r="O2410" s="265"/>
      <c r="P2410" s="265"/>
      <c r="Q2410" s="265"/>
      <c r="BR2410" s="265"/>
      <c r="BS2410" s="265"/>
      <c r="BT2410" s="265"/>
      <c r="BU2410" s="265"/>
      <c r="BV2410" s="265"/>
    </row>
    <row r="2411" spans="12:74">
      <c r="L2411" s="265"/>
      <c r="M2411" s="265"/>
      <c r="N2411" s="265"/>
      <c r="O2411" s="265"/>
      <c r="P2411" s="265"/>
      <c r="Q2411" s="265"/>
      <c r="BR2411" s="265"/>
      <c r="BS2411" s="265"/>
      <c r="BT2411" s="265"/>
      <c r="BU2411" s="265"/>
      <c r="BV2411" s="265"/>
    </row>
    <row r="2412" spans="12:74">
      <c r="L2412" s="265"/>
      <c r="M2412" s="265"/>
      <c r="N2412" s="265"/>
      <c r="O2412" s="265"/>
      <c r="P2412" s="265"/>
      <c r="Q2412" s="265"/>
      <c r="BR2412" s="265"/>
      <c r="BS2412" s="265"/>
      <c r="BT2412" s="265"/>
      <c r="BU2412" s="265"/>
      <c r="BV2412" s="265"/>
    </row>
    <row r="2413" spans="12:74">
      <c r="L2413" s="265"/>
      <c r="M2413" s="265"/>
      <c r="N2413" s="265"/>
      <c r="O2413" s="265"/>
      <c r="P2413" s="265"/>
      <c r="Q2413" s="265"/>
      <c r="BR2413" s="265"/>
      <c r="BS2413" s="265"/>
      <c r="BT2413" s="265"/>
      <c r="BU2413" s="265"/>
      <c r="BV2413" s="265"/>
    </row>
    <row r="2414" spans="12:74">
      <c r="L2414" s="265"/>
      <c r="M2414" s="265"/>
      <c r="N2414" s="265"/>
      <c r="O2414" s="265"/>
      <c r="P2414" s="265"/>
      <c r="Q2414" s="265"/>
      <c r="BR2414" s="265"/>
      <c r="BS2414" s="265"/>
      <c r="BT2414" s="265"/>
      <c r="BU2414" s="265"/>
      <c r="BV2414" s="265"/>
    </row>
    <row r="2415" spans="12:74">
      <c r="L2415" s="265"/>
      <c r="M2415" s="265"/>
      <c r="N2415" s="265"/>
      <c r="O2415" s="265"/>
      <c r="P2415" s="265"/>
      <c r="Q2415" s="265"/>
      <c r="BR2415" s="265"/>
      <c r="BS2415" s="265"/>
      <c r="BT2415" s="265"/>
      <c r="BU2415" s="265"/>
      <c r="BV2415" s="265"/>
    </row>
    <row r="2416" spans="12:74">
      <c r="L2416" s="265"/>
      <c r="M2416" s="265"/>
      <c r="N2416" s="265"/>
      <c r="O2416" s="265"/>
      <c r="P2416" s="265"/>
      <c r="Q2416" s="265"/>
      <c r="BR2416" s="265"/>
      <c r="BS2416" s="265"/>
      <c r="BT2416" s="265"/>
      <c r="BU2416" s="265"/>
      <c r="BV2416" s="265"/>
    </row>
    <row r="2417" spans="12:74">
      <c r="L2417" s="265"/>
      <c r="M2417" s="265"/>
      <c r="N2417" s="265"/>
      <c r="O2417" s="265"/>
      <c r="P2417" s="265"/>
      <c r="Q2417" s="265"/>
      <c r="BR2417" s="265"/>
      <c r="BS2417" s="265"/>
      <c r="BT2417" s="265"/>
      <c r="BU2417" s="265"/>
      <c r="BV2417" s="265"/>
    </row>
    <row r="2418" spans="12:74">
      <c r="L2418" s="265"/>
      <c r="M2418" s="265"/>
      <c r="N2418" s="265"/>
      <c r="O2418" s="265"/>
      <c r="P2418" s="265"/>
      <c r="Q2418" s="265"/>
      <c r="BR2418" s="265"/>
      <c r="BS2418" s="265"/>
      <c r="BT2418" s="265"/>
      <c r="BU2418" s="265"/>
      <c r="BV2418" s="265"/>
    </row>
    <row r="2419" spans="12:74">
      <c r="L2419" s="265"/>
      <c r="M2419" s="265"/>
      <c r="N2419" s="265"/>
      <c r="O2419" s="265"/>
      <c r="P2419" s="265"/>
      <c r="Q2419" s="265"/>
      <c r="BR2419" s="265"/>
      <c r="BS2419" s="265"/>
      <c r="BT2419" s="265"/>
      <c r="BU2419" s="265"/>
      <c r="BV2419" s="265"/>
    </row>
    <row r="2420" spans="12:74">
      <c r="L2420" s="265"/>
      <c r="M2420" s="265"/>
      <c r="N2420" s="265"/>
      <c r="O2420" s="265"/>
      <c r="P2420" s="265"/>
      <c r="Q2420" s="265"/>
      <c r="BR2420" s="265"/>
      <c r="BS2420" s="265"/>
      <c r="BT2420" s="265"/>
      <c r="BU2420" s="265"/>
      <c r="BV2420" s="265"/>
    </row>
    <row r="2421" spans="12:74">
      <c r="L2421" s="265"/>
      <c r="M2421" s="265"/>
      <c r="N2421" s="265"/>
      <c r="O2421" s="265"/>
      <c r="P2421" s="265"/>
      <c r="Q2421" s="265"/>
      <c r="BR2421" s="265"/>
      <c r="BS2421" s="265"/>
      <c r="BT2421" s="265"/>
      <c r="BU2421" s="265"/>
      <c r="BV2421" s="265"/>
    </row>
    <row r="2422" spans="12:74">
      <c r="L2422" s="265"/>
      <c r="M2422" s="265"/>
      <c r="N2422" s="265"/>
      <c r="O2422" s="265"/>
      <c r="P2422" s="265"/>
      <c r="Q2422" s="265"/>
      <c r="BR2422" s="265"/>
      <c r="BS2422" s="265"/>
      <c r="BT2422" s="265"/>
      <c r="BU2422" s="265"/>
      <c r="BV2422" s="265"/>
    </row>
    <row r="2423" spans="12:74">
      <c r="L2423" s="265"/>
      <c r="M2423" s="265"/>
      <c r="N2423" s="265"/>
      <c r="O2423" s="265"/>
      <c r="P2423" s="265"/>
      <c r="Q2423" s="265"/>
      <c r="BR2423" s="265"/>
      <c r="BS2423" s="265"/>
      <c r="BT2423" s="265"/>
      <c r="BU2423" s="265"/>
      <c r="BV2423" s="265"/>
    </row>
    <row r="2424" spans="12:74">
      <c r="L2424" s="265"/>
      <c r="M2424" s="265"/>
      <c r="N2424" s="265"/>
      <c r="O2424" s="265"/>
      <c r="P2424" s="265"/>
      <c r="Q2424" s="265"/>
      <c r="BR2424" s="265"/>
      <c r="BS2424" s="265"/>
      <c r="BT2424" s="265"/>
      <c r="BU2424" s="265"/>
      <c r="BV2424" s="265"/>
    </row>
    <row r="2425" spans="12:74">
      <c r="L2425" s="265"/>
      <c r="M2425" s="265"/>
      <c r="N2425" s="265"/>
      <c r="O2425" s="265"/>
      <c r="P2425" s="265"/>
      <c r="Q2425" s="265"/>
      <c r="BR2425" s="265"/>
      <c r="BS2425" s="265"/>
      <c r="BT2425" s="265"/>
      <c r="BU2425" s="265"/>
      <c r="BV2425" s="265"/>
    </row>
    <row r="2426" spans="12:74">
      <c r="L2426" s="265"/>
      <c r="M2426" s="265"/>
      <c r="N2426" s="265"/>
      <c r="O2426" s="265"/>
      <c r="P2426" s="265"/>
      <c r="Q2426" s="265"/>
      <c r="BR2426" s="265"/>
      <c r="BS2426" s="265"/>
      <c r="BT2426" s="265"/>
      <c r="BU2426" s="265"/>
      <c r="BV2426" s="265"/>
    </row>
    <row r="2427" spans="12:74">
      <c r="L2427" s="265"/>
      <c r="M2427" s="265"/>
      <c r="N2427" s="265"/>
      <c r="O2427" s="265"/>
      <c r="P2427" s="265"/>
      <c r="Q2427" s="265"/>
      <c r="BR2427" s="265"/>
      <c r="BS2427" s="265"/>
      <c r="BT2427" s="265"/>
      <c r="BU2427" s="265"/>
      <c r="BV2427" s="265"/>
    </row>
    <row r="2428" spans="12:74">
      <c r="L2428" s="265"/>
      <c r="M2428" s="265"/>
      <c r="N2428" s="265"/>
      <c r="O2428" s="265"/>
      <c r="P2428" s="265"/>
      <c r="Q2428" s="265"/>
      <c r="BR2428" s="265"/>
      <c r="BS2428" s="265"/>
      <c r="BT2428" s="265"/>
      <c r="BU2428" s="265"/>
      <c r="BV2428" s="265"/>
    </row>
    <row r="2429" spans="12:74">
      <c r="L2429" s="265"/>
      <c r="M2429" s="265"/>
      <c r="N2429" s="265"/>
      <c r="O2429" s="265"/>
      <c r="P2429" s="265"/>
      <c r="Q2429" s="265"/>
      <c r="BR2429" s="265"/>
      <c r="BS2429" s="265"/>
      <c r="BT2429" s="265"/>
      <c r="BU2429" s="265"/>
      <c r="BV2429" s="265"/>
    </row>
    <row r="2430" spans="12:74">
      <c r="L2430" s="265"/>
      <c r="M2430" s="265"/>
      <c r="N2430" s="265"/>
      <c r="O2430" s="265"/>
      <c r="P2430" s="265"/>
      <c r="Q2430" s="265"/>
      <c r="BR2430" s="265"/>
      <c r="BS2430" s="265"/>
      <c r="BT2430" s="265"/>
      <c r="BU2430" s="265"/>
      <c r="BV2430" s="265"/>
    </row>
    <row r="2431" spans="12:74">
      <c r="L2431" s="265"/>
      <c r="M2431" s="265"/>
      <c r="N2431" s="265"/>
      <c r="O2431" s="265"/>
      <c r="P2431" s="265"/>
      <c r="Q2431" s="265"/>
      <c r="BR2431" s="265"/>
      <c r="BS2431" s="265"/>
      <c r="BT2431" s="265"/>
      <c r="BU2431" s="265"/>
      <c r="BV2431" s="265"/>
    </row>
    <row r="2432" spans="12:74">
      <c r="L2432" s="265"/>
      <c r="M2432" s="265"/>
      <c r="N2432" s="265"/>
      <c r="O2432" s="265"/>
      <c r="P2432" s="265"/>
      <c r="Q2432" s="265"/>
      <c r="BR2432" s="265"/>
      <c r="BS2432" s="265"/>
      <c r="BT2432" s="265"/>
      <c r="BU2432" s="265"/>
      <c r="BV2432" s="265"/>
    </row>
    <row r="2433" spans="12:74">
      <c r="L2433" s="265"/>
      <c r="M2433" s="265"/>
      <c r="N2433" s="265"/>
      <c r="O2433" s="265"/>
      <c r="P2433" s="265"/>
      <c r="Q2433" s="265"/>
      <c r="BR2433" s="265"/>
      <c r="BS2433" s="265"/>
      <c r="BT2433" s="265"/>
      <c r="BU2433" s="265"/>
      <c r="BV2433" s="265"/>
    </row>
    <row r="2434" spans="12:74">
      <c r="L2434" s="265"/>
      <c r="M2434" s="265"/>
      <c r="N2434" s="265"/>
      <c r="O2434" s="265"/>
      <c r="P2434" s="265"/>
      <c r="Q2434" s="265"/>
      <c r="BR2434" s="265"/>
      <c r="BS2434" s="265"/>
      <c r="BT2434" s="265"/>
      <c r="BU2434" s="265"/>
      <c r="BV2434" s="265"/>
    </row>
    <row r="2435" spans="12:74">
      <c r="L2435" s="265"/>
      <c r="M2435" s="265"/>
      <c r="N2435" s="265"/>
      <c r="O2435" s="265"/>
      <c r="P2435" s="265"/>
      <c r="Q2435" s="265"/>
      <c r="BR2435" s="265"/>
      <c r="BS2435" s="265"/>
      <c r="BT2435" s="265"/>
      <c r="BU2435" s="265"/>
      <c r="BV2435" s="265"/>
    </row>
    <row r="2436" spans="12:74">
      <c r="L2436" s="265"/>
      <c r="M2436" s="265"/>
      <c r="N2436" s="265"/>
      <c r="O2436" s="265"/>
      <c r="P2436" s="265"/>
      <c r="Q2436" s="265"/>
      <c r="BR2436" s="265"/>
      <c r="BS2436" s="265"/>
      <c r="BT2436" s="265"/>
      <c r="BU2436" s="265"/>
      <c r="BV2436" s="265"/>
    </row>
    <row r="2437" spans="12:74">
      <c r="L2437" s="265"/>
      <c r="M2437" s="265"/>
      <c r="N2437" s="265"/>
      <c r="O2437" s="265"/>
      <c r="P2437" s="265"/>
      <c r="Q2437" s="265"/>
      <c r="BR2437" s="265"/>
      <c r="BS2437" s="265"/>
      <c r="BT2437" s="265"/>
      <c r="BU2437" s="265"/>
      <c r="BV2437" s="265"/>
    </row>
    <row r="2438" spans="12:74">
      <c r="L2438" s="265"/>
      <c r="M2438" s="265"/>
      <c r="N2438" s="265"/>
      <c r="O2438" s="265"/>
      <c r="P2438" s="265"/>
      <c r="Q2438" s="265"/>
      <c r="BR2438" s="265"/>
      <c r="BS2438" s="265"/>
      <c r="BT2438" s="265"/>
      <c r="BU2438" s="265"/>
      <c r="BV2438" s="265"/>
    </row>
    <row r="2439" spans="12:74">
      <c r="L2439" s="265"/>
      <c r="M2439" s="265"/>
      <c r="N2439" s="265"/>
      <c r="O2439" s="265"/>
      <c r="P2439" s="265"/>
      <c r="Q2439" s="265"/>
      <c r="BR2439" s="265"/>
      <c r="BS2439" s="265"/>
      <c r="BT2439" s="265"/>
      <c r="BU2439" s="265"/>
      <c r="BV2439" s="265"/>
    </row>
    <row r="2440" spans="12:74">
      <c r="L2440" s="265"/>
      <c r="M2440" s="265"/>
      <c r="N2440" s="265"/>
      <c r="O2440" s="265"/>
      <c r="P2440" s="265"/>
      <c r="Q2440" s="265"/>
      <c r="BR2440" s="265"/>
      <c r="BS2440" s="265"/>
      <c r="BT2440" s="265"/>
      <c r="BU2440" s="265"/>
      <c r="BV2440" s="265"/>
    </row>
    <row r="2441" spans="12:74">
      <c r="L2441" s="265"/>
      <c r="M2441" s="265"/>
      <c r="N2441" s="265"/>
      <c r="O2441" s="265"/>
      <c r="P2441" s="265"/>
      <c r="Q2441" s="265"/>
      <c r="BR2441" s="265"/>
      <c r="BS2441" s="265"/>
      <c r="BT2441" s="265"/>
      <c r="BU2441" s="265"/>
      <c r="BV2441" s="265"/>
    </row>
    <row r="2442" spans="12:74">
      <c r="L2442" s="265"/>
      <c r="M2442" s="265"/>
      <c r="N2442" s="265"/>
      <c r="O2442" s="265"/>
      <c r="P2442" s="265"/>
      <c r="Q2442" s="265"/>
      <c r="BR2442" s="265"/>
      <c r="BS2442" s="265"/>
      <c r="BT2442" s="265"/>
      <c r="BU2442" s="265"/>
      <c r="BV2442" s="265"/>
    </row>
    <row r="2443" spans="12:74">
      <c r="L2443" s="265"/>
      <c r="M2443" s="265"/>
      <c r="N2443" s="265"/>
      <c r="O2443" s="265"/>
      <c r="P2443" s="265"/>
      <c r="Q2443" s="265"/>
      <c r="BR2443" s="265"/>
      <c r="BS2443" s="265"/>
      <c r="BT2443" s="265"/>
      <c r="BU2443" s="265"/>
      <c r="BV2443" s="265"/>
    </row>
    <row r="2444" spans="12:74">
      <c r="L2444" s="265"/>
      <c r="M2444" s="265"/>
      <c r="N2444" s="265"/>
      <c r="O2444" s="265"/>
      <c r="P2444" s="265"/>
      <c r="Q2444" s="265"/>
      <c r="BR2444" s="265"/>
      <c r="BS2444" s="265"/>
      <c r="BT2444" s="265"/>
      <c r="BU2444" s="265"/>
      <c r="BV2444" s="265"/>
    </row>
    <row r="2445" spans="12:74">
      <c r="L2445" s="265"/>
      <c r="M2445" s="265"/>
      <c r="N2445" s="265"/>
      <c r="O2445" s="265"/>
      <c r="P2445" s="265"/>
      <c r="Q2445" s="265"/>
      <c r="BR2445" s="265"/>
      <c r="BS2445" s="265"/>
      <c r="BT2445" s="265"/>
      <c r="BU2445" s="265"/>
      <c r="BV2445" s="265"/>
    </row>
    <row r="2446" spans="12:74">
      <c r="L2446" s="265"/>
      <c r="M2446" s="265"/>
      <c r="N2446" s="265"/>
      <c r="O2446" s="265"/>
      <c r="P2446" s="265"/>
      <c r="Q2446" s="265"/>
      <c r="BR2446" s="265"/>
      <c r="BS2446" s="265"/>
      <c r="BT2446" s="265"/>
      <c r="BU2446" s="265"/>
      <c r="BV2446" s="265"/>
    </row>
    <row r="2447" spans="12:74">
      <c r="L2447" s="265"/>
      <c r="M2447" s="265"/>
      <c r="N2447" s="265"/>
      <c r="O2447" s="265"/>
      <c r="P2447" s="265"/>
      <c r="Q2447" s="265"/>
      <c r="BR2447" s="265"/>
      <c r="BS2447" s="265"/>
      <c r="BT2447" s="265"/>
      <c r="BU2447" s="265"/>
      <c r="BV2447" s="265"/>
    </row>
    <row r="2448" spans="12:74">
      <c r="L2448" s="265"/>
      <c r="M2448" s="265"/>
      <c r="N2448" s="265"/>
      <c r="O2448" s="265"/>
      <c r="P2448" s="265"/>
      <c r="Q2448" s="265"/>
      <c r="BR2448" s="265"/>
      <c r="BS2448" s="265"/>
      <c r="BT2448" s="265"/>
      <c r="BU2448" s="265"/>
      <c r="BV2448" s="265"/>
    </row>
    <row r="2449" spans="12:74">
      <c r="L2449" s="265"/>
      <c r="M2449" s="265"/>
      <c r="N2449" s="265"/>
      <c r="O2449" s="265"/>
      <c r="P2449" s="265"/>
      <c r="Q2449" s="265"/>
      <c r="BR2449" s="265"/>
      <c r="BS2449" s="265"/>
      <c r="BT2449" s="265"/>
      <c r="BU2449" s="265"/>
      <c r="BV2449" s="265"/>
    </row>
    <row r="2450" spans="12:74">
      <c r="L2450" s="265"/>
      <c r="M2450" s="265"/>
      <c r="N2450" s="265"/>
      <c r="O2450" s="265"/>
      <c r="P2450" s="265"/>
      <c r="Q2450" s="265"/>
      <c r="BR2450" s="265"/>
      <c r="BS2450" s="265"/>
      <c r="BT2450" s="265"/>
      <c r="BU2450" s="265"/>
      <c r="BV2450" s="265"/>
    </row>
    <row r="2451" spans="12:74">
      <c r="L2451" s="265"/>
      <c r="M2451" s="265"/>
      <c r="N2451" s="265"/>
      <c r="O2451" s="265"/>
      <c r="P2451" s="265"/>
      <c r="Q2451" s="265"/>
      <c r="BR2451" s="265"/>
      <c r="BS2451" s="265"/>
      <c r="BT2451" s="265"/>
      <c r="BU2451" s="265"/>
      <c r="BV2451" s="265"/>
    </row>
    <row r="2452" spans="12:74">
      <c r="L2452" s="265"/>
      <c r="M2452" s="265"/>
      <c r="N2452" s="265"/>
      <c r="O2452" s="265"/>
      <c r="P2452" s="265"/>
      <c r="Q2452" s="265"/>
      <c r="BR2452" s="265"/>
      <c r="BS2452" s="265"/>
      <c r="BT2452" s="265"/>
      <c r="BU2452" s="265"/>
      <c r="BV2452" s="265"/>
    </row>
    <row r="2453" spans="12:74">
      <c r="L2453" s="265"/>
      <c r="M2453" s="265"/>
      <c r="N2453" s="265"/>
      <c r="O2453" s="265"/>
      <c r="P2453" s="265"/>
      <c r="Q2453" s="265"/>
      <c r="BR2453" s="265"/>
      <c r="BS2453" s="265"/>
      <c r="BT2453" s="265"/>
      <c r="BU2453" s="265"/>
      <c r="BV2453" s="265"/>
    </row>
    <row r="2454" spans="12:74">
      <c r="L2454" s="265"/>
      <c r="M2454" s="265"/>
      <c r="N2454" s="265"/>
      <c r="O2454" s="265"/>
      <c r="P2454" s="265"/>
      <c r="Q2454" s="265"/>
      <c r="BR2454" s="265"/>
      <c r="BS2454" s="265"/>
      <c r="BT2454" s="265"/>
      <c r="BU2454" s="265"/>
      <c r="BV2454" s="265"/>
    </row>
    <row r="2455" spans="12:74">
      <c r="L2455" s="265"/>
      <c r="M2455" s="265"/>
      <c r="N2455" s="265"/>
      <c r="O2455" s="265"/>
      <c r="P2455" s="265"/>
      <c r="Q2455" s="265"/>
      <c r="BR2455" s="265"/>
      <c r="BS2455" s="265"/>
      <c r="BT2455" s="265"/>
      <c r="BU2455" s="265"/>
      <c r="BV2455" s="265"/>
    </row>
    <row r="2456" spans="12:74">
      <c r="L2456" s="265"/>
      <c r="M2456" s="265"/>
      <c r="N2456" s="265"/>
      <c r="O2456" s="265"/>
      <c r="P2456" s="265"/>
      <c r="Q2456" s="265"/>
      <c r="BR2456" s="265"/>
      <c r="BS2456" s="265"/>
      <c r="BT2456" s="265"/>
      <c r="BU2456" s="265"/>
      <c r="BV2456" s="265"/>
    </row>
    <row r="2457" spans="12:74">
      <c r="L2457" s="265"/>
      <c r="M2457" s="265"/>
      <c r="N2457" s="265"/>
      <c r="O2457" s="265"/>
      <c r="P2457" s="265"/>
      <c r="Q2457" s="265"/>
      <c r="BR2457" s="265"/>
      <c r="BS2457" s="265"/>
      <c r="BT2457" s="265"/>
      <c r="BU2457" s="265"/>
      <c r="BV2457" s="265"/>
    </row>
    <row r="2458" spans="12:74">
      <c r="L2458" s="265"/>
      <c r="M2458" s="265"/>
      <c r="N2458" s="265"/>
      <c r="O2458" s="265"/>
      <c r="P2458" s="265"/>
      <c r="Q2458" s="265"/>
      <c r="BR2458" s="265"/>
      <c r="BS2458" s="265"/>
      <c r="BT2458" s="265"/>
      <c r="BU2458" s="265"/>
      <c r="BV2458" s="265"/>
    </row>
    <row r="2459" spans="12:74">
      <c r="L2459" s="265"/>
      <c r="M2459" s="265"/>
      <c r="N2459" s="265"/>
      <c r="O2459" s="265"/>
      <c r="P2459" s="265"/>
      <c r="Q2459" s="265"/>
      <c r="BR2459" s="265"/>
      <c r="BS2459" s="265"/>
      <c r="BT2459" s="265"/>
      <c r="BU2459" s="265"/>
      <c r="BV2459" s="265"/>
    </row>
    <row r="2460" spans="12:74">
      <c r="L2460" s="265"/>
      <c r="M2460" s="265"/>
      <c r="N2460" s="265"/>
      <c r="O2460" s="265"/>
      <c r="P2460" s="265"/>
      <c r="Q2460" s="265"/>
      <c r="BR2460" s="265"/>
      <c r="BS2460" s="265"/>
      <c r="BT2460" s="265"/>
      <c r="BU2460" s="265"/>
      <c r="BV2460" s="265"/>
    </row>
    <row r="2461" spans="12:74">
      <c r="L2461" s="265"/>
      <c r="M2461" s="265"/>
      <c r="N2461" s="265"/>
      <c r="O2461" s="265"/>
      <c r="P2461" s="265"/>
      <c r="Q2461" s="265"/>
      <c r="BR2461" s="265"/>
      <c r="BS2461" s="265"/>
      <c r="BT2461" s="265"/>
      <c r="BU2461" s="265"/>
      <c r="BV2461" s="265"/>
    </row>
    <row r="2462" spans="12:74">
      <c r="L2462" s="265"/>
      <c r="M2462" s="265"/>
      <c r="N2462" s="265"/>
      <c r="O2462" s="265"/>
      <c r="P2462" s="265"/>
      <c r="Q2462" s="265"/>
      <c r="BR2462" s="265"/>
      <c r="BS2462" s="265"/>
      <c r="BT2462" s="265"/>
      <c r="BU2462" s="265"/>
      <c r="BV2462" s="265"/>
    </row>
    <row r="2463" spans="12:74">
      <c r="L2463" s="265"/>
      <c r="M2463" s="265"/>
      <c r="N2463" s="265"/>
      <c r="O2463" s="265"/>
      <c r="P2463" s="265"/>
      <c r="Q2463" s="265"/>
      <c r="BR2463" s="265"/>
      <c r="BS2463" s="265"/>
      <c r="BT2463" s="265"/>
      <c r="BU2463" s="265"/>
      <c r="BV2463" s="265"/>
    </row>
    <row r="2464" spans="12:74">
      <c r="L2464" s="265"/>
      <c r="M2464" s="265"/>
      <c r="N2464" s="265"/>
      <c r="O2464" s="265"/>
      <c r="P2464" s="265"/>
      <c r="Q2464" s="265"/>
      <c r="BR2464" s="265"/>
      <c r="BS2464" s="265"/>
      <c r="BT2464" s="265"/>
      <c r="BU2464" s="265"/>
      <c r="BV2464" s="265"/>
    </row>
    <row r="2465" spans="12:74">
      <c r="L2465" s="265"/>
      <c r="M2465" s="265"/>
      <c r="N2465" s="265"/>
      <c r="O2465" s="265"/>
      <c r="P2465" s="265"/>
      <c r="Q2465" s="265"/>
      <c r="BR2465" s="265"/>
      <c r="BS2465" s="265"/>
      <c r="BT2465" s="265"/>
      <c r="BU2465" s="265"/>
      <c r="BV2465" s="265"/>
    </row>
    <row r="2466" spans="12:74">
      <c r="L2466" s="265"/>
      <c r="M2466" s="265"/>
      <c r="N2466" s="265"/>
      <c r="O2466" s="265"/>
      <c r="P2466" s="265"/>
      <c r="Q2466" s="265"/>
      <c r="BR2466" s="265"/>
      <c r="BS2466" s="265"/>
      <c r="BT2466" s="265"/>
      <c r="BU2466" s="265"/>
      <c r="BV2466" s="265"/>
    </row>
    <row r="2467" spans="12:74">
      <c r="L2467" s="265"/>
      <c r="M2467" s="265"/>
      <c r="N2467" s="265"/>
      <c r="O2467" s="265"/>
      <c r="P2467" s="265"/>
      <c r="Q2467" s="265"/>
      <c r="BR2467" s="265"/>
      <c r="BS2467" s="265"/>
      <c r="BT2467" s="265"/>
      <c r="BU2467" s="265"/>
      <c r="BV2467" s="265"/>
    </row>
    <row r="2468" spans="12:74">
      <c r="L2468" s="265"/>
      <c r="M2468" s="265"/>
      <c r="N2468" s="265"/>
      <c r="O2468" s="265"/>
      <c r="P2468" s="265"/>
      <c r="Q2468" s="265"/>
      <c r="BR2468" s="265"/>
      <c r="BS2468" s="265"/>
      <c r="BT2468" s="265"/>
      <c r="BU2468" s="265"/>
      <c r="BV2468" s="265"/>
    </row>
    <row r="2469" spans="12:74">
      <c r="L2469" s="265"/>
      <c r="M2469" s="265"/>
      <c r="N2469" s="265"/>
      <c r="O2469" s="265"/>
      <c r="P2469" s="265"/>
      <c r="Q2469" s="265"/>
      <c r="BR2469" s="265"/>
      <c r="BS2469" s="265"/>
      <c r="BT2469" s="265"/>
      <c r="BU2469" s="265"/>
      <c r="BV2469" s="265"/>
    </row>
    <row r="2470" spans="12:74">
      <c r="L2470" s="265"/>
      <c r="M2470" s="265"/>
      <c r="N2470" s="265"/>
      <c r="O2470" s="265"/>
      <c r="P2470" s="265"/>
      <c r="Q2470" s="265"/>
      <c r="BR2470" s="265"/>
      <c r="BS2470" s="265"/>
      <c r="BT2470" s="265"/>
      <c r="BU2470" s="265"/>
      <c r="BV2470" s="265"/>
    </row>
    <row r="2471" spans="12:74">
      <c r="L2471" s="265"/>
      <c r="M2471" s="265"/>
      <c r="N2471" s="265"/>
      <c r="O2471" s="265"/>
      <c r="P2471" s="265"/>
      <c r="Q2471" s="265"/>
      <c r="BR2471" s="265"/>
      <c r="BS2471" s="265"/>
      <c r="BT2471" s="265"/>
      <c r="BU2471" s="265"/>
      <c r="BV2471" s="265"/>
    </row>
    <row r="2472" spans="12:74">
      <c r="L2472" s="265"/>
      <c r="M2472" s="265"/>
      <c r="N2472" s="265"/>
      <c r="O2472" s="265"/>
      <c r="P2472" s="265"/>
      <c r="Q2472" s="265"/>
      <c r="BR2472" s="265"/>
      <c r="BS2472" s="265"/>
      <c r="BT2472" s="265"/>
      <c r="BU2472" s="265"/>
      <c r="BV2472" s="265"/>
    </row>
    <row r="2473" spans="12:74">
      <c r="L2473" s="265"/>
      <c r="M2473" s="265"/>
      <c r="N2473" s="265"/>
      <c r="O2473" s="265"/>
      <c r="P2473" s="265"/>
      <c r="Q2473" s="265"/>
      <c r="BR2473" s="265"/>
      <c r="BS2473" s="265"/>
      <c r="BT2473" s="265"/>
      <c r="BU2473" s="265"/>
      <c r="BV2473" s="265"/>
    </row>
    <row r="2474" spans="12:74">
      <c r="L2474" s="265"/>
      <c r="M2474" s="265"/>
      <c r="N2474" s="265"/>
      <c r="O2474" s="265"/>
      <c r="P2474" s="265"/>
      <c r="Q2474" s="265"/>
      <c r="BR2474" s="265"/>
      <c r="BS2474" s="265"/>
      <c r="BT2474" s="265"/>
      <c r="BU2474" s="265"/>
      <c r="BV2474" s="265"/>
    </row>
    <row r="2475" spans="12:74">
      <c r="L2475" s="265"/>
      <c r="M2475" s="265"/>
      <c r="N2475" s="265"/>
      <c r="O2475" s="265"/>
      <c r="P2475" s="265"/>
      <c r="Q2475" s="265"/>
      <c r="BR2475" s="265"/>
      <c r="BS2475" s="265"/>
      <c r="BT2475" s="265"/>
      <c r="BU2475" s="265"/>
      <c r="BV2475" s="265"/>
    </row>
    <row r="2476" spans="12:74">
      <c r="L2476" s="265"/>
      <c r="M2476" s="265"/>
      <c r="N2476" s="265"/>
      <c r="O2476" s="265"/>
      <c r="P2476" s="265"/>
      <c r="Q2476" s="265"/>
      <c r="BR2476" s="265"/>
      <c r="BS2476" s="265"/>
      <c r="BT2476" s="265"/>
      <c r="BU2476" s="265"/>
      <c r="BV2476" s="265"/>
    </row>
    <row r="2477" spans="12:74">
      <c r="L2477" s="265"/>
      <c r="M2477" s="265"/>
      <c r="N2477" s="265"/>
      <c r="O2477" s="265"/>
      <c r="P2477" s="265"/>
      <c r="Q2477" s="265"/>
      <c r="BR2477" s="265"/>
      <c r="BS2477" s="265"/>
      <c r="BT2477" s="265"/>
      <c r="BU2477" s="265"/>
      <c r="BV2477" s="265"/>
    </row>
    <row r="2478" spans="12:74">
      <c r="L2478" s="265"/>
      <c r="M2478" s="265"/>
      <c r="N2478" s="265"/>
      <c r="O2478" s="265"/>
      <c r="P2478" s="265"/>
      <c r="Q2478" s="265"/>
      <c r="BR2478" s="265"/>
      <c r="BS2478" s="265"/>
      <c r="BT2478" s="265"/>
      <c r="BU2478" s="265"/>
      <c r="BV2478" s="265"/>
    </row>
    <row r="2479" spans="12:74">
      <c r="L2479" s="265"/>
      <c r="M2479" s="265"/>
      <c r="N2479" s="265"/>
      <c r="O2479" s="265"/>
      <c r="P2479" s="265"/>
      <c r="Q2479" s="265"/>
      <c r="BR2479" s="265"/>
      <c r="BS2479" s="265"/>
      <c r="BT2479" s="265"/>
      <c r="BU2479" s="265"/>
      <c r="BV2479" s="265"/>
    </row>
    <row r="2480" spans="12:74">
      <c r="L2480" s="265"/>
      <c r="M2480" s="265"/>
      <c r="N2480" s="265"/>
      <c r="O2480" s="265"/>
      <c r="P2480" s="265"/>
      <c r="Q2480" s="265"/>
      <c r="BR2480" s="265"/>
      <c r="BS2480" s="265"/>
      <c r="BT2480" s="265"/>
      <c r="BU2480" s="265"/>
      <c r="BV2480" s="265"/>
    </row>
    <row r="2481" spans="12:74">
      <c r="L2481" s="265"/>
      <c r="M2481" s="265"/>
      <c r="N2481" s="265"/>
      <c r="O2481" s="265"/>
      <c r="P2481" s="265"/>
      <c r="Q2481" s="265"/>
      <c r="BR2481" s="265"/>
      <c r="BS2481" s="265"/>
      <c r="BT2481" s="265"/>
      <c r="BU2481" s="265"/>
      <c r="BV2481" s="265"/>
    </row>
    <row r="2482" spans="12:74">
      <c r="L2482" s="265"/>
      <c r="M2482" s="265"/>
      <c r="N2482" s="265"/>
      <c r="O2482" s="265"/>
      <c r="P2482" s="265"/>
      <c r="Q2482" s="265"/>
      <c r="BR2482" s="265"/>
      <c r="BS2482" s="265"/>
      <c r="BT2482" s="265"/>
      <c r="BU2482" s="265"/>
      <c r="BV2482" s="265"/>
    </row>
    <row r="2483" spans="12:74">
      <c r="L2483" s="265"/>
      <c r="M2483" s="265"/>
      <c r="N2483" s="265"/>
      <c r="O2483" s="265"/>
      <c r="P2483" s="265"/>
      <c r="Q2483" s="265"/>
      <c r="BR2483" s="265"/>
      <c r="BS2483" s="265"/>
      <c r="BT2483" s="265"/>
      <c r="BU2483" s="265"/>
      <c r="BV2483" s="265"/>
    </row>
    <row r="2484" spans="12:74">
      <c r="L2484" s="265"/>
      <c r="M2484" s="265"/>
      <c r="N2484" s="265"/>
      <c r="O2484" s="265"/>
      <c r="P2484" s="265"/>
      <c r="Q2484" s="265"/>
      <c r="BR2484" s="265"/>
      <c r="BS2484" s="265"/>
      <c r="BT2484" s="265"/>
      <c r="BU2484" s="265"/>
      <c r="BV2484" s="265"/>
    </row>
    <row r="2485" spans="12:74">
      <c r="L2485" s="265"/>
      <c r="M2485" s="265"/>
      <c r="N2485" s="265"/>
      <c r="O2485" s="265"/>
      <c r="P2485" s="265"/>
      <c r="Q2485" s="265"/>
      <c r="BR2485" s="265"/>
      <c r="BS2485" s="265"/>
      <c r="BT2485" s="265"/>
      <c r="BU2485" s="265"/>
      <c r="BV2485" s="265"/>
    </row>
    <row r="2486" spans="12:74">
      <c r="L2486" s="265"/>
      <c r="M2486" s="265"/>
      <c r="N2486" s="265"/>
      <c r="O2486" s="265"/>
      <c r="P2486" s="265"/>
      <c r="Q2486" s="265"/>
      <c r="BR2486" s="265"/>
      <c r="BS2486" s="265"/>
      <c r="BT2486" s="265"/>
      <c r="BU2486" s="265"/>
      <c r="BV2486" s="265"/>
    </row>
    <row r="2487" spans="12:74">
      <c r="L2487" s="265"/>
      <c r="M2487" s="265"/>
      <c r="N2487" s="265"/>
      <c r="O2487" s="265"/>
      <c r="P2487" s="265"/>
      <c r="Q2487" s="265"/>
      <c r="BR2487" s="265"/>
      <c r="BS2487" s="265"/>
      <c r="BT2487" s="265"/>
      <c r="BU2487" s="265"/>
      <c r="BV2487" s="265"/>
    </row>
    <row r="2488" spans="12:74">
      <c r="L2488" s="265"/>
      <c r="M2488" s="265"/>
      <c r="N2488" s="265"/>
      <c r="O2488" s="265"/>
      <c r="P2488" s="265"/>
      <c r="Q2488" s="265"/>
      <c r="BR2488" s="265"/>
      <c r="BS2488" s="265"/>
      <c r="BT2488" s="265"/>
      <c r="BU2488" s="265"/>
      <c r="BV2488" s="265"/>
    </row>
    <row r="2489" spans="12:74">
      <c r="L2489" s="265"/>
      <c r="M2489" s="265"/>
      <c r="N2489" s="265"/>
      <c r="O2489" s="265"/>
      <c r="P2489" s="265"/>
      <c r="Q2489" s="265"/>
      <c r="BR2489" s="265"/>
      <c r="BS2489" s="265"/>
      <c r="BT2489" s="265"/>
      <c r="BU2489" s="265"/>
      <c r="BV2489" s="265"/>
    </row>
    <row r="2490" spans="12:74">
      <c r="L2490" s="265"/>
      <c r="M2490" s="265"/>
      <c r="N2490" s="265"/>
      <c r="O2490" s="265"/>
      <c r="P2490" s="265"/>
      <c r="Q2490" s="265"/>
      <c r="BR2490" s="265"/>
      <c r="BS2490" s="265"/>
      <c r="BT2490" s="265"/>
      <c r="BU2490" s="265"/>
      <c r="BV2490" s="265"/>
    </row>
    <row r="2491" spans="12:74">
      <c r="L2491" s="265"/>
      <c r="M2491" s="265"/>
      <c r="N2491" s="265"/>
      <c r="O2491" s="265"/>
      <c r="P2491" s="265"/>
      <c r="Q2491" s="265"/>
      <c r="BR2491" s="265"/>
      <c r="BS2491" s="265"/>
      <c r="BT2491" s="265"/>
      <c r="BU2491" s="265"/>
      <c r="BV2491" s="265"/>
    </row>
    <row r="2492" spans="12:74">
      <c r="L2492" s="265"/>
      <c r="M2492" s="265"/>
      <c r="N2492" s="265"/>
      <c r="O2492" s="265"/>
      <c r="P2492" s="265"/>
      <c r="Q2492" s="265"/>
      <c r="BR2492" s="265"/>
      <c r="BS2492" s="265"/>
      <c r="BT2492" s="265"/>
      <c r="BU2492" s="265"/>
      <c r="BV2492" s="265"/>
    </row>
    <row r="2493" spans="12:74">
      <c r="L2493" s="265"/>
      <c r="M2493" s="265"/>
      <c r="N2493" s="265"/>
      <c r="O2493" s="265"/>
      <c r="P2493" s="265"/>
      <c r="Q2493" s="265"/>
      <c r="BR2493" s="265"/>
      <c r="BS2493" s="265"/>
      <c r="BT2493" s="265"/>
      <c r="BU2493" s="265"/>
      <c r="BV2493" s="265"/>
    </row>
    <row r="2494" spans="12:74">
      <c r="L2494" s="265"/>
      <c r="M2494" s="265"/>
      <c r="N2494" s="265"/>
      <c r="O2494" s="265"/>
      <c r="P2494" s="265"/>
      <c r="Q2494" s="265"/>
      <c r="BR2494" s="265"/>
      <c r="BS2494" s="265"/>
      <c r="BT2494" s="265"/>
      <c r="BU2494" s="265"/>
      <c r="BV2494" s="265"/>
    </row>
    <row r="2495" spans="12:74">
      <c r="L2495" s="265"/>
      <c r="M2495" s="265"/>
      <c r="N2495" s="265"/>
      <c r="O2495" s="265"/>
      <c r="P2495" s="265"/>
      <c r="Q2495" s="265"/>
      <c r="BR2495" s="265"/>
      <c r="BS2495" s="265"/>
      <c r="BT2495" s="265"/>
      <c r="BU2495" s="265"/>
      <c r="BV2495" s="265"/>
    </row>
    <row r="2496" spans="12:74">
      <c r="L2496" s="265"/>
      <c r="M2496" s="265"/>
      <c r="N2496" s="265"/>
      <c r="O2496" s="265"/>
      <c r="P2496" s="265"/>
      <c r="Q2496" s="265"/>
      <c r="BR2496" s="265"/>
      <c r="BS2496" s="265"/>
      <c r="BT2496" s="265"/>
      <c r="BU2496" s="265"/>
      <c r="BV2496" s="265"/>
    </row>
    <row r="2497" spans="12:74">
      <c r="L2497" s="265"/>
      <c r="M2497" s="265"/>
      <c r="N2497" s="265"/>
      <c r="O2497" s="265"/>
      <c r="P2497" s="265"/>
      <c r="Q2497" s="265"/>
      <c r="BR2497" s="265"/>
      <c r="BS2497" s="265"/>
      <c r="BT2497" s="265"/>
      <c r="BU2497" s="265"/>
      <c r="BV2497" s="265"/>
    </row>
    <row r="2498" spans="12:74">
      <c r="L2498" s="265"/>
      <c r="M2498" s="265"/>
      <c r="N2498" s="265"/>
      <c r="O2498" s="265"/>
      <c r="P2498" s="265"/>
      <c r="Q2498" s="265"/>
      <c r="BR2498" s="265"/>
      <c r="BS2498" s="265"/>
      <c r="BT2498" s="265"/>
      <c r="BU2498" s="265"/>
      <c r="BV2498" s="265"/>
    </row>
    <row r="2499" spans="12:74">
      <c r="L2499" s="265"/>
      <c r="M2499" s="265"/>
      <c r="N2499" s="265"/>
      <c r="O2499" s="265"/>
      <c r="P2499" s="265"/>
      <c r="Q2499" s="265"/>
      <c r="BR2499" s="265"/>
      <c r="BS2499" s="265"/>
      <c r="BT2499" s="265"/>
      <c r="BU2499" s="265"/>
      <c r="BV2499" s="265"/>
    </row>
    <row r="2500" spans="12:74">
      <c r="L2500" s="265"/>
      <c r="M2500" s="265"/>
      <c r="N2500" s="265"/>
      <c r="O2500" s="265"/>
      <c r="P2500" s="265"/>
      <c r="Q2500" s="265"/>
      <c r="BR2500" s="265"/>
      <c r="BS2500" s="265"/>
      <c r="BT2500" s="265"/>
      <c r="BU2500" s="265"/>
      <c r="BV2500" s="265"/>
    </row>
    <row r="2501" spans="12:74">
      <c r="L2501" s="265"/>
      <c r="M2501" s="265"/>
      <c r="N2501" s="265"/>
      <c r="O2501" s="265"/>
      <c r="P2501" s="265"/>
      <c r="Q2501" s="265"/>
      <c r="BR2501" s="265"/>
      <c r="BS2501" s="265"/>
      <c r="BT2501" s="265"/>
      <c r="BU2501" s="265"/>
      <c r="BV2501" s="265"/>
    </row>
    <row r="2502" spans="12:74">
      <c r="L2502" s="265"/>
      <c r="M2502" s="265"/>
      <c r="N2502" s="265"/>
      <c r="O2502" s="265"/>
      <c r="P2502" s="265"/>
      <c r="Q2502" s="265"/>
      <c r="BR2502" s="265"/>
      <c r="BS2502" s="265"/>
      <c r="BT2502" s="265"/>
      <c r="BU2502" s="265"/>
      <c r="BV2502" s="265"/>
    </row>
    <row r="2503" spans="12:74">
      <c r="L2503" s="265"/>
      <c r="M2503" s="265"/>
      <c r="N2503" s="265"/>
      <c r="O2503" s="265"/>
      <c r="P2503" s="265"/>
      <c r="Q2503" s="265"/>
      <c r="BR2503" s="265"/>
      <c r="BS2503" s="265"/>
      <c r="BT2503" s="265"/>
      <c r="BU2503" s="265"/>
      <c r="BV2503" s="265"/>
    </row>
    <row r="2504" spans="12:74">
      <c r="L2504" s="265"/>
      <c r="M2504" s="265"/>
      <c r="N2504" s="265"/>
      <c r="O2504" s="265"/>
      <c r="P2504" s="265"/>
      <c r="Q2504" s="265"/>
      <c r="BR2504" s="265"/>
      <c r="BS2504" s="265"/>
      <c r="BT2504" s="265"/>
      <c r="BU2504" s="265"/>
      <c r="BV2504" s="265"/>
    </row>
    <row r="2505" spans="12:74">
      <c r="L2505" s="265"/>
      <c r="M2505" s="265"/>
      <c r="N2505" s="265"/>
      <c r="O2505" s="265"/>
      <c r="P2505" s="265"/>
      <c r="Q2505" s="265"/>
      <c r="BR2505" s="265"/>
      <c r="BS2505" s="265"/>
      <c r="BT2505" s="265"/>
      <c r="BU2505" s="265"/>
      <c r="BV2505" s="265"/>
    </row>
    <row r="2506" spans="12:74">
      <c r="L2506" s="265"/>
      <c r="M2506" s="265"/>
      <c r="N2506" s="265"/>
      <c r="O2506" s="265"/>
      <c r="P2506" s="265"/>
      <c r="Q2506" s="265"/>
      <c r="BR2506" s="265"/>
      <c r="BS2506" s="265"/>
      <c r="BT2506" s="265"/>
      <c r="BU2506" s="265"/>
      <c r="BV2506" s="265"/>
    </row>
    <row r="2507" spans="12:74">
      <c r="L2507" s="265"/>
      <c r="M2507" s="265"/>
      <c r="N2507" s="265"/>
      <c r="O2507" s="265"/>
      <c r="P2507" s="265"/>
      <c r="Q2507" s="265"/>
      <c r="BR2507" s="265"/>
      <c r="BS2507" s="265"/>
      <c r="BT2507" s="265"/>
      <c r="BU2507" s="265"/>
      <c r="BV2507" s="265"/>
    </row>
    <row r="2508" spans="12:74">
      <c r="L2508" s="265"/>
      <c r="M2508" s="265"/>
      <c r="N2508" s="265"/>
      <c r="O2508" s="265"/>
      <c r="P2508" s="265"/>
      <c r="Q2508" s="265"/>
      <c r="BR2508" s="265"/>
      <c r="BS2508" s="265"/>
      <c r="BT2508" s="265"/>
      <c r="BU2508" s="265"/>
      <c r="BV2508" s="265"/>
    </row>
    <row r="2509" spans="12:74">
      <c r="L2509" s="265"/>
      <c r="M2509" s="265"/>
      <c r="N2509" s="265"/>
      <c r="O2509" s="265"/>
      <c r="P2509" s="265"/>
      <c r="Q2509" s="265"/>
      <c r="BR2509" s="265"/>
      <c r="BS2509" s="265"/>
      <c r="BT2509" s="265"/>
      <c r="BU2509" s="265"/>
      <c r="BV2509" s="265"/>
    </row>
    <row r="2510" spans="12:74">
      <c r="L2510" s="265"/>
      <c r="M2510" s="265"/>
      <c r="N2510" s="265"/>
      <c r="O2510" s="265"/>
      <c r="P2510" s="265"/>
      <c r="Q2510" s="265"/>
      <c r="BR2510" s="265"/>
      <c r="BS2510" s="265"/>
      <c r="BT2510" s="265"/>
      <c r="BU2510" s="265"/>
      <c r="BV2510" s="265"/>
    </row>
    <row r="2511" spans="12:74">
      <c r="L2511" s="265"/>
      <c r="M2511" s="265"/>
      <c r="N2511" s="265"/>
      <c r="O2511" s="265"/>
      <c r="P2511" s="265"/>
      <c r="Q2511" s="265"/>
      <c r="BR2511" s="265"/>
      <c r="BS2511" s="265"/>
      <c r="BT2511" s="265"/>
      <c r="BU2511" s="265"/>
      <c r="BV2511" s="265"/>
    </row>
    <row r="2512" spans="12:74">
      <c r="L2512" s="265"/>
      <c r="M2512" s="265"/>
      <c r="N2512" s="265"/>
      <c r="O2512" s="265"/>
      <c r="P2512" s="265"/>
      <c r="Q2512" s="265"/>
      <c r="BR2512" s="265"/>
      <c r="BS2512" s="265"/>
      <c r="BT2512" s="265"/>
      <c r="BU2512" s="265"/>
      <c r="BV2512" s="265"/>
    </row>
    <row r="2513" spans="12:74">
      <c r="L2513" s="265"/>
      <c r="M2513" s="265"/>
      <c r="N2513" s="265"/>
      <c r="O2513" s="265"/>
      <c r="P2513" s="265"/>
      <c r="Q2513" s="265"/>
      <c r="BR2513" s="265"/>
      <c r="BS2513" s="265"/>
      <c r="BT2513" s="265"/>
      <c r="BU2513" s="265"/>
      <c r="BV2513" s="265"/>
    </row>
    <row r="2514" spans="12:74">
      <c r="L2514" s="265"/>
      <c r="M2514" s="265"/>
      <c r="N2514" s="265"/>
      <c r="O2514" s="265"/>
      <c r="P2514" s="265"/>
      <c r="Q2514" s="265"/>
      <c r="BR2514" s="265"/>
      <c r="BS2514" s="265"/>
      <c r="BT2514" s="265"/>
      <c r="BU2514" s="265"/>
      <c r="BV2514" s="265"/>
    </row>
    <row r="2515" spans="12:74">
      <c r="L2515" s="265"/>
      <c r="M2515" s="265"/>
      <c r="N2515" s="265"/>
      <c r="O2515" s="265"/>
      <c r="P2515" s="265"/>
      <c r="Q2515" s="265"/>
      <c r="BR2515" s="265"/>
      <c r="BS2515" s="265"/>
      <c r="BT2515" s="265"/>
      <c r="BU2515" s="265"/>
      <c r="BV2515" s="265"/>
    </row>
    <row r="2516" spans="12:74">
      <c r="L2516" s="265"/>
      <c r="M2516" s="265"/>
      <c r="N2516" s="265"/>
      <c r="O2516" s="265"/>
      <c r="P2516" s="265"/>
      <c r="Q2516" s="265"/>
      <c r="BR2516" s="265"/>
      <c r="BS2516" s="265"/>
      <c r="BT2516" s="265"/>
      <c r="BU2516" s="265"/>
      <c r="BV2516" s="265"/>
    </row>
    <row r="2517" spans="12:74">
      <c r="L2517" s="265"/>
      <c r="M2517" s="265"/>
      <c r="N2517" s="265"/>
      <c r="O2517" s="265"/>
      <c r="P2517" s="265"/>
      <c r="Q2517" s="265"/>
      <c r="BR2517" s="265"/>
      <c r="BS2517" s="265"/>
      <c r="BT2517" s="265"/>
      <c r="BU2517" s="265"/>
      <c r="BV2517" s="265"/>
    </row>
    <row r="2518" spans="12:74">
      <c r="L2518" s="265"/>
      <c r="M2518" s="265"/>
      <c r="N2518" s="265"/>
      <c r="O2518" s="265"/>
      <c r="P2518" s="265"/>
      <c r="Q2518" s="265"/>
      <c r="BR2518" s="265"/>
      <c r="BS2518" s="265"/>
      <c r="BT2518" s="265"/>
      <c r="BU2518" s="265"/>
      <c r="BV2518" s="265"/>
    </row>
    <row r="2519" spans="12:74">
      <c r="L2519" s="265"/>
      <c r="M2519" s="265"/>
      <c r="N2519" s="265"/>
      <c r="O2519" s="265"/>
      <c r="P2519" s="265"/>
      <c r="Q2519" s="265"/>
      <c r="BR2519" s="265"/>
      <c r="BS2519" s="265"/>
      <c r="BT2519" s="265"/>
      <c r="BU2519" s="265"/>
      <c r="BV2519" s="265"/>
    </row>
    <row r="2520" spans="12:74">
      <c r="L2520" s="265"/>
      <c r="M2520" s="265"/>
      <c r="N2520" s="265"/>
      <c r="O2520" s="265"/>
      <c r="P2520" s="265"/>
      <c r="Q2520" s="265"/>
      <c r="BR2520" s="265"/>
      <c r="BS2520" s="265"/>
      <c r="BT2520" s="265"/>
      <c r="BU2520" s="265"/>
      <c r="BV2520" s="265"/>
    </row>
    <row r="2521" spans="12:74">
      <c r="L2521" s="265"/>
      <c r="M2521" s="265"/>
      <c r="N2521" s="265"/>
      <c r="O2521" s="265"/>
      <c r="P2521" s="265"/>
      <c r="Q2521" s="265"/>
      <c r="BR2521" s="265"/>
      <c r="BS2521" s="265"/>
      <c r="BT2521" s="265"/>
      <c r="BU2521" s="265"/>
      <c r="BV2521" s="265"/>
    </row>
    <row r="2522" spans="12:74">
      <c r="L2522" s="265"/>
      <c r="M2522" s="265"/>
      <c r="N2522" s="265"/>
      <c r="O2522" s="265"/>
      <c r="P2522" s="265"/>
      <c r="Q2522" s="265"/>
      <c r="BR2522" s="265"/>
      <c r="BS2522" s="265"/>
      <c r="BT2522" s="265"/>
      <c r="BU2522" s="265"/>
      <c r="BV2522" s="265"/>
    </row>
    <row r="2523" spans="12:74">
      <c r="L2523" s="265"/>
      <c r="M2523" s="265"/>
      <c r="N2523" s="265"/>
      <c r="O2523" s="265"/>
      <c r="P2523" s="265"/>
      <c r="Q2523" s="265"/>
      <c r="BR2523" s="265"/>
      <c r="BS2523" s="265"/>
      <c r="BT2523" s="265"/>
      <c r="BU2523" s="265"/>
      <c r="BV2523" s="265"/>
    </row>
    <row r="2524" spans="12:74">
      <c r="L2524" s="265"/>
      <c r="M2524" s="265"/>
      <c r="N2524" s="265"/>
      <c r="O2524" s="265"/>
      <c r="P2524" s="265"/>
      <c r="Q2524" s="265"/>
      <c r="BR2524" s="265"/>
      <c r="BS2524" s="265"/>
      <c r="BT2524" s="265"/>
      <c r="BU2524" s="265"/>
      <c r="BV2524" s="265"/>
    </row>
    <row r="2525" spans="12:74">
      <c r="L2525" s="265"/>
      <c r="M2525" s="265"/>
      <c r="N2525" s="265"/>
      <c r="O2525" s="265"/>
      <c r="P2525" s="265"/>
      <c r="Q2525" s="265"/>
      <c r="BR2525" s="265"/>
      <c r="BS2525" s="265"/>
      <c r="BT2525" s="265"/>
      <c r="BU2525" s="265"/>
      <c r="BV2525" s="265"/>
    </row>
    <row r="2526" spans="12:74">
      <c r="L2526" s="265"/>
      <c r="M2526" s="265"/>
      <c r="N2526" s="265"/>
      <c r="O2526" s="265"/>
      <c r="P2526" s="265"/>
      <c r="Q2526" s="265"/>
      <c r="BR2526" s="265"/>
      <c r="BS2526" s="265"/>
      <c r="BT2526" s="265"/>
      <c r="BU2526" s="265"/>
      <c r="BV2526" s="265"/>
    </row>
    <row r="2527" spans="12:74">
      <c r="L2527" s="265"/>
      <c r="M2527" s="265"/>
      <c r="N2527" s="265"/>
      <c r="O2527" s="265"/>
      <c r="P2527" s="265"/>
      <c r="Q2527" s="265"/>
      <c r="BR2527" s="265"/>
      <c r="BS2527" s="265"/>
      <c r="BT2527" s="265"/>
      <c r="BU2527" s="265"/>
      <c r="BV2527" s="265"/>
    </row>
    <row r="2528" spans="12:74">
      <c r="L2528" s="265"/>
      <c r="M2528" s="265"/>
      <c r="N2528" s="265"/>
      <c r="O2528" s="265"/>
      <c r="P2528" s="265"/>
      <c r="Q2528" s="265"/>
      <c r="BR2528" s="265"/>
      <c r="BS2528" s="265"/>
      <c r="BT2528" s="265"/>
      <c r="BU2528" s="265"/>
      <c r="BV2528" s="265"/>
    </row>
    <row r="2529" spans="12:74">
      <c r="L2529" s="265"/>
      <c r="M2529" s="265"/>
      <c r="N2529" s="265"/>
      <c r="O2529" s="265"/>
      <c r="P2529" s="265"/>
      <c r="Q2529" s="265"/>
      <c r="BR2529" s="265"/>
      <c r="BS2529" s="265"/>
      <c r="BT2529" s="265"/>
      <c r="BU2529" s="265"/>
      <c r="BV2529" s="265"/>
    </row>
    <row r="2530" spans="12:74">
      <c r="L2530" s="265"/>
      <c r="M2530" s="265"/>
      <c r="N2530" s="265"/>
      <c r="O2530" s="265"/>
      <c r="P2530" s="265"/>
      <c r="Q2530" s="265"/>
      <c r="BR2530" s="265"/>
      <c r="BS2530" s="265"/>
      <c r="BT2530" s="265"/>
      <c r="BU2530" s="265"/>
      <c r="BV2530" s="265"/>
    </row>
    <row r="2531" spans="12:74">
      <c r="L2531" s="265"/>
      <c r="M2531" s="265"/>
      <c r="N2531" s="265"/>
      <c r="O2531" s="265"/>
      <c r="P2531" s="265"/>
      <c r="Q2531" s="265"/>
      <c r="BR2531" s="265"/>
      <c r="BS2531" s="265"/>
      <c r="BT2531" s="265"/>
      <c r="BU2531" s="265"/>
      <c r="BV2531" s="265"/>
    </row>
    <row r="2532" spans="12:74">
      <c r="L2532" s="265"/>
      <c r="M2532" s="265"/>
      <c r="N2532" s="265"/>
      <c r="O2532" s="265"/>
      <c r="P2532" s="265"/>
      <c r="Q2532" s="265"/>
      <c r="BR2532" s="265"/>
      <c r="BS2532" s="265"/>
      <c r="BT2532" s="265"/>
      <c r="BU2532" s="265"/>
      <c r="BV2532" s="265"/>
    </row>
    <row r="2533" spans="12:74">
      <c r="L2533" s="265"/>
      <c r="M2533" s="265"/>
      <c r="N2533" s="265"/>
      <c r="O2533" s="265"/>
      <c r="P2533" s="265"/>
      <c r="Q2533" s="265"/>
      <c r="BR2533" s="265"/>
      <c r="BS2533" s="265"/>
      <c r="BT2533" s="265"/>
      <c r="BU2533" s="265"/>
      <c r="BV2533" s="265"/>
    </row>
    <row r="2534" spans="12:74">
      <c r="L2534" s="265"/>
      <c r="M2534" s="265"/>
      <c r="N2534" s="265"/>
      <c r="O2534" s="265"/>
      <c r="P2534" s="265"/>
      <c r="Q2534" s="265"/>
      <c r="BR2534" s="265"/>
      <c r="BS2534" s="265"/>
      <c r="BT2534" s="265"/>
      <c r="BU2534" s="265"/>
      <c r="BV2534" s="265"/>
    </row>
    <row r="2535" spans="12:74">
      <c r="L2535" s="265"/>
      <c r="M2535" s="265"/>
      <c r="N2535" s="265"/>
      <c r="O2535" s="265"/>
      <c r="P2535" s="265"/>
      <c r="Q2535" s="265"/>
      <c r="BR2535" s="265"/>
      <c r="BS2535" s="265"/>
      <c r="BT2535" s="265"/>
      <c r="BU2535" s="265"/>
      <c r="BV2535" s="265"/>
    </row>
    <row r="2536" spans="12:74">
      <c r="L2536" s="265"/>
      <c r="M2536" s="265"/>
      <c r="N2536" s="265"/>
      <c r="O2536" s="265"/>
      <c r="P2536" s="265"/>
      <c r="Q2536" s="265"/>
      <c r="BR2536" s="265"/>
      <c r="BS2536" s="265"/>
      <c r="BT2536" s="265"/>
      <c r="BU2536" s="265"/>
      <c r="BV2536" s="265"/>
    </row>
    <row r="2537" spans="12:74">
      <c r="L2537" s="265"/>
      <c r="M2537" s="265"/>
      <c r="N2537" s="265"/>
      <c r="O2537" s="265"/>
      <c r="P2537" s="265"/>
      <c r="Q2537" s="265"/>
      <c r="BR2537" s="265"/>
      <c r="BS2537" s="265"/>
      <c r="BT2537" s="265"/>
      <c r="BU2537" s="265"/>
      <c r="BV2537" s="265"/>
    </row>
    <row r="2538" spans="12:74">
      <c r="L2538" s="265"/>
      <c r="M2538" s="265"/>
      <c r="N2538" s="265"/>
      <c r="O2538" s="265"/>
      <c r="P2538" s="265"/>
      <c r="Q2538" s="265"/>
      <c r="BR2538" s="265"/>
      <c r="BS2538" s="265"/>
      <c r="BT2538" s="265"/>
      <c r="BU2538" s="265"/>
      <c r="BV2538" s="265"/>
    </row>
    <row r="2539" spans="12:74">
      <c r="L2539" s="265"/>
      <c r="M2539" s="265"/>
      <c r="N2539" s="265"/>
      <c r="O2539" s="265"/>
      <c r="P2539" s="265"/>
      <c r="Q2539" s="265"/>
      <c r="BR2539" s="265"/>
      <c r="BS2539" s="265"/>
      <c r="BT2539" s="265"/>
      <c r="BU2539" s="265"/>
      <c r="BV2539" s="265"/>
    </row>
    <row r="2540" spans="12:74">
      <c r="L2540" s="265"/>
      <c r="M2540" s="265"/>
      <c r="N2540" s="265"/>
      <c r="O2540" s="265"/>
      <c r="P2540" s="265"/>
      <c r="Q2540" s="265"/>
      <c r="BR2540" s="265"/>
      <c r="BS2540" s="265"/>
      <c r="BT2540" s="265"/>
      <c r="BU2540" s="265"/>
      <c r="BV2540" s="265"/>
    </row>
    <row r="2541" spans="12:74">
      <c r="L2541" s="265"/>
      <c r="M2541" s="265"/>
      <c r="N2541" s="265"/>
      <c r="O2541" s="265"/>
      <c r="P2541" s="265"/>
      <c r="Q2541" s="265"/>
      <c r="BR2541" s="265"/>
      <c r="BS2541" s="265"/>
      <c r="BT2541" s="265"/>
      <c r="BU2541" s="265"/>
      <c r="BV2541" s="265"/>
    </row>
    <row r="2542" spans="12:74">
      <c r="L2542" s="265"/>
      <c r="M2542" s="265"/>
      <c r="N2542" s="265"/>
      <c r="O2542" s="265"/>
      <c r="P2542" s="265"/>
      <c r="Q2542" s="265"/>
      <c r="BR2542" s="265"/>
      <c r="BS2542" s="265"/>
      <c r="BT2542" s="265"/>
      <c r="BU2542" s="265"/>
      <c r="BV2542" s="265"/>
    </row>
    <row r="2543" spans="12:74">
      <c r="L2543" s="265"/>
      <c r="M2543" s="265"/>
      <c r="N2543" s="265"/>
      <c r="O2543" s="265"/>
      <c r="P2543" s="265"/>
      <c r="Q2543" s="265"/>
      <c r="BR2543" s="265"/>
      <c r="BS2543" s="265"/>
      <c r="BT2543" s="265"/>
      <c r="BU2543" s="265"/>
      <c r="BV2543" s="265"/>
    </row>
    <row r="2544" spans="12:74">
      <c r="L2544" s="265"/>
      <c r="M2544" s="265"/>
      <c r="N2544" s="265"/>
      <c r="O2544" s="265"/>
      <c r="P2544" s="265"/>
      <c r="Q2544" s="265"/>
      <c r="BR2544" s="265"/>
      <c r="BS2544" s="265"/>
      <c r="BT2544" s="265"/>
      <c r="BU2544" s="265"/>
      <c r="BV2544" s="265"/>
    </row>
    <row r="2545" spans="12:74">
      <c r="L2545" s="265"/>
      <c r="M2545" s="265"/>
      <c r="N2545" s="265"/>
      <c r="O2545" s="265"/>
      <c r="P2545" s="265"/>
      <c r="Q2545" s="265"/>
      <c r="BR2545" s="265"/>
      <c r="BS2545" s="265"/>
      <c r="BT2545" s="265"/>
      <c r="BU2545" s="265"/>
      <c r="BV2545" s="265"/>
    </row>
    <row r="2546" spans="12:74">
      <c r="L2546" s="265"/>
      <c r="M2546" s="265"/>
      <c r="N2546" s="265"/>
      <c r="O2546" s="265"/>
      <c r="P2546" s="265"/>
      <c r="Q2546" s="265"/>
      <c r="BR2546" s="265"/>
      <c r="BS2546" s="265"/>
      <c r="BT2546" s="265"/>
      <c r="BU2546" s="265"/>
      <c r="BV2546" s="265"/>
    </row>
    <row r="2547" spans="12:74">
      <c r="L2547" s="265"/>
      <c r="M2547" s="265"/>
      <c r="N2547" s="265"/>
      <c r="O2547" s="265"/>
      <c r="P2547" s="265"/>
      <c r="Q2547" s="265"/>
      <c r="BR2547" s="265"/>
      <c r="BS2547" s="265"/>
      <c r="BT2547" s="265"/>
      <c r="BU2547" s="265"/>
      <c r="BV2547" s="265"/>
    </row>
    <row r="2548" spans="12:74">
      <c r="L2548" s="265"/>
      <c r="M2548" s="265"/>
      <c r="N2548" s="265"/>
      <c r="O2548" s="265"/>
      <c r="P2548" s="265"/>
      <c r="Q2548" s="265"/>
      <c r="BR2548" s="265"/>
      <c r="BS2548" s="265"/>
      <c r="BT2548" s="265"/>
      <c r="BU2548" s="265"/>
      <c r="BV2548" s="265"/>
    </row>
    <row r="2549" spans="12:74">
      <c r="L2549" s="265"/>
      <c r="M2549" s="265"/>
      <c r="N2549" s="265"/>
      <c r="O2549" s="265"/>
      <c r="P2549" s="265"/>
      <c r="Q2549" s="265"/>
      <c r="BR2549" s="265"/>
      <c r="BS2549" s="265"/>
      <c r="BT2549" s="265"/>
      <c r="BU2549" s="265"/>
      <c r="BV2549" s="265"/>
    </row>
    <row r="2550" spans="12:74">
      <c r="L2550" s="265"/>
      <c r="M2550" s="265"/>
      <c r="N2550" s="265"/>
      <c r="O2550" s="265"/>
      <c r="P2550" s="265"/>
      <c r="Q2550" s="265"/>
      <c r="BR2550" s="265"/>
      <c r="BS2550" s="265"/>
      <c r="BT2550" s="265"/>
      <c r="BU2550" s="265"/>
      <c r="BV2550" s="265"/>
    </row>
    <row r="2551" spans="12:74">
      <c r="L2551" s="265"/>
      <c r="M2551" s="265"/>
      <c r="N2551" s="265"/>
      <c r="O2551" s="265"/>
      <c r="P2551" s="265"/>
      <c r="Q2551" s="265"/>
      <c r="BR2551" s="265"/>
      <c r="BS2551" s="265"/>
      <c r="BT2551" s="265"/>
      <c r="BU2551" s="265"/>
      <c r="BV2551" s="265"/>
    </row>
    <row r="2552" spans="12:74">
      <c r="L2552" s="265"/>
      <c r="M2552" s="265"/>
      <c r="N2552" s="265"/>
      <c r="O2552" s="265"/>
      <c r="P2552" s="265"/>
      <c r="Q2552" s="265"/>
      <c r="BR2552" s="265"/>
      <c r="BS2552" s="265"/>
      <c r="BT2552" s="265"/>
      <c r="BU2552" s="265"/>
      <c r="BV2552" s="265"/>
    </row>
    <row r="2553" spans="12:74">
      <c r="L2553" s="265"/>
      <c r="M2553" s="265"/>
      <c r="N2553" s="265"/>
      <c r="O2553" s="265"/>
      <c r="P2553" s="265"/>
      <c r="Q2553" s="265"/>
      <c r="BR2553" s="265"/>
      <c r="BS2553" s="265"/>
      <c r="BT2553" s="265"/>
      <c r="BU2553" s="265"/>
      <c r="BV2553" s="265"/>
    </row>
    <row r="2554" spans="12:74">
      <c r="L2554" s="265"/>
      <c r="M2554" s="265"/>
      <c r="N2554" s="265"/>
      <c r="O2554" s="265"/>
      <c r="P2554" s="265"/>
      <c r="Q2554" s="265"/>
      <c r="BR2554" s="265"/>
      <c r="BS2554" s="265"/>
      <c r="BT2554" s="265"/>
      <c r="BU2554" s="265"/>
      <c r="BV2554" s="265"/>
    </row>
    <row r="2555" spans="12:74">
      <c r="L2555" s="265"/>
      <c r="M2555" s="265"/>
      <c r="N2555" s="265"/>
      <c r="O2555" s="265"/>
      <c r="P2555" s="265"/>
      <c r="Q2555" s="265"/>
      <c r="BR2555" s="265"/>
      <c r="BS2555" s="265"/>
      <c r="BT2555" s="265"/>
      <c r="BU2555" s="265"/>
      <c r="BV2555" s="265"/>
    </row>
    <row r="2556" spans="12:74">
      <c r="L2556" s="265"/>
      <c r="M2556" s="265"/>
      <c r="N2556" s="265"/>
      <c r="O2556" s="265"/>
      <c r="P2556" s="265"/>
      <c r="Q2556" s="265"/>
      <c r="BR2556" s="265"/>
      <c r="BS2556" s="265"/>
      <c r="BT2556" s="265"/>
      <c r="BU2556" s="265"/>
      <c r="BV2556" s="265"/>
    </row>
    <row r="2557" spans="12:74">
      <c r="L2557" s="265"/>
      <c r="M2557" s="265"/>
      <c r="N2557" s="265"/>
      <c r="O2557" s="265"/>
      <c r="P2557" s="265"/>
      <c r="Q2557" s="265"/>
      <c r="BR2557" s="265"/>
      <c r="BS2557" s="265"/>
      <c r="BT2557" s="265"/>
      <c r="BU2557" s="265"/>
      <c r="BV2557" s="265"/>
    </row>
    <row r="2558" spans="12:74">
      <c r="L2558" s="265"/>
      <c r="M2558" s="265"/>
      <c r="N2558" s="265"/>
      <c r="O2558" s="265"/>
      <c r="P2558" s="265"/>
      <c r="Q2558" s="265"/>
      <c r="BR2558" s="265"/>
      <c r="BS2558" s="265"/>
      <c r="BT2558" s="265"/>
      <c r="BU2558" s="265"/>
      <c r="BV2558" s="265"/>
    </row>
    <row r="2559" spans="12:74">
      <c r="L2559" s="265"/>
      <c r="M2559" s="265"/>
      <c r="N2559" s="265"/>
      <c r="O2559" s="265"/>
      <c r="P2559" s="265"/>
      <c r="Q2559" s="265"/>
      <c r="BR2559" s="265"/>
      <c r="BS2559" s="265"/>
      <c r="BT2559" s="265"/>
      <c r="BU2559" s="265"/>
      <c r="BV2559" s="265"/>
    </row>
    <row r="2560" spans="12:74">
      <c r="L2560" s="265"/>
      <c r="M2560" s="265"/>
      <c r="N2560" s="265"/>
      <c r="O2560" s="265"/>
      <c r="P2560" s="265"/>
      <c r="Q2560" s="265"/>
      <c r="BR2560" s="265"/>
      <c r="BS2560" s="265"/>
      <c r="BT2560" s="265"/>
      <c r="BU2560" s="265"/>
      <c r="BV2560" s="265"/>
    </row>
    <row r="2561" spans="12:74">
      <c r="L2561" s="265"/>
      <c r="M2561" s="265"/>
      <c r="N2561" s="265"/>
      <c r="O2561" s="265"/>
      <c r="P2561" s="265"/>
      <c r="Q2561" s="265"/>
      <c r="BR2561" s="265"/>
      <c r="BS2561" s="265"/>
      <c r="BT2561" s="265"/>
      <c r="BU2561" s="265"/>
      <c r="BV2561" s="265"/>
    </row>
    <row r="2562" spans="12:74">
      <c r="L2562" s="265"/>
      <c r="M2562" s="265"/>
      <c r="N2562" s="265"/>
      <c r="O2562" s="265"/>
      <c r="P2562" s="265"/>
      <c r="Q2562" s="265"/>
      <c r="BR2562" s="265"/>
      <c r="BS2562" s="265"/>
      <c r="BT2562" s="265"/>
      <c r="BU2562" s="265"/>
      <c r="BV2562" s="265"/>
    </row>
    <row r="2563" spans="12:74">
      <c r="L2563" s="265"/>
      <c r="M2563" s="265"/>
      <c r="N2563" s="265"/>
      <c r="O2563" s="265"/>
      <c r="P2563" s="265"/>
      <c r="Q2563" s="265"/>
      <c r="BR2563" s="265"/>
      <c r="BS2563" s="265"/>
      <c r="BT2563" s="265"/>
      <c r="BU2563" s="265"/>
      <c r="BV2563" s="265"/>
    </row>
    <row r="2564" spans="12:74">
      <c r="L2564" s="265"/>
      <c r="M2564" s="265"/>
      <c r="N2564" s="265"/>
      <c r="O2564" s="265"/>
      <c r="P2564" s="265"/>
      <c r="Q2564" s="265"/>
      <c r="BR2564" s="265"/>
      <c r="BS2564" s="265"/>
      <c r="BT2564" s="265"/>
      <c r="BU2564" s="265"/>
      <c r="BV2564" s="265"/>
    </row>
    <row r="2565" spans="12:74">
      <c r="L2565" s="265"/>
      <c r="M2565" s="265"/>
      <c r="N2565" s="265"/>
      <c r="O2565" s="265"/>
      <c r="P2565" s="265"/>
      <c r="Q2565" s="265"/>
      <c r="BR2565" s="265"/>
      <c r="BS2565" s="265"/>
      <c r="BT2565" s="265"/>
      <c r="BU2565" s="265"/>
      <c r="BV2565" s="265"/>
    </row>
    <row r="2566" spans="12:74">
      <c r="L2566" s="265"/>
      <c r="M2566" s="265"/>
      <c r="N2566" s="265"/>
      <c r="O2566" s="265"/>
      <c r="P2566" s="265"/>
      <c r="Q2566" s="265"/>
      <c r="BR2566" s="265"/>
      <c r="BS2566" s="265"/>
      <c r="BT2566" s="265"/>
      <c r="BU2566" s="265"/>
      <c r="BV2566" s="265"/>
    </row>
    <row r="2567" spans="12:74">
      <c r="L2567" s="265"/>
      <c r="M2567" s="265"/>
      <c r="N2567" s="265"/>
      <c r="O2567" s="265"/>
      <c r="P2567" s="265"/>
      <c r="Q2567" s="265"/>
      <c r="BR2567" s="265"/>
      <c r="BS2567" s="265"/>
      <c r="BT2567" s="265"/>
      <c r="BU2567" s="265"/>
      <c r="BV2567" s="265"/>
    </row>
    <row r="2568" spans="12:74">
      <c r="L2568" s="265"/>
      <c r="M2568" s="265"/>
      <c r="N2568" s="265"/>
      <c r="O2568" s="265"/>
      <c r="P2568" s="265"/>
      <c r="Q2568" s="265"/>
      <c r="BR2568" s="265"/>
      <c r="BS2568" s="265"/>
      <c r="BT2568" s="265"/>
      <c r="BU2568" s="265"/>
      <c r="BV2568" s="265"/>
    </row>
    <row r="2569" spans="12:74">
      <c r="L2569" s="265"/>
      <c r="M2569" s="265"/>
      <c r="N2569" s="265"/>
      <c r="O2569" s="265"/>
      <c r="P2569" s="265"/>
      <c r="Q2569" s="265"/>
      <c r="BR2569" s="265"/>
      <c r="BS2569" s="265"/>
      <c r="BT2569" s="265"/>
      <c r="BU2569" s="265"/>
      <c r="BV2569" s="265"/>
    </row>
    <row r="2570" spans="12:74">
      <c r="L2570" s="265"/>
      <c r="M2570" s="265"/>
      <c r="N2570" s="265"/>
      <c r="O2570" s="265"/>
      <c r="P2570" s="265"/>
      <c r="Q2570" s="265"/>
      <c r="BR2570" s="265"/>
      <c r="BS2570" s="265"/>
      <c r="BT2570" s="265"/>
      <c r="BU2570" s="265"/>
      <c r="BV2570" s="265"/>
    </row>
    <row r="2571" spans="12:74">
      <c r="L2571" s="265"/>
      <c r="M2571" s="265"/>
      <c r="N2571" s="265"/>
      <c r="O2571" s="265"/>
      <c r="P2571" s="265"/>
      <c r="Q2571" s="265"/>
      <c r="BR2571" s="265"/>
      <c r="BS2571" s="265"/>
      <c r="BT2571" s="265"/>
      <c r="BU2571" s="265"/>
      <c r="BV2571" s="265"/>
    </row>
    <row r="2572" spans="12:74">
      <c r="L2572" s="265"/>
      <c r="M2572" s="265"/>
      <c r="N2572" s="265"/>
      <c r="O2572" s="265"/>
      <c r="P2572" s="265"/>
      <c r="Q2572" s="265"/>
      <c r="BR2572" s="265"/>
      <c r="BS2572" s="265"/>
      <c r="BT2572" s="265"/>
      <c r="BU2572" s="265"/>
      <c r="BV2572" s="265"/>
    </row>
    <row r="2573" spans="12:74">
      <c r="L2573" s="265"/>
      <c r="M2573" s="265"/>
      <c r="N2573" s="265"/>
      <c r="O2573" s="265"/>
      <c r="P2573" s="265"/>
      <c r="Q2573" s="265"/>
      <c r="BR2573" s="265"/>
      <c r="BS2573" s="265"/>
      <c r="BT2573" s="265"/>
      <c r="BU2573" s="265"/>
      <c r="BV2573" s="265"/>
    </row>
    <row r="2574" spans="12:74">
      <c r="L2574" s="265"/>
      <c r="M2574" s="265"/>
      <c r="N2574" s="265"/>
      <c r="O2574" s="265"/>
      <c r="P2574" s="265"/>
      <c r="Q2574" s="265"/>
      <c r="BR2574" s="265"/>
      <c r="BS2574" s="265"/>
      <c r="BT2574" s="265"/>
      <c r="BU2574" s="265"/>
      <c r="BV2574" s="265"/>
    </row>
    <row r="2575" spans="12:74">
      <c r="L2575" s="265"/>
      <c r="M2575" s="265"/>
      <c r="N2575" s="265"/>
      <c r="O2575" s="265"/>
      <c r="P2575" s="265"/>
      <c r="Q2575" s="265"/>
      <c r="BR2575" s="265"/>
      <c r="BS2575" s="265"/>
      <c r="BT2575" s="265"/>
      <c r="BU2575" s="265"/>
      <c r="BV2575" s="265"/>
    </row>
    <row r="2576" spans="12:74">
      <c r="L2576" s="265"/>
      <c r="M2576" s="265"/>
      <c r="N2576" s="265"/>
      <c r="O2576" s="265"/>
      <c r="P2576" s="265"/>
      <c r="Q2576" s="265"/>
      <c r="BR2576" s="265"/>
      <c r="BS2576" s="265"/>
      <c r="BT2576" s="265"/>
      <c r="BU2576" s="265"/>
      <c r="BV2576" s="265"/>
    </row>
    <row r="2577" spans="12:74">
      <c r="L2577" s="265"/>
      <c r="M2577" s="265"/>
      <c r="N2577" s="265"/>
      <c r="O2577" s="265"/>
      <c r="P2577" s="265"/>
      <c r="Q2577" s="265"/>
      <c r="BR2577" s="265"/>
      <c r="BS2577" s="265"/>
      <c r="BT2577" s="265"/>
      <c r="BU2577" s="265"/>
      <c r="BV2577" s="265"/>
    </row>
    <row r="2578" spans="12:74">
      <c r="L2578" s="265"/>
      <c r="M2578" s="265"/>
      <c r="N2578" s="265"/>
      <c r="O2578" s="265"/>
      <c r="P2578" s="265"/>
      <c r="Q2578" s="265"/>
      <c r="BR2578" s="265"/>
      <c r="BS2578" s="265"/>
      <c r="BT2578" s="265"/>
      <c r="BU2578" s="265"/>
      <c r="BV2578" s="265"/>
    </row>
    <row r="2579" spans="12:74">
      <c r="L2579" s="265"/>
      <c r="M2579" s="265"/>
      <c r="N2579" s="265"/>
      <c r="O2579" s="265"/>
      <c r="P2579" s="265"/>
      <c r="Q2579" s="265"/>
      <c r="BR2579" s="265"/>
      <c r="BS2579" s="265"/>
      <c r="BT2579" s="265"/>
      <c r="BU2579" s="265"/>
      <c r="BV2579" s="265"/>
    </row>
    <row r="2580" spans="12:74">
      <c r="L2580" s="265"/>
      <c r="M2580" s="265"/>
      <c r="N2580" s="265"/>
      <c r="O2580" s="265"/>
      <c r="P2580" s="265"/>
      <c r="Q2580" s="265"/>
      <c r="BR2580" s="265"/>
      <c r="BS2580" s="265"/>
      <c r="BT2580" s="265"/>
      <c r="BU2580" s="265"/>
      <c r="BV2580" s="265"/>
    </row>
    <row r="2581" spans="12:74">
      <c r="L2581" s="265"/>
      <c r="M2581" s="265"/>
      <c r="N2581" s="265"/>
      <c r="O2581" s="265"/>
      <c r="P2581" s="265"/>
      <c r="Q2581" s="265"/>
      <c r="BR2581" s="265"/>
      <c r="BS2581" s="265"/>
      <c r="BT2581" s="265"/>
      <c r="BU2581" s="265"/>
      <c r="BV2581" s="265"/>
    </row>
    <row r="2582" spans="12:74">
      <c r="L2582" s="265"/>
      <c r="M2582" s="265"/>
      <c r="N2582" s="265"/>
      <c r="O2582" s="265"/>
      <c r="P2582" s="265"/>
      <c r="Q2582" s="265"/>
      <c r="BR2582" s="265"/>
      <c r="BS2582" s="265"/>
      <c r="BT2582" s="265"/>
      <c r="BU2582" s="265"/>
      <c r="BV2582" s="265"/>
    </row>
    <row r="2583" spans="12:74">
      <c r="L2583" s="265"/>
      <c r="M2583" s="265"/>
      <c r="N2583" s="265"/>
      <c r="O2583" s="265"/>
      <c r="P2583" s="265"/>
      <c r="Q2583" s="265"/>
      <c r="BR2583" s="265"/>
      <c r="BS2583" s="265"/>
      <c r="BT2583" s="265"/>
      <c r="BU2583" s="265"/>
      <c r="BV2583" s="265"/>
    </row>
    <row r="2584" spans="12:74">
      <c r="L2584" s="265"/>
      <c r="M2584" s="265"/>
      <c r="N2584" s="265"/>
      <c r="O2584" s="265"/>
      <c r="P2584" s="265"/>
      <c r="Q2584" s="265"/>
      <c r="BR2584" s="265"/>
      <c r="BS2584" s="265"/>
      <c r="BT2584" s="265"/>
      <c r="BU2584" s="265"/>
      <c r="BV2584" s="265"/>
    </row>
    <row r="2585" spans="12:74">
      <c r="L2585" s="265"/>
      <c r="M2585" s="265"/>
      <c r="N2585" s="265"/>
      <c r="O2585" s="265"/>
      <c r="P2585" s="265"/>
      <c r="Q2585" s="265"/>
      <c r="BR2585" s="265"/>
      <c r="BS2585" s="265"/>
      <c r="BT2585" s="265"/>
      <c r="BU2585" s="265"/>
      <c r="BV2585" s="265"/>
    </row>
    <row r="2586" spans="12:74">
      <c r="L2586" s="265"/>
      <c r="M2586" s="265"/>
      <c r="N2586" s="265"/>
      <c r="O2586" s="265"/>
      <c r="P2586" s="265"/>
      <c r="Q2586" s="265"/>
      <c r="BR2586" s="265"/>
      <c r="BS2586" s="265"/>
      <c r="BT2586" s="265"/>
      <c r="BU2586" s="265"/>
      <c r="BV2586" s="265"/>
    </row>
    <row r="2587" spans="12:74">
      <c r="L2587" s="265"/>
      <c r="M2587" s="265"/>
      <c r="N2587" s="265"/>
      <c r="O2587" s="265"/>
      <c r="P2587" s="265"/>
      <c r="Q2587" s="265"/>
      <c r="BR2587" s="265"/>
      <c r="BS2587" s="265"/>
      <c r="BT2587" s="265"/>
      <c r="BU2587" s="265"/>
      <c r="BV2587" s="265"/>
    </row>
    <row r="2588" spans="12:74">
      <c r="L2588" s="265"/>
      <c r="M2588" s="265"/>
      <c r="N2588" s="265"/>
      <c r="O2588" s="265"/>
      <c r="P2588" s="265"/>
      <c r="Q2588" s="265"/>
      <c r="BR2588" s="265"/>
      <c r="BS2588" s="265"/>
      <c r="BT2588" s="265"/>
      <c r="BU2588" s="265"/>
      <c r="BV2588" s="265"/>
    </row>
    <row r="2589" spans="12:74">
      <c r="L2589" s="265"/>
      <c r="M2589" s="265"/>
      <c r="N2589" s="265"/>
      <c r="O2589" s="265"/>
      <c r="P2589" s="265"/>
      <c r="Q2589" s="265"/>
      <c r="BR2589" s="265"/>
      <c r="BS2589" s="265"/>
      <c r="BT2589" s="265"/>
      <c r="BU2589" s="265"/>
      <c r="BV2589" s="265"/>
    </row>
    <row r="2590" spans="12:74">
      <c r="L2590" s="265"/>
      <c r="M2590" s="265"/>
      <c r="N2590" s="265"/>
      <c r="O2590" s="265"/>
      <c r="P2590" s="265"/>
      <c r="Q2590" s="265"/>
      <c r="BR2590" s="265"/>
      <c r="BS2590" s="265"/>
      <c r="BT2590" s="265"/>
      <c r="BU2590" s="265"/>
      <c r="BV2590" s="265"/>
    </row>
    <row r="2591" spans="12:74">
      <c r="L2591" s="265"/>
      <c r="M2591" s="265"/>
      <c r="N2591" s="265"/>
      <c r="O2591" s="265"/>
      <c r="P2591" s="265"/>
      <c r="Q2591" s="265"/>
      <c r="BR2591" s="265"/>
      <c r="BS2591" s="265"/>
      <c r="BT2591" s="265"/>
      <c r="BU2591" s="265"/>
      <c r="BV2591" s="265"/>
    </row>
    <row r="2592" spans="12:74">
      <c r="L2592" s="265"/>
      <c r="M2592" s="265"/>
      <c r="N2592" s="265"/>
      <c r="O2592" s="265"/>
      <c r="P2592" s="265"/>
      <c r="Q2592" s="265"/>
      <c r="BR2592" s="265"/>
      <c r="BS2592" s="265"/>
      <c r="BT2592" s="265"/>
      <c r="BU2592" s="265"/>
      <c r="BV2592" s="265"/>
    </row>
    <row r="2593" spans="12:74">
      <c r="L2593" s="265"/>
      <c r="M2593" s="265"/>
      <c r="N2593" s="265"/>
      <c r="O2593" s="265"/>
      <c r="P2593" s="265"/>
      <c r="Q2593" s="265"/>
      <c r="BR2593" s="265"/>
      <c r="BS2593" s="265"/>
      <c r="BT2593" s="265"/>
      <c r="BU2593" s="265"/>
      <c r="BV2593" s="265"/>
    </row>
    <row r="2594" spans="12:74">
      <c r="L2594" s="265"/>
      <c r="M2594" s="265"/>
      <c r="N2594" s="265"/>
      <c r="O2594" s="265"/>
      <c r="P2594" s="265"/>
      <c r="Q2594" s="265"/>
      <c r="BR2594" s="265"/>
      <c r="BS2594" s="265"/>
      <c r="BT2594" s="265"/>
      <c r="BU2594" s="265"/>
      <c r="BV2594" s="265"/>
    </row>
    <row r="2595" spans="12:74">
      <c r="L2595" s="265"/>
      <c r="M2595" s="265"/>
      <c r="N2595" s="265"/>
      <c r="O2595" s="265"/>
      <c r="P2595" s="265"/>
      <c r="Q2595" s="265"/>
      <c r="BR2595" s="265"/>
      <c r="BS2595" s="265"/>
      <c r="BT2595" s="265"/>
      <c r="BU2595" s="265"/>
      <c r="BV2595" s="265"/>
    </row>
    <row r="2596" spans="12:74">
      <c r="L2596" s="265"/>
      <c r="M2596" s="265"/>
      <c r="N2596" s="265"/>
      <c r="O2596" s="265"/>
      <c r="P2596" s="265"/>
      <c r="Q2596" s="265"/>
      <c r="BR2596" s="265"/>
      <c r="BS2596" s="265"/>
      <c r="BT2596" s="265"/>
      <c r="BU2596" s="265"/>
      <c r="BV2596" s="265"/>
    </row>
    <row r="2597" spans="12:74">
      <c r="L2597" s="265"/>
      <c r="M2597" s="265"/>
      <c r="N2597" s="265"/>
      <c r="O2597" s="265"/>
      <c r="P2597" s="265"/>
      <c r="Q2597" s="265"/>
      <c r="BR2597" s="265"/>
      <c r="BS2597" s="265"/>
      <c r="BT2597" s="265"/>
      <c r="BU2597" s="265"/>
      <c r="BV2597" s="265"/>
    </row>
    <row r="2598" spans="12:74">
      <c r="L2598" s="265"/>
      <c r="M2598" s="265"/>
      <c r="N2598" s="265"/>
      <c r="O2598" s="265"/>
      <c r="P2598" s="265"/>
      <c r="Q2598" s="265"/>
      <c r="BR2598" s="265"/>
      <c r="BS2598" s="265"/>
      <c r="BT2598" s="265"/>
      <c r="BU2598" s="265"/>
      <c r="BV2598" s="265"/>
    </row>
    <row r="2599" spans="12:74">
      <c r="L2599" s="265"/>
      <c r="M2599" s="265"/>
      <c r="N2599" s="265"/>
      <c r="O2599" s="265"/>
      <c r="P2599" s="265"/>
      <c r="Q2599" s="265"/>
      <c r="BR2599" s="265"/>
      <c r="BS2599" s="265"/>
      <c r="BT2599" s="265"/>
      <c r="BU2599" s="265"/>
      <c r="BV2599" s="265"/>
    </row>
    <row r="2600" spans="12:74">
      <c r="L2600" s="265"/>
      <c r="M2600" s="265"/>
      <c r="N2600" s="265"/>
      <c r="O2600" s="265"/>
      <c r="P2600" s="265"/>
      <c r="Q2600" s="265"/>
      <c r="BR2600" s="265"/>
      <c r="BS2600" s="265"/>
      <c r="BT2600" s="265"/>
      <c r="BU2600" s="265"/>
      <c r="BV2600" s="265"/>
    </row>
    <row r="2601" spans="12:74">
      <c r="L2601" s="265"/>
      <c r="M2601" s="265"/>
      <c r="N2601" s="265"/>
      <c r="O2601" s="265"/>
      <c r="P2601" s="265"/>
      <c r="Q2601" s="265"/>
      <c r="BR2601" s="265"/>
      <c r="BS2601" s="265"/>
      <c r="BT2601" s="265"/>
      <c r="BU2601" s="265"/>
      <c r="BV2601" s="265"/>
    </row>
    <row r="2602" spans="12:74">
      <c r="L2602" s="265"/>
      <c r="M2602" s="265"/>
      <c r="N2602" s="265"/>
      <c r="O2602" s="265"/>
      <c r="P2602" s="265"/>
      <c r="Q2602" s="265"/>
      <c r="BR2602" s="265"/>
      <c r="BS2602" s="265"/>
      <c r="BT2602" s="265"/>
      <c r="BU2602" s="265"/>
      <c r="BV2602" s="265"/>
    </row>
    <row r="2603" spans="12:74">
      <c r="L2603" s="265"/>
      <c r="M2603" s="265"/>
      <c r="N2603" s="265"/>
      <c r="O2603" s="265"/>
      <c r="P2603" s="265"/>
      <c r="Q2603" s="265"/>
      <c r="BR2603" s="265"/>
      <c r="BS2603" s="265"/>
      <c r="BT2603" s="265"/>
      <c r="BU2603" s="265"/>
      <c r="BV2603" s="265"/>
    </row>
    <row r="2604" spans="12:74">
      <c r="L2604" s="265"/>
      <c r="M2604" s="265"/>
      <c r="N2604" s="265"/>
      <c r="O2604" s="265"/>
      <c r="P2604" s="265"/>
      <c r="Q2604" s="265"/>
      <c r="BR2604" s="265"/>
      <c r="BS2604" s="265"/>
      <c r="BT2604" s="265"/>
      <c r="BU2604" s="265"/>
      <c r="BV2604" s="265"/>
    </row>
    <row r="2605" spans="12:74">
      <c r="L2605" s="265"/>
      <c r="M2605" s="265"/>
      <c r="N2605" s="265"/>
      <c r="O2605" s="265"/>
      <c r="P2605" s="265"/>
      <c r="Q2605" s="265"/>
      <c r="BR2605" s="265"/>
      <c r="BS2605" s="265"/>
      <c r="BT2605" s="265"/>
      <c r="BU2605" s="265"/>
      <c r="BV2605" s="265"/>
    </row>
    <row r="2606" spans="12:74">
      <c r="L2606" s="265"/>
      <c r="M2606" s="265"/>
      <c r="N2606" s="265"/>
      <c r="O2606" s="265"/>
      <c r="P2606" s="265"/>
      <c r="Q2606" s="265"/>
      <c r="BR2606" s="265"/>
      <c r="BS2606" s="265"/>
      <c r="BT2606" s="265"/>
      <c r="BU2606" s="265"/>
      <c r="BV2606" s="265"/>
    </row>
    <row r="2607" spans="12:74">
      <c r="L2607" s="265"/>
      <c r="M2607" s="265"/>
      <c r="N2607" s="265"/>
      <c r="O2607" s="265"/>
      <c r="P2607" s="265"/>
      <c r="Q2607" s="265"/>
      <c r="BR2607" s="265"/>
      <c r="BS2607" s="265"/>
      <c r="BT2607" s="265"/>
      <c r="BU2607" s="265"/>
      <c r="BV2607" s="265"/>
    </row>
    <row r="2608" spans="12:74">
      <c r="L2608" s="265"/>
      <c r="M2608" s="265"/>
      <c r="N2608" s="265"/>
      <c r="O2608" s="265"/>
      <c r="P2608" s="265"/>
      <c r="Q2608" s="265"/>
      <c r="BR2608" s="265"/>
      <c r="BS2608" s="265"/>
      <c r="BT2608" s="265"/>
      <c r="BU2608" s="265"/>
      <c r="BV2608" s="265"/>
    </row>
    <row r="2609" spans="12:74">
      <c r="L2609" s="265"/>
      <c r="M2609" s="265"/>
      <c r="N2609" s="265"/>
      <c r="O2609" s="265"/>
      <c r="P2609" s="265"/>
      <c r="Q2609" s="265"/>
      <c r="BR2609" s="265"/>
      <c r="BS2609" s="265"/>
      <c r="BT2609" s="265"/>
      <c r="BU2609" s="265"/>
      <c r="BV2609" s="265"/>
    </row>
    <row r="2610" spans="12:74">
      <c r="L2610" s="265"/>
      <c r="M2610" s="265"/>
      <c r="N2610" s="265"/>
      <c r="O2610" s="265"/>
      <c r="P2610" s="265"/>
      <c r="Q2610" s="265"/>
      <c r="BR2610" s="265"/>
      <c r="BS2610" s="265"/>
      <c r="BT2610" s="265"/>
      <c r="BU2610" s="265"/>
      <c r="BV2610" s="265"/>
    </row>
    <row r="2611" spans="12:74">
      <c r="L2611" s="265"/>
      <c r="M2611" s="265"/>
      <c r="N2611" s="265"/>
      <c r="O2611" s="265"/>
      <c r="P2611" s="265"/>
      <c r="Q2611" s="265"/>
      <c r="BR2611" s="265"/>
      <c r="BS2611" s="265"/>
      <c r="BT2611" s="265"/>
      <c r="BU2611" s="265"/>
      <c r="BV2611" s="265"/>
    </row>
    <row r="2612" spans="12:74">
      <c r="L2612" s="265"/>
      <c r="M2612" s="265"/>
      <c r="N2612" s="265"/>
      <c r="O2612" s="265"/>
      <c r="P2612" s="265"/>
      <c r="Q2612" s="265"/>
      <c r="BR2612" s="265"/>
      <c r="BS2612" s="265"/>
      <c r="BT2612" s="265"/>
      <c r="BU2612" s="265"/>
      <c r="BV2612" s="265"/>
    </row>
    <row r="2613" spans="12:74">
      <c r="L2613" s="265"/>
      <c r="M2613" s="265"/>
      <c r="N2613" s="265"/>
      <c r="O2613" s="265"/>
      <c r="P2613" s="265"/>
      <c r="Q2613" s="265"/>
      <c r="BR2613" s="265"/>
      <c r="BS2613" s="265"/>
      <c r="BT2613" s="265"/>
      <c r="BU2613" s="265"/>
      <c r="BV2613" s="265"/>
    </row>
    <row r="2614" spans="12:74">
      <c r="L2614" s="265"/>
      <c r="M2614" s="265"/>
      <c r="N2614" s="265"/>
      <c r="O2614" s="265"/>
      <c r="P2614" s="265"/>
      <c r="Q2614" s="265"/>
      <c r="BR2614" s="265"/>
      <c r="BS2614" s="265"/>
      <c r="BT2614" s="265"/>
      <c r="BU2614" s="265"/>
      <c r="BV2614" s="265"/>
    </row>
    <row r="2615" spans="12:74">
      <c r="L2615" s="265"/>
      <c r="M2615" s="265"/>
      <c r="N2615" s="265"/>
      <c r="O2615" s="265"/>
      <c r="P2615" s="265"/>
      <c r="Q2615" s="265"/>
      <c r="BR2615" s="265"/>
      <c r="BS2615" s="265"/>
      <c r="BT2615" s="265"/>
      <c r="BU2615" s="265"/>
      <c r="BV2615" s="265"/>
    </row>
    <row r="2616" spans="12:74">
      <c r="L2616" s="265"/>
      <c r="M2616" s="265"/>
      <c r="N2616" s="265"/>
      <c r="O2616" s="265"/>
      <c r="P2616" s="265"/>
      <c r="Q2616" s="265"/>
      <c r="BR2616" s="265"/>
      <c r="BS2616" s="265"/>
      <c r="BT2616" s="265"/>
      <c r="BU2616" s="265"/>
      <c r="BV2616" s="265"/>
    </row>
    <row r="2617" spans="12:74">
      <c r="L2617" s="265"/>
      <c r="M2617" s="265"/>
      <c r="N2617" s="265"/>
      <c r="O2617" s="265"/>
      <c r="P2617" s="265"/>
      <c r="Q2617" s="265"/>
      <c r="BR2617" s="265"/>
      <c r="BS2617" s="265"/>
      <c r="BT2617" s="265"/>
      <c r="BU2617" s="265"/>
      <c r="BV2617" s="265"/>
    </row>
    <row r="2618" spans="12:74">
      <c r="L2618" s="265"/>
      <c r="M2618" s="265"/>
      <c r="N2618" s="265"/>
      <c r="O2618" s="265"/>
      <c r="P2618" s="265"/>
      <c r="Q2618" s="265"/>
      <c r="BR2618" s="265"/>
      <c r="BS2618" s="265"/>
      <c r="BT2618" s="265"/>
      <c r="BU2618" s="265"/>
      <c r="BV2618" s="265"/>
    </row>
    <row r="2619" spans="12:74">
      <c r="L2619" s="265"/>
      <c r="M2619" s="265"/>
      <c r="N2619" s="265"/>
      <c r="O2619" s="265"/>
      <c r="P2619" s="265"/>
      <c r="Q2619" s="265"/>
      <c r="BR2619" s="265"/>
      <c r="BS2619" s="265"/>
      <c r="BT2619" s="265"/>
      <c r="BU2619" s="265"/>
      <c r="BV2619" s="265"/>
    </row>
    <row r="2620" spans="12:74">
      <c r="L2620" s="265"/>
      <c r="M2620" s="265"/>
      <c r="N2620" s="265"/>
      <c r="O2620" s="265"/>
      <c r="P2620" s="265"/>
      <c r="Q2620" s="265"/>
      <c r="BR2620" s="265"/>
      <c r="BS2620" s="265"/>
      <c r="BT2620" s="265"/>
      <c r="BU2620" s="265"/>
      <c r="BV2620" s="265"/>
    </row>
    <row r="2621" spans="12:74">
      <c r="L2621" s="265"/>
      <c r="M2621" s="265"/>
      <c r="N2621" s="265"/>
      <c r="O2621" s="265"/>
      <c r="P2621" s="265"/>
      <c r="Q2621" s="265"/>
      <c r="BR2621" s="265"/>
      <c r="BS2621" s="265"/>
      <c r="BT2621" s="265"/>
      <c r="BU2621" s="265"/>
      <c r="BV2621" s="265"/>
    </row>
    <row r="2622" spans="12:74">
      <c r="L2622" s="265"/>
      <c r="M2622" s="265"/>
      <c r="N2622" s="265"/>
      <c r="O2622" s="265"/>
      <c r="P2622" s="265"/>
      <c r="Q2622" s="265"/>
      <c r="BR2622" s="265"/>
      <c r="BS2622" s="265"/>
      <c r="BT2622" s="265"/>
      <c r="BU2622" s="265"/>
      <c r="BV2622" s="265"/>
    </row>
    <row r="2623" spans="12:74">
      <c r="L2623" s="265"/>
      <c r="M2623" s="265"/>
      <c r="N2623" s="265"/>
      <c r="O2623" s="265"/>
      <c r="P2623" s="265"/>
      <c r="Q2623" s="265"/>
      <c r="BR2623" s="265"/>
      <c r="BS2623" s="265"/>
      <c r="BT2623" s="265"/>
      <c r="BU2623" s="265"/>
      <c r="BV2623" s="265"/>
    </row>
    <row r="2624" spans="12:74">
      <c r="L2624" s="265"/>
      <c r="M2624" s="265"/>
      <c r="N2624" s="265"/>
      <c r="O2624" s="265"/>
      <c r="P2624" s="265"/>
      <c r="Q2624" s="265"/>
      <c r="BR2624" s="265"/>
      <c r="BS2624" s="265"/>
      <c r="BT2624" s="265"/>
      <c r="BU2624" s="265"/>
      <c r="BV2624" s="265"/>
    </row>
    <row r="2625" spans="12:74">
      <c r="L2625" s="265"/>
      <c r="M2625" s="265"/>
      <c r="N2625" s="265"/>
      <c r="O2625" s="265"/>
      <c r="P2625" s="265"/>
      <c r="Q2625" s="265"/>
      <c r="BR2625" s="265"/>
      <c r="BS2625" s="265"/>
      <c r="BT2625" s="265"/>
      <c r="BU2625" s="265"/>
      <c r="BV2625" s="265"/>
    </row>
    <row r="2626" spans="12:74">
      <c r="L2626" s="265"/>
      <c r="M2626" s="265"/>
      <c r="N2626" s="265"/>
      <c r="O2626" s="265"/>
      <c r="P2626" s="265"/>
      <c r="Q2626" s="265"/>
      <c r="BR2626" s="265"/>
      <c r="BS2626" s="265"/>
      <c r="BT2626" s="265"/>
      <c r="BU2626" s="265"/>
      <c r="BV2626" s="265"/>
    </row>
    <row r="2627" spans="12:74">
      <c r="L2627" s="265"/>
      <c r="M2627" s="265"/>
      <c r="N2627" s="265"/>
      <c r="O2627" s="265"/>
      <c r="P2627" s="265"/>
      <c r="Q2627" s="265"/>
      <c r="BR2627" s="265"/>
      <c r="BS2627" s="265"/>
      <c r="BT2627" s="265"/>
      <c r="BU2627" s="265"/>
      <c r="BV2627" s="265"/>
    </row>
    <row r="2628" spans="12:74">
      <c r="L2628" s="265"/>
      <c r="M2628" s="265"/>
      <c r="N2628" s="265"/>
      <c r="O2628" s="265"/>
      <c r="P2628" s="265"/>
      <c r="Q2628" s="265"/>
      <c r="BR2628" s="265"/>
      <c r="BS2628" s="265"/>
      <c r="BT2628" s="265"/>
      <c r="BU2628" s="265"/>
      <c r="BV2628" s="265"/>
    </row>
    <row r="2629" spans="12:74">
      <c r="L2629" s="265"/>
      <c r="M2629" s="265"/>
      <c r="N2629" s="265"/>
      <c r="O2629" s="265"/>
      <c r="P2629" s="265"/>
      <c r="Q2629" s="265"/>
      <c r="BR2629" s="265"/>
      <c r="BS2629" s="265"/>
      <c r="BT2629" s="265"/>
      <c r="BU2629" s="265"/>
      <c r="BV2629" s="265"/>
    </row>
    <row r="2630" spans="12:74">
      <c r="L2630" s="265"/>
      <c r="M2630" s="265"/>
      <c r="N2630" s="265"/>
      <c r="O2630" s="265"/>
      <c r="P2630" s="265"/>
      <c r="Q2630" s="265"/>
      <c r="BR2630" s="265"/>
      <c r="BS2630" s="265"/>
      <c r="BT2630" s="265"/>
      <c r="BU2630" s="265"/>
      <c r="BV2630" s="265"/>
    </row>
    <row r="2631" spans="12:74">
      <c r="L2631" s="265"/>
      <c r="M2631" s="265"/>
      <c r="N2631" s="265"/>
      <c r="O2631" s="265"/>
      <c r="P2631" s="265"/>
      <c r="Q2631" s="265"/>
      <c r="BR2631" s="265"/>
      <c r="BS2631" s="265"/>
      <c r="BT2631" s="265"/>
      <c r="BU2631" s="265"/>
      <c r="BV2631" s="265"/>
    </row>
    <row r="2632" spans="12:74">
      <c r="L2632" s="265"/>
      <c r="M2632" s="265"/>
      <c r="N2632" s="265"/>
      <c r="O2632" s="265"/>
      <c r="P2632" s="265"/>
      <c r="Q2632" s="265"/>
      <c r="BR2632" s="265"/>
      <c r="BS2632" s="265"/>
      <c r="BT2632" s="265"/>
      <c r="BU2632" s="265"/>
      <c r="BV2632" s="265"/>
    </row>
    <row r="2633" spans="12:74">
      <c r="L2633" s="265"/>
      <c r="M2633" s="265"/>
      <c r="N2633" s="265"/>
      <c r="O2633" s="265"/>
      <c r="P2633" s="265"/>
      <c r="Q2633" s="265"/>
      <c r="BR2633" s="265"/>
      <c r="BS2633" s="265"/>
      <c r="BT2633" s="265"/>
      <c r="BU2633" s="265"/>
      <c r="BV2633" s="265"/>
    </row>
    <row r="2634" spans="12:74">
      <c r="L2634" s="265"/>
      <c r="M2634" s="265"/>
      <c r="N2634" s="265"/>
      <c r="O2634" s="265"/>
      <c r="P2634" s="265"/>
      <c r="Q2634" s="265"/>
      <c r="BR2634" s="265"/>
      <c r="BS2634" s="265"/>
      <c r="BT2634" s="265"/>
      <c r="BU2634" s="265"/>
      <c r="BV2634" s="265"/>
    </row>
    <row r="2635" spans="12:74">
      <c r="L2635" s="265"/>
      <c r="M2635" s="265"/>
      <c r="N2635" s="265"/>
      <c r="O2635" s="265"/>
      <c r="P2635" s="265"/>
      <c r="Q2635" s="265"/>
      <c r="BR2635" s="265"/>
      <c r="BS2635" s="265"/>
      <c r="BT2635" s="265"/>
      <c r="BU2635" s="265"/>
      <c r="BV2635" s="265"/>
    </row>
    <row r="2636" spans="12:74">
      <c r="L2636" s="265"/>
      <c r="M2636" s="265"/>
      <c r="N2636" s="265"/>
      <c r="O2636" s="265"/>
      <c r="P2636" s="265"/>
      <c r="Q2636" s="265"/>
      <c r="BR2636" s="265"/>
      <c r="BS2636" s="265"/>
      <c r="BT2636" s="265"/>
      <c r="BU2636" s="265"/>
      <c r="BV2636" s="265"/>
    </row>
    <row r="2637" spans="12:74">
      <c r="L2637" s="265"/>
      <c r="M2637" s="265"/>
      <c r="N2637" s="265"/>
      <c r="O2637" s="265"/>
      <c r="P2637" s="265"/>
      <c r="Q2637" s="265"/>
      <c r="BR2637" s="265"/>
      <c r="BS2637" s="265"/>
      <c r="BT2637" s="265"/>
      <c r="BU2637" s="265"/>
      <c r="BV2637" s="265"/>
    </row>
    <row r="2638" spans="12:74">
      <c r="L2638" s="265"/>
      <c r="M2638" s="265"/>
      <c r="N2638" s="265"/>
      <c r="O2638" s="265"/>
      <c r="P2638" s="265"/>
      <c r="Q2638" s="265"/>
      <c r="BR2638" s="265"/>
      <c r="BS2638" s="265"/>
      <c r="BT2638" s="265"/>
      <c r="BU2638" s="265"/>
      <c r="BV2638" s="265"/>
    </row>
    <row r="2639" spans="12:74">
      <c r="L2639" s="265"/>
      <c r="M2639" s="265"/>
      <c r="N2639" s="265"/>
      <c r="O2639" s="265"/>
      <c r="P2639" s="265"/>
      <c r="Q2639" s="265"/>
      <c r="BR2639" s="265"/>
      <c r="BS2639" s="265"/>
      <c r="BT2639" s="265"/>
      <c r="BU2639" s="265"/>
      <c r="BV2639" s="265"/>
    </row>
    <row r="2640" spans="12:74">
      <c r="L2640" s="265"/>
      <c r="M2640" s="265"/>
      <c r="N2640" s="265"/>
      <c r="O2640" s="265"/>
      <c r="P2640" s="265"/>
      <c r="Q2640" s="265"/>
      <c r="BR2640" s="265"/>
      <c r="BS2640" s="265"/>
      <c r="BT2640" s="265"/>
      <c r="BU2640" s="265"/>
      <c r="BV2640" s="265"/>
    </row>
    <row r="2641" spans="12:74">
      <c r="L2641" s="265"/>
      <c r="M2641" s="265"/>
      <c r="N2641" s="265"/>
      <c r="O2641" s="265"/>
      <c r="P2641" s="265"/>
      <c r="Q2641" s="265"/>
      <c r="BR2641" s="265"/>
      <c r="BS2641" s="265"/>
      <c r="BT2641" s="265"/>
      <c r="BU2641" s="265"/>
      <c r="BV2641" s="265"/>
    </row>
    <row r="2642" spans="12:74">
      <c r="L2642" s="265"/>
      <c r="M2642" s="265"/>
      <c r="N2642" s="265"/>
      <c r="O2642" s="265"/>
      <c r="P2642" s="265"/>
      <c r="Q2642" s="265"/>
      <c r="BR2642" s="265"/>
      <c r="BS2642" s="265"/>
      <c r="BT2642" s="265"/>
      <c r="BU2642" s="265"/>
      <c r="BV2642" s="265"/>
    </row>
    <row r="2643" spans="12:74">
      <c r="L2643" s="265"/>
      <c r="M2643" s="265"/>
      <c r="N2643" s="265"/>
      <c r="O2643" s="265"/>
      <c r="P2643" s="265"/>
      <c r="Q2643" s="265"/>
      <c r="BR2643" s="265"/>
      <c r="BS2643" s="265"/>
      <c r="BT2643" s="265"/>
      <c r="BU2643" s="265"/>
      <c r="BV2643" s="265"/>
    </row>
    <row r="2644" spans="12:74">
      <c r="L2644" s="265"/>
      <c r="M2644" s="265"/>
      <c r="N2644" s="265"/>
      <c r="O2644" s="265"/>
      <c r="P2644" s="265"/>
      <c r="Q2644" s="265"/>
      <c r="BR2644" s="265"/>
      <c r="BS2644" s="265"/>
      <c r="BT2644" s="265"/>
      <c r="BU2644" s="265"/>
      <c r="BV2644" s="265"/>
    </row>
    <row r="2645" spans="12:74">
      <c r="L2645" s="265"/>
      <c r="M2645" s="265"/>
      <c r="N2645" s="265"/>
      <c r="O2645" s="265"/>
      <c r="P2645" s="265"/>
      <c r="Q2645" s="265"/>
      <c r="BR2645" s="265"/>
      <c r="BS2645" s="265"/>
      <c r="BT2645" s="265"/>
      <c r="BU2645" s="265"/>
      <c r="BV2645" s="265"/>
    </row>
    <row r="2646" spans="12:74">
      <c r="L2646" s="265"/>
      <c r="M2646" s="265"/>
      <c r="N2646" s="265"/>
      <c r="O2646" s="265"/>
      <c r="P2646" s="265"/>
      <c r="Q2646" s="265"/>
      <c r="BR2646" s="265"/>
      <c r="BS2646" s="265"/>
      <c r="BT2646" s="265"/>
      <c r="BU2646" s="265"/>
      <c r="BV2646" s="265"/>
    </row>
    <row r="2647" spans="12:74">
      <c r="L2647" s="265"/>
      <c r="M2647" s="265"/>
      <c r="N2647" s="265"/>
      <c r="O2647" s="265"/>
      <c r="P2647" s="265"/>
      <c r="Q2647" s="265"/>
      <c r="BR2647" s="265"/>
      <c r="BS2647" s="265"/>
      <c r="BT2647" s="265"/>
      <c r="BU2647" s="265"/>
      <c r="BV2647" s="265"/>
    </row>
    <row r="2648" spans="12:74">
      <c r="L2648" s="265"/>
      <c r="M2648" s="265"/>
      <c r="N2648" s="265"/>
      <c r="O2648" s="265"/>
      <c r="P2648" s="265"/>
      <c r="Q2648" s="265"/>
      <c r="BR2648" s="265"/>
      <c r="BS2648" s="265"/>
      <c r="BT2648" s="265"/>
      <c r="BU2648" s="265"/>
      <c r="BV2648" s="265"/>
    </row>
    <row r="2649" spans="12:74">
      <c r="L2649" s="265"/>
      <c r="M2649" s="265"/>
      <c r="N2649" s="265"/>
      <c r="O2649" s="265"/>
      <c r="P2649" s="265"/>
      <c r="Q2649" s="265"/>
      <c r="BR2649" s="265"/>
      <c r="BS2649" s="265"/>
      <c r="BT2649" s="265"/>
      <c r="BU2649" s="265"/>
      <c r="BV2649" s="265"/>
    </row>
    <row r="2650" spans="12:74">
      <c r="L2650" s="265"/>
      <c r="M2650" s="265"/>
      <c r="N2650" s="265"/>
      <c r="O2650" s="265"/>
      <c r="P2650" s="265"/>
      <c r="Q2650" s="265"/>
      <c r="BR2650" s="265"/>
      <c r="BS2650" s="265"/>
      <c r="BT2650" s="265"/>
      <c r="BU2650" s="265"/>
      <c r="BV2650" s="265"/>
    </row>
    <row r="2651" spans="12:74">
      <c r="L2651" s="265"/>
      <c r="M2651" s="265"/>
      <c r="N2651" s="265"/>
      <c r="O2651" s="265"/>
      <c r="P2651" s="265"/>
      <c r="Q2651" s="265"/>
      <c r="BR2651" s="265"/>
      <c r="BS2651" s="265"/>
      <c r="BT2651" s="265"/>
      <c r="BU2651" s="265"/>
      <c r="BV2651" s="265"/>
    </row>
    <row r="2652" spans="12:74">
      <c r="L2652" s="265"/>
      <c r="M2652" s="265"/>
      <c r="N2652" s="265"/>
      <c r="O2652" s="265"/>
      <c r="P2652" s="265"/>
      <c r="Q2652" s="265"/>
      <c r="BR2652" s="265"/>
      <c r="BS2652" s="265"/>
      <c r="BT2652" s="265"/>
      <c r="BU2652" s="265"/>
      <c r="BV2652" s="265"/>
    </row>
    <row r="2653" spans="12:74">
      <c r="L2653" s="265"/>
      <c r="M2653" s="265"/>
      <c r="N2653" s="265"/>
      <c r="O2653" s="265"/>
      <c r="P2653" s="265"/>
      <c r="Q2653" s="265"/>
      <c r="BR2653" s="265"/>
      <c r="BS2653" s="265"/>
      <c r="BT2653" s="265"/>
      <c r="BU2653" s="265"/>
      <c r="BV2653" s="265"/>
    </row>
    <row r="2654" spans="12:74">
      <c r="L2654" s="265"/>
      <c r="M2654" s="265"/>
      <c r="N2654" s="265"/>
      <c r="O2654" s="265"/>
      <c r="P2654" s="265"/>
      <c r="Q2654" s="265"/>
      <c r="BR2654" s="265"/>
      <c r="BS2654" s="265"/>
      <c r="BT2654" s="265"/>
      <c r="BU2654" s="265"/>
      <c r="BV2654" s="265"/>
    </row>
    <row r="2655" spans="12:74">
      <c r="L2655" s="265"/>
      <c r="M2655" s="265"/>
      <c r="N2655" s="265"/>
      <c r="O2655" s="265"/>
      <c r="P2655" s="265"/>
      <c r="Q2655" s="265"/>
      <c r="BR2655" s="265"/>
      <c r="BS2655" s="265"/>
      <c r="BT2655" s="265"/>
      <c r="BU2655" s="265"/>
      <c r="BV2655" s="265"/>
    </row>
    <row r="2656" spans="12:74">
      <c r="L2656" s="265"/>
      <c r="M2656" s="265"/>
      <c r="N2656" s="265"/>
      <c r="O2656" s="265"/>
      <c r="P2656" s="265"/>
      <c r="Q2656" s="265"/>
      <c r="BR2656" s="265"/>
      <c r="BS2656" s="265"/>
      <c r="BT2656" s="265"/>
      <c r="BU2656" s="265"/>
      <c r="BV2656" s="265"/>
    </row>
    <row r="2657" spans="12:74">
      <c r="L2657" s="265"/>
      <c r="M2657" s="265"/>
      <c r="N2657" s="265"/>
      <c r="O2657" s="265"/>
      <c r="P2657" s="265"/>
      <c r="Q2657" s="265"/>
      <c r="BR2657" s="265"/>
      <c r="BS2657" s="265"/>
      <c r="BT2657" s="265"/>
      <c r="BU2657" s="265"/>
      <c r="BV2657" s="265"/>
    </row>
    <row r="2658" spans="12:74">
      <c r="L2658" s="265"/>
      <c r="M2658" s="265"/>
      <c r="N2658" s="265"/>
      <c r="O2658" s="265"/>
      <c r="P2658" s="265"/>
      <c r="Q2658" s="265"/>
      <c r="BR2658" s="265"/>
      <c r="BS2658" s="265"/>
      <c r="BT2658" s="265"/>
      <c r="BU2658" s="265"/>
      <c r="BV2658" s="265"/>
    </row>
    <row r="2659" spans="12:74">
      <c r="L2659" s="265"/>
      <c r="M2659" s="265"/>
      <c r="N2659" s="265"/>
      <c r="O2659" s="265"/>
      <c r="P2659" s="265"/>
      <c r="Q2659" s="265"/>
      <c r="BR2659" s="265"/>
      <c r="BS2659" s="265"/>
      <c r="BT2659" s="265"/>
      <c r="BU2659" s="265"/>
      <c r="BV2659" s="265"/>
    </row>
    <row r="2660" spans="12:74">
      <c r="L2660" s="265"/>
      <c r="M2660" s="265"/>
      <c r="N2660" s="265"/>
      <c r="O2660" s="265"/>
      <c r="P2660" s="265"/>
      <c r="Q2660" s="265"/>
      <c r="BR2660" s="265"/>
      <c r="BS2660" s="265"/>
      <c r="BT2660" s="265"/>
      <c r="BU2660" s="265"/>
      <c r="BV2660" s="265"/>
    </row>
    <row r="2661" spans="12:74">
      <c r="L2661" s="265"/>
      <c r="M2661" s="265"/>
      <c r="N2661" s="265"/>
      <c r="O2661" s="265"/>
      <c r="P2661" s="265"/>
      <c r="Q2661" s="265"/>
      <c r="BR2661" s="265"/>
      <c r="BS2661" s="265"/>
      <c r="BT2661" s="265"/>
      <c r="BU2661" s="265"/>
      <c r="BV2661" s="265"/>
    </row>
    <row r="2662" spans="12:74">
      <c r="L2662" s="265"/>
      <c r="M2662" s="265"/>
      <c r="N2662" s="265"/>
      <c r="O2662" s="265"/>
      <c r="P2662" s="265"/>
      <c r="Q2662" s="265"/>
      <c r="BR2662" s="265"/>
      <c r="BS2662" s="265"/>
      <c r="BT2662" s="265"/>
      <c r="BU2662" s="265"/>
      <c r="BV2662" s="265"/>
    </row>
    <row r="2663" spans="12:74">
      <c r="L2663" s="265"/>
      <c r="M2663" s="265"/>
      <c r="N2663" s="265"/>
      <c r="O2663" s="265"/>
      <c r="P2663" s="265"/>
      <c r="Q2663" s="265"/>
      <c r="BR2663" s="265"/>
      <c r="BS2663" s="265"/>
      <c r="BT2663" s="265"/>
      <c r="BU2663" s="265"/>
      <c r="BV2663" s="265"/>
    </row>
    <row r="2664" spans="12:74">
      <c r="L2664" s="265"/>
      <c r="M2664" s="265"/>
      <c r="N2664" s="265"/>
      <c r="O2664" s="265"/>
      <c r="P2664" s="265"/>
      <c r="Q2664" s="265"/>
      <c r="BR2664" s="265"/>
      <c r="BS2664" s="265"/>
      <c r="BT2664" s="265"/>
      <c r="BU2664" s="265"/>
      <c r="BV2664" s="265"/>
    </row>
    <row r="2665" spans="12:74">
      <c r="L2665" s="265"/>
      <c r="M2665" s="265"/>
      <c r="N2665" s="265"/>
      <c r="O2665" s="265"/>
      <c r="P2665" s="265"/>
      <c r="Q2665" s="265"/>
      <c r="BR2665" s="265"/>
      <c r="BS2665" s="265"/>
      <c r="BT2665" s="265"/>
      <c r="BU2665" s="265"/>
      <c r="BV2665" s="265"/>
    </row>
    <row r="2666" spans="12:74">
      <c r="L2666" s="265"/>
      <c r="M2666" s="265"/>
      <c r="N2666" s="265"/>
      <c r="O2666" s="265"/>
      <c r="P2666" s="265"/>
      <c r="Q2666" s="265"/>
      <c r="BR2666" s="265"/>
      <c r="BS2666" s="265"/>
      <c r="BT2666" s="265"/>
      <c r="BU2666" s="265"/>
      <c r="BV2666" s="265"/>
    </row>
    <row r="2667" spans="12:74">
      <c r="L2667" s="265"/>
      <c r="M2667" s="265"/>
      <c r="N2667" s="265"/>
      <c r="O2667" s="265"/>
      <c r="P2667" s="265"/>
      <c r="Q2667" s="265"/>
      <c r="BR2667" s="265"/>
      <c r="BS2667" s="265"/>
      <c r="BT2667" s="265"/>
      <c r="BU2667" s="265"/>
      <c r="BV2667" s="265"/>
    </row>
    <row r="2668" spans="12:74">
      <c r="L2668" s="265"/>
      <c r="M2668" s="265"/>
      <c r="N2668" s="265"/>
      <c r="O2668" s="265"/>
      <c r="P2668" s="265"/>
      <c r="Q2668" s="265"/>
      <c r="BR2668" s="265"/>
      <c r="BS2668" s="265"/>
      <c r="BT2668" s="265"/>
      <c r="BU2668" s="265"/>
      <c r="BV2668" s="265"/>
    </row>
    <row r="2669" spans="12:74">
      <c r="L2669" s="265"/>
      <c r="M2669" s="265"/>
      <c r="N2669" s="265"/>
      <c r="O2669" s="265"/>
      <c r="P2669" s="265"/>
      <c r="Q2669" s="265"/>
      <c r="BR2669" s="265"/>
      <c r="BS2669" s="265"/>
      <c r="BT2669" s="265"/>
      <c r="BU2669" s="265"/>
      <c r="BV2669" s="265"/>
    </row>
    <row r="2670" spans="12:74">
      <c r="L2670" s="265"/>
      <c r="M2670" s="265"/>
      <c r="N2670" s="265"/>
      <c r="O2670" s="265"/>
      <c r="P2670" s="265"/>
      <c r="Q2670" s="265"/>
      <c r="BR2670" s="265"/>
      <c r="BS2670" s="265"/>
      <c r="BT2670" s="265"/>
      <c r="BU2670" s="265"/>
      <c r="BV2670" s="265"/>
    </row>
    <row r="2671" spans="12:74">
      <c r="L2671" s="265"/>
      <c r="M2671" s="265"/>
      <c r="N2671" s="265"/>
      <c r="O2671" s="265"/>
      <c r="P2671" s="265"/>
      <c r="Q2671" s="265"/>
      <c r="BR2671" s="265"/>
      <c r="BS2671" s="265"/>
      <c r="BT2671" s="265"/>
      <c r="BU2671" s="265"/>
      <c r="BV2671" s="265"/>
    </row>
    <row r="2672" spans="12:74">
      <c r="L2672" s="265"/>
      <c r="M2672" s="265"/>
      <c r="N2672" s="265"/>
      <c r="O2672" s="265"/>
      <c r="P2672" s="265"/>
      <c r="Q2672" s="265"/>
      <c r="BR2672" s="265"/>
      <c r="BS2672" s="265"/>
      <c r="BT2672" s="265"/>
      <c r="BU2672" s="265"/>
      <c r="BV2672" s="265"/>
    </row>
    <row r="2673" spans="12:74">
      <c r="L2673" s="265"/>
      <c r="M2673" s="265"/>
      <c r="N2673" s="265"/>
      <c r="O2673" s="265"/>
      <c r="P2673" s="265"/>
      <c r="Q2673" s="265"/>
      <c r="BR2673" s="265"/>
      <c r="BS2673" s="265"/>
      <c r="BT2673" s="265"/>
      <c r="BU2673" s="265"/>
      <c r="BV2673" s="265"/>
    </row>
    <row r="2674" spans="12:74">
      <c r="L2674" s="265"/>
      <c r="M2674" s="265"/>
      <c r="N2674" s="265"/>
      <c r="O2674" s="265"/>
      <c r="P2674" s="265"/>
      <c r="Q2674" s="265"/>
      <c r="BR2674" s="265"/>
      <c r="BS2674" s="265"/>
      <c r="BT2674" s="265"/>
      <c r="BU2674" s="265"/>
      <c r="BV2674" s="265"/>
    </row>
    <row r="2675" spans="12:74">
      <c r="L2675" s="265"/>
      <c r="M2675" s="265"/>
      <c r="N2675" s="265"/>
      <c r="O2675" s="265"/>
      <c r="P2675" s="265"/>
      <c r="Q2675" s="265"/>
      <c r="BR2675" s="265"/>
      <c r="BS2675" s="265"/>
      <c r="BT2675" s="265"/>
      <c r="BU2675" s="265"/>
      <c r="BV2675" s="265"/>
    </row>
    <row r="2676" spans="12:74">
      <c r="L2676" s="265"/>
      <c r="M2676" s="265"/>
      <c r="N2676" s="265"/>
      <c r="O2676" s="265"/>
      <c r="P2676" s="265"/>
      <c r="Q2676" s="265"/>
      <c r="BR2676" s="265"/>
      <c r="BS2676" s="265"/>
      <c r="BT2676" s="265"/>
      <c r="BU2676" s="265"/>
      <c r="BV2676" s="265"/>
    </row>
    <row r="2677" spans="12:74">
      <c r="L2677" s="265"/>
      <c r="M2677" s="265"/>
      <c r="N2677" s="265"/>
      <c r="O2677" s="265"/>
      <c r="P2677" s="265"/>
      <c r="Q2677" s="265"/>
      <c r="BR2677" s="265"/>
      <c r="BS2677" s="265"/>
      <c r="BT2677" s="265"/>
      <c r="BU2677" s="265"/>
      <c r="BV2677" s="265"/>
    </row>
    <row r="2678" spans="12:74">
      <c r="L2678" s="265"/>
      <c r="M2678" s="265"/>
      <c r="N2678" s="265"/>
      <c r="O2678" s="265"/>
      <c r="P2678" s="265"/>
      <c r="Q2678" s="265"/>
      <c r="BR2678" s="265"/>
      <c r="BS2678" s="265"/>
      <c r="BT2678" s="265"/>
      <c r="BU2678" s="265"/>
      <c r="BV2678" s="265"/>
    </row>
    <row r="2679" spans="12:74">
      <c r="L2679" s="265"/>
      <c r="M2679" s="265"/>
      <c r="N2679" s="265"/>
      <c r="O2679" s="265"/>
      <c r="P2679" s="265"/>
      <c r="Q2679" s="265"/>
      <c r="BR2679" s="265"/>
      <c r="BS2679" s="265"/>
      <c r="BT2679" s="265"/>
      <c r="BU2679" s="265"/>
      <c r="BV2679" s="265"/>
    </row>
    <row r="2680" spans="12:74">
      <c r="L2680" s="265"/>
      <c r="M2680" s="265"/>
      <c r="N2680" s="265"/>
      <c r="O2680" s="265"/>
      <c r="P2680" s="265"/>
      <c r="Q2680" s="265"/>
      <c r="BR2680" s="265"/>
      <c r="BS2680" s="265"/>
      <c r="BT2680" s="265"/>
      <c r="BU2680" s="265"/>
      <c r="BV2680" s="265"/>
    </row>
    <row r="2681" spans="12:74">
      <c r="L2681" s="265"/>
      <c r="M2681" s="265"/>
      <c r="N2681" s="265"/>
      <c r="O2681" s="265"/>
      <c r="P2681" s="265"/>
      <c r="Q2681" s="265"/>
      <c r="BR2681" s="265"/>
      <c r="BS2681" s="265"/>
      <c r="BT2681" s="265"/>
      <c r="BU2681" s="265"/>
      <c r="BV2681" s="265"/>
    </row>
    <row r="2682" spans="12:74">
      <c r="L2682" s="265"/>
      <c r="M2682" s="265"/>
      <c r="N2682" s="265"/>
      <c r="O2682" s="265"/>
      <c r="P2682" s="265"/>
      <c r="Q2682" s="265"/>
      <c r="BR2682" s="265"/>
      <c r="BS2682" s="265"/>
      <c r="BT2682" s="265"/>
      <c r="BU2682" s="265"/>
      <c r="BV2682" s="265"/>
    </row>
    <row r="2683" spans="12:74">
      <c r="L2683" s="265"/>
      <c r="M2683" s="265"/>
      <c r="N2683" s="265"/>
      <c r="O2683" s="265"/>
      <c r="P2683" s="265"/>
      <c r="Q2683" s="265"/>
      <c r="BR2683" s="265"/>
      <c r="BS2683" s="265"/>
      <c r="BT2683" s="265"/>
      <c r="BU2683" s="265"/>
      <c r="BV2683" s="265"/>
    </row>
    <row r="2684" spans="12:74">
      <c r="L2684" s="265"/>
      <c r="M2684" s="265"/>
      <c r="N2684" s="265"/>
      <c r="O2684" s="265"/>
      <c r="P2684" s="265"/>
      <c r="Q2684" s="265"/>
      <c r="BR2684" s="265"/>
      <c r="BS2684" s="265"/>
      <c r="BT2684" s="265"/>
      <c r="BU2684" s="265"/>
      <c r="BV2684" s="265"/>
    </row>
    <row r="2685" spans="12:74">
      <c r="L2685" s="265"/>
      <c r="M2685" s="265"/>
      <c r="N2685" s="265"/>
      <c r="O2685" s="265"/>
      <c r="P2685" s="265"/>
      <c r="Q2685" s="265"/>
      <c r="BR2685" s="265"/>
      <c r="BS2685" s="265"/>
      <c r="BT2685" s="265"/>
      <c r="BU2685" s="265"/>
      <c r="BV2685" s="265"/>
    </row>
    <row r="2686" spans="12:74">
      <c r="L2686" s="265"/>
      <c r="M2686" s="265"/>
      <c r="N2686" s="265"/>
      <c r="O2686" s="265"/>
      <c r="P2686" s="265"/>
      <c r="Q2686" s="265"/>
      <c r="BR2686" s="265"/>
      <c r="BS2686" s="265"/>
      <c r="BT2686" s="265"/>
      <c r="BU2686" s="265"/>
      <c r="BV2686" s="265"/>
    </row>
    <row r="2687" spans="12:74">
      <c r="L2687" s="265"/>
      <c r="M2687" s="265"/>
      <c r="N2687" s="265"/>
      <c r="O2687" s="265"/>
      <c r="P2687" s="265"/>
      <c r="Q2687" s="265"/>
      <c r="BR2687" s="265"/>
      <c r="BS2687" s="265"/>
      <c r="BT2687" s="265"/>
      <c r="BU2687" s="265"/>
      <c r="BV2687" s="265"/>
    </row>
    <row r="2688" spans="12:74">
      <c r="L2688" s="265"/>
      <c r="M2688" s="265"/>
      <c r="N2688" s="265"/>
      <c r="O2688" s="265"/>
      <c r="P2688" s="265"/>
      <c r="Q2688" s="265"/>
      <c r="BR2688" s="265"/>
      <c r="BS2688" s="265"/>
      <c r="BT2688" s="265"/>
      <c r="BU2688" s="265"/>
      <c r="BV2688" s="265"/>
    </row>
    <row r="2689" spans="12:74">
      <c r="L2689" s="265"/>
      <c r="M2689" s="265"/>
      <c r="N2689" s="265"/>
      <c r="O2689" s="265"/>
      <c r="P2689" s="265"/>
      <c r="Q2689" s="265"/>
      <c r="BR2689" s="265"/>
      <c r="BS2689" s="265"/>
      <c r="BT2689" s="265"/>
      <c r="BU2689" s="265"/>
      <c r="BV2689" s="265"/>
    </row>
    <row r="2690" spans="12:74">
      <c r="L2690" s="265"/>
      <c r="M2690" s="265"/>
      <c r="N2690" s="265"/>
      <c r="O2690" s="265"/>
      <c r="P2690" s="265"/>
      <c r="Q2690" s="265"/>
      <c r="BR2690" s="265"/>
      <c r="BS2690" s="265"/>
      <c r="BT2690" s="265"/>
      <c r="BU2690" s="265"/>
      <c r="BV2690" s="265"/>
    </row>
    <row r="2691" spans="12:74">
      <c r="L2691" s="265"/>
      <c r="M2691" s="265"/>
      <c r="N2691" s="265"/>
      <c r="O2691" s="265"/>
      <c r="P2691" s="265"/>
      <c r="Q2691" s="265"/>
      <c r="BR2691" s="265"/>
      <c r="BS2691" s="265"/>
      <c r="BT2691" s="265"/>
      <c r="BU2691" s="265"/>
      <c r="BV2691" s="265"/>
    </row>
    <row r="2692" spans="12:74">
      <c r="L2692" s="265"/>
      <c r="M2692" s="265"/>
      <c r="N2692" s="265"/>
      <c r="O2692" s="265"/>
      <c r="P2692" s="265"/>
      <c r="Q2692" s="265"/>
      <c r="BR2692" s="265"/>
      <c r="BS2692" s="265"/>
      <c r="BT2692" s="265"/>
      <c r="BU2692" s="265"/>
      <c r="BV2692" s="265"/>
    </row>
    <row r="2693" spans="12:74">
      <c r="L2693" s="265"/>
      <c r="M2693" s="265"/>
      <c r="N2693" s="265"/>
      <c r="O2693" s="265"/>
      <c r="P2693" s="265"/>
      <c r="Q2693" s="265"/>
      <c r="BR2693" s="265"/>
      <c r="BS2693" s="265"/>
      <c r="BT2693" s="265"/>
      <c r="BU2693" s="265"/>
      <c r="BV2693" s="265"/>
    </row>
    <row r="2694" spans="12:74">
      <c r="L2694" s="265"/>
      <c r="M2694" s="265"/>
      <c r="N2694" s="265"/>
      <c r="O2694" s="265"/>
      <c r="P2694" s="265"/>
      <c r="Q2694" s="265"/>
      <c r="BR2694" s="265"/>
      <c r="BS2694" s="265"/>
      <c r="BT2694" s="265"/>
      <c r="BU2694" s="265"/>
      <c r="BV2694" s="265"/>
    </row>
    <row r="2695" spans="12:74">
      <c r="L2695" s="265"/>
      <c r="M2695" s="265"/>
      <c r="N2695" s="265"/>
      <c r="O2695" s="265"/>
      <c r="P2695" s="265"/>
      <c r="Q2695" s="265"/>
      <c r="BR2695" s="265"/>
      <c r="BS2695" s="265"/>
      <c r="BT2695" s="265"/>
      <c r="BU2695" s="265"/>
      <c r="BV2695" s="265"/>
    </row>
    <row r="2696" spans="12:74">
      <c r="L2696" s="265"/>
      <c r="M2696" s="265"/>
      <c r="N2696" s="265"/>
      <c r="O2696" s="265"/>
      <c r="P2696" s="265"/>
      <c r="Q2696" s="265"/>
      <c r="BR2696" s="265"/>
      <c r="BS2696" s="265"/>
      <c r="BT2696" s="265"/>
      <c r="BU2696" s="265"/>
      <c r="BV2696" s="265"/>
    </row>
    <row r="2697" spans="12:74">
      <c r="L2697" s="265"/>
      <c r="M2697" s="265"/>
      <c r="N2697" s="265"/>
      <c r="O2697" s="265"/>
      <c r="P2697" s="265"/>
      <c r="Q2697" s="265"/>
      <c r="BR2697" s="265"/>
      <c r="BS2697" s="265"/>
      <c r="BT2697" s="265"/>
      <c r="BU2697" s="265"/>
      <c r="BV2697" s="265"/>
    </row>
    <row r="2698" spans="12:74">
      <c r="L2698" s="265"/>
      <c r="M2698" s="265"/>
      <c r="N2698" s="265"/>
      <c r="O2698" s="265"/>
      <c r="P2698" s="265"/>
      <c r="Q2698" s="265"/>
      <c r="BR2698" s="265"/>
      <c r="BS2698" s="265"/>
      <c r="BT2698" s="265"/>
      <c r="BU2698" s="265"/>
      <c r="BV2698" s="265"/>
    </row>
    <row r="2699" spans="12:74">
      <c r="L2699" s="265"/>
      <c r="M2699" s="265"/>
      <c r="N2699" s="265"/>
      <c r="O2699" s="265"/>
      <c r="P2699" s="265"/>
      <c r="Q2699" s="265"/>
      <c r="BR2699" s="265"/>
      <c r="BS2699" s="265"/>
      <c r="BT2699" s="265"/>
      <c r="BU2699" s="265"/>
      <c r="BV2699" s="265"/>
    </row>
    <row r="2700" spans="12:74">
      <c r="L2700" s="265"/>
      <c r="M2700" s="265"/>
      <c r="N2700" s="265"/>
      <c r="O2700" s="265"/>
      <c r="P2700" s="265"/>
      <c r="Q2700" s="265"/>
      <c r="BR2700" s="265"/>
      <c r="BS2700" s="265"/>
      <c r="BT2700" s="265"/>
      <c r="BU2700" s="265"/>
      <c r="BV2700" s="265"/>
    </row>
    <row r="2701" spans="12:74">
      <c r="L2701" s="265"/>
      <c r="M2701" s="265"/>
      <c r="N2701" s="265"/>
      <c r="O2701" s="265"/>
      <c r="P2701" s="265"/>
      <c r="Q2701" s="265"/>
      <c r="BR2701" s="265"/>
      <c r="BS2701" s="265"/>
      <c r="BT2701" s="265"/>
      <c r="BU2701" s="265"/>
      <c r="BV2701" s="265"/>
    </row>
    <row r="2702" spans="12:74">
      <c r="L2702" s="265"/>
      <c r="M2702" s="265"/>
      <c r="N2702" s="265"/>
      <c r="O2702" s="265"/>
      <c r="P2702" s="265"/>
      <c r="Q2702" s="265"/>
      <c r="BR2702" s="265"/>
      <c r="BS2702" s="265"/>
      <c r="BT2702" s="265"/>
      <c r="BU2702" s="265"/>
      <c r="BV2702" s="265"/>
    </row>
    <row r="2703" spans="12:74">
      <c r="L2703" s="265"/>
      <c r="M2703" s="265"/>
      <c r="N2703" s="265"/>
      <c r="O2703" s="265"/>
      <c r="P2703" s="265"/>
      <c r="Q2703" s="265"/>
      <c r="BR2703" s="265"/>
      <c r="BS2703" s="265"/>
      <c r="BT2703" s="265"/>
      <c r="BU2703" s="265"/>
      <c r="BV2703" s="265"/>
    </row>
    <row r="2704" spans="12:74">
      <c r="L2704" s="265"/>
      <c r="M2704" s="265"/>
      <c r="N2704" s="265"/>
      <c r="O2704" s="265"/>
      <c r="P2704" s="265"/>
      <c r="Q2704" s="265"/>
      <c r="BR2704" s="265"/>
      <c r="BS2704" s="265"/>
      <c r="BT2704" s="265"/>
      <c r="BU2704" s="265"/>
      <c r="BV2704" s="265"/>
    </row>
    <row r="2705" spans="12:74">
      <c r="L2705" s="265"/>
      <c r="M2705" s="265"/>
      <c r="N2705" s="265"/>
      <c r="O2705" s="265"/>
      <c r="P2705" s="265"/>
      <c r="Q2705" s="265"/>
      <c r="BR2705" s="265"/>
      <c r="BS2705" s="265"/>
      <c r="BT2705" s="265"/>
      <c r="BU2705" s="265"/>
      <c r="BV2705" s="265"/>
    </row>
    <row r="2706" spans="12:74">
      <c r="L2706" s="265"/>
      <c r="M2706" s="265"/>
      <c r="N2706" s="265"/>
      <c r="O2706" s="265"/>
      <c r="P2706" s="265"/>
      <c r="Q2706" s="265"/>
      <c r="BR2706" s="265"/>
      <c r="BS2706" s="265"/>
      <c r="BT2706" s="265"/>
      <c r="BU2706" s="265"/>
      <c r="BV2706" s="265"/>
    </row>
    <row r="2707" spans="12:74">
      <c r="L2707" s="265"/>
      <c r="M2707" s="265"/>
      <c r="N2707" s="265"/>
      <c r="O2707" s="265"/>
      <c r="P2707" s="265"/>
      <c r="Q2707" s="265"/>
      <c r="BR2707" s="265"/>
      <c r="BS2707" s="265"/>
      <c r="BT2707" s="265"/>
      <c r="BU2707" s="265"/>
      <c r="BV2707" s="265"/>
    </row>
    <row r="2708" spans="12:74">
      <c r="L2708" s="265"/>
      <c r="M2708" s="265"/>
      <c r="N2708" s="265"/>
      <c r="O2708" s="265"/>
      <c r="P2708" s="265"/>
      <c r="Q2708" s="265"/>
      <c r="BR2708" s="265"/>
      <c r="BS2708" s="265"/>
      <c r="BT2708" s="265"/>
      <c r="BU2708" s="265"/>
      <c r="BV2708" s="265"/>
    </row>
    <row r="2709" spans="12:74">
      <c r="L2709" s="265"/>
      <c r="M2709" s="265"/>
      <c r="N2709" s="265"/>
      <c r="O2709" s="265"/>
      <c r="P2709" s="265"/>
      <c r="Q2709" s="265"/>
      <c r="BR2709" s="265"/>
      <c r="BS2709" s="265"/>
      <c r="BT2709" s="265"/>
      <c r="BU2709" s="265"/>
      <c r="BV2709" s="265"/>
    </row>
    <row r="2710" spans="12:74">
      <c r="L2710" s="265"/>
      <c r="M2710" s="265"/>
      <c r="N2710" s="265"/>
      <c r="O2710" s="265"/>
      <c r="P2710" s="265"/>
      <c r="Q2710" s="265"/>
      <c r="BR2710" s="265"/>
      <c r="BS2710" s="265"/>
      <c r="BT2710" s="265"/>
      <c r="BU2710" s="265"/>
      <c r="BV2710" s="265"/>
    </row>
    <row r="2711" spans="12:74">
      <c r="L2711" s="265"/>
      <c r="M2711" s="265"/>
      <c r="N2711" s="265"/>
      <c r="O2711" s="265"/>
      <c r="P2711" s="265"/>
      <c r="Q2711" s="265"/>
      <c r="BR2711" s="265"/>
      <c r="BS2711" s="265"/>
      <c r="BT2711" s="265"/>
      <c r="BU2711" s="265"/>
      <c r="BV2711" s="265"/>
    </row>
    <row r="2712" spans="12:74">
      <c r="L2712" s="265"/>
      <c r="M2712" s="265"/>
      <c r="N2712" s="265"/>
      <c r="O2712" s="265"/>
      <c r="P2712" s="265"/>
      <c r="Q2712" s="265"/>
      <c r="BR2712" s="265"/>
      <c r="BS2712" s="265"/>
      <c r="BT2712" s="265"/>
      <c r="BU2712" s="265"/>
      <c r="BV2712" s="265"/>
    </row>
    <row r="2713" spans="12:74">
      <c r="L2713" s="265"/>
      <c r="M2713" s="265"/>
      <c r="N2713" s="265"/>
      <c r="O2713" s="265"/>
      <c r="P2713" s="265"/>
      <c r="Q2713" s="265"/>
      <c r="BR2713" s="265"/>
      <c r="BS2713" s="265"/>
      <c r="BT2713" s="265"/>
      <c r="BU2713" s="265"/>
      <c r="BV2713" s="265"/>
    </row>
    <row r="2714" spans="12:74">
      <c r="L2714" s="265"/>
      <c r="M2714" s="265"/>
      <c r="N2714" s="265"/>
      <c r="O2714" s="265"/>
      <c r="P2714" s="265"/>
      <c r="Q2714" s="265"/>
      <c r="BR2714" s="265"/>
      <c r="BS2714" s="265"/>
      <c r="BT2714" s="265"/>
      <c r="BU2714" s="265"/>
      <c r="BV2714" s="265"/>
    </row>
    <row r="2715" spans="12:74">
      <c r="L2715" s="265"/>
      <c r="M2715" s="265"/>
      <c r="N2715" s="265"/>
      <c r="O2715" s="265"/>
      <c r="P2715" s="265"/>
      <c r="Q2715" s="265"/>
      <c r="BR2715" s="265"/>
      <c r="BS2715" s="265"/>
      <c r="BT2715" s="265"/>
      <c r="BU2715" s="265"/>
      <c r="BV2715" s="265"/>
    </row>
    <row r="2716" spans="12:74">
      <c r="L2716" s="265"/>
      <c r="M2716" s="265"/>
      <c r="N2716" s="265"/>
      <c r="O2716" s="265"/>
      <c r="P2716" s="265"/>
      <c r="Q2716" s="265"/>
      <c r="BR2716" s="265"/>
      <c r="BS2716" s="265"/>
      <c r="BT2716" s="265"/>
      <c r="BU2716" s="265"/>
      <c r="BV2716" s="265"/>
    </row>
    <row r="2717" spans="12:74">
      <c r="L2717" s="265"/>
      <c r="M2717" s="265"/>
      <c r="N2717" s="265"/>
      <c r="O2717" s="265"/>
      <c r="P2717" s="265"/>
      <c r="Q2717" s="265"/>
      <c r="BR2717" s="265"/>
      <c r="BS2717" s="265"/>
      <c r="BT2717" s="265"/>
      <c r="BU2717" s="265"/>
      <c r="BV2717" s="265"/>
    </row>
    <row r="2718" spans="12:74">
      <c r="L2718" s="265"/>
      <c r="M2718" s="265"/>
      <c r="N2718" s="265"/>
      <c r="O2718" s="265"/>
      <c r="P2718" s="265"/>
      <c r="Q2718" s="265"/>
      <c r="BR2718" s="265"/>
      <c r="BS2718" s="265"/>
      <c r="BT2718" s="265"/>
      <c r="BU2718" s="265"/>
      <c r="BV2718" s="265"/>
    </row>
    <row r="2719" spans="12:74">
      <c r="L2719" s="265"/>
      <c r="M2719" s="265"/>
      <c r="N2719" s="265"/>
      <c r="O2719" s="265"/>
      <c r="P2719" s="265"/>
      <c r="Q2719" s="265"/>
      <c r="BR2719" s="265"/>
      <c r="BS2719" s="265"/>
      <c r="BT2719" s="265"/>
      <c r="BU2719" s="265"/>
      <c r="BV2719" s="265"/>
    </row>
    <row r="2720" spans="12:74">
      <c r="L2720" s="265"/>
      <c r="M2720" s="265"/>
      <c r="N2720" s="265"/>
      <c r="O2720" s="265"/>
      <c r="P2720" s="265"/>
      <c r="Q2720" s="265"/>
      <c r="BR2720" s="265"/>
      <c r="BS2720" s="265"/>
      <c r="BT2720" s="265"/>
      <c r="BU2720" s="265"/>
      <c r="BV2720" s="265"/>
    </row>
    <row r="2721" spans="12:74">
      <c r="L2721" s="265"/>
      <c r="M2721" s="265"/>
      <c r="N2721" s="265"/>
      <c r="O2721" s="265"/>
      <c r="P2721" s="265"/>
      <c r="Q2721" s="265"/>
      <c r="BR2721" s="265"/>
      <c r="BS2721" s="265"/>
      <c r="BT2721" s="265"/>
      <c r="BU2721" s="265"/>
      <c r="BV2721" s="265"/>
    </row>
    <row r="2722" spans="12:74">
      <c r="L2722" s="265"/>
      <c r="M2722" s="265"/>
      <c r="N2722" s="265"/>
      <c r="O2722" s="265"/>
      <c r="P2722" s="265"/>
      <c r="Q2722" s="265"/>
      <c r="BR2722" s="265"/>
      <c r="BS2722" s="265"/>
      <c r="BT2722" s="265"/>
      <c r="BU2722" s="265"/>
      <c r="BV2722" s="265"/>
    </row>
    <row r="2723" spans="12:74">
      <c r="L2723" s="265"/>
      <c r="M2723" s="265"/>
      <c r="N2723" s="265"/>
      <c r="O2723" s="265"/>
      <c r="P2723" s="265"/>
      <c r="Q2723" s="265"/>
      <c r="BR2723" s="265"/>
      <c r="BS2723" s="265"/>
      <c r="BT2723" s="265"/>
      <c r="BU2723" s="265"/>
      <c r="BV2723" s="265"/>
    </row>
    <row r="2724" spans="12:74">
      <c r="L2724" s="265"/>
      <c r="M2724" s="265"/>
      <c r="N2724" s="265"/>
      <c r="O2724" s="265"/>
      <c r="P2724" s="265"/>
      <c r="Q2724" s="265"/>
      <c r="BR2724" s="265"/>
      <c r="BS2724" s="265"/>
      <c r="BT2724" s="265"/>
      <c r="BU2724" s="265"/>
      <c r="BV2724" s="265"/>
    </row>
    <row r="2725" spans="12:74">
      <c r="L2725" s="265"/>
      <c r="M2725" s="265"/>
      <c r="N2725" s="265"/>
      <c r="O2725" s="265"/>
      <c r="P2725" s="265"/>
      <c r="Q2725" s="265"/>
      <c r="BR2725" s="265"/>
      <c r="BS2725" s="265"/>
      <c r="BT2725" s="265"/>
      <c r="BU2725" s="265"/>
      <c r="BV2725" s="265"/>
    </row>
    <row r="2726" spans="12:74">
      <c r="L2726" s="265"/>
      <c r="M2726" s="265"/>
      <c r="N2726" s="265"/>
      <c r="O2726" s="265"/>
      <c r="P2726" s="265"/>
      <c r="Q2726" s="265"/>
      <c r="BR2726" s="265"/>
      <c r="BS2726" s="265"/>
      <c r="BT2726" s="265"/>
      <c r="BU2726" s="265"/>
      <c r="BV2726" s="265"/>
    </row>
    <row r="2727" spans="12:74">
      <c r="L2727" s="265"/>
      <c r="M2727" s="265"/>
      <c r="N2727" s="265"/>
      <c r="O2727" s="265"/>
      <c r="P2727" s="265"/>
      <c r="Q2727" s="265"/>
      <c r="BR2727" s="265"/>
      <c r="BS2727" s="265"/>
      <c r="BT2727" s="265"/>
      <c r="BU2727" s="265"/>
      <c r="BV2727" s="265"/>
    </row>
    <row r="2728" spans="12:74">
      <c r="L2728" s="265"/>
      <c r="M2728" s="265"/>
      <c r="N2728" s="265"/>
      <c r="O2728" s="265"/>
      <c r="P2728" s="265"/>
      <c r="Q2728" s="265"/>
      <c r="BR2728" s="265"/>
      <c r="BS2728" s="265"/>
      <c r="BT2728" s="265"/>
      <c r="BU2728" s="265"/>
      <c r="BV2728" s="265"/>
    </row>
    <row r="2729" spans="12:74">
      <c r="L2729" s="265"/>
      <c r="M2729" s="265"/>
      <c r="N2729" s="265"/>
      <c r="O2729" s="265"/>
      <c r="P2729" s="265"/>
      <c r="Q2729" s="265"/>
      <c r="BR2729" s="265"/>
      <c r="BS2729" s="265"/>
      <c r="BT2729" s="265"/>
      <c r="BU2729" s="265"/>
      <c r="BV2729" s="265"/>
    </row>
    <row r="2730" spans="12:74">
      <c r="L2730" s="265"/>
      <c r="M2730" s="265"/>
      <c r="N2730" s="265"/>
      <c r="O2730" s="265"/>
      <c r="P2730" s="265"/>
      <c r="Q2730" s="265"/>
      <c r="BR2730" s="265"/>
      <c r="BS2730" s="265"/>
      <c r="BT2730" s="265"/>
      <c r="BU2730" s="265"/>
      <c r="BV2730" s="265"/>
    </row>
    <row r="2731" spans="12:74">
      <c r="L2731" s="265"/>
      <c r="M2731" s="265"/>
      <c r="N2731" s="265"/>
      <c r="O2731" s="265"/>
      <c r="P2731" s="265"/>
      <c r="Q2731" s="265"/>
      <c r="BR2731" s="265"/>
      <c r="BS2731" s="265"/>
      <c r="BT2731" s="265"/>
      <c r="BU2731" s="265"/>
      <c r="BV2731" s="265"/>
    </row>
    <row r="2732" spans="12:74">
      <c r="L2732" s="265"/>
      <c r="M2732" s="265"/>
      <c r="N2732" s="265"/>
      <c r="O2732" s="265"/>
      <c r="P2732" s="265"/>
      <c r="Q2732" s="265"/>
      <c r="BR2732" s="265"/>
      <c r="BS2732" s="265"/>
      <c r="BT2732" s="265"/>
      <c r="BU2732" s="265"/>
      <c r="BV2732" s="265"/>
    </row>
    <row r="2733" spans="12:74">
      <c r="L2733" s="265"/>
      <c r="M2733" s="265"/>
      <c r="N2733" s="265"/>
      <c r="O2733" s="265"/>
      <c r="P2733" s="265"/>
      <c r="Q2733" s="265"/>
      <c r="BR2733" s="265"/>
      <c r="BS2733" s="265"/>
      <c r="BT2733" s="265"/>
      <c r="BU2733" s="265"/>
      <c r="BV2733" s="265"/>
    </row>
    <row r="2734" spans="12:74">
      <c r="L2734" s="265"/>
      <c r="M2734" s="265"/>
      <c r="N2734" s="265"/>
      <c r="O2734" s="265"/>
      <c r="P2734" s="265"/>
      <c r="Q2734" s="265"/>
      <c r="BR2734" s="265"/>
      <c r="BS2734" s="265"/>
      <c r="BT2734" s="265"/>
      <c r="BU2734" s="265"/>
      <c r="BV2734" s="265"/>
    </row>
    <row r="2735" spans="12:74">
      <c r="L2735" s="265"/>
      <c r="M2735" s="265"/>
      <c r="N2735" s="265"/>
      <c r="O2735" s="265"/>
      <c r="P2735" s="265"/>
      <c r="Q2735" s="265"/>
      <c r="BR2735" s="265"/>
      <c r="BS2735" s="265"/>
      <c r="BT2735" s="265"/>
      <c r="BU2735" s="265"/>
      <c r="BV2735" s="265"/>
    </row>
    <row r="2736" spans="12:74">
      <c r="L2736" s="265"/>
      <c r="M2736" s="265"/>
      <c r="N2736" s="265"/>
      <c r="O2736" s="265"/>
      <c r="P2736" s="265"/>
      <c r="Q2736" s="265"/>
      <c r="BR2736" s="265"/>
      <c r="BS2736" s="265"/>
      <c r="BT2736" s="265"/>
      <c r="BU2736" s="265"/>
      <c r="BV2736" s="265"/>
    </row>
    <row r="2737" spans="12:74">
      <c r="L2737" s="265"/>
      <c r="M2737" s="265"/>
      <c r="N2737" s="265"/>
      <c r="O2737" s="265"/>
      <c r="P2737" s="265"/>
      <c r="Q2737" s="265"/>
      <c r="BR2737" s="265"/>
      <c r="BS2737" s="265"/>
      <c r="BT2737" s="265"/>
      <c r="BU2737" s="265"/>
      <c r="BV2737" s="265"/>
    </row>
    <row r="2738" spans="12:74">
      <c r="L2738" s="265"/>
      <c r="M2738" s="265"/>
      <c r="N2738" s="265"/>
      <c r="O2738" s="265"/>
      <c r="P2738" s="265"/>
      <c r="Q2738" s="265"/>
      <c r="BR2738" s="265"/>
      <c r="BS2738" s="265"/>
      <c r="BT2738" s="265"/>
      <c r="BU2738" s="265"/>
      <c r="BV2738" s="265"/>
    </row>
    <row r="2739" spans="12:74">
      <c r="L2739" s="265"/>
      <c r="M2739" s="265"/>
      <c r="N2739" s="265"/>
      <c r="O2739" s="265"/>
      <c r="P2739" s="265"/>
      <c r="Q2739" s="265"/>
      <c r="BR2739" s="265"/>
      <c r="BS2739" s="265"/>
      <c r="BT2739" s="265"/>
      <c r="BU2739" s="265"/>
      <c r="BV2739" s="265"/>
    </row>
    <row r="2740" spans="12:74">
      <c r="L2740" s="265"/>
      <c r="M2740" s="265"/>
      <c r="N2740" s="265"/>
      <c r="O2740" s="265"/>
      <c r="P2740" s="265"/>
      <c r="Q2740" s="265"/>
      <c r="BR2740" s="265"/>
      <c r="BS2740" s="265"/>
      <c r="BT2740" s="265"/>
      <c r="BU2740" s="265"/>
      <c r="BV2740" s="265"/>
    </row>
    <row r="2741" spans="12:74">
      <c r="L2741" s="265"/>
      <c r="M2741" s="265"/>
      <c r="N2741" s="265"/>
      <c r="O2741" s="265"/>
      <c r="P2741" s="265"/>
      <c r="Q2741" s="265"/>
      <c r="BR2741" s="265"/>
      <c r="BS2741" s="265"/>
      <c r="BT2741" s="265"/>
      <c r="BU2741" s="265"/>
      <c r="BV2741" s="265"/>
    </row>
    <row r="2742" spans="12:74">
      <c r="L2742" s="265"/>
      <c r="M2742" s="265"/>
      <c r="N2742" s="265"/>
      <c r="O2742" s="265"/>
      <c r="P2742" s="265"/>
      <c r="Q2742" s="265"/>
      <c r="BR2742" s="265"/>
      <c r="BS2742" s="265"/>
      <c r="BT2742" s="265"/>
      <c r="BU2742" s="265"/>
      <c r="BV2742" s="265"/>
    </row>
    <row r="2743" spans="12:74">
      <c r="L2743" s="265"/>
      <c r="M2743" s="265"/>
      <c r="N2743" s="265"/>
      <c r="O2743" s="265"/>
      <c r="P2743" s="265"/>
      <c r="Q2743" s="265"/>
      <c r="BR2743" s="265"/>
      <c r="BS2743" s="265"/>
      <c r="BT2743" s="265"/>
      <c r="BU2743" s="265"/>
      <c r="BV2743" s="265"/>
    </row>
    <row r="2744" spans="12:74">
      <c r="L2744" s="265"/>
      <c r="M2744" s="265"/>
      <c r="N2744" s="265"/>
      <c r="O2744" s="265"/>
      <c r="P2744" s="265"/>
      <c r="Q2744" s="265"/>
      <c r="BR2744" s="265"/>
      <c r="BS2744" s="265"/>
      <c r="BT2744" s="265"/>
      <c r="BU2744" s="265"/>
      <c r="BV2744" s="265"/>
    </row>
    <row r="2745" spans="12:74">
      <c r="L2745" s="265"/>
      <c r="M2745" s="265"/>
      <c r="N2745" s="265"/>
      <c r="O2745" s="265"/>
      <c r="P2745" s="265"/>
      <c r="Q2745" s="265"/>
      <c r="BR2745" s="265"/>
      <c r="BS2745" s="265"/>
      <c r="BT2745" s="265"/>
      <c r="BU2745" s="265"/>
      <c r="BV2745" s="265"/>
    </row>
    <row r="2746" spans="12:74">
      <c r="L2746" s="265"/>
      <c r="M2746" s="265"/>
      <c r="N2746" s="265"/>
      <c r="O2746" s="265"/>
      <c r="P2746" s="265"/>
      <c r="Q2746" s="265"/>
      <c r="BR2746" s="265"/>
      <c r="BS2746" s="265"/>
      <c r="BT2746" s="265"/>
      <c r="BU2746" s="265"/>
      <c r="BV2746" s="265"/>
    </row>
    <row r="2747" spans="12:74">
      <c r="L2747" s="265"/>
      <c r="M2747" s="265"/>
      <c r="N2747" s="265"/>
      <c r="O2747" s="265"/>
      <c r="P2747" s="265"/>
      <c r="Q2747" s="265"/>
      <c r="BR2747" s="265"/>
      <c r="BS2747" s="265"/>
      <c r="BT2747" s="265"/>
      <c r="BU2747" s="265"/>
      <c r="BV2747" s="265"/>
    </row>
    <row r="2748" spans="12:74">
      <c r="L2748" s="265"/>
      <c r="M2748" s="265"/>
      <c r="N2748" s="265"/>
      <c r="O2748" s="265"/>
      <c r="P2748" s="265"/>
      <c r="Q2748" s="265"/>
      <c r="BR2748" s="265"/>
      <c r="BS2748" s="265"/>
      <c r="BT2748" s="265"/>
      <c r="BU2748" s="265"/>
      <c r="BV2748" s="265"/>
    </row>
    <row r="2749" spans="12:74">
      <c r="L2749" s="265"/>
      <c r="M2749" s="265"/>
      <c r="N2749" s="265"/>
      <c r="O2749" s="265"/>
      <c r="P2749" s="265"/>
      <c r="Q2749" s="265"/>
      <c r="BR2749" s="265"/>
      <c r="BS2749" s="265"/>
      <c r="BT2749" s="265"/>
      <c r="BU2749" s="265"/>
      <c r="BV2749" s="265"/>
    </row>
    <row r="2750" spans="12:74">
      <c r="L2750" s="265"/>
      <c r="M2750" s="265"/>
      <c r="N2750" s="265"/>
      <c r="O2750" s="265"/>
      <c r="P2750" s="265"/>
      <c r="Q2750" s="265"/>
      <c r="BR2750" s="265"/>
      <c r="BS2750" s="265"/>
      <c r="BT2750" s="265"/>
      <c r="BU2750" s="265"/>
      <c r="BV2750" s="265"/>
    </row>
    <row r="2751" spans="12:74">
      <c r="L2751" s="265"/>
      <c r="M2751" s="265"/>
      <c r="N2751" s="265"/>
      <c r="O2751" s="265"/>
      <c r="P2751" s="265"/>
      <c r="Q2751" s="265"/>
      <c r="BR2751" s="265"/>
      <c r="BS2751" s="265"/>
      <c r="BT2751" s="265"/>
      <c r="BU2751" s="265"/>
      <c r="BV2751" s="265"/>
    </row>
    <row r="2752" spans="12:74">
      <c r="L2752" s="265"/>
      <c r="M2752" s="265"/>
      <c r="N2752" s="265"/>
      <c r="O2752" s="265"/>
      <c r="P2752" s="265"/>
      <c r="Q2752" s="265"/>
      <c r="BR2752" s="265"/>
      <c r="BS2752" s="265"/>
      <c r="BT2752" s="265"/>
      <c r="BU2752" s="265"/>
      <c r="BV2752" s="265"/>
    </row>
    <row r="2753" spans="12:74">
      <c r="L2753" s="265"/>
      <c r="M2753" s="265"/>
      <c r="N2753" s="265"/>
      <c r="O2753" s="265"/>
      <c r="P2753" s="265"/>
      <c r="Q2753" s="265"/>
      <c r="BR2753" s="265"/>
      <c r="BS2753" s="265"/>
      <c r="BT2753" s="265"/>
      <c r="BU2753" s="265"/>
      <c r="BV2753" s="265"/>
    </row>
    <row r="2754" spans="12:74">
      <c r="L2754" s="265"/>
      <c r="M2754" s="265"/>
      <c r="N2754" s="265"/>
      <c r="O2754" s="265"/>
      <c r="P2754" s="265"/>
      <c r="Q2754" s="265"/>
      <c r="BR2754" s="265"/>
      <c r="BS2754" s="265"/>
      <c r="BT2754" s="265"/>
      <c r="BU2754" s="265"/>
      <c r="BV2754" s="265"/>
    </row>
    <row r="2755" spans="12:74">
      <c r="L2755" s="265"/>
      <c r="M2755" s="265"/>
      <c r="N2755" s="265"/>
      <c r="O2755" s="265"/>
      <c r="P2755" s="265"/>
      <c r="Q2755" s="265"/>
      <c r="BR2755" s="265"/>
      <c r="BS2755" s="265"/>
      <c r="BT2755" s="265"/>
      <c r="BU2755" s="265"/>
      <c r="BV2755" s="265"/>
    </row>
    <row r="2756" spans="12:74">
      <c r="L2756" s="265"/>
      <c r="M2756" s="265"/>
      <c r="N2756" s="265"/>
      <c r="O2756" s="265"/>
      <c r="P2756" s="265"/>
      <c r="Q2756" s="265"/>
      <c r="BR2756" s="265"/>
      <c r="BS2756" s="265"/>
      <c r="BT2756" s="265"/>
      <c r="BU2756" s="265"/>
      <c r="BV2756" s="265"/>
    </row>
    <row r="2757" spans="12:74">
      <c r="L2757" s="265"/>
      <c r="M2757" s="265"/>
      <c r="N2757" s="265"/>
      <c r="O2757" s="265"/>
      <c r="P2757" s="265"/>
      <c r="Q2757" s="265"/>
      <c r="BR2757" s="265"/>
      <c r="BS2757" s="265"/>
      <c r="BT2757" s="265"/>
      <c r="BU2757" s="265"/>
      <c r="BV2757" s="265"/>
    </row>
    <row r="2758" spans="12:74">
      <c r="L2758" s="265"/>
      <c r="M2758" s="265"/>
      <c r="N2758" s="265"/>
      <c r="O2758" s="265"/>
      <c r="P2758" s="265"/>
      <c r="Q2758" s="265"/>
      <c r="BR2758" s="265"/>
      <c r="BS2758" s="265"/>
      <c r="BT2758" s="265"/>
      <c r="BU2758" s="265"/>
      <c r="BV2758" s="265"/>
    </row>
    <row r="2759" spans="12:74">
      <c r="L2759" s="265"/>
      <c r="M2759" s="265"/>
      <c r="N2759" s="265"/>
      <c r="O2759" s="265"/>
      <c r="P2759" s="265"/>
      <c r="Q2759" s="265"/>
      <c r="BR2759" s="265"/>
      <c r="BS2759" s="265"/>
      <c r="BT2759" s="265"/>
      <c r="BU2759" s="265"/>
      <c r="BV2759" s="265"/>
    </row>
    <row r="2760" spans="12:74">
      <c r="L2760" s="265"/>
      <c r="M2760" s="265"/>
      <c r="N2760" s="265"/>
      <c r="O2760" s="265"/>
      <c r="P2760" s="265"/>
      <c r="Q2760" s="265"/>
      <c r="BR2760" s="265"/>
      <c r="BS2760" s="265"/>
      <c r="BT2760" s="265"/>
      <c r="BU2760" s="265"/>
      <c r="BV2760" s="265"/>
    </row>
    <row r="2761" spans="12:74">
      <c r="L2761" s="265"/>
      <c r="M2761" s="265"/>
      <c r="N2761" s="265"/>
      <c r="O2761" s="265"/>
      <c r="P2761" s="265"/>
      <c r="Q2761" s="265"/>
      <c r="BR2761" s="265"/>
      <c r="BS2761" s="265"/>
      <c r="BT2761" s="265"/>
      <c r="BU2761" s="265"/>
      <c r="BV2761" s="265"/>
    </row>
    <row r="2762" spans="12:74">
      <c r="L2762" s="265"/>
      <c r="M2762" s="265"/>
      <c r="N2762" s="265"/>
      <c r="O2762" s="265"/>
      <c r="P2762" s="265"/>
      <c r="Q2762" s="265"/>
      <c r="BR2762" s="265"/>
      <c r="BS2762" s="265"/>
      <c r="BT2762" s="265"/>
      <c r="BU2762" s="265"/>
      <c r="BV2762" s="265"/>
    </row>
    <row r="2763" spans="12:74">
      <c r="L2763" s="265"/>
      <c r="M2763" s="265"/>
      <c r="N2763" s="265"/>
      <c r="O2763" s="265"/>
      <c r="P2763" s="265"/>
      <c r="Q2763" s="265"/>
      <c r="BR2763" s="265"/>
      <c r="BS2763" s="265"/>
      <c r="BT2763" s="265"/>
      <c r="BU2763" s="265"/>
      <c r="BV2763" s="265"/>
    </row>
    <row r="2764" spans="12:74">
      <c r="L2764" s="265"/>
      <c r="M2764" s="265"/>
      <c r="N2764" s="265"/>
      <c r="O2764" s="265"/>
      <c r="P2764" s="265"/>
      <c r="Q2764" s="265"/>
      <c r="BR2764" s="265"/>
      <c r="BS2764" s="265"/>
      <c r="BT2764" s="265"/>
      <c r="BU2764" s="265"/>
      <c r="BV2764" s="265"/>
    </row>
    <row r="2765" spans="12:74">
      <c r="L2765" s="265"/>
      <c r="M2765" s="265"/>
      <c r="N2765" s="265"/>
      <c r="O2765" s="265"/>
      <c r="P2765" s="265"/>
      <c r="Q2765" s="265"/>
      <c r="BR2765" s="265"/>
      <c r="BS2765" s="265"/>
      <c r="BT2765" s="265"/>
      <c r="BU2765" s="265"/>
      <c r="BV2765" s="265"/>
    </row>
    <row r="2766" spans="12:74">
      <c r="L2766" s="265"/>
      <c r="M2766" s="265"/>
      <c r="N2766" s="265"/>
      <c r="O2766" s="265"/>
      <c r="P2766" s="265"/>
      <c r="Q2766" s="265"/>
      <c r="BR2766" s="265"/>
      <c r="BS2766" s="265"/>
      <c r="BT2766" s="265"/>
      <c r="BU2766" s="265"/>
      <c r="BV2766" s="265"/>
    </row>
    <row r="2767" spans="12:74">
      <c r="L2767" s="265"/>
      <c r="M2767" s="265"/>
      <c r="N2767" s="265"/>
      <c r="O2767" s="265"/>
      <c r="P2767" s="265"/>
      <c r="Q2767" s="265"/>
      <c r="BR2767" s="265"/>
      <c r="BS2767" s="265"/>
      <c r="BT2767" s="265"/>
      <c r="BU2767" s="265"/>
      <c r="BV2767" s="265"/>
    </row>
    <row r="2768" spans="12:74">
      <c r="L2768" s="265"/>
      <c r="M2768" s="265"/>
      <c r="N2768" s="265"/>
      <c r="O2768" s="265"/>
      <c r="P2768" s="265"/>
      <c r="Q2768" s="265"/>
      <c r="BR2768" s="265"/>
      <c r="BS2768" s="265"/>
      <c r="BT2768" s="265"/>
      <c r="BU2768" s="265"/>
      <c r="BV2768" s="265"/>
    </row>
    <row r="2769" spans="12:74">
      <c r="L2769" s="265"/>
      <c r="M2769" s="265"/>
      <c r="N2769" s="265"/>
      <c r="O2769" s="265"/>
      <c r="P2769" s="265"/>
      <c r="Q2769" s="265"/>
      <c r="BR2769" s="265"/>
      <c r="BS2769" s="265"/>
      <c r="BT2769" s="265"/>
      <c r="BU2769" s="265"/>
      <c r="BV2769" s="265"/>
    </row>
    <row r="2770" spans="12:74">
      <c r="L2770" s="265"/>
      <c r="M2770" s="265"/>
      <c r="N2770" s="265"/>
      <c r="O2770" s="265"/>
      <c r="P2770" s="265"/>
      <c r="Q2770" s="265"/>
      <c r="BR2770" s="265"/>
      <c r="BS2770" s="265"/>
      <c r="BT2770" s="265"/>
      <c r="BU2770" s="265"/>
      <c r="BV2770" s="265"/>
    </row>
    <row r="2771" spans="12:74">
      <c r="L2771" s="265"/>
      <c r="M2771" s="265"/>
      <c r="N2771" s="265"/>
      <c r="O2771" s="265"/>
      <c r="P2771" s="265"/>
      <c r="Q2771" s="265"/>
      <c r="BR2771" s="265"/>
      <c r="BS2771" s="265"/>
      <c r="BT2771" s="265"/>
      <c r="BU2771" s="265"/>
      <c r="BV2771" s="265"/>
    </row>
    <row r="2772" spans="12:74">
      <c r="L2772" s="265"/>
      <c r="M2772" s="265"/>
      <c r="N2772" s="265"/>
      <c r="O2772" s="265"/>
      <c r="P2772" s="265"/>
      <c r="Q2772" s="265"/>
      <c r="BR2772" s="265"/>
      <c r="BS2772" s="265"/>
      <c r="BT2772" s="265"/>
      <c r="BU2772" s="265"/>
      <c r="BV2772" s="265"/>
    </row>
    <row r="2773" spans="12:74">
      <c r="L2773" s="265"/>
      <c r="M2773" s="265"/>
      <c r="N2773" s="265"/>
      <c r="O2773" s="265"/>
      <c r="P2773" s="265"/>
      <c r="Q2773" s="265"/>
      <c r="BR2773" s="265"/>
      <c r="BS2773" s="265"/>
      <c r="BT2773" s="265"/>
      <c r="BU2773" s="265"/>
      <c r="BV2773" s="265"/>
    </row>
    <row r="2774" spans="12:74">
      <c r="L2774" s="265"/>
      <c r="M2774" s="265"/>
      <c r="N2774" s="265"/>
      <c r="O2774" s="265"/>
      <c r="P2774" s="265"/>
      <c r="Q2774" s="265"/>
      <c r="BR2774" s="265"/>
      <c r="BS2774" s="265"/>
      <c r="BT2774" s="265"/>
      <c r="BU2774" s="265"/>
      <c r="BV2774" s="265"/>
    </row>
    <row r="2775" spans="12:74">
      <c r="L2775" s="265"/>
      <c r="M2775" s="265"/>
      <c r="N2775" s="265"/>
      <c r="O2775" s="265"/>
      <c r="P2775" s="265"/>
      <c r="Q2775" s="265"/>
      <c r="BR2775" s="265"/>
      <c r="BS2775" s="265"/>
      <c r="BT2775" s="265"/>
      <c r="BU2775" s="265"/>
      <c r="BV2775" s="265"/>
    </row>
    <row r="2776" spans="12:74">
      <c r="L2776" s="265"/>
      <c r="M2776" s="265"/>
      <c r="N2776" s="265"/>
      <c r="O2776" s="265"/>
      <c r="P2776" s="265"/>
      <c r="Q2776" s="265"/>
      <c r="BR2776" s="265"/>
      <c r="BS2776" s="265"/>
      <c r="BT2776" s="265"/>
      <c r="BU2776" s="265"/>
      <c r="BV2776" s="265"/>
    </row>
    <row r="2777" spans="12:74">
      <c r="L2777" s="265"/>
      <c r="M2777" s="265"/>
      <c r="N2777" s="265"/>
      <c r="O2777" s="265"/>
      <c r="P2777" s="265"/>
      <c r="Q2777" s="265"/>
      <c r="BR2777" s="265"/>
      <c r="BS2777" s="265"/>
      <c r="BT2777" s="265"/>
      <c r="BU2777" s="265"/>
      <c r="BV2777" s="265"/>
    </row>
    <row r="2778" spans="12:74">
      <c r="L2778" s="265"/>
      <c r="M2778" s="265"/>
      <c r="N2778" s="265"/>
      <c r="O2778" s="265"/>
      <c r="P2778" s="265"/>
      <c r="Q2778" s="265"/>
      <c r="BR2778" s="265"/>
      <c r="BS2778" s="265"/>
      <c r="BT2778" s="265"/>
      <c r="BU2778" s="265"/>
      <c r="BV2778" s="265"/>
    </row>
    <row r="2779" spans="12:74">
      <c r="L2779" s="265"/>
      <c r="M2779" s="265"/>
      <c r="N2779" s="265"/>
      <c r="O2779" s="265"/>
      <c r="P2779" s="265"/>
      <c r="Q2779" s="265"/>
      <c r="BR2779" s="265"/>
      <c r="BS2779" s="265"/>
      <c r="BT2779" s="265"/>
      <c r="BU2779" s="265"/>
      <c r="BV2779" s="265"/>
    </row>
    <row r="2780" spans="12:74">
      <c r="L2780" s="265"/>
      <c r="M2780" s="265"/>
      <c r="N2780" s="265"/>
      <c r="O2780" s="265"/>
      <c r="P2780" s="265"/>
      <c r="Q2780" s="265"/>
      <c r="BR2780" s="265"/>
      <c r="BS2780" s="265"/>
      <c r="BT2780" s="265"/>
      <c r="BU2780" s="265"/>
      <c r="BV2780" s="265"/>
    </row>
    <row r="2781" spans="12:74">
      <c r="L2781" s="265"/>
      <c r="M2781" s="265"/>
      <c r="N2781" s="265"/>
      <c r="O2781" s="265"/>
      <c r="P2781" s="265"/>
      <c r="Q2781" s="265"/>
      <c r="BR2781" s="265"/>
      <c r="BS2781" s="265"/>
      <c r="BT2781" s="265"/>
      <c r="BU2781" s="265"/>
      <c r="BV2781" s="265"/>
    </row>
    <row r="2782" spans="12:74">
      <c r="L2782" s="265"/>
      <c r="M2782" s="265"/>
      <c r="N2782" s="265"/>
      <c r="O2782" s="265"/>
      <c r="P2782" s="265"/>
      <c r="Q2782" s="265"/>
      <c r="BR2782" s="265"/>
      <c r="BS2782" s="265"/>
      <c r="BT2782" s="265"/>
      <c r="BU2782" s="265"/>
      <c r="BV2782" s="265"/>
    </row>
    <row r="2783" spans="12:74">
      <c r="L2783" s="265"/>
      <c r="M2783" s="265"/>
      <c r="N2783" s="265"/>
      <c r="O2783" s="265"/>
      <c r="P2783" s="265"/>
      <c r="Q2783" s="265"/>
      <c r="BR2783" s="265"/>
      <c r="BS2783" s="265"/>
      <c r="BT2783" s="265"/>
      <c r="BU2783" s="265"/>
      <c r="BV2783" s="265"/>
    </row>
    <row r="2784" spans="12:74">
      <c r="L2784" s="265"/>
      <c r="M2784" s="265"/>
      <c r="N2784" s="265"/>
      <c r="O2784" s="265"/>
      <c r="P2784" s="265"/>
      <c r="Q2784" s="265"/>
      <c r="BR2784" s="265"/>
      <c r="BS2784" s="265"/>
      <c r="BT2784" s="265"/>
      <c r="BU2784" s="265"/>
      <c r="BV2784" s="265"/>
    </row>
    <row r="2785" spans="12:74">
      <c r="L2785" s="265"/>
      <c r="M2785" s="265"/>
      <c r="N2785" s="265"/>
      <c r="O2785" s="265"/>
      <c r="P2785" s="265"/>
      <c r="Q2785" s="265"/>
      <c r="BR2785" s="265"/>
      <c r="BS2785" s="265"/>
      <c r="BT2785" s="265"/>
      <c r="BU2785" s="265"/>
      <c r="BV2785" s="265"/>
    </row>
    <row r="2786" spans="12:74">
      <c r="L2786" s="265"/>
      <c r="M2786" s="265"/>
      <c r="N2786" s="265"/>
      <c r="O2786" s="265"/>
      <c r="P2786" s="265"/>
      <c r="Q2786" s="265"/>
      <c r="BR2786" s="265"/>
      <c r="BS2786" s="265"/>
      <c r="BT2786" s="265"/>
      <c r="BU2786" s="265"/>
      <c r="BV2786" s="265"/>
    </row>
    <row r="2787" spans="12:74">
      <c r="L2787" s="265"/>
      <c r="M2787" s="265"/>
      <c r="N2787" s="265"/>
      <c r="O2787" s="265"/>
      <c r="P2787" s="265"/>
      <c r="Q2787" s="265"/>
      <c r="BR2787" s="265"/>
      <c r="BS2787" s="265"/>
      <c r="BT2787" s="265"/>
      <c r="BU2787" s="265"/>
      <c r="BV2787" s="265"/>
    </row>
    <row r="2788" spans="12:74">
      <c r="L2788" s="265"/>
      <c r="M2788" s="265"/>
      <c r="N2788" s="265"/>
      <c r="O2788" s="265"/>
      <c r="P2788" s="265"/>
      <c r="Q2788" s="265"/>
      <c r="BR2788" s="265"/>
      <c r="BS2788" s="265"/>
      <c r="BT2788" s="265"/>
      <c r="BU2788" s="265"/>
      <c r="BV2788" s="265"/>
    </row>
    <row r="2789" spans="12:74">
      <c r="L2789" s="265"/>
      <c r="M2789" s="265"/>
      <c r="N2789" s="265"/>
      <c r="O2789" s="265"/>
      <c r="P2789" s="265"/>
      <c r="Q2789" s="265"/>
      <c r="BR2789" s="265"/>
      <c r="BS2789" s="265"/>
      <c r="BT2789" s="265"/>
      <c r="BU2789" s="265"/>
      <c r="BV2789" s="265"/>
    </row>
    <row r="2790" spans="12:74">
      <c r="L2790" s="265"/>
      <c r="M2790" s="265"/>
      <c r="N2790" s="265"/>
      <c r="O2790" s="265"/>
      <c r="P2790" s="265"/>
      <c r="Q2790" s="265"/>
      <c r="BR2790" s="265"/>
      <c r="BS2790" s="265"/>
      <c r="BT2790" s="265"/>
      <c r="BU2790" s="265"/>
      <c r="BV2790" s="265"/>
    </row>
    <row r="2791" spans="12:74">
      <c r="L2791" s="265"/>
      <c r="M2791" s="265"/>
      <c r="N2791" s="265"/>
      <c r="O2791" s="265"/>
      <c r="P2791" s="265"/>
      <c r="Q2791" s="265"/>
      <c r="BR2791" s="265"/>
      <c r="BS2791" s="265"/>
      <c r="BT2791" s="265"/>
      <c r="BU2791" s="265"/>
      <c r="BV2791" s="265"/>
    </row>
    <row r="2792" spans="12:74">
      <c r="L2792" s="265"/>
      <c r="M2792" s="265"/>
      <c r="N2792" s="265"/>
      <c r="O2792" s="265"/>
      <c r="P2792" s="265"/>
      <c r="Q2792" s="265"/>
      <c r="BR2792" s="265"/>
      <c r="BS2792" s="265"/>
      <c r="BT2792" s="265"/>
      <c r="BU2792" s="265"/>
      <c r="BV2792" s="265"/>
    </row>
    <row r="2793" spans="12:74">
      <c r="L2793" s="265"/>
      <c r="M2793" s="265"/>
      <c r="N2793" s="265"/>
      <c r="O2793" s="265"/>
      <c r="P2793" s="265"/>
      <c r="Q2793" s="265"/>
      <c r="BR2793" s="265"/>
      <c r="BS2793" s="265"/>
      <c r="BT2793" s="265"/>
      <c r="BU2793" s="265"/>
      <c r="BV2793" s="265"/>
    </row>
    <row r="2794" spans="12:74">
      <c r="L2794" s="265"/>
      <c r="M2794" s="265"/>
      <c r="N2794" s="265"/>
      <c r="O2794" s="265"/>
      <c r="P2794" s="265"/>
      <c r="Q2794" s="265"/>
      <c r="BR2794" s="265"/>
      <c r="BS2794" s="265"/>
      <c r="BT2794" s="265"/>
      <c r="BU2794" s="265"/>
      <c r="BV2794" s="265"/>
    </row>
    <row r="2795" spans="12:74">
      <c r="L2795" s="265"/>
      <c r="M2795" s="265"/>
      <c r="N2795" s="265"/>
      <c r="O2795" s="265"/>
      <c r="P2795" s="265"/>
      <c r="Q2795" s="265"/>
      <c r="BR2795" s="265"/>
      <c r="BS2795" s="265"/>
      <c r="BT2795" s="265"/>
      <c r="BU2795" s="265"/>
      <c r="BV2795" s="265"/>
    </row>
    <row r="2796" spans="12:74">
      <c r="L2796" s="265"/>
      <c r="M2796" s="265"/>
      <c r="N2796" s="265"/>
      <c r="O2796" s="265"/>
      <c r="P2796" s="265"/>
      <c r="Q2796" s="265"/>
      <c r="BR2796" s="265"/>
      <c r="BS2796" s="265"/>
      <c r="BT2796" s="265"/>
      <c r="BU2796" s="265"/>
      <c r="BV2796" s="265"/>
    </row>
    <row r="2797" spans="12:74">
      <c r="L2797" s="265"/>
      <c r="M2797" s="265"/>
      <c r="N2797" s="265"/>
      <c r="O2797" s="265"/>
      <c r="P2797" s="265"/>
      <c r="Q2797" s="265"/>
      <c r="BR2797" s="265"/>
      <c r="BS2797" s="265"/>
      <c r="BT2797" s="265"/>
      <c r="BU2797" s="265"/>
      <c r="BV2797" s="265"/>
    </row>
    <row r="2798" spans="12:74">
      <c r="L2798" s="265"/>
      <c r="M2798" s="265"/>
      <c r="N2798" s="265"/>
      <c r="O2798" s="265"/>
      <c r="P2798" s="265"/>
      <c r="Q2798" s="265"/>
      <c r="BR2798" s="265"/>
      <c r="BS2798" s="265"/>
      <c r="BT2798" s="265"/>
      <c r="BU2798" s="265"/>
      <c r="BV2798" s="265"/>
    </row>
    <row r="2799" spans="12:74">
      <c r="L2799" s="265"/>
      <c r="M2799" s="265"/>
      <c r="N2799" s="265"/>
      <c r="O2799" s="265"/>
      <c r="P2799" s="265"/>
      <c r="Q2799" s="265"/>
      <c r="BR2799" s="265"/>
      <c r="BS2799" s="265"/>
      <c r="BT2799" s="265"/>
      <c r="BU2799" s="265"/>
      <c r="BV2799" s="265"/>
    </row>
    <row r="2800" spans="12:74">
      <c r="L2800" s="265"/>
      <c r="M2800" s="265"/>
      <c r="N2800" s="265"/>
      <c r="O2800" s="265"/>
      <c r="P2800" s="265"/>
      <c r="Q2800" s="265"/>
      <c r="BR2800" s="265"/>
      <c r="BS2800" s="265"/>
      <c r="BT2800" s="265"/>
      <c r="BU2800" s="265"/>
      <c r="BV2800" s="265"/>
    </row>
    <row r="2801" spans="12:74">
      <c r="L2801" s="265"/>
      <c r="M2801" s="265"/>
      <c r="N2801" s="265"/>
      <c r="O2801" s="265"/>
      <c r="P2801" s="265"/>
      <c r="Q2801" s="265"/>
      <c r="BR2801" s="265"/>
      <c r="BS2801" s="265"/>
      <c r="BT2801" s="265"/>
      <c r="BU2801" s="265"/>
      <c r="BV2801" s="265"/>
    </row>
    <row r="2802" spans="12:74">
      <c r="L2802" s="265"/>
      <c r="M2802" s="265"/>
      <c r="N2802" s="265"/>
      <c r="O2802" s="265"/>
      <c r="P2802" s="265"/>
      <c r="Q2802" s="265"/>
      <c r="BR2802" s="265"/>
      <c r="BS2802" s="265"/>
      <c r="BT2802" s="265"/>
      <c r="BU2802" s="265"/>
      <c r="BV2802" s="265"/>
    </row>
    <row r="2803" spans="12:74">
      <c r="L2803" s="265"/>
      <c r="M2803" s="265"/>
      <c r="N2803" s="265"/>
      <c r="O2803" s="265"/>
      <c r="P2803" s="265"/>
      <c r="Q2803" s="265"/>
      <c r="BR2803" s="265"/>
      <c r="BS2803" s="265"/>
      <c r="BT2803" s="265"/>
      <c r="BU2803" s="265"/>
      <c r="BV2803" s="265"/>
    </row>
    <row r="2804" spans="12:74">
      <c r="L2804" s="265"/>
      <c r="M2804" s="265"/>
      <c r="N2804" s="265"/>
      <c r="O2804" s="265"/>
      <c r="P2804" s="265"/>
      <c r="Q2804" s="265"/>
      <c r="BR2804" s="265"/>
      <c r="BS2804" s="265"/>
      <c r="BT2804" s="265"/>
      <c r="BU2804" s="265"/>
      <c r="BV2804" s="265"/>
    </row>
    <row r="2805" spans="12:74">
      <c r="L2805" s="265"/>
      <c r="M2805" s="265"/>
      <c r="N2805" s="265"/>
      <c r="O2805" s="265"/>
      <c r="P2805" s="265"/>
      <c r="Q2805" s="265"/>
      <c r="BR2805" s="265"/>
      <c r="BS2805" s="265"/>
      <c r="BT2805" s="265"/>
      <c r="BU2805" s="265"/>
      <c r="BV2805" s="265"/>
    </row>
    <row r="2806" spans="12:74">
      <c r="L2806" s="265"/>
      <c r="M2806" s="265"/>
      <c r="N2806" s="265"/>
      <c r="O2806" s="265"/>
      <c r="P2806" s="265"/>
      <c r="Q2806" s="265"/>
      <c r="BR2806" s="265"/>
      <c r="BS2806" s="265"/>
      <c r="BT2806" s="265"/>
      <c r="BU2806" s="265"/>
      <c r="BV2806" s="265"/>
    </row>
    <row r="2807" spans="12:74">
      <c r="L2807" s="265"/>
      <c r="M2807" s="265"/>
      <c r="N2807" s="265"/>
      <c r="O2807" s="265"/>
      <c r="P2807" s="265"/>
      <c r="Q2807" s="265"/>
      <c r="BR2807" s="265"/>
      <c r="BS2807" s="265"/>
      <c r="BT2807" s="265"/>
      <c r="BU2807" s="265"/>
      <c r="BV2807" s="265"/>
    </row>
    <row r="2808" spans="12:74">
      <c r="L2808" s="265"/>
      <c r="M2808" s="265"/>
      <c r="N2808" s="265"/>
      <c r="O2808" s="265"/>
      <c r="P2808" s="265"/>
      <c r="Q2808" s="265"/>
      <c r="BR2808" s="265"/>
      <c r="BS2808" s="265"/>
      <c r="BT2808" s="265"/>
      <c r="BU2808" s="265"/>
      <c r="BV2808" s="265"/>
    </row>
    <row r="2809" spans="12:74">
      <c r="L2809" s="265"/>
      <c r="M2809" s="265"/>
      <c r="N2809" s="265"/>
      <c r="O2809" s="265"/>
      <c r="P2809" s="265"/>
      <c r="Q2809" s="265"/>
      <c r="BR2809" s="265"/>
      <c r="BS2809" s="265"/>
      <c r="BT2809" s="265"/>
      <c r="BU2809" s="265"/>
      <c r="BV2809" s="265"/>
    </row>
    <row r="2810" spans="12:74">
      <c r="L2810" s="265"/>
      <c r="M2810" s="265"/>
      <c r="N2810" s="265"/>
      <c r="O2810" s="265"/>
      <c r="P2810" s="265"/>
      <c r="Q2810" s="265"/>
      <c r="BR2810" s="265"/>
      <c r="BS2810" s="265"/>
      <c r="BT2810" s="265"/>
      <c r="BU2810" s="265"/>
      <c r="BV2810" s="265"/>
    </row>
    <row r="2811" spans="12:74">
      <c r="L2811" s="265"/>
      <c r="M2811" s="265"/>
      <c r="N2811" s="265"/>
      <c r="O2811" s="265"/>
      <c r="P2811" s="265"/>
      <c r="Q2811" s="265"/>
      <c r="BR2811" s="265"/>
      <c r="BS2811" s="265"/>
      <c r="BT2811" s="265"/>
      <c r="BU2811" s="265"/>
      <c r="BV2811" s="265"/>
    </row>
    <row r="2812" spans="12:74">
      <c r="L2812" s="265"/>
      <c r="M2812" s="265"/>
      <c r="N2812" s="265"/>
      <c r="O2812" s="265"/>
      <c r="P2812" s="265"/>
      <c r="Q2812" s="265"/>
      <c r="BR2812" s="265"/>
      <c r="BS2812" s="265"/>
      <c r="BT2812" s="265"/>
      <c r="BU2812" s="265"/>
      <c r="BV2812" s="265"/>
    </row>
    <row r="2813" spans="12:74">
      <c r="L2813" s="265"/>
      <c r="M2813" s="265"/>
      <c r="N2813" s="265"/>
      <c r="O2813" s="265"/>
      <c r="P2813" s="265"/>
      <c r="Q2813" s="265"/>
      <c r="BR2813" s="265"/>
      <c r="BS2813" s="265"/>
      <c r="BT2813" s="265"/>
      <c r="BU2813" s="265"/>
      <c r="BV2813" s="265"/>
    </row>
    <row r="2814" spans="12:74">
      <c r="L2814" s="265"/>
      <c r="M2814" s="265"/>
      <c r="N2814" s="265"/>
      <c r="O2814" s="265"/>
      <c r="P2814" s="265"/>
      <c r="Q2814" s="265"/>
      <c r="BR2814" s="265"/>
      <c r="BS2814" s="265"/>
      <c r="BT2814" s="265"/>
      <c r="BU2814" s="265"/>
      <c r="BV2814" s="265"/>
    </row>
    <row r="2815" spans="12:74">
      <c r="L2815" s="265"/>
      <c r="M2815" s="265"/>
      <c r="N2815" s="265"/>
      <c r="O2815" s="265"/>
      <c r="P2815" s="265"/>
      <c r="Q2815" s="265"/>
      <c r="BR2815" s="265"/>
      <c r="BS2815" s="265"/>
      <c r="BT2815" s="265"/>
      <c r="BU2815" s="265"/>
      <c r="BV2815" s="265"/>
    </row>
    <row r="2816" spans="12:74">
      <c r="L2816" s="265"/>
      <c r="M2816" s="265"/>
      <c r="N2816" s="265"/>
      <c r="O2816" s="265"/>
      <c r="P2816" s="265"/>
      <c r="Q2816" s="265"/>
      <c r="BR2816" s="265"/>
      <c r="BS2816" s="265"/>
      <c r="BT2816" s="265"/>
      <c r="BU2816" s="265"/>
      <c r="BV2816" s="265"/>
    </row>
    <row r="2817" spans="12:74">
      <c r="L2817" s="265"/>
      <c r="M2817" s="265"/>
      <c r="N2817" s="265"/>
      <c r="O2817" s="265"/>
      <c r="P2817" s="265"/>
      <c r="Q2817" s="265"/>
      <c r="BR2817" s="265"/>
      <c r="BS2817" s="265"/>
      <c r="BT2817" s="265"/>
      <c r="BU2817" s="265"/>
      <c r="BV2817" s="265"/>
    </row>
    <row r="2818" spans="12:74">
      <c r="L2818" s="265"/>
      <c r="M2818" s="265"/>
      <c r="N2818" s="265"/>
      <c r="O2818" s="265"/>
      <c r="P2818" s="265"/>
      <c r="Q2818" s="265"/>
      <c r="BR2818" s="265"/>
      <c r="BS2818" s="265"/>
      <c r="BT2818" s="265"/>
      <c r="BU2818" s="265"/>
      <c r="BV2818" s="265"/>
    </row>
    <row r="2819" spans="12:74">
      <c r="L2819" s="265"/>
      <c r="M2819" s="265"/>
      <c r="N2819" s="265"/>
      <c r="O2819" s="265"/>
      <c r="P2819" s="265"/>
      <c r="Q2819" s="265"/>
      <c r="BR2819" s="265"/>
      <c r="BS2819" s="265"/>
      <c r="BT2819" s="265"/>
      <c r="BU2819" s="265"/>
      <c r="BV2819" s="265"/>
    </row>
    <row r="2820" spans="12:74">
      <c r="L2820" s="265"/>
      <c r="M2820" s="265"/>
      <c r="N2820" s="265"/>
      <c r="O2820" s="265"/>
      <c r="P2820" s="265"/>
      <c r="Q2820" s="265"/>
      <c r="BR2820" s="265"/>
      <c r="BS2820" s="265"/>
      <c r="BT2820" s="265"/>
      <c r="BU2820" s="265"/>
      <c r="BV2820" s="265"/>
    </row>
    <row r="2821" spans="12:74">
      <c r="L2821" s="265"/>
      <c r="M2821" s="265"/>
      <c r="N2821" s="265"/>
      <c r="O2821" s="265"/>
      <c r="P2821" s="265"/>
      <c r="Q2821" s="265"/>
      <c r="BR2821" s="265"/>
      <c r="BS2821" s="265"/>
      <c r="BT2821" s="265"/>
      <c r="BU2821" s="265"/>
      <c r="BV2821" s="265"/>
    </row>
    <row r="2822" spans="12:74">
      <c r="L2822" s="265"/>
      <c r="M2822" s="265"/>
      <c r="N2822" s="265"/>
      <c r="O2822" s="265"/>
      <c r="P2822" s="265"/>
      <c r="Q2822" s="265"/>
      <c r="BR2822" s="265"/>
      <c r="BS2822" s="265"/>
      <c r="BT2822" s="265"/>
      <c r="BU2822" s="265"/>
      <c r="BV2822" s="265"/>
    </row>
    <row r="2823" spans="12:74">
      <c r="L2823" s="265"/>
      <c r="M2823" s="265"/>
      <c r="N2823" s="265"/>
      <c r="O2823" s="265"/>
      <c r="P2823" s="265"/>
      <c r="Q2823" s="265"/>
      <c r="BR2823" s="265"/>
      <c r="BS2823" s="265"/>
      <c r="BT2823" s="265"/>
      <c r="BU2823" s="265"/>
      <c r="BV2823" s="265"/>
    </row>
    <row r="2824" spans="12:74">
      <c r="L2824" s="265"/>
      <c r="M2824" s="265"/>
      <c r="N2824" s="265"/>
      <c r="O2824" s="265"/>
      <c r="P2824" s="265"/>
      <c r="Q2824" s="265"/>
      <c r="BR2824" s="265"/>
      <c r="BS2824" s="265"/>
      <c r="BT2824" s="265"/>
      <c r="BU2824" s="265"/>
      <c r="BV2824" s="265"/>
    </row>
    <row r="2825" spans="12:74">
      <c r="L2825" s="265"/>
      <c r="M2825" s="265"/>
      <c r="N2825" s="265"/>
      <c r="O2825" s="265"/>
      <c r="P2825" s="265"/>
      <c r="Q2825" s="265"/>
      <c r="BR2825" s="265"/>
      <c r="BS2825" s="265"/>
      <c r="BT2825" s="265"/>
      <c r="BU2825" s="265"/>
      <c r="BV2825" s="265"/>
    </row>
    <row r="2826" spans="12:74">
      <c r="L2826" s="265"/>
      <c r="M2826" s="265"/>
      <c r="N2826" s="265"/>
      <c r="O2826" s="265"/>
      <c r="P2826" s="265"/>
      <c r="Q2826" s="265"/>
      <c r="BR2826" s="265"/>
      <c r="BS2826" s="265"/>
      <c r="BT2826" s="265"/>
      <c r="BU2826" s="265"/>
      <c r="BV2826" s="265"/>
    </row>
    <row r="2827" spans="12:74">
      <c r="L2827" s="265"/>
      <c r="M2827" s="265"/>
      <c r="N2827" s="265"/>
      <c r="O2827" s="265"/>
      <c r="P2827" s="265"/>
      <c r="Q2827" s="265"/>
      <c r="BR2827" s="265"/>
      <c r="BS2827" s="265"/>
      <c r="BT2827" s="265"/>
      <c r="BU2827" s="265"/>
      <c r="BV2827" s="265"/>
    </row>
    <row r="2828" spans="12:74">
      <c r="L2828" s="265"/>
      <c r="M2828" s="265"/>
      <c r="N2828" s="265"/>
      <c r="O2828" s="265"/>
      <c r="P2828" s="265"/>
      <c r="Q2828" s="265"/>
      <c r="BR2828" s="265"/>
      <c r="BS2828" s="265"/>
      <c r="BT2828" s="265"/>
      <c r="BU2828" s="265"/>
      <c r="BV2828" s="265"/>
    </row>
    <row r="2829" spans="12:74">
      <c r="L2829" s="265"/>
      <c r="M2829" s="265"/>
      <c r="N2829" s="265"/>
      <c r="O2829" s="265"/>
      <c r="P2829" s="265"/>
      <c r="Q2829" s="265"/>
      <c r="BR2829" s="265"/>
      <c r="BS2829" s="265"/>
      <c r="BT2829" s="265"/>
      <c r="BU2829" s="265"/>
      <c r="BV2829" s="265"/>
    </row>
    <row r="2830" spans="12:74">
      <c r="L2830" s="265"/>
      <c r="M2830" s="265"/>
      <c r="N2830" s="265"/>
      <c r="O2830" s="265"/>
      <c r="P2830" s="265"/>
      <c r="Q2830" s="265"/>
      <c r="BR2830" s="265"/>
      <c r="BS2830" s="265"/>
      <c r="BT2830" s="265"/>
      <c r="BU2830" s="265"/>
      <c r="BV2830" s="265"/>
    </row>
    <row r="2831" spans="12:74">
      <c r="L2831" s="265"/>
      <c r="M2831" s="265"/>
      <c r="N2831" s="265"/>
      <c r="O2831" s="265"/>
      <c r="P2831" s="265"/>
      <c r="Q2831" s="265"/>
      <c r="BR2831" s="265"/>
      <c r="BS2831" s="265"/>
      <c r="BT2831" s="265"/>
      <c r="BU2831" s="265"/>
      <c r="BV2831" s="265"/>
    </row>
    <row r="2832" spans="12:74">
      <c r="L2832" s="265"/>
      <c r="M2832" s="265"/>
      <c r="N2832" s="265"/>
      <c r="O2832" s="265"/>
      <c r="P2832" s="265"/>
      <c r="Q2832" s="265"/>
      <c r="BR2832" s="265"/>
      <c r="BS2832" s="265"/>
      <c r="BT2832" s="265"/>
      <c r="BU2832" s="265"/>
      <c r="BV2832" s="265"/>
    </row>
    <row r="2833" spans="12:74">
      <c r="L2833" s="265"/>
      <c r="M2833" s="265"/>
      <c r="N2833" s="265"/>
      <c r="O2833" s="265"/>
      <c r="P2833" s="265"/>
      <c r="Q2833" s="265"/>
      <c r="BR2833" s="265"/>
      <c r="BS2833" s="265"/>
      <c r="BT2833" s="265"/>
      <c r="BU2833" s="265"/>
      <c r="BV2833" s="265"/>
    </row>
    <row r="2834" spans="12:74">
      <c r="L2834" s="265"/>
      <c r="M2834" s="265"/>
      <c r="N2834" s="265"/>
      <c r="O2834" s="265"/>
      <c r="P2834" s="265"/>
      <c r="Q2834" s="265"/>
      <c r="BR2834" s="265"/>
      <c r="BS2834" s="265"/>
      <c r="BT2834" s="265"/>
      <c r="BU2834" s="265"/>
      <c r="BV2834" s="265"/>
    </row>
    <row r="2835" spans="12:74">
      <c r="L2835" s="265"/>
      <c r="M2835" s="265"/>
      <c r="N2835" s="265"/>
      <c r="O2835" s="265"/>
      <c r="P2835" s="265"/>
      <c r="Q2835" s="265"/>
      <c r="BR2835" s="265"/>
      <c r="BS2835" s="265"/>
      <c r="BT2835" s="265"/>
      <c r="BU2835" s="265"/>
      <c r="BV2835" s="265"/>
    </row>
    <row r="2836" spans="12:74">
      <c r="L2836" s="265"/>
      <c r="M2836" s="265"/>
      <c r="N2836" s="265"/>
      <c r="O2836" s="265"/>
      <c r="P2836" s="265"/>
      <c r="Q2836" s="265"/>
      <c r="BR2836" s="265"/>
      <c r="BS2836" s="265"/>
      <c r="BT2836" s="265"/>
      <c r="BU2836" s="265"/>
      <c r="BV2836" s="265"/>
    </row>
    <row r="2837" spans="12:74">
      <c r="L2837" s="265"/>
      <c r="M2837" s="265"/>
      <c r="N2837" s="265"/>
      <c r="O2837" s="265"/>
      <c r="P2837" s="265"/>
      <c r="Q2837" s="265"/>
      <c r="BR2837" s="265"/>
      <c r="BS2837" s="265"/>
      <c r="BT2837" s="265"/>
      <c r="BU2837" s="265"/>
      <c r="BV2837" s="265"/>
    </row>
    <row r="2838" spans="12:74">
      <c r="L2838" s="265"/>
      <c r="M2838" s="265"/>
      <c r="N2838" s="265"/>
      <c r="O2838" s="265"/>
      <c r="P2838" s="265"/>
      <c r="Q2838" s="265"/>
      <c r="BR2838" s="265"/>
      <c r="BS2838" s="265"/>
      <c r="BT2838" s="265"/>
      <c r="BU2838" s="265"/>
      <c r="BV2838" s="265"/>
    </row>
    <row r="2839" spans="12:74">
      <c r="L2839" s="265"/>
      <c r="M2839" s="265"/>
      <c r="N2839" s="265"/>
      <c r="O2839" s="265"/>
      <c r="P2839" s="265"/>
      <c r="Q2839" s="265"/>
      <c r="BR2839" s="265"/>
      <c r="BS2839" s="265"/>
      <c r="BT2839" s="265"/>
      <c r="BU2839" s="265"/>
      <c r="BV2839" s="265"/>
    </row>
    <row r="2840" spans="12:74">
      <c r="L2840" s="265"/>
      <c r="M2840" s="265"/>
      <c r="N2840" s="265"/>
      <c r="O2840" s="265"/>
      <c r="P2840" s="265"/>
      <c r="Q2840" s="265"/>
      <c r="BR2840" s="265"/>
      <c r="BS2840" s="265"/>
      <c r="BT2840" s="265"/>
      <c r="BU2840" s="265"/>
      <c r="BV2840" s="265"/>
    </row>
    <row r="2841" spans="12:74">
      <c r="L2841" s="265"/>
      <c r="M2841" s="265"/>
      <c r="N2841" s="265"/>
      <c r="O2841" s="265"/>
      <c r="P2841" s="265"/>
      <c r="Q2841" s="265"/>
      <c r="BR2841" s="265"/>
      <c r="BS2841" s="265"/>
      <c r="BT2841" s="265"/>
      <c r="BU2841" s="265"/>
      <c r="BV2841" s="265"/>
    </row>
    <row r="2842" spans="12:74">
      <c r="L2842" s="265"/>
      <c r="M2842" s="265"/>
      <c r="N2842" s="265"/>
      <c r="O2842" s="265"/>
      <c r="P2842" s="265"/>
      <c r="Q2842" s="265"/>
      <c r="BR2842" s="265"/>
      <c r="BS2842" s="265"/>
      <c r="BT2842" s="265"/>
      <c r="BU2842" s="265"/>
      <c r="BV2842" s="265"/>
    </row>
    <row r="2843" spans="12:74">
      <c r="L2843" s="265"/>
      <c r="M2843" s="265"/>
      <c r="N2843" s="265"/>
      <c r="O2843" s="265"/>
      <c r="P2843" s="265"/>
      <c r="Q2843" s="265"/>
      <c r="BR2843" s="265"/>
      <c r="BS2843" s="265"/>
      <c r="BT2843" s="265"/>
      <c r="BU2843" s="265"/>
      <c r="BV2843" s="265"/>
    </row>
    <row r="2844" spans="12:74">
      <c r="L2844" s="265"/>
      <c r="M2844" s="265"/>
      <c r="N2844" s="265"/>
      <c r="O2844" s="265"/>
      <c r="P2844" s="265"/>
      <c r="Q2844" s="265"/>
      <c r="BR2844" s="265"/>
      <c r="BS2844" s="265"/>
      <c r="BT2844" s="265"/>
      <c r="BU2844" s="265"/>
      <c r="BV2844" s="265"/>
    </row>
    <row r="2845" spans="12:74">
      <c r="L2845" s="265"/>
      <c r="M2845" s="265"/>
      <c r="N2845" s="265"/>
      <c r="O2845" s="265"/>
      <c r="P2845" s="265"/>
      <c r="Q2845" s="265"/>
      <c r="BR2845" s="265"/>
      <c r="BS2845" s="265"/>
      <c r="BT2845" s="265"/>
      <c r="BU2845" s="265"/>
      <c r="BV2845" s="265"/>
    </row>
    <row r="2846" spans="12:74">
      <c r="L2846" s="265"/>
      <c r="M2846" s="265"/>
      <c r="N2846" s="265"/>
      <c r="O2846" s="265"/>
      <c r="P2846" s="265"/>
      <c r="Q2846" s="265"/>
      <c r="BR2846" s="265"/>
      <c r="BS2846" s="265"/>
      <c r="BT2846" s="265"/>
      <c r="BU2846" s="265"/>
      <c r="BV2846" s="265"/>
    </row>
    <row r="2847" spans="12:74">
      <c r="L2847" s="265"/>
      <c r="M2847" s="265"/>
      <c r="N2847" s="265"/>
      <c r="O2847" s="265"/>
      <c r="P2847" s="265"/>
      <c r="Q2847" s="265"/>
      <c r="BR2847" s="265"/>
      <c r="BS2847" s="265"/>
      <c r="BT2847" s="265"/>
      <c r="BU2847" s="265"/>
      <c r="BV2847" s="265"/>
    </row>
    <row r="2848" spans="12:74">
      <c r="L2848" s="265"/>
      <c r="M2848" s="265"/>
      <c r="N2848" s="265"/>
      <c r="O2848" s="265"/>
      <c r="P2848" s="265"/>
      <c r="Q2848" s="265"/>
      <c r="BR2848" s="265"/>
      <c r="BS2848" s="265"/>
      <c r="BT2848" s="265"/>
      <c r="BU2848" s="265"/>
      <c r="BV2848" s="265"/>
    </row>
    <row r="2849" spans="12:74">
      <c r="L2849" s="265"/>
      <c r="M2849" s="265"/>
      <c r="N2849" s="265"/>
      <c r="O2849" s="265"/>
      <c r="P2849" s="265"/>
      <c r="Q2849" s="265"/>
      <c r="BR2849" s="265"/>
      <c r="BS2849" s="265"/>
      <c r="BT2849" s="265"/>
      <c r="BU2849" s="265"/>
      <c r="BV2849" s="265"/>
    </row>
    <row r="2850" spans="12:74">
      <c r="L2850" s="265"/>
      <c r="M2850" s="265"/>
      <c r="N2850" s="265"/>
      <c r="O2850" s="265"/>
      <c r="P2850" s="265"/>
      <c r="Q2850" s="265"/>
      <c r="BR2850" s="265"/>
      <c r="BS2850" s="265"/>
      <c r="BT2850" s="265"/>
      <c r="BU2850" s="265"/>
      <c r="BV2850" s="265"/>
    </row>
    <row r="2851" spans="12:74">
      <c r="L2851" s="265"/>
      <c r="M2851" s="265"/>
      <c r="N2851" s="265"/>
      <c r="O2851" s="265"/>
      <c r="P2851" s="265"/>
      <c r="Q2851" s="265"/>
      <c r="BR2851" s="265"/>
      <c r="BS2851" s="265"/>
      <c r="BT2851" s="265"/>
      <c r="BU2851" s="265"/>
      <c r="BV2851" s="265"/>
    </row>
    <row r="2852" spans="12:74">
      <c r="L2852" s="265"/>
      <c r="M2852" s="265"/>
      <c r="N2852" s="265"/>
      <c r="O2852" s="265"/>
      <c r="P2852" s="265"/>
      <c r="Q2852" s="265"/>
      <c r="BR2852" s="265"/>
      <c r="BS2852" s="265"/>
      <c r="BT2852" s="265"/>
      <c r="BU2852" s="265"/>
      <c r="BV2852" s="265"/>
    </row>
    <row r="2853" spans="12:74">
      <c r="L2853" s="265"/>
      <c r="M2853" s="265"/>
      <c r="N2853" s="265"/>
      <c r="O2853" s="265"/>
      <c r="P2853" s="265"/>
      <c r="Q2853" s="265"/>
      <c r="BR2853" s="265"/>
      <c r="BS2853" s="265"/>
      <c r="BT2853" s="265"/>
      <c r="BU2853" s="265"/>
      <c r="BV2853" s="265"/>
    </row>
    <row r="2854" spans="12:74">
      <c r="L2854" s="265"/>
      <c r="M2854" s="265"/>
      <c r="N2854" s="265"/>
      <c r="O2854" s="265"/>
      <c r="P2854" s="265"/>
      <c r="Q2854" s="265"/>
      <c r="BR2854" s="265"/>
      <c r="BS2854" s="265"/>
      <c r="BT2854" s="265"/>
      <c r="BU2854" s="265"/>
      <c r="BV2854" s="265"/>
    </row>
    <row r="2855" spans="12:74">
      <c r="L2855" s="265"/>
      <c r="M2855" s="265"/>
      <c r="N2855" s="265"/>
      <c r="O2855" s="265"/>
      <c r="P2855" s="265"/>
      <c r="Q2855" s="265"/>
      <c r="BR2855" s="265"/>
      <c r="BS2855" s="265"/>
      <c r="BT2855" s="265"/>
      <c r="BU2855" s="265"/>
      <c r="BV2855" s="265"/>
    </row>
    <row r="2856" spans="12:74">
      <c r="L2856" s="265"/>
      <c r="M2856" s="265"/>
      <c r="N2856" s="265"/>
      <c r="O2856" s="265"/>
      <c r="P2856" s="265"/>
      <c r="Q2856" s="265"/>
      <c r="BR2856" s="265"/>
      <c r="BS2856" s="265"/>
      <c r="BT2856" s="265"/>
      <c r="BU2856" s="265"/>
      <c r="BV2856" s="265"/>
    </row>
    <row r="2857" spans="12:74">
      <c r="L2857" s="265"/>
      <c r="M2857" s="265"/>
      <c r="N2857" s="265"/>
      <c r="O2857" s="265"/>
      <c r="P2857" s="265"/>
      <c r="Q2857" s="265"/>
      <c r="BR2857" s="265"/>
      <c r="BS2857" s="265"/>
      <c r="BT2857" s="265"/>
      <c r="BU2857" s="265"/>
      <c r="BV2857" s="265"/>
    </row>
    <row r="2858" spans="12:74">
      <c r="L2858" s="265"/>
      <c r="M2858" s="265"/>
      <c r="N2858" s="265"/>
      <c r="O2858" s="265"/>
      <c r="P2858" s="265"/>
      <c r="Q2858" s="265"/>
      <c r="BR2858" s="265"/>
      <c r="BS2858" s="265"/>
      <c r="BT2858" s="265"/>
      <c r="BU2858" s="265"/>
      <c r="BV2858" s="265"/>
    </row>
    <row r="2859" spans="12:74">
      <c r="L2859" s="265"/>
      <c r="M2859" s="265"/>
      <c r="N2859" s="265"/>
      <c r="O2859" s="265"/>
      <c r="P2859" s="265"/>
      <c r="Q2859" s="265"/>
      <c r="BR2859" s="265"/>
      <c r="BS2859" s="265"/>
      <c r="BT2859" s="265"/>
      <c r="BU2859" s="265"/>
      <c r="BV2859" s="265"/>
    </row>
    <row r="2860" spans="12:74">
      <c r="L2860" s="265"/>
      <c r="M2860" s="265"/>
      <c r="N2860" s="265"/>
      <c r="O2860" s="265"/>
      <c r="P2860" s="265"/>
      <c r="Q2860" s="265"/>
      <c r="BR2860" s="265"/>
      <c r="BS2860" s="265"/>
      <c r="BT2860" s="265"/>
      <c r="BU2860" s="265"/>
      <c r="BV2860" s="265"/>
    </row>
    <row r="2861" spans="12:74">
      <c r="L2861" s="265"/>
      <c r="M2861" s="265"/>
      <c r="N2861" s="265"/>
      <c r="O2861" s="265"/>
      <c r="P2861" s="265"/>
      <c r="Q2861" s="265"/>
      <c r="BR2861" s="265"/>
      <c r="BS2861" s="265"/>
      <c r="BT2861" s="265"/>
      <c r="BU2861" s="265"/>
      <c r="BV2861" s="265"/>
    </row>
    <row r="2862" spans="12:74">
      <c r="L2862" s="265"/>
      <c r="M2862" s="265"/>
      <c r="N2862" s="265"/>
      <c r="O2862" s="265"/>
      <c r="P2862" s="265"/>
      <c r="Q2862" s="265"/>
      <c r="BR2862" s="265"/>
      <c r="BS2862" s="265"/>
      <c r="BT2862" s="265"/>
      <c r="BU2862" s="265"/>
      <c r="BV2862" s="265"/>
    </row>
    <row r="2863" spans="12:74">
      <c r="L2863" s="265"/>
      <c r="M2863" s="265"/>
      <c r="N2863" s="265"/>
      <c r="O2863" s="265"/>
      <c r="P2863" s="265"/>
      <c r="Q2863" s="265"/>
      <c r="BR2863" s="265"/>
      <c r="BS2863" s="265"/>
      <c r="BT2863" s="265"/>
      <c r="BU2863" s="265"/>
      <c r="BV2863" s="265"/>
    </row>
    <row r="2864" spans="12:74">
      <c r="L2864" s="265"/>
      <c r="M2864" s="265"/>
      <c r="N2864" s="265"/>
      <c r="O2864" s="265"/>
      <c r="P2864" s="265"/>
      <c r="Q2864" s="265"/>
      <c r="BR2864" s="265"/>
      <c r="BS2864" s="265"/>
      <c r="BT2864" s="265"/>
      <c r="BU2864" s="265"/>
      <c r="BV2864" s="265"/>
    </row>
    <row r="2865" spans="12:74">
      <c r="L2865" s="265"/>
      <c r="M2865" s="265"/>
      <c r="N2865" s="265"/>
      <c r="O2865" s="265"/>
      <c r="P2865" s="265"/>
      <c r="Q2865" s="265"/>
      <c r="BR2865" s="265"/>
      <c r="BS2865" s="265"/>
      <c r="BT2865" s="265"/>
      <c r="BU2865" s="265"/>
      <c r="BV2865" s="265"/>
    </row>
    <row r="2866" spans="12:74">
      <c r="L2866" s="265"/>
      <c r="M2866" s="265"/>
      <c r="N2866" s="265"/>
      <c r="O2866" s="265"/>
      <c r="P2866" s="265"/>
      <c r="Q2866" s="265"/>
      <c r="BR2866" s="265"/>
      <c r="BS2866" s="265"/>
      <c r="BT2866" s="265"/>
      <c r="BU2866" s="265"/>
      <c r="BV2866" s="265"/>
    </row>
    <row r="2867" spans="12:74">
      <c r="L2867" s="265"/>
      <c r="M2867" s="265"/>
      <c r="N2867" s="265"/>
      <c r="O2867" s="265"/>
      <c r="P2867" s="265"/>
      <c r="Q2867" s="265"/>
      <c r="BR2867" s="265"/>
      <c r="BS2867" s="265"/>
      <c r="BT2867" s="265"/>
      <c r="BU2867" s="265"/>
      <c r="BV2867" s="265"/>
    </row>
    <row r="2868" spans="12:74">
      <c r="L2868" s="265"/>
      <c r="M2868" s="265"/>
      <c r="N2868" s="265"/>
      <c r="O2868" s="265"/>
      <c r="P2868" s="265"/>
      <c r="Q2868" s="265"/>
      <c r="BR2868" s="265"/>
      <c r="BS2868" s="265"/>
      <c r="BT2868" s="265"/>
      <c r="BU2868" s="265"/>
      <c r="BV2868" s="265"/>
    </row>
    <row r="2869" spans="12:74">
      <c r="L2869" s="265"/>
      <c r="M2869" s="265"/>
      <c r="N2869" s="265"/>
      <c r="O2869" s="265"/>
      <c r="P2869" s="265"/>
      <c r="Q2869" s="265"/>
      <c r="BR2869" s="265"/>
      <c r="BS2869" s="265"/>
      <c r="BT2869" s="265"/>
      <c r="BU2869" s="265"/>
      <c r="BV2869" s="265"/>
    </row>
    <row r="2870" spans="12:74">
      <c r="L2870" s="265"/>
      <c r="M2870" s="265"/>
      <c r="N2870" s="265"/>
      <c r="O2870" s="265"/>
      <c r="P2870" s="265"/>
      <c r="Q2870" s="265"/>
      <c r="BR2870" s="265"/>
      <c r="BS2870" s="265"/>
      <c r="BT2870" s="265"/>
      <c r="BU2870" s="265"/>
      <c r="BV2870" s="265"/>
    </row>
    <row r="2871" spans="12:74">
      <c r="L2871" s="265"/>
      <c r="M2871" s="265"/>
      <c r="N2871" s="265"/>
      <c r="O2871" s="265"/>
      <c r="P2871" s="265"/>
      <c r="Q2871" s="265"/>
      <c r="BR2871" s="265"/>
      <c r="BS2871" s="265"/>
      <c r="BT2871" s="265"/>
      <c r="BU2871" s="265"/>
      <c r="BV2871" s="265"/>
    </row>
    <row r="2872" spans="12:74">
      <c r="L2872" s="265"/>
      <c r="M2872" s="265"/>
      <c r="N2872" s="265"/>
      <c r="O2872" s="265"/>
      <c r="P2872" s="265"/>
      <c r="Q2872" s="265"/>
      <c r="BR2872" s="265"/>
      <c r="BS2872" s="265"/>
      <c r="BT2872" s="265"/>
      <c r="BU2872" s="265"/>
      <c r="BV2872" s="265"/>
    </row>
    <row r="2873" spans="12:74">
      <c r="L2873" s="265"/>
      <c r="M2873" s="265"/>
      <c r="N2873" s="265"/>
      <c r="O2873" s="265"/>
      <c r="P2873" s="265"/>
      <c r="Q2873" s="265"/>
      <c r="BR2873" s="265"/>
      <c r="BS2873" s="265"/>
      <c r="BT2873" s="265"/>
      <c r="BU2873" s="265"/>
      <c r="BV2873" s="265"/>
    </row>
    <row r="2874" spans="12:74">
      <c r="L2874" s="265"/>
      <c r="M2874" s="265"/>
      <c r="N2874" s="265"/>
      <c r="O2874" s="265"/>
      <c r="P2874" s="265"/>
      <c r="Q2874" s="265"/>
      <c r="BR2874" s="265"/>
      <c r="BS2874" s="265"/>
      <c r="BT2874" s="265"/>
      <c r="BU2874" s="265"/>
      <c r="BV2874" s="265"/>
    </row>
    <row r="2875" spans="12:74">
      <c r="L2875" s="265"/>
      <c r="M2875" s="265"/>
      <c r="N2875" s="265"/>
      <c r="O2875" s="265"/>
      <c r="P2875" s="265"/>
      <c r="Q2875" s="265"/>
      <c r="BR2875" s="265"/>
      <c r="BS2875" s="265"/>
      <c r="BT2875" s="265"/>
      <c r="BU2875" s="265"/>
      <c r="BV2875" s="265"/>
    </row>
    <row r="2876" spans="12:74">
      <c r="L2876" s="265"/>
      <c r="M2876" s="265"/>
      <c r="N2876" s="265"/>
      <c r="O2876" s="265"/>
      <c r="P2876" s="265"/>
      <c r="Q2876" s="265"/>
      <c r="BR2876" s="265"/>
      <c r="BS2876" s="265"/>
      <c r="BT2876" s="265"/>
      <c r="BU2876" s="265"/>
      <c r="BV2876" s="265"/>
    </row>
    <row r="2877" spans="12:74">
      <c r="L2877" s="265"/>
      <c r="M2877" s="265"/>
      <c r="N2877" s="265"/>
      <c r="O2877" s="265"/>
      <c r="P2877" s="265"/>
      <c r="Q2877" s="265"/>
      <c r="BR2877" s="265"/>
      <c r="BS2877" s="265"/>
      <c r="BT2877" s="265"/>
      <c r="BU2877" s="265"/>
      <c r="BV2877" s="265"/>
    </row>
    <row r="2878" spans="12:74">
      <c r="L2878" s="265"/>
      <c r="M2878" s="265"/>
      <c r="N2878" s="265"/>
      <c r="O2878" s="265"/>
      <c r="P2878" s="265"/>
      <c r="Q2878" s="265"/>
      <c r="BR2878" s="265"/>
      <c r="BS2878" s="265"/>
      <c r="BT2878" s="265"/>
      <c r="BU2878" s="265"/>
      <c r="BV2878" s="265"/>
    </row>
    <row r="2879" spans="12:74">
      <c r="L2879" s="265"/>
      <c r="M2879" s="265"/>
      <c r="N2879" s="265"/>
      <c r="O2879" s="265"/>
      <c r="P2879" s="265"/>
      <c r="Q2879" s="265"/>
      <c r="BR2879" s="265"/>
      <c r="BS2879" s="265"/>
      <c r="BT2879" s="265"/>
      <c r="BU2879" s="265"/>
      <c r="BV2879" s="265"/>
    </row>
    <row r="2880" spans="12:74">
      <c r="L2880" s="265"/>
      <c r="M2880" s="265"/>
      <c r="N2880" s="265"/>
      <c r="O2880" s="265"/>
      <c r="P2880" s="265"/>
      <c r="Q2880" s="265"/>
      <c r="BR2880" s="265"/>
      <c r="BS2880" s="265"/>
      <c r="BT2880" s="265"/>
      <c r="BU2880" s="265"/>
      <c r="BV2880" s="265"/>
    </row>
    <row r="2881" spans="12:74">
      <c r="L2881" s="265"/>
      <c r="M2881" s="265"/>
      <c r="N2881" s="265"/>
      <c r="O2881" s="265"/>
      <c r="P2881" s="265"/>
      <c r="Q2881" s="265"/>
      <c r="BR2881" s="265"/>
      <c r="BS2881" s="265"/>
      <c r="BT2881" s="265"/>
      <c r="BU2881" s="265"/>
      <c r="BV2881" s="265"/>
    </row>
    <row r="2882" spans="12:74">
      <c r="L2882" s="265"/>
      <c r="M2882" s="265"/>
      <c r="N2882" s="265"/>
      <c r="O2882" s="265"/>
      <c r="P2882" s="265"/>
      <c r="Q2882" s="265"/>
      <c r="BR2882" s="265"/>
      <c r="BS2882" s="265"/>
      <c r="BT2882" s="265"/>
      <c r="BU2882" s="265"/>
      <c r="BV2882" s="265"/>
    </row>
    <row r="2883" spans="12:74">
      <c r="L2883" s="265"/>
      <c r="M2883" s="265"/>
      <c r="N2883" s="265"/>
      <c r="O2883" s="265"/>
      <c r="P2883" s="265"/>
      <c r="Q2883" s="265"/>
      <c r="BR2883" s="265"/>
      <c r="BS2883" s="265"/>
      <c r="BT2883" s="265"/>
      <c r="BU2883" s="265"/>
      <c r="BV2883" s="265"/>
    </row>
    <row r="2884" spans="12:74">
      <c r="L2884" s="265"/>
      <c r="M2884" s="265"/>
      <c r="N2884" s="265"/>
      <c r="O2884" s="265"/>
      <c r="P2884" s="265"/>
      <c r="Q2884" s="265"/>
      <c r="BR2884" s="265"/>
      <c r="BS2884" s="265"/>
      <c r="BT2884" s="265"/>
      <c r="BU2884" s="265"/>
      <c r="BV2884" s="265"/>
    </row>
    <row r="2885" spans="12:74">
      <c r="L2885" s="265"/>
      <c r="M2885" s="265"/>
      <c r="N2885" s="265"/>
      <c r="O2885" s="265"/>
      <c r="P2885" s="265"/>
      <c r="Q2885" s="265"/>
      <c r="BR2885" s="265"/>
      <c r="BS2885" s="265"/>
      <c r="BT2885" s="265"/>
      <c r="BU2885" s="265"/>
      <c r="BV2885" s="265"/>
    </row>
    <row r="2886" spans="12:74">
      <c r="L2886" s="265"/>
      <c r="M2886" s="265"/>
      <c r="N2886" s="265"/>
      <c r="O2886" s="265"/>
      <c r="P2886" s="265"/>
      <c r="Q2886" s="265"/>
      <c r="BR2886" s="265"/>
      <c r="BS2886" s="265"/>
      <c r="BT2886" s="265"/>
      <c r="BU2886" s="265"/>
      <c r="BV2886" s="265"/>
    </row>
    <row r="2887" spans="12:74">
      <c r="L2887" s="265"/>
      <c r="M2887" s="265"/>
      <c r="N2887" s="265"/>
      <c r="O2887" s="265"/>
      <c r="P2887" s="265"/>
      <c r="Q2887" s="265"/>
      <c r="BR2887" s="265"/>
      <c r="BS2887" s="265"/>
      <c r="BT2887" s="265"/>
      <c r="BU2887" s="265"/>
      <c r="BV2887" s="265"/>
    </row>
    <row r="2888" spans="12:74">
      <c r="L2888" s="265"/>
      <c r="M2888" s="265"/>
      <c r="N2888" s="265"/>
      <c r="O2888" s="265"/>
      <c r="P2888" s="265"/>
      <c r="Q2888" s="265"/>
      <c r="BR2888" s="265"/>
      <c r="BS2888" s="265"/>
      <c r="BT2888" s="265"/>
      <c r="BU2888" s="265"/>
      <c r="BV2888" s="265"/>
    </row>
    <row r="2889" spans="12:74">
      <c r="L2889" s="265"/>
      <c r="M2889" s="265"/>
      <c r="N2889" s="265"/>
      <c r="O2889" s="265"/>
      <c r="P2889" s="265"/>
      <c r="Q2889" s="265"/>
      <c r="BR2889" s="265"/>
      <c r="BS2889" s="265"/>
      <c r="BT2889" s="265"/>
      <c r="BU2889" s="265"/>
      <c r="BV2889" s="265"/>
    </row>
    <row r="2890" spans="12:74">
      <c r="L2890" s="265"/>
      <c r="M2890" s="265"/>
      <c r="N2890" s="265"/>
      <c r="O2890" s="265"/>
      <c r="P2890" s="265"/>
      <c r="Q2890" s="265"/>
      <c r="BR2890" s="265"/>
      <c r="BS2890" s="265"/>
      <c r="BT2890" s="265"/>
      <c r="BU2890" s="265"/>
      <c r="BV2890" s="265"/>
    </row>
    <row r="2891" spans="12:74">
      <c r="L2891" s="265"/>
      <c r="M2891" s="265"/>
      <c r="N2891" s="265"/>
      <c r="O2891" s="265"/>
      <c r="P2891" s="265"/>
      <c r="Q2891" s="265"/>
      <c r="BR2891" s="265"/>
      <c r="BS2891" s="265"/>
      <c r="BT2891" s="265"/>
      <c r="BU2891" s="265"/>
      <c r="BV2891" s="265"/>
    </row>
    <row r="2892" spans="12:74">
      <c r="L2892" s="265"/>
      <c r="M2892" s="265"/>
      <c r="N2892" s="265"/>
      <c r="O2892" s="265"/>
      <c r="P2892" s="265"/>
      <c r="Q2892" s="265"/>
      <c r="BR2892" s="265"/>
      <c r="BS2892" s="265"/>
      <c r="BT2892" s="265"/>
      <c r="BU2892" s="265"/>
      <c r="BV2892" s="265"/>
    </row>
    <row r="2893" spans="12:74">
      <c r="L2893" s="265"/>
      <c r="M2893" s="265"/>
      <c r="N2893" s="265"/>
      <c r="O2893" s="265"/>
      <c r="P2893" s="265"/>
      <c r="Q2893" s="265"/>
      <c r="BR2893" s="265"/>
      <c r="BS2893" s="265"/>
      <c r="BT2893" s="265"/>
      <c r="BU2893" s="265"/>
      <c r="BV2893" s="265"/>
    </row>
    <row r="2894" spans="12:74">
      <c r="L2894" s="265"/>
      <c r="M2894" s="265"/>
      <c r="N2894" s="265"/>
      <c r="O2894" s="265"/>
      <c r="P2894" s="265"/>
      <c r="Q2894" s="265"/>
      <c r="BR2894" s="265"/>
      <c r="BS2894" s="265"/>
      <c r="BT2894" s="265"/>
      <c r="BU2894" s="265"/>
      <c r="BV2894" s="265"/>
    </row>
    <row r="2895" spans="12:74">
      <c r="L2895" s="265"/>
      <c r="M2895" s="265"/>
      <c r="N2895" s="265"/>
      <c r="O2895" s="265"/>
      <c r="P2895" s="265"/>
      <c r="Q2895" s="265"/>
      <c r="BR2895" s="265"/>
      <c r="BS2895" s="265"/>
      <c r="BT2895" s="265"/>
      <c r="BU2895" s="265"/>
      <c r="BV2895" s="265"/>
    </row>
    <row r="2896" spans="12:74">
      <c r="L2896" s="265"/>
      <c r="M2896" s="265"/>
      <c r="N2896" s="265"/>
      <c r="O2896" s="265"/>
      <c r="P2896" s="265"/>
      <c r="Q2896" s="265"/>
      <c r="BR2896" s="265"/>
      <c r="BS2896" s="265"/>
      <c r="BT2896" s="265"/>
      <c r="BU2896" s="265"/>
      <c r="BV2896" s="265"/>
    </row>
    <row r="2897" spans="12:74">
      <c r="L2897" s="265"/>
      <c r="M2897" s="265"/>
      <c r="N2897" s="265"/>
      <c r="O2897" s="265"/>
      <c r="P2897" s="265"/>
      <c r="Q2897" s="265"/>
      <c r="BR2897" s="265"/>
      <c r="BS2897" s="265"/>
      <c r="BT2897" s="265"/>
      <c r="BU2897" s="265"/>
      <c r="BV2897" s="265"/>
    </row>
    <row r="2898" spans="12:74">
      <c r="L2898" s="265"/>
      <c r="M2898" s="265"/>
      <c r="N2898" s="265"/>
      <c r="O2898" s="265"/>
      <c r="P2898" s="265"/>
      <c r="Q2898" s="265"/>
      <c r="BR2898" s="265"/>
      <c r="BS2898" s="265"/>
      <c r="BT2898" s="265"/>
      <c r="BU2898" s="265"/>
      <c r="BV2898" s="265"/>
    </row>
    <row r="2899" spans="12:74">
      <c r="L2899" s="265"/>
      <c r="M2899" s="265"/>
      <c r="N2899" s="265"/>
      <c r="O2899" s="265"/>
      <c r="P2899" s="265"/>
      <c r="Q2899" s="265"/>
      <c r="BR2899" s="265"/>
      <c r="BS2899" s="265"/>
      <c r="BT2899" s="265"/>
      <c r="BU2899" s="265"/>
      <c r="BV2899" s="265"/>
    </row>
    <row r="2900" spans="12:74">
      <c r="L2900" s="265"/>
      <c r="M2900" s="265"/>
      <c r="N2900" s="265"/>
      <c r="O2900" s="265"/>
      <c r="P2900" s="265"/>
      <c r="Q2900" s="265"/>
      <c r="BR2900" s="265"/>
      <c r="BS2900" s="265"/>
      <c r="BT2900" s="265"/>
      <c r="BU2900" s="265"/>
      <c r="BV2900" s="265"/>
    </row>
    <row r="2901" spans="12:74">
      <c r="L2901" s="265"/>
      <c r="M2901" s="265"/>
      <c r="N2901" s="265"/>
      <c r="O2901" s="265"/>
      <c r="P2901" s="265"/>
      <c r="Q2901" s="265"/>
      <c r="BR2901" s="265"/>
      <c r="BS2901" s="265"/>
      <c r="BT2901" s="265"/>
      <c r="BU2901" s="265"/>
      <c r="BV2901" s="265"/>
    </row>
    <row r="2902" spans="12:74">
      <c r="L2902" s="265"/>
      <c r="M2902" s="265"/>
      <c r="N2902" s="265"/>
      <c r="O2902" s="265"/>
      <c r="P2902" s="265"/>
      <c r="Q2902" s="265"/>
      <c r="BR2902" s="265"/>
      <c r="BS2902" s="265"/>
      <c r="BT2902" s="265"/>
      <c r="BU2902" s="265"/>
      <c r="BV2902" s="265"/>
    </row>
    <row r="2903" spans="12:74">
      <c r="L2903" s="265"/>
      <c r="M2903" s="265"/>
      <c r="N2903" s="265"/>
      <c r="O2903" s="265"/>
      <c r="P2903" s="265"/>
      <c r="Q2903" s="265"/>
      <c r="BR2903" s="265"/>
      <c r="BS2903" s="265"/>
      <c r="BT2903" s="265"/>
      <c r="BU2903" s="265"/>
      <c r="BV2903" s="265"/>
    </row>
    <row r="2904" spans="12:74">
      <c r="L2904" s="265"/>
      <c r="M2904" s="265"/>
      <c r="N2904" s="265"/>
      <c r="O2904" s="265"/>
      <c r="P2904" s="265"/>
      <c r="Q2904" s="265"/>
      <c r="BR2904" s="265"/>
      <c r="BS2904" s="265"/>
      <c r="BT2904" s="265"/>
      <c r="BU2904" s="265"/>
      <c r="BV2904" s="265"/>
    </row>
    <row r="2905" spans="12:74">
      <c r="L2905" s="265"/>
      <c r="M2905" s="265"/>
      <c r="N2905" s="265"/>
      <c r="O2905" s="265"/>
      <c r="P2905" s="265"/>
      <c r="Q2905" s="265"/>
      <c r="BR2905" s="265"/>
      <c r="BS2905" s="265"/>
      <c r="BT2905" s="265"/>
      <c r="BU2905" s="265"/>
      <c r="BV2905" s="265"/>
    </row>
    <row r="2906" spans="12:74">
      <c r="L2906" s="265"/>
      <c r="M2906" s="265"/>
      <c r="N2906" s="265"/>
      <c r="O2906" s="265"/>
      <c r="P2906" s="265"/>
      <c r="Q2906" s="265"/>
      <c r="BR2906" s="265"/>
      <c r="BS2906" s="265"/>
      <c r="BT2906" s="265"/>
      <c r="BU2906" s="265"/>
      <c r="BV2906" s="265"/>
    </row>
    <row r="2907" spans="12:74">
      <c r="L2907" s="265"/>
      <c r="M2907" s="265"/>
      <c r="N2907" s="265"/>
      <c r="O2907" s="265"/>
      <c r="P2907" s="265"/>
      <c r="Q2907" s="265"/>
      <c r="BR2907" s="265"/>
      <c r="BS2907" s="265"/>
      <c r="BT2907" s="265"/>
      <c r="BU2907" s="265"/>
      <c r="BV2907" s="265"/>
    </row>
    <row r="2908" spans="12:74">
      <c r="L2908" s="265"/>
      <c r="M2908" s="265"/>
      <c r="N2908" s="265"/>
      <c r="O2908" s="265"/>
      <c r="P2908" s="265"/>
      <c r="Q2908" s="265"/>
      <c r="BR2908" s="265"/>
      <c r="BS2908" s="265"/>
      <c r="BT2908" s="265"/>
      <c r="BU2908" s="265"/>
      <c r="BV2908" s="265"/>
    </row>
    <row r="2909" spans="12:74">
      <c r="L2909" s="265"/>
      <c r="M2909" s="265"/>
      <c r="N2909" s="265"/>
      <c r="O2909" s="265"/>
      <c r="P2909" s="265"/>
      <c r="Q2909" s="265"/>
      <c r="BR2909" s="265"/>
      <c r="BS2909" s="265"/>
      <c r="BT2909" s="265"/>
      <c r="BU2909" s="265"/>
      <c r="BV2909" s="265"/>
    </row>
    <row r="2910" spans="12:74">
      <c r="L2910" s="265"/>
      <c r="M2910" s="265"/>
      <c r="N2910" s="265"/>
      <c r="O2910" s="265"/>
      <c r="P2910" s="265"/>
      <c r="Q2910" s="265"/>
      <c r="BR2910" s="265"/>
      <c r="BS2910" s="265"/>
      <c r="BT2910" s="265"/>
      <c r="BU2910" s="265"/>
      <c r="BV2910" s="265"/>
    </row>
    <row r="2911" spans="12:74">
      <c r="L2911" s="265"/>
      <c r="M2911" s="265"/>
      <c r="N2911" s="265"/>
      <c r="O2911" s="265"/>
      <c r="P2911" s="265"/>
      <c r="Q2911" s="265"/>
      <c r="BR2911" s="265"/>
      <c r="BS2911" s="265"/>
      <c r="BT2911" s="265"/>
      <c r="BU2911" s="265"/>
      <c r="BV2911" s="265"/>
    </row>
    <row r="2912" spans="12:74">
      <c r="L2912" s="265"/>
      <c r="M2912" s="265"/>
      <c r="N2912" s="265"/>
      <c r="O2912" s="265"/>
      <c r="P2912" s="265"/>
      <c r="Q2912" s="265"/>
      <c r="BR2912" s="265"/>
      <c r="BS2912" s="265"/>
      <c r="BT2912" s="265"/>
      <c r="BU2912" s="265"/>
      <c r="BV2912" s="265"/>
    </row>
    <row r="2913" spans="12:74">
      <c r="L2913" s="265"/>
      <c r="M2913" s="265"/>
      <c r="N2913" s="265"/>
      <c r="O2913" s="265"/>
      <c r="P2913" s="265"/>
      <c r="Q2913" s="265"/>
      <c r="BR2913" s="265"/>
      <c r="BS2913" s="265"/>
      <c r="BT2913" s="265"/>
      <c r="BU2913" s="265"/>
      <c r="BV2913" s="265"/>
    </row>
    <row r="2914" spans="12:74">
      <c r="L2914" s="265"/>
      <c r="M2914" s="265"/>
      <c r="N2914" s="265"/>
      <c r="O2914" s="265"/>
      <c r="P2914" s="265"/>
      <c r="Q2914" s="265"/>
      <c r="BR2914" s="265"/>
      <c r="BS2914" s="265"/>
      <c r="BT2914" s="265"/>
      <c r="BU2914" s="265"/>
      <c r="BV2914" s="265"/>
    </row>
    <row r="2915" spans="12:74">
      <c r="L2915" s="265"/>
      <c r="M2915" s="265"/>
      <c r="N2915" s="265"/>
      <c r="O2915" s="265"/>
      <c r="P2915" s="265"/>
      <c r="Q2915" s="265"/>
      <c r="BR2915" s="265"/>
      <c r="BS2915" s="265"/>
      <c r="BT2915" s="265"/>
      <c r="BU2915" s="265"/>
      <c r="BV2915" s="265"/>
    </row>
    <row r="2916" spans="12:74">
      <c r="L2916" s="265"/>
      <c r="M2916" s="265"/>
      <c r="N2916" s="265"/>
      <c r="O2916" s="265"/>
      <c r="P2916" s="265"/>
      <c r="Q2916" s="265"/>
      <c r="BR2916" s="265"/>
      <c r="BS2916" s="265"/>
      <c r="BT2916" s="265"/>
      <c r="BU2916" s="265"/>
      <c r="BV2916" s="265"/>
    </row>
    <row r="2917" spans="12:74">
      <c r="L2917" s="265"/>
      <c r="M2917" s="265"/>
      <c r="N2917" s="265"/>
      <c r="O2917" s="265"/>
      <c r="P2917" s="265"/>
      <c r="Q2917" s="265"/>
      <c r="BR2917" s="265"/>
      <c r="BS2917" s="265"/>
      <c r="BT2917" s="265"/>
      <c r="BU2917" s="265"/>
      <c r="BV2917" s="265"/>
    </row>
    <row r="2918" spans="12:74">
      <c r="L2918" s="265"/>
      <c r="M2918" s="265"/>
      <c r="N2918" s="265"/>
      <c r="O2918" s="265"/>
      <c r="P2918" s="265"/>
      <c r="Q2918" s="265"/>
      <c r="BR2918" s="265"/>
      <c r="BS2918" s="265"/>
      <c r="BT2918" s="265"/>
      <c r="BU2918" s="265"/>
      <c r="BV2918" s="265"/>
    </row>
    <row r="2919" spans="12:74">
      <c r="L2919" s="265"/>
      <c r="M2919" s="265"/>
      <c r="N2919" s="265"/>
      <c r="O2919" s="265"/>
      <c r="P2919" s="265"/>
      <c r="Q2919" s="265"/>
      <c r="BR2919" s="265"/>
      <c r="BS2919" s="265"/>
      <c r="BT2919" s="265"/>
      <c r="BU2919" s="265"/>
      <c r="BV2919" s="265"/>
    </row>
    <row r="2920" spans="12:74">
      <c r="L2920" s="265"/>
      <c r="M2920" s="265"/>
      <c r="N2920" s="265"/>
      <c r="O2920" s="265"/>
      <c r="P2920" s="265"/>
      <c r="Q2920" s="265"/>
      <c r="BR2920" s="265"/>
      <c r="BS2920" s="265"/>
      <c r="BT2920" s="265"/>
      <c r="BU2920" s="265"/>
      <c r="BV2920" s="265"/>
    </row>
    <row r="2921" spans="12:74">
      <c r="L2921" s="265"/>
      <c r="M2921" s="265"/>
      <c r="N2921" s="265"/>
      <c r="O2921" s="265"/>
      <c r="P2921" s="265"/>
      <c r="Q2921" s="265"/>
      <c r="BR2921" s="265"/>
      <c r="BS2921" s="265"/>
      <c r="BT2921" s="265"/>
      <c r="BU2921" s="265"/>
      <c r="BV2921" s="265"/>
    </row>
    <row r="2922" spans="12:74">
      <c r="L2922" s="265"/>
      <c r="M2922" s="265"/>
      <c r="N2922" s="265"/>
      <c r="O2922" s="265"/>
      <c r="P2922" s="265"/>
      <c r="Q2922" s="265"/>
      <c r="BR2922" s="265"/>
      <c r="BS2922" s="265"/>
      <c r="BT2922" s="265"/>
      <c r="BU2922" s="265"/>
      <c r="BV2922" s="265"/>
    </row>
    <row r="2923" spans="12:74">
      <c r="L2923" s="265"/>
      <c r="M2923" s="265"/>
      <c r="N2923" s="265"/>
      <c r="O2923" s="265"/>
      <c r="P2923" s="265"/>
      <c r="Q2923" s="265"/>
      <c r="BR2923" s="265"/>
      <c r="BS2923" s="265"/>
      <c r="BT2923" s="265"/>
      <c r="BU2923" s="265"/>
      <c r="BV2923" s="265"/>
    </row>
    <row r="2924" spans="12:74">
      <c r="L2924" s="265"/>
      <c r="M2924" s="265"/>
      <c r="N2924" s="265"/>
      <c r="O2924" s="265"/>
      <c r="P2924" s="265"/>
      <c r="Q2924" s="265"/>
      <c r="BR2924" s="265"/>
      <c r="BS2924" s="265"/>
      <c r="BT2924" s="265"/>
      <c r="BU2924" s="265"/>
      <c r="BV2924" s="265"/>
    </row>
    <row r="2925" spans="12:74">
      <c r="L2925" s="265"/>
      <c r="M2925" s="265"/>
      <c r="N2925" s="265"/>
      <c r="O2925" s="265"/>
      <c r="P2925" s="265"/>
      <c r="Q2925" s="265"/>
      <c r="BR2925" s="265"/>
      <c r="BS2925" s="265"/>
      <c r="BT2925" s="265"/>
      <c r="BU2925" s="265"/>
      <c r="BV2925" s="265"/>
    </row>
    <row r="2926" spans="12:74">
      <c r="L2926" s="265"/>
      <c r="M2926" s="265"/>
      <c r="N2926" s="265"/>
      <c r="O2926" s="265"/>
      <c r="P2926" s="265"/>
      <c r="Q2926" s="265"/>
      <c r="BR2926" s="265"/>
      <c r="BS2926" s="265"/>
      <c r="BT2926" s="265"/>
      <c r="BU2926" s="265"/>
      <c r="BV2926" s="265"/>
    </row>
    <row r="2927" spans="12:74">
      <c r="L2927" s="265"/>
      <c r="M2927" s="265"/>
      <c r="N2927" s="265"/>
      <c r="O2927" s="265"/>
      <c r="P2927" s="265"/>
      <c r="Q2927" s="265"/>
      <c r="BR2927" s="265"/>
      <c r="BS2927" s="265"/>
      <c r="BT2927" s="265"/>
      <c r="BU2927" s="265"/>
      <c r="BV2927" s="265"/>
    </row>
    <row r="2928" spans="12:74">
      <c r="L2928" s="265"/>
      <c r="M2928" s="265"/>
      <c r="N2928" s="265"/>
      <c r="O2928" s="265"/>
      <c r="P2928" s="265"/>
      <c r="Q2928" s="265"/>
      <c r="BR2928" s="265"/>
      <c r="BS2928" s="265"/>
      <c r="BT2928" s="265"/>
      <c r="BU2928" s="265"/>
      <c r="BV2928" s="265"/>
    </row>
    <row r="2929" spans="12:74">
      <c r="L2929" s="265"/>
      <c r="M2929" s="265"/>
      <c r="N2929" s="265"/>
      <c r="O2929" s="265"/>
      <c r="P2929" s="265"/>
      <c r="Q2929" s="265"/>
      <c r="BR2929" s="265"/>
      <c r="BS2929" s="265"/>
      <c r="BT2929" s="265"/>
      <c r="BU2929" s="265"/>
      <c r="BV2929" s="265"/>
    </row>
    <row r="2930" spans="12:74">
      <c r="L2930" s="265"/>
      <c r="M2930" s="265"/>
      <c r="N2930" s="265"/>
      <c r="O2930" s="265"/>
      <c r="P2930" s="265"/>
      <c r="Q2930" s="265"/>
      <c r="BR2930" s="265"/>
      <c r="BS2930" s="265"/>
      <c r="BT2930" s="265"/>
      <c r="BU2930" s="265"/>
      <c r="BV2930" s="265"/>
    </row>
    <row r="2931" spans="12:74">
      <c r="L2931" s="265"/>
      <c r="M2931" s="265"/>
      <c r="N2931" s="265"/>
      <c r="O2931" s="265"/>
      <c r="P2931" s="265"/>
      <c r="Q2931" s="265"/>
      <c r="BR2931" s="265"/>
      <c r="BS2931" s="265"/>
      <c r="BT2931" s="265"/>
      <c r="BU2931" s="265"/>
      <c r="BV2931" s="265"/>
    </row>
    <row r="2932" spans="12:74">
      <c r="L2932" s="265"/>
      <c r="M2932" s="265"/>
      <c r="N2932" s="265"/>
      <c r="O2932" s="265"/>
      <c r="P2932" s="265"/>
      <c r="Q2932" s="265"/>
      <c r="BR2932" s="265"/>
      <c r="BS2932" s="265"/>
      <c r="BT2932" s="265"/>
      <c r="BU2932" s="265"/>
      <c r="BV2932" s="265"/>
    </row>
    <row r="2933" spans="12:74">
      <c r="L2933" s="265"/>
      <c r="M2933" s="265"/>
      <c r="N2933" s="265"/>
      <c r="O2933" s="265"/>
      <c r="P2933" s="265"/>
      <c r="Q2933" s="265"/>
      <c r="BR2933" s="265"/>
      <c r="BS2933" s="265"/>
      <c r="BT2933" s="265"/>
      <c r="BU2933" s="265"/>
      <c r="BV2933" s="265"/>
    </row>
    <row r="2934" spans="12:74">
      <c r="L2934" s="265"/>
      <c r="M2934" s="265"/>
      <c r="N2934" s="265"/>
      <c r="O2934" s="265"/>
      <c r="P2934" s="265"/>
      <c r="Q2934" s="265"/>
      <c r="BR2934" s="265"/>
      <c r="BS2934" s="265"/>
      <c r="BT2934" s="265"/>
      <c r="BU2934" s="265"/>
      <c r="BV2934" s="265"/>
    </row>
    <row r="2935" spans="12:74">
      <c r="L2935" s="265"/>
      <c r="M2935" s="265"/>
      <c r="N2935" s="265"/>
      <c r="O2935" s="265"/>
      <c r="P2935" s="265"/>
      <c r="Q2935" s="265"/>
      <c r="BR2935" s="265"/>
      <c r="BS2935" s="265"/>
      <c r="BT2935" s="265"/>
      <c r="BU2935" s="265"/>
      <c r="BV2935" s="265"/>
    </row>
    <row r="2936" spans="12:74">
      <c r="L2936" s="265"/>
      <c r="M2936" s="265"/>
      <c r="N2936" s="265"/>
      <c r="O2936" s="265"/>
      <c r="P2936" s="265"/>
      <c r="Q2936" s="265"/>
      <c r="BR2936" s="265"/>
      <c r="BS2936" s="265"/>
      <c r="BT2936" s="265"/>
      <c r="BU2936" s="265"/>
      <c r="BV2936" s="265"/>
    </row>
    <row r="2937" spans="12:74">
      <c r="L2937" s="265"/>
      <c r="M2937" s="265"/>
      <c r="N2937" s="265"/>
      <c r="O2937" s="265"/>
      <c r="P2937" s="265"/>
      <c r="Q2937" s="265"/>
      <c r="BR2937" s="265"/>
      <c r="BS2937" s="265"/>
      <c r="BT2937" s="265"/>
      <c r="BU2937" s="265"/>
      <c r="BV2937" s="265"/>
    </row>
    <row r="2938" spans="12:74">
      <c r="L2938" s="265"/>
      <c r="M2938" s="265"/>
      <c r="N2938" s="265"/>
      <c r="O2938" s="265"/>
      <c r="P2938" s="265"/>
      <c r="Q2938" s="265"/>
      <c r="BR2938" s="265"/>
      <c r="BS2938" s="265"/>
      <c r="BT2938" s="265"/>
      <c r="BU2938" s="265"/>
      <c r="BV2938" s="265"/>
    </row>
    <row r="2939" spans="12:74">
      <c r="L2939" s="265"/>
      <c r="M2939" s="265"/>
      <c r="N2939" s="265"/>
      <c r="O2939" s="265"/>
      <c r="P2939" s="265"/>
      <c r="Q2939" s="265"/>
      <c r="BR2939" s="265"/>
      <c r="BS2939" s="265"/>
      <c r="BT2939" s="265"/>
      <c r="BU2939" s="265"/>
      <c r="BV2939" s="265"/>
    </row>
    <row r="2940" spans="12:74">
      <c r="L2940" s="265"/>
      <c r="M2940" s="265"/>
      <c r="N2940" s="265"/>
      <c r="O2940" s="265"/>
      <c r="P2940" s="265"/>
      <c r="Q2940" s="265"/>
      <c r="BR2940" s="265"/>
      <c r="BS2940" s="265"/>
      <c r="BT2940" s="265"/>
      <c r="BU2940" s="265"/>
      <c r="BV2940" s="265"/>
    </row>
    <row r="2941" spans="12:74">
      <c r="L2941" s="265"/>
      <c r="M2941" s="265"/>
      <c r="N2941" s="265"/>
      <c r="O2941" s="265"/>
      <c r="P2941" s="265"/>
      <c r="Q2941" s="265"/>
      <c r="BR2941" s="265"/>
      <c r="BS2941" s="265"/>
      <c r="BT2941" s="265"/>
      <c r="BU2941" s="265"/>
      <c r="BV2941" s="265"/>
    </row>
    <row r="2942" spans="12:74">
      <c r="L2942" s="265"/>
      <c r="M2942" s="265"/>
      <c r="N2942" s="265"/>
      <c r="O2942" s="265"/>
      <c r="P2942" s="265"/>
      <c r="Q2942" s="265"/>
      <c r="BR2942" s="265"/>
      <c r="BS2942" s="265"/>
      <c r="BT2942" s="265"/>
      <c r="BU2942" s="265"/>
      <c r="BV2942" s="265"/>
    </row>
    <row r="2943" spans="12:74">
      <c r="L2943" s="265"/>
      <c r="M2943" s="265"/>
      <c r="N2943" s="265"/>
      <c r="O2943" s="265"/>
      <c r="P2943" s="265"/>
      <c r="Q2943" s="265"/>
      <c r="BR2943" s="265"/>
      <c r="BS2943" s="265"/>
      <c r="BT2943" s="265"/>
      <c r="BU2943" s="265"/>
      <c r="BV2943" s="265"/>
    </row>
    <row r="2944" spans="12:74">
      <c r="L2944" s="265"/>
      <c r="M2944" s="265"/>
      <c r="N2944" s="265"/>
      <c r="O2944" s="265"/>
      <c r="P2944" s="265"/>
      <c r="Q2944" s="265"/>
      <c r="BR2944" s="265"/>
      <c r="BS2944" s="265"/>
      <c r="BT2944" s="265"/>
      <c r="BU2944" s="265"/>
      <c r="BV2944" s="265"/>
    </row>
    <row r="2945" spans="12:74">
      <c r="L2945" s="265"/>
      <c r="M2945" s="265"/>
      <c r="N2945" s="265"/>
      <c r="O2945" s="265"/>
      <c r="P2945" s="265"/>
      <c r="Q2945" s="265"/>
      <c r="BR2945" s="265"/>
      <c r="BS2945" s="265"/>
      <c r="BT2945" s="265"/>
      <c r="BU2945" s="265"/>
      <c r="BV2945" s="265"/>
    </row>
    <row r="2946" spans="12:74">
      <c r="L2946" s="265"/>
      <c r="M2946" s="265"/>
      <c r="N2946" s="265"/>
      <c r="O2946" s="265"/>
      <c r="P2946" s="265"/>
      <c r="Q2946" s="265"/>
      <c r="BR2946" s="265"/>
      <c r="BS2946" s="265"/>
      <c r="BT2946" s="265"/>
      <c r="BU2946" s="265"/>
      <c r="BV2946" s="265"/>
    </row>
    <row r="2947" spans="12:74">
      <c r="L2947" s="265"/>
      <c r="M2947" s="265"/>
      <c r="N2947" s="265"/>
      <c r="O2947" s="265"/>
      <c r="P2947" s="265"/>
      <c r="Q2947" s="265"/>
      <c r="BR2947" s="265"/>
      <c r="BS2947" s="265"/>
      <c r="BT2947" s="265"/>
      <c r="BU2947" s="265"/>
      <c r="BV2947" s="265"/>
    </row>
    <row r="2948" spans="12:74">
      <c r="L2948" s="265"/>
      <c r="M2948" s="265"/>
      <c r="N2948" s="265"/>
      <c r="O2948" s="265"/>
      <c r="P2948" s="265"/>
      <c r="Q2948" s="265"/>
      <c r="BR2948" s="265"/>
      <c r="BS2948" s="265"/>
      <c r="BT2948" s="265"/>
      <c r="BU2948" s="265"/>
      <c r="BV2948" s="265"/>
    </row>
    <row r="2949" spans="12:74">
      <c r="L2949" s="265"/>
      <c r="M2949" s="265"/>
      <c r="N2949" s="265"/>
      <c r="O2949" s="265"/>
      <c r="P2949" s="265"/>
      <c r="Q2949" s="265"/>
      <c r="BR2949" s="265"/>
      <c r="BS2949" s="265"/>
      <c r="BT2949" s="265"/>
      <c r="BU2949" s="265"/>
      <c r="BV2949" s="265"/>
    </row>
    <row r="2950" spans="12:74">
      <c r="L2950" s="265"/>
      <c r="M2950" s="265"/>
      <c r="N2950" s="265"/>
      <c r="O2950" s="265"/>
      <c r="P2950" s="265"/>
      <c r="Q2950" s="265"/>
      <c r="BR2950" s="265"/>
      <c r="BS2950" s="265"/>
      <c r="BT2950" s="265"/>
      <c r="BU2950" s="265"/>
      <c r="BV2950" s="265"/>
    </row>
    <row r="2951" spans="12:74">
      <c r="L2951" s="265"/>
      <c r="M2951" s="265"/>
      <c r="N2951" s="265"/>
      <c r="O2951" s="265"/>
      <c r="P2951" s="265"/>
      <c r="Q2951" s="265"/>
      <c r="BR2951" s="265"/>
      <c r="BS2951" s="265"/>
      <c r="BT2951" s="265"/>
      <c r="BU2951" s="265"/>
      <c r="BV2951" s="265"/>
    </row>
    <row r="2952" spans="12:74">
      <c r="L2952" s="265"/>
      <c r="M2952" s="265"/>
      <c r="N2952" s="265"/>
      <c r="O2952" s="265"/>
      <c r="P2952" s="265"/>
      <c r="Q2952" s="265"/>
      <c r="BR2952" s="265"/>
      <c r="BS2952" s="265"/>
      <c r="BT2952" s="265"/>
      <c r="BU2952" s="265"/>
      <c r="BV2952" s="265"/>
    </row>
    <row r="2953" spans="12:74">
      <c r="L2953" s="265"/>
      <c r="M2953" s="265"/>
      <c r="N2953" s="265"/>
      <c r="O2953" s="265"/>
      <c r="P2953" s="265"/>
      <c r="Q2953" s="265"/>
      <c r="BR2953" s="265"/>
      <c r="BS2953" s="265"/>
      <c r="BT2953" s="265"/>
      <c r="BU2953" s="265"/>
      <c r="BV2953" s="265"/>
    </row>
    <row r="2954" spans="12:74">
      <c r="L2954" s="265"/>
      <c r="M2954" s="265"/>
      <c r="N2954" s="265"/>
      <c r="O2954" s="265"/>
      <c r="P2954" s="265"/>
      <c r="Q2954" s="265"/>
      <c r="BR2954" s="265"/>
      <c r="BS2954" s="265"/>
      <c r="BT2954" s="265"/>
      <c r="BU2954" s="265"/>
      <c r="BV2954" s="265"/>
    </row>
    <row r="2955" spans="12:74">
      <c r="L2955" s="265"/>
      <c r="M2955" s="265"/>
      <c r="N2955" s="265"/>
      <c r="O2955" s="265"/>
      <c r="P2955" s="265"/>
      <c r="Q2955" s="265"/>
      <c r="BR2955" s="265"/>
      <c r="BS2955" s="265"/>
      <c r="BT2955" s="265"/>
      <c r="BU2955" s="265"/>
      <c r="BV2955" s="265"/>
    </row>
    <row r="2956" spans="12:74">
      <c r="L2956" s="265"/>
      <c r="M2956" s="265"/>
      <c r="N2956" s="265"/>
      <c r="O2956" s="265"/>
      <c r="P2956" s="265"/>
      <c r="Q2956" s="265"/>
      <c r="BR2956" s="265"/>
      <c r="BS2956" s="265"/>
      <c r="BT2956" s="265"/>
      <c r="BU2956" s="265"/>
      <c r="BV2956" s="265"/>
    </row>
    <row r="2957" spans="12:74">
      <c r="L2957" s="265"/>
      <c r="M2957" s="265"/>
      <c r="N2957" s="265"/>
      <c r="O2957" s="265"/>
      <c r="P2957" s="265"/>
      <c r="Q2957" s="265"/>
      <c r="BR2957" s="265"/>
      <c r="BS2957" s="265"/>
      <c r="BT2957" s="265"/>
      <c r="BU2957" s="265"/>
      <c r="BV2957" s="265"/>
    </row>
    <row r="2958" spans="12:74">
      <c r="L2958" s="265"/>
      <c r="M2958" s="265"/>
      <c r="N2958" s="265"/>
      <c r="O2958" s="265"/>
      <c r="P2958" s="265"/>
      <c r="Q2958" s="265"/>
      <c r="BR2958" s="265"/>
      <c r="BS2958" s="265"/>
      <c r="BT2958" s="265"/>
      <c r="BU2958" s="265"/>
      <c r="BV2958" s="265"/>
    </row>
    <row r="2959" spans="12:74">
      <c r="L2959" s="265"/>
      <c r="M2959" s="265"/>
      <c r="N2959" s="265"/>
      <c r="O2959" s="265"/>
      <c r="P2959" s="265"/>
      <c r="Q2959" s="265"/>
      <c r="BR2959" s="265"/>
      <c r="BS2959" s="265"/>
      <c r="BT2959" s="265"/>
      <c r="BU2959" s="265"/>
      <c r="BV2959" s="265"/>
    </row>
    <row r="2960" spans="12:74">
      <c r="L2960" s="265"/>
      <c r="M2960" s="265"/>
      <c r="N2960" s="265"/>
      <c r="O2960" s="265"/>
      <c r="P2960" s="265"/>
      <c r="Q2960" s="265"/>
      <c r="BR2960" s="265"/>
      <c r="BS2960" s="265"/>
      <c r="BT2960" s="265"/>
      <c r="BU2960" s="265"/>
      <c r="BV2960" s="265"/>
    </row>
    <row r="2961" spans="12:74">
      <c r="L2961" s="265"/>
      <c r="M2961" s="265"/>
      <c r="N2961" s="265"/>
      <c r="O2961" s="265"/>
      <c r="P2961" s="265"/>
      <c r="Q2961" s="265"/>
      <c r="BR2961" s="265"/>
      <c r="BS2961" s="265"/>
      <c r="BT2961" s="265"/>
      <c r="BU2961" s="265"/>
      <c r="BV2961" s="265"/>
    </row>
    <row r="2962" spans="12:74">
      <c r="L2962" s="265"/>
      <c r="M2962" s="265"/>
      <c r="N2962" s="265"/>
      <c r="O2962" s="265"/>
      <c r="P2962" s="265"/>
      <c r="Q2962" s="265"/>
      <c r="BR2962" s="265"/>
      <c r="BS2962" s="265"/>
      <c r="BT2962" s="265"/>
      <c r="BU2962" s="265"/>
      <c r="BV2962" s="265"/>
    </row>
    <row r="2963" spans="12:74">
      <c r="L2963" s="265"/>
      <c r="M2963" s="265"/>
      <c r="N2963" s="265"/>
      <c r="O2963" s="265"/>
      <c r="P2963" s="265"/>
      <c r="Q2963" s="265"/>
      <c r="BR2963" s="265"/>
      <c r="BS2963" s="265"/>
      <c r="BT2963" s="265"/>
      <c r="BU2963" s="265"/>
      <c r="BV2963" s="265"/>
    </row>
    <row r="2964" spans="12:74">
      <c r="L2964" s="265"/>
      <c r="M2964" s="265"/>
      <c r="N2964" s="265"/>
      <c r="O2964" s="265"/>
      <c r="P2964" s="265"/>
      <c r="Q2964" s="265"/>
      <c r="BR2964" s="265"/>
      <c r="BS2964" s="265"/>
      <c r="BT2964" s="265"/>
      <c r="BU2964" s="265"/>
      <c r="BV2964" s="265"/>
    </row>
    <row r="2965" spans="12:74">
      <c r="L2965" s="265"/>
      <c r="M2965" s="265"/>
      <c r="N2965" s="265"/>
      <c r="O2965" s="265"/>
      <c r="P2965" s="265"/>
      <c r="Q2965" s="265"/>
      <c r="BR2965" s="265"/>
      <c r="BS2965" s="265"/>
      <c r="BT2965" s="265"/>
      <c r="BU2965" s="265"/>
      <c r="BV2965" s="265"/>
    </row>
    <row r="2966" spans="12:74">
      <c r="L2966" s="265"/>
      <c r="M2966" s="265"/>
      <c r="N2966" s="265"/>
      <c r="O2966" s="265"/>
      <c r="P2966" s="265"/>
      <c r="Q2966" s="265"/>
      <c r="BR2966" s="265"/>
      <c r="BS2966" s="265"/>
      <c r="BT2966" s="265"/>
      <c r="BU2966" s="265"/>
      <c r="BV2966" s="265"/>
    </row>
    <row r="2967" spans="12:74">
      <c r="L2967" s="265"/>
      <c r="M2967" s="265"/>
      <c r="N2967" s="265"/>
      <c r="O2967" s="265"/>
      <c r="P2967" s="265"/>
      <c r="Q2967" s="265"/>
      <c r="BR2967" s="265"/>
      <c r="BS2967" s="265"/>
      <c r="BT2967" s="265"/>
      <c r="BU2967" s="265"/>
      <c r="BV2967" s="265"/>
    </row>
    <row r="2968" spans="12:74">
      <c r="L2968" s="265"/>
      <c r="M2968" s="265"/>
      <c r="N2968" s="265"/>
      <c r="O2968" s="265"/>
      <c r="P2968" s="265"/>
      <c r="Q2968" s="265"/>
      <c r="BR2968" s="265"/>
      <c r="BS2968" s="265"/>
      <c r="BT2968" s="265"/>
      <c r="BU2968" s="265"/>
      <c r="BV2968" s="265"/>
    </row>
    <row r="2969" spans="12:74">
      <c r="L2969" s="265"/>
      <c r="M2969" s="265"/>
      <c r="N2969" s="265"/>
      <c r="O2969" s="265"/>
      <c r="P2969" s="265"/>
      <c r="Q2969" s="265"/>
      <c r="BR2969" s="265"/>
      <c r="BS2969" s="265"/>
      <c r="BT2969" s="265"/>
      <c r="BU2969" s="265"/>
      <c r="BV2969" s="265"/>
    </row>
    <row r="2970" spans="12:74">
      <c r="L2970" s="265"/>
      <c r="M2970" s="265"/>
      <c r="N2970" s="265"/>
      <c r="O2970" s="265"/>
      <c r="P2970" s="265"/>
      <c r="Q2970" s="265"/>
      <c r="BR2970" s="265"/>
      <c r="BS2970" s="265"/>
      <c r="BT2970" s="265"/>
      <c r="BU2970" s="265"/>
      <c r="BV2970" s="265"/>
    </row>
    <row r="2971" spans="12:74">
      <c r="L2971" s="265"/>
      <c r="M2971" s="265"/>
      <c r="N2971" s="265"/>
      <c r="O2971" s="265"/>
      <c r="P2971" s="265"/>
      <c r="Q2971" s="265"/>
      <c r="BR2971" s="265"/>
      <c r="BS2971" s="265"/>
      <c r="BT2971" s="265"/>
      <c r="BU2971" s="265"/>
      <c r="BV2971" s="265"/>
    </row>
    <row r="2972" spans="12:74">
      <c r="L2972" s="265"/>
      <c r="M2972" s="265"/>
      <c r="N2972" s="265"/>
      <c r="O2972" s="265"/>
      <c r="P2972" s="265"/>
      <c r="Q2972" s="265"/>
      <c r="BR2972" s="265"/>
      <c r="BS2972" s="265"/>
      <c r="BT2972" s="265"/>
      <c r="BU2972" s="265"/>
      <c r="BV2972" s="265"/>
    </row>
    <row r="2973" spans="12:74">
      <c r="L2973" s="265"/>
      <c r="M2973" s="265"/>
      <c r="N2973" s="265"/>
      <c r="O2973" s="265"/>
      <c r="P2973" s="265"/>
      <c r="Q2973" s="265"/>
      <c r="BR2973" s="265"/>
      <c r="BS2973" s="265"/>
      <c r="BT2973" s="265"/>
      <c r="BU2973" s="265"/>
      <c r="BV2973" s="265"/>
    </row>
    <row r="2974" spans="12:74">
      <c r="L2974" s="265"/>
      <c r="M2974" s="265"/>
      <c r="N2974" s="265"/>
      <c r="O2974" s="265"/>
      <c r="P2974" s="265"/>
      <c r="Q2974" s="265"/>
      <c r="BR2974" s="265"/>
      <c r="BS2974" s="265"/>
      <c r="BT2974" s="265"/>
      <c r="BU2974" s="265"/>
      <c r="BV2974" s="265"/>
    </row>
    <row r="2975" spans="12:74">
      <c r="L2975" s="265"/>
      <c r="M2975" s="265"/>
      <c r="N2975" s="265"/>
      <c r="O2975" s="265"/>
      <c r="P2975" s="265"/>
      <c r="Q2975" s="265"/>
      <c r="BR2975" s="265"/>
      <c r="BS2975" s="265"/>
      <c r="BT2975" s="265"/>
      <c r="BU2975" s="265"/>
      <c r="BV2975" s="265"/>
    </row>
    <row r="2976" spans="12:74">
      <c r="L2976" s="265"/>
      <c r="M2976" s="265"/>
      <c r="N2976" s="265"/>
      <c r="O2976" s="265"/>
      <c r="P2976" s="265"/>
      <c r="Q2976" s="265"/>
      <c r="BR2976" s="265"/>
      <c r="BS2976" s="265"/>
      <c r="BT2976" s="265"/>
      <c r="BU2976" s="265"/>
      <c r="BV2976" s="265"/>
    </row>
    <row r="2977" spans="12:74">
      <c r="L2977" s="265"/>
      <c r="M2977" s="265"/>
      <c r="N2977" s="265"/>
      <c r="O2977" s="265"/>
      <c r="P2977" s="265"/>
      <c r="Q2977" s="265"/>
      <c r="BR2977" s="265"/>
      <c r="BS2977" s="265"/>
      <c r="BT2977" s="265"/>
      <c r="BU2977" s="265"/>
      <c r="BV2977" s="265"/>
    </row>
    <row r="2978" spans="12:74">
      <c r="L2978" s="265"/>
      <c r="M2978" s="265"/>
      <c r="N2978" s="265"/>
      <c r="O2978" s="265"/>
      <c r="P2978" s="265"/>
      <c r="Q2978" s="265"/>
      <c r="BR2978" s="265"/>
      <c r="BS2978" s="265"/>
      <c r="BT2978" s="265"/>
      <c r="BU2978" s="265"/>
      <c r="BV2978" s="265"/>
    </row>
    <row r="2979" spans="12:74">
      <c r="L2979" s="265"/>
      <c r="M2979" s="265"/>
      <c r="N2979" s="265"/>
      <c r="O2979" s="265"/>
      <c r="P2979" s="265"/>
      <c r="Q2979" s="265"/>
      <c r="BR2979" s="265"/>
      <c r="BS2979" s="265"/>
      <c r="BT2979" s="265"/>
      <c r="BU2979" s="265"/>
      <c r="BV2979" s="265"/>
    </row>
    <row r="2980" spans="12:74">
      <c r="L2980" s="265"/>
      <c r="M2980" s="265"/>
      <c r="N2980" s="265"/>
      <c r="O2980" s="265"/>
      <c r="P2980" s="265"/>
      <c r="Q2980" s="265"/>
      <c r="BR2980" s="265"/>
      <c r="BS2980" s="265"/>
      <c r="BT2980" s="265"/>
      <c r="BU2980" s="265"/>
      <c r="BV2980" s="265"/>
    </row>
    <row r="2981" spans="12:74">
      <c r="L2981" s="265"/>
      <c r="M2981" s="265"/>
      <c r="N2981" s="265"/>
      <c r="O2981" s="265"/>
      <c r="P2981" s="265"/>
      <c r="Q2981" s="265"/>
      <c r="BR2981" s="265"/>
      <c r="BS2981" s="265"/>
      <c r="BT2981" s="265"/>
      <c r="BU2981" s="265"/>
      <c r="BV2981" s="265"/>
    </row>
    <row r="2982" spans="12:74">
      <c r="L2982" s="265"/>
      <c r="M2982" s="265"/>
      <c r="N2982" s="265"/>
      <c r="O2982" s="265"/>
      <c r="P2982" s="265"/>
      <c r="Q2982" s="265"/>
      <c r="BR2982" s="265"/>
      <c r="BS2982" s="265"/>
      <c r="BT2982" s="265"/>
      <c r="BU2982" s="265"/>
      <c r="BV2982" s="265"/>
    </row>
    <row r="2983" spans="12:74">
      <c r="L2983" s="265"/>
      <c r="M2983" s="265"/>
      <c r="N2983" s="265"/>
      <c r="O2983" s="265"/>
      <c r="P2983" s="265"/>
      <c r="Q2983" s="265"/>
      <c r="BR2983" s="265"/>
      <c r="BS2983" s="265"/>
      <c r="BT2983" s="265"/>
      <c r="BU2983" s="265"/>
      <c r="BV2983" s="265"/>
    </row>
    <row r="2984" spans="12:74">
      <c r="L2984" s="265"/>
      <c r="M2984" s="265"/>
      <c r="N2984" s="265"/>
      <c r="O2984" s="265"/>
      <c r="P2984" s="265"/>
      <c r="Q2984" s="265"/>
      <c r="BR2984" s="265"/>
      <c r="BS2984" s="265"/>
      <c r="BT2984" s="265"/>
      <c r="BU2984" s="265"/>
      <c r="BV2984" s="265"/>
    </row>
    <row r="2985" spans="12:74">
      <c r="L2985" s="265"/>
      <c r="M2985" s="265"/>
      <c r="N2985" s="265"/>
      <c r="O2985" s="265"/>
      <c r="P2985" s="265"/>
      <c r="Q2985" s="265"/>
      <c r="BR2985" s="265"/>
      <c r="BS2985" s="265"/>
      <c r="BT2985" s="265"/>
      <c r="BU2985" s="265"/>
      <c r="BV2985" s="265"/>
    </row>
    <row r="2986" spans="12:74">
      <c r="L2986" s="265"/>
      <c r="M2986" s="265"/>
      <c r="N2986" s="265"/>
      <c r="O2986" s="265"/>
      <c r="P2986" s="265"/>
      <c r="Q2986" s="265"/>
      <c r="BR2986" s="265"/>
      <c r="BS2986" s="265"/>
      <c r="BT2986" s="265"/>
      <c r="BU2986" s="265"/>
      <c r="BV2986" s="265"/>
    </row>
    <row r="2987" spans="12:74">
      <c r="L2987" s="265"/>
      <c r="M2987" s="265"/>
      <c r="N2987" s="265"/>
      <c r="O2987" s="265"/>
      <c r="P2987" s="265"/>
      <c r="Q2987" s="265"/>
      <c r="BR2987" s="265"/>
      <c r="BS2987" s="265"/>
      <c r="BT2987" s="265"/>
      <c r="BU2987" s="265"/>
      <c r="BV2987" s="265"/>
    </row>
    <row r="2988" spans="12:74">
      <c r="L2988" s="265"/>
      <c r="M2988" s="265"/>
      <c r="N2988" s="265"/>
      <c r="O2988" s="265"/>
      <c r="P2988" s="265"/>
      <c r="Q2988" s="265"/>
      <c r="BR2988" s="265"/>
      <c r="BS2988" s="265"/>
      <c r="BT2988" s="265"/>
      <c r="BU2988" s="265"/>
      <c r="BV2988" s="265"/>
    </row>
    <row r="2989" spans="12:74">
      <c r="L2989" s="265"/>
      <c r="M2989" s="265"/>
      <c r="N2989" s="265"/>
      <c r="O2989" s="265"/>
      <c r="P2989" s="265"/>
      <c r="Q2989" s="265"/>
      <c r="BR2989" s="265"/>
      <c r="BS2989" s="265"/>
      <c r="BT2989" s="265"/>
      <c r="BU2989" s="265"/>
      <c r="BV2989" s="265"/>
    </row>
    <row r="2990" spans="12:74">
      <c r="L2990" s="265"/>
      <c r="M2990" s="265"/>
      <c r="N2990" s="265"/>
      <c r="O2990" s="265"/>
      <c r="P2990" s="265"/>
      <c r="Q2990" s="265"/>
      <c r="BR2990" s="265"/>
      <c r="BS2990" s="265"/>
      <c r="BT2990" s="265"/>
      <c r="BU2990" s="265"/>
      <c r="BV2990" s="265"/>
    </row>
    <row r="2991" spans="12:74">
      <c r="L2991" s="265"/>
      <c r="M2991" s="265"/>
      <c r="N2991" s="265"/>
      <c r="O2991" s="265"/>
      <c r="P2991" s="265"/>
      <c r="Q2991" s="265"/>
      <c r="BR2991" s="265"/>
      <c r="BS2991" s="265"/>
      <c r="BT2991" s="265"/>
      <c r="BU2991" s="265"/>
      <c r="BV2991" s="265"/>
    </row>
    <row r="2992" spans="12:74">
      <c r="L2992" s="265"/>
      <c r="M2992" s="265"/>
      <c r="N2992" s="265"/>
      <c r="O2992" s="265"/>
      <c r="P2992" s="265"/>
      <c r="Q2992" s="265"/>
      <c r="BR2992" s="265"/>
      <c r="BS2992" s="265"/>
      <c r="BT2992" s="265"/>
      <c r="BU2992" s="265"/>
      <c r="BV2992" s="265"/>
    </row>
    <row r="2993" spans="12:74">
      <c r="L2993" s="265"/>
      <c r="M2993" s="265"/>
      <c r="N2993" s="265"/>
      <c r="O2993" s="265"/>
      <c r="P2993" s="265"/>
      <c r="Q2993" s="265"/>
      <c r="BR2993" s="265"/>
      <c r="BS2993" s="265"/>
      <c r="BT2993" s="265"/>
      <c r="BU2993" s="265"/>
      <c r="BV2993" s="265"/>
    </row>
    <row r="2994" spans="12:74">
      <c r="L2994" s="265"/>
      <c r="M2994" s="265"/>
      <c r="N2994" s="265"/>
      <c r="O2994" s="265"/>
      <c r="P2994" s="265"/>
      <c r="Q2994" s="265"/>
      <c r="BR2994" s="265"/>
      <c r="BS2994" s="265"/>
      <c r="BT2994" s="265"/>
      <c r="BU2994" s="265"/>
      <c r="BV2994" s="265"/>
    </row>
    <row r="2995" spans="12:74">
      <c r="L2995" s="265"/>
      <c r="M2995" s="265"/>
      <c r="N2995" s="265"/>
      <c r="O2995" s="265"/>
      <c r="P2995" s="265"/>
      <c r="Q2995" s="265"/>
      <c r="BR2995" s="265"/>
      <c r="BS2995" s="265"/>
      <c r="BT2995" s="265"/>
      <c r="BU2995" s="265"/>
      <c r="BV2995" s="265"/>
    </row>
    <row r="2996" spans="12:74">
      <c r="L2996" s="265"/>
      <c r="M2996" s="265"/>
      <c r="N2996" s="265"/>
      <c r="O2996" s="265"/>
      <c r="P2996" s="265"/>
      <c r="Q2996" s="265"/>
      <c r="BR2996" s="265"/>
      <c r="BS2996" s="265"/>
      <c r="BT2996" s="265"/>
      <c r="BU2996" s="265"/>
      <c r="BV2996" s="265"/>
    </row>
    <row r="2997" spans="12:74">
      <c r="L2997" s="265"/>
      <c r="M2997" s="265"/>
      <c r="N2997" s="265"/>
      <c r="O2997" s="265"/>
      <c r="P2997" s="265"/>
      <c r="Q2997" s="265"/>
      <c r="BR2997" s="265"/>
      <c r="BS2997" s="265"/>
      <c r="BT2997" s="265"/>
      <c r="BU2997" s="265"/>
      <c r="BV2997" s="265"/>
    </row>
    <row r="2998" spans="12:74">
      <c r="L2998" s="265"/>
      <c r="M2998" s="265"/>
      <c r="N2998" s="265"/>
      <c r="O2998" s="265"/>
      <c r="P2998" s="265"/>
      <c r="Q2998" s="265"/>
      <c r="BR2998" s="265"/>
      <c r="BS2998" s="265"/>
      <c r="BT2998" s="265"/>
      <c r="BU2998" s="265"/>
      <c r="BV2998" s="265"/>
    </row>
    <row r="2999" spans="12:74">
      <c r="L2999" s="265"/>
      <c r="M2999" s="265"/>
      <c r="N2999" s="265"/>
      <c r="O2999" s="265"/>
      <c r="P2999" s="265"/>
      <c r="Q2999" s="265"/>
      <c r="BR2999" s="265"/>
      <c r="BS2999" s="265"/>
      <c r="BT2999" s="265"/>
      <c r="BU2999" s="265"/>
      <c r="BV2999" s="265"/>
    </row>
    <row r="3000" spans="12:74">
      <c r="L3000" s="265"/>
      <c r="M3000" s="265"/>
      <c r="N3000" s="265"/>
      <c r="O3000" s="265"/>
      <c r="P3000" s="265"/>
      <c r="Q3000" s="265"/>
      <c r="BR3000" s="265"/>
      <c r="BS3000" s="265"/>
      <c r="BT3000" s="265"/>
      <c r="BU3000" s="265"/>
      <c r="BV3000" s="265"/>
    </row>
    <row r="3001" spans="12:74">
      <c r="L3001" s="265"/>
      <c r="M3001" s="265"/>
      <c r="N3001" s="265"/>
      <c r="O3001" s="265"/>
      <c r="P3001" s="265"/>
      <c r="Q3001" s="265"/>
      <c r="BR3001" s="265"/>
      <c r="BS3001" s="265"/>
      <c r="BT3001" s="265"/>
      <c r="BU3001" s="265"/>
      <c r="BV3001" s="265"/>
    </row>
    <row r="3002" spans="12:74">
      <c r="L3002" s="265"/>
      <c r="M3002" s="265"/>
      <c r="N3002" s="265"/>
      <c r="O3002" s="265"/>
      <c r="P3002" s="265"/>
      <c r="Q3002" s="265"/>
      <c r="BR3002" s="265"/>
      <c r="BS3002" s="265"/>
      <c r="BT3002" s="265"/>
      <c r="BU3002" s="265"/>
      <c r="BV3002" s="265"/>
    </row>
    <row r="3003" spans="12:74">
      <c r="L3003" s="265"/>
      <c r="M3003" s="265"/>
      <c r="N3003" s="265"/>
      <c r="O3003" s="265"/>
      <c r="P3003" s="265"/>
      <c r="Q3003" s="265"/>
      <c r="BR3003" s="265"/>
      <c r="BS3003" s="265"/>
      <c r="BT3003" s="265"/>
      <c r="BU3003" s="265"/>
      <c r="BV3003" s="265"/>
    </row>
    <row r="3004" spans="12:74">
      <c r="L3004" s="265"/>
      <c r="M3004" s="265"/>
      <c r="N3004" s="265"/>
      <c r="O3004" s="265"/>
      <c r="P3004" s="265"/>
      <c r="Q3004" s="265"/>
      <c r="BR3004" s="265"/>
      <c r="BS3004" s="265"/>
      <c r="BT3004" s="265"/>
      <c r="BU3004" s="265"/>
      <c r="BV3004" s="265"/>
    </row>
    <row r="3005" spans="12:74">
      <c r="L3005" s="265"/>
      <c r="M3005" s="265"/>
      <c r="N3005" s="265"/>
      <c r="O3005" s="265"/>
      <c r="P3005" s="265"/>
      <c r="Q3005" s="265"/>
      <c r="BR3005" s="265"/>
      <c r="BS3005" s="265"/>
      <c r="BT3005" s="265"/>
      <c r="BU3005" s="265"/>
      <c r="BV3005" s="265"/>
    </row>
    <row r="3006" spans="12:74">
      <c r="L3006" s="265"/>
      <c r="M3006" s="265"/>
      <c r="N3006" s="265"/>
      <c r="O3006" s="265"/>
      <c r="P3006" s="265"/>
      <c r="Q3006" s="265"/>
      <c r="BR3006" s="265"/>
      <c r="BS3006" s="265"/>
      <c r="BT3006" s="265"/>
      <c r="BU3006" s="265"/>
      <c r="BV3006" s="265"/>
    </row>
    <row r="3007" spans="12:74">
      <c r="L3007" s="265"/>
      <c r="M3007" s="265"/>
      <c r="N3007" s="265"/>
      <c r="O3007" s="265"/>
      <c r="P3007" s="265"/>
      <c r="Q3007" s="265"/>
      <c r="BR3007" s="265"/>
      <c r="BS3007" s="265"/>
      <c r="BT3007" s="265"/>
      <c r="BU3007" s="265"/>
      <c r="BV3007" s="265"/>
    </row>
    <row r="3008" spans="12:74">
      <c r="L3008" s="265"/>
      <c r="M3008" s="265"/>
      <c r="N3008" s="265"/>
      <c r="O3008" s="265"/>
      <c r="P3008" s="265"/>
      <c r="Q3008" s="265"/>
      <c r="BR3008" s="265"/>
      <c r="BS3008" s="265"/>
      <c r="BT3008" s="265"/>
      <c r="BU3008" s="265"/>
      <c r="BV3008" s="265"/>
    </row>
    <row r="3009" spans="12:74">
      <c r="L3009" s="265"/>
      <c r="M3009" s="265"/>
      <c r="N3009" s="265"/>
      <c r="O3009" s="265"/>
      <c r="P3009" s="265"/>
      <c r="Q3009" s="265"/>
      <c r="BR3009" s="265"/>
      <c r="BS3009" s="265"/>
      <c r="BT3009" s="265"/>
      <c r="BU3009" s="265"/>
      <c r="BV3009" s="265"/>
    </row>
    <row r="3010" spans="12:74">
      <c r="L3010" s="265"/>
      <c r="M3010" s="265"/>
      <c r="N3010" s="265"/>
      <c r="O3010" s="265"/>
      <c r="P3010" s="265"/>
      <c r="Q3010" s="265"/>
      <c r="BR3010" s="265"/>
      <c r="BS3010" s="265"/>
      <c r="BT3010" s="265"/>
      <c r="BU3010" s="265"/>
      <c r="BV3010" s="265"/>
    </row>
    <row r="3011" spans="12:74">
      <c r="L3011" s="265"/>
      <c r="M3011" s="265"/>
      <c r="N3011" s="265"/>
      <c r="O3011" s="265"/>
      <c r="P3011" s="265"/>
      <c r="Q3011" s="265"/>
      <c r="BR3011" s="265"/>
      <c r="BS3011" s="265"/>
      <c r="BT3011" s="265"/>
      <c r="BU3011" s="265"/>
      <c r="BV3011" s="265"/>
    </row>
    <row r="3012" spans="12:74">
      <c r="L3012" s="265"/>
      <c r="M3012" s="265"/>
      <c r="N3012" s="265"/>
      <c r="O3012" s="265"/>
      <c r="P3012" s="265"/>
      <c r="Q3012" s="265"/>
      <c r="BR3012" s="265"/>
      <c r="BS3012" s="265"/>
      <c r="BT3012" s="265"/>
      <c r="BU3012" s="265"/>
      <c r="BV3012" s="265"/>
    </row>
    <row r="3013" spans="12:74">
      <c r="L3013" s="265"/>
      <c r="M3013" s="265"/>
      <c r="N3013" s="265"/>
      <c r="O3013" s="265"/>
      <c r="P3013" s="265"/>
      <c r="Q3013" s="265"/>
      <c r="BR3013" s="265"/>
      <c r="BS3013" s="265"/>
      <c r="BT3013" s="265"/>
      <c r="BU3013" s="265"/>
      <c r="BV3013" s="265"/>
    </row>
    <row r="3014" spans="12:74">
      <c r="L3014" s="265"/>
      <c r="M3014" s="265"/>
      <c r="N3014" s="265"/>
      <c r="O3014" s="265"/>
      <c r="P3014" s="265"/>
      <c r="Q3014" s="265"/>
      <c r="BR3014" s="265"/>
      <c r="BS3014" s="265"/>
      <c r="BT3014" s="265"/>
      <c r="BU3014" s="265"/>
      <c r="BV3014" s="265"/>
    </row>
    <row r="3015" spans="12:74">
      <c r="L3015" s="265"/>
      <c r="M3015" s="265"/>
      <c r="N3015" s="265"/>
      <c r="O3015" s="265"/>
      <c r="P3015" s="265"/>
      <c r="Q3015" s="265"/>
      <c r="BR3015" s="265"/>
      <c r="BS3015" s="265"/>
      <c r="BT3015" s="265"/>
      <c r="BU3015" s="265"/>
      <c r="BV3015" s="265"/>
    </row>
    <row r="3016" spans="12:74">
      <c r="L3016" s="265"/>
      <c r="M3016" s="265"/>
      <c r="N3016" s="265"/>
      <c r="O3016" s="265"/>
      <c r="P3016" s="265"/>
      <c r="Q3016" s="265"/>
      <c r="BR3016" s="265"/>
      <c r="BS3016" s="265"/>
      <c r="BT3016" s="265"/>
      <c r="BU3016" s="265"/>
      <c r="BV3016" s="265"/>
    </row>
    <row r="3017" spans="12:74">
      <c r="L3017" s="265"/>
      <c r="M3017" s="265"/>
      <c r="N3017" s="265"/>
      <c r="O3017" s="265"/>
      <c r="P3017" s="265"/>
      <c r="Q3017" s="265"/>
      <c r="BR3017" s="265"/>
      <c r="BS3017" s="265"/>
      <c r="BT3017" s="265"/>
      <c r="BU3017" s="265"/>
      <c r="BV3017" s="265"/>
    </row>
    <row r="3018" spans="12:74">
      <c r="L3018" s="265"/>
      <c r="M3018" s="265"/>
      <c r="N3018" s="265"/>
      <c r="O3018" s="265"/>
      <c r="P3018" s="265"/>
      <c r="Q3018" s="265"/>
      <c r="BR3018" s="265"/>
      <c r="BS3018" s="265"/>
      <c r="BT3018" s="265"/>
      <c r="BU3018" s="265"/>
      <c r="BV3018" s="265"/>
    </row>
    <row r="3019" spans="12:74">
      <c r="L3019" s="265"/>
      <c r="M3019" s="265"/>
      <c r="N3019" s="265"/>
      <c r="O3019" s="265"/>
      <c r="P3019" s="265"/>
      <c r="Q3019" s="265"/>
      <c r="BR3019" s="265"/>
      <c r="BS3019" s="265"/>
      <c r="BT3019" s="265"/>
      <c r="BU3019" s="265"/>
      <c r="BV3019" s="265"/>
    </row>
    <row r="3020" spans="12:74">
      <c r="L3020" s="265"/>
      <c r="M3020" s="265"/>
      <c r="N3020" s="265"/>
      <c r="O3020" s="265"/>
      <c r="P3020" s="265"/>
      <c r="Q3020" s="265"/>
      <c r="BR3020" s="265"/>
      <c r="BS3020" s="265"/>
      <c r="BT3020" s="265"/>
      <c r="BU3020" s="265"/>
      <c r="BV3020" s="265"/>
    </row>
    <row r="3021" spans="12:74">
      <c r="L3021" s="265"/>
      <c r="M3021" s="265"/>
      <c r="N3021" s="265"/>
      <c r="O3021" s="265"/>
      <c r="P3021" s="265"/>
      <c r="Q3021" s="265"/>
      <c r="BR3021" s="265"/>
      <c r="BS3021" s="265"/>
      <c r="BT3021" s="265"/>
      <c r="BU3021" s="265"/>
      <c r="BV3021" s="265"/>
    </row>
    <row r="3022" spans="12:74">
      <c r="L3022" s="265"/>
      <c r="M3022" s="265"/>
      <c r="N3022" s="265"/>
      <c r="O3022" s="265"/>
      <c r="P3022" s="265"/>
      <c r="Q3022" s="265"/>
      <c r="BR3022" s="265"/>
      <c r="BS3022" s="265"/>
      <c r="BT3022" s="265"/>
      <c r="BU3022" s="265"/>
      <c r="BV3022" s="265"/>
    </row>
    <row r="3023" spans="12:74">
      <c r="L3023" s="265"/>
      <c r="M3023" s="265"/>
      <c r="N3023" s="265"/>
      <c r="O3023" s="265"/>
      <c r="P3023" s="265"/>
      <c r="Q3023" s="265"/>
      <c r="BR3023" s="265"/>
      <c r="BS3023" s="265"/>
      <c r="BT3023" s="265"/>
      <c r="BU3023" s="265"/>
      <c r="BV3023" s="265"/>
    </row>
    <row r="3024" spans="12:74">
      <c r="L3024" s="265"/>
      <c r="M3024" s="265"/>
      <c r="N3024" s="265"/>
      <c r="O3024" s="265"/>
      <c r="P3024" s="265"/>
      <c r="Q3024" s="265"/>
      <c r="BR3024" s="265"/>
      <c r="BS3024" s="265"/>
      <c r="BT3024" s="265"/>
      <c r="BU3024" s="265"/>
      <c r="BV3024" s="265"/>
    </row>
    <row r="3025" spans="12:74">
      <c r="L3025" s="265"/>
      <c r="M3025" s="265"/>
      <c r="N3025" s="265"/>
      <c r="O3025" s="265"/>
      <c r="P3025" s="265"/>
      <c r="Q3025" s="265"/>
      <c r="BR3025" s="265"/>
      <c r="BS3025" s="265"/>
      <c r="BT3025" s="265"/>
      <c r="BU3025" s="265"/>
      <c r="BV3025" s="265"/>
    </row>
    <row r="3026" spans="12:74">
      <c r="L3026" s="265"/>
      <c r="M3026" s="265"/>
      <c r="N3026" s="265"/>
      <c r="O3026" s="265"/>
      <c r="P3026" s="265"/>
      <c r="Q3026" s="265"/>
      <c r="BR3026" s="265"/>
      <c r="BS3026" s="265"/>
      <c r="BT3026" s="265"/>
      <c r="BU3026" s="265"/>
      <c r="BV3026" s="265"/>
    </row>
    <row r="3027" spans="12:74">
      <c r="L3027" s="265"/>
      <c r="M3027" s="265"/>
      <c r="N3027" s="265"/>
      <c r="O3027" s="265"/>
      <c r="P3027" s="265"/>
      <c r="Q3027" s="265"/>
      <c r="BR3027" s="265"/>
      <c r="BS3027" s="265"/>
      <c r="BT3027" s="265"/>
      <c r="BU3027" s="265"/>
      <c r="BV3027" s="265"/>
    </row>
    <row r="3028" spans="12:74">
      <c r="L3028" s="265"/>
      <c r="M3028" s="265"/>
      <c r="N3028" s="265"/>
      <c r="O3028" s="265"/>
      <c r="P3028" s="265"/>
      <c r="Q3028" s="265"/>
      <c r="BR3028" s="265"/>
      <c r="BS3028" s="265"/>
      <c r="BT3028" s="265"/>
      <c r="BU3028" s="265"/>
      <c r="BV3028" s="265"/>
    </row>
    <row r="3029" spans="12:74">
      <c r="L3029" s="265"/>
      <c r="M3029" s="265"/>
      <c r="N3029" s="265"/>
      <c r="O3029" s="265"/>
      <c r="P3029" s="265"/>
      <c r="Q3029" s="265"/>
      <c r="BR3029" s="265"/>
      <c r="BS3029" s="265"/>
      <c r="BT3029" s="265"/>
      <c r="BU3029" s="265"/>
      <c r="BV3029" s="265"/>
    </row>
    <row r="3030" spans="12:74">
      <c r="L3030" s="265"/>
      <c r="M3030" s="265"/>
      <c r="N3030" s="265"/>
      <c r="O3030" s="265"/>
      <c r="P3030" s="265"/>
      <c r="Q3030" s="265"/>
      <c r="BR3030" s="265"/>
      <c r="BS3030" s="265"/>
      <c r="BT3030" s="265"/>
      <c r="BU3030" s="265"/>
      <c r="BV3030" s="265"/>
    </row>
    <row r="3031" spans="12:74">
      <c r="L3031" s="265"/>
      <c r="M3031" s="265"/>
      <c r="N3031" s="265"/>
      <c r="O3031" s="265"/>
      <c r="P3031" s="265"/>
      <c r="Q3031" s="265"/>
      <c r="BR3031" s="265"/>
      <c r="BS3031" s="265"/>
      <c r="BT3031" s="265"/>
      <c r="BU3031" s="265"/>
      <c r="BV3031" s="265"/>
    </row>
    <row r="3032" spans="12:74">
      <c r="L3032" s="265"/>
      <c r="M3032" s="265"/>
      <c r="N3032" s="265"/>
      <c r="O3032" s="265"/>
      <c r="P3032" s="265"/>
      <c r="Q3032" s="265"/>
      <c r="BR3032" s="265"/>
      <c r="BS3032" s="265"/>
      <c r="BT3032" s="265"/>
      <c r="BU3032" s="265"/>
      <c r="BV3032" s="265"/>
    </row>
    <row r="3033" spans="12:74">
      <c r="L3033" s="265"/>
      <c r="M3033" s="265"/>
      <c r="N3033" s="265"/>
      <c r="O3033" s="265"/>
      <c r="P3033" s="265"/>
      <c r="Q3033" s="265"/>
      <c r="BR3033" s="265"/>
      <c r="BS3033" s="265"/>
      <c r="BT3033" s="265"/>
      <c r="BU3033" s="265"/>
      <c r="BV3033" s="265"/>
    </row>
    <row r="3034" spans="12:74">
      <c r="L3034" s="265"/>
      <c r="M3034" s="265"/>
      <c r="N3034" s="265"/>
      <c r="O3034" s="265"/>
      <c r="P3034" s="265"/>
      <c r="Q3034" s="265"/>
      <c r="BR3034" s="265"/>
      <c r="BS3034" s="265"/>
      <c r="BT3034" s="265"/>
      <c r="BU3034" s="265"/>
      <c r="BV3034" s="265"/>
    </row>
    <row r="3035" spans="12:74">
      <c r="L3035" s="265"/>
      <c r="M3035" s="265"/>
      <c r="N3035" s="265"/>
      <c r="O3035" s="265"/>
      <c r="P3035" s="265"/>
      <c r="Q3035" s="265"/>
      <c r="BR3035" s="265"/>
      <c r="BS3035" s="265"/>
      <c r="BT3035" s="265"/>
      <c r="BU3035" s="265"/>
      <c r="BV3035" s="265"/>
    </row>
    <row r="3036" spans="12:74">
      <c r="L3036" s="265"/>
      <c r="M3036" s="265"/>
      <c r="N3036" s="265"/>
      <c r="O3036" s="265"/>
      <c r="P3036" s="265"/>
      <c r="Q3036" s="265"/>
      <c r="BR3036" s="265"/>
      <c r="BS3036" s="265"/>
      <c r="BT3036" s="265"/>
      <c r="BU3036" s="265"/>
      <c r="BV3036" s="265"/>
    </row>
    <row r="3037" spans="12:74">
      <c r="L3037" s="265"/>
      <c r="M3037" s="265"/>
      <c r="N3037" s="265"/>
      <c r="O3037" s="265"/>
      <c r="P3037" s="265"/>
      <c r="Q3037" s="265"/>
      <c r="BR3037" s="265"/>
      <c r="BS3037" s="265"/>
      <c r="BT3037" s="265"/>
      <c r="BU3037" s="265"/>
      <c r="BV3037" s="265"/>
    </row>
    <row r="3038" spans="12:74">
      <c r="L3038" s="265"/>
      <c r="M3038" s="265"/>
      <c r="N3038" s="265"/>
      <c r="O3038" s="265"/>
      <c r="P3038" s="265"/>
      <c r="Q3038" s="265"/>
      <c r="BR3038" s="265"/>
      <c r="BS3038" s="265"/>
      <c r="BT3038" s="265"/>
      <c r="BU3038" s="265"/>
      <c r="BV3038" s="265"/>
    </row>
    <row r="3039" spans="12:74">
      <c r="L3039" s="265"/>
      <c r="M3039" s="265"/>
      <c r="N3039" s="265"/>
      <c r="O3039" s="265"/>
      <c r="P3039" s="265"/>
      <c r="Q3039" s="265"/>
      <c r="BR3039" s="265"/>
      <c r="BS3039" s="265"/>
      <c r="BT3039" s="265"/>
      <c r="BU3039" s="265"/>
      <c r="BV3039" s="265"/>
    </row>
    <row r="3040" spans="12:74">
      <c r="L3040" s="265"/>
      <c r="M3040" s="265"/>
      <c r="N3040" s="265"/>
      <c r="O3040" s="265"/>
      <c r="P3040" s="265"/>
      <c r="Q3040" s="265"/>
      <c r="BR3040" s="265"/>
      <c r="BS3040" s="265"/>
      <c r="BT3040" s="265"/>
      <c r="BU3040" s="265"/>
      <c r="BV3040" s="265"/>
    </row>
    <row r="3041" spans="12:74">
      <c r="L3041" s="265"/>
      <c r="M3041" s="265"/>
      <c r="N3041" s="265"/>
      <c r="O3041" s="265"/>
      <c r="P3041" s="265"/>
      <c r="Q3041" s="265"/>
      <c r="BR3041" s="265"/>
      <c r="BS3041" s="265"/>
      <c r="BT3041" s="265"/>
      <c r="BU3041" s="265"/>
      <c r="BV3041" s="265"/>
    </row>
    <row r="3042" spans="12:74">
      <c r="L3042" s="265"/>
      <c r="M3042" s="265"/>
      <c r="N3042" s="265"/>
      <c r="O3042" s="265"/>
      <c r="P3042" s="265"/>
      <c r="Q3042" s="265"/>
      <c r="BR3042" s="265"/>
      <c r="BS3042" s="265"/>
      <c r="BT3042" s="265"/>
      <c r="BU3042" s="265"/>
      <c r="BV3042" s="265"/>
    </row>
    <row r="3043" spans="12:74">
      <c r="L3043" s="265"/>
      <c r="M3043" s="265"/>
      <c r="N3043" s="265"/>
      <c r="O3043" s="265"/>
      <c r="P3043" s="265"/>
      <c r="Q3043" s="265"/>
      <c r="BR3043" s="265"/>
      <c r="BS3043" s="265"/>
      <c r="BT3043" s="265"/>
      <c r="BU3043" s="265"/>
      <c r="BV3043" s="265"/>
    </row>
    <row r="3044" spans="12:74">
      <c r="L3044" s="265"/>
      <c r="M3044" s="265"/>
      <c r="N3044" s="265"/>
      <c r="O3044" s="265"/>
      <c r="P3044" s="265"/>
      <c r="Q3044" s="265"/>
      <c r="BR3044" s="265"/>
      <c r="BS3044" s="265"/>
      <c r="BT3044" s="265"/>
      <c r="BU3044" s="265"/>
      <c r="BV3044" s="265"/>
    </row>
    <row r="3045" spans="12:74">
      <c r="L3045" s="265"/>
      <c r="M3045" s="265"/>
      <c r="N3045" s="265"/>
      <c r="O3045" s="265"/>
      <c r="P3045" s="265"/>
      <c r="Q3045" s="265"/>
      <c r="BR3045" s="265"/>
      <c r="BS3045" s="265"/>
      <c r="BT3045" s="265"/>
      <c r="BU3045" s="265"/>
      <c r="BV3045" s="265"/>
    </row>
    <row r="3046" spans="12:74">
      <c r="L3046" s="265"/>
      <c r="M3046" s="265"/>
      <c r="N3046" s="265"/>
      <c r="O3046" s="265"/>
      <c r="P3046" s="265"/>
      <c r="Q3046" s="265"/>
      <c r="BR3046" s="265"/>
      <c r="BS3046" s="265"/>
      <c r="BT3046" s="265"/>
      <c r="BU3046" s="265"/>
      <c r="BV3046" s="265"/>
    </row>
    <row r="3047" spans="12:74">
      <c r="L3047" s="265"/>
      <c r="M3047" s="265"/>
      <c r="N3047" s="265"/>
      <c r="O3047" s="265"/>
      <c r="P3047" s="265"/>
      <c r="Q3047" s="265"/>
      <c r="BR3047" s="265"/>
      <c r="BS3047" s="265"/>
      <c r="BT3047" s="265"/>
      <c r="BU3047" s="265"/>
      <c r="BV3047" s="265"/>
    </row>
    <row r="3048" spans="12:74">
      <c r="L3048" s="265"/>
      <c r="M3048" s="265"/>
      <c r="N3048" s="265"/>
      <c r="O3048" s="265"/>
      <c r="P3048" s="265"/>
      <c r="Q3048" s="265"/>
      <c r="BR3048" s="265"/>
      <c r="BS3048" s="265"/>
      <c r="BT3048" s="265"/>
      <c r="BU3048" s="265"/>
      <c r="BV3048" s="265"/>
    </row>
    <row r="3049" spans="12:74">
      <c r="L3049" s="265"/>
      <c r="M3049" s="265"/>
      <c r="N3049" s="265"/>
      <c r="O3049" s="265"/>
      <c r="P3049" s="265"/>
      <c r="Q3049" s="265"/>
      <c r="BR3049" s="265"/>
      <c r="BS3049" s="265"/>
      <c r="BT3049" s="265"/>
      <c r="BU3049" s="265"/>
      <c r="BV3049" s="265"/>
    </row>
    <row r="3050" spans="12:74">
      <c r="L3050" s="265"/>
      <c r="M3050" s="265"/>
      <c r="N3050" s="265"/>
      <c r="O3050" s="265"/>
      <c r="P3050" s="265"/>
      <c r="Q3050" s="265"/>
      <c r="BR3050" s="265"/>
      <c r="BS3050" s="265"/>
      <c r="BT3050" s="265"/>
      <c r="BU3050" s="265"/>
      <c r="BV3050" s="265"/>
    </row>
    <row r="3051" spans="12:74">
      <c r="L3051" s="265"/>
      <c r="M3051" s="265"/>
      <c r="N3051" s="265"/>
      <c r="O3051" s="265"/>
      <c r="P3051" s="265"/>
      <c r="Q3051" s="265"/>
      <c r="BR3051" s="265"/>
      <c r="BS3051" s="265"/>
      <c r="BT3051" s="265"/>
      <c r="BU3051" s="265"/>
      <c r="BV3051" s="265"/>
    </row>
    <row r="3052" spans="12:74">
      <c r="L3052" s="265"/>
      <c r="M3052" s="265"/>
      <c r="N3052" s="265"/>
      <c r="O3052" s="265"/>
      <c r="P3052" s="265"/>
      <c r="Q3052" s="265"/>
      <c r="BR3052" s="265"/>
      <c r="BS3052" s="265"/>
      <c r="BT3052" s="265"/>
      <c r="BU3052" s="265"/>
      <c r="BV3052" s="265"/>
    </row>
    <row r="3053" spans="12:74">
      <c r="L3053" s="265"/>
      <c r="M3053" s="265"/>
      <c r="N3053" s="265"/>
      <c r="O3053" s="265"/>
      <c r="P3053" s="265"/>
      <c r="Q3053" s="265"/>
      <c r="BR3053" s="265"/>
      <c r="BS3053" s="265"/>
      <c r="BT3053" s="265"/>
      <c r="BU3053" s="265"/>
      <c r="BV3053" s="265"/>
    </row>
    <row r="3054" spans="12:74">
      <c r="L3054" s="265"/>
      <c r="M3054" s="265"/>
      <c r="N3054" s="265"/>
      <c r="O3054" s="265"/>
      <c r="P3054" s="265"/>
      <c r="Q3054" s="265"/>
      <c r="BR3054" s="265"/>
      <c r="BS3054" s="265"/>
      <c r="BT3054" s="265"/>
      <c r="BU3054" s="265"/>
      <c r="BV3054" s="265"/>
    </row>
    <row r="3055" spans="12:74">
      <c r="L3055" s="265"/>
      <c r="M3055" s="265"/>
      <c r="N3055" s="265"/>
      <c r="O3055" s="265"/>
      <c r="P3055" s="265"/>
      <c r="Q3055" s="265"/>
      <c r="BR3055" s="265"/>
      <c r="BS3055" s="265"/>
      <c r="BT3055" s="265"/>
      <c r="BU3055" s="265"/>
      <c r="BV3055" s="265"/>
    </row>
    <row r="3056" spans="12:74">
      <c r="L3056" s="265"/>
      <c r="M3056" s="265"/>
      <c r="N3056" s="265"/>
      <c r="O3056" s="265"/>
      <c r="P3056" s="265"/>
      <c r="Q3056" s="265"/>
      <c r="BR3056" s="265"/>
      <c r="BS3056" s="265"/>
      <c r="BT3056" s="265"/>
      <c r="BU3056" s="265"/>
      <c r="BV3056" s="265"/>
    </row>
    <row r="3057" spans="12:74">
      <c r="L3057" s="265"/>
      <c r="M3057" s="265"/>
      <c r="N3057" s="265"/>
      <c r="O3057" s="265"/>
      <c r="P3057" s="265"/>
      <c r="Q3057" s="265"/>
      <c r="BR3057" s="265"/>
      <c r="BS3057" s="265"/>
      <c r="BT3057" s="265"/>
      <c r="BU3057" s="265"/>
      <c r="BV3057" s="265"/>
    </row>
    <row r="3058" spans="12:74">
      <c r="L3058" s="265"/>
      <c r="M3058" s="265"/>
      <c r="N3058" s="265"/>
      <c r="O3058" s="265"/>
      <c r="P3058" s="265"/>
      <c r="Q3058" s="265"/>
      <c r="BR3058" s="265"/>
      <c r="BS3058" s="265"/>
      <c r="BT3058" s="265"/>
      <c r="BU3058" s="265"/>
      <c r="BV3058" s="265"/>
    </row>
    <row r="3059" spans="12:74">
      <c r="L3059" s="265"/>
      <c r="M3059" s="265"/>
      <c r="N3059" s="265"/>
      <c r="O3059" s="265"/>
      <c r="P3059" s="265"/>
      <c r="Q3059" s="265"/>
      <c r="BR3059" s="265"/>
      <c r="BS3059" s="265"/>
      <c r="BT3059" s="265"/>
      <c r="BU3059" s="265"/>
      <c r="BV3059" s="265"/>
    </row>
    <row r="3060" spans="12:74">
      <c r="L3060" s="265"/>
      <c r="M3060" s="265"/>
      <c r="N3060" s="265"/>
      <c r="O3060" s="265"/>
      <c r="P3060" s="265"/>
      <c r="Q3060" s="265"/>
      <c r="BR3060" s="265"/>
      <c r="BS3060" s="265"/>
      <c r="BT3060" s="265"/>
      <c r="BU3060" s="265"/>
      <c r="BV3060" s="265"/>
    </row>
    <row r="3061" spans="12:74">
      <c r="L3061" s="265"/>
      <c r="M3061" s="265"/>
      <c r="N3061" s="265"/>
      <c r="O3061" s="265"/>
      <c r="P3061" s="265"/>
      <c r="Q3061" s="265"/>
      <c r="BR3061" s="265"/>
      <c r="BS3061" s="265"/>
      <c r="BT3061" s="265"/>
      <c r="BU3061" s="265"/>
      <c r="BV3061" s="265"/>
    </row>
    <row r="3062" spans="12:74">
      <c r="L3062" s="265"/>
      <c r="M3062" s="265"/>
      <c r="N3062" s="265"/>
      <c r="O3062" s="265"/>
      <c r="P3062" s="265"/>
      <c r="Q3062" s="265"/>
      <c r="BR3062" s="265"/>
      <c r="BS3062" s="265"/>
      <c r="BT3062" s="265"/>
      <c r="BU3062" s="265"/>
      <c r="BV3062" s="265"/>
    </row>
    <row r="3063" spans="12:74">
      <c r="L3063" s="265"/>
      <c r="M3063" s="265"/>
      <c r="N3063" s="265"/>
      <c r="O3063" s="265"/>
      <c r="P3063" s="265"/>
      <c r="Q3063" s="265"/>
      <c r="BR3063" s="265"/>
      <c r="BS3063" s="265"/>
      <c r="BT3063" s="265"/>
      <c r="BU3063" s="265"/>
      <c r="BV3063" s="265"/>
    </row>
    <row r="3064" spans="12:74">
      <c r="L3064" s="265"/>
      <c r="M3064" s="265"/>
      <c r="N3064" s="265"/>
      <c r="O3064" s="265"/>
      <c r="P3064" s="265"/>
      <c r="Q3064" s="265"/>
      <c r="BR3064" s="265"/>
      <c r="BS3064" s="265"/>
      <c r="BT3064" s="265"/>
      <c r="BU3064" s="265"/>
      <c r="BV3064" s="265"/>
    </row>
    <row r="3065" spans="12:74">
      <c r="L3065" s="265"/>
      <c r="M3065" s="265"/>
      <c r="N3065" s="265"/>
      <c r="O3065" s="265"/>
      <c r="P3065" s="265"/>
      <c r="Q3065" s="265"/>
      <c r="BR3065" s="265"/>
      <c r="BS3065" s="265"/>
      <c r="BT3065" s="265"/>
      <c r="BU3065" s="265"/>
      <c r="BV3065" s="265"/>
    </row>
    <row r="3066" spans="12:74">
      <c r="L3066" s="265"/>
      <c r="M3066" s="265"/>
      <c r="N3066" s="265"/>
      <c r="O3066" s="265"/>
      <c r="P3066" s="265"/>
      <c r="Q3066" s="265"/>
      <c r="BR3066" s="265"/>
      <c r="BS3066" s="265"/>
      <c r="BT3066" s="265"/>
      <c r="BU3066" s="265"/>
      <c r="BV3066" s="265"/>
    </row>
    <row r="3067" spans="12:74">
      <c r="L3067" s="265"/>
      <c r="M3067" s="265"/>
      <c r="N3067" s="265"/>
      <c r="O3067" s="265"/>
      <c r="P3067" s="265"/>
      <c r="Q3067" s="265"/>
      <c r="BR3067" s="265"/>
      <c r="BS3067" s="265"/>
      <c r="BT3067" s="265"/>
      <c r="BU3067" s="265"/>
      <c r="BV3067" s="265"/>
    </row>
    <row r="3068" spans="12:74">
      <c r="L3068" s="265"/>
      <c r="M3068" s="265"/>
      <c r="N3068" s="265"/>
      <c r="O3068" s="265"/>
      <c r="P3068" s="265"/>
      <c r="Q3068" s="265"/>
      <c r="BR3068" s="265"/>
      <c r="BS3068" s="265"/>
      <c r="BT3068" s="265"/>
      <c r="BU3068" s="265"/>
      <c r="BV3068" s="265"/>
    </row>
    <row r="3069" spans="12:74">
      <c r="L3069" s="265"/>
      <c r="M3069" s="265"/>
      <c r="N3069" s="265"/>
      <c r="O3069" s="265"/>
      <c r="P3069" s="265"/>
      <c r="Q3069" s="265"/>
      <c r="BR3069" s="265"/>
      <c r="BS3069" s="265"/>
      <c r="BT3069" s="265"/>
      <c r="BU3069" s="265"/>
      <c r="BV3069" s="265"/>
    </row>
    <row r="3070" spans="12:74">
      <c r="L3070" s="265"/>
      <c r="M3070" s="265"/>
      <c r="N3070" s="265"/>
      <c r="O3070" s="265"/>
      <c r="P3070" s="265"/>
      <c r="Q3070" s="265"/>
      <c r="BR3070" s="265"/>
      <c r="BS3070" s="265"/>
      <c r="BT3070" s="265"/>
      <c r="BU3070" s="265"/>
      <c r="BV3070" s="265"/>
    </row>
    <row r="3071" spans="12:74">
      <c r="L3071" s="265"/>
      <c r="M3071" s="265"/>
      <c r="N3071" s="265"/>
      <c r="O3071" s="265"/>
      <c r="P3071" s="265"/>
      <c r="Q3071" s="265"/>
      <c r="BR3071" s="265"/>
      <c r="BS3071" s="265"/>
      <c r="BT3071" s="265"/>
      <c r="BU3071" s="265"/>
      <c r="BV3071" s="265"/>
    </row>
    <row r="3072" spans="12:74">
      <c r="L3072" s="265"/>
      <c r="M3072" s="265"/>
      <c r="N3072" s="265"/>
      <c r="O3072" s="265"/>
      <c r="P3072" s="265"/>
      <c r="Q3072" s="265"/>
      <c r="BR3072" s="265"/>
      <c r="BS3072" s="265"/>
      <c r="BT3072" s="265"/>
      <c r="BU3072" s="265"/>
      <c r="BV3072" s="265"/>
    </row>
    <row r="3073" spans="12:74">
      <c r="L3073" s="265"/>
      <c r="M3073" s="265"/>
      <c r="N3073" s="265"/>
      <c r="O3073" s="265"/>
      <c r="P3073" s="265"/>
      <c r="Q3073" s="265"/>
      <c r="BR3073" s="265"/>
      <c r="BS3073" s="265"/>
      <c r="BT3073" s="265"/>
      <c r="BU3073" s="265"/>
      <c r="BV3073" s="265"/>
    </row>
    <row r="3074" spans="12:74">
      <c r="L3074" s="265"/>
      <c r="M3074" s="265"/>
      <c r="N3074" s="265"/>
      <c r="O3074" s="265"/>
      <c r="P3074" s="265"/>
      <c r="Q3074" s="265"/>
      <c r="BR3074" s="265"/>
      <c r="BS3074" s="265"/>
      <c r="BT3074" s="265"/>
      <c r="BU3074" s="265"/>
      <c r="BV3074" s="265"/>
    </row>
    <row r="3075" spans="12:74">
      <c r="L3075" s="265"/>
      <c r="M3075" s="265"/>
      <c r="N3075" s="265"/>
      <c r="O3075" s="265"/>
      <c r="P3075" s="265"/>
      <c r="Q3075" s="265"/>
      <c r="BR3075" s="265"/>
      <c r="BS3075" s="265"/>
      <c r="BT3075" s="265"/>
      <c r="BU3075" s="265"/>
      <c r="BV3075" s="265"/>
    </row>
    <row r="3076" spans="12:74">
      <c r="L3076" s="265"/>
      <c r="M3076" s="265"/>
      <c r="N3076" s="265"/>
      <c r="O3076" s="265"/>
      <c r="P3076" s="265"/>
      <c r="Q3076" s="265"/>
      <c r="BR3076" s="265"/>
      <c r="BS3076" s="265"/>
      <c r="BT3076" s="265"/>
      <c r="BU3076" s="265"/>
      <c r="BV3076" s="265"/>
    </row>
    <row r="3077" spans="12:74">
      <c r="L3077" s="265"/>
      <c r="M3077" s="265"/>
      <c r="N3077" s="265"/>
      <c r="O3077" s="265"/>
      <c r="P3077" s="265"/>
      <c r="Q3077" s="265"/>
      <c r="BR3077" s="265"/>
      <c r="BS3077" s="265"/>
      <c r="BT3077" s="265"/>
      <c r="BU3077" s="265"/>
      <c r="BV3077" s="265"/>
    </row>
    <row r="3078" spans="12:74">
      <c r="L3078" s="265"/>
      <c r="M3078" s="265"/>
      <c r="N3078" s="265"/>
      <c r="O3078" s="265"/>
      <c r="P3078" s="265"/>
      <c r="Q3078" s="265"/>
      <c r="BR3078" s="265"/>
      <c r="BS3078" s="265"/>
      <c r="BT3078" s="265"/>
      <c r="BU3078" s="265"/>
      <c r="BV3078" s="265"/>
    </row>
    <row r="3079" spans="12:74">
      <c r="L3079" s="265"/>
      <c r="M3079" s="265"/>
      <c r="N3079" s="265"/>
      <c r="O3079" s="265"/>
      <c r="P3079" s="265"/>
      <c r="Q3079" s="265"/>
      <c r="BR3079" s="265"/>
      <c r="BS3079" s="265"/>
      <c r="BT3079" s="265"/>
      <c r="BU3079" s="265"/>
      <c r="BV3079" s="265"/>
    </row>
    <row r="3080" spans="12:74">
      <c r="L3080" s="265"/>
      <c r="M3080" s="265"/>
      <c r="N3080" s="265"/>
      <c r="O3080" s="265"/>
      <c r="P3080" s="265"/>
      <c r="Q3080" s="265"/>
      <c r="BR3080" s="265"/>
      <c r="BS3080" s="265"/>
      <c r="BT3080" s="265"/>
      <c r="BU3080" s="265"/>
      <c r="BV3080" s="265"/>
    </row>
    <row r="3081" spans="12:74">
      <c r="L3081" s="265"/>
      <c r="M3081" s="265"/>
      <c r="N3081" s="265"/>
      <c r="O3081" s="265"/>
      <c r="P3081" s="265"/>
      <c r="Q3081" s="265"/>
      <c r="BR3081" s="265"/>
      <c r="BS3081" s="265"/>
      <c r="BT3081" s="265"/>
      <c r="BU3081" s="265"/>
      <c r="BV3081" s="265"/>
    </row>
    <row r="3082" spans="12:74">
      <c r="L3082" s="265"/>
      <c r="M3082" s="265"/>
      <c r="N3082" s="265"/>
      <c r="O3082" s="265"/>
      <c r="P3082" s="265"/>
      <c r="Q3082" s="265"/>
      <c r="BR3082" s="265"/>
      <c r="BS3082" s="265"/>
      <c r="BT3082" s="265"/>
      <c r="BU3082" s="265"/>
      <c r="BV3082" s="265"/>
    </row>
    <row r="3083" spans="12:74">
      <c r="L3083" s="265"/>
      <c r="M3083" s="265"/>
      <c r="N3083" s="265"/>
      <c r="O3083" s="265"/>
      <c r="P3083" s="265"/>
      <c r="Q3083" s="265"/>
      <c r="BR3083" s="265"/>
      <c r="BS3083" s="265"/>
      <c r="BT3083" s="265"/>
      <c r="BU3083" s="265"/>
      <c r="BV3083" s="265"/>
    </row>
    <row r="3084" spans="12:74">
      <c r="L3084" s="265"/>
      <c r="M3084" s="265"/>
      <c r="N3084" s="265"/>
      <c r="O3084" s="265"/>
      <c r="P3084" s="265"/>
      <c r="Q3084" s="265"/>
      <c r="BR3084" s="265"/>
      <c r="BS3084" s="265"/>
      <c r="BT3084" s="265"/>
      <c r="BU3084" s="265"/>
      <c r="BV3084" s="265"/>
    </row>
    <row r="3085" spans="12:74">
      <c r="L3085" s="265"/>
      <c r="M3085" s="265"/>
      <c r="N3085" s="265"/>
      <c r="O3085" s="265"/>
      <c r="P3085" s="265"/>
      <c r="Q3085" s="265"/>
      <c r="BR3085" s="265"/>
      <c r="BS3085" s="265"/>
      <c r="BT3085" s="265"/>
      <c r="BU3085" s="265"/>
      <c r="BV3085" s="265"/>
    </row>
    <row r="3086" spans="12:74">
      <c r="L3086" s="265"/>
      <c r="M3086" s="265"/>
      <c r="N3086" s="265"/>
      <c r="O3086" s="265"/>
      <c r="P3086" s="265"/>
      <c r="Q3086" s="265"/>
      <c r="BR3086" s="265"/>
      <c r="BS3086" s="265"/>
      <c r="BT3086" s="265"/>
      <c r="BU3086" s="265"/>
      <c r="BV3086" s="265"/>
    </row>
    <row r="3087" spans="12:74">
      <c r="L3087" s="265"/>
      <c r="M3087" s="265"/>
      <c r="N3087" s="265"/>
      <c r="O3087" s="265"/>
      <c r="P3087" s="265"/>
      <c r="Q3087" s="265"/>
      <c r="BR3087" s="265"/>
      <c r="BS3087" s="265"/>
      <c r="BT3087" s="265"/>
      <c r="BU3087" s="265"/>
      <c r="BV3087" s="265"/>
    </row>
    <row r="3088" spans="12:74">
      <c r="L3088" s="265"/>
      <c r="M3088" s="265"/>
      <c r="N3088" s="265"/>
      <c r="O3088" s="265"/>
      <c r="P3088" s="265"/>
      <c r="Q3088" s="265"/>
      <c r="BR3088" s="265"/>
      <c r="BS3088" s="265"/>
      <c r="BT3088" s="265"/>
      <c r="BU3088" s="265"/>
      <c r="BV3088" s="265"/>
    </row>
    <row r="3089" spans="12:74">
      <c r="L3089" s="265"/>
      <c r="M3089" s="265"/>
      <c r="N3089" s="265"/>
      <c r="O3089" s="265"/>
      <c r="P3089" s="265"/>
      <c r="Q3089" s="265"/>
      <c r="BR3089" s="265"/>
      <c r="BS3089" s="265"/>
      <c r="BT3089" s="265"/>
      <c r="BU3089" s="265"/>
      <c r="BV3089" s="265"/>
    </row>
    <row r="3090" spans="12:74">
      <c r="L3090" s="265"/>
      <c r="M3090" s="265"/>
      <c r="N3090" s="265"/>
      <c r="O3090" s="265"/>
      <c r="P3090" s="265"/>
      <c r="Q3090" s="265"/>
      <c r="BR3090" s="265"/>
      <c r="BS3090" s="265"/>
      <c r="BT3090" s="265"/>
      <c r="BU3090" s="265"/>
      <c r="BV3090" s="265"/>
    </row>
    <row r="3091" spans="12:74">
      <c r="L3091" s="265"/>
      <c r="M3091" s="265"/>
      <c r="N3091" s="265"/>
      <c r="O3091" s="265"/>
      <c r="P3091" s="265"/>
      <c r="Q3091" s="265"/>
      <c r="BR3091" s="265"/>
      <c r="BS3091" s="265"/>
      <c r="BT3091" s="265"/>
      <c r="BU3091" s="265"/>
      <c r="BV3091" s="265"/>
    </row>
    <row r="3092" spans="12:74">
      <c r="L3092" s="265"/>
      <c r="M3092" s="265"/>
      <c r="N3092" s="265"/>
      <c r="O3092" s="265"/>
      <c r="P3092" s="265"/>
      <c r="Q3092" s="265"/>
      <c r="BR3092" s="265"/>
      <c r="BS3092" s="265"/>
      <c r="BT3092" s="265"/>
      <c r="BU3092" s="265"/>
      <c r="BV3092" s="265"/>
    </row>
    <row r="3093" spans="12:74">
      <c r="L3093" s="265"/>
      <c r="M3093" s="265"/>
      <c r="N3093" s="265"/>
      <c r="O3093" s="265"/>
      <c r="P3093" s="265"/>
      <c r="Q3093" s="265"/>
      <c r="BR3093" s="265"/>
      <c r="BS3093" s="265"/>
      <c r="BT3093" s="265"/>
      <c r="BU3093" s="265"/>
      <c r="BV3093" s="265"/>
    </row>
    <row r="3094" spans="12:74">
      <c r="L3094" s="265"/>
      <c r="M3094" s="265"/>
      <c r="N3094" s="265"/>
      <c r="O3094" s="265"/>
      <c r="P3094" s="265"/>
      <c r="Q3094" s="265"/>
      <c r="BR3094" s="265"/>
      <c r="BS3094" s="265"/>
      <c r="BT3094" s="265"/>
      <c r="BU3094" s="265"/>
      <c r="BV3094" s="265"/>
    </row>
    <row r="3095" spans="12:74">
      <c r="L3095" s="265"/>
      <c r="M3095" s="265"/>
      <c r="N3095" s="265"/>
      <c r="O3095" s="265"/>
      <c r="P3095" s="265"/>
      <c r="Q3095" s="265"/>
      <c r="BR3095" s="265"/>
      <c r="BS3095" s="265"/>
      <c r="BT3095" s="265"/>
      <c r="BU3095" s="265"/>
      <c r="BV3095" s="265"/>
    </row>
    <row r="3096" spans="12:74">
      <c r="L3096" s="265"/>
      <c r="M3096" s="265"/>
      <c r="N3096" s="265"/>
      <c r="O3096" s="265"/>
      <c r="P3096" s="265"/>
      <c r="Q3096" s="265"/>
      <c r="BR3096" s="265"/>
      <c r="BS3096" s="265"/>
      <c r="BT3096" s="265"/>
      <c r="BU3096" s="265"/>
      <c r="BV3096" s="265"/>
    </row>
    <row r="3097" spans="12:74">
      <c r="L3097" s="265"/>
      <c r="M3097" s="265"/>
      <c r="N3097" s="265"/>
      <c r="O3097" s="265"/>
      <c r="P3097" s="265"/>
      <c r="Q3097" s="265"/>
      <c r="BR3097" s="265"/>
      <c r="BS3097" s="265"/>
      <c r="BT3097" s="265"/>
      <c r="BU3097" s="265"/>
      <c r="BV3097" s="265"/>
    </row>
    <row r="3098" spans="12:74">
      <c r="L3098" s="265"/>
      <c r="M3098" s="265"/>
      <c r="N3098" s="265"/>
      <c r="O3098" s="265"/>
      <c r="P3098" s="265"/>
      <c r="Q3098" s="265"/>
      <c r="BR3098" s="265"/>
      <c r="BS3098" s="265"/>
      <c r="BT3098" s="265"/>
      <c r="BU3098" s="265"/>
      <c r="BV3098" s="265"/>
    </row>
    <row r="3099" spans="12:74">
      <c r="L3099" s="265"/>
      <c r="M3099" s="265"/>
      <c r="N3099" s="265"/>
      <c r="O3099" s="265"/>
      <c r="P3099" s="265"/>
      <c r="Q3099" s="265"/>
      <c r="BR3099" s="265"/>
      <c r="BS3099" s="265"/>
      <c r="BT3099" s="265"/>
      <c r="BU3099" s="265"/>
      <c r="BV3099" s="265"/>
    </row>
    <row r="3100" spans="12:74">
      <c r="L3100" s="265"/>
      <c r="M3100" s="265"/>
      <c r="N3100" s="265"/>
      <c r="O3100" s="265"/>
      <c r="P3100" s="265"/>
      <c r="Q3100" s="265"/>
      <c r="BR3100" s="265"/>
      <c r="BS3100" s="265"/>
      <c r="BT3100" s="265"/>
      <c r="BU3100" s="265"/>
      <c r="BV3100" s="265"/>
    </row>
    <row r="3101" spans="12:74">
      <c r="L3101" s="265"/>
      <c r="M3101" s="265"/>
      <c r="N3101" s="265"/>
      <c r="O3101" s="265"/>
      <c r="P3101" s="265"/>
      <c r="Q3101" s="265"/>
      <c r="BR3101" s="265"/>
      <c r="BS3101" s="265"/>
      <c r="BT3101" s="265"/>
      <c r="BU3101" s="265"/>
      <c r="BV3101" s="265"/>
    </row>
    <row r="3102" spans="12:74">
      <c r="L3102" s="265"/>
      <c r="M3102" s="265"/>
      <c r="N3102" s="265"/>
      <c r="O3102" s="265"/>
      <c r="P3102" s="265"/>
      <c r="Q3102" s="265"/>
      <c r="BR3102" s="265"/>
      <c r="BS3102" s="265"/>
      <c r="BT3102" s="265"/>
      <c r="BU3102" s="265"/>
      <c r="BV3102" s="265"/>
    </row>
    <row r="3103" spans="12:74">
      <c r="L3103" s="265"/>
      <c r="M3103" s="265"/>
      <c r="N3103" s="265"/>
      <c r="O3103" s="265"/>
      <c r="P3103" s="265"/>
      <c r="Q3103" s="265"/>
      <c r="BR3103" s="265"/>
      <c r="BS3103" s="265"/>
      <c r="BT3103" s="265"/>
      <c r="BU3103" s="265"/>
      <c r="BV3103" s="265"/>
    </row>
    <row r="3104" spans="12:74">
      <c r="L3104" s="265"/>
      <c r="M3104" s="265"/>
      <c r="N3104" s="265"/>
      <c r="O3104" s="265"/>
      <c r="P3104" s="265"/>
      <c r="Q3104" s="265"/>
      <c r="BR3104" s="265"/>
      <c r="BS3104" s="265"/>
      <c r="BT3104" s="265"/>
      <c r="BU3104" s="265"/>
      <c r="BV3104" s="265"/>
    </row>
    <row r="3105" spans="12:74">
      <c r="L3105" s="265"/>
      <c r="M3105" s="265"/>
      <c r="N3105" s="265"/>
      <c r="O3105" s="265"/>
      <c r="P3105" s="265"/>
      <c r="Q3105" s="265"/>
      <c r="BR3105" s="265"/>
      <c r="BS3105" s="265"/>
      <c r="BT3105" s="265"/>
      <c r="BU3105" s="265"/>
      <c r="BV3105" s="265"/>
    </row>
    <row r="3106" spans="12:74">
      <c r="L3106" s="265"/>
      <c r="M3106" s="265"/>
      <c r="N3106" s="265"/>
      <c r="O3106" s="265"/>
      <c r="P3106" s="265"/>
      <c r="Q3106" s="265"/>
      <c r="BR3106" s="265"/>
      <c r="BS3106" s="265"/>
      <c r="BT3106" s="265"/>
      <c r="BU3106" s="265"/>
      <c r="BV3106" s="265"/>
    </row>
    <row r="3107" spans="12:74">
      <c r="L3107" s="265"/>
      <c r="M3107" s="265"/>
      <c r="N3107" s="265"/>
      <c r="O3107" s="265"/>
      <c r="P3107" s="265"/>
      <c r="Q3107" s="265"/>
      <c r="BR3107" s="265"/>
      <c r="BS3107" s="265"/>
      <c r="BT3107" s="265"/>
      <c r="BU3107" s="265"/>
      <c r="BV3107" s="265"/>
    </row>
    <row r="3108" spans="12:74">
      <c r="L3108" s="265"/>
      <c r="M3108" s="265"/>
      <c r="N3108" s="265"/>
      <c r="O3108" s="265"/>
      <c r="P3108" s="265"/>
      <c r="Q3108" s="265"/>
      <c r="BR3108" s="265"/>
      <c r="BS3108" s="265"/>
      <c r="BT3108" s="265"/>
      <c r="BU3108" s="265"/>
      <c r="BV3108" s="265"/>
    </row>
    <row r="3109" spans="12:74">
      <c r="L3109" s="265"/>
      <c r="M3109" s="265"/>
      <c r="N3109" s="265"/>
      <c r="O3109" s="265"/>
      <c r="P3109" s="265"/>
      <c r="Q3109" s="265"/>
      <c r="BR3109" s="265"/>
      <c r="BS3109" s="265"/>
      <c r="BT3109" s="265"/>
      <c r="BU3109" s="265"/>
      <c r="BV3109" s="265"/>
    </row>
    <row r="3110" spans="12:74">
      <c r="L3110" s="265"/>
      <c r="M3110" s="265"/>
      <c r="N3110" s="265"/>
      <c r="O3110" s="265"/>
      <c r="P3110" s="265"/>
      <c r="Q3110" s="265"/>
      <c r="BR3110" s="265"/>
      <c r="BS3110" s="265"/>
      <c r="BT3110" s="265"/>
      <c r="BU3110" s="265"/>
      <c r="BV3110" s="265"/>
    </row>
    <row r="3111" spans="12:74">
      <c r="L3111" s="265"/>
      <c r="M3111" s="265"/>
      <c r="N3111" s="265"/>
      <c r="O3111" s="265"/>
      <c r="P3111" s="265"/>
      <c r="Q3111" s="265"/>
      <c r="BR3111" s="265"/>
      <c r="BS3111" s="265"/>
      <c r="BT3111" s="265"/>
      <c r="BU3111" s="265"/>
      <c r="BV3111" s="265"/>
    </row>
    <row r="3112" spans="12:74">
      <c r="L3112" s="265"/>
      <c r="M3112" s="265"/>
      <c r="N3112" s="265"/>
      <c r="O3112" s="265"/>
      <c r="P3112" s="265"/>
      <c r="Q3112" s="265"/>
      <c r="BR3112" s="265"/>
      <c r="BS3112" s="265"/>
      <c r="BT3112" s="265"/>
      <c r="BU3112" s="265"/>
      <c r="BV3112" s="265"/>
    </row>
    <row r="3113" spans="12:74">
      <c r="L3113" s="265"/>
      <c r="M3113" s="265"/>
      <c r="N3113" s="265"/>
      <c r="O3113" s="265"/>
      <c r="P3113" s="265"/>
      <c r="Q3113" s="265"/>
      <c r="BR3113" s="265"/>
      <c r="BS3113" s="265"/>
      <c r="BT3113" s="265"/>
      <c r="BU3113" s="265"/>
      <c r="BV3113" s="265"/>
    </row>
    <row r="3114" spans="12:74">
      <c r="L3114" s="265"/>
      <c r="M3114" s="265"/>
      <c r="N3114" s="265"/>
      <c r="O3114" s="265"/>
      <c r="P3114" s="265"/>
      <c r="Q3114" s="265"/>
      <c r="BR3114" s="265"/>
      <c r="BS3114" s="265"/>
      <c r="BT3114" s="265"/>
      <c r="BU3114" s="265"/>
      <c r="BV3114" s="265"/>
    </row>
    <row r="3115" spans="12:74">
      <c r="L3115" s="265"/>
      <c r="M3115" s="265"/>
      <c r="N3115" s="265"/>
      <c r="O3115" s="265"/>
      <c r="P3115" s="265"/>
      <c r="Q3115" s="265"/>
      <c r="BR3115" s="265"/>
      <c r="BS3115" s="265"/>
      <c r="BT3115" s="265"/>
      <c r="BU3115" s="265"/>
      <c r="BV3115" s="265"/>
    </row>
    <row r="3116" spans="12:74">
      <c r="L3116" s="265"/>
      <c r="M3116" s="265"/>
      <c r="N3116" s="265"/>
      <c r="O3116" s="265"/>
      <c r="P3116" s="265"/>
      <c r="Q3116" s="265"/>
      <c r="BR3116" s="265"/>
      <c r="BS3116" s="265"/>
      <c r="BT3116" s="265"/>
      <c r="BU3116" s="265"/>
      <c r="BV3116" s="265"/>
    </row>
    <row r="3117" spans="12:74">
      <c r="L3117" s="265"/>
      <c r="M3117" s="265"/>
      <c r="N3117" s="265"/>
      <c r="O3117" s="265"/>
      <c r="P3117" s="265"/>
      <c r="Q3117" s="265"/>
      <c r="BR3117" s="265"/>
      <c r="BS3117" s="265"/>
      <c r="BT3117" s="265"/>
      <c r="BU3117" s="265"/>
      <c r="BV3117" s="265"/>
    </row>
    <row r="3118" spans="12:74">
      <c r="L3118" s="265"/>
      <c r="M3118" s="265"/>
      <c r="N3118" s="265"/>
      <c r="O3118" s="265"/>
      <c r="P3118" s="265"/>
      <c r="Q3118" s="265"/>
      <c r="BR3118" s="265"/>
      <c r="BS3118" s="265"/>
      <c r="BT3118" s="265"/>
      <c r="BU3118" s="265"/>
      <c r="BV3118" s="265"/>
    </row>
    <row r="3119" spans="12:74">
      <c r="L3119" s="265"/>
      <c r="M3119" s="265"/>
      <c r="N3119" s="265"/>
      <c r="O3119" s="265"/>
      <c r="P3119" s="265"/>
      <c r="Q3119" s="265"/>
      <c r="BR3119" s="265"/>
      <c r="BS3119" s="265"/>
      <c r="BT3119" s="265"/>
      <c r="BU3119" s="265"/>
      <c r="BV3119" s="265"/>
    </row>
    <row r="3120" spans="12:74">
      <c r="L3120" s="265"/>
      <c r="M3120" s="265"/>
      <c r="N3120" s="265"/>
      <c r="O3120" s="265"/>
      <c r="P3120" s="265"/>
      <c r="Q3120" s="265"/>
      <c r="BR3120" s="265"/>
      <c r="BS3120" s="265"/>
      <c r="BT3120" s="265"/>
      <c r="BU3120" s="265"/>
      <c r="BV3120" s="265"/>
    </row>
    <row r="3121" spans="12:74">
      <c r="L3121" s="265"/>
      <c r="M3121" s="265"/>
      <c r="N3121" s="265"/>
      <c r="O3121" s="265"/>
      <c r="P3121" s="265"/>
      <c r="Q3121" s="265"/>
      <c r="BR3121" s="265"/>
      <c r="BS3121" s="265"/>
      <c r="BT3121" s="265"/>
      <c r="BU3121" s="265"/>
      <c r="BV3121" s="265"/>
    </row>
    <row r="3122" spans="12:74">
      <c r="L3122" s="265"/>
      <c r="M3122" s="265"/>
      <c r="N3122" s="265"/>
      <c r="O3122" s="265"/>
      <c r="P3122" s="265"/>
      <c r="Q3122" s="265"/>
      <c r="BR3122" s="265"/>
      <c r="BS3122" s="265"/>
      <c r="BT3122" s="265"/>
      <c r="BU3122" s="265"/>
      <c r="BV3122" s="265"/>
    </row>
    <row r="3123" spans="12:74">
      <c r="L3123" s="265"/>
      <c r="M3123" s="265"/>
      <c r="N3123" s="265"/>
      <c r="O3123" s="265"/>
      <c r="P3123" s="265"/>
      <c r="Q3123" s="265"/>
      <c r="BR3123" s="265"/>
      <c r="BS3123" s="265"/>
      <c r="BT3123" s="265"/>
      <c r="BU3123" s="265"/>
      <c r="BV3123" s="265"/>
    </row>
    <row r="3124" spans="12:74">
      <c r="L3124" s="265"/>
      <c r="M3124" s="265"/>
      <c r="N3124" s="265"/>
      <c r="O3124" s="265"/>
      <c r="P3124" s="265"/>
      <c r="Q3124" s="265"/>
      <c r="BR3124" s="265"/>
      <c r="BS3124" s="265"/>
      <c r="BT3124" s="265"/>
      <c r="BU3124" s="265"/>
      <c r="BV3124" s="265"/>
    </row>
    <row r="3125" spans="12:74">
      <c r="L3125" s="265"/>
      <c r="M3125" s="265"/>
      <c r="N3125" s="265"/>
      <c r="O3125" s="265"/>
      <c r="P3125" s="265"/>
      <c r="Q3125" s="265"/>
      <c r="BR3125" s="265"/>
      <c r="BS3125" s="265"/>
      <c r="BT3125" s="265"/>
      <c r="BU3125" s="265"/>
      <c r="BV3125" s="265"/>
    </row>
    <row r="3126" spans="12:74">
      <c r="L3126" s="265"/>
      <c r="M3126" s="265"/>
      <c r="N3126" s="265"/>
      <c r="O3126" s="265"/>
      <c r="P3126" s="265"/>
      <c r="Q3126" s="265"/>
      <c r="BR3126" s="265"/>
      <c r="BS3126" s="265"/>
      <c r="BT3126" s="265"/>
      <c r="BU3126" s="265"/>
      <c r="BV3126" s="265"/>
    </row>
    <row r="3127" spans="12:74">
      <c r="L3127" s="265"/>
      <c r="M3127" s="265"/>
      <c r="N3127" s="265"/>
      <c r="O3127" s="265"/>
      <c r="P3127" s="265"/>
      <c r="Q3127" s="265"/>
      <c r="BR3127" s="265"/>
      <c r="BS3127" s="265"/>
      <c r="BT3127" s="265"/>
      <c r="BU3127" s="265"/>
      <c r="BV3127" s="265"/>
    </row>
    <row r="3128" spans="12:74">
      <c r="L3128" s="265"/>
      <c r="M3128" s="265"/>
      <c r="N3128" s="265"/>
      <c r="O3128" s="265"/>
      <c r="P3128" s="265"/>
      <c r="Q3128" s="265"/>
      <c r="BR3128" s="265"/>
      <c r="BS3128" s="265"/>
      <c r="BT3128" s="265"/>
      <c r="BU3128" s="265"/>
      <c r="BV3128" s="265"/>
    </row>
    <row r="3129" spans="12:74">
      <c r="L3129" s="265"/>
      <c r="M3129" s="265"/>
      <c r="N3129" s="265"/>
      <c r="O3129" s="265"/>
      <c r="P3129" s="265"/>
      <c r="Q3129" s="265"/>
      <c r="BR3129" s="265"/>
      <c r="BS3129" s="265"/>
      <c r="BT3129" s="265"/>
      <c r="BU3129" s="265"/>
      <c r="BV3129" s="265"/>
    </row>
    <row r="3130" spans="12:74">
      <c r="L3130" s="265"/>
      <c r="M3130" s="265"/>
      <c r="N3130" s="265"/>
      <c r="O3130" s="265"/>
      <c r="P3130" s="265"/>
      <c r="Q3130" s="265"/>
      <c r="BR3130" s="265"/>
      <c r="BS3130" s="265"/>
      <c r="BT3130" s="265"/>
      <c r="BU3130" s="265"/>
      <c r="BV3130" s="265"/>
    </row>
    <row r="3131" spans="12:74">
      <c r="L3131" s="265"/>
      <c r="M3131" s="265"/>
      <c r="N3131" s="265"/>
      <c r="O3131" s="265"/>
      <c r="P3131" s="265"/>
      <c r="Q3131" s="265"/>
      <c r="BR3131" s="265"/>
      <c r="BS3131" s="265"/>
      <c r="BT3131" s="265"/>
      <c r="BU3131" s="265"/>
      <c r="BV3131" s="265"/>
    </row>
    <row r="3132" spans="12:74">
      <c r="L3132" s="265"/>
      <c r="M3132" s="265"/>
      <c r="N3132" s="265"/>
      <c r="O3132" s="265"/>
      <c r="P3132" s="265"/>
      <c r="Q3132" s="265"/>
      <c r="BR3132" s="265"/>
      <c r="BS3132" s="265"/>
      <c r="BT3132" s="265"/>
      <c r="BU3132" s="265"/>
      <c r="BV3132" s="265"/>
    </row>
    <row r="3133" spans="12:74">
      <c r="L3133" s="265"/>
      <c r="M3133" s="265"/>
      <c r="N3133" s="265"/>
      <c r="O3133" s="265"/>
      <c r="P3133" s="265"/>
      <c r="Q3133" s="265"/>
      <c r="BR3133" s="265"/>
      <c r="BS3133" s="265"/>
      <c r="BT3133" s="265"/>
      <c r="BU3133" s="265"/>
      <c r="BV3133" s="265"/>
    </row>
    <row r="3134" spans="12:74">
      <c r="L3134" s="265"/>
      <c r="M3134" s="265"/>
      <c r="N3134" s="265"/>
      <c r="O3134" s="265"/>
      <c r="P3134" s="265"/>
      <c r="Q3134" s="265"/>
      <c r="BR3134" s="265"/>
      <c r="BS3134" s="265"/>
      <c r="BT3134" s="265"/>
      <c r="BU3134" s="265"/>
      <c r="BV3134" s="265"/>
    </row>
    <row r="3135" spans="12:74">
      <c r="L3135" s="265"/>
      <c r="M3135" s="265"/>
      <c r="N3135" s="265"/>
      <c r="O3135" s="265"/>
      <c r="P3135" s="265"/>
      <c r="Q3135" s="265"/>
      <c r="BR3135" s="265"/>
      <c r="BS3135" s="265"/>
      <c r="BT3135" s="265"/>
      <c r="BU3135" s="265"/>
      <c r="BV3135" s="265"/>
    </row>
    <row r="3136" spans="12:74">
      <c r="L3136" s="265"/>
      <c r="M3136" s="265"/>
      <c r="N3136" s="265"/>
      <c r="O3136" s="265"/>
      <c r="P3136" s="265"/>
      <c r="Q3136" s="265"/>
      <c r="BR3136" s="265"/>
      <c r="BS3136" s="265"/>
      <c r="BT3136" s="265"/>
      <c r="BU3136" s="265"/>
      <c r="BV3136" s="265"/>
    </row>
    <row r="3137" spans="12:74">
      <c r="L3137" s="265"/>
      <c r="M3137" s="265"/>
      <c r="N3137" s="265"/>
      <c r="O3137" s="265"/>
      <c r="P3137" s="265"/>
      <c r="Q3137" s="265"/>
      <c r="BR3137" s="265"/>
      <c r="BS3137" s="265"/>
      <c r="BT3137" s="265"/>
      <c r="BU3137" s="265"/>
      <c r="BV3137" s="265"/>
    </row>
    <row r="3138" spans="12:74">
      <c r="L3138" s="265"/>
      <c r="M3138" s="265"/>
      <c r="N3138" s="265"/>
      <c r="O3138" s="265"/>
      <c r="P3138" s="265"/>
      <c r="Q3138" s="265"/>
      <c r="BR3138" s="265"/>
      <c r="BS3138" s="265"/>
      <c r="BT3138" s="265"/>
      <c r="BU3138" s="265"/>
      <c r="BV3138" s="265"/>
    </row>
    <row r="3139" spans="12:74">
      <c r="L3139" s="265"/>
      <c r="M3139" s="265"/>
      <c r="N3139" s="265"/>
      <c r="O3139" s="265"/>
      <c r="P3139" s="265"/>
      <c r="Q3139" s="265"/>
      <c r="BR3139" s="265"/>
      <c r="BS3139" s="265"/>
      <c r="BT3139" s="265"/>
      <c r="BU3139" s="265"/>
      <c r="BV3139" s="265"/>
    </row>
    <row r="3140" spans="12:74">
      <c r="L3140" s="265"/>
      <c r="M3140" s="265"/>
      <c r="N3140" s="265"/>
      <c r="O3140" s="265"/>
      <c r="P3140" s="265"/>
      <c r="Q3140" s="265"/>
      <c r="BR3140" s="265"/>
      <c r="BS3140" s="265"/>
      <c r="BT3140" s="265"/>
      <c r="BU3140" s="265"/>
      <c r="BV3140" s="265"/>
    </row>
    <row r="3141" spans="12:74">
      <c r="L3141" s="265"/>
      <c r="M3141" s="265"/>
      <c r="N3141" s="265"/>
      <c r="O3141" s="265"/>
      <c r="P3141" s="265"/>
      <c r="Q3141" s="265"/>
      <c r="BR3141" s="265"/>
      <c r="BS3141" s="265"/>
      <c r="BT3141" s="265"/>
      <c r="BU3141" s="265"/>
      <c r="BV3141" s="265"/>
    </row>
    <row r="3142" spans="12:74">
      <c r="L3142" s="265"/>
      <c r="M3142" s="265"/>
      <c r="N3142" s="265"/>
      <c r="O3142" s="265"/>
      <c r="P3142" s="265"/>
      <c r="Q3142" s="265"/>
      <c r="BR3142" s="265"/>
      <c r="BS3142" s="265"/>
      <c r="BT3142" s="265"/>
      <c r="BU3142" s="265"/>
      <c r="BV3142" s="265"/>
    </row>
    <row r="3143" spans="12:74">
      <c r="L3143" s="265"/>
      <c r="M3143" s="265"/>
      <c r="N3143" s="265"/>
      <c r="O3143" s="265"/>
      <c r="P3143" s="265"/>
      <c r="Q3143" s="265"/>
      <c r="BR3143" s="265"/>
      <c r="BS3143" s="265"/>
      <c r="BT3143" s="265"/>
      <c r="BU3143" s="265"/>
      <c r="BV3143" s="265"/>
    </row>
    <row r="3144" spans="12:74">
      <c r="L3144" s="265"/>
      <c r="M3144" s="265"/>
      <c r="N3144" s="265"/>
      <c r="O3144" s="265"/>
      <c r="P3144" s="265"/>
      <c r="Q3144" s="265"/>
      <c r="BR3144" s="265"/>
      <c r="BS3144" s="265"/>
      <c r="BT3144" s="265"/>
      <c r="BU3144" s="265"/>
      <c r="BV3144" s="265"/>
    </row>
    <row r="3145" spans="12:74">
      <c r="L3145" s="265"/>
      <c r="M3145" s="265"/>
      <c r="N3145" s="265"/>
      <c r="O3145" s="265"/>
      <c r="P3145" s="265"/>
      <c r="Q3145" s="265"/>
      <c r="BR3145" s="265"/>
      <c r="BS3145" s="265"/>
      <c r="BT3145" s="265"/>
      <c r="BU3145" s="265"/>
      <c r="BV3145" s="265"/>
    </row>
    <row r="3146" spans="12:74">
      <c r="L3146" s="265"/>
      <c r="M3146" s="265"/>
      <c r="N3146" s="265"/>
      <c r="O3146" s="265"/>
      <c r="P3146" s="265"/>
      <c r="Q3146" s="265"/>
      <c r="BR3146" s="265"/>
      <c r="BS3146" s="265"/>
      <c r="BT3146" s="265"/>
      <c r="BU3146" s="265"/>
      <c r="BV3146" s="265"/>
    </row>
    <row r="3147" spans="12:74">
      <c r="L3147" s="265"/>
      <c r="M3147" s="265"/>
      <c r="N3147" s="265"/>
      <c r="O3147" s="265"/>
      <c r="P3147" s="265"/>
      <c r="Q3147" s="265"/>
      <c r="BR3147" s="265"/>
      <c r="BS3147" s="265"/>
      <c r="BT3147" s="265"/>
      <c r="BU3147" s="265"/>
      <c r="BV3147" s="265"/>
    </row>
    <row r="3148" spans="12:74">
      <c r="L3148" s="265"/>
      <c r="M3148" s="265"/>
      <c r="N3148" s="265"/>
      <c r="O3148" s="265"/>
      <c r="P3148" s="265"/>
      <c r="Q3148" s="265"/>
      <c r="BR3148" s="265"/>
      <c r="BS3148" s="265"/>
      <c r="BT3148" s="265"/>
      <c r="BU3148" s="265"/>
      <c r="BV3148" s="265"/>
    </row>
    <row r="3149" spans="12:74">
      <c r="L3149" s="265"/>
      <c r="M3149" s="265"/>
      <c r="N3149" s="265"/>
      <c r="O3149" s="265"/>
      <c r="P3149" s="265"/>
      <c r="Q3149" s="265"/>
      <c r="BR3149" s="265"/>
      <c r="BS3149" s="265"/>
      <c r="BT3149" s="265"/>
      <c r="BU3149" s="265"/>
      <c r="BV3149" s="265"/>
    </row>
    <row r="3150" spans="12:74">
      <c r="L3150" s="265"/>
      <c r="M3150" s="265"/>
      <c r="N3150" s="265"/>
      <c r="O3150" s="265"/>
      <c r="P3150" s="265"/>
      <c r="Q3150" s="265"/>
      <c r="BR3150" s="265"/>
      <c r="BS3150" s="265"/>
      <c r="BT3150" s="265"/>
      <c r="BU3150" s="265"/>
      <c r="BV3150" s="265"/>
    </row>
    <row r="3151" spans="12:74">
      <c r="L3151" s="265"/>
      <c r="M3151" s="265"/>
      <c r="N3151" s="265"/>
      <c r="O3151" s="265"/>
      <c r="P3151" s="265"/>
      <c r="Q3151" s="265"/>
      <c r="BR3151" s="265"/>
      <c r="BS3151" s="265"/>
      <c r="BT3151" s="265"/>
      <c r="BU3151" s="265"/>
      <c r="BV3151" s="265"/>
    </row>
    <row r="3152" spans="12:74">
      <c r="L3152" s="265"/>
      <c r="M3152" s="265"/>
      <c r="N3152" s="265"/>
      <c r="O3152" s="265"/>
      <c r="P3152" s="265"/>
      <c r="Q3152" s="265"/>
      <c r="BR3152" s="265"/>
      <c r="BS3152" s="265"/>
      <c r="BT3152" s="265"/>
      <c r="BU3152" s="265"/>
      <c r="BV3152" s="265"/>
    </row>
    <row r="3153" spans="12:74">
      <c r="L3153" s="265"/>
      <c r="M3153" s="265"/>
      <c r="N3153" s="265"/>
      <c r="O3153" s="265"/>
      <c r="P3153" s="265"/>
      <c r="Q3153" s="265"/>
      <c r="BR3153" s="265"/>
      <c r="BS3153" s="265"/>
      <c r="BT3153" s="265"/>
      <c r="BU3153" s="265"/>
      <c r="BV3153" s="265"/>
    </row>
    <row r="3154" spans="12:74">
      <c r="L3154" s="265"/>
      <c r="M3154" s="265"/>
      <c r="N3154" s="265"/>
      <c r="O3154" s="265"/>
      <c r="P3154" s="265"/>
      <c r="Q3154" s="265"/>
      <c r="BR3154" s="265"/>
      <c r="BS3154" s="265"/>
      <c r="BT3154" s="265"/>
      <c r="BU3154" s="265"/>
      <c r="BV3154" s="265"/>
    </row>
    <row r="3155" spans="12:74">
      <c r="L3155" s="265"/>
      <c r="M3155" s="265"/>
      <c r="N3155" s="265"/>
      <c r="O3155" s="265"/>
      <c r="P3155" s="265"/>
      <c r="Q3155" s="265"/>
      <c r="BR3155" s="265"/>
      <c r="BS3155" s="265"/>
      <c r="BT3155" s="265"/>
      <c r="BU3155" s="265"/>
      <c r="BV3155" s="265"/>
    </row>
    <row r="3156" spans="12:74">
      <c r="L3156" s="265"/>
      <c r="M3156" s="265"/>
      <c r="N3156" s="265"/>
      <c r="O3156" s="265"/>
      <c r="P3156" s="265"/>
      <c r="Q3156" s="265"/>
      <c r="BR3156" s="265"/>
      <c r="BS3156" s="265"/>
      <c r="BT3156" s="265"/>
      <c r="BU3156" s="265"/>
      <c r="BV3156" s="265"/>
    </row>
    <row r="3157" spans="12:74">
      <c r="L3157" s="265"/>
      <c r="M3157" s="265"/>
      <c r="N3157" s="265"/>
      <c r="O3157" s="265"/>
      <c r="P3157" s="265"/>
      <c r="Q3157" s="265"/>
      <c r="BR3157" s="265"/>
      <c r="BS3157" s="265"/>
      <c r="BT3157" s="265"/>
      <c r="BU3157" s="265"/>
      <c r="BV3157" s="265"/>
    </row>
    <row r="3158" spans="12:74">
      <c r="L3158" s="265"/>
      <c r="M3158" s="265"/>
      <c r="N3158" s="265"/>
      <c r="O3158" s="265"/>
      <c r="P3158" s="265"/>
      <c r="Q3158" s="265"/>
      <c r="BR3158" s="265"/>
      <c r="BS3158" s="265"/>
      <c r="BT3158" s="265"/>
      <c r="BU3158" s="265"/>
      <c r="BV3158" s="265"/>
    </row>
    <row r="3159" spans="12:74">
      <c r="L3159" s="265"/>
      <c r="M3159" s="265"/>
      <c r="N3159" s="265"/>
      <c r="O3159" s="265"/>
      <c r="P3159" s="265"/>
      <c r="Q3159" s="265"/>
      <c r="BR3159" s="265"/>
      <c r="BS3159" s="265"/>
      <c r="BT3159" s="265"/>
      <c r="BU3159" s="265"/>
      <c r="BV3159" s="265"/>
    </row>
    <row r="3160" spans="12:74">
      <c r="L3160" s="265"/>
      <c r="M3160" s="265"/>
      <c r="N3160" s="265"/>
      <c r="O3160" s="265"/>
      <c r="P3160" s="265"/>
      <c r="Q3160" s="265"/>
      <c r="BR3160" s="265"/>
      <c r="BS3160" s="265"/>
      <c r="BT3160" s="265"/>
      <c r="BU3160" s="265"/>
      <c r="BV3160" s="265"/>
    </row>
    <row r="3161" spans="12:74">
      <c r="L3161" s="265"/>
      <c r="M3161" s="265"/>
      <c r="N3161" s="265"/>
      <c r="O3161" s="265"/>
      <c r="P3161" s="265"/>
      <c r="Q3161" s="265"/>
      <c r="BR3161" s="265"/>
      <c r="BS3161" s="265"/>
      <c r="BT3161" s="265"/>
      <c r="BU3161" s="265"/>
      <c r="BV3161" s="265"/>
    </row>
    <row r="3162" spans="12:74">
      <c r="L3162" s="265"/>
      <c r="M3162" s="265"/>
      <c r="N3162" s="265"/>
      <c r="O3162" s="265"/>
      <c r="P3162" s="265"/>
      <c r="Q3162" s="265"/>
      <c r="BR3162" s="265"/>
      <c r="BS3162" s="265"/>
      <c r="BT3162" s="265"/>
      <c r="BU3162" s="265"/>
      <c r="BV3162" s="265"/>
    </row>
    <row r="3163" spans="12:74">
      <c r="L3163" s="265"/>
      <c r="M3163" s="265"/>
      <c r="N3163" s="265"/>
      <c r="O3163" s="265"/>
      <c r="P3163" s="265"/>
      <c r="Q3163" s="265"/>
      <c r="BR3163" s="265"/>
      <c r="BS3163" s="265"/>
      <c r="BT3163" s="265"/>
      <c r="BU3163" s="265"/>
      <c r="BV3163" s="265"/>
    </row>
    <row r="3164" spans="12:74">
      <c r="L3164" s="265"/>
      <c r="M3164" s="265"/>
      <c r="N3164" s="265"/>
      <c r="O3164" s="265"/>
      <c r="P3164" s="265"/>
      <c r="Q3164" s="265"/>
      <c r="BR3164" s="265"/>
      <c r="BS3164" s="265"/>
      <c r="BT3164" s="265"/>
      <c r="BU3164" s="265"/>
      <c r="BV3164" s="265"/>
    </row>
    <row r="3165" spans="12:74">
      <c r="L3165" s="265"/>
      <c r="M3165" s="265"/>
      <c r="N3165" s="265"/>
      <c r="O3165" s="265"/>
      <c r="P3165" s="265"/>
      <c r="Q3165" s="265"/>
      <c r="BR3165" s="265"/>
      <c r="BS3165" s="265"/>
      <c r="BT3165" s="265"/>
      <c r="BU3165" s="265"/>
      <c r="BV3165" s="265"/>
    </row>
    <row r="3166" spans="12:74">
      <c r="L3166" s="265"/>
      <c r="M3166" s="265"/>
      <c r="N3166" s="265"/>
      <c r="O3166" s="265"/>
      <c r="P3166" s="265"/>
      <c r="Q3166" s="265"/>
      <c r="BR3166" s="265"/>
      <c r="BS3166" s="265"/>
      <c r="BT3166" s="265"/>
      <c r="BU3166" s="265"/>
      <c r="BV3166" s="265"/>
    </row>
    <row r="3167" spans="12:74">
      <c r="L3167" s="265"/>
      <c r="M3167" s="265"/>
      <c r="N3167" s="265"/>
      <c r="O3167" s="265"/>
      <c r="P3167" s="265"/>
      <c r="Q3167" s="265"/>
      <c r="BR3167" s="265"/>
      <c r="BS3167" s="265"/>
      <c r="BT3167" s="265"/>
      <c r="BU3167" s="265"/>
      <c r="BV3167" s="265"/>
    </row>
    <row r="3168" spans="12:74">
      <c r="L3168" s="265"/>
      <c r="M3168" s="265"/>
      <c r="N3168" s="265"/>
      <c r="O3168" s="265"/>
      <c r="P3168" s="265"/>
      <c r="Q3168" s="265"/>
      <c r="BR3168" s="265"/>
      <c r="BS3168" s="265"/>
      <c r="BT3168" s="265"/>
      <c r="BU3168" s="265"/>
      <c r="BV3168" s="265"/>
    </row>
    <row r="3169" spans="12:74">
      <c r="L3169" s="265"/>
      <c r="M3169" s="265"/>
      <c r="N3169" s="265"/>
      <c r="O3169" s="265"/>
      <c r="P3169" s="265"/>
      <c r="Q3169" s="265"/>
      <c r="BR3169" s="265"/>
      <c r="BS3169" s="265"/>
      <c r="BT3169" s="265"/>
      <c r="BU3169" s="265"/>
      <c r="BV3169" s="265"/>
    </row>
    <row r="3170" spans="12:74">
      <c r="L3170" s="265"/>
      <c r="M3170" s="265"/>
      <c r="N3170" s="265"/>
      <c r="O3170" s="265"/>
      <c r="P3170" s="265"/>
      <c r="Q3170" s="265"/>
      <c r="BR3170" s="265"/>
      <c r="BS3170" s="265"/>
      <c r="BT3170" s="265"/>
      <c r="BU3170" s="265"/>
      <c r="BV3170" s="265"/>
    </row>
    <row r="3171" spans="12:74">
      <c r="L3171" s="265"/>
      <c r="M3171" s="265"/>
      <c r="N3171" s="265"/>
      <c r="O3171" s="265"/>
      <c r="P3171" s="265"/>
      <c r="Q3171" s="265"/>
      <c r="BR3171" s="265"/>
      <c r="BS3171" s="265"/>
      <c r="BT3171" s="265"/>
      <c r="BU3171" s="265"/>
      <c r="BV3171" s="265"/>
    </row>
    <row r="3172" spans="12:74">
      <c r="L3172" s="265"/>
      <c r="M3172" s="265"/>
      <c r="N3172" s="265"/>
      <c r="O3172" s="265"/>
      <c r="P3172" s="265"/>
      <c r="Q3172" s="265"/>
      <c r="BR3172" s="265"/>
      <c r="BS3172" s="265"/>
      <c r="BT3172" s="265"/>
      <c r="BU3172" s="265"/>
      <c r="BV3172" s="265"/>
    </row>
    <row r="3173" spans="12:74">
      <c r="L3173" s="265"/>
      <c r="M3173" s="265"/>
      <c r="N3173" s="265"/>
      <c r="O3173" s="265"/>
      <c r="P3173" s="265"/>
      <c r="Q3173" s="265"/>
      <c r="BR3173" s="265"/>
      <c r="BS3173" s="265"/>
      <c r="BT3173" s="265"/>
      <c r="BU3173" s="265"/>
      <c r="BV3173" s="265"/>
    </row>
    <row r="3174" spans="12:74">
      <c r="L3174" s="265"/>
      <c r="M3174" s="265"/>
      <c r="N3174" s="265"/>
      <c r="O3174" s="265"/>
      <c r="P3174" s="265"/>
      <c r="Q3174" s="265"/>
      <c r="BR3174" s="265"/>
      <c r="BS3174" s="265"/>
      <c r="BT3174" s="265"/>
      <c r="BU3174" s="265"/>
      <c r="BV3174" s="265"/>
    </row>
    <row r="3175" spans="12:74">
      <c r="L3175" s="265"/>
      <c r="M3175" s="265"/>
      <c r="N3175" s="265"/>
      <c r="O3175" s="265"/>
      <c r="P3175" s="265"/>
      <c r="Q3175" s="265"/>
      <c r="BR3175" s="265"/>
      <c r="BS3175" s="265"/>
      <c r="BT3175" s="265"/>
      <c r="BU3175" s="265"/>
      <c r="BV3175" s="265"/>
    </row>
    <row r="3176" spans="12:74">
      <c r="L3176" s="265"/>
      <c r="M3176" s="265"/>
      <c r="N3176" s="265"/>
      <c r="O3176" s="265"/>
      <c r="P3176" s="265"/>
      <c r="Q3176" s="265"/>
      <c r="BR3176" s="265"/>
      <c r="BS3176" s="265"/>
      <c r="BT3176" s="265"/>
      <c r="BU3176" s="265"/>
      <c r="BV3176" s="265"/>
    </row>
    <row r="3177" spans="12:74">
      <c r="L3177" s="265"/>
      <c r="M3177" s="265"/>
      <c r="N3177" s="265"/>
      <c r="O3177" s="265"/>
      <c r="P3177" s="265"/>
      <c r="Q3177" s="265"/>
      <c r="BR3177" s="265"/>
      <c r="BS3177" s="265"/>
      <c r="BT3177" s="265"/>
      <c r="BU3177" s="265"/>
      <c r="BV3177" s="265"/>
    </row>
    <row r="3178" spans="12:74">
      <c r="L3178" s="265"/>
      <c r="M3178" s="265"/>
      <c r="N3178" s="265"/>
      <c r="O3178" s="265"/>
      <c r="P3178" s="265"/>
      <c r="Q3178" s="265"/>
      <c r="BR3178" s="265"/>
      <c r="BS3178" s="265"/>
      <c r="BT3178" s="265"/>
      <c r="BU3178" s="265"/>
      <c r="BV3178" s="265"/>
    </row>
    <row r="3179" spans="12:74">
      <c r="L3179" s="265"/>
      <c r="M3179" s="265"/>
      <c r="N3179" s="265"/>
      <c r="O3179" s="265"/>
      <c r="P3179" s="265"/>
      <c r="Q3179" s="265"/>
      <c r="BR3179" s="265"/>
      <c r="BS3179" s="265"/>
      <c r="BT3179" s="265"/>
      <c r="BU3179" s="265"/>
      <c r="BV3179" s="265"/>
    </row>
    <row r="3180" spans="12:74">
      <c r="L3180" s="265"/>
      <c r="M3180" s="265"/>
      <c r="N3180" s="265"/>
      <c r="O3180" s="265"/>
      <c r="P3180" s="265"/>
      <c r="Q3180" s="265"/>
      <c r="BR3180" s="265"/>
      <c r="BS3180" s="265"/>
      <c r="BT3180" s="265"/>
      <c r="BU3180" s="265"/>
      <c r="BV3180" s="265"/>
    </row>
    <row r="3181" spans="12:74">
      <c r="L3181" s="265"/>
      <c r="M3181" s="265"/>
      <c r="N3181" s="265"/>
      <c r="O3181" s="265"/>
      <c r="P3181" s="265"/>
      <c r="Q3181" s="265"/>
      <c r="BR3181" s="265"/>
      <c r="BS3181" s="265"/>
      <c r="BT3181" s="265"/>
      <c r="BU3181" s="265"/>
      <c r="BV3181" s="265"/>
    </row>
    <row r="3182" spans="12:74">
      <c r="L3182" s="265"/>
      <c r="M3182" s="265"/>
      <c r="N3182" s="265"/>
      <c r="O3182" s="265"/>
      <c r="P3182" s="265"/>
      <c r="Q3182" s="265"/>
      <c r="BR3182" s="265"/>
      <c r="BS3182" s="265"/>
      <c r="BT3182" s="265"/>
      <c r="BU3182" s="265"/>
      <c r="BV3182" s="265"/>
    </row>
    <row r="3183" spans="12:74">
      <c r="L3183" s="265"/>
      <c r="M3183" s="265"/>
      <c r="N3183" s="265"/>
      <c r="O3183" s="265"/>
      <c r="P3183" s="265"/>
      <c r="Q3183" s="265"/>
      <c r="BR3183" s="265"/>
      <c r="BS3183" s="265"/>
      <c r="BT3183" s="265"/>
      <c r="BU3183" s="265"/>
      <c r="BV3183" s="265"/>
    </row>
    <row r="3184" spans="12:74">
      <c r="L3184" s="265"/>
      <c r="M3184" s="265"/>
      <c r="N3184" s="265"/>
      <c r="O3184" s="265"/>
      <c r="P3184" s="265"/>
      <c r="Q3184" s="265"/>
      <c r="BR3184" s="265"/>
      <c r="BS3184" s="265"/>
      <c r="BT3184" s="265"/>
      <c r="BU3184" s="265"/>
      <c r="BV3184" s="265"/>
    </row>
    <row r="3185" spans="12:74">
      <c r="L3185" s="265"/>
      <c r="M3185" s="265"/>
      <c r="N3185" s="265"/>
      <c r="O3185" s="265"/>
      <c r="P3185" s="265"/>
      <c r="Q3185" s="265"/>
      <c r="BR3185" s="265"/>
      <c r="BS3185" s="265"/>
      <c r="BT3185" s="265"/>
      <c r="BU3185" s="265"/>
      <c r="BV3185" s="265"/>
    </row>
    <row r="3186" spans="12:74">
      <c r="L3186" s="265"/>
      <c r="M3186" s="265"/>
      <c r="N3186" s="265"/>
      <c r="O3186" s="265"/>
      <c r="P3186" s="265"/>
      <c r="Q3186" s="265"/>
      <c r="BR3186" s="265"/>
      <c r="BS3186" s="265"/>
      <c r="BT3186" s="265"/>
      <c r="BU3186" s="265"/>
      <c r="BV3186" s="265"/>
    </row>
    <row r="3187" spans="12:74">
      <c r="L3187" s="265"/>
      <c r="M3187" s="265"/>
      <c r="N3187" s="265"/>
      <c r="O3187" s="265"/>
      <c r="P3187" s="265"/>
      <c r="Q3187" s="265"/>
      <c r="BR3187" s="265"/>
      <c r="BS3187" s="265"/>
      <c r="BT3187" s="265"/>
      <c r="BU3187" s="265"/>
      <c r="BV3187" s="265"/>
    </row>
    <row r="3188" spans="12:74">
      <c r="L3188" s="265"/>
      <c r="M3188" s="265"/>
      <c r="N3188" s="265"/>
      <c r="O3188" s="265"/>
      <c r="P3188" s="265"/>
      <c r="Q3188" s="265"/>
      <c r="BR3188" s="265"/>
      <c r="BS3188" s="265"/>
      <c r="BT3188" s="265"/>
      <c r="BU3188" s="265"/>
      <c r="BV3188" s="265"/>
    </row>
    <row r="3189" spans="12:74">
      <c r="L3189" s="265"/>
      <c r="M3189" s="265"/>
      <c r="N3189" s="265"/>
      <c r="O3189" s="265"/>
      <c r="P3189" s="265"/>
      <c r="Q3189" s="265"/>
      <c r="BR3189" s="265"/>
      <c r="BS3189" s="265"/>
      <c r="BT3189" s="265"/>
      <c r="BU3189" s="265"/>
      <c r="BV3189" s="265"/>
    </row>
    <row r="3190" spans="12:74">
      <c r="L3190" s="265"/>
      <c r="M3190" s="265"/>
      <c r="N3190" s="265"/>
      <c r="O3190" s="265"/>
      <c r="P3190" s="265"/>
      <c r="Q3190" s="265"/>
      <c r="BR3190" s="265"/>
      <c r="BS3190" s="265"/>
      <c r="BT3190" s="265"/>
      <c r="BU3190" s="265"/>
      <c r="BV3190" s="265"/>
    </row>
    <row r="3191" spans="12:74">
      <c r="L3191" s="265"/>
      <c r="M3191" s="265"/>
      <c r="N3191" s="265"/>
      <c r="O3191" s="265"/>
      <c r="P3191" s="265"/>
      <c r="Q3191" s="265"/>
      <c r="BR3191" s="265"/>
      <c r="BS3191" s="265"/>
      <c r="BT3191" s="265"/>
      <c r="BU3191" s="265"/>
      <c r="BV3191" s="265"/>
    </row>
    <row r="3192" spans="12:74">
      <c r="L3192" s="265"/>
      <c r="M3192" s="265"/>
      <c r="N3192" s="265"/>
      <c r="O3192" s="265"/>
      <c r="P3192" s="265"/>
      <c r="Q3192" s="265"/>
      <c r="BR3192" s="265"/>
      <c r="BS3192" s="265"/>
      <c r="BT3192" s="265"/>
      <c r="BU3192" s="265"/>
      <c r="BV3192" s="265"/>
    </row>
    <row r="3193" spans="12:74">
      <c r="L3193" s="265"/>
      <c r="M3193" s="265"/>
      <c r="N3193" s="265"/>
      <c r="O3193" s="265"/>
      <c r="P3193" s="265"/>
      <c r="Q3193" s="265"/>
      <c r="BR3193" s="265"/>
      <c r="BS3193" s="265"/>
      <c r="BT3193" s="265"/>
      <c r="BU3193" s="265"/>
      <c r="BV3193" s="265"/>
    </row>
    <row r="3194" spans="12:74">
      <c r="L3194" s="265"/>
      <c r="M3194" s="265"/>
      <c r="N3194" s="265"/>
      <c r="O3194" s="265"/>
      <c r="P3194" s="265"/>
      <c r="Q3194" s="265"/>
      <c r="BR3194" s="265"/>
      <c r="BS3194" s="265"/>
      <c r="BT3194" s="265"/>
      <c r="BU3194" s="265"/>
      <c r="BV3194" s="265"/>
    </row>
    <row r="3195" spans="12:74">
      <c r="L3195" s="265"/>
      <c r="M3195" s="265"/>
      <c r="N3195" s="265"/>
      <c r="O3195" s="265"/>
      <c r="P3195" s="265"/>
      <c r="Q3195" s="265"/>
      <c r="BR3195" s="265"/>
      <c r="BS3195" s="265"/>
      <c r="BT3195" s="265"/>
      <c r="BU3195" s="265"/>
      <c r="BV3195" s="265"/>
    </row>
    <row r="3196" spans="12:74">
      <c r="L3196" s="265"/>
      <c r="M3196" s="265"/>
      <c r="N3196" s="265"/>
      <c r="O3196" s="265"/>
      <c r="P3196" s="265"/>
      <c r="Q3196" s="265"/>
      <c r="BR3196" s="265"/>
      <c r="BS3196" s="265"/>
      <c r="BT3196" s="265"/>
      <c r="BU3196" s="265"/>
      <c r="BV3196" s="265"/>
    </row>
    <row r="3197" spans="12:74">
      <c r="L3197" s="265"/>
      <c r="M3197" s="265"/>
      <c r="N3197" s="265"/>
      <c r="O3197" s="265"/>
      <c r="P3197" s="265"/>
      <c r="Q3197" s="265"/>
      <c r="BR3197" s="265"/>
      <c r="BS3197" s="265"/>
      <c r="BT3197" s="265"/>
      <c r="BU3197" s="265"/>
      <c r="BV3197" s="265"/>
    </row>
    <row r="3198" spans="12:74">
      <c r="L3198" s="265"/>
      <c r="M3198" s="265"/>
      <c r="N3198" s="265"/>
      <c r="O3198" s="265"/>
      <c r="P3198" s="265"/>
      <c r="Q3198" s="265"/>
      <c r="BR3198" s="265"/>
      <c r="BS3198" s="265"/>
      <c r="BT3198" s="265"/>
      <c r="BU3198" s="265"/>
      <c r="BV3198" s="265"/>
    </row>
    <row r="3199" spans="12:74">
      <c r="L3199" s="265"/>
      <c r="M3199" s="265"/>
      <c r="N3199" s="265"/>
      <c r="O3199" s="265"/>
      <c r="P3199" s="265"/>
      <c r="Q3199" s="265"/>
      <c r="BR3199" s="265"/>
      <c r="BS3199" s="265"/>
      <c r="BT3199" s="265"/>
      <c r="BU3199" s="265"/>
      <c r="BV3199" s="265"/>
    </row>
    <row r="3200" spans="12:74">
      <c r="L3200" s="265"/>
      <c r="M3200" s="265"/>
      <c r="N3200" s="265"/>
      <c r="O3200" s="265"/>
      <c r="P3200" s="265"/>
      <c r="Q3200" s="265"/>
      <c r="BR3200" s="265"/>
      <c r="BS3200" s="265"/>
      <c r="BT3200" s="265"/>
      <c r="BU3200" s="265"/>
      <c r="BV3200" s="265"/>
    </row>
    <row r="3201" spans="12:74">
      <c r="L3201" s="265"/>
      <c r="M3201" s="265"/>
      <c r="N3201" s="265"/>
      <c r="O3201" s="265"/>
      <c r="P3201" s="265"/>
      <c r="Q3201" s="265"/>
      <c r="BR3201" s="265"/>
      <c r="BS3201" s="265"/>
      <c r="BT3201" s="265"/>
      <c r="BU3201" s="265"/>
      <c r="BV3201" s="265"/>
    </row>
    <row r="3202" spans="12:74">
      <c r="L3202" s="265"/>
      <c r="M3202" s="265"/>
      <c r="N3202" s="265"/>
      <c r="O3202" s="265"/>
      <c r="P3202" s="265"/>
      <c r="Q3202" s="265"/>
      <c r="BR3202" s="265"/>
      <c r="BS3202" s="265"/>
      <c r="BT3202" s="265"/>
      <c r="BU3202" s="265"/>
      <c r="BV3202" s="265"/>
    </row>
    <row r="3203" spans="12:74">
      <c r="L3203" s="265"/>
      <c r="M3203" s="265"/>
      <c r="N3203" s="265"/>
      <c r="O3203" s="265"/>
      <c r="P3203" s="265"/>
      <c r="Q3203" s="265"/>
      <c r="BR3203" s="265"/>
      <c r="BS3203" s="265"/>
      <c r="BT3203" s="265"/>
      <c r="BU3203" s="265"/>
      <c r="BV3203" s="265"/>
    </row>
    <row r="3204" spans="12:74">
      <c r="L3204" s="265"/>
      <c r="M3204" s="265"/>
      <c r="N3204" s="265"/>
      <c r="O3204" s="265"/>
      <c r="P3204" s="265"/>
      <c r="Q3204" s="265"/>
      <c r="BR3204" s="265"/>
      <c r="BS3204" s="265"/>
      <c r="BT3204" s="265"/>
      <c r="BU3204" s="265"/>
      <c r="BV3204" s="265"/>
    </row>
    <row r="3205" spans="12:74">
      <c r="L3205" s="265"/>
      <c r="M3205" s="265"/>
      <c r="N3205" s="265"/>
      <c r="O3205" s="265"/>
      <c r="P3205" s="265"/>
      <c r="Q3205" s="265"/>
      <c r="BR3205" s="265"/>
      <c r="BS3205" s="265"/>
      <c r="BT3205" s="265"/>
      <c r="BU3205" s="265"/>
      <c r="BV3205" s="265"/>
    </row>
    <row r="3206" spans="12:74">
      <c r="L3206" s="265"/>
      <c r="M3206" s="265"/>
      <c r="N3206" s="265"/>
      <c r="O3206" s="265"/>
      <c r="P3206" s="265"/>
      <c r="Q3206" s="265"/>
      <c r="BR3206" s="265"/>
      <c r="BS3206" s="265"/>
      <c r="BT3206" s="265"/>
      <c r="BU3206" s="265"/>
      <c r="BV3206" s="265"/>
    </row>
    <row r="3207" spans="12:74">
      <c r="L3207" s="265"/>
      <c r="M3207" s="265"/>
      <c r="N3207" s="265"/>
      <c r="O3207" s="265"/>
      <c r="P3207" s="265"/>
      <c r="Q3207" s="265"/>
      <c r="BR3207" s="265"/>
      <c r="BS3207" s="265"/>
      <c r="BT3207" s="265"/>
      <c r="BU3207" s="265"/>
      <c r="BV3207" s="265"/>
    </row>
    <row r="3208" spans="12:74">
      <c r="L3208" s="265"/>
      <c r="M3208" s="265"/>
      <c r="N3208" s="265"/>
      <c r="O3208" s="265"/>
      <c r="P3208" s="265"/>
      <c r="Q3208" s="265"/>
      <c r="BR3208" s="265"/>
      <c r="BS3208" s="265"/>
      <c r="BT3208" s="265"/>
      <c r="BU3208" s="265"/>
      <c r="BV3208" s="265"/>
    </row>
    <row r="3209" spans="12:74">
      <c r="L3209" s="265"/>
      <c r="M3209" s="265"/>
      <c r="N3209" s="265"/>
      <c r="O3209" s="265"/>
      <c r="P3209" s="265"/>
      <c r="Q3209" s="265"/>
      <c r="BR3209" s="265"/>
      <c r="BS3209" s="265"/>
      <c r="BT3209" s="265"/>
      <c r="BU3209" s="265"/>
      <c r="BV3209" s="265"/>
    </row>
    <row r="3210" spans="12:74">
      <c r="L3210" s="265"/>
      <c r="M3210" s="265"/>
      <c r="N3210" s="265"/>
      <c r="O3210" s="265"/>
      <c r="P3210" s="265"/>
      <c r="Q3210" s="265"/>
      <c r="BR3210" s="265"/>
      <c r="BS3210" s="265"/>
      <c r="BT3210" s="265"/>
      <c r="BU3210" s="265"/>
      <c r="BV3210" s="265"/>
    </row>
    <row r="3211" spans="12:74">
      <c r="L3211" s="265"/>
      <c r="M3211" s="265"/>
      <c r="N3211" s="265"/>
      <c r="O3211" s="265"/>
      <c r="P3211" s="265"/>
      <c r="Q3211" s="265"/>
      <c r="BR3211" s="265"/>
      <c r="BS3211" s="265"/>
      <c r="BT3211" s="265"/>
      <c r="BU3211" s="265"/>
      <c r="BV3211" s="265"/>
    </row>
    <row r="3212" spans="12:74">
      <c r="L3212" s="265"/>
      <c r="M3212" s="265"/>
      <c r="N3212" s="265"/>
      <c r="O3212" s="265"/>
      <c r="P3212" s="265"/>
      <c r="Q3212" s="265"/>
      <c r="BR3212" s="265"/>
      <c r="BS3212" s="265"/>
      <c r="BT3212" s="265"/>
      <c r="BU3212" s="265"/>
      <c r="BV3212" s="265"/>
    </row>
    <row r="3213" spans="12:74">
      <c r="L3213" s="265"/>
      <c r="M3213" s="265"/>
      <c r="N3213" s="265"/>
      <c r="O3213" s="265"/>
      <c r="P3213" s="265"/>
      <c r="Q3213" s="265"/>
      <c r="BR3213" s="265"/>
      <c r="BS3213" s="265"/>
      <c r="BT3213" s="265"/>
      <c r="BU3213" s="265"/>
      <c r="BV3213" s="265"/>
    </row>
    <row r="3214" spans="12:74">
      <c r="L3214" s="265"/>
      <c r="M3214" s="265"/>
      <c r="N3214" s="265"/>
      <c r="O3214" s="265"/>
      <c r="P3214" s="265"/>
      <c r="Q3214" s="265"/>
      <c r="BR3214" s="265"/>
      <c r="BS3214" s="265"/>
      <c r="BT3214" s="265"/>
      <c r="BU3214" s="265"/>
      <c r="BV3214" s="265"/>
    </row>
    <row r="3215" spans="12:74">
      <c r="L3215" s="265"/>
      <c r="M3215" s="265"/>
      <c r="N3215" s="265"/>
      <c r="O3215" s="265"/>
      <c r="P3215" s="265"/>
      <c r="Q3215" s="265"/>
      <c r="BR3215" s="265"/>
      <c r="BS3215" s="265"/>
      <c r="BT3215" s="265"/>
      <c r="BU3215" s="265"/>
      <c r="BV3215" s="265"/>
    </row>
    <row r="3216" spans="12:74">
      <c r="L3216" s="265"/>
      <c r="M3216" s="265"/>
      <c r="N3216" s="265"/>
      <c r="O3216" s="265"/>
      <c r="P3216" s="265"/>
      <c r="Q3216" s="265"/>
      <c r="BR3216" s="265"/>
      <c r="BS3216" s="265"/>
      <c r="BT3216" s="265"/>
      <c r="BU3216" s="265"/>
      <c r="BV3216" s="265"/>
    </row>
    <row r="3217" spans="12:74">
      <c r="L3217" s="265"/>
      <c r="M3217" s="265"/>
      <c r="N3217" s="265"/>
      <c r="O3217" s="265"/>
      <c r="P3217" s="265"/>
      <c r="Q3217" s="265"/>
      <c r="BR3217" s="265"/>
      <c r="BS3217" s="265"/>
      <c r="BT3217" s="265"/>
      <c r="BU3217" s="265"/>
      <c r="BV3217" s="265"/>
    </row>
    <row r="3218" spans="12:74">
      <c r="L3218" s="265"/>
      <c r="M3218" s="265"/>
      <c r="N3218" s="265"/>
      <c r="O3218" s="265"/>
      <c r="P3218" s="265"/>
      <c r="Q3218" s="265"/>
      <c r="BR3218" s="265"/>
      <c r="BS3218" s="265"/>
      <c r="BT3218" s="265"/>
      <c r="BU3218" s="265"/>
      <c r="BV3218" s="265"/>
    </row>
    <row r="3219" spans="12:74">
      <c r="L3219" s="265"/>
      <c r="M3219" s="265"/>
      <c r="N3219" s="265"/>
      <c r="O3219" s="265"/>
      <c r="P3219" s="265"/>
      <c r="Q3219" s="265"/>
      <c r="BR3219" s="265"/>
      <c r="BS3219" s="265"/>
      <c r="BT3219" s="265"/>
      <c r="BU3219" s="265"/>
      <c r="BV3219" s="265"/>
    </row>
    <row r="3220" spans="12:74">
      <c r="L3220" s="265"/>
      <c r="M3220" s="265"/>
      <c r="N3220" s="265"/>
      <c r="O3220" s="265"/>
      <c r="P3220" s="265"/>
      <c r="Q3220" s="265"/>
      <c r="BR3220" s="265"/>
      <c r="BS3220" s="265"/>
      <c r="BT3220" s="265"/>
      <c r="BU3220" s="265"/>
      <c r="BV3220" s="265"/>
    </row>
    <row r="3221" spans="12:74">
      <c r="L3221" s="265"/>
      <c r="M3221" s="265"/>
      <c r="N3221" s="265"/>
      <c r="O3221" s="265"/>
      <c r="P3221" s="265"/>
      <c r="Q3221" s="265"/>
      <c r="BR3221" s="265"/>
      <c r="BS3221" s="265"/>
      <c r="BT3221" s="265"/>
      <c r="BU3221" s="265"/>
      <c r="BV3221" s="265"/>
    </row>
    <row r="3222" spans="12:74">
      <c r="L3222" s="265"/>
      <c r="M3222" s="265"/>
      <c r="N3222" s="265"/>
      <c r="O3222" s="265"/>
      <c r="P3222" s="265"/>
      <c r="Q3222" s="265"/>
      <c r="BR3222" s="265"/>
      <c r="BS3222" s="265"/>
      <c r="BT3222" s="265"/>
      <c r="BU3222" s="265"/>
      <c r="BV3222" s="265"/>
    </row>
    <row r="3223" spans="12:74">
      <c r="L3223" s="265"/>
      <c r="M3223" s="265"/>
      <c r="N3223" s="265"/>
      <c r="O3223" s="265"/>
      <c r="P3223" s="265"/>
      <c r="Q3223" s="265"/>
      <c r="BR3223" s="265"/>
      <c r="BS3223" s="265"/>
      <c r="BT3223" s="265"/>
      <c r="BU3223" s="265"/>
      <c r="BV3223" s="265"/>
    </row>
    <row r="3224" spans="12:74">
      <c r="L3224" s="265"/>
      <c r="M3224" s="265"/>
      <c r="N3224" s="265"/>
      <c r="O3224" s="265"/>
      <c r="P3224" s="265"/>
      <c r="Q3224" s="265"/>
      <c r="BR3224" s="265"/>
      <c r="BS3224" s="265"/>
      <c r="BT3224" s="265"/>
      <c r="BU3224" s="265"/>
      <c r="BV3224" s="265"/>
    </row>
    <row r="3225" spans="12:74">
      <c r="L3225" s="265"/>
      <c r="M3225" s="265"/>
      <c r="N3225" s="265"/>
      <c r="O3225" s="265"/>
      <c r="P3225" s="265"/>
      <c r="Q3225" s="265"/>
      <c r="BR3225" s="265"/>
      <c r="BS3225" s="265"/>
      <c r="BT3225" s="265"/>
      <c r="BU3225" s="265"/>
      <c r="BV3225" s="265"/>
    </row>
    <row r="3226" spans="12:74">
      <c r="L3226" s="265"/>
      <c r="M3226" s="265"/>
      <c r="N3226" s="265"/>
      <c r="O3226" s="265"/>
      <c r="P3226" s="265"/>
      <c r="Q3226" s="265"/>
      <c r="BR3226" s="265"/>
      <c r="BS3226" s="265"/>
      <c r="BT3226" s="265"/>
      <c r="BU3226" s="265"/>
      <c r="BV3226" s="265"/>
    </row>
    <row r="3227" spans="12:74">
      <c r="L3227" s="265"/>
      <c r="M3227" s="265"/>
      <c r="N3227" s="265"/>
      <c r="O3227" s="265"/>
      <c r="P3227" s="265"/>
      <c r="Q3227" s="265"/>
      <c r="BR3227" s="265"/>
      <c r="BS3227" s="265"/>
      <c r="BT3227" s="265"/>
      <c r="BU3227" s="265"/>
      <c r="BV3227" s="265"/>
    </row>
    <row r="3228" spans="12:74">
      <c r="L3228" s="265"/>
      <c r="M3228" s="265"/>
      <c r="N3228" s="265"/>
      <c r="O3228" s="265"/>
      <c r="P3228" s="265"/>
      <c r="Q3228" s="265"/>
      <c r="BR3228" s="265"/>
      <c r="BS3228" s="265"/>
      <c r="BT3228" s="265"/>
      <c r="BU3228" s="265"/>
      <c r="BV3228" s="265"/>
    </row>
    <row r="3229" spans="12:74">
      <c r="L3229" s="265"/>
      <c r="M3229" s="265"/>
      <c r="N3229" s="265"/>
      <c r="O3229" s="265"/>
      <c r="P3229" s="265"/>
      <c r="Q3229" s="265"/>
      <c r="BR3229" s="265"/>
      <c r="BS3229" s="265"/>
      <c r="BT3229" s="265"/>
      <c r="BU3229" s="265"/>
      <c r="BV3229" s="265"/>
    </row>
    <row r="3230" spans="12:74">
      <c r="L3230" s="265"/>
      <c r="M3230" s="265"/>
      <c r="N3230" s="265"/>
      <c r="O3230" s="265"/>
      <c r="P3230" s="265"/>
      <c r="Q3230" s="265"/>
      <c r="BR3230" s="265"/>
      <c r="BS3230" s="265"/>
      <c r="BT3230" s="265"/>
      <c r="BU3230" s="265"/>
      <c r="BV3230" s="265"/>
    </row>
    <row r="3231" spans="12:74">
      <c r="L3231" s="265"/>
      <c r="M3231" s="265"/>
      <c r="N3231" s="265"/>
      <c r="O3231" s="265"/>
      <c r="P3231" s="265"/>
      <c r="Q3231" s="265"/>
      <c r="BR3231" s="265"/>
      <c r="BS3231" s="265"/>
      <c r="BT3231" s="265"/>
      <c r="BU3231" s="265"/>
      <c r="BV3231" s="265"/>
    </row>
    <row r="3232" spans="12:74">
      <c r="L3232" s="265"/>
      <c r="M3232" s="265"/>
      <c r="N3232" s="265"/>
      <c r="O3232" s="265"/>
      <c r="P3232" s="265"/>
      <c r="Q3232" s="265"/>
      <c r="BR3232" s="265"/>
      <c r="BS3232" s="265"/>
      <c r="BT3232" s="265"/>
      <c r="BU3232" s="265"/>
      <c r="BV3232" s="265"/>
    </row>
    <row r="3233" spans="12:74">
      <c r="L3233" s="265"/>
      <c r="M3233" s="265"/>
      <c r="N3233" s="265"/>
      <c r="O3233" s="265"/>
      <c r="P3233" s="265"/>
      <c r="Q3233" s="265"/>
      <c r="BR3233" s="265"/>
      <c r="BS3233" s="265"/>
      <c r="BT3233" s="265"/>
      <c r="BU3233" s="265"/>
      <c r="BV3233" s="265"/>
    </row>
    <row r="3234" spans="12:74">
      <c r="L3234" s="265"/>
      <c r="M3234" s="265"/>
      <c r="N3234" s="265"/>
      <c r="O3234" s="265"/>
      <c r="P3234" s="265"/>
      <c r="Q3234" s="265"/>
      <c r="BR3234" s="265"/>
      <c r="BS3234" s="265"/>
      <c r="BT3234" s="265"/>
      <c r="BU3234" s="265"/>
      <c r="BV3234" s="265"/>
    </row>
    <row r="3235" spans="12:74">
      <c r="L3235" s="265"/>
      <c r="M3235" s="265"/>
      <c r="N3235" s="265"/>
      <c r="O3235" s="265"/>
      <c r="P3235" s="265"/>
      <c r="Q3235" s="265"/>
      <c r="BR3235" s="265"/>
      <c r="BS3235" s="265"/>
      <c r="BT3235" s="265"/>
      <c r="BU3235" s="265"/>
      <c r="BV3235" s="265"/>
    </row>
    <row r="3236" spans="12:74">
      <c r="L3236" s="265"/>
      <c r="M3236" s="265"/>
      <c r="N3236" s="265"/>
      <c r="O3236" s="265"/>
      <c r="P3236" s="265"/>
      <c r="Q3236" s="265"/>
      <c r="BR3236" s="265"/>
      <c r="BS3236" s="265"/>
      <c r="BT3236" s="265"/>
      <c r="BU3236" s="265"/>
      <c r="BV3236" s="265"/>
    </row>
    <row r="3237" spans="12:74">
      <c r="L3237" s="265"/>
      <c r="M3237" s="265"/>
      <c r="N3237" s="265"/>
      <c r="O3237" s="265"/>
      <c r="P3237" s="265"/>
      <c r="Q3237" s="265"/>
      <c r="BR3237" s="265"/>
      <c r="BS3237" s="265"/>
      <c r="BT3237" s="265"/>
      <c r="BU3237" s="265"/>
      <c r="BV3237" s="265"/>
    </row>
    <row r="3238" spans="12:74">
      <c r="L3238" s="265"/>
      <c r="M3238" s="265"/>
      <c r="N3238" s="265"/>
      <c r="O3238" s="265"/>
      <c r="P3238" s="265"/>
      <c r="Q3238" s="265"/>
      <c r="BR3238" s="265"/>
      <c r="BS3238" s="265"/>
      <c r="BT3238" s="265"/>
      <c r="BU3238" s="265"/>
      <c r="BV3238" s="265"/>
    </row>
    <row r="3239" spans="12:74">
      <c r="L3239" s="265"/>
      <c r="M3239" s="265"/>
      <c r="N3239" s="265"/>
      <c r="O3239" s="265"/>
      <c r="P3239" s="265"/>
      <c r="Q3239" s="265"/>
      <c r="BR3239" s="265"/>
      <c r="BS3239" s="265"/>
      <c r="BT3239" s="265"/>
      <c r="BU3239" s="265"/>
      <c r="BV3239" s="265"/>
    </row>
    <row r="3240" spans="12:74">
      <c r="L3240" s="265"/>
      <c r="M3240" s="265"/>
      <c r="N3240" s="265"/>
      <c r="O3240" s="265"/>
      <c r="P3240" s="265"/>
      <c r="Q3240" s="265"/>
      <c r="BR3240" s="265"/>
      <c r="BS3240" s="265"/>
      <c r="BT3240" s="265"/>
      <c r="BU3240" s="265"/>
      <c r="BV3240" s="265"/>
    </row>
    <row r="3241" spans="12:74">
      <c r="L3241" s="265"/>
      <c r="M3241" s="265"/>
      <c r="N3241" s="265"/>
      <c r="O3241" s="265"/>
      <c r="P3241" s="265"/>
      <c r="Q3241" s="265"/>
      <c r="BR3241" s="265"/>
      <c r="BS3241" s="265"/>
      <c r="BT3241" s="265"/>
      <c r="BU3241" s="265"/>
      <c r="BV3241" s="265"/>
    </row>
    <row r="3242" spans="12:74">
      <c r="L3242" s="265"/>
      <c r="M3242" s="265"/>
      <c r="N3242" s="265"/>
      <c r="O3242" s="265"/>
      <c r="P3242" s="265"/>
      <c r="Q3242" s="265"/>
      <c r="BR3242" s="265"/>
      <c r="BS3242" s="265"/>
      <c r="BT3242" s="265"/>
      <c r="BU3242" s="265"/>
      <c r="BV3242" s="265"/>
    </row>
    <row r="3243" spans="12:74">
      <c r="L3243" s="265"/>
      <c r="M3243" s="265"/>
      <c r="N3243" s="265"/>
      <c r="O3243" s="265"/>
      <c r="P3243" s="265"/>
      <c r="Q3243" s="265"/>
      <c r="BR3243" s="265"/>
      <c r="BS3243" s="265"/>
      <c r="BT3243" s="265"/>
      <c r="BU3243" s="265"/>
      <c r="BV3243" s="265"/>
    </row>
    <row r="3244" spans="12:74">
      <c r="L3244" s="265"/>
      <c r="M3244" s="265"/>
      <c r="N3244" s="265"/>
      <c r="O3244" s="265"/>
      <c r="P3244" s="265"/>
      <c r="Q3244" s="265"/>
      <c r="BR3244" s="265"/>
      <c r="BS3244" s="265"/>
      <c r="BT3244" s="265"/>
      <c r="BU3244" s="265"/>
      <c r="BV3244" s="265"/>
    </row>
    <row r="3245" spans="12:74">
      <c r="L3245" s="265"/>
      <c r="M3245" s="265"/>
      <c r="N3245" s="265"/>
      <c r="O3245" s="265"/>
      <c r="P3245" s="265"/>
      <c r="Q3245" s="265"/>
      <c r="BR3245" s="265"/>
      <c r="BS3245" s="265"/>
      <c r="BT3245" s="265"/>
      <c r="BU3245" s="265"/>
      <c r="BV3245" s="265"/>
    </row>
    <row r="3246" spans="12:74">
      <c r="L3246" s="265"/>
      <c r="M3246" s="265"/>
      <c r="N3246" s="265"/>
      <c r="O3246" s="265"/>
      <c r="P3246" s="265"/>
      <c r="Q3246" s="265"/>
      <c r="BR3246" s="265"/>
      <c r="BS3246" s="265"/>
      <c r="BT3246" s="265"/>
      <c r="BU3246" s="265"/>
      <c r="BV3246" s="265"/>
    </row>
    <row r="3247" spans="12:74">
      <c r="L3247" s="265"/>
      <c r="M3247" s="265"/>
      <c r="N3247" s="265"/>
      <c r="O3247" s="265"/>
      <c r="P3247" s="265"/>
      <c r="Q3247" s="265"/>
      <c r="BR3247" s="265"/>
      <c r="BS3247" s="265"/>
      <c r="BT3247" s="265"/>
      <c r="BU3247" s="265"/>
      <c r="BV3247" s="265"/>
    </row>
    <row r="3248" spans="12:74">
      <c r="L3248" s="265"/>
      <c r="M3248" s="265"/>
      <c r="N3248" s="265"/>
      <c r="O3248" s="265"/>
      <c r="P3248" s="265"/>
      <c r="Q3248" s="265"/>
      <c r="BR3248" s="265"/>
      <c r="BS3248" s="265"/>
      <c r="BT3248" s="265"/>
      <c r="BU3248" s="265"/>
      <c r="BV3248" s="265"/>
    </row>
    <row r="3249" spans="12:74">
      <c r="L3249" s="265"/>
      <c r="M3249" s="265"/>
      <c r="N3249" s="265"/>
      <c r="O3249" s="265"/>
      <c r="P3249" s="265"/>
      <c r="Q3249" s="265"/>
      <c r="BR3249" s="265"/>
      <c r="BS3249" s="265"/>
      <c r="BT3249" s="265"/>
      <c r="BU3249" s="265"/>
      <c r="BV3249" s="265"/>
    </row>
    <row r="3250" spans="12:74">
      <c r="L3250" s="265"/>
      <c r="M3250" s="265"/>
      <c r="N3250" s="265"/>
      <c r="O3250" s="265"/>
      <c r="P3250" s="265"/>
      <c r="Q3250" s="265"/>
      <c r="BR3250" s="265"/>
      <c r="BS3250" s="265"/>
      <c r="BT3250" s="265"/>
      <c r="BU3250" s="265"/>
      <c r="BV3250" s="265"/>
    </row>
    <row r="3251" spans="12:74">
      <c r="L3251" s="265"/>
      <c r="M3251" s="265"/>
      <c r="N3251" s="265"/>
      <c r="O3251" s="265"/>
      <c r="P3251" s="265"/>
      <c r="Q3251" s="265"/>
      <c r="BR3251" s="265"/>
      <c r="BS3251" s="265"/>
      <c r="BT3251" s="265"/>
      <c r="BU3251" s="265"/>
      <c r="BV3251" s="265"/>
    </row>
    <row r="3252" spans="12:74">
      <c r="L3252" s="265"/>
      <c r="M3252" s="265"/>
      <c r="N3252" s="265"/>
      <c r="O3252" s="265"/>
      <c r="P3252" s="265"/>
      <c r="Q3252" s="265"/>
      <c r="BR3252" s="265"/>
      <c r="BS3252" s="265"/>
      <c r="BT3252" s="265"/>
      <c r="BU3252" s="265"/>
      <c r="BV3252" s="265"/>
    </row>
    <row r="3253" spans="12:74">
      <c r="L3253" s="265"/>
      <c r="M3253" s="265"/>
      <c r="N3253" s="265"/>
      <c r="O3253" s="265"/>
      <c r="P3253" s="265"/>
      <c r="Q3253" s="265"/>
      <c r="BR3253" s="265"/>
      <c r="BS3253" s="265"/>
      <c r="BT3253" s="265"/>
      <c r="BU3253" s="265"/>
      <c r="BV3253" s="265"/>
    </row>
    <row r="3254" spans="12:74">
      <c r="L3254" s="265"/>
      <c r="M3254" s="265"/>
      <c r="N3254" s="265"/>
      <c r="O3254" s="265"/>
      <c r="P3254" s="265"/>
      <c r="Q3254" s="265"/>
      <c r="BR3254" s="265"/>
      <c r="BS3254" s="265"/>
      <c r="BT3254" s="265"/>
      <c r="BU3254" s="265"/>
      <c r="BV3254" s="265"/>
    </row>
    <row r="3255" spans="12:74">
      <c r="L3255" s="265"/>
      <c r="M3255" s="265"/>
      <c r="N3255" s="265"/>
      <c r="O3255" s="265"/>
      <c r="P3255" s="265"/>
      <c r="Q3255" s="265"/>
      <c r="BR3255" s="265"/>
      <c r="BS3255" s="265"/>
      <c r="BT3255" s="265"/>
      <c r="BU3255" s="265"/>
      <c r="BV3255" s="265"/>
    </row>
    <row r="3256" spans="12:74">
      <c r="L3256" s="265"/>
      <c r="M3256" s="265"/>
      <c r="N3256" s="265"/>
      <c r="O3256" s="265"/>
      <c r="P3256" s="265"/>
      <c r="Q3256" s="265"/>
      <c r="BR3256" s="265"/>
      <c r="BS3256" s="265"/>
      <c r="BT3256" s="265"/>
      <c r="BU3256" s="265"/>
      <c r="BV3256" s="265"/>
    </row>
    <row r="3257" spans="12:74">
      <c r="L3257" s="265"/>
      <c r="M3257" s="265"/>
      <c r="N3257" s="265"/>
      <c r="O3257" s="265"/>
      <c r="P3257" s="265"/>
      <c r="Q3257" s="265"/>
      <c r="BR3257" s="265"/>
      <c r="BS3257" s="265"/>
      <c r="BT3257" s="265"/>
      <c r="BU3257" s="265"/>
      <c r="BV3257" s="265"/>
    </row>
    <row r="3258" spans="12:74">
      <c r="L3258" s="265"/>
      <c r="M3258" s="265"/>
      <c r="N3258" s="265"/>
      <c r="O3258" s="265"/>
      <c r="P3258" s="265"/>
      <c r="Q3258" s="265"/>
      <c r="BR3258" s="265"/>
      <c r="BS3258" s="265"/>
      <c r="BT3258" s="265"/>
      <c r="BU3258" s="265"/>
      <c r="BV3258" s="265"/>
    </row>
    <row r="3259" spans="12:74">
      <c r="L3259" s="265"/>
      <c r="M3259" s="265"/>
      <c r="N3259" s="265"/>
      <c r="O3259" s="265"/>
      <c r="P3259" s="265"/>
      <c r="Q3259" s="265"/>
      <c r="BR3259" s="265"/>
      <c r="BS3259" s="265"/>
      <c r="BT3259" s="265"/>
      <c r="BU3259" s="265"/>
      <c r="BV3259" s="265"/>
    </row>
    <row r="3260" spans="12:74">
      <c r="L3260" s="265"/>
      <c r="M3260" s="265"/>
      <c r="N3260" s="265"/>
      <c r="O3260" s="265"/>
      <c r="P3260" s="265"/>
      <c r="Q3260" s="265"/>
      <c r="BR3260" s="265"/>
      <c r="BS3260" s="265"/>
      <c r="BT3260" s="265"/>
      <c r="BU3260" s="265"/>
      <c r="BV3260" s="265"/>
    </row>
    <row r="3261" spans="12:74">
      <c r="L3261" s="265"/>
      <c r="M3261" s="265"/>
      <c r="N3261" s="265"/>
      <c r="O3261" s="265"/>
      <c r="P3261" s="265"/>
      <c r="Q3261" s="265"/>
      <c r="BR3261" s="265"/>
      <c r="BS3261" s="265"/>
      <c r="BT3261" s="265"/>
      <c r="BU3261" s="265"/>
      <c r="BV3261" s="265"/>
    </row>
    <row r="3262" spans="12:74">
      <c r="L3262" s="265"/>
      <c r="M3262" s="265"/>
      <c r="N3262" s="265"/>
      <c r="O3262" s="265"/>
      <c r="P3262" s="265"/>
      <c r="Q3262" s="265"/>
      <c r="BR3262" s="265"/>
      <c r="BS3262" s="265"/>
      <c r="BT3262" s="265"/>
      <c r="BU3262" s="265"/>
      <c r="BV3262" s="265"/>
    </row>
    <row r="3263" spans="12:74">
      <c r="L3263" s="265"/>
      <c r="M3263" s="265"/>
      <c r="N3263" s="265"/>
      <c r="O3263" s="265"/>
      <c r="P3263" s="265"/>
      <c r="Q3263" s="265"/>
      <c r="BR3263" s="265"/>
      <c r="BS3263" s="265"/>
      <c r="BT3263" s="265"/>
      <c r="BU3263" s="265"/>
      <c r="BV3263" s="265"/>
    </row>
    <row r="3264" spans="12:74">
      <c r="L3264" s="265"/>
      <c r="M3264" s="265"/>
      <c r="N3264" s="265"/>
      <c r="O3264" s="265"/>
      <c r="P3264" s="265"/>
      <c r="Q3264" s="265"/>
      <c r="BR3264" s="265"/>
      <c r="BS3264" s="265"/>
      <c r="BT3264" s="265"/>
      <c r="BU3264" s="265"/>
      <c r="BV3264" s="265"/>
    </row>
    <row r="3265" spans="12:74">
      <c r="L3265" s="265"/>
      <c r="M3265" s="265"/>
      <c r="N3265" s="265"/>
      <c r="O3265" s="265"/>
      <c r="P3265" s="265"/>
      <c r="Q3265" s="265"/>
      <c r="BR3265" s="265"/>
      <c r="BS3265" s="265"/>
      <c r="BT3265" s="265"/>
      <c r="BU3265" s="265"/>
      <c r="BV3265" s="265"/>
    </row>
    <row r="3266" spans="12:74">
      <c r="L3266" s="265"/>
      <c r="M3266" s="265"/>
      <c r="N3266" s="265"/>
      <c r="O3266" s="265"/>
      <c r="P3266" s="265"/>
      <c r="Q3266" s="265"/>
      <c r="BR3266" s="265"/>
      <c r="BS3266" s="265"/>
      <c r="BT3266" s="265"/>
      <c r="BU3266" s="265"/>
      <c r="BV3266" s="265"/>
    </row>
    <row r="3267" spans="12:74">
      <c r="L3267" s="265"/>
      <c r="M3267" s="265"/>
      <c r="N3267" s="265"/>
      <c r="O3267" s="265"/>
      <c r="P3267" s="265"/>
      <c r="Q3267" s="265"/>
      <c r="BR3267" s="265"/>
      <c r="BS3267" s="265"/>
      <c r="BT3267" s="265"/>
      <c r="BU3267" s="265"/>
      <c r="BV3267" s="265"/>
    </row>
    <row r="3268" spans="12:74">
      <c r="L3268" s="265"/>
      <c r="M3268" s="265"/>
      <c r="N3268" s="265"/>
      <c r="O3268" s="265"/>
      <c r="P3268" s="265"/>
      <c r="Q3268" s="265"/>
      <c r="BR3268" s="265"/>
      <c r="BS3268" s="265"/>
      <c r="BT3268" s="265"/>
      <c r="BU3268" s="265"/>
      <c r="BV3268" s="265"/>
    </row>
    <row r="3269" spans="12:74">
      <c r="L3269" s="265"/>
      <c r="M3269" s="265"/>
      <c r="N3269" s="265"/>
      <c r="O3269" s="265"/>
      <c r="P3269" s="265"/>
      <c r="Q3269" s="265"/>
      <c r="BR3269" s="265"/>
      <c r="BS3269" s="265"/>
      <c r="BT3269" s="265"/>
      <c r="BU3269" s="265"/>
      <c r="BV3269" s="265"/>
    </row>
    <row r="3270" spans="12:74">
      <c r="L3270" s="265"/>
      <c r="M3270" s="265"/>
      <c r="N3270" s="265"/>
      <c r="O3270" s="265"/>
      <c r="P3270" s="265"/>
      <c r="Q3270" s="265"/>
      <c r="BR3270" s="265"/>
      <c r="BS3270" s="265"/>
      <c r="BT3270" s="265"/>
      <c r="BU3270" s="265"/>
      <c r="BV3270" s="265"/>
    </row>
    <row r="3271" spans="12:74">
      <c r="L3271" s="265"/>
      <c r="M3271" s="265"/>
      <c r="N3271" s="265"/>
      <c r="O3271" s="265"/>
      <c r="P3271" s="265"/>
      <c r="Q3271" s="265"/>
      <c r="BR3271" s="265"/>
      <c r="BS3271" s="265"/>
      <c r="BT3271" s="265"/>
      <c r="BU3271" s="265"/>
      <c r="BV3271" s="265"/>
    </row>
    <row r="3272" spans="12:74">
      <c r="L3272" s="265"/>
      <c r="M3272" s="265"/>
      <c r="N3272" s="265"/>
      <c r="O3272" s="265"/>
      <c r="P3272" s="265"/>
      <c r="Q3272" s="265"/>
      <c r="BR3272" s="265"/>
      <c r="BS3272" s="265"/>
      <c r="BT3272" s="265"/>
      <c r="BU3272" s="265"/>
      <c r="BV3272" s="265"/>
    </row>
    <row r="3273" spans="12:74">
      <c r="L3273" s="265"/>
      <c r="M3273" s="265"/>
      <c r="N3273" s="265"/>
      <c r="O3273" s="265"/>
      <c r="P3273" s="265"/>
      <c r="Q3273" s="265"/>
      <c r="BR3273" s="265"/>
      <c r="BS3273" s="265"/>
      <c r="BT3273" s="265"/>
      <c r="BU3273" s="265"/>
      <c r="BV3273" s="265"/>
    </row>
    <row r="3274" spans="12:74">
      <c r="L3274" s="265"/>
      <c r="M3274" s="265"/>
      <c r="N3274" s="265"/>
      <c r="O3274" s="265"/>
      <c r="P3274" s="265"/>
      <c r="Q3274" s="265"/>
      <c r="BR3274" s="265"/>
      <c r="BS3274" s="265"/>
      <c r="BT3274" s="265"/>
      <c r="BU3274" s="265"/>
      <c r="BV3274" s="265"/>
    </row>
    <row r="3275" spans="12:74">
      <c r="L3275" s="265"/>
      <c r="M3275" s="265"/>
      <c r="N3275" s="265"/>
      <c r="O3275" s="265"/>
      <c r="P3275" s="265"/>
      <c r="Q3275" s="265"/>
      <c r="BR3275" s="265"/>
      <c r="BS3275" s="265"/>
      <c r="BT3275" s="265"/>
      <c r="BU3275" s="265"/>
      <c r="BV3275" s="265"/>
    </row>
    <row r="3276" spans="12:74">
      <c r="L3276" s="265"/>
      <c r="M3276" s="265"/>
      <c r="N3276" s="265"/>
      <c r="O3276" s="265"/>
      <c r="P3276" s="265"/>
      <c r="Q3276" s="265"/>
      <c r="BR3276" s="265"/>
      <c r="BS3276" s="265"/>
      <c r="BT3276" s="265"/>
      <c r="BU3276" s="265"/>
      <c r="BV3276" s="265"/>
    </row>
    <row r="3277" spans="12:74">
      <c r="L3277" s="265"/>
      <c r="M3277" s="265"/>
      <c r="N3277" s="265"/>
      <c r="O3277" s="265"/>
      <c r="P3277" s="265"/>
      <c r="Q3277" s="265"/>
      <c r="BR3277" s="265"/>
      <c r="BS3277" s="265"/>
      <c r="BT3277" s="265"/>
      <c r="BU3277" s="265"/>
      <c r="BV3277" s="265"/>
    </row>
    <row r="3278" spans="12:74">
      <c r="L3278" s="265"/>
      <c r="M3278" s="265"/>
      <c r="N3278" s="265"/>
      <c r="O3278" s="265"/>
      <c r="P3278" s="265"/>
      <c r="Q3278" s="265"/>
      <c r="BR3278" s="265"/>
      <c r="BS3278" s="265"/>
      <c r="BT3278" s="265"/>
      <c r="BU3278" s="265"/>
      <c r="BV3278" s="265"/>
    </row>
    <row r="3279" spans="12:74">
      <c r="L3279" s="265"/>
      <c r="M3279" s="265"/>
      <c r="N3279" s="265"/>
      <c r="O3279" s="265"/>
      <c r="P3279" s="265"/>
      <c r="Q3279" s="265"/>
      <c r="BR3279" s="265"/>
      <c r="BS3279" s="265"/>
      <c r="BT3279" s="265"/>
      <c r="BU3279" s="265"/>
      <c r="BV3279" s="265"/>
    </row>
    <row r="3280" spans="12:74">
      <c r="L3280" s="265"/>
      <c r="M3280" s="265"/>
      <c r="N3280" s="265"/>
      <c r="O3280" s="265"/>
      <c r="P3280" s="265"/>
      <c r="Q3280" s="265"/>
      <c r="BR3280" s="265"/>
      <c r="BS3280" s="265"/>
      <c r="BT3280" s="265"/>
      <c r="BU3280" s="265"/>
      <c r="BV3280" s="265"/>
    </row>
    <row r="3281" spans="12:74">
      <c r="L3281" s="265"/>
      <c r="M3281" s="265"/>
      <c r="N3281" s="265"/>
      <c r="O3281" s="265"/>
      <c r="P3281" s="265"/>
      <c r="Q3281" s="265"/>
      <c r="BR3281" s="265"/>
      <c r="BS3281" s="265"/>
      <c r="BT3281" s="265"/>
      <c r="BU3281" s="265"/>
      <c r="BV3281" s="265"/>
    </row>
    <row r="3282" spans="12:74">
      <c r="L3282" s="265"/>
      <c r="M3282" s="265"/>
      <c r="N3282" s="265"/>
      <c r="O3282" s="265"/>
      <c r="P3282" s="265"/>
      <c r="Q3282" s="265"/>
      <c r="BR3282" s="265"/>
      <c r="BS3282" s="265"/>
      <c r="BT3282" s="265"/>
      <c r="BU3282" s="265"/>
      <c r="BV3282" s="265"/>
    </row>
    <row r="3283" spans="12:74">
      <c r="L3283" s="265"/>
      <c r="M3283" s="265"/>
      <c r="N3283" s="265"/>
      <c r="O3283" s="265"/>
      <c r="P3283" s="265"/>
      <c r="Q3283" s="265"/>
      <c r="BR3283" s="265"/>
      <c r="BS3283" s="265"/>
      <c r="BT3283" s="265"/>
      <c r="BU3283" s="265"/>
      <c r="BV3283" s="265"/>
    </row>
    <row r="3284" spans="12:74">
      <c r="L3284" s="265"/>
      <c r="M3284" s="265"/>
      <c r="N3284" s="265"/>
      <c r="O3284" s="265"/>
      <c r="P3284" s="265"/>
      <c r="Q3284" s="265"/>
      <c r="BR3284" s="265"/>
      <c r="BS3284" s="265"/>
      <c r="BT3284" s="265"/>
      <c r="BU3284" s="265"/>
      <c r="BV3284" s="265"/>
    </row>
    <row r="3285" spans="12:74">
      <c r="L3285" s="265"/>
      <c r="M3285" s="265"/>
      <c r="N3285" s="265"/>
      <c r="O3285" s="265"/>
      <c r="P3285" s="265"/>
      <c r="Q3285" s="265"/>
      <c r="BR3285" s="265"/>
      <c r="BS3285" s="265"/>
      <c r="BT3285" s="265"/>
      <c r="BU3285" s="265"/>
      <c r="BV3285" s="265"/>
    </row>
    <row r="3286" spans="12:74">
      <c r="L3286" s="265"/>
      <c r="M3286" s="265"/>
      <c r="N3286" s="265"/>
      <c r="O3286" s="265"/>
      <c r="P3286" s="265"/>
      <c r="Q3286" s="265"/>
      <c r="BR3286" s="265"/>
      <c r="BS3286" s="265"/>
      <c r="BT3286" s="265"/>
      <c r="BU3286" s="265"/>
      <c r="BV3286" s="265"/>
    </row>
    <row r="3287" spans="12:74">
      <c r="L3287" s="265"/>
      <c r="M3287" s="265"/>
      <c r="N3287" s="265"/>
      <c r="O3287" s="265"/>
      <c r="P3287" s="265"/>
      <c r="Q3287" s="265"/>
      <c r="BR3287" s="265"/>
      <c r="BS3287" s="265"/>
      <c r="BT3287" s="265"/>
      <c r="BU3287" s="265"/>
      <c r="BV3287" s="265"/>
    </row>
    <row r="3288" spans="12:74">
      <c r="L3288" s="265"/>
      <c r="M3288" s="265"/>
      <c r="N3288" s="265"/>
      <c r="O3288" s="265"/>
      <c r="P3288" s="265"/>
      <c r="Q3288" s="265"/>
      <c r="BR3288" s="265"/>
      <c r="BS3288" s="265"/>
      <c r="BT3288" s="265"/>
      <c r="BU3288" s="265"/>
      <c r="BV3288" s="265"/>
    </row>
    <row r="3289" spans="12:74">
      <c r="L3289" s="265"/>
      <c r="M3289" s="265"/>
      <c r="N3289" s="265"/>
      <c r="O3289" s="265"/>
      <c r="P3289" s="265"/>
      <c r="Q3289" s="265"/>
      <c r="BR3289" s="265"/>
      <c r="BS3289" s="265"/>
      <c r="BT3289" s="265"/>
      <c r="BU3289" s="265"/>
      <c r="BV3289" s="265"/>
    </row>
    <row r="3290" spans="12:74">
      <c r="L3290" s="265"/>
      <c r="M3290" s="265"/>
      <c r="N3290" s="265"/>
      <c r="O3290" s="265"/>
      <c r="P3290" s="265"/>
      <c r="Q3290" s="265"/>
      <c r="BR3290" s="265"/>
      <c r="BS3290" s="265"/>
      <c r="BT3290" s="265"/>
      <c r="BU3290" s="265"/>
      <c r="BV3290" s="265"/>
    </row>
    <row r="3291" spans="12:74">
      <c r="L3291" s="265"/>
      <c r="M3291" s="265"/>
      <c r="N3291" s="265"/>
      <c r="O3291" s="265"/>
      <c r="P3291" s="265"/>
      <c r="Q3291" s="265"/>
      <c r="BR3291" s="265"/>
      <c r="BS3291" s="265"/>
      <c r="BT3291" s="265"/>
      <c r="BU3291" s="265"/>
      <c r="BV3291" s="265"/>
    </row>
    <row r="3292" spans="12:74">
      <c r="L3292" s="265"/>
      <c r="M3292" s="265"/>
      <c r="N3292" s="265"/>
      <c r="O3292" s="265"/>
      <c r="P3292" s="265"/>
      <c r="Q3292" s="265"/>
      <c r="BR3292" s="265"/>
      <c r="BS3292" s="265"/>
      <c r="BT3292" s="265"/>
      <c r="BU3292" s="265"/>
      <c r="BV3292" s="265"/>
    </row>
    <row r="3293" spans="12:74">
      <c r="L3293" s="265"/>
      <c r="M3293" s="265"/>
      <c r="N3293" s="265"/>
      <c r="O3293" s="265"/>
      <c r="P3293" s="265"/>
      <c r="Q3293" s="265"/>
      <c r="BR3293" s="265"/>
      <c r="BS3293" s="265"/>
      <c r="BT3293" s="265"/>
      <c r="BU3293" s="265"/>
      <c r="BV3293" s="265"/>
    </row>
    <row r="3294" spans="12:74">
      <c r="L3294" s="265"/>
      <c r="M3294" s="265"/>
      <c r="N3294" s="265"/>
      <c r="O3294" s="265"/>
      <c r="P3294" s="265"/>
      <c r="Q3294" s="265"/>
      <c r="BR3294" s="265"/>
      <c r="BS3294" s="265"/>
      <c r="BT3294" s="265"/>
      <c r="BU3294" s="265"/>
      <c r="BV3294" s="265"/>
    </row>
    <row r="3295" spans="12:74">
      <c r="L3295" s="265"/>
      <c r="M3295" s="265"/>
      <c r="N3295" s="265"/>
      <c r="O3295" s="265"/>
      <c r="P3295" s="265"/>
      <c r="Q3295" s="265"/>
      <c r="BR3295" s="265"/>
      <c r="BS3295" s="265"/>
      <c r="BT3295" s="265"/>
      <c r="BU3295" s="265"/>
      <c r="BV3295" s="265"/>
    </row>
    <row r="3296" spans="12:74">
      <c r="L3296" s="265"/>
      <c r="M3296" s="265"/>
      <c r="N3296" s="265"/>
      <c r="O3296" s="265"/>
      <c r="P3296" s="265"/>
      <c r="Q3296" s="265"/>
      <c r="BR3296" s="265"/>
      <c r="BS3296" s="265"/>
      <c r="BT3296" s="265"/>
      <c r="BU3296" s="265"/>
      <c r="BV3296" s="265"/>
    </row>
    <row r="3297" spans="12:74">
      <c r="L3297" s="265"/>
      <c r="M3297" s="265"/>
      <c r="N3297" s="265"/>
      <c r="O3297" s="265"/>
      <c r="P3297" s="265"/>
      <c r="Q3297" s="265"/>
      <c r="BR3297" s="265"/>
      <c r="BS3297" s="265"/>
      <c r="BT3297" s="265"/>
      <c r="BU3297" s="265"/>
      <c r="BV3297" s="265"/>
    </row>
    <row r="3298" spans="12:74">
      <c r="L3298" s="265"/>
      <c r="M3298" s="265"/>
      <c r="N3298" s="265"/>
      <c r="O3298" s="265"/>
      <c r="P3298" s="265"/>
      <c r="Q3298" s="265"/>
      <c r="BR3298" s="265"/>
      <c r="BS3298" s="265"/>
      <c r="BT3298" s="265"/>
      <c r="BU3298" s="265"/>
      <c r="BV3298" s="265"/>
    </row>
    <row r="3299" spans="12:74">
      <c r="L3299" s="265"/>
      <c r="M3299" s="265"/>
      <c r="N3299" s="265"/>
      <c r="O3299" s="265"/>
      <c r="P3299" s="265"/>
      <c r="Q3299" s="265"/>
      <c r="BR3299" s="265"/>
      <c r="BS3299" s="265"/>
      <c r="BT3299" s="265"/>
      <c r="BU3299" s="265"/>
      <c r="BV3299" s="265"/>
    </row>
    <row r="3300" spans="12:74">
      <c r="L3300" s="265"/>
      <c r="M3300" s="265"/>
      <c r="N3300" s="265"/>
      <c r="O3300" s="265"/>
      <c r="P3300" s="265"/>
      <c r="Q3300" s="265"/>
      <c r="BR3300" s="265"/>
      <c r="BS3300" s="265"/>
      <c r="BT3300" s="265"/>
      <c r="BU3300" s="265"/>
      <c r="BV3300" s="265"/>
    </row>
    <row r="3301" spans="12:74">
      <c r="L3301" s="265"/>
      <c r="M3301" s="265"/>
      <c r="N3301" s="265"/>
      <c r="O3301" s="265"/>
      <c r="P3301" s="265"/>
      <c r="Q3301" s="265"/>
      <c r="BR3301" s="265"/>
      <c r="BS3301" s="265"/>
      <c r="BT3301" s="265"/>
      <c r="BU3301" s="265"/>
      <c r="BV3301" s="265"/>
    </row>
    <row r="3302" spans="12:74">
      <c r="L3302" s="265"/>
      <c r="M3302" s="265"/>
      <c r="N3302" s="265"/>
      <c r="O3302" s="265"/>
      <c r="P3302" s="265"/>
      <c r="Q3302" s="265"/>
      <c r="BR3302" s="265"/>
      <c r="BS3302" s="265"/>
      <c r="BT3302" s="265"/>
      <c r="BU3302" s="265"/>
      <c r="BV3302" s="265"/>
    </row>
    <row r="3303" spans="12:74">
      <c r="L3303" s="265"/>
      <c r="M3303" s="265"/>
      <c r="N3303" s="265"/>
      <c r="O3303" s="265"/>
      <c r="P3303" s="265"/>
      <c r="Q3303" s="265"/>
      <c r="BR3303" s="265"/>
      <c r="BS3303" s="265"/>
      <c r="BT3303" s="265"/>
      <c r="BU3303" s="265"/>
      <c r="BV3303" s="265"/>
    </row>
    <row r="3304" spans="12:74">
      <c r="L3304" s="265"/>
      <c r="M3304" s="265"/>
      <c r="N3304" s="265"/>
      <c r="O3304" s="265"/>
      <c r="P3304" s="265"/>
      <c r="Q3304" s="265"/>
      <c r="BR3304" s="265"/>
      <c r="BS3304" s="265"/>
      <c r="BT3304" s="265"/>
      <c r="BU3304" s="265"/>
      <c r="BV3304" s="265"/>
    </row>
    <row r="3305" spans="12:74">
      <c r="L3305" s="265"/>
      <c r="M3305" s="265"/>
      <c r="N3305" s="265"/>
      <c r="O3305" s="265"/>
      <c r="P3305" s="265"/>
      <c r="Q3305" s="265"/>
      <c r="BR3305" s="265"/>
      <c r="BS3305" s="265"/>
      <c r="BT3305" s="265"/>
      <c r="BU3305" s="265"/>
      <c r="BV3305" s="265"/>
    </row>
    <row r="3306" spans="12:74">
      <c r="L3306" s="265"/>
      <c r="M3306" s="265"/>
      <c r="N3306" s="265"/>
      <c r="O3306" s="265"/>
      <c r="P3306" s="265"/>
      <c r="Q3306" s="265"/>
      <c r="BR3306" s="265"/>
      <c r="BS3306" s="265"/>
      <c r="BT3306" s="265"/>
      <c r="BU3306" s="265"/>
      <c r="BV3306" s="265"/>
    </row>
    <row r="3307" spans="12:74">
      <c r="L3307" s="265"/>
      <c r="M3307" s="265"/>
      <c r="N3307" s="265"/>
      <c r="O3307" s="265"/>
      <c r="P3307" s="265"/>
      <c r="Q3307" s="265"/>
      <c r="BR3307" s="265"/>
      <c r="BS3307" s="265"/>
      <c r="BT3307" s="265"/>
      <c r="BU3307" s="265"/>
      <c r="BV3307" s="265"/>
    </row>
    <row r="3308" spans="12:74">
      <c r="L3308" s="265"/>
      <c r="M3308" s="265"/>
      <c r="N3308" s="265"/>
      <c r="O3308" s="265"/>
      <c r="P3308" s="265"/>
      <c r="Q3308" s="265"/>
      <c r="BR3308" s="265"/>
      <c r="BS3308" s="265"/>
      <c r="BT3308" s="265"/>
      <c r="BU3308" s="265"/>
      <c r="BV3308" s="265"/>
    </row>
    <row r="3309" spans="12:74">
      <c r="L3309" s="265"/>
      <c r="M3309" s="265"/>
      <c r="N3309" s="265"/>
      <c r="O3309" s="265"/>
      <c r="P3309" s="265"/>
      <c r="Q3309" s="265"/>
      <c r="BR3309" s="265"/>
      <c r="BS3309" s="265"/>
      <c r="BT3309" s="265"/>
      <c r="BU3309" s="265"/>
      <c r="BV3309" s="265"/>
    </row>
    <row r="3310" spans="12:74">
      <c r="L3310" s="265"/>
      <c r="M3310" s="265"/>
      <c r="N3310" s="265"/>
      <c r="O3310" s="265"/>
      <c r="P3310" s="265"/>
      <c r="Q3310" s="265"/>
      <c r="BR3310" s="265"/>
      <c r="BS3310" s="265"/>
      <c r="BT3310" s="265"/>
      <c r="BU3310" s="265"/>
      <c r="BV3310" s="265"/>
    </row>
    <row r="3311" spans="12:74">
      <c r="L3311" s="265"/>
      <c r="M3311" s="265"/>
      <c r="N3311" s="265"/>
      <c r="O3311" s="265"/>
      <c r="P3311" s="265"/>
      <c r="Q3311" s="265"/>
      <c r="BR3311" s="265"/>
      <c r="BS3311" s="265"/>
      <c r="BT3311" s="265"/>
      <c r="BU3311" s="265"/>
      <c r="BV3311" s="265"/>
    </row>
    <row r="3312" spans="12:74">
      <c r="L3312" s="265"/>
      <c r="M3312" s="265"/>
      <c r="N3312" s="265"/>
      <c r="O3312" s="265"/>
      <c r="P3312" s="265"/>
      <c r="Q3312" s="265"/>
      <c r="BR3312" s="265"/>
      <c r="BS3312" s="265"/>
      <c r="BT3312" s="265"/>
      <c r="BU3312" s="265"/>
      <c r="BV3312" s="265"/>
    </row>
    <row r="3313" spans="12:74">
      <c r="L3313" s="265"/>
      <c r="M3313" s="265"/>
      <c r="N3313" s="265"/>
      <c r="O3313" s="265"/>
      <c r="P3313" s="265"/>
      <c r="Q3313" s="265"/>
      <c r="BR3313" s="265"/>
      <c r="BS3313" s="265"/>
      <c r="BT3313" s="265"/>
      <c r="BU3313" s="265"/>
      <c r="BV3313" s="265"/>
    </row>
    <row r="3314" spans="12:74">
      <c r="L3314" s="265"/>
      <c r="M3314" s="265"/>
      <c r="N3314" s="265"/>
      <c r="O3314" s="265"/>
      <c r="P3314" s="265"/>
      <c r="Q3314" s="265"/>
      <c r="BR3314" s="265"/>
      <c r="BS3314" s="265"/>
      <c r="BT3314" s="265"/>
      <c r="BU3314" s="265"/>
      <c r="BV3314" s="265"/>
    </row>
    <row r="3315" spans="12:74">
      <c r="L3315" s="265"/>
      <c r="M3315" s="265"/>
      <c r="N3315" s="265"/>
      <c r="O3315" s="265"/>
      <c r="P3315" s="265"/>
      <c r="Q3315" s="265"/>
      <c r="BR3315" s="265"/>
      <c r="BS3315" s="265"/>
      <c r="BT3315" s="265"/>
      <c r="BU3315" s="265"/>
      <c r="BV3315" s="265"/>
    </row>
    <row r="3316" spans="12:74">
      <c r="L3316" s="265"/>
      <c r="M3316" s="265"/>
      <c r="N3316" s="265"/>
      <c r="O3316" s="265"/>
      <c r="P3316" s="265"/>
      <c r="Q3316" s="265"/>
      <c r="BR3316" s="265"/>
      <c r="BS3316" s="265"/>
      <c r="BT3316" s="265"/>
      <c r="BU3316" s="265"/>
      <c r="BV3316" s="265"/>
    </row>
    <row r="3317" spans="12:74">
      <c r="L3317" s="265"/>
      <c r="M3317" s="265"/>
      <c r="N3317" s="265"/>
      <c r="O3317" s="265"/>
      <c r="P3317" s="265"/>
      <c r="Q3317" s="265"/>
      <c r="BR3317" s="265"/>
      <c r="BS3317" s="265"/>
      <c r="BT3317" s="265"/>
      <c r="BU3317" s="265"/>
      <c r="BV3317" s="265"/>
    </row>
    <row r="3318" spans="12:74">
      <c r="L3318" s="265"/>
      <c r="M3318" s="265"/>
      <c r="N3318" s="265"/>
      <c r="O3318" s="265"/>
      <c r="P3318" s="265"/>
      <c r="Q3318" s="265"/>
      <c r="BR3318" s="265"/>
      <c r="BS3318" s="265"/>
      <c r="BT3318" s="265"/>
      <c r="BU3318" s="265"/>
      <c r="BV3318" s="265"/>
    </row>
    <row r="3319" spans="12:74">
      <c r="L3319" s="265"/>
      <c r="M3319" s="265"/>
      <c r="N3319" s="265"/>
      <c r="O3319" s="265"/>
      <c r="P3319" s="265"/>
      <c r="Q3319" s="265"/>
      <c r="BR3319" s="265"/>
      <c r="BS3319" s="265"/>
      <c r="BT3319" s="265"/>
      <c r="BU3319" s="265"/>
      <c r="BV3319" s="265"/>
    </row>
    <row r="3320" spans="12:74">
      <c r="L3320" s="265"/>
      <c r="M3320" s="265"/>
      <c r="N3320" s="265"/>
      <c r="O3320" s="265"/>
      <c r="P3320" s="265"/>
      <c r="Q3320" s="265"/>
      <c r="BR3320" s="265"/>
      <c r="BS3320" s="265"/>
      <c r="BT3320" s="265"/>
      <c r="BU3320" s="265"/>
      <c r="BV3320" s="265"/>
    </row>
    <row r="3321" spans="12:74">
      <c r="L3321" s="265"/>
      <c r="M3321" s="265"/>
      <c r="N3321" s="265"/>
      <c r="O3321" s="265"/>
      <c r="P3321" s="265"/>
      <c r="Q3321" s="265"/>
      <c r="BR3321" s="265"/>
      <c r="BS3321" s="265"/>
      <c r="BT3321" s="265"/>
      <c r="BU3321" s="265"/>
      <c r="BV3321" s="265"/>
    </row>
    <row r="3322" spans="12:74">
      <c r="L3322" s="265"/>
      <c r="M3322" s="265"/>
      <c r="N3322" s="265"/>
      <c r="O3322" s="265"/>
      <c r="P3322" s="265"/>
      <c r="Q3322" s="265"/>
      <c r="BR3322" s="265"/>
      <c r="BS3322" s="265"/>
      <c r="BT3322" s="265"/>
      <c r="BU3322" s="265"/>
      <c r="BV3322" s="265"/>
    </row>
    <row r="3323" spans="12:74">
      <c r="L3323" s="265"/>
      <c r="M3323" s="265"/>
      <c r="N3323" s="265"/>
      <c r="O3323" s="265"/>
      <c r="P3323" s="265"/>
      <c r="Q3323" s="265"/>
      <c r="BR3323" s="265"/>
      <c r="BS3323" s="265"/>
      <c r="BT3323" s="265"/>
      <c r="BU3323" s="265"/>
      <c r="BV3323" s="265"/>
    </row>
    <row r="3324" spans="12:74">
      <c r="L3324" s="265"/>
      <c r="M3324" s="265"/>
      <c r="N3324" s="265"/>
      <c r="O3324" s="265"/>
      <c r="P3324" s="265"/>
      <c r="Q3324" s="265"/>
      <c r="BR3324" s="265"/>
      <c r="BS3324" s="265"/>
      <c r="BT3324" s="265"/>
      <c r="BU3324" s="265"/>
      <c r="BV3324" s="265"/>
    </row>
    <row r="3325" spans="12:74">
      <c r="L3325" s="265"/>
      <c r="M3325" s="265"/>
      <c r="N3325" s="265"/>
      <c r="O3325" s="265"/>
      <c r="P3325" s="265"/>
      <c r="Q3325" s="265"/>
      <c r="BR3325" s="265"/>
      <c r="BS3325" s="265"/>
      <c r="BT3325" s="265"/>
      <c r="BU3325" s="265"/>
      <c r="BV3325" s="265"/>
    </row>
    <row r="3326" spans="12:74">
      <c r="L3326" s="265"/>
      <c r="M3326" s="265"/>
      <c r="N3326" s="265"/>
      <c r="O3326" s="265"/>
      <c r="P3326" s="265"/>
      <c r="Q3326" s="265"/>
      <c r="BR3326" s="265"/>
      <c r="BS3326" s="265"/>
      <c r="BT3326" s="265"/>
      <c r="BU3326" s="265"/>
      <c r="BV3326" s="265"/>
    </row>
    <row r="3327" spans="12:74">
      <c r="L3327" s="265"/>
      <c r="M3327" s="265"/>
      <c r="N3327" s="265"/>
      <c r="O3327" s="265"/>
      <c r="P3327" s="265"/>
      <c r="Q3327" s="265"/>
      <c r="BR3327" s="265"/>
      <c r="BS3327" s="265"/>
      <c r="BT3327" s="265"/>
      <c r="BU3327" s="265"/>
      <c r="BV3327" s="265"/>
    </row>
    <row r="3328" spans="12:74">
      <c r="L3328" s="265"/>
      <c r="M3328" s="265"/>
      <c r="N3328" s="265"/>
      <c r="O3328" s="265"/>
      <c r="P3328" s="265"/>
      <c r="Q3328" s="265"/>
      <c r="BR3328" s="265"/>
      <c r="BS3328" s="265"/>
      <c r="BT3328" s="265"/>
      <c r="BU3328" s="265"/>
      <c r="BV3328" s="265"/>
    </row>
    <row r="3329" spans="12:74">
      <c r="L3329" s="265"/>
      <c r="M3329" s="265"/>
      <c r="N3329" s="265"/>
      <c r="O3329" s="265"/>
      <c r="P3329" s="265"/>
      <c r="Q3329" s="265"/>
      <c r="BR3329" s="265"/>
      <c r="BS3329" s="265"/>
      <c r="BT3329" s="265"/>
      <c r="BU3329" s="265"/>
      <c r="BV3329" s="265"/>
    </row>
    <row r="3330" spans="12:74">
      <c r="L3330" s="265"/>
      <c r="M3330" s="265"/>
      <c r="N3330" s="265"/>
      <c r="O3330" s="265"/>
      <c r="P3330" s="265"/>
      <c r="Q3330" s="265"/>
      <c r="BR3330" s="265"/>
      <c r="BS3330" s="265"/>
      <c r="BT3330" s="265"/>
      <c r="BU3330" s="265"/>
      <c r="BV3330" s="265"/>
    </row>
    <row r="3331" spans="12:74">
      <c r="L3331" s="265"/>
      <c r="M3331" s="265"/>
      <c r="N3331" s="265"/>
      <c r="O3331" s="265"/>
      <c r="P3331" s="265"/>
      <c r="Q3331" s="265"/>
      <c r="BR3331" s="265"/>
      <c r="BS3331" s="265"/>
      <c r="BT3331" s="265"/>
      <c r="BU3331" s="265"/>
      <c r="BV3331" s="265"/>
    </row>
    <row r="3332" spans="12:74">
      <c r="L3332" s="265"/>
      <c r="M3332" s="265"/>
      <c r="N3332" s="265"/>
      <c r="O3332" s="265"/>
      <c r="P3332" s="265"/>
      <c r="Q3332" s="265"/>
      <c r="BR3332" s="265"/>
      <c r="BS3332" s="265"/>
      <c r="BT3332" s="265"/>
      <c r="BU3332" s="265"/>
      <c r="BV3332" s="265"/>
    </row>
    <row r="3333" spans="12:74">
      <c r="L3333" s="265"/>
      <c r="M3333" s="265"/>
      <c r="N3333" s="265"/>
      <c r="O3333" s="265"/>
      <c r="P3333" s="265"/>
      <c r="Q3333" s="265"/>
      <c r="BR3333" s="265"/>
      <c r="BS3333" s="265"/>
      <c r="BT3333" s="265"/>
      <c r="BU3333" s="265"/>
      <c r="BV3333" s="265"/>
    </row>
    <row r="3334" spans="12:74">
      <c r="L3334" s="265"/>
      <c r="M3334" s="265"/>
      <c r="N3334" s="265"/>
      <c r="O3334" s="265"/>
      <c r="P3334" s="265"/>
      <c r="Q3334" s="265"/>
      <c r="BR3334" s="265"/>
      <c r="BS3334" s="265"/>
      <c r="BT3334" s="265"/>
      <c r="BU3334" s="265"/>
      <c r="BV3334" s="265"/>
    </row>
    <row r="3335" spans="12:74">
      <c r="L3335" s="265"/>
      <c r="M3335" s="265"/>
      <c r="N3335" s="265"/>
      <c r="O3335" s="265"/>
      <c r="P3335" s="265"/>
      <c r="Q3335" s="265"/>
      <c r="BR3335" s="265"/>
      <c r="BS3335" s="265"/>
      <c r="BT3335" s="265"/>
      <c r="BU3335" s="265"/>
      <c r="BV3335" s="265"/>
    </row>
    <row r="3336" spans="12:74">
      <c r="L3336" s="265"/>
      <c r="M3336" s="265"/>
      <c r="N3336" s="265"/>
      <c r="O3336" s="265"/>
      <c r="P3336" s="265"/>
      <c r="Q3336" s="265"/>
      <c r="BR3336" s="265"/>
      <c r="BS3336" s="265"/>
      <c r="BT3336" s="265"/>
      <c r="BU3336" s="265"/>
      <c r="BV3336" s="265"/>
    </row>
    <row r="3337" spans="12:74">
      <c r="L3337" s="265"/>
      <c r="M3337" s="265"/>
      <c r="N3337" s="265"/>
      <c r="O3337" s="265"/>
      <c r="P3337" s="265"/>
      <c r="Q3337" s="265"/>
      <c r="BR3337" s="265"/>
      <c r="BS3337" s="265"/>
      <c r="BT3337" s="265"/>
      <c r="BU3337" s="265"/>
      <c r="BV3337" s="265"/>
    </row>
    <row r="3338" spans="12:74">
      <c r="L3338" s="265"/>
      <c r="M3338" s="265"/>
      <c r="N3338" s="265"/>
      <c r="O3338" s="265"/>
      <c r="P3338" s="265"/>
      <c r="Q3338" s="265"/>
      <c r="BR3338" s="265"/>
      <c r="BS3338" s="265"/>
      <c r="BT3338" s="265"/>
      <c r="BU3338" s="265"/>
      <c r="BV3338" s="265"/>
    </row>
    <row r="3339" spans="12:74">
      <c r="L3339" s="265"/>
      <c r="M3339" s="265"/>
      <c r="N3339" s="265"/>
      <c r="O3339" s="265"/>
      <c r="P3339" s="265"/>
      <c r="Q3339" s="265"/>
      <c r="BR3339" s="265"/>
      <c r="BS3339" s="265"/>
      <c r="BT3339" s="265"/>
      <c r="BU3339" s="265"/>
      <c r="BV3339" s="265"/>
    </row>
    <row r="3340" spans="12:74">
      <c r="L3340" s="265"/>
      <c r="M3340" s="265"/>
      <c r="N3340" s="265"/>
      <c r="O3340" s="265"/>
      <c r="P3340" s="265"/>
      <c r="Q3340" s="265"/>
      <c r="BR3340" s="265"/>
      <c r="BS3340" s="265"/>
      <c r="BT3340" s="265"/>
      <c r="BU3340" s="265"/>
      <c r="BV3340" s="265"/>
    </row>
    <row r="3341" spans="12:74">
      <c r="L3341" s="265"/>
      <c r="M3341" s="265"/>
      <c r="N3341" s="265"/>
      <c r="O3341" s="265"/>
      <c r="P3341" s="265"/>
      <c r="Q3341" s="265"/>
      <c r="BR3341" s="265"/>
      <c r="BS3341" s="265"/>
      <c r="BT3341" s="265"/>
      <c r="BU3341" s="265"/>
      <c r="BV3341" s="265"/>
    </row>
    <row r="3342" spans="12:74">
      <c r="L3342" s="265"/>
      <c r="M3342" s="265"/>
      <c r="N3342" s="265"/>
      <c r="O3342" s="265"/>
      <c r="P3342" s="265"/>
      <c r="Q3342" s="265"/>
      <c r="BR3342" s="265"/>
      <c r="BS3342" s="265"/>
      <c r="BT3342" s="265"/>
      <c r="BU3342" s="265"/>
      <c r="BV3342" s="265"/>
    </row>
    <row r="3343" spans="12:74">
      <c r="L3343" s="265"/>
      <c r="M3343" s="265"/>
      <c r="N3343" s="265"/>
      <c r="O3343" s="265"/>
      <c r="P3343" s="265"/>
      <c r="Q3343" s="265"/>
      <c r="BR3343" s="265"/>
      <c r="BS3343" s="265"/>
      <c r="BT3343" s="265"/>
      <c r="BU3343" s="265"/>
      <c r="BV3343" s="265"/>
    </row>
    <row r="3344" spans="12:74">
      <c r="L3344" s="265"/>
      <c r="M3344" s="265"/>
      <c r="N3344" s="265"/>
      <c r="O3344" s="265"/>
      <c r="P3344" s="265"/>
      <c r="Q3344" s="265"/>
      <c r="BR3344" s="265"/>
      <c r="BS3344" s="265"/>
      <c r="BT3344" s="265"/>
      <c r="BU3344" s="265"/>
      <c r="BV3344" s="265"/>
    </row>
    <row r="3345" spans="12:74">
      <c r="L3345" s="265"/>
      <c r="M3345" s="265"/>
      <c r="N3345" s="265"/>
      <c r="O3345" s="265"/>
      <c r="P3345" s="265"/>
      <c r="Q3345" s="265"/>
      <c r="BR3345" s="265"/>
      <c r="BS3345" s="265"/>
      <c r="BT3345" s="265"/>
      <c r="BU3345" s="265"/>
      <c r="BV3345" s="265"/>
    </row>
    <row r="3346" spans="12:74">
      <c r="L3346" s="265"/>
      <c r="M3346" s="265"/>
      <c r="N3346" s="265"/>
      <c r="O3346" s="265"/>
      <c r="P3346" s="265"/>
      <c r="Q3346" s="265"/>
      <c r="BR3346" s="265"/>
      <c r="BS3346" s="265"/>
      <c r="BT3346" s="265"/>
      <c r="BU3346" s="265"/>
      <c r="BV3346" s="265"/>
    </row>
    <row r="3347" spans="12:74">
      <c r="L3347" s="265"/>
      <c r="M3347" s="265"/>
      <c r="N3347" s="265"/>
      <c r="O3347" s="265"/>
      <c r="P3347" s="265"/>
      <c r="Q3347" s="265"/>
      <c r="BR3347" s="265"/>
      <c r="BS3347" s="265"/>
      <c r="BT3347" s="265"/>
      <c r="BU3347" s="265"/>
      <c r="BV3347" s="265"/>
    </row>
    <row r="3348" spans="12:74">
      <c r="L3348" s="265"/>
      <c r="M3348" s="265"/>
      <c r="N3348" s="265"/>
      <c r="O3348" s="265"/>
      <c r="P3348" s="265"/>
      <c r="Q3348" s="265"/>
      <c r="BR3348" s="265"/>
      <c r="BS3348" s="265"/>
      <c r="BT3348" s="265"/>
      <c r="BU3348" s="265"/>
      <c r="BV3348" s="265"/>
    </row>
    <row r="3349" spans="12:74">
      <c r="L3349" s="265"/>
      <c r="M3349" s="265"/>
      <c r="N3349" s="265"/>
      <c r="O3349" s="265"/>
      <c r="P3349" s="265"/>
      <c r="Q3349" s="265"/>
      <c r="BR3349" s="265"/>
      <c r="BS3349" s="265"/>
      <c r="BT3349" s="265"/>
      <c r="BU3349" s="265"/>
      <c r="BV3349" s="265"/>
    </row>
    <row r="3350" spans="12:74">
      <c r="L3350" s="265"/>
      <c r="M3350" s="265"/>
      <c r="N3350" s="265"/>
      <c r="O3350" s="265"/>
      <c r="P3350" s="265"/>
      <c r="Q3350" s="265"/>
      <c r="BR3350" s="265"/>
      <c r="BS3350" s="265"/>
      <c r="BT3350" s="265"/>
      <c r="BU3350" s="265"/>
      <c r="BV3350" s="265"/>
    </row>
    <row r="3351" spans="12:74">
      <c r="L3351" s="265"/>
      <c r="M3351" s="265"/>
      <c r="N3351" s="265"/>
      <c r="O3351" s="265"/>
      <c r="P3351" s="265"/>
      <c r="Q3351" s="265"/>
      <c r="BR3351" s="265"/>
      <c r="BS3351" s="265"/>
      <c r="BT3351" s="265"/>
      <c r="BU3351" s="265"/>
      <c r="BV3351" s="265"/>
    </row>
    <row r="3352" spans="12:74">
      <c r="L3352" s="265"/>
      <c r="M3352" s="265"/>
      <c r="N3352" s="265"/>
      <c r="O3352" s="265"/>
      <c r="P3352" s="265"/>
      <c r="Q3352" s="265"/>
      <c r="BR3352" s="265"/>
      <c r="BS3352" s="265"/>
      <c r="BT3352" s="265"/>
      <c r="BU3352" s="265"/>
      <c r="BV3352" s="265"/>
    </row>
    <row r="3353" spans="12:74">
      <c r="L3353" s="265"/>
      <c r="M3353" s="265"/>
      <c r="N3353" s="265"/>
      <c r="O3353" s="265"/>
      <c r="P3353" s="265"/>
      <c r="Q3353" s="265"/>
      <c r="BR3353" s="265"/>
      <c r="BS3353" s="265"/>
      <c r="BT3353" s="265"/>
      <c r="BU3353" s="265"/>
      <c r="BV3353" s="265"/>
    </row>
    <row r="3354" spans="12:74">
      <c r="L3354" s="265"/>
      <c r="M3354" s="265"/>
      <c r="N3354" s="265"/>
      <c r="O3354" s="265"/>
      <c r="P3354" s="265"/>
      <c r="Q3354" s="265"/>
      <c r="BR3354" s="265"/>
      <c r="BS3354" s="265"/>
      <c r="BT3354" s="265"/>
      <c r="BU3354" s="265"/>
      <c r="BV3354" s="265"/>
    </row>
    <row r="3355" spans="12:74">
      <c r="L3355" s="265"/>
      <c r="M3355" s="265"/>
      <c r="N3355" s="265"/>
      <c r="O3355" s="265"/>
      <c r="P3355" s="265"/>
      <c r="Q3355" s="265"/>
      <c r="BR3355" s="265"/>
      <c r="BS3355" s="265"/>
      <c r="BT3355" s="265"/>
      <c r="BU3355" s="265"/>
      <c r="BV3355" s="265"/>
    </row>
    <row r="3356" spans="12:74">
      <c r="L3356" s="265"/>
      <c r="M3356" s="265"/>
      <c r="N3356" s="265"/>
      <c r="O3356" s="265"/>
      <c r="P3356" s="265"/>
      <c r="Q3356" s="265"/>
      <c r="BR3356" s="265"/>
      <c r="BS3356" s="265"/>
      <c r="BT3356" s="265"/>
      <c r="BU3356" s="265"/>
      <c r="BV3356" s="265"/>
    </row>
    <row r="3357" spans="12:74">
      <c r="L3357" s="265"/>
      <c r="M3357" s="265"/>
      <c r="N3357" s="265"/>
      <c r="O3357" s="265"/>
      <c r="P3357" s="265"/>
      <c r="Q3357" s="265"/>
      <c r="BR3357" s="265"/>
      <c r="BS3357" s="265"/>
      <c r="BT3357" s="265"/>
      <c r="BU3357" s="265"/>
      <c r="BV3357" s="265"/>
    </row>
    <row r="3358" spans="12:74">
      <c r="L3358" s="265"/>
      <c r="M3358" s="265"/>
      <c r="N3358" s="265"/>
      <c r="O3358" s="265"/>
      <c r="P3358" s="265"/>
      <c r="Q3358" s="265"/>
      <c r="BR3358" s="265"/>
      <c r="BS3358" s="265"/>
      <c r="BT3358" s="265"/>
      <c r="BU3358" s="265"/>
      <c r="BV3358" s="265"/>
    </row>
    <row r="3359" spans="12:74">
      <c r="L3359" s="265"/>
      <c r="M3359" s="265"/>
      <c r="N3359" s="265"/>
      <c r="O3359" s="265"/>
      <c r="P3359" s="265"/>
      <c r="Q3359" s="265"/>
      <c r="BR3359" s="265"/>
      <c r="BS3359" s="265"/>
      <c r="BT3359" s="265"/>
      <c r="BU3359" s="265"/>
      <c r="BV3359" s="265"/>
    </row>
    <row r="3360" spans="12:74">
      <c r="L3360" s="265"/>
      <c r="M3360" s="265"/>
      <c r="N3360" s="265"/>
      <c r="O3360" s="265"/>
      <c r="P3360" s="265"/>
      <c r="Q3360" s="265"/>
      <c r="BR3360" s="265"/>
      <c r="BS3360" s="265"/>
      <c r="BT3360" s="265"/>
      <c r="BU3360" s="265"/>
      <c r="BV3360" s="265"/>
    </row>
    <row r="3361" spans="12:74">
      <c r="L3361" s="265"/>
      <c r="M3361" s="265"/>
      <c r="N3361" s="265"/>
      <c r="O3361" s="265"/>
      <c r="P3361" s="265"/>
      <c r="Q3361" s="265"/>
      <c r="BR3361" s="265"/>
      <c r="BS3361" s="265"/>
      <c r="BT3361" s="265"/>
      <c r="BU3361" s="265"/>
      <c r="BV3361" s="265"/>
    </row>
    <row r="3362" spans="12:74">
      <c r="L3362" s="265"/>
      <c r="M3362" s="265"/>
      <c r="N3362" s="265"/>
      <c r="O3362" s="265"/>
      <c r="P3362" s="265"/>
      <c r="Q3362" s="265"/>
      <c r="BR3362" s="265"/>
      <c r="BS3362" s="265"/>
      <c r="BT3362" s="265"/>
      <c r="BU3362" s="265"/>
      <c r="BV3362" s="265"/>
    </row>
    <row r="3363" spans="12:74">
      <c r="L3363" s="265"/>
      <c r="M3363" s="265"/>
      <c r="N3363" s="265"/>
      <c r="O3363" s="265"/>
      <c r="P3363" s="265"/>
      <c r="Q3363" s="265"/>
      <c r="BR3363" s="265"/>
      <c r="BS3363" s="265"/>
      <c r="BT3363" s="265"/>
      <c r="BU3363" s="265"/>
      <c r="BV3363" s="265"/>
    </row>
    <row r="3364" spans="12:74">
      <c r="L3364" s="265"/>
      <c r="M3364" s="265"/>
      <c r="N3364" s="265"/>
      <c r="O3364" s="265"/>
      <c r="P3364" s="265"/>
      <c r="Q3364" s="265"/>
      <c r="BR3364" s="265"/>
      <c r="BS3364" s="265"/>
      <c r="BT3364" s="265"/>
      <c r="BU3364" s="265"/>
      <c r="BV3364" s="265"/>
    </row>
    <row r="3365" spans="12:74">
      <c r="L3365" s="265"/>
      <c r="M3365" s="265"/>
      <c r="N3365" s="265"/>
      <c r="O3365" s="265"/>
      <c r="P3365" s="265"/>
      <c r="Q3365" s="265"/>
      <c r="BR3365" s="265"/>
      <c r="BS3365" s="265"/>
      <c r="BT3365" s="265"/>
      <c r="BU3365" s="265"/>
      <c r="BV3365" s="265"/>
    </row>
    <row r="3366" spans="12:74">
      <c r="L3366" s="265"/>
      <c r="M3366" s="265"/>
      <c r="N3366" s="265"/>
      <c r="O3366" s="265"/>
      <c r="P3366" s="265"/>
      <c r="Q3366" s="265"/>
      <c r="BR3366" s="265"/>
      <c r="BS3366" s="265"/>
      <c r="BT3366" s="265"/>
      <c r="BU3366" s="265"/>
      <c r="BV3366" s="265"/>
    </row>
    <row r="3367" spans="12:74">
      <c r="L3367" s="265"/>
      <c r="M3367" s="265"/>
      <c r="N3367" s="265"/>
      <c r="O3367" s="265"/>
      <c r="P3367" s="265"/>
      <c r="Q3367" s="265"/>
      <c r="BR3367" s="265"/>
      <c r="BS3367" s="265"/>
      <c r="BT3367" s="265"/>
      <c r="BU3367" s="265"/>
      <c r="BV3367" s="265"/>
    </row>
    <row r="3368" spans="12:74">
      <c r="L3368" s="265"/>
      <c r="M3368" s="265"/>
      <c r="N3368" s="265"/>
      <c r="O3368" s="265"/>
      <c r="P3368" s="265"/>
      <c r="Q3368" s="265"/>
      <c r="BR3368" s="265"/>
      <c r="BS3368" s="265"/>
      <c r="BT3368" s="265"/>
      <c r="BU3368" s="265"/>
      <c r="BV3368" s="265"/>
    </row>
    <row r="3369" spans="12:74">
      <c r="L3369" s="265"/>
      <c r="M3369" s="265"/>
      <c r="N3369" s="265"/>
      <c r="O3369" s="265"/>
      <c r="P3369" s="265"/>
      <c r="Q3369" s="265"/>
      <c r="BR3369" s="265"/>
      <c r="BS3369" s="265"/>
      <c r="BT3369" s="265"/>
      <c r="BU3369" s="265"/>
      <c r="BV3369" s="265"/>
    </row>
    <row r="3370" spans="12:74">
      <c r="L3370" s="265"/>
      <c r="M3370" s="265"/>
      <c r="N3370" s="265"/>
      <c r="O3370" s="265"/>
      <c r="P3370" s="265"/>
      <c r="Q3370" s="265"/>
      <c r="BR3370" s="265"/>
      <c r="BS3370" s="265"/>
      <c r="BT3370" s="265"/>
      <c r="BU3370" s="265"/>
      <c r="BV3370" s="265"/>
    </row>
    <row r="3371" spans="12:74">
      <c r="L3371" s="265"/>
      <c r="M3371" s="265"/>
      <c r="N3371" s="265"/>
      <c r="O3371" s="265"/>
      <c r="P3371" s="265"/>
      <c r="Q3371" s="265"/>
      <c r="BR3371" s="265"/>
      <c r="BS3371" s="265"/>
      <c r="BT3371" s="265"/>
      <c r="BU3371" s="265"/>
      <c r="BV3371" s="265"/>
    </row>
    <row r="3372" spans="12:74">
      <c r="L3372" s="265"/>
      <c r="M3372" s="265"/>
      <c r="N3372" s="265"/>
      <c r="O3372" s="265"/>
      <c r="P3372" s="265"/>
      <c r="Q3372" s="265"/>
      <c r="BR3372" s="265"/>
      <c r="BS3372" s="265"/>
      <c r="BT3372" s="265"/>
      <c r="BU3372" s="265"/>
      <c r="BV3372" s="265"/>
    </row>
    <row r="3373" spans="12:74">
      <c r="L3373" s="265"/>
      <c r="M3373" s="265"/>
      <c r="N3373" s="265"/>
      <c r="O3373" s="265"/>
      <c r="P3373" s="265"/>
      <c r="Q3373" s="265"/>
      <c r="BR3373" s="265"/>
      <c r="BS3373" s="265"/>
      <c r="BT3373" s="265"/>
      <c r="BU3373" s="265"/>
      <c r="BV3373" s="265"/>
    </row>
    <row r="3374" spans="12:74">
      <c r="L3374" s="265"/>
      <c r="M3374" s="265"/>
      <c r="N3374" s="265"/>
      <c r="O3374" s="265"/>
      <c r="P3374" s="265"/>
      <c r="Q3374" s="265"/>
      <c r="BR3374" s="265"/>
      <c r="BS3374" s="265"/>
      <c r="BT3374" s="265"/>
      <c r="BU3374" s="265"/>
      <c r="BV3374" s="265"/>
    </row>
    <row r="3375" spans="12:74">
      <c r="L3375" s="265"/>
      <c r="M3375" s="265"/>
      <c r="N3375" s="265"/>
      <c r="O3375" s="265"/>
      <c r="P3375" s="265"/>
      <c r="Q3375" s="265"/>
      <c r="BR3375" s="265"/>
      <c r="BS3375" s="265"/>
      <c r="BT3375" s="265"/>
      <c r="BU3375" s="265"/>
      <c r="BV3375" s="265"/>
    </row>
    <row r="3376" spans="12:74">
      <c r="L3376" s="265"/>
      <c r="M3376" s="265"/>
      <c r="N3376" s="265"/>
      <c r="O3376" s="265"/>
      <c r="P3376" s="265"/>
      <c r="Q3376" s="265"/>
      <c r="BR3376" s="265"/>
      <c r="BS3376" s="265"/>
      <c r="BT3376" s="265"/>
      <c r="BU3376" s="265"/>
      <c r="BV3376" s="265"/>
    </row>
    <row r="3377" spans="12:74">
      <c r="L3377" s="265"/>
      <c r="M3377" s="265"/>
      <c r="N3377" s="265"/>
      <c r="O3377" s="265"/>
      <c r="P3377" s="265"/>
      <c r="Q3377" s="265"/>
      <c r="BR3377" s="265"/>
      <c r="BS3377" s="265"/>
      <c r="BT3377" s="265"/>
      <c r="BU3377" s="265"/>
      <c r="BV3377" s="265"/>
    </row>
    <row r="3378" spans="12:74">
      <c r="L3378" s="265"/>
      <c r="M3378" s="265"/>
      <c r="N3378" s="265"/>
      <c r="O3378" s="265"/>
      <c r="P3378" s="265"/>
      <c r="Q3378" s="265"/>
      <c r="BR3378" s="265"/>
      <c r="BS3378" s="265"/>
      <c r="BT3378" s="265"/>
      <c r="BU3378" s="265"/>
      <c r="BV3378" s="265"/>
    </row>
    <row r="3379" spans="12:74">
      <c r="L3379" s="265"/>
      <c r="M3379" s="265"/>
      <c r="N3379" s="265"/>
      <c r="O3379" s="265"/>
      <c r="P3379" s="265"/>
      <c r="Q3379" s="265"/>
      <c r="BR3379" s="265"/>
      <c r="BS3379" s="265"/>
      <c r="BT3379" s="265"/>
      <c r="BU3379" s="265"/>
      <c r="BV3379" s="265"/>
    </row>
    <row r="3380" spans="12:74">
      <c r="L3380" s="265"/>
      <c r="M3380" s="265"/>
      <c r="N3380" s="265"/>
      <c r="O3380" s="265"/>
      <c r="P3380" s="265"/>
      <c r="Q3380" s="265"/>
      <c r="BR3380" s="265"/>
      <c r="BS3380" s="265"/>
      <c r="BT3380" s="265"/>
      <c r="BU3380" s="265"/>
      <c r="BV3380" s="265"/>
    </row>
    <row r="3381" spans="12:74">
      <c r="L3381" s="265"/>
      <c r="M3381" s="265"/>
      <c r="N3381" s="265"/>
      <c r="O3381" s="265"/>
      <c r="P3381" s="265"/>
      <c r="Q3381" s="265"/>
      <c r="BR3381" s="265"/>
      <c r="BS3381" s="265"/>
      <c r="BT3381" s="265"/>
      <c r="BU3381" s="265"/>
      <c r="BV3381" s="265"/>
    </row>
    <row r="3382" spans="12:74">
      <c r="L3382" s="265"/>
      <c r="M3382" s="265"/>
      <c r="N3382" s="265"/>
      <c r="O3382" s="265"/>
      <c r="P3382" s="265"/>
      <c r="Q3382" s="265"/>
      <c r="BR3382" s="265"/>
      <c r="BS3382" s="265"/>
      <c r="BT3382" s="265"/>
      <c r="BU3382" s="265"/>
      <c r="BV3382" s="265"/>
    </row>
    <row r="3383" spans="12:74">
      <c r="L3383" s="265"/>
      <c r="M3383" s="265"/>
      <c r="N3383" s="265"/>
      <c r="O3383" s="265"/>
      <c r="P3383" s="265"/>
      <c r="Q3383" s="265"/>
      <c r="BR3383" s="265"/>
      <c r="BS3383" s="265"/>
      <c r="BT3383" s="265"/>
      <c r="BU3383" s="265"/>
      <c r="BV3383" s="265"/>
    </row>
    <row r="3384" spans="12:74">
      <c r="L3384" s="265"/>
      <c r="M3384" s="265"/>
      <c r="N3384" s="265"/>
      <c r="O3384" s="265"/>
      <c r="P3384" s="265"/>
      <c r="Q3384" s="265"/>
      <c r="BR3384" s="265"/>
      <c r="BS3384" s="265"/>
      <c r="BT3384" s="265"/>
      <c r="BU3384" s="265"/>
      <c r="BV3384" s="265"/>
    </row>
    <row r="3385" spans="12:74">
      <c r="L3385" s="265"/>
      <c r="M3385" s="265"/>
      <c r="N3385" s="265"/>
      <c r="O3385" s="265"/>
      <c r="P3385" s="265"/>
      <c r="Q3385" s="265"/>
      <c r="BR3385" s="265"/>
      <c r="BS3385" s="265"/>
      <c r="BT3385" s="265"/>
      <c r="BU3385" s="265"/>
      <c r="BV3385" s="265"/>
    </row>
    <row r="3386" spans="12:74">
      <c r="L3386" s="265"/>
      <c r="M3386" s="265"/>
      <c r="N3386" s="265"/>
      <c r="O3386" s="265"/>
      <c r="P3386" s="265"/>
      <c r="Q3386" s="265"/>
      <c r="BR3386" s="265"/>
      <c r="BS3386" s="265"/>
      <c r="BT3386" s="265"/>
      <c r="BU3386" s="265"/>
      <c r="BV3386" s="265"/>
    </row>
    <row r="3387" spans="12:74">
      <c r="L3387" s="265"/>
      <c r="M3387" s="265"/>
      <c r="N3387" s="265"/>
      <c r="O3387" s="265"/>
      <c r="P3387" s="265"/>
      <c r="Q3387" s="265"/>
      <c r="BR3387" s="265"/>
      <c r="BS3387" s="265"/>
      <c r="BT3387" s="265"/>
      <c r="BU3387" s="265"/>
      <c r="BV3387" s="265"/>
    </row>
    <row r="3388" spans="12:74">
      <c r="L3388" s="265"/>
      <c r="M3388" s="265"/>
      <c r="N3388" s="265"/>
      <c r="O3388" s="265"/>
      <c r="P3388" s="265"/>
      <c r="Q3388" s="265"/>
      <c r="BR3388" s="265"/>
      <c r="BS3388" s="265"/>
      <c r="BT3388" s="265"/>
      <c r="BU3388" s="265"/>
      <c r="BV3388" s="265"/>
    </row>
    <row r="3389" spans="12:74">
      <c r="L3389" s="265"/>
      <c r="M3389" s="265"/>
      <c r="N3389" s="265"/>
      <c r="O3389" s="265"/>
      <c r="P3389" s="265"/>
      <c r="Q3389" s="265"/>
      <c r="BR3389" s="265"/>
      <c r="BS3389" s="265"/>
      <c r="BT3389" s="265"/>
      <c r="BU3389" s="265"/>
      <c r="BV3389" s="265"/>
    </row>
    <row r="3390" spans="12:74">
      <c r="L3390" s="265"/>
      <c r="M3390" s="265"/>
      <c r="N3390" s="265"/>
      <c r="O3390" s="265"/>
      <c r="P3390" s="265"/>
      <c r="Q3390" s="265"/>
      <c r="BR3390" s="265"/>
      <c r="BS3390" s="265"/>
      <c r="BT3390" s="265"/>
      <c r="BU3390" s="265"/>
      <c r="BV3390" s="265"/>
    </row>
    <row r="3391" spans="12:74">
      <c r="L3391" s="265"/>
      <c r="M3391" s="265"/>
      <c r="N3391" s="265"/>
      <c r="O3391" s="265"/>
      <c r="P3391" s="265"/>
      <c r="Q3391" s="265"/>
      <c r="BR3391" s="265"/>
      <c r="BS3391" s="265"/>
      <c r="BT3391" s="265"/>
      <c r="BU3391" s="265"/>
      <c r="BV3391" s="265"/>
    </row>
    <row r="3392" spans="12:74">
      <c r="L3392" s="265"/>
      <c r="M3392" s="265"/>
      <c r="N3392" s="265"/>
      <c r="O3392" s="265"/>
      <c r="P3392" s="265"/>
      <c r="Q3392" s="265"/>
      <c r="BR3392" s="265"/>
      <c r="BS3392" s="265"/>
      <c r="BT3392" s="265"/>
      <c r="BU3392" s="265"/>
      <c r="BV3392" s="265"/>
    </row>
    <row r="3393" spans="12:74">
      <c r="L3393" s="265"/>
      <c r="M3393" s="265"/>
      <c r="N3393" s="265"/>
      <c r="O3393" s="265"/>
      <c r="P3393" s="265"/>
      <c r="Q3393" s="265"/>
      <c r="BR3393" s="265"/>
      <c r="BS3393" s="265"/>
      <c r="BT3393" s="265"/>
      <c r="BU3393" s="265"/>
      <c r="BV3393" s="265"/>
    </row>
    <row r="3394" spans="12:74">
      <c r="L3394" s="265"/>
      <c r="M3394" s="265"/>
      <c r="N3394" s="265"/>
      <c r="O3394" s="265"/>
      <c r="P3394" s="265"/>
      <c r="Q3394" s="265"/>
      <c r="BR3394" s="265"/>
      <c r="BS3394" s="265"/>
      <c r="BT3394" s="265"/>
      <c r="BU3394" s="265"/>
      <c r="BV3394" s="265"/>
    </row>
    <row r="3395" spans="12:74">
      <c r="L3395" s="265"/>
      <c r="M3395" s="265"/>
      <c r="N3395" s="265"/>
      <c r="O3395" s="265"/>
      <c r="P3395" s="265"/>
      <c r="Q3395" s="265"/>
      <c r="BR3395" s="265"/>
      <c r="BS3395" s="265"/>
      <c r="BT3395" s="265"/>
      <c r="BU3395" s="265"/>
      <c r="BV3395" s="265"/>
    </row>
    <row r="3396" spans="12:74">
      <c r="L3396" s="265"/>
      <c r="M3396" s="265"/>
      <c r="N3396" s="265"/>
      <c r="O3396" s="265"/>
      <c r="P3396" s="265"/>
      <c r="Q3396" s="265"/>
      <c r="BR3396" s="265"/>
      <c r="BS3396" s="265"/>
      <c r="BT3396" s="265"/>
      <c r="BU3396" s="265"/>
      <c r="BV3396" s="265"/>
    </row>
    <row r="3397" spans="12:74">
      <c r="L3397" s="265"/>
      <c r="M3397" s="265"/>
      <c r="N3397" s="265"/>
      <c r="O3397" s="265"/>
      <c r="P3397" s="265"/>
      <c r="Q3397" s="265"/>
      <c r="BR3397" s="265"/>
      <c r="BS3397" s="265"/>
      <c r="BT3397" s="265"/>
      <c r="BU3397" s="265"/>
      <c r="BV3397" s="265"/>
    </row>
    <row r="3398" spans="12:74">
      <c r="L3398" s="265"/>
      <c r="M3398" s="265"/>
      <c r="N3398" s="265"/>
      <c r="O3398" s="265"/>
      <c r="P3398" s="265"/>
      <c r="Q3398" s="265"/>
      <c r="BR3398" s="265"/>
      <c r="BS3398" s="265"/>
      <c r="BT3398" s="265"/>
      <c r="BU3398" s="265"/>
      <c r="BV3398" s="265"/>
    </row>
    <row r="3399" spans="12:74">
      <c r="L3399" s="265"/>
      <c r="M3399" s="265"/>
      <c r="N3399" s="265"/>
      <c r="O3399" s="265"/>
      <c r="P3399" s="265"/>
      <c r="Q3399" s="265"/>
      <c r="BR3399" s="265"/>
      <c r="BS3399" s="265"/>
      <c r="BT3399" s="265"/>
      <c r="BU3399" s="265"/>
      <c r="BV3399" s="265"/>
    </row>
    <row r="3400" spans="12:74">
      <c r="L3400" s="265"/>
      <c r="M3400" s="265"/>
      <c r="N3400" s="265"/>
      <c r="O3400" s="265"/>
      <c r="P3400" s="265"/>
      <c r="Q3400" s="265"/>
      <c r="BR3400" s="265"/>
      <c r="BS3400" s="265"/>
      <c r="BT3400" s="265"/>
      <c r="BU3400" s="265"/>
      <c r="BV3400" s="265"/>
    </row>
    <row r="3401" spans="12:74">
      <c r="L3401" s="265"/>
      <c r="M3401" s="265"/>
      <c r="N3401" s="265"/>
      <c r="O3401" s="265"/>
      <c r="P3401" s="265"/>
      <c r="Q3401" s="265"/>
      <c r="BR3401" s="265"/>
      <c r="BS3401" s="265"/>
      <c r="BT3401" s="265"/>
      <c r="BU3401" s="265"/>
      <c r="BV3401" s="265"/>
    </row>
    <row r="3402" spans="12:74">
      <c r="L3402" s="265"/>
      <c r="M3402" s="265"/>
      <c r="N3402" s="265"/>
      <c r="O3402" s="265"/>
      <c r="P3402" s="265"/>
      <c r="Q3402" s="265"/>
      <c r="BR3402" s="265"/>
      <c r="BS3402" s="265"/>
      <c r="BT3402" s="265"/>
      <c r="BU3402" s="265"/>
      <c r="BV3402" s="265"/>
    </row>
    <row r="3403" spans="12:74">
      <c r="L3403" s="265"/>
      <c r="M3403" s="265"/>
      <c r="N3403" s="265"/>
      <c r="O3403" s="265"/>
      <c r="P3403" s="265"/>
      <c r="Q3403" s="265"/>
      <c r="BR3403" s="265"/>
      <c r="BS3403" s="265"/>
      <c r="BT3403" s="265"/>
      <c r="BU3403" s="265"/>
      <c r="BV3403" s="265"/>
    </row>
    <row r="3404" spans="12:74">
      <c r="L3404" s="265"/>
      <c r="M3404" s="265"/>
      <c r="N3404" s="265"/>
      <c r="O3404" s="265"/>
      <c r="P3404" s="265"/>
      <c r="Q3404" s="265"/>
      <c r="BR3404" s="265"/>
      <c r="BS3404" s="265"/>
      <c r="BT3404" s="265"/>
      <c r="BU3404" s="265"/>
      <c r="BV3404" s="265"/>
    </row>
    <row r="3405" spans="12:74">
      <c r="L3405" s="265"/>
      <c r="M3405" s="265"/>
      <c r="N3405" s="265"/>
      <c r="O3405" s="265"/>
      <c r="P3405" s="265"/>
      <c r="Q3405" s="265"/>
      <c r="BR3405" s="265"/>
      <c r="BS3405" s="265"/>
      <c r="BT3405" s="265"/>
      <c r="BU3405" s="265"/>
      <c r="BV3405" s="265"/>
    </row>
    <row r="3406" spans="12:74">
      <c r="L3406" s="265"/>
      <c r="M3406" s="265"/>
      <c r="N3406" s="265"/>
      <c r="O3406" s="265"/>
      <c r="P3406" s="265"/>
      <c r="Q3406" s="265"/>
      <c r="BR3406" s="265"/>
      <c r="BS3406" s="265"/>
      <c r="BT3406" s="265"/>
      <c r="BU3406" s="265"/>
      <c r="BV3406" s="265"/>
    </row>
    <row r="3407" spans="12:74">
      <c r="L3407" s="265"/>
      <c r="M3407" s="265"/>
      <c r="N3407" s="265"/>
      <c r="O3407" s="265"/>
      <c r="P3407" s="265"/>
      <c r="Q3407" s="265"/>
      <c r="BR3407" s="265"/>
      <c r="BS3407" s="265"/>
      <c r="BT3407" s="265"/>
      <c r="BU3407" s="265"/>
      <c r="BV3407" s="265"/>
    </row>
    <row r="3408" spans="12:74">
      <c r="L3408" s="265"/>
      <c r="M3408" s="265"/>
      <c r="N3408" s="265"/>
      <c r="O3408" s="265"/>
      <c r="P3408" s="265"/>
      <c r="Q3408" s="265"/>
      <c r="BR3408" s="265"/>
      <c r="BS3408" s="265"/>
      <c r="BT3408" s="265"/>
      <c r="BU3408" s="265"/>
      <c r="BV3408" s="265"/>
    </row>
    <row r="3409" spans="12:74">
      <c r="L3409" s="265"/>
      <c r="M3409" s="265"/>
      <c r="N3409" s="265"/>
      <c r="O3409" s="265"/>
      <c r="P3409" s="265"/>
      <c r="Q3409" s="265"/>
      <c r="BR3409" s="265"/>
      <c r="BS3409" s="265"/>
      <c r="BT3409" s="265"/>
      <c r="BU3409" s="265"/>
      <c r="BV3409" s="265"/>
    </row>
    <row r="3410" spans="12:74">
      <c r="L3410" s="265"/>
      <c r="M3410" s="265"/>
      <c r="N3410" s="265"/>
      <c r="O3410" s="265"/>
      <c r="P3410" s="265"/>
      <c r="Q3410" s="265"/>
      <c r="BR3410" s="265"/>
      <c r="BS3410" s="265"/>
      <c r="BT3410" s="265"/>
      <c r="BU3410" s="265"/>
      <c r="BV3410" s="265"/>
    </row>
    <row r="3411" spans="12:74">
      <c r="L3411" s="265"/>
      <c r="M3411" s="265"/>
      <c r="N3411" s="265"/>
      <c r="O3411" s="265"/>
      <c r="P3411" s="265"/>
      <c r="Q3411" s="265"/>
      <c r="BR3411" s="265"/>
      <c r="BS3411" s="265"/>
      <c r="BT3411" s="265"/>
      <c r="BU3411" s="265"/>
      <c r="BV3411" s="265"/>
    </row>
    <row r="3412" spans="12:74">
      <c r="L3412" s="265"/>
      <c r="M3412" s="265"/>
      <c r="N3412" s="265"/>
      <c r="O3412" s="265"/>
      <c r="P3412" s="265"/>
      <c r="Q3412" s="265"/>
      <c r="BR3412" s="265"/>
      <c r="BS3412" s="265"/>
      <c r="BT3412" s="265"/>
      <c r="BU3412" s="265"/>
      <c r="BV3412" s="265"/>
    </row>
    <row r="3413" spans="12:74">
      <c r="L3413" s="265"/>
      <c r="M3413" s="265"/>
      <c r="N3413" s="265"/>
      <c r="O3413" s="265"/>
      <c r="P3413" s="265"/>
      <c r="Q3413" s="265"/>
      <c r="BR3413" s="265"/>
      <c r="BS3413" s="265"/>
      <c r="BT3413" s="265"/>
      <c r="BU3413" s="265"/>
      <c r="BV3413" s="265"/>
    </row>
    <row r="3414" spans="12:74">
      <c r="L3414" s="265"/>
      <c r="M3414" s="265"/>
      <c r="N3414" s="265"/>
      <c r="O3414" s="265"/>
      <c r="P3414" s="265"/>
      <c r="Q3414" s="265"/>
      <c r="BR3414" s="265"/>
      <c r="BS3414" s="265"/>
      <c r="BT3414" s="265"/>
      <c r="BU3414" s="265"/>
      <c r="BV3414" s="265"/>
    </row>
    <row r="3415" spans="12:74">
      <c r="L3415" s="265"/>
      <c r="M3415" s="265"/>
      <c r="N3415" s="265"/>
      <c r="O3415" s="265"/>
      <c r="P3415" s="265"/>
      <c r="Q3415" s="265"/>
      <c r="BR3415" s="265"/>
      <c r="BS3415" s="265"/>
      <c r="BT3415" s="265"/>
      <c r="BU3415" s="265"/>
      <c r="BV3415" s="265"/>
    </row>
    <row r="3416" spans="12:74">
      <c r="L3416" s="265"/>
      <c r="M3416" s="265"/>
      <c r="N3416" s="265"/>
      <c r="O3416" s="265"/>
      <c r="P3416" s="265"/>
      <c r="Q3416" s="265"/>
      <c r="BR3416" s="265"/>
      <c r="BS3416" s="265"/>
      <c r="BT3416" s="265"/>
      <c r="BU3416" s="265"/>
      <c r="BV3416" s="265"/>
    </row>
    <row r="3417" spans="12:74">
      <c r="L3417" s="265"/>
      <c r="M3417" s="265"/>
      <c r="N3417" s="265"/>
      <c r="O3417" s="265"/>
      <c r="P3417" s="265"/>
      <c r="Q3417" s="265"/>
      <c r="BR3417" s="265"/>
      <c r="BS3417" s="265"/>
      <c r="BT3417" s="265"/>
      <c r="BU3417" s="265"/>
      <c r="BV3417" s="265"/>
    </row>
    <row r="3418" spans="12:74">
      <c r="L3418" s="265"/>
      <c r="M3418" s="265"/>
      <c r="N3418" s="265"/>
      <c r="O3418" s="265"/>
      <c r="P3418" s="265"/>
      <c r="Q3418" s="265"/>
      <c r="BR3418" s="265"/>
      <c r="BS3418" s="265"/>
      <c r="BT3418" s="265"/>
      <c r="BU3418" s="265"/>
      <c r="BV3418" s="265"/>
    </row>
    <row r="3419" spans="12:74">
      <c r="L3419" s="265"/>
      <c r="M3419" s="265"/>
      <c r="N3419" s="265"/>
      <c r="O3419" s="265"/>
      <c r="P3419" s="265"/>
      <c r="Q3419" s="265"/>
      <c r="BR3419" s="265"/>
      <c r="BS3419" s="265"/>
      <c r="BT3419" s="265"/>
      <c r="BU3419" s="265"/>
      <c r="BV3419" s="265"/>
    </row>
    <row r="3420" spans="12:74">
      <c r="L3420" s="265"/>
      <c r="M3420" s="265"/>
      <c r="N3420" s="265"/>
      <c r="O3420" s="265"/>
      <c r="P3420" s="265"/>
      <c r="Q3420" s="265"/>
      <c r="BR3420" s="265"/>
      <c r="BS3420" s="265"/>
      <c r="BT3420" s="265"/>
      <c r="BU3420" s="265"/>
      <c r="BV3420" s="265"/>
    </row>
    <row r="3421" spans="12:74">
      <c r="L3421" s="265"/>
      <c r="M3421" s="265"/>
      <c r="N3421" s="265"/>
      <c r="O3421" s="265"/>
      <c r="P3421" s="265"/>
      <c r="Q3421" s="265"/>
      <c r="BR3421" s="265"/>
      <c r="BS3421" s="265"/>
      <c r="BT3421" s="265"/>
      <c r="BU3421" s="265"/>
      <c r="BV3421" s="265"/>
    </row>
    <row r="3422" spans="12:74">
      <c r="L3422" s="265"/>
      <c r="M3422" s="265"/>
      <c r="N3422" s="265"/>
      <c r="O3422" s="265"/>
      <c r="P3422" s="265"/>
      <c r="Q3422" s="265"/>
      <c r="BR3422" s="265"/>
      <c r="BS3422" s="265"/>
      <c r="BT3422" s="265"/>
      <c r="BU3422" s="265"/>
      <c r="BV3422" s="265"/>
    </row>
    <row r="3423" spans="12:74">
      <c r="L3423" s="265"/>
      <c r="M3423" s="265"/>
      <c r="N3423" s="265"/>
      <c r="O3423" s="265"/>
      <c r="P3423" s="265"/>
      <c r="Q3423" s="265"/>
      <c r="BR3423" s="265"/>
      <c r="BS3423" s="265"/>
      <c r="BT3423" s="265"/>
      <c r="BU3423" s="265"/>
      <c r="BV3423" s="265"/>
    </row>
    <row r="3424" spans="12:74">
      <c r="L3424" s="265"/>
      <c r="M3424" s="265"/>
      <c r="N3424" s="265"/>
      <c r="O3424" s="265"/>
      <c r="P3424" s="265"/>
      <c r="Q3424" s="265"/>
      <c r="BR3424" s="265"/>
      <c r="BS3424" s="265"/>
      <c r="BT3424" s="265"/>
      <c r="BU3424" s="265"/>
      <c r="BV3424" s="265"/>
    </row>
    <row r="3425" spans="12:74">
      <c r="L3425" s="265"/>
      <c r="M3425" s="265"/>
      <c r="N3425" s="265"/>
      <c r="O3425" s="265"/>
      <c r="P3425" s="265"/>
      <c r="Q3425" s="265"/>
      <c r="BR3425" s="265"/>
      <c r="BS3425" s="265"/>
      <c r="BT3425" s="265"/>
      <c r="BU3425" s="265"/>
      <c r="BV3425" s="265"/>
    </row>
    <row r="3426" spans="12:74">
      <c r="L3426" s="265"/>
      <c r="M3426" s="265"/>
      <c r="N3426" s="265"/>
      <c r="O3426" s="265"/>
      <c r="P3426" s="265"/>
      <c r="Q3426" s="265"/>
      <c r="BR3426" s="265"/>
      <c r="BS3426" s="265"/>
      <c r="BT3426" s="265"/>
      <c r="BU3426" s="265"/>
      <c r="BV3426" s="265"/>
    </row>
    <row r="3427" spans="12:74">
      <c r="L3427" s="265"/>
      <c r="M3427" s="265"/>
      <c r="N3427" s="265"/>
      <c r="O3427" s="265"/>
      <c r="P3427" s="265"/>
      <c r="Q3427" s="265"/>
      <c r="BR3427" s="265"/>
      <c r="BS3427" s="265"/>
      <c r="BT3427" s="265"/>
      <c r="BU3427" s="265"/>
      <c r="BV3427" s="265"/>
    </row>
    <row r="3428" spans="12:74">
      <c r="L3428" s="265"/>
      <c r="M3428" s="265"/>
      <c r="N3428" s="265"/>
      <c r="O3428" s="265"/>
      <c r="P3428" s="265"/>
      <c r="Q3428" s="265"/>
      <c r="BR3428" s="265"/>
      <c r="BS3428" s="265"/>
      <c r="BT3428" s="265"/>
      <c r="BU3428" s="265"/>
      <c r="BV3428" s="265"/>
    </row>
    <row r="3429" spans="12:74">
      <c r="L3429" s="265"/>
      <c r="M3429" s="265"/>
      <c r="N3429" s="265"/>
      <c r="O3429" s="265"/>
      <c r="P3429" s="265"/>
      <c r="Q3429" s="265"/>
      <c r="BR3429" s="265"/>
      <c r="BS3429" s="265"/>
      <c r="BT3429" s="265"/>
      <c r="BU3429" s="265"/>
      <c r="BV3429" s="265"/>
    </row>
    <row r="3430" spans="12:74">
      <c r="L3430" s="265"/>
      <c r="M3430" s="265"/>
      <c r="N3430" s="265"/>
      <c r="O3430" s="265"/>
      <c r="P3430" s="265"/>
      <c r="Q3430" s="265"/>
      <c r="BR3430" s="265"/>
      <c r="BS3430" s="265"/>
      <c r="BT3430" s="265"/>
      <c r="BU3430" s="265"/>
      <c r="BV3430" s="265"/>
    </row>
    <row r="3431" spans="12:74">
      <c r="L3431" s="265"/>
      <c r="M3431" s="265"/>
      <c r="N3431" s="265"/>
      <c r="O3431" s="265"/>
      <c r="P3431" s="265"/>
      <c r="Q3431" s="265"/>
      <c r="BR3431" s="265"/>
      <c r="BS3431" s="265"/>
      <c r="BT3431" s="265"/>
      <c r="BU3431" s="265"/>
      <c r="BV3431" s="265"/>
    </row>
    <row r="3432" spans="12:74">
      <c r="L3432" s="265"/>
      <c r="M3432" s="265"/>
      <c r="N3432" s="265"/>
      <c r="O3432" s="265"/>
      <c r="P3432" s="265"/>
      <c r="Q3432" s="265"/>
      <c r="BR3432" s="265"/>
      <c r="BS3432" s="265"/>
      <c r="BT3432" s="265"/>
      <c r="BU3432" s="265"/>
      <c r="BV3432" s="265"/>
    </row>
    <row r="3433" spans="12:74">
      <c r="L3433" s="265"/>
      <c r="M3433" s="265"/>
      <c r="N3433" s="265"/>
      <c r="O3433" s="265"/>
      <c r="P3433" s="265"/>
      <c r="Q3433" s="265"/>
      <c r="BR3433" s="265"/>
      <c r="BS3433" s="265"/>
      <c r="BT3433" s="265"/>
      <c r="BU3433" s="265"/>
      <c r="BV3433" s="265"/>
    </row>
    <row r="3434" spans="12:74">
      <c r="L3434" s="265"/>
      <c r="M3434" s="265"/>
      <c r="N3434" s="265"/>
      <c r="O3434" s="265"/>
      <c r="P3434" s="265"/>
      <c r="Q3434" s="265"/>
      <c r="BR3434" s="265"/>
      <c r="BS3434" s="265"/>
      <c r="BT3434" s="265"/>
      <c r="BU3434" s="265"/>
      <c r="BV3434" s="265"/>
    </row>
    <row r="3435" spans="12:74">
      <c r="L3435" s="265"/>
      <c r="M3435" s="265"/>
      <c r="N3435" s="265"/>
      <c r="O3435" s="265"/>
      <c r="P3435" s="265"/>
      <c r="Q3435" s="265"/>
      <c r="BR3435" s="265"/>
      <c r="BS3435" s="265"/>
      <c r="BT3435" s="265"/>
      <c r="BU3435" s="265"/>
      <c r="BV3435" s="265"/>
    </row>
    <row r="3436" spans="12:74">
      <c r="L3436" s="265"/>
      <c r="M3436" s="265"/>
      <c r="N3436" s="265"/>
      <c r="O3436" s="265"/>
      <c r="P3436" s="265"/>
      <c r="Q3436" s="265"/>
      <c r="BR3436" s="265"/>
      <c r="BS3436" s="265"/>
      <c r="BT3436" s="265"/>
      <c r="BU3436" s="265"/>
      <c r="BV3436" s="265"/>
    </row>
    <row r="3437" spans="12:74">
      <c r="L3437" s="265"/>
      <c r="M3437" s="265"/>
      <c r="N3437" s="265"/>
      <c r="O3437" s="265"/>
      <c r="P3437" s="265"/>
      <c r="Q3437" s="265"/>
      <c r="BR3437" s="265"/>
      <c r="BS3437" s="265"/>
      <c r="BT3437" s="265"/>
      <c r="BU3437" s="265"/>
      <c r="BV3437" s="265"/>
    </row>
    <row r="3438" spans="12:74">
      <c r="L3438" s="265"/>
      <c r="M3438" s="265"/>
      <c r="N3438" s="265"/>
      <c r="O3438" s="265"/>
      <c r="P3438" s="265"/>
      <c r="Q3438" s="265"/>
      <c r="BR3438" s="265"/>
      <c r="BS3438" s="265"/>
      <c r="BT3438" s="265"/>
      <c r="BU3438" s="265"/>
      <c r="BV3438" s="265"/>
    </row>
    <row r="3439" spans="12:74">
      <c r="L3439" s="265"/>
      <c r="M3439" s="265"/>
      <c r="N3439" s="265"/>
      <c r="O3439" s="265"/>
      <c r="P3439" s="265"/>
      <c r="Q3439" s="265"/>
      <c r="BR3439" s="265"/>
      <c r="BS3439" s="265"/>
      <c r="BT3439" s="265"/>
      <c r="BU3439" s="265"/>
      <c r="BV3439" s="265"/>
    </row>
    <row r="3440" spans="12:74">
      <c r="L3440" s="265"/>
      <c r="M3440" s="265"/>
      <c r="N3440" s="265"/>
      <c r="O3440" s="265"/>
      <c r="P3440" s="265"/>
      <c r="Q3440" s="265"/>
      <c r="BR3440" s="265"/>
      <c r="BS3440" s="265"/>
      <c r="BT3440" s="265"/>
      <c r="BU3440" s="265"/>
      <c r="BV3440" s="265"/>
    </row>
    <row r="3441" spans="12:74">
      <c r="L3441" s="265"/>
      <c r="M3441" s="265"/>
      <c r="N3441" s="265"/>
      <c r="O3441" s="265"/>
      <c r="P3441" s="265"/>
      <c r="Q3441" s="265"/>
      <c r="BR3441" s="265"/>
      <c r="BS3441" s="265"/>
      <c r="BT3441" s="265"/>
      <c r="BU3441" s="265"/>
      <c r="BV3441" s="265"/>
    </row>
    <row r="3442" spans="12:74">
      <c r="L3442" s="265"/>
      <c r="M3442" s="265"/>
      <c r="N3442" s="265"/>
      <c r="O3442" s="265"/>
      <c r="P3442" s="265"/>
      <c r="Q3442" s="265"/>
      <c r="BR3442" s="265"/>
      <c r="BS3442" s="265"/>
      <c r="BT3442" s="265"/>
      <c r="BU3442" s="265"/>
      <c r="BV3442" s="265"/>
    </row>
    <row r="3443" spans="12:74">
      <c r="L3443" s="265"/>
      <c r="M3443" s="265"/>
      <c r="N3443" s="265"/>
      <c r="O3443" s="265"/>
      <c r="P3443" s="265"/>
      <c r="Q3443" s="265"/>
      <c r="BR3443" s="265"/>
      <c r="BS3443" s="265"/>
      <c r="BT3443" s="265"/>
      <c r="BU3443" s="265"/>
      <c r="BV3443" s="265"/>
    </row>
    <row r="3444" spans="12:74">
      <c r="L3444" s="265"/>
      <c r="M3444" s="265"/>
      <c r="N3444" s="265"/>
      <c r="O3444" s="265"/>
      <c r="P3444" s="265"/>
      <c r="Q3444" s="265"/>
      <c r="BR3444" s="265"/>
      <c r="BS3444" s="265"/>
      <c r="BT3444" s="265"/>
      <c r="BU3444" s="265"/>
      <c r="BV3444" s="265"/>
    </row>
    <row r="3445" spans="12:74">
      <c r="L3445" s="265"/>
      <c r="M3445" s="265"/>
      <c r="N3445" s="265"/>
      <c r="O3445" s="265"/>
      <c r="P3445" s="265"/>
      <c r="Q3445" s="265"/>
      <c r="BR3445" s="265"/>
      <c r="BS3445" s="265"/>
      <c r="BT3445" s="265"/>
      <c r="BU3445" s="265"/>
      <c r="BV3445" s="265"/>
    </row>
    <row r="3446" spans="12:74">
      <c r="L3446" s="265"/>
      <c r="M3446" s="265"/>
      <c r="N3446" s="265"/>
      <c r="O3446" s="265"/>
      <c r="P3446" s="265"/>
      <c r="Q3446" s="265"/>
      <c r="BR3446" s="265"/>
      <c r="BS3446" s="265"/>
      <c r="BT3446" s="265"/>
      <c r="BU3446" s="265"/>
      <c r="BV3446" s="265"/>
    </row>
    <row r="3447" spans="12:74">
      <c r="L3447" s="265"/>
      <c r="M3447" s="265"/>
      <c r="N3447" s="265"/>
      <c r="O3447" s="265"/>
      <c r="P3447" s="265"/>
      <c r="Q3447" s="265"/>
      <c r="BR3447" s="265"/>
      <c r="BS3447" s="265"/>
      <c r="BT3447" s="265"/>
      <c r="BU3447" s="265"/>
      <c r="BV3447" s="265"/>
    </row>
    <row r="3448" spans="12:74">
      <c r="L3448" s="265"/>
      <c r="M3448" s="265"/>
      <c r="N3448" s="265"/>
      <c r="O3448" s="265"/>
      <c r="P3448" s="265"/>
      <c r="Q3448" s="265"/>
      <c r="BR3448" s="265"/>
      <c r="BS3448" s="265"/>
      <c r="BT3448" s="265"/>
      <c r="BU3448" s="265"/>
      <c r="BV3448" s="265"/>
    </row>
    <row r="3449" spans="12:74">
      <c r="L3449" s="265"/>
      <c r="M3449" s="265"/>
      <c r="N3449" s="265"/>
      <c r="O3449" s="265"/>
      <c r="P3449" s="265"/>
      <c r="Q3449" s="265"/>
      <c r="BR3449" s="265"/>
      <c r="BS3449" s="265"/>
      <c r="BT3449" s="265"/>
      <c r="BU3449" s="265"/>
      <c r="BV3449" s="265"/>
    </row>
    <row r="3450" spans="12:74">
      <c r="L3450" s="265"/>
      <c r="M3450" s="265"/>
      <c r="N3450" s="265"/>
      <c r="O3450" s="265"/>
      <c r="P3450" s="265"/>
      <c r="Q3450" s="265"/>
      <c r="BR3450" s="265"/>
      <c r="BS3450" s="265"/>
      <c r="BT3450" s="265"/>
      <c r="BU3450" s="265"/>
      <c r="BV3450" s="265"/>
    </row>
    <row r="3451" spans="12:74">
      <c r="L3451" s="265"/>
      <c r="M3451" s="265"/>
      <c r="N3451" s="265"/>
      <c r="O3451" s="265"/>
      <c r="P3451" s="265"/>
      <c r="Q3451" s="265"/>
      <c r="BR3451" s="265"/>
      <c r="BS3451" s="265"/>
      <c r="BT3451" s="265"/>
      <c r="BU3451" s="265"/>
      <c r="BV3451" s="265"/>
    </row>
    <row r="3452" spans="12:74">
      <c r="L3452" s="265"/>
      <c r="M3452" s="265"/>
      <c r="N3452" s="265"/>
      <c r="O3452" s="265"/>
      <c r="P3452" s="265"/>
      <c r="Q3452" s="265"/>
      <c r="BR3452" s="265"/>
      <c r="BS3452" s="265"/>
      <c r="BT3452" s="265"/>
      <c r="BU3452" s="265"/>
      <c r="BV3452" s="265"/>
    </row>
    <row r="3453" spans="12:74">
      <c r="L3453" s="265"/>
      <c r="M3453" s="265"/>
      <c r="N3453" s="265"/>
      <c r="O3453" s="265"/>
      <c r="P3453" s="265"/>
      <c r="Q3453" s="265"/>
      <c r="BR3453" s="265"/>
      <c r="BS3453" s="265"/>
      <c r="BT3453" s="265"/>
      <c r="BU3453" s="265"/>
      <c r="BV3453" s="265"/>
    </row>
    <row r="3454" spans="12:74">
      <c r="L3454" s="265"/>
      <c r="M3454" s="265"/>
      <c r="N3454" s="265"/>
      <c r="O3454" s="265"/>
      <c r="P3454" s="265"/>
      <c r="Q3454" s="265"/>
      <c r="BR3454" s="265"/>
      <c r="BS3454" s="265"/>
      <c r="BT3454" s="265"/>
      <c r="BU3454" s="265"/>
      <c r="BV3454" s="265"/>
    </row>
    <row r="3455" spans="12:74">
      <c r="L3455" s="265"/>
      <c r="M3455" s="265"/>
      <c r="N3455" s="265"/>
      <c r="O3455" s="265"/>
      <c r="P3455" s="265"/>
      <c r="Q3455" s="265"/>
      <c r="BR3455" s="265"/>
      <c r="BS3455" s="265"/>
      <c r="BT3455" s="265"/>
      <c r="BU3455" s="265"/>
      <c r="BV3455" s="265"/>
    </row>
    <row r="3456" spans="12:74">
      <c r="L3456" s="265"/>
      <c r="M3456" s="265"/>
      <c r="N3456" s="265"/>
      <c r="O3456" s="265"/>
      <c r="P3456" s="265"/>
      <c r="Q3456" s="265"/>
      <c r="BR3456" s="265"/>
      <c r="BS3456" s="265"/>
      <c r="BT3456" s="265"/>
      <c r="BU3456" s="265"/>
      <c r="BV3456" s="265"/>
    </row>
    <row r="3457" spans="12:74">
      <c r="L3457" s="265"/>
      <c r="M3457" s="265"/>
      <c r="N3457" s="265"/>
      <c r="O3457" s="265"/>
      <c r="P3457" s="265"/>
      <c r="Q3457" s="265"/>
      <c r="BR3457" s="265"/>
      <c r="BS3457" s="265"/>
      <c r="BT3457" s="265"/>
      <c r="BU3457" s="265"/>
      <c r="BV3457" s="265"/>
    </row>
    <row r="3458" spans="12:74">
      <c r="L3458" s="265"/>
      <c r="M3458" s="265"/>
      <c r="N3458" s="265"/>
      <c r="O3458" s="265"/>
      <c r="P3458" s="265"/>
      <c r="Q3458" s="265"/>
      <c r="BR3458" s="265"/>
      <c r="BS3458" s="265"/>
      <c r="BT3458" s="265"/>
      <c r="BU3458" s="265"/>
      <c r="BV3458" s="265"/>
    </row>
    <row r="3459" spans="12:74">
      <c r="L3459" s="265"/>
      <c r="M3459" s="265"/>
      <c r="N3459" s="265"/>
      <c r="O3459" s="265"/>
      <c r="P3459" s="265"/>
      <c r="Q3459" s="265"/>
      <c r="BR3459" s="265"/>
      <c r="BS3459" s="265"/>
      <c r="BT3459" s="265"/>
      <c r="BU3459" s="265"/>
      <c r="BV3459" s="265"/>
    </row>
    <row r="3460" spans="12:74">
      <c r="L3460" s="265"/>
      <c r="M3460" s="265"/>
      <c r="N3460" s="265"/>
      <c r="O3460" s="265"/>
      <c r="P3460" s="265"/>
      <c r="Q3460" s="265"/>
      <c r="BR3460" s="265"/>
      <c r="BS3460" s="265"/>
      <c r="BT3460" s="265"/>
      <c r="BU3460" s="265"/>
      <c r="BV3460" s="265"/>
    </row>
    <row r="3461" spans="12:74">
      <c r="L3461" s="265"/>
      <c r="M3461" s="265"/>
      <c r="N3461" s="265"/>
      <c r="O3461" s="265"/>
      <c r="P3461" s="265"/>
      <c r="Q3461" s="265"/>
      <c r="BR3461" s="265"/>
      <c r="BS3461" s="265"/>
      <c r="BT3461" s="265"/>
      <c r="BU3461" s="265"/>
      <c r="BV3461" s="265"/>
    </row>
    <row r="3462" spans="12:74">
      <c r="L3462" s="265"/>
      <c r="M3462" s="265"/>
      <c r="N3462" s="265"/>
      <c r="O3462" s="265"/>
      <c r="P3462" s="265"/>
      <c r="Q3462" s="265"/>
      <c r="BR3462" s="265"/>
      <c r="BS3462" s="265"/>
      <c r="BT3462" s="265"/>
      <c r="BU3462" s="265"/>
      <c r="BV3462" s="265"/>
    </row>
    <row r="3463" spans="12:74">
      <c r="L3463" s="265"/>
      <c r="M3463" s="265"/>
      <c r="N3463" s="265"/>
      <c r="O3463" s="265"/>
      <c r="P3463" s="265"/>
      <c r="Q3463" s="265"/>
      <c r="BR3463" s="265"/>
      <c r="BS3463" s="265"/>
      <c r="BT3463" s="265"/>
      <c r="BU3463" s="265"/>
      <c r="BV3463" s="265"/>
    </row>
    <row r="3464" spans="12:74">
      <c r="L3464" s="265"/>
      <c r="M3464" s="265"/>
      <c r="N3464" s="265"/>
      <c r="O3464" s="265"/>
      <c r="P3464" s="265"/>
      <c r="Q3464" s="265"/>
      <c r="BR3464" s="265"/>
      <c r="BS3464" s="265"/>
      <c r="BT3464" s="265"/>
      <c r="BU3464" s="265"/>
      <c r="BV3464" s="265"/>
    </row>
    <row r="3465" spans="12:74">
      <c r="L3465" s="265"/>
      <c r="M3465" s="265"/>
      <c r="N3465" s="265"/>
      <c r="O3465" s="265"/>
      <c r="P3465" s="265"/>
      <c r="Q3465" s="265"/>
      <c r="BR3465" s="265"/>
      <c r="BS3465" s="265"/>
      <c r="BT3465" s="265"/>
      <c r="BU3465" s="265"/>
      <c r="BV3465" s="265"/>
    </row>
    <row r="3466" spans="12:74">
      <c r="L3466" s="265"/>
      <c r="M3466" s="265"/>
      <c r="N3466" s="265"/>
      <c r="O3466" s="265"/>
      <c r="P3466" s="265"/>
      <c r="Q3466" s="265"/>
      <c r="BR3466" s="265"/>
      <c r="BS3466" s="265"/>
      <c r="BT3466" s="265"/>
      <c r="BU3466" s="265"/>
      <c r="BV3466" s="265"/>
    </row>
    <row r="3467" spans="12:74">
      <c r="L3467" s="265"/>
      <c r="M3467" s="265"/>
      <c r="N3467" s="265"/>
      <c r="O3467" s="265"/>
      <c r="P3467" s="265"/>
      <c r="Q3467" s="265"/>
      <c r="BR3467" s="265"/>
      <c r="BS3467" s="265"/>
      <c r="BT3467" s="265"/>
      <c r="BU3467" s="265"/>
      <c r="BV3467" s="265"/>
    </row>
    <row r="3468" spans="12:74">
      <c r="L3468" s="265"/>
      <c r="M3468" s="265"/>
      <c r="N3468" s="265"/>
      <c r="O3468" s="265"/>
      <c r="P3468" s="265"/>
      <c r="Q3468" s="265"/>
      <c r="BR3468" s="265"/>
      <c r="BS3468" s="265"/>
      <c r="BT3468" s="265"/>
      <c r="BU3468" s="265"/>
      <c r="BV3468" s="265"/>
    </row>
    <row r="3469" spans="12:74">
      <c r="L3469" s="265"/>
      <c r="M3469" s="265"/>
      <c r="N3469" s="265"/>
      <c r="O3469" s="265"/>
      <c r="P3469" s="265"/>
      <c r="Q3469" s="265"/>
      <c r="BR3469" s="265"/>
      <c r="BS3469" s="265"/>
      <c r="BT3469" s="265"/>
      <c r="BU3469" s="265"/>
      <c r="BV3469" s="265"/>
    </row>
    <row r="3470" spans="12:74">
      <c r="L3470" s="265"/>
      <c r="M3470" s="265"/>
      <c r="N3470" s="265"/>
      <c r="O3470" s="265"/>
      <c r="P3470" s="265"/>
      <c r="Q3470" s="265"/>
      <c r="BR3470" s="265"/>
      <c r="BS3470" s="265"/>
      <c r="BT3470" s="265"/>
      <c r="BU3470" s="265"/>
      <c r="BV3470" s="265"/>
    </row>
    <row r="3471" spans="12:74">
      <c r="L3471" s="265"/>
      <c r="M3471" s="265"/>
      <c r="N3471" s="265"/>
      <c r="O3471" s="265"/>
      <c r="P3471" s="265"/>
      <c r="Q3471" s="265"/>
      <c r="BR3471" s="265"/>
      <c r="BS3471" s="265"/>
      <c r="BT3471" s="265"/>
      <c r="BU3471" s="265"/>
      <c r="BV3471" s="265"/>
    </row>
    <row r="3472" spans="12:74">
      <c r="L3472" s="265"/>
      <c r="M3472" s="265"/>
      <c r="N3472" s="265"/>
      <c r="O3472" s="265"/>
      <c r="P3472" s="265"/>
      <c r="Q3472" s="265"/>
      <c r="BR3472" s="265"/>
      <c r="BS3472" s="265"/>
      <c r="BT3472" s="265"/>
      <c r="BU3472" s="265"/>
      <c r="BV3472" s="265"/>
    </row>
    <row r="3473" spans="12:74">
      <c r="L3473" s="265"/>
      <c r="M3473" s="265"/>
      <c r="N3473" s="265"/>
      <c r="O3473" s="265"/>
      <c r="P3473" s="265"/>
      <c r="Q3473" s="265"/>
      <c r="BR3473" s="265"/>
      <c r="BS3473" s="265"/>
      <c r="BT3473" s="265"/>
      <c r="BU3473" s="265"/>
      <c r="BV3473" s="265"/>
    </row>
    <row r="3474" spans="12:74">
      <c r="L3474" s="265"/>
      <c r="M3474" s="265"/>
      <c r="N3474" s="265"/>
      <c r="O3474" s="265"/>
      <c r="P3474" s="265"/>
      <c r="Q3474" s="265"/>
      <c r="BR3474" s="265"/>
      <c r="BS3474" s="265"/>
      <c r="BT3474" s="265"/>
      <c r="BU3474" s="265"/>
      <c r="BV3474" s="265"/>
    </row>
    <row r="3475" spans="12:74">
      <c r="L3475" s="265"/>
      <c r="M3475" s="265"/>
      <c r="N3475" s="265"/>
      <c r="O3475" s="265"/>
      <c r="P3475" s="265"/>
      <c r="Q3475" s="265"/>
      <c r="BR3475" s="265"/>
      <c r="BS3475" s="265"/>
      <c r="BT3475" s="265"/>
      <c r="BU3475" s="265"/>
      <c r="BV3475" s="265"/>
    </row>
    <row r="3476" spans="12:74">
      <c r="L3476" s="265"/>
      <c r="M3476" s="265"/>
      <c r="N3476" s="265"/>
      <c r="O3476" s="265"/>
      <c r="P3476" s="265"/>
      <c r="Q3476" s="265"/>
      <c r="BR3476" s="265"/>
      <c r="BS3476" s="265"/>
      <c r="BT3476" s="265"/>
      <c r="BU3476" s="265"/>
      <c r="BV3476" s="265"/>
    </row>
    <row r="3477" spans="12:74">
      <c r="L3477" s="265"/>
      <c r="M3477" s="265"/>
      <c r="N3477" s="265"/>
      <c r="O3477" s="265"/>
      <c r="P3477" s="265"/>
      <c r="Q3477" s="265"/>
      <c r="BR3477" s="265"/>
      <c r="BS3477" s="265"/>
      <c r="BT3477" s="265"/>
      <c r="BU3477" s="265"/>
      <c r="BV3477" s="265"/>
    </row>
    <row r="3478" spans="12:74">
      <c r="L3478" s="265"/>
      <c r="M3478" s="265"/>
      <c r="N3478" s="265"/>
      <c r="O3478" s="265"/>
      <c r="P3478" s="265"/>
      <c r="Q3478" s="265"/>
      <c r="BR3478" s="265"/>
      <c r="BS3478" s="265"/>
      <c r="BT3478" s="265"/>
      <c r="BU3478" s="265"/>
      <c r="BV3478" s="265"/>
    </row>
    <row r="3479" spans="12:74">
      <c r="L3479" s="265"/>
      <c r="M3479" s="265"/>
      <c r="N3479" s="265"/>
      <c r="O3479" s="265"/>
      <c r="P3479" s="265"/>
      <c r="Q3479" s="265"/>
      <c r="BR3479" s="265"/>
      <c r="BS3479" s="265"/>
      <c r="BT3479" s="265"/>
      <c r="BU3479" s="265"/>
      <c r="BV3479" s="265"/>
    </row>
    <row r="3480" spans="12:74">
      <c r="L3480" s="265"/>
      <c r="M3480" s="265"/>
      <c r="N3480" s="265"/>
      <c r="O3480" s="265"/>
      <c r="P3480" s="265"/>
      <c r="Q3480" s="265"/>
      <c r="BR3480" s="265"/>
      <c r="BS3480" s="265"/>
      <c r="BT3480" s="265"/>
      <c r="BU3480" s="265"/>
      <c r="BV3480" s="265"/>
    </row>
    <row r="3481" spans="12:74">
      <c r="L3481" s="265"/>
      <c r="M3481" s="265"/>
      <c r="N3481" s="265"/>
      <c r="O3481" s="265"/>
      <c r="P3481" s="265"/>
      <c r="Q3481" s="265"/>
      <c r="BR3481" s="265"/>
      <c r="BS3481" s="265"/>
      <c r="BT3481" s="265"/>
      <c r="BU3481" s="265"/>
      <c r="BV3481" s="265"/>
    </row>
    <row r="3482" spans="12:74">
      <c r="L3482" s="265"/>
      <c r="M3482" s="265"/>
      <c r="N3482" s="265"/>
      <c r="O3482" s="265"/>
      <c r="P3482" s="265"/>
      <c r="Q3482" s="265"/>
      <c r="BR3482" s="265"/>
      <c r="BS3482" s="265"/>
      <c r="BT3482" s="265"/>
      <c r="BU3482" s="265"/>
      <c r="BV3482" s="265"/>
    </row>
    <row r="3483" spans="12:74">
      <c r="L3483" s="265"/>
      <c r="M3483" s="265"/>
      <c r="N3483" s="265"/>
      <c r="O3483" s="265"/>
      <c r="P3483" s="265"/>
      <c r="Q3483" s="265"/>
      <c r="BR3483" s="265"/>
      <c r="BS3483" s="265"/>
      <c r="BT3483" s="265"/>
      <c r="BU3483" s="265"/>
      <c r="BV3483" s="265"/>
    </row>
    <row r="3484" spans="12:74">
      <c r="L3484" s="265"/>
      <c r="M3484" s="265"/>
      <c r="N3484" s="265"/>
      <c r="O3484" s="265"/>
      <c r="P3484" s="265"/>
      <c r="Q3484" s="265"/>
      <c r="BR3484" s="265"/>
      <c r="BS3484" s="265"/>
      <c r="BT3484" s="265"/>
      <c r="BU3484" s="265"/>
      <c r="BV3484" s="265"/>
    </row>
    <row r="3485" spans="12:74">
      <c r="L3485" s="265"/>
      <c r="M3485" s="265"/>
      <c r="N3485" s="265"/>
      <c r="O3485" s="265"/>
      <c r="P3485" s="265"/>
      <c r="Q3485" s="265"/>
      <c r="BR3485" s="265"/>
      <c r="BS3485" s="265"/>
      <c r="BT3485" s="265"/>
      <c r="BU3485" s="265"/>
      <c r="BV3485" s="265"/>
    </row>
    <row r="3486" spans="12:74">
      <c r="L3486" s="265"/>
      <c r="M3486" s="265"/>
      <c r="N3486" s="265"/>
      <c r="O3486" s="265"/>
      <c r="P3486" s="265"/>
      <c r="Q3486" s="265"/>
      <c r="BR3486" s="265"/>
      <c r="BS3486" s="265"/>
      <c r="BT3486" s="265"/>
      <c r="BU3486" s="265"/>
      <c r="BV3486" s="265"/>
    </row>
    <row r="3487" spans="12:74">
      <c r="L3487" s="265"/>
      <c r="M3487" s="265"/>
      <c r="N3487" s="265"/>
      <c r="O3487" s="265"/>
      <c r="P3487" s="265"/>
      <c r="Q3487" s="265"/>
      <c r="BR3487" s="265"/>
      <c r="BS3487" s="265"/>
      <c r="BT3487" s="265"/>
      <c r="BU3487" s="265"/>
      <c r="BV3487" s="265"/>
    </row>
    <row r="3488" spans="12:74">
      <c r="L3488" s="265"/>
      <c r="M3488" s="265"/>
      <c r="N3488" s="265"/>
      <c r="O3488" s="265"/>
      <c r="P3488" s="265"/>
      <c r="Q3488" s="265"/>
      <c r="BR3488" s="265"/>
      <c r="BS3488" s="265"/>
      <c r="BT3488" s="265"/>
      <c r="BU3488" s="265"/>
      <c r="BV3488" s="265"/>
    </row>
    <row r="3489" spans="12:74">
      <c r="L3489" s="265"/>
      <c r="M3489" s="265"/>
      <c r="N3489" s="265"/>
      <c r="O3489" s="265"/>
      <c r="P3489" s="265"/>
      <c r="Q3489" s="265"/>
      <c r="BR3489" s="265"/>
      <c r="BS3489" s="265"/>
      <c r="BT3489" s="265"/>
      <c r="BU3489" s="265"/>
      <c r="BV3489" s="265"/>
    </row>
    <row r="3490" spans="12:74">
      <c r="L3490" s="265"/>
      <c r="M3490" s="265"/>
      <c r="N3490" s="265"/>
      <c r="O3490" s="265"/>
      <c r="P3490" s="265"/>
      <c r="Q3490" s="265"/>
      <c r="BR3490" s="265"/>
      <c r="BS3490" s="265"/>
      <c r="BT3490" s="265"/>
      <c r="BU3490" s="265"/>
      <c r="BV3490" s="265"/>
    </row>
    <row r="3491" spans="12:74">
      <c r="L3491" s="265"/>
      <c r="M3491" s="265"/>
      <c r="N3491" s="265"/>
      <c r="O3491" s="265"/>
      <c r="P3491" s="265"/>
      <c r="Q3491" s="265"/>
      <c r="BR3491" s="265"/>
      <c r="BS3491" s="265"/>
      <c r="BT3491" s="265"/>
      <c r="BU3491" s="265"/>
      <c r="BV3491" s="265"/>
    </row>
    <row r="3492" spans="12:74">
      <c r="L3492" s="265"/>
      <c r="M3492" s="265"/>
      <c r="N3492" s="265"/>
      <c r="O3492" s="265"/>
      <c r="P3492" s="265"/>
      <c r="Q3492" s="265"/>
      <c r="BR3492" s="265"/>
      <c r="BS3492" s="265"/>
      <c r="BT3492" s="265"/>
      <c r="BU3492" s="265"/>
      <c r="BV3492" s="265"/>
    </row>
    <row r="3493" spans="12:74">
      <c r="L3493" s="265"/>
      <c r="M3493" s="265"/>
      <c r="N3493" s="265"/>
      <c r="O3493" s="265"/>
      <c r="P3493" s="265"/>
      <c r="Q3493" s="265"/>
      <c r="BR3493" s="265"/>
      <c r="BS3493" s="265"/>
      <c r="BT3493" s="265"/>
      <c r="BU3493" s="265"/>
      <c r="BV3493" s="265"/>
    </row>
    <row r="3494" spans="12:74">
      <c r="L3494" s="265"/>
      <c r="M3494" s="265"/>
      <c r="N3494" s="265"/>
      <c r="O3494" s="265"/>
      <c r="P3494" s="265"/>
      <c r="Q3494" s="265"/>
      <c r="BR3494" s="265"/>
      <c r="BS3494" s="265"/>
      <c r="BT3494" s="265"/>
      <c r="BU3494" s="265"/>
      <c r="BV3494" s="265"/>
    </row>
    <row r="3495" spans="12:74">
      <c r="L3495" s="265"/>
      <c r="M3495" s="265"/>
      <c r="N3495" s="265"/>
      <c r="O3495" s="265"/>
      <c r="P3495" s="265"/>
      <c r="Q3495" s="265"/>
      <c r="BR3495" s="265"/>
      <c r="BS3495" s="265"/>
      <c r="BT3495" s="265"/>
      <c r="BU3495" s="265"/>
      <c r="BV3495" s="265"/>
    </row>
    <row r="3496" spans="12:74">
      <c r="L3496" s="265"/>
      <c r="M3496" s="265"/>
      <c r="N3496" s="265"/>
      <c r="O3496" s="265"/>
      <c r="P3496" s="265"/>
      <c r="Q3496" s="265"/>
      <c r="BR3496" s="265"/>
      <c r="BS3496" s="265"/>
      <c r="BT3496" s="265"/>
      <c r="BU3496" s="265"/>
      <c r="BV3496" s="265"/>
    </row>
    <row r="3497" spans="12:74">
      <c r="L3497" s="265"/>
      <c r="M3497" s="265"/>
      <c r="N3497" s="265"/>
      <c r="O3497" s="265"/>
      <c r="P3497" s="265"/>
      <c r="Q3497" s="265"/>
      <c r="BR3497" s="265"/>
      <c r="BS3497" s="265"/>
      <c r="BT3497" s="265"/>
      <c r="BU3497" s="265"/>
      <c r="BV3497" s="265"/>
    </row>
    <row r="3498" spans="12:74">
      <c r="L3498" s="265"/>
      <c r="M3498" s="265"/>
      <c r="N3498" s="265"/>
      <c r="O3498" s="265"/>
      <c r="P3498" s="265"/>
      <c r="Q3498" s="265"/>
      <c r="BR3498" s="265"/>
      <c r="BS3498" s="265"/>
      <c r="BT3498" s="265"/>
      <c r="BU3498" s="265"/>
      <c r="BV3498" s="265"/>
    </row>
    <row r="3499" spans="12:74">
      <c r="L3499" s="265"/>
      <c r="M3499" s="265"/>
      <c r="N3499" s="265"/>
      <c r="O3499" s="265"/>
      <c r="P3499" s="265"/>
      <c r="Q3499" s="265"/>
      <c r="BR3499" s="265"/>
      <c r="BS3499" s="265"/>
      <c r="BT3499" s="265"/>
      <c r="BU3499" s="265"/>
      <c r="BV3499" s="265"/>
    </row>
    <row r="3500" spans="12:74">
      <c r="L3500" s="265"/>
      <c r="M3500" s="265"/>
      <c r="N3500" s="265"/>
      <c r="O3500" s="265"/>
      <c r="P3500" s="265"/>
      <c r="Q3500" s="265"/>
      <c r="BR3500" s="265"/>
      <c r="BS3500" s="265"/>
      <c r="BT3500" s="265"/>
      <c r="BU3500" s="265"/>
      <c r="BV3500" s="265"/>
    </row>
    <row r="3501" spans="12:74">
      <c r="L3501" s="265"/>
      <c r="M3501" s="265"/>
      <c r="N3501" s="265"/>
      <c r="O3501" s="265"/>
      <c r="P3501" s="265"/>
      <c r="Q3501" s="265"/>
      <c r="BR3501" s="265"/>
      <c r="BS3501" s="265"/>
      <c r="BT3501" s="265"/>
      <c r="BU3501" s="265"/>
      <c r="BV3501" s="265"/>
    </row>
    <row r="3502" spans="12:74">
      <c r="L3502" s="265"/>
      <c r="M3502" s="265"/>
      <c r="N3502" s="265"/>
      <c r="O3502" s="265"/>
      <c r="P3502" s="265"/>
      <c r="Q3502" s="265"/>
      <c r="BR3502" s="265"/>
      <c r="BS3502" s="265"/>
      <c r="BT3502" s="265"/>
      <c r="BU3502" s="265"/>
      <c r="BV3502" s="265"/>
    </row>
    <row r="3503" spans="12:74">
      <c r="L3503" s="265"/>
      <c r="M3503" s="265"/>
      <c r="N3503" s="265"/>
      <c r="O3503" s="265"/>
      <c r="P3503" s="265"/>
      <c r="Q3503" s="265"/>
      <c r="BR3503" s="265"/>
      <c r="BS3503" s="265"/>
      <c r="BT3503" s="265"/>
      <c r="BU3503" s="265"/>
      <c r="BV3503" s="265"/>
    </row>
    <row r="3504" spans="12:74">
      <c r="L3504" s="265"/>
      <c r="M3504" s="265"/>
      <c r="N3504" s="265"/>
      <c r="O3504" s="265"/>
      <c r="P3504" s="265"/>
      <c r="Q3504" s="265"/>
      <c r="BR3504" s="265"/>
      <c r="BS3504" s="265"/>
      <c r="BT3504" s="265"/>
      <c r="BU3504" s="265"/>
      <c r="BV3504" s="265"/>
    </row>
    <row r="3505" spans="12:74">
      <c r="L3505" s="265"/>
      <c r="M3505" s="265"/>
      <c r="N3505" s="265"/>
      <c r="O3505" s="265"/>
      <c r="P3505" s="265"/>
      <c r="Q3505" s="265"/>
      <c r="BR3505" s="265"/>
      <c r="BS3505" s="265"/>
      <c r="BT3505" s="265"/>
      <c r="BU3505" s="265"/>
      <c r="BV3505" s="265"/>
    </row>
    <row r="3506" spans="12:74">
      <c r="L3506" s="265"/>
      <c r="M3506" s="265"/>
      <c r="N3506" s="265"/>
      <c r="O3506" s="265"/>
      <c r="P3506" s="265"/>
      <c r="Q3506" s="265"/>
      <c r="BR3506" s="265"/>
      <c r="BS3506" s="265"/>
      <c r="BT3506" s="265"/>
      <c r="BU3506" s="265"/>
      <c r="BV3506" s="265"/>
    </row>
    <row r="3507" spans="12:74">
      <c r="L3507" s="265"/>
      <c r="M3507" s="265"/>
      <c r="N3507" s="265"/>
      <c r="O3507" s="265"/>
      <c r="P3507" s="265"/>
      <c r="Q3507" s="265"/>
      <c r="BR3507" s="265"/>
      <c r="BS3507" s="265"/>
      <c r="BT3507" s="265"/>
      <c r="BU3507" s="265"/>
      <c r="BV3507" s="265"/>
    </row>
    <row r="3508" spans="12:74">
      <c r="L3508" s="265"/>
      <c r="M3508" s="265"/>
      <c r="N3508" s="265"/>
      <c r="O3508" s="265"/>
      <c r="P3508" s="265"/>
      <c r="Q3508" s="265"/>
      <c r="BR3508" s="265"/>
      <c r="BS3508" s="265"/>
      <c r="BT3508" s="265"/>
      <c r="BU3508" s="265"/>
      <c r="BV3508" s="265"/>
    </row>
    <row r="3509" spans="12:74">
      <c r="L3509" s="265"/>
      <c r="M3509" s="265"/>
      <c r="N3509" s="265"/>
      <c r="O3509" s="265"/>
      <c r="P3509" s="265"/>
      <c r="Q3509" s="265"/>
      <c r="BR3509" s="265"/>
      <c r="BS3509" s="265"/>
      <c r="BT3509" s="265"/>
      <c r="BU3509" s="265"/>
      <c r="BV3509" s="265"/>
    </row>
    <row r="3510" spans="12:74">
      <c r="L3510" s="265"/>
      <c r="M3510" s="265"/>
      <c r="N3510" s="265"/>
      <c r="O3510" s="265"/>
      <c r="P3510" s="265"/>
      <c r="Q3510" s="265"/>
      <c r="BR3510" s="265"/>
      <c r="BS3510" s="265"/>
      <c r="BT3510" s="265"/>
      <c r="BU3510" s="265"/>
      <c r="BV3510" s="265"/>
    </row>
    <row r="3511" spans="12:74">
      <c r="L3511" s="265"/>
      <c r="M3511" s="265"/>
      <c r="N3511" s="265"/>
      <c r="O3511" s="265"/>
      <c r="P3511" s="265"/>
      <c r="Q3511" s="265"/>
      <c r="BR3511" s="265"/>
      <c r="BS3511" s="265"/>
      <c r="BT3511" s="265"/>
      <c r="BU3511" s="265"/>
      <c r="BV3511" s="265"/>
    </row>
    <row r="3512" spans="12:74">
      <c r="L3512" s="265"/>
      <c r="M3512" s="265"/>
      <c r="N3512" s="265"/>
      <c r="O3512" s="265"/>
      <c r="P3512" s="265"/>
      <c r="Q3512" s="265"/>
      <c r="BR3512" s="265"/>
      <c r="BS3512" s="265"/>
      <c r="BT3512" s="265"/>
      <c r="BU3512" s="265"/>
      <c r="BV3512" s="265"/>
    </row>
    <row r="3513" spans="12:74">
      <c r="L3513" s="265"/>
      <c r="M3513" s="265"/>
      <c r="N3513" s="265"/>
      <c r="O3513" s="265"/>
      <c r="P3513" s="265"/>
      <c r="Q3513" s="265"/>
      <c r="BR3513" s="265"/>
      <c r="BS3513" s="265"/>
      <c r="BT3513" s="265"/>
      <c r="BU3513" s="265"/>
      <c r="BV3513" s="265"/>
    </row>
    <row r="3514" spans="12:74">
      <c r="L3514" s="265"/>
      <c r="M3514" s="265"/>
      <c r="N3514" s="265"/>
      <c r="O3514" s="265"/>
      <c r="P3514" s="265"/>
      <c r="Q3514" s="265"/>
      <c r="BR3514" s="265"/>
      <c r="BS3514" s="265"/>
      <c r="BT3514" s="265"/>
      <c r="BU3514" s="265"/>
      <c r="BV3514" s="265"/>
    </row>
    <row r="3515" spans="12:74">
      <c r="L3515" s="265"/>
      <c r="M3515" s="265"/>
      <c r="N3515" s="265"/>
      <c r="O3515" s="265"/>
      <c r="P3515" s="265"/>
      <c r="Q3515" s="265"/>
      <c r="BR3515" s="265"/>
      <c r="BS3515" s="265"/>
      <c r="BT3515" s="265"/>
      <c r="BU3515" s="265"/>
      <c r="BV3515" s="265"/>
    </row>
    <row r="3516" spans="12:74">
      <c r="L3516" s="265"/>
      <c r="M3516" s="265"/>
      <c r="N3516" s="265"/>
      <c r="O3516" s="265"/>
      <c r="P3516" s="265"/>
      <c r="Q3516" s="265"/>
      <c r="BR3516" s="265"/>
      <c r="BS3516" s="265"/>
      <c r="BT3516" s="265"/>
      <c r="BU3516" s="265"/>
      <c r="BV3516" s="265"/>
    </row>
    <row r="3517" spans="12:74">
      <c r="L3517" s="265"/>
      <c r="M3517" s="265"/>
      <c r="N3517" s="265"/>
      <c r="O3517" s="265"/>
      <c r="P3517" s="265"/>
      <c r="Q3517" s="265"/>
      <c r="BR3517" s="265"/>
      <c r="BS3517" s="265"/>
      <c r="BT3517" s="265"/>
      <c r="BU3517" s="265"/>
      <c r="BV3517" s="265"/>
    </row>
    <row r="3518" spans="12:74">
      <c r="L3518" s="265"/>
      <c r="M3518" s="265"/>
      <c r="N3518" s="265"/>
      <c r="O3518" s="265"/>
      <c r="P3518" s="265"/>
      <c r="Q3518" s="265"/>
      <c r="BR3518" s="265"/>
      <c r="BS3518" s="265"/>
      <c r="BT3518" s="265"/>
      <c r="BU3518" s="265"/>
      <c r="BV3518" s="265"/>
    </row>
    <row r="3519" spans="12:74">
      <c r="L3519" s="265"/>
      <c r="M3519" s="265"/>
      <c r="N3519" s="265"/>
      <c r="O3519" s="265"/>
      <c r="P3519" s="265"/>
      <c r="Q3519" s="265"/>
      <c r="BR3519" s="265"/>
      <c r="BS3519" s="265"/>
      <c r="BT3519" s="265"/>
      <c r="BU3519" s="265"/>
      <c r="BV3519" s="265"/>
    </row>
    <row r="3520" spans="12:74">
      <c r="L3520" s="265"/>
      <c r="M3520" s="265"/>
      <c r="N3520" s="265"/>
      <c r="O3520" s="265"/>
      <c r="P3520" s="265"/>
      <c r="Q3520" s="265"/>
      <c r="BR3520" s="265"/>
      <c r="BS3520" s="265"/>
      <c r="BT3520" s="265"/>
      <c r="BU3520" s="265"/>
      <c r="BV3520" s="265"/>
    </row>
    <row r="3521" spans="12:74">
      <c r="L3521" s="265"/>
      <c r="M3521" s="265"/>
      <c r="N3521" s="265"/>
      <c r="O3521" s="265"/>
      <c r="P3521" s="265"/>
      <c r="Q3521" s="265"/>
      <c r="BR3521" s="265"/>
      <c r="BS3521" s="265"/>
      <c r="BT3521" s="265"/>
      <c r="BU3521" s="265"/>
      <c r="BV3521" s="265"/>
    </row>
    <row r="3522" spans="12:74">
      <c r="L3522" s="265"/>
      <c r="M3522" s="265"/>
      <c r="N3522" s="265"/>
      <c r="O3522" s="265"/>
      <c r="P3522" s="265"/>
      <c r="Q3522" s="265"/>
      <c r="BR3522" s="265"/>
      <c r="BS3522" s="265"/>
      <c r="BT3522" s="265"/>
      <c r="BU3522" s="265"/>
      <c r="BV3522" s="265"/>
    </row>
    <row r="3523" spans="12:74">
      <c r="L3523" s="265"/>
      <c r="M3523" s="265"/>
      <c r="N3523" s="265"/>
      <c r="O3523" s="265"/>
      <c r="P3523" s="265"/>
      <c r="Q3523" s="265"/>
      <c r="BR3523" s="265"/>
      <c r="BS3523" s="265"/>
      <c r="BT3523" s="265"/>
      <c r="BU3523" s="265"/>
      <c r="BV3523" s="265"/>
    </row>
    <row r="3524" spans="12:74">
      <c r="L3524" s="265"/>
      <c r="M3524" s="265"/>
      <c r="N3524" s="265"/>
      <c r="O3524" s="265"/>
      <c r="P3524" s="265"/>
      <c r="Q3524" s="265"/>
      <c r="BR3524" s="265"/>
      <c r="BS3524" s="265"/>
      <c r="BT3524" s="265"/>
      <c r="BU3524" s="265"/>
      <c r="BV3524" s="265"/>
    </row>
    <row r="3525" spans="12:74">
      <c r="L3525" s="265"/>
      <c r="M3525" s="265"/>
      <c r="N3525" s="265"/>
      <c r="O3525" s="265"/>
      <c r="P3525" s="265"/>
      <c r="Q3525" s="265"/>
      <c r="BR3525" s="265"/>
      <c r="BS3525" s="265"/>
      <c r="BT3525" s="265"/>
      <c r="BU3525" s="265"/>
      <c r="BV3525" s="265"/>
    </row>
    <row r="3526" spans="12:74">
      <c r="L3526" s="265"/>
      <c r="M3526" s="265"/>
      <c r="N3526" s="265"/>
      <c r="O3526" s="265"/>
      <c r="P3526" s="265"/>
      <c r="Q3526" s="265"/>
      <c r="BR3526" s="265"/>
      <c r="BS3526" s="265"/>
      <c r="BT3526" s="265"/>
      <c r="BU3526" s="265"/>
      <c r="BV3526" s="265"/>
    </row>
    <row r="3527" spans="12:74">
      <c r="L3527" s="265"/>
      <c r="M3527" s="265"/>
      <c r="N3527" s="265"/>
      <c r="O3527" s="265"/>
      <c r="P3527" s="265"/>
      <c r="Q3527" s="265"/>
      <c r="BR3527" s="265"/>
      <c r="BS3527" s="265"/>
      <c r="BT3527" s="265"/>
      <c r="BU3527" s="265"/>
      <c r="BV3527" s="265"/>
    </row>
    <row r="3528" spans="12:74">
      <c r="L3528" s="265"/>
      <c r="M3528" s="265"/>
      <c r="N3528" s="265"/>
      <c r="O3528" s="265"/>
      <c r="P3528" s="265"/>
      <c r="Q3528" s="265"/>
      <c r="BR3528" s="265"/>
      <c r="BS3528" s="265"/>
      <c r="BT3528" s="265"/>
      <c r="BU3528" s="265"/>
      <c r="BV3528" s="265"/>
    </row>
    <row r="3529" spans="12:74">
      <c r="L3529" s="265"/>
      <c r="M3529" s="265"/>
      <c r="N3529" s="265"/>
      <c r="O3529" s="265"/>
      <c r="P3529" s="265"/>
      <c r="Q3529" s="265"/>
      <c r="BR3529" s="265"/>
      <c r="BS3529" s="265"/>
      <c r="BT3529" s="265"/>
      <c r="BU3529" s="265"/>
      <c r="BV3529" s="265"/>
    </row>
    <row r="3530" spans="12:74">
      <c r="L3530" s="265"/>
      <c r="M3530" s="265"/>
      <c r="N3530" s="265"/>
      <c r="O3530" s="265"/>
      <c r="P3530" s="265"/>
      <c r="Q3530" s="265"/>
      <c r="BR3530" s="265"/>
      <c r="BS3530" s="265"/>
      <c r="BT3530" s="265"/>
      <c r="BU3530" s="265"/>
      <c r="BV3530" s="265"/>
    </row>
    <row r="3531" spans="12:74">
      <c r="L3531" s="265"/>
      <c r="M3531" s="265"/>
      <c r="N3531" s="265"/>
      <c r="O3531" s="265"/>
      <c r="P3531" s="265"/>
      <c r="Q3531" s="265"/>
      <c r="BR3531" s="265"/>
      <c r="BS3531" s="265"/>
      <c r="BT3531" s="265"/>
      <c r="BU3531" s="265"/>
      <c r="BV3531" s="265"/>
    </row>
    <row r="3532" spans="12:74">
      <c r="L3532" s="265"/>
      <c r="M3532" s="265"/>
      <c r="N3532" s="265"/>
      <c r="O3532" s="265"/>
      <c r="P3532" s="265"/>
      <c r="Q3532" s="265"/>
      <c r="BR3532" s="265"/>
      <c r="BS3532" s="265"/>
      <c r="BT3532" s="265"/>
      <c r="BU3532" s="265"/>
      <c r="BV3532" s="265"/>
    </row>
    <row r="3533" spans="12:74">
      <c r="L3533" s="265"/>
      <c r="M3533" s="265"/>
      <c r="N3533" s="265"/>
      <c r="O3533" s="265"/>
      <c r="P3533" s="265"/>
      <c r="Q3533" s="265"/>
      <c r="BR3533" s="265"/>
      <c r="BS3533" s="265"/>
      <c r="BT3533" s="265"/>
      <c r="BU3533" s="265"/>
      <c r="BV3533" s="265"/>
    </row>
    <row r="3534" spans="12:74">
      <c r="L3534" s="265"/>
      <c r="M3534" s="265"/>
      <c r="N3534" s="265"/>
      <c r="O3534" s="265"/>
      <c r="P3534" s="265"/>
      <c r="Q3534" s="265"/>
      <c r="BR3534" s="265"/>
      <c r="BS3534" s="265"/>
      <c r="BT3534" s="265"/>
      <c r="BU3534" s="265"/>
      <c r="BV3534" s="265"/>
    </row>
    <row r="3535" spans="12:74">
      <c r="L3535" s="265"/>
      <c r="M3535" s="265"/>
      <c r="N3535" s="265"/>
      <c r="O3535" s="265"/>
      <c r="P3535" s="265"/>
      <c r="Q3535" s="265"/>
      <c r="BR3535" s="265"/>
      <c r="BS3535" s="265"/>
      <c r="BT3535" s="265"/>
      <c r="BU3535" s="265"/>
      <c r="BV3535" s="265"/>
    </row>
    <row r="3536" spans="12:74">
      <c r="L3536" s="265"/>
      <c r="M3536" s="265"/>
      <c r="N3536" s="265"/>
      <c r="O3536" s="265"/>
      <c r="P3536" s="265"/>
      <c r="Q3536" s="265"/>
      <c r="BR3536" s="265"/>
      <c r="BS3536" s="265"/>
      <c r="BT3536" s="265"/>
      <c r="BU3536" s="265"/>
      <c r="BV3536" s="265"/>
    </row>
    <row r="3537" spans="12:74">
      <c r="L3537" s="265"/>
      <c r="M3537" s="265"/>
      <c r="N3537" s="265"/>
      <c r="O3537" s="265"/>
      <c r="P3537" s="265"/>
      <c r="Q3537" s="265"/>
      <c r="BR3537" s="265"/>
      <c r="BS3537" s="265"/>
      <c r="BT3537" s="265"/>
      <c r="BU3537" s="265"/>
      <c r="BV3537" s="265"/>
    </row>
    <row r="3538" spans="12:74">
      <c r="L3538" s="265"/>
      <c r="M3538" s="265"/>
      <c r="N3538" s="265"/>
      <c r="O3538" s="265"/>
      <c r="P3538" s="265"/>
      <c r="Q3538" s="265"/>
      <c r="BR3538" s="265"/>
      <c r="BS3538" s="265"/>
      <c r="BT3538" s="265"/>
      <c r="BU3538" s="265"/>
      <c r="BV3538" s="265"/>
    </row>
    <row r="3539" spans="12:74">
      <c r="L3539" s="265"/>
      <c r="M3539" s="265"/>
      <c r="N3539" s="265"/>
      <c r="O3539" s="265"/>
      <c r="P3539" s="265"/>
      <c r="Q3539" s="265"/>
      <c r="BR3539" s="265"/>
      <c r="BS3539" s="265"/>
      <c r="BT3539" s="265"/>
      <c r="BU3539" s="265"/>
      <c r="BV3539" s="265"/>
    </row>
    <row r="3540" spans="12:74">
      <c r="L3540" s="265"/>
      <c r="M3540" s="265"/>
      <c r="N3540" s="265"/>
      <c r="O3540" s="265"/>
      <c r="P3540" s="265"/>
      <c r="Q3540" s="265"/>
      <c r="BR3540" s="265"/>
      <c r="BS3540" s="265"/>
      <c r="BT3540" s="265"/>
      <c r="BU3540" s="265"/>
      <c r="BV3540" s="265"/>
    </row>
    <row r="3541" spans="12:74">
      <c r="L3541" s="265"/>
      <c r="M3541" s="265"/>
      <c r="N3541" s="265"/>
      <c r="O3541" s="265"/>
      <c r="P3541" s="265"/>
      <c r="Q3541" s="265"/>
      <c r="BR3541" s="265"/>
      <c r="BS3541" s="265"/>
      <c r="BT3541" s="265"/>
      <c r="BU3541" s="265"/>
      <c r="BV3541" s="265"/>
    </row>
    <row r="3542" spans="12:74">
      <c r="L3542" s="265"/>
      <c r="M3542" s="265"/>
      <c r="N3542" s="265"/>
      <c r="O3542" s="265"/>
      <c r="P3542" s="265"/>
      <c r="Q3542" s="265"/>
      <c r="BR3542" s="265"/>
      <c r="BS3542" s="265"/>
      <c r="BT3542" s="265"/>
      <c r="BU3542" s="265"/>
      <c r="BV3542" s="265"/>
    </row>
    <row r="3543" spans="12:74">
      <c r="L3543" s="265"/>
      <c r="M3543" s="265"/>
      <c r="N3543" s="265"/>
      <c r="O3543" s="265"/>
      <c r="P3543" s="265"/>
      <c r="Q3543" s="265"/>
      <c r="BR3543" s="265"/>
      <c r="BS3543" s="265"/>
      <c r="BT3543" s="265"/>
      <c r="BU3543" s="265"/>
      <c r="BV3543" s="265"/>
    </row>
    <row r="3544" spans="12:74">
      <c r="L3544" s="265"/>
      <c r="M3544" s="265"/>
      <c r="N3544" s="265"/>
      <c r="O3544" s="265"/>
      <c r="P3544" s="265"/>
      <c r="Q3544" s="265"/>
      <c r="BR3544" s="265"/>
      <c r="BS3544" s="265"/>
      <c r="BT3544" s="265"/>
      <c r="BU3544" s="265"/>
      <c r="BV3544" s="265"/>
    </row>
    <row r="3545" spans="12:74">
      <c r="L3545" s="265"/>
      <c r="M3545" s="265"/>
      <c r="N3545" s="265"/>
      <c r="O3545" s="265"/>
      <c r="P3545" s="265"/>
      <c r="Q3545" s="265"/>
      <c r="BR3545" s="265"/>
      <c r="BS3545" s="265"/>
      <c r="BT3545" s="265"/>
      <c r="BU3545" s="265"/>
      <c r="BV3545" s="265"/>
    </row>
    <row r="3546" spans="12:74">
      <c r="L3546" s="265"/>
      <c r="M3546" s="265"/>
      <c r="N3546" s="265"/>
      <c r="O3546" s="265"/>
      <c r="P3546" s="265"/>
      <c r="Q3546" s="265"/>
      <c r="BR3546" s="265"/>
      <c r="BS3546" s="265"/>
      <c r="BT3546" s="265"/>
      <c r="BU3546" s="265"/>
      <c r="BV3546" s="265"/>
    </row>
    <row r="3547" spans="12:74">
      <c r="L3547" s="265"/>
      <c r="M3547" s="265"/>
      <c r="N3547" s="265"/>
      <c r="O3547" s="265"/>
      <c r="P3547" s="265"/>
      <c r="Q3547" s="265"/>
      <c r="BR3547" s="265"/>
      <c r="BS3547" s="265"/>
      <c r="BT3547" s="265"/>
      <c r="BU3547" s="265"/>
      <c r="BV3547" s="265"/>
    </row>
    <row r="3548" spans="12:74">
      <c r="L3548" s="265"/>
      <c r="M3548" s="265"/>
      <c r="N3548" s="265"/>
      <c r="O3548" s="265"/>
      <c r="P3548" s="265"/>
      <c r="Q3548" s="265"/>
      <c r="BR3548" s="265"/>
      <c r="BS3548" s="265"/>
      <c r="BT3548" s="265"/>
      <c r="BU3548" s="265"/>
      <c r="BV3548" s="265"/>
    </row>
    <row r="3549" spans="12:74">
      <c r="L3549" s="265"/>
      <c r="M3549" s="265"/>
      <c r="N3549" s="265"/>
      <c r="O3549" s="265"/>
      <c r="P3549" s="265"/>
      <c r="Q3549" s="265"/>
      <c r="BR3549" s="265"/>
      <c r="BS3549" s="265"/>
      <c r="BT3549" s="265"/>
      <c r="BU3549" s="265"/>
      <c r="BV3549" s="265"/>
    </row>
    <row r="3550" spans="12:74">
      <c r="L3550" s="265"/>
      <c r="M3550" s="265"/>
      <c r="N3550" s="265"/>
      <c r="O3550" s="265"/>
      <c r="P3550" s="265"/>
      <c r="Q3550" s="265"/>
      <c r="BR3550" s="265"/>
      <c r="BS3550" s="265"/>
      <c r="BT3550" s="265"/>
      <c r="BU3550" s="265"/>
      <c r="BV3550" s="265"/>
    </row>
    <row r="3551" spans="12:74">
      <c r="L3551" s="265"/>
      <c r="M3551" s="265"/>
      <c r="N3551" s="265"/>
      <c r="O3551" s="265"/>
      <c r="P3551" s="265"/>
      <c r="Q3551" s="265"/>
      <c r="BR3551" s="265"/>
      <c r="BS3551" s="265"/>
      <c r="BT3551" s="265"/>
      <c r="BU3551" s="265"/>
      <c r="BV3551" s="265"/>
    </row>
    <row r="3552" spans="12:74">
      <c r="L3552" s="265"/>
      <c r="M3552" s="265"/>
      <c r="N3552" s="265"/>
      <c r="O3552" s="265"/>
      <c r="P3552" s="265"/>
      <c r="Q3552" s="265"/>
      <c r="BR3552" s="265"/>
      <c r="BS3552" s="265"/>
      <c r="BT3552" s="265"/>
      <c r="BU3552" s="265"/>
      <c r="BV3552" s="265"/>
    </row>
    <row r="3553" spans="12:74">
      <c r="L3553" s="265"/>
      <c r="M3553" s="265"/>
      <c r="N3553" s="265"/>
      <c r="O3553" s="265"/>
      <c r="P3553" s="265"/>
      <c r="Q3553" s="265"/>
      <c r="BR3553" s="265"/>
      <c r="BS3553" s="265"/>
      <c r="BT3553" s="265"/>
      <c r="BU3553" s="265"/>
      <c r="BV3553" s="265"/>
    </row>
    <row r="3554" spans="12:74">
      <c r="L3554" s="265"/>
      <c r="M3554" s="265"/>
      <c r="N3554" s="265"/>
      <c r="O3554" s="265"/>
      <c r="P3554" s="265"/>
      <c r="Q3554" s="265"/>
      <c r="BR3554" s="265"/>
      <c r="BS3554" s="265"/>
      <c r="BT3554" s="265"/>
      <c r="BU3554" s="265"/>
      <c r="BV3554" s="265"/>
    </row>
    <row r="3555" spans="12:74">
      <c r="L3555" s="265"/>
      <c r="M3555" s="265"/>
      <c r="N3555" s="265"/>
      <c r="O3555" s="265"/>
      <c r="P3555" s="265"/>
      <c r="Q3555" s="265"/>
      <c r="BR3555" s="265"/>
      <c r="BS3555" s="265"/>
      <c r="BT3555" s="265"/>
      <c r="BU3555" s="265"/>
      <c r="BV3555" s="265"/>
    </row>
    <row r="3556" spans="12:74">
      <c r="L3556" s="265"/>
      <c r="M3556" s="265"/>
      <c r="N3556" s="265"/>
      <c r="O3556" s="265"/>
      <c r="P3556" s="265"/>
      <c r="Q3556" s="265"/>
      <c r="BR3556" s="265"/>
      <c r="BS3556" s="265"/>
      <c r="BT3556" s="265"/>
      <c r="BU3556" s="265"/>
      <c r="BV3556" s="265"/>
    </row>
    <row r="3557" spans="12:74">
      <c r="L3557" s="265"/>
      <c r="M3557" s="265"/>
      <c r="N3557" s="265"/>
      <c r="O3557" s="265"/>
      <c r="P3557" s="265"/>
      <c r="Q3557" s="265"/>
      <c r="BR3557" s="265"/>
      <c r="BS3557" s="265"/>
      <c r="BT3557" s="265"/>
      <c r="BU3557" s="265"/>
      <c r="BV3557" s="265"/>
    </row>
    <row r="3558" spans="12:74">
      <c r="L3558" s="265"/>
      <c r="M3558" s="265"/>
      <c r="N3558" s="265"/>
      <c r="O3558" s="265"/>
      <c r="P3558" s="265"/>
      <c r="Q3558" s="265"/>
      <c r="BR3558" s="265"/>
      <c r="BS3558" s="265"/>
      <c r="BT3558" s="265"/>
      <c r="BU3558" s="265"/>
      <c r="BV3558" s="265"/>
    </row>
    <row r="3559" spans="12:74">
      <c r="L3559" s="265"/>
      <c r="M3559" s="265"/>
      <c r="N3559" s="265"/>
      <c r="O3559" s="265"/>
      <c r="P3559" s="265"/>
      <c r="Q3559" s="265"/>
      <c r="BR3559" s="265"/>
      <c r="BS3559" s="265"/>
      <c r="BT3559" s="265"/>
      <c r="BU3559" s="265"/>
      <c r="BV3559" s="265"/>
    </row>
    <row r="3560" spans="12:74">
      <c r="L3560" s="265"/>
      <c r="M3560" s="265"/>
      <c r="N3560" s="265"/>
      <c r="O3560" s="265"/>
      <c r="P3560" s="265"/>
      <c r="Q3560" s="265"/>
      <c r="BR3560" s="265"/>
      <c r="BS3560" s="265"/>
      <c r="BT3560" s="265"/>
      <c r="BU3560" s="265"/>
      <c r="BV3560" s="265"/>
    </row>
    <row r="3561" spans="12:74">
      <c r="L3561" s="265"/>
      <c r="M3561" s="265"/>
      <c r="N3561" s="265"/>
      <c r="O3561" s="265"/>
      <c r="P3561" s="265"/>
      <c r="Q3561" s="265"/>
      <c r="BR3561" s="265"/>
      <c r="BS3561" s="265"/>
      <c r="BT3561" s="265"/>
      <c r="BU3561" s="265"/>
      <c r="BV3561" s="265"/>
    </row>
    <row r="3562" spans="12:74">
      <c r="L3562" s="265"/>
      <c r="M3562" s="265"/>
      <c r="N3562" s="265"/>
      <c r="O3562" s="265"/>
      <c r="P3562" s="265"/>
      <c r="Q3562" s="265"/>
      <c r="BR3562" s="265"/>
      <c r="BS3562" s="265"/>
      <c r="BT3562" s="265"/>
      <c r="BU3562" s="265"/>
      <c r="BV3562" s="265"/>
    </row>
    <row r="3563" spans="12:74">
      <c r="L3563" s="265"/>
      <c r="M3563" s="265"/>
      <c r="N3563" s="265"/>
      <c r="O3563" s="265"/>
      <c r="P3563" s="265"/>
      <c r="Q3563" s="265"/>
      <c r="BR3563" s="265"/>
      <c r="BS3563" s="265"/>
      <c r="BT3563" s="265"/>
      <c r="BU3563" s="265"/>
      <c r="BV3563" s="265"/>
    </row>
    <row r="3564" spans="12:74">
      <c r="L3564" s="265"/>
      <c r="M3564" s="265"/>
      <c r="N3564" s="265"/>
      <c r="O3564" s="265"/>
      <c r="P3564" s="265"/>
      <c r="Q3564" s="265"/>
      <c r="BR3564" s="265"/>
      <c r="BS3564" s="265"/>
      <c r="BT3564" s="265"/>
      <c r="BU3564" s="265"/>
      <c r="BV3564" s="265"/>
    </row>
    <row r="3565" spans="12:74">
      <c r="L3565" s="265"/>
      <c r="M3565" s="265"/>
      <c r="N3565" s="265"/>
      <c r="O3565" s="265"/>
      <c r="P3565" s="265"/>
      <c r="Q3565" s="265"/>
      <c r="BR3565" s="265"/>
      <c r="BS3565" s="265"/>
      <c r="BT3565" s="265"/>
      <c r="BU3565" s="265"/>
      <c r="BV3565" s="265"/>
    </row>
    <row r="3566" spans="12:74">
      <c r="L3566" s="265"/>
      <c r="M3566" s="265"/>
      <c r="N3566" s="265"/>
      <c r="O3566" s="265"/>
      <c r="P3566" s="265"/>
      <c r="Q3566" s="265"/>
      <c r="BR3566" s="265"/>
      <c r="BS3566" s="265"/>
      <c r="BT3566" s="265"/>
      <c r="BU3566" s="265"/>
      <c r="BV3566" s="265"/>
    </row>
    <row r="3567" spans="12:74">
      <c r="L3567" s="265"/>
      <c r="M3567" s="265"/>
      <c r="N3567" s="265"/>
      <c r="O3567" s="265"/>
      <c r="P3567" s="265"/>
      <c r="Q3567" s="265"/>
      <c r="BR3567" s="265"/>
      <c r="BS3567" s="265"/>
      <c r="BT3567" s="265"/>
      <c r="BU3567" s="265"/>
      <c r="BV3567" s="265"/>
    </row>
    <row r="3568" spans="12:74">
      <c r="L3568" s="265"/>
      <c r="M3568" s="265"/>
      <c r="N3568" s="265"/>
      <c r="O3568" s="265"/>
      <c r="P3568" s="265"/>
      <c r="Q3568" s="265"/>
      <c r="BR3568" s="265"/>
      <c r="BS3568" s="265"/>
      <c r="BT3568" s="265"/>
      <c r="BU3568" s="265"/>
      <c r="BV3568" s="265"/>
    </row>
    <row r="3569" spans="12:74">
      <c r="L3569" s="265"/>
      <c r="M3569" s="265"/>
      <c r="N3569" s="265"/>
      <c r="O3569" s="265"/>
      <c r="P3569" s="265"/>
      <c r="Q3569" s="265"/>
      <c r="BR3569" s="265"/>
      <c r="BS3569" s="265"/>
      <c r="BT3569" s="265"/>
      <c r="BU3569" s="265"/>
      <c r="BV3569" s="265"/>
    </row>
    <row r="3570" spans="12:74">
      <c r="L3570" s="265"/>
      <c r="M3570" s="265"/>
      <c r="N3570" s="265"/>
      <c r="O3570" s="265"/>
      <c r="P3570" s="265"/>
      <c r="Q3570" s="265"/>
      <c r="BR3570" s="265"/>
      <c r="BS3570" s="265"/>
      <c r="BT3570" s="265"/>
      <c r="BU3570" s="265"/>
      <c r="BV3570" s="265"/>
    </row>
    <row r="3571" spans="12:74">
      <c r="L3571" s="265"/>
      <c r="M3571" s="265"/>
      <c r="N3571" s="265"/>
      <c r="O3571" s="265"/>
      <c r="P3571" s="265"/>
      <c r="Q3571" s="265"/>
      <c r="BR3571" s="265"/>
      <c r="BS3571" s="265"/>
      <c r="BT3571" s="265"/>
      <c r="BU3571" s="265"/>
      <c r="BV3571" s="265"/>
    </row>
    <row r="3572" spans="12:74">
      <c r="L3572" s="265"/>
      <c r="M3572" s="265"/>
      <c r="N3572" s="265"/>
      <c r="O3572" s="265"/>
      <c r="P3572" s="265"/>
      <c r="Q3572" s="265"/>
      <c r="BR3572" s="265"/>
      <c r="BS3572" s="265"/>
      <c r="BT3572" s="265"/>
      <c r="BU3572" s="265"/>
      <c r="BV3572" s="265"/>
    </row>
    <row r="3573" spans="12:74">
      <c r="L3573" s="265"/>
      <c r="M3573" s="265"/>
      <c r="N3573" s="265"/>
      <c r="O3573" s="265"/>
      <c r="P3573" s="265"/>
      <c r="Q3573" s="265"/>
      <c r="BR3573" s="265"/>
      <c r="BS3573" s="265"/>
      <c r="BT3573" s="265"/>
      <c r="BU3573" s="265"/>
      <c r="BV3573" s="265"/>
    </row>
    <row r="3574" spans="12:74">
      <c r="L3574" s="265"/>
      <c r="M3574" s="265"/>
      <c r="N3574" s="265"/>
      <c r="O3574" s="265"/>
      <c r="P3574" s="265"/>
      <c r="Q3574" s="265"/>
      <c r="BR3574" s="265"/>
      <c r="BS3574" s="265"/>
      <c r="BT3574" s="265"/>
      <c r="BU3574" s="265"/>
      <c r="BV3574" s="265"/>
    </row>
    <row r="3575" spans="12:74">
      <c r="L3575" s="265"/>
      <c r="M3575" s="265"/>
      <c r="N3575" s="265"/>
      <c r="O3575" s="265"/>
      <c r="P3575" s="265"/>
      <c r="Q3575" s="265"/>
      <c r="BR3575" s="265"/>
      <c r="BS3575" s="265"/>
      <c r="BT3575" s="265"/>
      <c r="BU3575" s="265"/>
      <c r="BV3575" s="265"/>
    </row>
    <row r="3576" spans="12:74">
      <c r="L3576" s="265"/>
      <c r="M3576" s="265"/>
      <c r="N3576" s="265"/>
      <c r="O3576" s="265"/>
      <c r="P3576" s="265"/>
      <c r="Q3576" s="265"/>
      <c r="BR3576" s="265"/>
      <c r="BS3576" s="265"/>
      <c r="BT3576" s="265"/>
      <c r="BU3576" s="265"/>
      <c r="BV3576" s="265"/>
    </row>
    <row r="3577" spans="12:74">
      <c r="L3577" s="265"/>
      <c r="M3577" s="265"/>
      <c r="N3577" s="265"/>
      <c r="O3577" s="265"/>
      <c r="P3577" s="265"/>
      <c r="Q3577" s="265"/>
      <c r="BR3577" s="265"/>
      <c r="BS3577" s="265"/>
      <c r="BT3577" s="265"/>
      <c r="BU3577" s="265"/>
      <c r="BV3577" s="265"/>
    </row>
    <row r="3578" spans="12:74">
      <c r="L3578" s="265"/>
      <c r="M3578" s="265"/>
      <c r="N3578" s="265"/>
      <c r="O3578" s="265"/>
      <c r="P3578" s="265"/>
      <c r="Q3578" s="265"/>
      <c r="BR3578" s="265"/>
      <c r="BS3578" s="265"/>
      <c r="BT3578" s="265"/>
      <c r="BU3578" s="265"/>
      <c r="BV3578" s="265"/>
    </row>
    <row r="3579" spans="12:74">
      <c r="L3579" s="265"/>
      <c r="M3579" s="265"/>
      <c r="N3579" s="265"/>
      <c r="O3579" s="265"/>
      <c r="P3579" s="265"/>
      <c r="Q3579" s="265"/>
      <c r="BR3579" s="265"/>
      <c r="BS3579" s="265"/>
      <c r="BT3579" s="265"/>
      <c r="BU3579" s="265"/>
      <c r="BV3579" s="265"/>
    </row>
    <row r="3580" spans="12:74">
      <c r="L3580" s="265"/>
      <c r="M3580" s="265"/>
      <c r="N3580" s="265"/>
      <c r="O3580" s="265"/>
      <c r="P3580" s="265"/>
      <c r="Q3580" s="265"/>
      <c r="BR3580" s="265"/>
      <c r="BS3580" s="265"/>
      <c r="BT3580" s="265"/>
      <c r="BU3580" s="265"/>
      <c r="BV3580" s="265"/>
    </row>
    <row r="3581" spans="12:74">
      <c r="L3581" s="265"/>
      <c r="M3581" s="265"/>
      <c r="N3581" s="265"/>
      <c r="O3581" s="265"/>
      <c r="P3581" s="265"/>
      <c r="Q3581" s="265"/>
      <c r="BR3581" s="265"/>
      <c r="BS3581" s="265"/>
      <c r="BT3581" s="265"/>
      <c r="BU3581" s="265"/>
      <c r="BV3581" s="265"/>
    </row>
    <row r="3582" spans="12:74">
      <c r="L3582" s="265"/>
      <c r="M3582" s="265"/>
      <c r="N3582" s="265"/>
      <c r="O3582" s="265"/>
      <c r="P3582" s="265"/>
      <c r="Q3582" s="265"/>
      <c r="BR3582" s="265"/>
      <c r="BS3582" s="265"/>
      <c r="BT3582" s="265"/>
      <c r="BU3582" s="265"/>
      <c r="BV3582" s="265"/>
    </row>
    <row r="3583" spans="12:74">
      <c r="L3583" s="265"/>
      <c r="M3583" s="265"/>
      <c r="N3583" s="265"/>
      <c r="O3583" s="265"/>
      <c r="P3583" s="265"/>
      <c r="Q3583" s="265"/>
      <c r="BR3583" s="265"/>
      <c r="BS3583" s="265"/>
      <c r="BT3583" s="265"/>
      <c r="BU3583" s="265"/>
      <c r="BV3583" s="265"/>
    </row>
    <row r="3584" spans="12:74">
      <c r="L3584" s="265"/>
      <c r="M3584" s="265"/>
      <c r="N3584" s="265"/>
      <c r="O3584" s="265"/>
      <c r="P3584" s="265"/>
      <c r="Q3584" s="265"/>
      <c r="BR3584" s="265"/>
      <c r="BS3584" s="265"/>
      <c r="BT3584" s="265"/>
      <c r="BU3584" s="265"/>
      <c r="BV3584" s="265"/>
    </row>
    <row r="3585" spans="12:74">
      <c r="L3585" s="265"/>
      <c r="M3585" s="265"/>
      <c r="N3585" s="265"/>
      <c r="O3585" s="265"/>
      <c r="P3585" s="265"/>
      <c r="Q3585" s="265"/>
      <c r="BR3585" s="265"/>
      <c r="BS3585" s="265"/>
      <c r="BT3585" s="265"/>
      <c r="BU3585" s="265"/>
      <c r="BV3585" s="265"/>
    </row>
    <row r="3586" spans="12:74">
      <c r="L3586" s="265"/>
      <c r="M3586" s="265"/>
      <c r="N3586" s="265"/>
      <c r="O3586" s="265"/>
      <c r="P3586" s="265"/>
      <c r="Q3586" s="265"/>
      <c r="BR3586" s="265"/>
      <c r="BS3586" s="265"/>
      <c r="BT3586" s="265"/>
      <c r="BU3586" s="265"/>
      <c r="BV3586" s="265"/>
    </row>
    <row r="3587" spans="12:74">
      <c r="L3587" s="265"/>
      <c r="M3587" s="265"/>
      <c r="N3587" s="265"/>
      <c r="O3587" s="265"/>
      <c r="P3587" s="265"/>
      <c r="Q3587" s="265"/>
      <c r="BR3587" s="265"/>
      <c r="BS3587" s="265"/>
      <c r="BT3587" s="265"/>
      <c r="BU3587" s="265"/>
      <c r="BV3587" s="265"/>
    </row>
    <row r="3588" spans="12:74">
      <c r="L3588" s="265"/>
      <c r="M3588" s="265"/>
      <c r="N3588" s="265"/>
      <c r="O3588" s="265"/>
      <c r="P3588" s="265"/>
      <c r="Q3588" s="265"/>
      <c r="BR3588" s="265"/>
      <c r="BS3588" s="265"/>
      <c r="BT3588" s="265"/>
      <c r="BU3588" s="265"/>
      <c r="BV3588" s="265"/>
    </row>
    <row r="3589" spans="12:74">
      <c r="L3589" s="265"/>
      <c r="M3589" s="265"/>
      <c r="N3589" s="265"/>
      <c r="O3589" s="265"/>
      <c r="P3589" s="265"/>
      <c r="Q3589" s="265"/>
      <c r="BR3589" s="265"/>
      <c r="BS3589" s="265"/>
      <c r="BT3589" s="265"/>
      <c r="BU3589" s="265"/>
      <c r="BV3589" s="265"/>
    </row>
    <row r="3590" spans="12:74">
      <c r="L3590" s="265"/>
      <c r="M3590" s="265"/>
      <c r="N3590" s="265"/>
      <c r="O3590" s="265"/>
      <c r="P3590" s="265"/>
      <c r="Q3590" s="265"/>
      <c r="BR3590" s="265"/>
      <c r="BS3590" s="265"/>
      <c r="BT3590" s="265"/>
      <c r="BU3590" s="265"/>
      <c r="BV3590" s="265"/>
    </row>
    <row r="3591" spans="12:74">
      <c r="L3591" s="265"/>
      <c r="M3591" s="265"/>
      <c r="N3591" s="265"/>
      <c r="O3591" s="265"/>
      <c r="P3591" s="265"/>
      <c r="Q3591" s="265"/>
      <c r="BR3591" s="265"/>
      <c r="BS3591" s="265"/>
      <c r="BT3591" s="265"/>
      <c r="BU3591" s="265"/>
      <c r="BV3591" s="265"/>
    </row>
    <row r="3592" spans="12:74">
      <c r="L3592" s="265"/>
      <c r="M3592" s="265"/>
      <c r="N3592" s="265"/>
      <c r="O3592" s="265"/>
      <c r="P3592" s="265"/>
      <c r="Q3592" s="265"/>
      <c r="BR3592" s="265"/>
      <c r="BS3592" s="265"/>
      <c r="BT3592" s="265"/>
      <c r="BU3592" s="265"/>
      <c r="BV3592" s="265"/>
    </row>
    <row r="3593" spans="12:74">
      <c r="L3593" s="265"/>
      <c r="M3593" s="265"/>
      <c r="N3593" s="265"/>
      <c r="O3593" s="265"/>
      <c r="P3593" s="265"/>
      <c r="Q3593" s="265"/>
      <c r="BR3593" s="265"/>
      <c r="BS3593" s="265"/>
      <c r="BT3593" s="265"/>
      <c r="BU3593" s="265"/>
      <c r="BV3593" s="265"/>
    </row>
    <row r="3594" spans="12:74">
      <c r="L3594" s="265"/>
      <c r="M3594" s="265"/>
      <c r="N3594" s="265"/>
      <c r="O3594" s="265"/>
      <c r="P3594" s="265"/>
      <c r="Q3594" s="265"/>
      <c r="BR3594" s="265"/>
      <c r="BS3594" s="265"/>
      <c r="BT3594" s="265"/>
      <c r="BU3594" s="265"/>
      <c r="BV3594" s="265"/>
    </row>
    <row r="3595" spans="12:74">
      <c r="L3595" s="265"/>
      <c r="M3595" s="265"/>
      <c r="N3595" s="265"/>
      <c r="O3595" s="265"/>
      <c r="P3595" s="265"/>
      <c r="Q3595" s="265"/>
      <c r="BR3595" s="265"/>
      <c r="BS3595" s="265"/>
      <c r="BT3595" s="265"/>
      <c r="BU3595" s="265"/>
      <c r="BV3595" s="265"/>
    </row>
    <row r="3596" spans="12:74">
      <c r="L3596" s="265"/>
      <c r="M3596" s="265"/>
      <c r="N3596" s="265"/>
      <c r="O3596" s="265"/>
      <c r="P3596" s="265"/>
      <c r="Q3596" s="265"/>
      <c r="BR3596" s="265"/>
      <c r="BS3596" s="265"/>
      <c r="BT3596" s="265"/>
      <c r="BU3596" s="265"/>
      <c r="BV3596" s="265"/>
    </row>
    <row r="3597" spans="12:74">
      <c r="L3597" s="265"/>
      <c r="M3597" s="265"/>
      <c r="N3597" s="265"/>
      <c r="O3597" s="265"/>
      <c r="P3597" s="265"/>
      <c r="Q3597" s="265"/>
      <c r="BR3597" s="265"/>
      <c r="BS3597" s="265"/>
      <c r="BT3597" s="265"/>
      <c r="BU3597" s="265"/>
      <c r="BV3597" s="265"/>
    </row>
    <row r="3598" spans="12:74">
      <c r="L3598" s="265"/>
      <c r="M3598" s="265"/>
      <c r="N3598" s="265"/>
      <c r="O3598" s="265"/>
      <c r="P3598" s="265"/>
      <c r="Q3598" s="265"/>
      <c r="BR3598" s="265"/>
      <c r="BS3598" s="265"/>
      <c r="BT3598" s="265"/>
      <c r="BU3598" s="265"/>
      <c r="BV3598" s="265"/>
    </row>
    <row r="3599" spans="12:74">
      <c r="L3599" s="265"/>
      <c r="M3599" s="265"/>
      <c r="N3599" s="265"/>
      <c r="O3599" s="265"/>
      <c r="P3599" s="265"/>
      <c r="Q3599" s="265"/>
      <c r="BR3599" s="265"/>
      <c r="BS3599" s="265"/>
      <c r="BT3599" s="265"/>
      <c r="BU3599" s="265"/>
      <c r="BV3599" s="265"/>
    </row>
    <row r="3600" spans="12:74">
      <c r="L3600" s="265"/>
      <c r="M3600" s="265"/>
      <c r="N3600" s="265"/>
      <c r="O3600" s="265"/>
      <c r="P3600" s="265"/>
      <c r="Q3600" s="265"/>
      <c r="BR3600" s="265"/>
      <c r="BS3600" s="265"/>
      <c r="BT3600" s="265"/>
      <c r="BU3600" s="265"/>
      <c r="BV3600" s="265"/>
    </row>
    <row r="3601" spans="12:74">
      <c r="L3601" s="265"/>
      <c r="M3601" s="265"/>
      <c r="N3601" s="265"/>
      <c r="O3601" s="265"/>
      <c r="P3601" s="265"/>
      <c r="Q3601" s="265"/>
      <c r="BR3601" s="265"/>
      <c r="BS3601" s="265"/>
      <c r="BT3601" s="265"/>
      <c r="BU3601" s="265"/>
      <c r="BV3601" s="265"/>
    </row>
    <row r="3602" spans="12:74">
      <c r="L3602" s="265"/>
      <c r="M3602" s="265"/>
      <c r="N3602" s="265"/>
      <c r="O3602" s="265"/>
      <c r="P3602" s="265"/>
      <c r="Q3602" s="265"/>
      <c r="BR3602" s="265"/>
      <c r="BS3602" s="265"/>
      <c r="BT3602" s="265"/>
      <c r="BU3602" s="265"/>
      <c r="BV3602" s="265"/>
    </row>
    <row r="3603" spans="12:74">
      <c r="L3603" s="265"/>
      <c r="M3603" s="265"/>
      <c r="N3603" s="265"/>
      <c r="O3603" s="265"/>
      <c r="P3603" s="265"/>
      <c r="Q3603" s="265"/>
      <c r="BR3603" s="265"/>
      <c r="BS3603" s="265"/>
      <c r="BT3603" s="265"/>
      <c r="BU3603" s="265"/>
      <c r="BV3603" s="265"/>
    </row>
    <row r="3604" spans="12:74">
      <c r="L3604" s="265"/>
      <c r="M3604" s="265"/>
      <c r="N3604" s="265"/>
      <c r="O3604" s="265"/>
      <c r="P3604" s="265"/>
      <c r="Q3604" s="265"/>
      <c r="BR3604" s="265"/>
      <c r="BS3604" s="265"/>
      <c r="BT3604" s="265"/>
      <c r="BU3604" s="265"/>
      <c r="BV3604" s="265"/>
    </row>
    <row r="3605" spans="12:74">
      <c r="L3605" s="265"/>
      <c r="M3605" s="265"/>
      <c r="N3605" s="265"/>
      <c r="O3605" s="265"/>
      <c r="P3605" s="265"/>
      <c r="Q3605" s="265"/>
      <c r="BR3605" s="265"/>
      <c r="BS3605" s="265"/>
      <c r="BT3605" s="265"/>
      <c r="BU3605" s="265"/>
      <c r="BV3605" s="265"/>
    </row>
    <row r="3606" spans="12:74">
      <c r="L3606" s="265"/>
      <c r="M3606" s="265"/>
      <c r="N3606" s="265"/>
      <c r="O3606" s="265"/>
      <c r="P3606" s="265"/>
      <c r="Q3606" s="265"/>
      <c r="BR3606" s="265"/>
      <c r="BS3606" s="265"/>
      <c r="BT3606" s="265"/>
      <c r="BU3606" s="265"/>
      <c r="BV3606" s="265"/>
    </row>
    <row r="3607" spans="12:74">
      <c r="L3607" s="265"/>
      <c r="M3607" s="265"/>
      <c r="N3607" s="265"/>
      <c r="O3607" s="265"/>
      <c r="P3607" s="265"/>
      <c r="Q3607" s="265"/>
      <c r="BR3607" s="265"/>
      <c r="BS3607" s="265"/>
      <c r="BT3607" s="265"/>
      <c r="BU3607" s="265"/>
      <c r="BV3607" s="265"/>
    </row>
    <row r="3608" spans="12:74">
      <c r="L3608" s="265"/>
      <c r="M3608" s="265"/>
      <c r="N3608" s="265"/>
      <c r="O3608" s="265"/>
      <c r="P3608" s="265"/>
      <c r="Q3608" s="265"/>
      <c r="BR3608" s="265"/>
      <c r="BS3608" s="265"/>
      <c r="BT3608" s="265"/>
      <c r="BU3608" s="265"/>
      <c r="BV3608" s="265"/>
    </row>
    <row r="3609" spans="12:74">
      <c r="L3609" s="265"/>
      <c r="M3609" s="265"/>
      <c r="N3609" s="265"/>
      <c r="O3609" s="265"/>
      <c r="P3609" s="265"/>
      <c r="Q3609" s="265"/>
      <c r="BR3609" s="265"/>
      <c r="BS3609" s="265"/>
      <c r="BT3609" s="265"/>
      <c r="BU3609" s="265"/>
      <c r="BV3609" s="265"/>
    </row>
    <row r="3610" spans="12:74">
      <c r="L3610" s="265"/>
      <c r="M3610" s="265"/>
      <c r="N3610" s="265"/>
      <c r="O3610" s="265"/>
      <c r="P3610" s="265"/>
      <c r="Q3610" s="265"/>
      <c r="BR3610" s="265"/>
      <c r="BS3610" s="265"/>
      <c r="BT3610" s="265"/>
      <c r="BU3610" s="265"/>
      <c r="BV3610" s="265"/>
    </row>
    <row r="3611" spans="12:74">
      <c r="L3611" s="265"/>
      <c r="M3611" s="265"/>
      <c r="N3611" s="265"/>
      <c r="O3611" s="265"/>
      <c r="P3611" s="265"/>
      <c r="Q3611" s="265"/>
      <c r="BR3611" s="265"/>
      <c r="BS3611" s="265"/>
      <c r="BT3611" s="265"/>
      <c r="BU3611" s="265"/>
      <c r="BV3611" s="265"/>
    </row>
    <row r="3612" spans="12:74">
      <c r="L3612" s="265"/>
      <c r="M3612" s="265"/>
      <c r="N3612" s="265"/>
      <c r="O3612" s="265"/>
      <c r="P3612" s="265"/>
      <c r="Q3612" s="265"/>
      <c r="BR3612" s="265"/>
      <c r="BS3612" s="265"/>
      <c r="BT3612" s="265"/>
      <c r="BU3612" s="265"/>
      <c r="BV3612" s="265"/>
    </row>
    <row r="3613" spans="12:74">
      <c r="L3613" s="265"/>
      <c r="M3613" s="265"/>
      <c r="N3613" s="265"/>
      <c r="O3613" s="265"/>
      <c r="P3613" s="265"/>
      <c r="Q3613" s="265"/>
      <c r="BR3613" s="265"/>
      <c r="BS3613" s="265"/>
      <c r="BT3613" s="265"/>
      <c r="BU3613" s="265"/>
      <c r="BV3613" s="265"/>
    </row>
    <row r="3614" spans="12:74">
      <c r="L3614" s="265"/>
      <c r="M3614" s="265"/>
      <c r="N3614" s="265"/>
      <c r="O3614" s="265"/>
      <c r="P3614" s="265"/>
      <c r="Q3614" s="265"/>
      <c r="BR3614" s="265"/>
      <c r="BS3614" s="265"/>
      <c r="BT3614" s="265"/>
      <c r="BU3614" s="265"/>
      <c r="BV3614" s="265"/>
    </row>
    <row r="3615" spans="12:74">
      <c r="L3615" s="265"/>
      <c r="M3615" s="265"/>
      <c r="N3615" s="265"/>
      <c r="O3615" s="265"/>
      <c r="P3615" s="265"/>
      <c r="Q3615" s="265"/>
      <c r="BR3615" s="265"/>
      <c r="BS3615" s="265"/>
      <c r="BT3615" s="265"/>
      <c r="BU3615" s="265"/>
      <c r="BV3615" s="265"/>
    </row>
    <row r="3616" spans="12:74">
      <c r="L3616" s="265"/>
      <c r="M3616" s="265"/>
      <c r="N3616" s="265"/>
      <c r="O3616" s="265"/>
      <c r="P3616" s="265"/>
      <c r="Q3616" s="265"/>
      <c r="BR3616" s="265"/>
      <c r="BS3616" s="265"/>
      <c r="BT3616" s="265"/>
      <c r="BU3616" s="265"/>
      <c r="BV3616" s="265"/>
    </row>
    <row r="3617" spans="12:74">
      <c r="L3617" s="265"/>
      <c r="M3617" s="265"/>
      <c r="N3617" s="265"/>
      <c r="O3617" s="265"/>
      <c r="P3617" s="265"/>
      <c r="Q3617" s="265"/>
      <c r="BR3617" s="265"/>
      <c r="BS3617" s="265"/>
      <c r="BT3617" s="265"/>
      <c r="BU3617" s="265"/>
      <c r="BV3617" s="265"/>
    </row>
    <row r="3618" spans="12:74">
      <c r="L3618" s="265"/>
      <c r="M3618" s="265"/>
      <c r="N3618" s="265"/>
      <c r="O3618" s="265"/>
      <c r="P3618" s="265"/>
      <c r="Q3618" s="265"/>
      <c r="BR3618" s="265"/>
      <c r="BS3618" s="265"/>
      <c r="BT3618" s="265"/>
      <c r="BU3618" s="265"/>
      <c r="BV3618" s="265"/>
    </row>
    <row r="3619" spans="12:74">
      <c r="L3619" s="265"/>
      <c r="M3619" s="265"/>
      <c r="N3619" s="265"/>
      <c r="O3619" s="265"/>
      <c r="P3619" s="265"/>
      <c r="Q3619" s="265"/>
      <c r="BR3619" s="265"/>
      <c r="BS3619" s="265"/>
      <c r="BT3619" s="265"/>
      <c r="BU3619" s="265"/>
      <c r="BV3619" s="265"/>
    </row>
    <row r="3620" spans="12:74">
      <c r="L3620" s="265"/>
      <c r="M3620" s="265"/>
      <c r="N3620" s="265"/>
      <c r="O3620" s="265"/>
      <c r="P3620" s="265"/>
      <c r="Q3620" s="265"/>
      <c r="BR3620" s="265"/>
      <c r="BS3620" s="265"/>
      <c r="BT3620" s="265"/>
      <c r="BU3620" s="265"/>
      <c r="BV3620" s="265"/>
    </row>
    <row r="3621" spans="12:74">
      <c r="L3621" s="265"/>
      <c r="M3621" s="265"/>
      <c r="N3621" s="265"/>
      <c r="O3621" s="265"/>
      <c r="P3621" s="265"/>
      <c r="Q3621" s="265"/>
      <c r="BR3621" s="265"/>
      <c r="BS3621" s="265"/>
      <c r="BT3621" s="265"/>
      <c r="BU3621" s="265"/>
      <c r="BV3621" s="265"/>
    </row>
    <row r="3622" spans="12:74">
      <c r="L3622" s="265"/>
      <c r="M3622" s="265"/>
      <c r="N3622" s="265"/>
      <c r="O3622" s="265"/>
      <c r="P3622" s="265"/>
      <c r="Q3622" s="265"/>
      <c r="BR3622" s="265"/>
      <c r="BS3622" s="265"/>
      <c r="BT3622" s="265"/>
      <c r="BU3622" s="265"/>
      <c r="BV3622" s="265"/>
    </row>
    <row r="3623" spans="12:74">
      <c r="L3623" s="265"/>
      <c r="M3623" s="265"/>
      <c r="N3623" s="265"/>
      <c r="O3623" s="265"/>
      <c r="P3623" s="265"/>
      <c r="Q3623" s="265"/>
      <c r="BR3623" s="265"/>
      <c r="BS3623" s="265"/>
      <c r="BT3623" s="265"/>
      <c r="BU3623" s="265"/>
      <c r="BV3623" s="265"/>
    </row>
    <row r="3624" spans="12:74">
      <c r="L3624" s="265"/>
      <c r="M3624" s="265"/>
      <c r="N3624" s="265"/>
      <c r="O3624" s="265"/>
      <c r="P3624" s="265"/>
      <c r="Q3624" s="265"/>
      <c r="BR3624" s="265"/>
      <c r="BS3624" s="265"/>
      <c r="BT3624" s="265"/>
      <c r="BU3624" s="265"/>
      <c r="BV3624" s="265"/>
    </row>
    <row r="3625" spans="12:74">
      <c r="L3625" s="265"/>
      <c r="M3625" s="265"/>
      <c r="N3625" s="265"/>
      <c r="O3625" s="265"/>
      <c r="P3625" s="265"/>
      <c r="Q3625" s="265"/>
      <c r="BR3625" s="265"/>
      <c r="BS3625" s="265"/>
      <c r="BT3625" s="265"/>
      <c r="BU3625" s="265"/>
      <c r="BV3625" s="265"/>
    </row>
    <row r="3626" spans="12:74">
      <c r="L3626" s="265"/>
      <c r="M3626" s="265"/>
      <c r="N3626" s="265"/>
      <c r="O3626" s="265"/>
      <c r="P3626" s="265"/>
      <c r="Q3626" s="265"/>
      <c r="BR3626" s="265"/>
      <c r="BS3626" s="265"/>
      <c r="BT3626" s="265"/>
      <c r="BU3626" s="265"/>
      <c r="BV3626" s="265"/>
    </row>
    <row r="3627" spans="12:74">
      <c r="L3627" s="265"/>
      <c r="M3627" s="265"/>
      <c r="N3627" s="265"/>
      <c r="O3627" s="265"/>
      <c r="P3627" s="265"/>
      <c r="Q3627" s="265"/>
      <c r="BR3627" s="265"/>
      <c r="BS3627" s="265"/>
      <c r="BT3627" s="265"/>
      <c r="BU3627" s="265"/>
      <c r="BV3627" s="265"/>
    </row>
    <row r="3628" spans="12:74">
      <c r="L3628" s="265"/>
      <c r="M3628" s="265"/>
      <c r="N3628" s="265"/>
      <c r="O3628" s="265"/>
      <c r="P3628" s="265"/>
      <c r="Q3628" s="265"/>
      <c r="BR3628" s="265"/>
      <c r="BS3628" s="265"/>
      <c r="BT3628" s="265"/>
      <c r="BU3628" s="265"/>
      <c r="BV3628" s="265"/>
    </row>
    <row r="3629" spans="12:74">
      <c r="L3629" s="265"/>
      <c r="M3629" s="265"/>
      <c r="N3629" s="265"/>
      <c r="O3629" s="265"/>
      <c r="P3629" s="265"/>
      <c r="Q3629" s="265"/>
      <c r="BR3629" s="265"/>
      <c r="BS3629" s="265"/>
      <c r="BT3629" s="265"/>
      <c r="BU3629" s="265"/>
      <c r="BV3629" s="265"/>
    </row>
    <row r="3630" spans="12:74">
      <c r="L3630" s="265"/>
      <c r="M3630" s="265"/>
      <c r="N3630" s="265"/>
      <c r="O3630" s="265"/>
      <c r="P3630" s="265"/>
      <c r="Q3630" s="265"/>
      <c r="BR3630" s="265"/>
      <c r="BS3630" s="265"/>
      <c r="BT3630" s="265"/>
      <c r="BU3630" s="265"/>
      <c r="BV3630" s="265"/>
    </row>
    <row r="3631" spans="12:74">
      <c r="L3631" s="265"/>
      <c r="M3631" s="265"/>
      <c r="N3631" s="265"/>
      <c r="O3631" s="265"/>
      <c r="P3631" s="265"/>
      <c r="Q3631" s="265"/>
      <c r="BR3631" s="265"/>
      <c r="BS3631" s="265"/>
      <c r="BT3631" s="265"/>
      <c r="BU3631" s="265"/>
      <c r="BV3631" s="265"/>
    </row>
    <row r="3632" spans="12:74">
      <c r="L3632" s="265"/>
      <c r="M3632" s="265"/>
      <c r="N3632" s="265"/>
      <c r="O3632" s="265"/>
      <c r="P3632" s="265"/>
      <c r="Q3632" s="265"/>
      <c r="BR3632" s="265"/>
      <c r="BS3632" s="265"/>
      <c r="BT3632" s="265"/>
      <c r="BU3632" s="265"/>
      <c r="BV3632" s="265"/>
    </row>
    <row r="3633" spans="12:74">
      <c r="L3633" s="265"/>
      <c r="M3633" s="265"/>
      <c r="N3633" s="265"/>
      <c r="O3633" s="265"/>
      <c r="P3633" s="265"/>
      <c r="Q3633" s="265"/>
      <c r="BR3633" s="265"/>
      <c r="BS3633" s="265"/>
      <c r="BT3633" s="265"/>
      <c r="BU3633" s="265"/>
      <c r="BV3633" s="265"/>
    </row>
    <row r="3634" spans="12:74">
      <c r="L3634" s="265"/>
      <c r="M3634" s="265"/>
      <c r="N3634" s="265"/>
      <c r="O3634" s="265"/>
      <c r="P3634" s="265"/>
      <c r="Q3634" s="265"/>
      <c r="BR3634" s="265"/>
      <c r="BS3634" s="265"/>
      <c r="BT3634" s="265"/>
      <c r="BU3634" s="265"/>
      <c r="BV3634" s="265"/>
    </row>
    <row r="3635" spans="12:74">
      <c r="L3635" s="265"/>
      <c r="M3635" s="265"/>
      <c r="N3635" s="265"/>
      <c r="O3635" s="265"/>
      <c r="P3635" s="265"/>
      <c r="Q3635" s="265"/>
      <c r="BR3635" s="265"/>
      <c r="BS3635" s="265"/>
      <c r="BT3635" s="265"/>
      <c r="BU3635" s="265"/>
      <c r="BV3635" s="265"/>
    </row>
    <row r="3636" spans="12:74">
      <c r="L3636" s="265"/>
      <c r="M3636" s="265"/>
      <c r="N3636" s="265"/>
      <c r="O3636" s="265"/>
      <c r="P3636" s="265"/>
      <c r="Q3636" s="265"/>
      <c r="BR3636" s="265"/>
      <c r="BS3636" s="265"/>
      <c r="BT3636" s="265"/>
      <c r="BU3636" s="265"/>
      <c r="BV3636" s="265"/>
    </row>
    <row r="3637" spans="12:74">
      <c r="L3637" s="265"/>
      <c r="M3637" s="265"/>
      <c r="N3637" s="265"/>
      <c r="O3637" s="265"/>
      <c r="P3637" s="265"/>
      <c r="Q3637" s="265"/>
      <c r="BR3637" s="265"/>
      <c r="BS3637" s="265"/>
      <c r="BT3637" s="265"/>
      <c r="BU3637" s="265"/>
      <c r="BV3637" s="265"/>
    </row>
    <row r="3638" spans="12:74">
      <c r="L3638" s="265"/>
      <c r="M3638" s="265"/>
      <c r="N3638" s="265"/>
      <c r="O3638" s="265"/>
      <c r="P3638" s="265"/>
      <c r="Q3638" s="265"/>
      <c r="BR3638" s="265"/>
      <c r="BS3638" s="265"/>
      <c r="BT3638" s="265"/>
      <c r="BU3638" s="265"/>
      <c r="BV3638" s="265"/>
    </row>
    <row r="3639" spans="12:74">
      <c r="L3639" s="265"/>
      <c r="M3639" s="265"/>
      <c r="N3639" s="265"/>
      <c r="O3639" s="265"/>
      <c r="P3639" s="265"/>
      <c r="Q3639" s="265"/>
      <c r="BR3639" s="265"/>
      <c r="BS3639" s="265"/>
      <c r="BT3639" s="265"/>
      <c r="BU3639" s="265"/>
      <c r="BV3639" s="265"/>
    </row>
    <row r="3640" spans="12:74">
      <c r="L3640" s="265"/>
      <c r="M3640" s="265"/>
      <c r="N3640" s="265"/>
      <c r="O3640" s="265"/>
      <c r="P3640" s="265"/>
      <c r="Q3640" s="265"/>
      <c r="BR3640" s="265"/>
      <c r="BS3640" s="265"/>
      <c r="BT3640" s="265"/>
      <c r="BU3640" s="265"/>
      <c r="BV3640" s="265"/>
    </row>
    <row r="3641" spans="12:74">
      <c r="L3641" s="265"/>
      <c r="M3641" s="265"/>
      <c r="N3641" s="265"/>
      <c r="O3641" s="265"/>
      <c r="P3641" s="265"/>
      <c r="Q3641" s="265"/>
      <c r="BR3641" s="265"/>
      <c r="BS3641" s="265"/>
      <c r="BT3641" s="265"/>
      <c r="BU3641" s="265"/>
      <c r="BV3641" s="265"/>
    </row>
    <row r="3642" spans="12:74">
      <c r="L3642" s="265"/>
      <c r="M3642" s="265"/>
      <c r="N3642" s="265"/>
      <c r="O3642" s="265"/>
      <c r="P3642" s="265"/>
      <c r="Q3642" s="265"/>
      <c r="BR3642" s="265"/>
      <c r="BS3642" s="265"/>
      <c r="BT3642" s="265"/>
      <c r="BU3642" s="265"/>
      <c r="BV3642" s="265"/>
    </row>
    <row r="3643" spans="12:74">
      <c r="L3643" s="265"/>
      <c r="M3643" s="265"/>
      <c r="N3643" s="265"/>
      <c r="O3643" s="265"/>
      <c r="P3643" s="265"/>
      <c r="Q3643" s="265"/>
      <c r="BR3643" s="265"/>
      <c r="BS3643" s="265"/>
      <c r="BT3643" s="265"/>
      <c r="BU3643" s="265"/>
      <c r="BV3643" s="265"/>
    </row>
    <row r="3644" spans="12:74">
      <c r="L3644" s="265"/>
      <c r="M3644" s="265"/>
      <c r="N3644" s="265"/>
      <c r="O3644" s="265"/>
      <c r="P3644" s="265"/>
      <c r="Q3644" s="265"/>
      <c r="BR3644" s="265"/>
      <c r="BS3644" s="265"/>
      <c r="BT3644" s="265"/>
      <c r="BU3644" s="265"/>
      <c r="BV3644" s="265"/>
    </row>
    <row r="3645" spans="12:74">
      <c r="L3645" s="265"/>
      <c r="M3645" s="265"/>
      <c r="N3645" s="265"/>
      <c r="O3645" s="265"/>
      <c r="P3645" s="265"/>
      <c r="Q3645" s="265"/>
      <c r="BR3645" s="265"/>
      <c r="BS3645" s="265"/>
      <c r="BT3645" s="265"/>
      <c r="BU3645" s="265"/>
      <c r="BV3645" s="265"/>
    </row>
    <row r="3646" spans="12:74">
      <c r="L3646" s="265"/>
      <c r="M3646" s="265"/>
      <c r="N3646" s="265"/>
      <c r="O3646" s="265"/>
      <c r="P3646" s="265"/>
      <c r="Q3646" s="265"/>
      <c r="BR3646" s="265"/>
      <c r="BS3646" s="265"/>
      <c r="BT3646" s="265"/>
      <c r="BU3646" s="265"/>
      <c r="BV3646" s="265"/>
    </row>
    <row r="3647" spans="12:74">
      <c r="L3647" s="265"/>
      <c r="M3647" s="265"/>
      <c r="N3647" s="265"/>
      <c r="O3647" s="265"/>
      <c r="P3647" s="265"/>
      <c r="Q3647" s="265"/>
      <c r="BR3647" s="265"/>
      <c r="BS3647" s="265"/>
      <c r="BT3647" s="265"/>
      <c r="BU3647" s="265"/>
      <c r="BV3647" s="265"/>
    </row>
    <row r="3648" spans="12:74">
      <c r="L3648" s="265"/>
      <c r="M3648" s="265"/>
      <c r="N3648" s="265"/>
      <c r="O3648" s="265"/>
      <c r="P3648" s="265"/>
      <c r="Q3648" s="265"/>
      <c r="BR3648" s="265"/>
      <c r="BS3648" s="265"/>
      <c r="BT3648" s="265"/>
      <c r="BU3648" s="265"/>
      <c r="BV3648" s="265"/>
    </row>
    <row r="3649" spans="12:74">
      <c r="L3649" s="265"/>
      <c r="M3649" s="265"/>
      <c r="N3649" s="265"/>
      <c r="O3649" s="265"/>
      <c r="P3649" s="265"/>
      <c r="Q3649" s="265"/>
      <c r="BR3649" s="265"/>
      <c r="BS3649" s="265"/>
      <c r="BT3649" s="265"/>
      <c r="BU3649" s="265"/>
      <c r="BV3649" s="265"/>
    </row>
    <row r="3650" spans="12:74">
      <c r="L3650" s="265"/>
      <c r="M3650" s="265"/>
      <c r="N3650" s="265"/>
      <c r="O3650" s="265"/>
      <c r="P3650" s="265"/>
      <c r="Q3650" s="265"/>
      <c r="BR3650" s="265"/>
      <c r="BS3650" s="265"/>
      <c r="BT3650" s="265"/>
      <c r="BU3650" s="265"/>
      <c r="BV3650" s="265"/>
    </row>
    <row r="3651" spans="12:74">
      <c r="L3651" s="265"/>
      <c r="M3651" s="265"/>
      <c r="N3651" s="265"/>
      <c r="O3651" s="265"/>
      <c r="P3651" s="265"/>
      <c r="Q3651" s="265"/>
      <c r="BR3651" s="265"/>
      <c r="BS3651" s="265"/>
      <c r="BT3651" s="265"/>
      <c r="BU3651" s="265"/>
      <c r="BV3651" s="265"/>
    </row>
    <row r="3652" spans="12:74">
      <c r="L3652" s="265"/>
      <c r="M3652" s="265"/>
      <c r="N3652" s="265"/>
      <c r="O3652" s="265"/>
      <c r="P3652" s="265"/>
      <c r="Q3652" s="265"/>
      <c r="BR3652" s="265"/>
      <c r="BS3652" s="265"/>
      <c r="BT3652" s="265"/>
      <c r="BU3652" s="265"/>
      <c r="BV3652" s="265"/>
    </row>
    <row r="3653" spans="12:74">
      <c r="L3653" s="265"/>
      <c r="M3653" s="265"/>
      <c r="N3653" s="265"/>
      <c r="O3653" s="265"/>
      <c r="P3653" s="265"/>
      <c r="Q3653" s="265"/>
      <c r="BR3653" s="265"/>
      <c r="BS3653" s="265"/>
      <c r="BT3653" s="265"/>
      <c r="BU3653" s="265"/>
      <c r="BV3653" s="265"/>
    </row>
    <row r="3654" spans="12:74">
      <c r="L3654" s="265"/>
      <c r="M3654" s="265"/>
      <c r="N3654" s="265"/>
      <c r="O3654" s="265"/>
      <c r="P3654" s="265"/>
      <c r="Q3654" s="265"/>
      <c r="BR3654" s="265"/>
      <c r="BS3654" s="265"/>
      <c r="BT3654" s="265"/>
      <c r="BU3654" s="265"/>
      <c r="BV3654" s="265"/>
    </row>
    <row r="3655" spans="12:74">
      <c r="L3655" s="265"/>
      <c r="M3655" s="265"/>
      <c r="N3655" s="265"/>
      <c r="O3655" s="265"/>
      <c r="P3655" s="265"/>
      <c r="Q3655" s="265"/>
      <c r="BR3655" s="265"/>
      <c r="BS3655" s="265"/>
      <c r="BT3655" s="265"/>
      <c r="BU3655" s="265"/>
      <c r="BV3655" s="265"/>
    </row>
    <row r="3656" spans="12:74">
      <c r="L3656" s="265"/>
      <c r="M3656" s="265"/>
      <c r="N3656" s="265"/>
      <c r="O3656" s="265"/>
      <c r="P3656" s="265"/>
      <c r="Q3656" s="265"/>
      <c r="BR3656" s="265"/>
      <c r="BS3656" s="265"/>
      <c r="BT3656" s="265"/>
      <c r="BU3656" s="265"/>
      <c r="BV3656" s="265"/>
    </row>
    <row r="3657" spans="12:74">
      <c r="L3657" s="265"/>
      <c r="M3657" s="265"/>
      <c r="N3657" s="265"/>
      <c r="O3657" s="265"/>
      <c r="P3657" s="265"/>
      <c r="Q3657" s="265"/>
      <c r="BR3657" s="265"/>
      <c r="BS3657" s="265"/>
      <c r="BT3657" s="265"/>
      <c r="BU3657" s="265"/>
      <c r="BV3657" s="265"/>
    </row>
    <row r="3658" spans="12:74">
      <c r="L3658" s="265"/>
      <c r="M3658" s="265"/>
      <c r="N3658" s="265"/>
      <c r="O3658" s="265"/>
      <c r="P3658" s="265"/>
      <c r="Q3658" s="265"/>
      <c r="BR3658" s="265"/>
      <c r="BS3658" s="265"/>
      <c r="BT3658" s="265"/>
      <c r="BU3658" s="265"/>
      <c r="BV3658" s="265"/>
    </row>
    <row r="3659" spans="12:74">
      <c r="L3659" s="265"/>
      <c r="M3659" s="265"/>
      <c r="N3659" s="265"/>
      <c r="O3659" s="265"/>
      <c r="P3659" s="265"/>
      <c r="Q3659" s="265"/>
      <c r="BR3659" s="265"/>
      <c r="BS3659" s="265"/>
      <c r="BT3659" s="265"/>
      <c r="BU3659" s="265"/>
      <c r="BV3659" s="265"/>
    </row>
    <row r="3660" spans="12:74">
      <c r="L3660" s="265"/>
      <c r="M3660" s="265"/>
      <c r="N3660" s="265"/>
      <c r="O3660" s="265"/>
      <c r="P3660" s="265"/>
      <c r="Q3660" s="265"/>
      <c r="BR3660" s="265"/>
      <c r="BS3660" s="265"/>
      <c r="BT3660" s="265"/>
      <c r="BU3660" s="265"/>
      <c r="BV3660" s="265"/>
    </row>
    <row r="3661" spans="12:74">
      <c r="L3661" s="265"/>
      <c r="M3661" s="265"/>
      <c r="N3661" s="265"/>
      <c r="O3661" s="265"/>
      <c r="P3661" s="265"/>
      <c r="Q3661" s="265"/>
      <c r="BR3661" s="265"/>
      <c r="BS3661" s="265"/>
      <c r="BT3661" s="265"/>
      <c r="BU3661" s="265"/>
      <c r="BV3661" s="265"/>
    </row>
    <row r="3662" spans="12:74">
      <c r="L3662" s="265"/>
      <c r="M3662" s="265"/>
      <c r="N3662" s="265"/>
      <c r="O3662" s="265"/>
      <c r="P3662" s="265"/>
      <c r="Q3662" s="265"/>
      <c r="BR3662" s="265"/>
      <c r="BS3662" s="265"/>
      <c r="BT3662" s="265"/>
      <c r="BU3662" s="265"/>
      <c r="BV3662" s="265"/>
    </row>
    <row r="3663" spans="12:74">
      <c r="L3663" s="265"/>
      <c r="M3663" s="265"/>
      <c r="N3663" s="265"/>
      <c r="O3663" s="265"/>
      <c r="P3663" s="265"/>
      <c r="Q3663" s="265"/>
      <c r="BR3663" s="265"/>
      <c r="BS3663" s="265"/>
      <c r="BT3663" s="265"/>
      <c r="BU3663" s="265"/>
      <c r="BV3663" s="265"/>
    </row>
    <row r="3664" spans="12:74">
      <c r="L3664" s="265"/>
      <c r="M3664" s="265"/>
      <c r="N3664" s="265"/>
      <c r="O3664" s="265"/>
      <c r="P3664" s="265"/>
      <c r="Q3664" s="265"/>
      <c r="BR3664" s="265"/>
      <c r="BS3664" s="265"/>
      <c r="BT3664" s="265"/>
      <c r="BU3664" s="265"/>
      <c r="BV3664" s="265"/>
    </row>
    <row r="3665" spans="12:74">
      <c r="L3665" s="265"/>
      <c r="M3665" s="265"/>
      <c r="N3665" s="265"/>
      <c r="O3665" s="265"/>
      <c r="P3665" s="265"/>
      <c r="Q3665" s="265"/>
      <c r="BR3665" s="265"/>
      <c r="BS3665" s="265"/>
      <c r="BT3665" s="265"/>
      <c r="BU3665" s="265"/>
      <c r="BV3665" s="265"/>
    </row>
    <row r="3666" spans="12:74">
      <c r="L3666" s="265"/>
      <c r="M3666" s="265"/>
      <c r="N3666" s="265"/>
      <c r="O3666" s="265"/>
      <c r="P3666" s="265"/>
      <c r="Q3666" s="265"/>
      <c r="BR3666" s="265"/>
      <c r="BS3666" s="265"/>
      <c r="BT3666" s="265"/>
      <c r="BU3666" s="265"/>
      <c r="BV3666" s="265"/>
    </row>
    <row r="3667" spans="12:74">
      <c r="L3667" s="265"/>
      <c r="M3667" s="265"/>
      <c r="N3667" s="265"/>
      <c r="O3667" s="265"/>
      <c r="P3667" s="265"/>
      <c r="Q3667" s="265"/>
      <c r="BR3667" s="265"/>
      <c r="BS3667" s="265"/>
      <c r="BT3667" s="265"/>
      <c r="BU3667" s="265"/>
      <c r="BV3667" s="265"/>
    </row>
    <row r="3668" spans="12:74">
      <c r="L3668" s="265"/>
      <c r="M3668" s="265"/>
      <c r="N3668" s="265"/>
      <c r="O3668" s="265"/>
      <c r="P3668" s="265"/>
      <c r="Q3668" s="265"/>
      <c r="BR3668" s="265"/>
      <c r="BS3668" s="265"/>
      <c r="BT3668" s="265"/>
      <c r="BU3668" s="265"/>
      <c r="BV3668" s="265"/>
    </row>
    <row r="3669" spans="12:74">
      <c r="L3669" s="265"/>
      <c r="M3669" s="265"/>
      <c r="N3669" s="265"/>
      <c r="O3669" s="265"/>
      <c r="P3669" s="265"/>
      <c r="Q3669" s="265"/>
      <c r="BR3669" s="265"/>
      <c r="BS3669" s="265"/>
      <c r="BT3669" s="265"/>
      <c r="BU3669" s="265"/>
      <c r="BV3669" s="265"/>
    </row>
    <row r="3670" spans="12:74">
      <c r="L3670" s="265"/>
      <c r="M3670" s="265"/>
      <c r="N3670" s="265"/>
      <c r="O3670" s="265"/>
      <c r="P3670" s="265"/>
      <c r="Q3670" s="265"/>
      <c r="BR3670" s="265"/>
      <c r="BS3670" s="265"/>
      <c r="BT3670" s="265"/>
      <c r="BU3670" s="265"/>
      <c r="BV3670" s="265"/>
    </row>
    <row r="3671" spans="12:74">
      <c r="L3671" s="265"/>
      <c r="M3671" s="265"/>
      <c r="N3671" s="265"/>
      <c r="O3671" s="265"/>
      <c r="P3671" s="265"/>
      <c r="Q3671" s="265"/>
      <c r="BR3671" s="265"/>
      <c r="BS3671" s="265"/>
      <c r="BT3671" s="265"/>
      <c r="BU3671" s="265"/>
      <c r="BV3671" s="265"/>
    </row>
    <row r="3672" spans="12:74">
      <c r="L3672" s="265"/>
      <c r="M3672" s="265"/>
      <c r="N3672" s="265"/>
      <c r="O3672" s="265"/>
      <c r="P3672" s="265"/>
      <c r="Q3672" s="265"/>
      <c r="BR3672" s="265"/>
      <c r="BS3672" s="265"/>
      <c r="BT3672" s="265"/>
      <c r="BU3672" s="265"/>
      <c r="BV3672" s="265"/>
    </row>
    <row r="3673" spans="12:74">
      <c r="L3673" s="265"/>
      <c r="M3673" s="265"/>
      <c r="N3673" s="265"/>
      <c r="O3673" s="265"/>
      <c r="P3673" s="265"/>
      <c r="Q3673" s="265"/>
      <c r="BR3673" s="265"/>
      <c r="BS3673" s="265"/>
      <c r="BT3673" s="265"/>
      <c r="BU3673" s="265"/>
      <c r="BV3673" s="265"/>
    </row>
    <row r="3674" spans="12:74">
      <c r="L3674" s="265"/>
      <c r="M3674" s="265"/>
      <c r="N3674" s="265"/>
      <c r="O3674" s="265"/>
      <c r="P3674" s="265"/>
      <c r="Q3674" s="265"/>
      <c r="BR3674" s="265"/>
      <c r="BS3674" s="265"/>
      <c r="BT3674" s="265"/>
      <c r="BU3674" s="265"/>
      <c r="BV3674" s="265"/>
    </row>
    <row r="3675" spans="12:74">
      <c r="L3675" s="265"/>
      <c r="M3675" s="265"/>
      <c r="N3675" s="265"/>
      <c r="O3675" s="265"/>
      <c r="P3675" s="265"/>
      <c r="Q3675" s="265"/>
      <c r="BR3675" s="265"/>
      <c r="BS3675" s="265"/>
      <c r="BT3675" s="265"/>
      <c r="BU3675" s="265"/>
      <c r="BV3675" s="265"/>
    </row>
    <row r="3676" spans="12:74">
      <c r="L3676" s="265"/>
      <c r="M3676" s="265"/>
      <c r="N3676" s="265"/>
      <c r="O3676" s="265"/>
      <c r="P3676" s="265"/>
      <c r="Q3676" s="265"/>
      <c r="BR3676" s="265"/>
      <c r="BS3676" s="265"/>
      <c r="BT3676" s="265"/>
      <c r="BU3676" s="265"/>
      <c r="BV3676" s="265"/>
    </row>
    <row r="3677" spans="12:74">
      <c r="L3677" s="265"/>
      <c r="M3677" s="265"/>
      <c r="N3677" s="265"/>
      <c r="O3677" s="265"/>
      <c r="P3677" s="265"/>
      <c r="Q3677" s="265"/>
      <c r="BR3677" s="265"/>
      <c r="BS3677" s="265"/>
      <c r="BT3677" s="265"/>
      <c r="BU3677" s="265"/>
      <c r="BV3677" s="265"/>
    </row>
    <row r="3678" spans="12:74">
      <c r="L3678" s="265"/>
      <c r="M3678" s="265"/>
      <c r="N3678" s="265"/>
      <c r="O3678" s="265"/>
      <c r="P3678" s="265"/>
      <c r="Q3678" s="265"/>
      <c r="BR3678" s="265"/>
      <c r="BS3678" s="265"/>
      <c r="BT3678" s="265"/>
      <c r="BU3678" s="265"/>
      <c r="BV3678" s="265"/>
    </row>
    <row r="3679" spans="12:74">
      <c r="L3679" s="265"/>
      <c r="M3679" s="265"/>
      <c r="N3679" s="265"/>
      <c r="O3679" s="265"/>
      <c r="P3679" s="265"/>
      <c r="Q3679" s="265"/>
      <c r="BR3679" s="265"/>
      <c r="BS3679" s="265"/>
      <c r="BT3679" s="265"/>
      <c r="BU3679" s="265"/>
      <c r="BV3679" s="265"/>
    </row>
    <row r="3680" spans="12:74">
      <c r="L3680" s="265"/>
      <c r="M3680" s="265"/>
      <c r="N3680" s="265"/>
      <c r="O3680" s="265"/>
      <c r="P3680" s="265"/>
      <c r="Q3680" s="265"/>
      <c r="BR3680" s="265"/>
      <c r="BS3680" s="265"/>
      <c r="BT3680" s="265"/>
      <c r="BU3680" s="265"/>
      <c r="BV3680" s="265"/>
    </row>
    <row r="3681" spans="12:74">
      <c r="L3681" s="265"/>
      <c r="M3681" s="265"/>
      <c r="N3681" s="265"/>
      <c r="O3681" s="265"/>
      <c r="P3681" s="265"/>
      <c r="Q3681" s="265"/>
      <c r="BR3681" s="265"/>
      <c r="BS3681" s="265"/>
      <c r="BT3681" s="265"/>
      <c r="BU3681" s="265"/>
      <c r="BV3681" s="265"/>
    </row>
    <row r="3682" spans="12:74">
      <c r="L3682" s="265"/>
      <c r="M3682" s="265"/>
      <c r="N3682" s="265"/>
      <c r="O3682" s="265"/>
      <c r="P3682" s="265"/>
      <c r="Q3682" s="265"/>
      <c r="BR3682" s="265"/>
      <c r="BS3682" s="265"/>
      <c r="BT3682" s="265"/>
      <c r="BU3682" s="265"/>
      <c r="BV3682" s="265"/>
    </row>
    <row r="3683" spans="12:74">
      <c r="L3683" s="265"/>
      <c r="M3683" s="265"/>
      <c r="N3683" s="265"/>
      <c r="O3683" s="265"/>
      <c r="P3683" s="265"/>
      <c r="Q3683" s="265"/>
      <c r="BR3683" s="265"/>
      <c r="BS3683" s="265"/>
      <c r="BT3683" s="265"/>
      <c r="BU3683" s="265"/>
      <c r="BV3683" s="265"/>
    </row>
    <row r="3684" spans="12:74">
      <c r="L3684" s="265"/>
      <c r="M3684" s="265"/>
      <c r="N3684" s="265"/>
      <c r="O3684" s="265"/>
      <c r="P3684" s="265"/>
      <c r="Q3684" s="265"/>
      <c r="BR3684" s="265"/>
      <c r="BS3684" s="265"/>
      <c r="BT3684" s="265"/>
      <c r="BU3684" s="265"/>
      <c r="BV3684" s="265"/>
    </row>
    <row r="3685" spans="12:74">
      <c r="L3685" s="265"/>
      <c r="M3685" s="265"/>
      <c r="N3685" s="265"/>
      <c r="O3685" s="265"/>
      <c r="P3685" s="265"/>
      <c r="Q3685" s="265"/>
      <c r="BR3685" s="265"/>
      <c r="BS3685" s="265"/>
      <c r="BT3685" s="265"/>
      <c r="BU3685" s="265"/>
      <c r="BV3685" s="265"/>
    </row>
    <row r="3686" spans="12:74">
      <c r="L3686" s="265"/>
      <c r="M3686" s="265"/>
      <c r="N3686" s="265"/>
      <c r="O3686" s="265"/>
      <c r="P3686" s="265"/>
      <c r="Q3686" s="265"/>
      <c r="BR3686" s="265"/>
      <c r="BS3686" s="265"/>
      <c r="BT3686" s="265"/>
      <c r="BU3686" s="265"/>
      <c r="BV3686" s="265"/>
    </row>
    <row r="3687" spans="12:74">
      <c r="L3687" s="265"/>
      <c r="M3687" s="265"/>
      <c r="N3687" s="265"/>
      <c r="O3687" s="265"/>
      <c r="P3687" s="265"/>
      <c r="Q3687" s="265"/>
      <c r="BR3687" s="265"/>
      <c r="BS3687" s="265"/>
      <c r="BT3687" s="265"/>
      <c r="BU3687" s="265"/>
      <c r="BV3687" s="265"/>
    </row>
    <row r="3688" spans="12:74">
      <c r="L3688" s="265"/>
      <c r="M3688" s="265"/>
      <c r="N3688" s="265"/>
      <c r="O3688" s="265"/>
      <c r="P3688" s="265"/>
      <c r="Q3688" s="265"/>
      <c r="BR3688" s="265"/>
      <c r="BS3688" s="265"/>
      <c r="BT3688" s="265"/>
      <c r="BU3688" s="265"/>
      <c r="BV3688" s="265"/>
    </row>
    <row r="3689" spans="12:74">
      <c r="L3689" s="265"/>
      <c r="M3689" s="265"/>
      <c r="N3689" s="265"/>
      <c r="O3689" s="265"/>
      <c r="P3689" s="265"/>
      <c r="Q3689" s="265"/>
      <c r="BR3689" s="265"/>
      <c r="BS3689" s="265"/>
      <c r="BT3689" s="265"/>
      <c r="BU3689" s="265"/>
      <c r="BV3689" s="265"/>
    </row>
    <row r="3690" spans="12:74">
      <c r="L3690" s="265"/>
      <c r="M3690" s="265"/>
      <c r="N3690" s="265"/>
      <c r="O3690" s="265"/>
      <c r="P3690" s="265"/>
      <c r="Q3690" s="265"/>
      <c r="BR3690" s="265"/>
      <c r="BS3690" s="265"/>
      <c r="BT3690" s="265"/>
      <c r="BU3690" s="265"/>
      <c r="BV3690" s="265"/>
    </row>
    <row r="3691" spans="12:74">
      <c r="L3691" s="265"/>
      <c r="M3691" s="265"/>
      <c r="N3691" s="265"/>
      <c r="O3691" s="265"/>
      <c r="P3691" s="265"/>
      <c r="Q3691" s="265"/>
      <c r="BR3691" s="265"/>
      <c r="BS3691" s="265"/>
      <c r="BT3691" s="265"/>
      <c r="BU3691" s="265"/>
      <c r="BV3691" s="265"/>
    </row>
    <row r="3692" spans="12:74">
      <c r="L3692" s="265"/>
      <c r="M3692" s="265"/>
      <c r="N3692" s="265"/>
      <c r="O3692" s="265"/>
      <c r="P3692" s="265"/>
      <c r="Q3692" s="265"/>
      <c r="BR3692" s="265"/>
      <c r="BS3692" s="265"/>
      <c r="BT3692" s="265"/>
      <c r="BU3692" s="265"/>
      <c r="BV3692" s="265"/>
    </row>
    <row r="3693" spans="12:74">
      <c r="L3693" s="265"/>
      <c r="M3693" s="265"/>
      <c r="N3693" s="265"/>
      <c r="O3693" s="265"/>
      <c r="P3693" s="265"/>
      <c r="Q3693" s="265"/>
      <c r="BR3693" s="265"/>
      <c r="BS3693" s="265"/>
      <c r="BT3693" s="265"/>
      <c r="BU3693" s="265"/>
      <c r="BV3693" s="265"/>
    </row>
    <row r="3694" spans="12:74">
      <c r="L3694" s="265"/>
      <c r="M3694" s="265"/>
      <c r="N3694" s="265"/>
      <c r="O3694" s="265"/>
      <c r="P3694" s="265"/>
      <c r="Q3694" s="265"/>
      <c r="BR3694" s="265"/>
      <c r="BS3694" s="265"/>
      <c r="BT3694" s="265"/>
      <c r="BU3694" s="265"/>
      <c r="BV3694" s="265"/>
    </row>
    <row r="3695" spans="12:74">
      <c r="L3695" s="265"/>
      <c r="M3695" s="265"/>
      <c r="N3695" s="265"/>
      <c r="O3695" s="265"/>
      <c r="P3695" s="265"/>
      <c r="Q3695" s="265"/>
      <c r="BR3695" s="265"/>
      <c r="BS3695" s="265"/>
      <c r="BT3695" s="265"/>
      <c r="BU3695" s="265"/>
      <c r="BV3695" s="265"/>
    </row>
    <row r="3696" spans="12:74">
      <c r="L3696" s="265"/>
      <c r="M3696" s="265"/>
      <c r="N3696" s="265"/>
      <c r="O3696" s="265"/>
      <c r="P3696" s="265"/>
      <c r="Q3696" s="265"/>
      <c r="BR3696" s="265"/>
      <c r="BS3696" s="265"/>
      <c r="BT3696" s="265"/>
      <c r="BU3696" s="265"/>
      <c r="BV3696" s="265"/>
    </row>
    <row r="3697" spans="12:74">
      <c r="L3697" s="265"/>
      <c r="M3697" s="265"/>
      <c r="N3697" s="265"/>
      <c r="O3697" s="265"/>
      <c r="P3697" s="265"/>
      <c r="Q3697" s="265"/>
      <c r="BR3697" s="265"/>
      <c r="BS3697" s="265"/>
      <c r="BT3697" s="265"/>
      <c r="BU3697" s="265"/>
      <c r="BV3697" s="265"/>
    </row>
    <row r="3698" spans="12:74">
      <c r="L3698" s="265"/>
      <c r="M3698" s="265"/>
      <c r="N3698" s="265"/>
      <c r="O3698" s="265"/>
      <c r="P3698" s="265"/>
      <c r="Q3698" s="265"/>
      <c r="BR3698" s="265"/>
      <c r="BS3698" s="265"/>
      <c r="BT3698" s="265"/>
      <c r="BU3698" s="265"/>
      <c r="BV3698" s="265"/>
    </row>
    <row r="3699" spans="12:74">
      <c r="L3699" s="265"/>
      <c r="M3699" s="265"/>
      <c r="N3699" s="265"/>
      <c r="O3699" s="265"/>
      <c r="P3699" s="265"/>
      <c r="Q3699" s="265"/>
      <c r="BR3699" s="265"/>
      <c r="BS3699" s="265"/>
      <c r="BT3699" s="265"/>
      <c r="BU3699" s="265"/>
      <c r="BV3699" s="265"/>
    </row>
    <row r="3700" spans="12:74">
      <c r="L3700" s="265"/>
      <c r="M3700" s="265"/>
      <c r="N3700" s="265"/>
      <c r="O3700" s="265"/>
      <c r="P3700" s="265"/>
      <c r="Q3700" s="265"/>
      <c r="BR3700" s="265"/>
      <c r="BS3700" s="265"/>
      <c r="BT3700" s="265"/>
      <c r="BU3700" s="265"/>
      <c r="BV3700" s="265"/>
    </row>
    <row r="3701" spans="12:74">
      <c r="L3701" s="265"/>
      <c r="M3701" s="265"/>
      <c r="N3701" s="265"/>
      <c r="O3701" s="265"/>
      <c r="P3701" s="265"/>
      <c r="Q3701" s="265"/>
      <c r="BR3701" s="265"/>
      <c r="BS3701" s="265"/>
      <c r="BT3701" s="265"/>
      <c r="BU3701" s="265"/>
      <c r="BV3701" s="265"/>
    </row>
    <row r="3702" spans="12:74">
      <c r="L3702" s="265"/>
      <c r="M3702" s="265"/>
      <c r="N3702" s="265"/>
      <c r="O3702" s="265"/>
      <c r="P3702" s="265"/>
      <c r="Q3702" s="265"/>
      <c r="BR3702" s="265"/>
      <c r="BS3702" s="265"/>
      <c r="BT3702" s="265"/>
      <c r="BU3702" s="265"/>
      <c r="BV3702" s="265"/>
    </row>
    <row r="3703" spans="12:74">
      <c r="L3703" s="265"/>
      <c r="M3703" s="265"/>
      <c r="N3703" s="265"/>
      <c r="O3703" s="265"/>
      <c r="P3703" s="265"/>
      <c r="Q3703" s="265"/>
      <c r="BR3703" s="265"/>
      <c r="BS3703" s="265"/>
      <c r="BT3703" s="265"/>
      <c r="BU3703" s="265"/>
      <c r="BV3703" s="265"/>
    </row>
    <row r="3704" spans="12:74">
      <c r="L3704" s="265"/>
      <c r="M3704" s="265"/>
      <c r="N3704" s="265"/>
      <c r="O3704" s="265"/>
      <c r="P3704" s="265"/>
      <c r="Q3704" s="265"/>
      <c r="BR3704" s="265"/>
      <c r="BS3704" s="265"/>
      <c r="BT3704" s="265"/>
      <c r="BU3704" s="265"/>
      <c r="BV3704" s="265"/>
    </row>
    <row r="3705" spans="12:74">
      <c r="L3705" s="265"/>
      <c r="M3705" s="265"/>
      <c r="N3705" s="265"/>
      <c r="O3705" s="265"/>
      <c r="P3705" s="265"/>
      <c r="Q3705" s="265"/>
      <c r="BR3705" s="265"/>
      <c r="BS3705" s="265"/>
      <c r="BT3705" s="265"/>
      <c r="BU3705" s="265"/>
      <c r="BV3705" s="265"/>
    </row>
    <row r="3706" spans="12:74">
      <c r="L3706" s="265"/>
      <c r="M3706" s="265"/>
      <c r="N3706" s="265"/>
      <c r="O3706" s="265"/>
      <c r="P3706" s="265"/>
      <c r="Q3706" s="265"/>
      <c r="BR3706" s="265"/>
      <c r="BS3706" s="265"/>
      <c r="BT3706" s="265"/>
      <c r="BU3706" s="265"/>
      <c r="BV3706" s="265"/>
    </row>
    <row r="3707" spans="12:74">
      <c r="L3707" s="265"/>
      <c r="M3707" s="265"/>
      <c r="N3707" s="265"/>
      <c r="O3707" s="265"/>
      <c r="P3707" s="265"/>
      <c r="Q3707" s="265"/>
      <c r="BR3707" s="265"/>
      <c r="BS3707" s="265"/>
      <c r="BT3707" s="265"/>
      <c r="BU3707" s="265"/>
      <c r="BV3707" s="265"/>
    </row>
    <row r="3708" spans="12:74">
      <c r="L3708" s="265"/>
      <c r="M3708" s="265"/>
      <c r="N3708" s="265"/>
      <c r="O3708" s="265"/>
      <c r="P3708" s="265"/>
      <c r="Q3708" s="265"/>
      <c r="BR3708" s="265"/>
      <c r="BS3708" s="265"/>
      <c r="BT3708" s="265"/>
      <c r="BU3708" s="265"/>
      <c r="BV3708" s="265"/>
    </row>
    <row r="3709" spans="12:74">
      <c r="L3709" s="265"/>
      <c r="M3709" s="265"/>
      <c r="N3709" s="265"/>
      <c r="O3709" s="265"/>
      <c r="P3709" s="265"/>
      <c r="Q3709" s="265"/>
      <c r="BR3709" s="265"/>
      <c r="BS3709" s="265"/>
      <c r="BT3709" s="265"/>
      <c r="BU3709" s="265"/>
      <c r="BV3709" s="265"/>
    </row>
    <row r="3710" spans="12:74">
      <c r="L3710" s="265"/>
      <c r="M3710" s="265"/>
      <c r="N3710" s="265"/>
      <c r="O3710" s="265"/>
      <c r="P3710" s="265"/>
      <c r="Q3710" s="265"/>
      <c r="BR3710" s="265"/>
      <c r="BS3710" s="265"/>
      <c r="BT3710" s="265"/>
      <c r="BU3710" s="265"/>
      <c r="BV3710" s="265"/>
    </row>
    <row r="3711" spans="12:74">
      <c r="L3711" s="265"/>
      <c r="M3711" s="265"/>
      <c r="N3711" s="265"/>
      <c r="O3711" s="265"/>
      <c r="P3711" s="265"/>
      <c r="Q3711" s="265"/>
      <c r="BR3711" s="265"/>
      <c r="BS3711" s="265"/>
      <c r="BT3711" s="265"/>
      <c r="BU3711" s="265"/>
      <c r="BV3711" s="265"/>
    </row>
    <row r="3712" spans="12:74">
      <c r="L3712" s="265"/>
      <c r="M3712" s="265"/>
      <c r="N3712" s="265"/>
      <c r="O3712" s="265"/>
      <c r="P3712" s="265"/>
      <c r="Q3712" s="265"/>
      <c r="BR3712" s="265"/>
      <c r="BS3712" s="265"/>
      <c r="BT3712" s="265"/>
      <c r="BU3712" s="265"/>
      <c r="BV3712" s="265"/>
    </row>
    <row r="3713" spans="12:74">
      <c r="L3713" s="265"/>
      <c r="M3713" s="265"/>
      <c r="N3713" s="265"/>
      <c r="O3713" s="265"/>
      <c r="P3713" s="265"/>
      <c r="Q3713" s="265"/>
      <c r="BR3713" s="265"/>
      <c r="BS3713" s="265"/>
      <c r="BT3713" s="265"/>
      <c r="BU3713" s="265"/>
      <c r="BV3713" s="265"/>
    </row>
    <row r="3714" spans="12:74">
      <c r="L3714" s="265"/>
      <c r="M3714" s="265"/>
      <c r="N3714" s="265"/>
      <c r="O3714" s="265"/>
      <c r="P3714" s="265"/>
      <c r="Q3714" s="265"/>
      <c r="BR3714" s="265"/>
      <c r="BS3714" s="265"/>
      <c r="BT3714" s="265"/>
      <c r="BU3714" s="265"/>
      <c r="BV3714" s="265"/>
    </row>
    <row r="3715" spans="12:74">
      <c r="L3715" s="265"/>
      <c r="M3715" s="265"/>
      <c r="N3715" s="265"/>
      <c r="O3715" s="265"/>
      <c r="P3715" s="265"/>
      <c r="Q3715" s="265"/>
      <c r="BR3715" s="265"/>
      <c r="BS3715" s="265"/>
      <c r="BT3715" s="265"/>
      <c r="BU3715" s="265"/>
      <c r="BV3715" s="265"/>
    </row>
    <row r="3716" spans="12:74">
      <c r="L3716" s="265"/>
      <c r="M3716" s="265"/>
      <c r="N3716" s="265"/>
      <c r="O3716" s="265"/>
      <c r="P3716" s="265"/>
      <c r="Q3716" s="265"/>
      <c r="BR3716" s="265"/>
      <c r="BS3716" s="265"/>
      <c r="BT3716" s="265"/>
      <c r="BU3716" s="265"/>
      <c r="BV3716" s="265"/>
    </row>
    <row r="3717" spans="12:74">
      <c r="L3717" s="265"/>
      <c r="M3717" s="265"/>
      <c r="N3717" s="265"/>
      <c r="O3717" s="265"/>
      <c r="P3717" s="265"/>
      <c r="Q3717" s="265"/>
      <c r="BR3717" s="265"/>
      <c r="BS3717" s="265"/>
      <c r="BT3717" s="265"/>
      <c r="BU3717" s="265"/>
      <c r="BV3717" s="265"/>
    </row>
    <row r="3718" spans="12:74">
      <c r="L3718" s="265"/>
      <c r="M3718" s="265"/>
      <c r="N3718" s="265"/>
      <c r="O3718" s="265"/>
      <c r="P3718" s="265"/>
      <c r="Q3718" s="265"/>
      <c r="BR3718" s="265"/>
      <c r="BS3718" s="265"/>
      <c r="BT3718" s="265"/>
      <c r="BU3718" s="265"/>
      <c r="BV3718" s="265"/>
    </row>
    <row r="3719" spans="12:74">
      <c r="L3719" s="265"/>
      <c r="M3719" s="265"/>
      <c r="N3719" s="265"/>
      <c r="O3719" s="265"/>
      <c r="P3719" s="265"/>
      <c r="Q3719" s="265"/>
      <c r="BR3719" s="265"/>
      <c r="BS3719" s="265"/>
      <c r="BT3719" s="265"/>
      <c r="BU3719" s="265"/>
      <c r="BV3719" s="265"/>
    </row>
    <row r="3720" spans="12:74">
      <c r="L3720" s="265"/>
      <c r="M3720" s="265"/>
      <c r="N3720" s="265"/>
      <c r="O3720" s="265"/>
      <c r="P3720" s="265"/>
      <c r="Q3720" s="265"/>
      <c r="BR3720" s="265"/>
      <c r="BS3720" s="265"/>
      <c r="BT3720" s="265"/>
      <c r="BU3720" s="265"/>
      <c r="BV3720" s="265"/>
    </row>
    <row r="3721" spans="12:74">
      <c r="L3721" s="265"/>
      <c r="M3721" s="265"/>
      <c r="N3721" s="265"/>
      <c r="O3721" s="265"/>
      <c r="P3721" s="265"/>
      <c r="Q3721" s="265"/>
      <c r="BR3721" s="265"/>
      <c r="BS3721" s="265"/>
      <c r="BT3721" s="265"/>
      <c r="BU3721" s="265"/>
      <c r="BV3721" s="265"/>
    </row>
    <row r="3722" spans="12:74">
      <c r="L3722" s="265"/>
      <c r="M3722" s="265"/>
      <c r="N3722" s="265"/>
      <c r="O3722" s="265"/>
      <c r="P3722" s="265"/>
      <c r="Q3722" s="265"/>
      <c r="BR3722" s="265"/>
      <c r="BS3722" s="265"/>
      <c r="BT3722" s="265"/>
      <c r="BU3722" s="265"/>
      <c r="BV3722" s="265"/>
    </row>
    <row r="3723" spans="12:74">
      <c r="L3723" s="265"/>
      <c r="M3723" s="265"/>
      <c r="N3723" s="265"/>
      <c r="O3723" s="265"/>
      <c r="P3723" s="265"/>
      <c r="Q3723" s="265"/>
      <c r="BR3723" s="265"/>
      <c r="BS3723" s="265"/>
      <c r="BT3723" s="265"/>
      <c r="BU3723" s="265"/>
      <c r="BV3723" s="265"/>
    </row>
    <row r="3724" spans="12:74">
      <c r="L3724" s="265"/>
      <c r="M3724" s="265"/>
      <c r="N3724" s="265"/>
      <c r="O3724" s="265"/>
      <c r="P3724" s="265"/>
      <c r="Q3724" s="265"/>
      <c r="BR3724" s="265"/>
      <c r="BS3724" s="265"/>
      <c r="BT3724" s="265"/>
      <c r="BU3724" s="265"/>
      <c r="BV3724" s="265"/>
    </row>
    <row r="3725" spans="12:74">
      <c r="L3725" s="265"/>
      <c r="M3725" s="265"/>
      <c r="N3725" s="265"/>
      <c r="O3725" s="265"/>
      <c r="P3725" s="265"/>
      <c r="Q3725" s="265"/>
      <c r="BR3725" s="265"/>
      <c r="BS3725" s="265"/>
      <c r="BT3725" s="265"/>
      <c r="BU3725" s="265"/>
      <c r="BV3725" s="265"/>
    </row>
    <row r="3726" spans="12:74">
      <c r="L3726" s="265"/>
      <c r="M3726" s="265"/>
      <c r="N3726" s="265"/>
      <c r="O3726" s="265"/>
      <c r="P3726" s="265"/>
      <c r="Q3726" s="265"/>
      <c r="BR3726" s="265"/>
      <c r="BS3726" s="265"/>
      <c r="BT3726" s="265"/>
      <c r="BU3726" s="265"/>
      <c r="BV3726" s="265"/>
    </row>
    <row r="3727" spans="12:74">
      <c r="L3727" s="265"/>
      <c r="M3727" s="265"/>
      <c r="N3727" s="265"/>
      <c r="O3727" s="265"/>
      <c r="P3727" s="265"/>
      <c r="Q3727" s="265"/>
      <c r="BR3727" s="265"/>
      <c r="BS3727" s="265"/>
      <c r="BT3727" s="265"/>
      <c r="BU3727" s="265"/>
      <c r="BV3727" s="265"/>
    </row>
    <row r="3728" spans="12:74">
      <c r="L3728" s="265"/>
      <c r="M3728" s="265"/>
      <c r="N3728" s="265"/>
      <c r="O3728" s="265"/>
      <c r="P3728" s="265"/>
      <c r="Q3728" s="265"/>
      <c r="BR3728" s="265"/>
      <c r="BS3728" s="265"/>
      <c r="BT3728" s="265"/>
      <c r="BU3728" s="265"/>
      <c r="BV3728" s="265"/>
    </row>
    <row r="3729" spans="12:74">
      <c r="L3729" s="265"/>
      <c r="M3729" s="265"/>
      <c r="N3729" s="265"/>
      <c r="O3729" s="265"/>
      <c r="P3729" s="265"/>
      <c r="Q3729" s="265"/>
      <c r="BR3729" s="265"/>
      <c r="BS3729" s="265"/>
      <c r="BT3729" s="265"/>
      <c r="BU3729" s="265"/>
      <c r="BV3729" s="265"/>
    </row>
    <row r="3730" spans="12:74">
      <c r="L3730" s="265"/>
      <c r="M3730" s="265"/>
      <c r="N3730" s="265"/>
      <c r="O3730" s="265"/>
      <c r="P3730" s="265"/>
      <c r="Q3730" s="265"/>
      <c r="BR3730" s="265"/>
      <c r="BS3730" s="265"/>
      <c r="BT3730" s="265"/>
      <c r="BU3730" s="265"/>
      <c r="BV3730" s="265"/>
    </row>
    <row r="3731" spans="12:74">
      <c r="L3731" s="265"/>
      <c r="M3731" s="265"/>
      <c r="N3731" s="265"/>
      <c r="O3731" s="265"/>
      <c r="P3731" s="265"/>
      <c r="Q3731" s="265"/>
      <c r="BR3731" s="265"/>
      <c r="BS3731" s="265"/>
      <c r="BT3731" s="265"/>
      <c r="BU3731" s="265"/>
      <c r="BV3731" s="265"/>
    </row>
    <row r="3732" spans="12:74">
      <c r="L3732" s="265"/>
      <c r="M3732" s="265"/>
      <c r="N3732" s="265"/>
      <c r="O3732" s="265"/>
      <c r="P3732" s="265"/>
      <c r="Q3732" s="265"/>
      <c r="BR3732" s="265"/>
      <c r="BS3732" s="265"/>
      <c r="BT3732" s="265"/>
      <c r="BU3732" s="265"/>
      <c r="BV3732" s="265"/>
    </row>
    <row r="3733" spans="12:74">
      <c r="L3733" s="265"/>
      <c r="M3733" s="265"/>
      <c r="N3733" s="265"/>
      <c r="O3733" s="265"/>
      <c r="P3733" s="265"/>
      <c r="Q3733" s="265"/>
      <c r="BR3733" s="265"/>
      <c r="BS3733" s="265"/>
      <c r="BT3733" s="265"/>
      <c r="BU3733" s="265"/>
      <c r="BV3733" s="265"/>
    </row>
    <row r="3734" spans="12:74">
      <c r="L3734" s="265"/>
      <c r="M3734" s="265"/>
      <c r="N3734" s="265"/>
      <c r="O3734" s="265"/>
      <c r="P3734" s="265"/>
      <c r="Q3734" s="265"/>
      <c r="BR3734" s="265"/>
      <c r="BS3734" s="265"/>
      <c r="BT3734" s="265"/>
      <c r="BU3734" s="265"/>
      <c r="BV3734" s="265"/>
    </row>
    <row r="3735" spans="12:74">
      <c r="L3735" s="265"/>
      <c r="M3735" s="265"/>
      <c r="N3735" s="265"/>
      <c r="O3735" s="265"/>
      <c r="P3735" s="265"/>
      <c r="Q3735" s="265"/>
      <c r="BR3735" s="265"/>
      <c r="BS3735" s="265"/>
      <c r="BT3735" s="265"/>
      <c r="BU3735" s="265"/>
      <c r="BV3735" s="265"/>
    </row>
    <row r="3736" spans="12:74">
      <c r="L3736" s="265"/>
      <c r="M3736" s="265"/>
      <c r="N3736" s="265"/>
      <c r="O3736" s="265"/>
      <c r="P3736" s="265"/>
      <c r="Q3736" s="265"/>
      <c r="BR3736" s="265"/>
      <c r="BS3736" s="265"/>
      <c r="BT3736" s="265"/>
      <c r="BU3736" s="265"/>
      <c r="BV3736" s="265"/>
    </row>
    <row r="3737" spans="12:74">
      <c r="L3737" s="265"/>
      <c r="M3737" s="265"/>
      <c r="N3737" s="265"/>
      <c r="O3737" s="265"/>
      <c r="P3737" s="265"/>
      <c r="Q3737" s="265"/>
      <c r="BR3737" s="265"/>
      <c r="BS3737" s="265"/>
      <c r="BT3737" s="265"/>
      <c r="BU3737" s="265"/>
      <c r="BV3737" s="265"/>
    </row>
    <row r="3738" spans="12:74">
      <c r="L3738" s="265"/>
      <c r="M3738" s="265"/>
      <c r="N3738" s="265"/>
      <c r="O3738" s="265"/>
      <c r="P3738" s="265"/>
      <c r="Q3738" s="265"/>
      <c r="BR3738" s="265"/>
      <c r="BS3738" s="265"/>
      <c r="BT3738" s="265"/>
      <c r="BU3738" s="265"/>
      <c r="BV3738" s="265"/>
    </row>
    <row r="3739" spans="12:74">
      <c r="L3739" s="265"/>
      <c r="M3739" s="265"/>
      <c r="N3739" s="265"/>
      <c r="O3739" s="265"/>
      <c r="P3739" s="265"/>
      <c r="Q3739" s="265"/>
      <c r="BR3739" s="265"/>
      <c r="BS3739" s="265"/>
      <c r="BT3739" s="265"/>
      <c r="BU3739" s="265"/>
      <c r="BV3739" s="265"/>
    </row>
    <row r="3740" spans="12:74">
      <c r="L3740" s="265"/>
      <c r="M3740" s="265"/>
      <c r="N3740" s="265"/>
      <c r="O3740" s="265"/>
      <c r="P3740" s="265"/>
      <c r="Q3740" s="265"/>
      <c r="BR3740" s="265"/>
      <c r="BS3740" s="265"/>
      <c r="BT3740" s="265"/>
      <c r="BU3740" s="265"/>
      <c r="BV3740" s="265"/>
    </row>
    <row r="3741" spans="12:74">
      <c r="L3741" s="265"/>
      <c r="M3741" s="265"/>
      <c r="N3741" s="265"/>
      <c r="O3741" s="265"/>
      <c r="P3741" s="265"/>
      <c r="Q3741" s="265"/>
      <c r="BR3741" s="265"/>
      <c r="BS3741" s="265"/>
      <c r="BT3741" s="265"/>
      <c r="BU3741" s="265"/>
      <c r="BV3741" s="265"/>
    </row>
    <row r="3742" spans="12:74">
      <c r="L3742" s="265"/>
      <c r="M3742" s="265"/>
      <c r="N3742" s="265"/>
      <c r="O3742" s="265"/>
      <c r="P3742" s="265"/>
      <c r="Q3742" s="265"/>
      <c r="BR3742" s="265"/>
      <c r="BS3742" s="265"/>
      <c r="BT3742" s="265"/>
      <c r="BU3742" s="265"/>
      <c r="BV3742" s="265"/>
    </row>
    <row r="3743" spans="12:74">
      <c r="L3743" s="265"/>
      <c r="M3743" s="265"/>
      <c r="N3743" s="265"/>
      <c r="O3743" s="265"/>
      <c r="P3743" s="265"/>
      <c r="Q3743" s="265"/>
      <c r="BR3743" s="265"/>
      <c r="BS3743" s="265"/>
      <c r="BT3743" s="265"/>
      <c r="BU3743" s="265"/>
      <c r="BV3743" s="265"/>
    </row>
    <row r="3744" spans="12:74">
      <c r="L3744" s="265"/>
      <c r="M3744" s="265"/>
      <c r="N3744" s="265"/>
      <c r="O3744" s="265"/>
      <c r="P3744" s="265"/>
      <c r="Q3744" s="265"/>
      <c r="BR3744" s="265"/>
      <c r="BS3744" s="265"/>
      <c r="BT3744" s="265"/>
      <c r="BU3744" s="265"/>
      <c r="BV3744" s="265"/>
    </row>
    <row r="3745" spans="12:74">
      <c r="L3745" s="265"/>
      <c r="M3745" s="265"/>
      <c r="N3745" s="265"/>
      <c r="O3745" s="265"/>
      <c r="P3745" s="265"/>
      <c r="Q3745" s="265"/>
      <c r="BR3745" s="265"/>
      <c r="BS3745" s="265"/>
      <c r="BT3745" s="265"/>
      <c r="BU3745" s="265"/>
      <c r="BV3745" s="265"/>
    </row>
    <row r="3746" spans="12:74">
      <c r="L3746" s="265"/>
      <c r="M3746" s="265"/>
      <c r="N3746" s="265"/>
      <c r="O3746" s="265"/>
      <c r="P3746" s="265"/>
      <c r="Q3746" s="265"/>
      <c r="BR3746" s="265"/>
      <c r="BS3746" s="265"/>
      <c r="BT3746" s="265"/>
      <c r="BU3746" s="265"/>
      <c r="BV3746" s="265"/>
    </row>
    <row r="3747" spans="12:74">
      <c r="L3747" s="265"/>
      <c r="M3747" s="265"/>
      <c r="N3747" s="265"/>
      <c r="O3747" s="265"/>
      <c r="P3747" s="265"/>
      <c r="Q3747" s="265"/>
      <c r="BR3747" s="265"/>
      <c r="BS3747" s="265"/>
      <c r="BT3747" s="265"/>
      <c r="BU3747" s="265"/>
      <c r="BV3747" s="265"/>
    </row>
    <row r="3748" spans="12:74">
      <c r="L3748" s="265"/>
      <c r="M3748" s="265"/>
      <c r="N3748" s="265"/>
      <c r="O3748" s="265"/>
      <c r="P3748" s="265"/>
      <c r="Q3748" s="265"/>
      <c r="BR3748" s="265"/>
      <c r="BS3748" s="265"/>
      <c r="BT3748" s="265"/>
      <c r="BU3748" s="265"/>
      <c r="BV3748" s="265"/>
    </row>
    <row r="3749" spans="12:74">
      <c r="L3749" s="265"/>
      <c r="M3749" s="265"/>
      <c r="N3749" s="265"/>
      <c r="O3749" s="265"/>
      <c r="P3749" s="265"/>
      <c r="Q3749" s="265"/>
      <c r="BR3749" s="265"/>
      <c r="BS3749" s="265"/>
      <c r="BT3749" s="265"/>
      <c r="BU3749" s="265"/>
      <c r="BV3749" s="265"/>
    </row>
    <row r="3750" spans="12:74">
      <c r="L3750" s="265"/>
      <c r="M3750" s="265"/>
      <c r="N3750" s="265"/>
      <c r="O3750" s="265"/>
      <c r="P3750" s="265"/>
      <c r="Q3750" s="265"/>
      <c r="BR3750" s="265"/>
      <c r="BS3750" s="265"/>
      <c r="BT3750" s="265"/>
      <c r="BU3750" s="265"/>
      <c r="BV3750" s="265"/>
    </row>
    <row r="3751" spans="12:74">
      <c r="L3751" s="265"/>
      <c r="M3751" s="265"/>
      <c r="N3751" s="265"/>
      <c r="O3751" s="265"/>
      <c r="P3751" s="265"/>
      <c r="Q3751" s="265"/>
      <c r="BR3751" s="265"/>
      <c r="BS3751" s="265"/>
      <c r="BT3751" s="265"/>
      <c r="BU3751" s="265"/>
      <c r="BV3751" s="265"/>
    </row>
    <row r="3752" spans="12:74">
      <c r="L3752" s="265"/>
      <c r="M3752" s="265"/>
      <c r="N3752" s="265"/>
      <c r="O3752" s="265"/>
      <c r="P3752" s="265"/>
      <c r="Q3752" s="265"/>
      <c r="BR3752" s="265"/>
      <c r="BS3752" s="265"/>
      <c r="BT3752" s="265"/>
      <c r="BU3752" s="265"/>
      <c r="BV3752" s="265"/>
    </row>
    <row r="3753" spans="12:74">
      <c r="L3753" s="265"/>
      <c r="M3753" s="265"/>
      <c r="N3753" s="265"/>
      <c r="O3753" s="265"/>
      <c r="P3753" s="265"/>
      <c r="Q3753" s="265"/>
      <c r="BR3753" s="265"/>
      <c r="BS3753" s="265"/>
      <c r="BT3753" s="265"/>
      <c r="BU3753" s="265"/>
      <c r="BV3753" s="265"/>
    </row>
    <row r="3754" spans="12:74">
      <c r="L3754" s="265"/>
      <c r="M3754" s="265"/>
      <c r="N3754" s="265"/>
      <c r="O3754" s="265"/>
      <c r="P3754" s="265"/>
      <c r="Q3754" s="265"/>
      <c r="BR3754" s="265"/>
      <c r="BS3754" s="265"/>
      <c r="BT3754" s="265"/>
      <c r="BU3754" s="265"/>
      <c r="BV3754" s="265"/>
    </row>
    <row r="3755" spans="12:74">
      <c r="L3755" s="265"/>
      <c r="M3755" s="265"/>
      <c r="N3755" s="265"/>
      <c r="O3755" s="265"/>
      <c r="P3755" s="265"/>
      <c r="Q3755" s="265"/>
      <c r="BR3755" s="265"/>
      <c r="BS3755" s="265"/>
      <c r="BT3755" s="265"/>
      <c r="BU3755" s="265"/>
      <c r="BV3755" s="265"/>
    </row>
    <row r="3756" spans="12:74">
      <c r="L3756" s="265"/>
      <c r="M3756" s="265"/>
      <c r="N3756" s="265"/>
      <c r="O3756" s="265"/>
      <c r="P3756" s="265"/>
      <c r="Q3756" s="265"/>
      <c r="BR3756" s="265"/>
      <c r="BS3756" s="265"/>
      <c r="BT3756" s="265"/>
      <c r="BU3756" s="265"/>
      <c r="BV3756" s="265"/>
    </row>
    <row r="3757" spans="12:74">
      <c r="L3757" s="265"/>
      <c r="M3757" s="265"/>
      <c r="N3757" s="265"/>
      <c r="O3757" s="265"/>
      <c r="P3757" s="265"/>
      <c r="Q3757" s="265"/>
      <c r="BR3757" s="265"/>
      <c r="BS3757" s="265"/>
      <c r="BT3757" s="265"/>
      <c r="BU3757" s="265"/>
      <c r="BV3757" s="265"/>
    </row>
    <row r="3758" spans="12:74">
      <c r="L3758" s="265"/>
      <c r="M3758" s="265"/>
      <c r="N3758" s="265"/>
      <c r="O3758" s="265"/>
      <c r="P3758" s="265"/>
      <c r="Q3758" s="265"/>
      <c r="BR3758" s="265"/>
      <c r="BS3758" s="265"/>
      <c r="BT3758" s="265"/>
      <c r="BU3758" s="265"/>
      <c r="BV3758" s="265"/>
    </row>
    <row r="3759" spans="12:74">
      <c r="L3759" s="265"/>
      <c r="M3759" s="265"/>
      <c r="N3759" s="265"/>
      <c r="O3759" s="265"/>
      <c r="P3759" s="265"/>
      <c r="Q3759" s="265"/>
      <c r="BR3759" s="265"/>
      <c r="BS3759" s="265"/>
      <c r="BT3759" s="265"/>
      <c r="BU3759" s="265"/>
      <c r="BV3759" s="265"/>
    </row>
    <row r="3760" spans="12:74">
      <c r="L3760" s="265"/>
      <c r="M3760" s="265"/>
      <c r="N3760" s="265"/>
      <c r="O3760" s="265"/>
      <c r="P3760" s="265"/>
      <c r="Q3760" s="265"/>
      <c r="BR3760" s="265"/>
      <c r="BS3760" s="265"/>
      <c r="BT3760" s="265"/>
      <c r="BU3760" s="265"/>
      <c r="BV3760" s="265"/>
    </row>
    <row r="3761" spans="12:74">
      <c r="L3761" s="265"/>
      <c r="M3761" s="265"/>
      <c r="N3761" s="265"/>
      <c r="O3761" s="265"/>
      <c r="P3761" s="265"/>
      <c r="Q3761" s="265"/>
      <c r="BR3761" s="265"/>
      <c r="BS3761" s="265"/>
      <c r="BT3761" s="265"/>
      <c r="BU3761" s="265"/>
      <c r="BV3761" s="265"/>
    </row>
    <row r="3762" spans="12:74">
      <c r="L3762" s="265"/>
      <c r="M3762" s="265"/>
      <c r="N3762" s="265"/>
      <c r="O3762" s="265"/>
      <c r="P3762" s="265"/>
      <c r="Q3762" s="265"/>
      <c r="BR3762" s="265"/>
      <c r="BS3762" s="265"/>
      <c r="BT3762" s="265"/>
      <c r="BU3762" s="265"/>
      <c r="BV3762" s="265"/>
    </row>
    <row r="3763" spans="12:74">
      <c r="L3763" s="265"/>
      <c r="M3763" s="265"/>
      <c r="N3763" s="265"/>
      <c r="O3763" s="265"/>
      <c r="P3763" s="265"/>
      <c r="Q3763" s="265"/>
      <c r="BR3763" s="265"/>
      <c r="BS3763" s="265"/>
      <c r="BT3763" s="265"/>
      <c r="BU3763" s="265"/>
      <c r="BV3763" s="265"/>
    </row>
    <row r="3764" spans="12:74">
      <c r="L3764" s="265"/>
      <c r="M3764" s="265"/>
      <c r="N3764" s="265"/>
      <c r="O3764" s="265"/>
      <c r="P3764" s="265"/>
      <c r="Q3764" s="265"/>
      <c r="BR3764" s="265"/>
      <c r="BS3764" s="265"/>
      <c r="BT3764" s="265"/>
      <c r="BU3764" s="265"/>
      <c r="BV3764" s="265"/>
    </row>
    <row r="3765" spans="12:74">
      <c r="L3765" s="265"/>
      <c r="M3765" s="265"/>
      <c r="N3765" s="265"/>
      <c r="O3765" s="265"/>
      <c r="P3765" s="265"/>
      <c r="Q3765" s="265"/>
      <c r="BR3765" s="265"/>
      <c r="BS3765" s="265"/>
      <c r="BT3765" s="265"/>
      <c r="BU3765" s="265"/>
      <c r="BV3765" s="265"/>
    </row>
    <row r="3766" spans="12:74">
      <c r="L3766" s="265"/>
      <c r="M3766" s="265"/>
      <c r="N3766" s="265"/>
      <c r="O3766" s="265"/>
      <c r="P3766" s="265"/>
      <c r="Q3766" s="265"/>
      <c r="BR3766" s="265"/>
      <c r="BS3766" s="265"/>
      <c r="BT3766" s="265"/>
      <c r="BU3766" s="265"/>
      <c r="BV3766" s="265"/>
    </row>
    <row r="3767" spans="12:74">
      <c r="L3767" s="265"/>
      <c r="M3767" s="265"/>
      <c r="N3767" s="265"/>
      <c r="O3767" s="265"/>
      <c r="P3767" s="265"/>
      <c r="Q3767" s="265"/>
      <c r="BR3767" s="265"/>
      <c r="BS3767" s="265"/>
      <c r="BT3767" s="265"/>
      <c r="BU3767" s="265"/>
      <c r="BV3767" s="265"/>
    </row>
    <row r="3768" spans="12:74">
      <c r="L3768" s="265"/>
      <c r="M3768" s="265"/>
      <c r="N3768" s="265"/>
      <c r="O3768" s="265"/>
      <c r="P3768" s="265"/>
      <c r="Q3768" s="265"/>
      <c r="BR3768" s="265"/>
      <c r="BS3768" s="265"/>
      <c r="BT3768" s="265"/>
      <c r="BU3768" s="265"/>
      <c r="BV3768" s="265"/>
    </row>
    <row r="3769" spans="12:74">
      <c r="L3769" s="265"/>
      <c r="M3769" s="265"/>
      <c r="N3769" s="265"/>
      <c r="O3769" s="265"/>
      <c r="P3769" s="265"/>
      <c r="Q3769" s="265"/>
      <c r="BR3769" s="265"/>
      <c r="BS3769" s="265"/>
      <c r="BT3769" s="265"/>
      <c r="BU3769" s="265"/>
      <c r="BV3769" s="265"/>
    </row>
    <row r="3770" spans="12:74">
      <c r="L3770" s="265"/>
      <c r="M3770" s="265"/>
      <c r="N3770" s="265"/>
      <c r="O3770" s="265"/>
      <c r="P3770" s="265"/>
      <c r="Q3770" s="265"/>
      <c r="BR3770" s="265"/>
      <c r="BS3770" s="265"/>
      <c r="BT3770" s="265"/>
      <c r="BU3770" s="265"/>
      <c r="BV3770" s="265"/>
    </row>
    <row r="3771" spans="12:74">
      <c r="L3771" s="265"/>
      <c r="M3771" s="265"/>
      <c r="N3771" s="265"/>
      <c r="O3771" s="265"/>
      <c r="P3771" s="265"/>
      <c r="Q3771" s="265"/>
      <c r="BR3771" s="265"/>
      <c r="BS3771" s="265"/>
      <c r="BT3771" s="265"/>
      <c r="BU3771" s="265"/>
      <c r="BV3771" s="265"/>
    </row>
    <row r="3772" spans="12:74">
      <c r="L3772" s="265"/>
      <c r="M3772" s="265"/>
      <c r="N3772" s="265"/>
      <c r="O3772" s="265"/>
      <c r="P3772" s="265"/>
      <c r="Q3772" s="265"/>
      <c r="BR3772" s="265"/>
      <c r="BS3772" s="265"/>
      <c r="BT3772" s="265"/>
      <c r="BU3772" s="265"/>
      <c r="BV3772" s="265"/>
    </row>
    <row r="3773" spans="12:74">
      <c r="L3773" s="265"/>
      <c r="M3773" s="265"/>
      <c r="N3773" s="265"/>
      <c r="O3773" s="265"/>
      <c r="P3773" s="265"/>
      <c r="Q3773" s="265"/>
      <c r="BR3773" s="265"/>
      <c r="BS3773" s="265"/>
      <c r="BT3773" s="265"/>
      <c r="BU3773" s="265"/>
      <c r="BV3773" s="265"/>
    </row>
    <row r="3774" spans="12:74">
      <c r="L3774" s="265"/>
      <c r="M3774" s="265"/>
      <c r="N3774" s="265"/>
      <c r="O3774" s="265"/>
      <c r="P3774" s="265"/>
      <c r="Q3774" s="265"/>
      <c r="BR3774" s="265"/>
      <c r="BS3774" s="265"/>
      <c r="BT3774" s="265"/>
      <c r="BU3774" s="265"/>
      <c r="BV3774" s="265"/>
    </row>
    <row r="3775" spans="12:74">
      <c r="L3775" s="265"/>
      <c r="M3775" s="265"/>
      <c r="N3775" s="265"/>
      <c r="O3775" s="265"/>
      <c r="P3775" s="265"/>
      <c r="Q3775" s="265"/>
      <c r="BR3775" s="265"/>
      <c r="BS3775" s="265"/>
      <c r="BT3775" s="265"/>
      <c r="BU3775" s="265"/>
      <c r="BV3775" s="265"/>
    </row>
    <row r="3776" spans="12:74">
      <c r="L3776" s="265"/>
      <c r="M3776" s="265"/>
      <c r="N3776" s="265"/>
      <c r="O3776" s="265"/>
      <c r="P3776" s="265"/>
      <c r="Q3776" s="265"/>
      <c r="BR3776" s="265"/>
      <c r="BS3776" s="265"/>
      <c r="BT3776" s="265"/>
      <c r="BU3776" s="265"/>
      <c r="BV3776" s="265"/>
    </row>
    <row r="3777" spans="12:74">
      <c r="L3777" s="265"/>
      <c r="M3777" s="265"/>
      <c r="N3777" s="265"/>
      <c r="O3777" s="265"/>
      <c r="P3777" s="265"/>
      <c r="Q3777" s="265"/>
      <c r="BR3777" s="265"/>
      <c r="BS3777" s="265"/>
      <c r="BT3777" s="265"/>
      <c r="BU3777" s="265"/>
      <c r="BV3777" s="265"/>
    </row>
    <row r="3778" spans="12:74">
      <c r="L3778" s="265"/>
      <c r="M3778" s="265"/>
      <c r="N3778" s="265"/>
      <c r="O3778" s="265"/>
      <c r="P3778" s="265"/>
      <c r="Q3778" s="265"/>
      <c r="BR3778" s="265"/>
      <c r="BS3778" s="265"/>
      <c r="BT3778" s="265"/>
      <c r="BU3778" s="265"/>
      <c r="BV3778" s="265"/>
    </row>
    <row r="3779" spans="12:74">
      <c r="L3779" s="265"/>
      <c r="M3779" s="265"/>
      <c r="N3779" s="265"/>
      <c r="O3779" s="265"/>
      <c r="P3779" s="265"/>
      <c r="Q3779" s="265"/>
      <c r="BR3779" s="265"/>
      <c r="BS3779" s="265"/>
      <c r="BT3779" s="265"/>
      <c r="BU3779" s="265"/>
      <c r="BV3779" s="265"/>
    </row>
    <row r="3780" spans="12:74">
      <c r="L3780" s="265"/>
      <c r="M3780" s="265"/>
      <c r="N3780" s="265"/>
      <c r="O3780" s="265"/>
      <c r="P3780" s="265"/>
      <c r="Q3780" s="265"/>
      <c r="BR3780" s="265"/>
      <c r="BS3780" s="265"/>
      <c r="BT3780" s="265"/>
      <c r="BU3780" s="265"/>
      <c r="BV3780" s="265"/>
    </row>
    <row r="3781" spans="12:74">
      <c r="L3781" s="265"/>
      <c r="M3781" s="265"/>
      <c r="N3781" s="265"/>
      <c r="O3781" s="265"/>
      <c r="P3781" s="265"/>
      <c r="Q3781" s="265"/>
      <c r="BR3781" s="265"/>
      <c r="BS3781" s="265"/>
      <c r="BT3781" s="265"/>
      <c r="BU3781" s="265"/>
      <c r="BV3781" s="265"/>
    </row>
    <row r="3782" spans="12:74">
      <c r="L3782" s="265"/>
      <c r="M3782" s="265"/>
      <c r="N3782" s="265"/>
      <c r="O3782" s="265"/>
      <c r="P3782" s="265"/>
      <c r="Q3782" s="265"/>
      <c r="BR3782" s="265"/>
      <c r="BS3782" s="265"/>
      <c r="BT3782" s="265"/>
      <c r="BU3782" s="265"/>
      <c r="BV3782" s="265"/>
    </row>
    <row r="3783" spans="12:74">
      <c r="L3783" s="265"/>
      <c r="M3783" s="265"/>
      <c r="N3783" s="265"/>
      <c r="O3783" s="265"/>
      <c r="P3783" s="265"/>
      <c r="Q3783" s="265"/>
      <c r="BR3783" s="265"/>
      <c r="BS3783" s="265"/>
      <c r="BT3783" s="265"/>
      <c r="BU3783" s="265"/>
      <c r="BV3783" s="265"/>
    </row>
    <row r="3784" spans="12:74">
      <c r="L3784" s="265"/>
      <c r="M3784" s="265"/>
      <c r="N3784" s="265"/>
      <c r="O3784" s="265"/>
      <c r="P3784" s="265"/>
      <c r="Q3784" s="265"/>
      <c r="BR3784" s="265"/>
      <c r="BS3784" s="265"/>
      <c r="BT3784" s="265"/>
      <c r="BU3784" s="265"/>
      <c r="BV3784" s="265"/>
    </row>
    <row r="3785" spans="12:74">
      <c r="L3785" s="265"/>
      <c r="M3785" s="265"/>
      <c r="N3785" s="265"/>
      <c r="O3785" s="265"/>
      <c r="P3785" s="265"/>
      <c r="Q3785" s="265"/>
      <c r="BR3785" s="265"/>
      <c r="BS3785" s="265"/>
      <c r="BT3785" s="265"/>
      <c r="BU3785" s="265"/>
      <c r="BV3785" s="265"/>
    </row>
    <row r="3786" spans="12:74">
      <c r="L3786" s="265"/>
      <c r="M3786" s="265"/>
      <c r="N3786" s="265"/>
      <c r="O3786" s="265"/>
      <c r="P3786" s="265"/>
      <c r="Q3786" s="265"/>
      <c r="BR3786" s="265"/>
      <c r="BS3786" s="265"/>
      <c r="BT3786" s="265"/>
      <c r="BU3786" s="265"/>
      <c r="BV3786" s="265"/>
    </row>
    <row r="3787" spans="12:74">
      <c r="L3787" s="265"/>
      <c r="M3787" s="265"/>
      <c r="N3787" s="265"/>
      <c r="O3787" s="265"/>
      <c r="P3787" s="265"/>
      <c r="Q3787" s="265"/>
      <c r="BR3787" s="265"/>
      <c r="BS3787" s="265"/>
      <c r="BT3787" s="265"/>
      <c r="BU3787" s="265"/>
      <c r="BV3787" s="265"/>
    </row>
    <row r="3788" spans="12:74">
      <c r="L3788" s="265"/>
      <c r="M3788" s="265"/>
      <c r="N3788" s="265"/>
      <c r="O3788" s="265"/>
      <c r="P3788" s="265"/>
      <c r="Q3788" s="265"/>
      <c r="BR3788" s="265"/>
      <c r="BS3788" s="265"/>
      <c r="BT3788" s="265"/>
      <c r="BU3788" s="265"/>
      <c r="BV3788" s="265"/>
    </row>
    <row r="3789" spans="12:74">
      <c r="L3789" s="265"/>
      <c r="M3789" s="265"/>
      <c r="N3789" s="265"/>
      <c r="O3789" s="265"/>
      <c r="P3789" s="265"/>
      <c r="Q3789" s="265"/>
      <c r="BR3789" s="265"/>
      <c r="BS3789" s="265"/>
      <c r="BT3789" s="265"/>
      <c r="BU3789" s="265"/>
      <c r="BV3789" s="265"/>
    </row>
    <row r="3790" spans="12:74">
      <c r="L3790" s="265"/>
      <c r="M3790" s="265"/>
      <c r="N3790" s="265"/>
      <c r="O3790" s="265"/>
      <c r="P3790" s="265"/>
      <c r="Q3790" s="265"/>
      <c r="BR3790" s="265"/>
      <c r="BS3790" s="265"/>
      <c r="BT3790" s="265"/>
      <c r="BU3790" s="265"/>
      <c r="BV3790" s="265"/>
    </row>
    <row r="3791" spans="12:74">
      <c r="L3791" s="265"/>
      <c r="M3791" s="265"/>
      <c r="N3791" s="265"/>
      <c r="O3791" s="265"/>
      <c r="P3791" s="265"/>
      <c r="Q3791" s="265"/>
      <c r="BR3791" s="265"/>
      <c r="BS3791" s="265"/>
      <c r="BT3791" s="265"/>
      <c r="BU3791" s="265"/>
      <c r="BV3791" s="265"/>
    </row>
    <row r="3792" spans="12:74">
      <c r="L3792" s="265"/>
      <c r="M3792" s="265"/>
      <c r="N3792" s="265"/>
      <c r="O3792" s="265"/>
      <c r="P3792" s="265"/>
      <c r="Q3792" s="265"/>
      <c r="BR3792" s="265"/>
      <c r="BS3792" s="265"/>
      <c r="BT3792" s="265"/>
      <c r="BU3792" s="265"/>
      <c r="BV3792" s="265"/>
    </row>
    <row r="3793" spans="12:74">
      <c r="L3793" s="265"/>
      <c r="M3793" s="265"/>
      <c r="N3793" s="265"/>
      <c r="O3793" s="265"/>
      <c r="P3793" s="265"/>
      <c r="Q3793" s="265"/>
      <c r="BR3793" s="265"/>
      <c r="BS3793" s="265"/>
      <c r="BT3793" s="265"/>
      <c r="BU3793" s="265"/>
      <c r="BV3793" s="265"/>
    </row>
    <row r="3794" spans="12:74">
      <c r="L3794" s="265"/>
      <c r="M3794" s="265"/>
      <c r="N3794" s="265"/>
      <c r="O3794" s="265"/>
      <c r="P3794" s="265"/>
      <c r="Q3794" s="265"/>
      <c r="BR3794" s="265"/>
      <c r="BS3794" s="265"/>
      <c r="BT3794" s="265"/>
      <c r="BU3794" s="265"/>
      <c r="BV3794" s="265"/>
    </row>
    <row r="3795" spans="12:74">
      <c r="L3795" s="265"/>
      <c r="M3795" s="265"/>
      <c r="N3795" s="265"/>
      <c r="O3795" s="265"/>
      <c r="P3795" s="265"/>
      <c r="Q3795" s="265"/>
      <c r="BR3795" s="265"/>
      <c r="BS3795" s="265"/>
      <c r="BT3795" s="265"/>
      <c r="BU3795" s="265"/>
      <c r="BV3795" s="265"/>
    </row>
    <row r="3796" spans="12:74">
      <c r="L3796" s="265"/>
      <c r="M3796" s="265"/>
      <c r="N3796" s="265"/>
      <c r="O3796" s="265"/>
      <c r="P3796" s="265"/>
      <c r="Q3796" s="265"/>
      <c r="BR3796" s="265"/>
      <c r="BS3796" s="265"/>
      <c r="BT3796" s="265"/>
      <c r="BU3796" s="265"/>
      <c r="BV3796" s="265"/>
    </row>
    <row r="3797" spans="12:74">
      <c r="L3797" s="265"/>
      <c r="M3797" s="265"/>
      <c r="N3797" s="265"/>
      <c r="O3797" s="265"/>
      <c r="P3797" s="265"/>
      <c r="Q3797" s="265"/>
      <c r="BR3797" s="265"/>
      <c r="BS3797" s="265"/>
      <c r="BT3797" s="265"/>
      <c r="BU3797" s="265"/>
      <c r="BV3797" s="265"/>
    </row>
    <row r="3798" spans="12:74">
      <c r="L3798" s="265"/>
      <c r="M3798" s="265"/>
      <c r="N3798" s="265"/>
      <c r="O3798" s="265"/>
      <c r="P3798" s="265"/>
      <c r="Q3798" s="265"/>
      <c r="BR3798" s="265"/>
      <c r="BS3798" s="265"/>
      <c r="BT3798" s="265"/>
      <c r="BU3798" s="265"/>
      <c r="BV3798" s="265"/>
    </row>
    <row r="3799" spans="12:74">
      <c r="L3799" s="265"/>
      <c r="M3799" s="265"/>
      <c r="N3799" s="265"/>
      <c r="O3799" s="265"/>
      <c r="P3799" s="265"/>
      <c r="Q3799" s="265"/>
      <c r="BR3799" s="265"/>
      <c r="BS3799" s="265"/>
      <c r="BT3799" s="265"/>
      <c r="BU3799" s="265"/>
      <c r="BV3799" s="265"/>
    </row>
    <row r="3800" spans="12:74">
      <c r="L3800" s="265"/>
      <c r="M3800" s="265"/>
      <c r="N3800" s="265"/>
      <c r="O3800" s="265"/>
      <c r="P3800" s="265"/>
      <c r="Q3800" s="265"/>
      <c r="BR3800" s="265"/>
      <c r="BS3800" s="265"/>
      <c r="BT3800" s="265"/>
      <c r="BU3800" s="265"/>
      <c r="BV3800" s="265"/>
    </row>
    <row r="3801" spans="12:74">
      <c r="L3801" s="265"/>
      <c r="M3801" s="265"/>
      <c r="N3801" s="265"/>
      <c r="O3801" s="265"/>
      <c r="P3801" s="265"/>
      <c r="Q3801" s="265"/>
      <c r="BR3801" s="265"/>
      <c r="BS3801" s="265"/>
      <c r="BT3801" s="265"/>
      <c r="BU3801" s="265"/>
      <c r="BV3801" s="265"/>
    </row>
    <row r="3802" spans="12:74">
      <c r="L3802" s="265"/>
      <c r="M3802" s="265"/>
      <c r="N3802" s="265"/>
      <c r="O3802" s="265"/>
      <c r="P3802" s="265"/>
      <c r="Q3802" s="265"/>
      <c r="BR3802" s="265"/>
      <c r="BS3802" s="265"/>
      <c r="BT3802" s="265"/>
      <c r="BU3802" s="265"/>
      <c r="BV3802" s="265"/>
    </row>
    <row r="3803" spans="12:74">
      <c r="L3803" s="265"/>
      <c r="M3803" s="265"/>
      <c r="N3803" s="265"/>
      <c r="O3803" s="265"/>
      <c r="P3803" s="265"/>
      <c r="Q3803" s="265"/>
      <c r="BR3803" s="265"/>
      <c r="BS3803" s="265"/>
      <c r="BT3803" s="265"/>
      <c r="BU3803" s="265"/>
      <c r="BV3803" s="265"/>
    </row>
    <row r="3804" spans="12:74">
      <c r="L3804" s="265"/>
      <c r="M3804" s="265"/>
      <c r="N3804" s="265"/>
      <c r="O3804" s="265"/>
      <c r="P3804" s="265"/>
      <c r="Q3804" s="265"/>
      <c r="BR3804" s="265"/>
      <c r="BS3804" s="265"/>
      <c r="BT3804" s="265"/>
      <c r="BU3804" s="265"/>
      <c r="BV3804" s="265"/>
    </row>
    <row r="3805" spans="12:74">
      <c r="L3805" s="265"/>
      <c r="M3805" s="265"/>
      <c r="N3805" s="265"/>
      <c r="O3805" s="265"/>
      <c r="P3805" s="265"/>
      <c r="Q3805" s="265"/>
      <c r="BR3805" s="265"/>
      <c r="BS3805" s="265"/>
      <c r="BT3805" s="265"/>
      <c r="BU3805" s="265"/>
      <c r="BV3805" s="265"/>
    </row>
    <row r="3806" spans="12:74">
      <c r="L3806" s="265"/>
      <c r="M3806" s="265"/>
      <c r="N3806" s="265"/>
      <c r="O3806" s="265"/>
      <c r="P3806" s="265"/>
      <c r="Q3806" s="265"/>
      <c r="BR3806" s="265"/>
      <c r="BS3806" s="265"/>
      <c r="BT3806" s="265"/>
      <c r="BU3806" s="265"/>
      <c r="BV3806" s="265"/>
    </row>
    <row r="3807" spans="12:74">
      <c r="L3807" s="265"/>
      <c r="M3807" s="265"/>
      <c r="N3807" s="265"/>
      <c r="O3807" s="265"/>
      <c r="P3807" s="265"/>
      <c r="Q3807" s="265"/>
      <c r="BR3807" s="265"/>
      <c r="BS3807" s="265"/>
      <c r="BT3807" s="265"/>
      <c r="BU3807" s="265"/>
      <c r="BV3807" s="265"/>
    </row>
    <row r="3808" spans="12:74">
      <c r="L3808" s="265"/>
      <c r="M3808" s="265"/>
      <c r="N3808" s="265"/>
      <c r="O3808" s="265"/>
      <c r="P3808" s="265"/>
      <c r="Q3808" s="265"/>
      <c r="BR3808" s="265"/>
      <c r="BS3808" s="265"/>
      <c r="BT3808" s="265"/>
      <c r="BU3808" s="265"/>
      <c r="BV3808" s="265"/>
    </row>
    <row r="3809" spans="12:74">
      <c r="L3809" s="265"/>
      <c r="M3809" s="265"/>
      <c r="N3809" s="265"/>
      <c r="O3809" s="265"/>
      <c r="P3809" s="265"/>
      <c r="Q3809" s="265"/>
      <c r="BR3809" s="265"/>
      <c r="BS3809" s="265"/>
      <c r="BT3809" s="265"/>
      <c r="BU3809" s="265"/>
      <c r="BV3809" s="265"/>
    </row>
    <row r="3810" spans="12:74">
      <c r="L3810" s="265"/>
      <c r="M3810" s="265"/>
      <c r="N3810" s="265"/>
      <c r="O3810" s="265"/>
      <c r="P3810" s="265"/>
      <c r="Q3810" s="265"/>
      <c r="BR3810" s="265"/>
      <c r="BS3810" s="265"/>
      <c r="BT3810" s="265"/>
      <c r="BU3810" s="265"/>
      <c r="BV3810" s="265"/>
    </row>
    <row r="3811" spans="12:74">
      <c r="L3811" s="265"/>
      <c r="M3811" s="265"/>
      <c r="N3811" s="265"/>
      <c r="O3811" s="265"/>
      <c r="P3811" s="265"/>
      <c r="Q3811" s="265"/>
      <c r="BR3811" s="265"/>
      <c r="BS3811" s="265"/>
      <c r="BT3811" s="265"/>
      <c r="BU3811" s="265"/>
      <c r="BV3811" s="265"/>
    </row>
    <row r="3812" spans="12:74">
      <c r="L3812" s="265"/>
      <c r="M3812" s="265"/>
      <c r="N3812" s="265"/>
      <c r="O3812" s="265"/>
      <c r="P3812" s="265"/>
      <c r="Q3812" s="265"/>
      <c r="BR3812" s="265"/>
      <c r="BS3812" s="265"/>
      <c r="BT3812" s="265"/>
      <c r="BU3812" s="265"/>
      <c r="BV3812" s="265"/>
    </row>
    <row r="3813" spans="12:74">
      <c r="L3813" s="265"/>
      <c r="M3813" s="265"/>
      <c r="N3813" s="265"/>
      <c r="O3813" s="265"/>
      <c r="P3813" s="265"/>
      <c r="Q3813" s="265"/>
      <c r="BR3813" s="265"/>
      <c r="BS3813" s="265"/>
      <c r="BT3813" s="265"/>
      <c r="BU3813" s="265"/>
      <c r="BV3813" s="265"/>
    </row>
    <row r="3814" spans="12:74">
      <c r="L3814" s="265"/>
      <c r="M3814" s="265"/>
      <c r="N3814" s="265"/>
      <c r="O3814" s="265"/>
      <c r="P3814" s="265"/>
      <c r="Q3814" s="265"/>
      <c r="BR3814" s="265"/>
      <c r="BS3814" s="265"/>
      <c r="BT3814" s="265"/>
      <c r="BU3814" s="265"/>
      <c r="BV3814" s="265"/>
    </row>
    <row r="3815" spans="12:74">
      <c r="L3815" s="265"/>
      <c r="M3815" s="265"/>
      <c r="N3815" s="265"/>
      <c r="O3815" s="265"/>
      <c r="P3815" s="265"/>
      <c r="Q3815" s="265"/>
      <c r="BR3815" s="265"/>
      <c r="BS3815" s="265"/>
      <c r="BT3815" s="265"/>
      <c r="BU3815" s="265"/>
      <c r="BV3815" s="265"/>
    </row>
    <row r="3816" spans="12:74">
      <c r="L3816" s="265"/>
      <c r="M3816" s="265"/>
      <c r="N3816" s="265"/>
      <c r="O3816" s="265"/>
      <c r="P3816" s="265"/>
      <c r="Q3816" s="265"/>
      <c r="BR3816" s="265"/>
      <c r="BS3816" s="265"/>
      <c r="BT3816" s="265"/>
      <c r="BU3816" s="265"/>
      <c r="BV3816" s="265"/>
    </row>
    <row r="3817" spans="12:74">
      <c r="L3817" s="265"/>
      <c r="M3817" s="265"/>
      <c r="N3817" s="265"/>
      <c r="O3817" s="265"/>
      <c r="P3817" s="265"/>
      <c r="Q3817" s="265"/>
      <c r="BR3817" s="265"/>
      <c r="BS3817" s="265"/>
      <c r="BT3817" s="265"/>
      <c r="BU3817" s="265"/>
      <c r="BV3817" s="265"/>
    </row>
    <row r="3818" spans="12:74">
      <c r="L3818" s="265"/>
      <c r="M3818" s="265"/>
      <c r="N3818" s="265"/>
      <c r="O3818" s="265"/>
      <c r="P3818" s="265"/>
      <c r="Q3818" s="265"/>
      <c r="BR3818" s="265"/>
      <c r="BS3818" s="265"/>
      <c r="BT3818" s="265"/>
      <c r="BU3818" s="265"/>
      <c r="BV3818" s="265"/>
    </row>
    <row r="3819" spans="12:74">
      <c r="L3819" s="265"/>
      <c r="M3819" s="265"/>
      <c r="N3819" s="265"/>
      <c r="O3819" s="265"/>
      <c r="P3819" s="265"/>
      <c r="Q3819" s="265"/>
      <c r="BR3819" s="265"/>
      <c r="BS3819" s="265"/>
      <c r="BT3819" s="265"/>
      <c r="BU3819" s="265"/>
      <c r="BV3819" s="265"/>
    </row>
    <row r="3820" spans="12:74">
      <c r="L3820" s="265"/>
      <c r="M3820" s="265"/>
      <c r="N3820" s="265"/>
      <c r="O3820" s="265"/>
      <c r="P3820" s="265"/>
      <c r="Q3820" s="265"/>
      <c r="BR3820" s="265"/>
      <c r="BS3820" s="265"/>
      <c r="BT3820" s="265"/>
      <c r="BU3820" s="265"/>
      <c r="BV3820" s="265"/>
    </row>
    <row r="3821" spans="12:74">
      <c r="L3821" s="265"/>
      <c r="M3821" s="265"/>
      <c r="N3821" s="265"/>
      <c r="O3821" s="265"/>
      <c r="P3821" s="265"/>
      <c r="Q3821" s="265"/>
      <c r="BR3821" s="265"/>
      <c r="BS3821" s="265"/>
      <c r="BT3821" s="265"/>
      <c r="BU3821" s="265"/>
      <c r="BV3821" s="265"/>
    </row>
    <row r="3822" spans="12:74">
      <c r="L3822" s="265"/>
      <c r="M3822" s="265"/>
      <c r="N3822" s="265"/>
      <c r="O3822" s="265"/>
      <c r="P3822" s="265"/>
      <c r="Q3822" s="265"/>
      <c r="BR3822" s="265"/>
      <c r="BS3822" s="265"/>
      <c r="BT3822" s="265"/>
      <c r="BU3822" s="265"/>
      <c r="BV3822" s="265"/>
    </row>
    <row r="3823" spans="12:74">
      <c r="L3823" s="265"/>
      <c r="M3823" s="265"/>
      <c r="N3823" s="265"/>
      <c r="O3823" s="265"/>
      <c r="P3823" s="265"/>
      <c r="Q3823" s="265"/>
      <c r="BR3823" s="265"/>
      <c r="BS3823" s="265"/>
      <c r="BT3823" s="265"/>
      <c r="BU3823" s="265"/>
      <c r="BV3823" s="265"/>
    </row>
    <row r="3824" spans="12:74">
      <c r="L3824" s="265"/>
      <c r="M3824" s="265"/>
      <c r="N3824" s="265"/>
      <c r="O3824" s="265"/>
      <c r="P3824" s="265"/>
      <c r="Q3824" s="265"/>
      <c r="BR3824" s="265"/>
      <c r="BS3824" s="265"/>
      <c r="BT3824" s="265"/>
      <c r="BU3824" s="265"/>
      <c r="BV3824" s="265"/>
    </row>
    <row r="3825" spans="12:74">
      <c r="L3825" s="265"/>
      <c r="M3825" s="265"/>
      <c r="N3825" s="265"/>
      <c r="O3825" s="265"/>
      <c r="P3825" s="265"/>
      <c r="Q3825" s="265"/>
      <c r="BR3825" s="265"/>
      <c r="BS3825" s="265"/>
      <c r="BT3825" s="265"/>
      <c r="BU3825" s="265"/>
      <c r="BV3825" s="265"/>
    </row>
    <row r="3826" spans="12:74">
      <c r="L3826" s="265"/>
      <c r="M3826" s="265"/>
      <c r="N3826" s="265"/>
      <c r="O3826" s="265"/>
      <c r="P3826" s="265"/>
      <c r="Q3826" s="265"/>
      <c r="BR3826" s="265"/>
      <c r="BS3826" s="265"/>
      <c r="BT3826" s="265"/>
      <c r="BU3826" s="265"/>
      <c r="BV3826" s="265"/>
    </row>
    <row r="3827" spans="12:74">
      <c r="L3827" s="265"/>
      <c r="M3827" s="265"/>
      <c r="N3827" s="265"/>
      <c r="O3827" s="265"/>
      <c r="P3827" s="265"/>
      <c r="Q3827" s="265"/>
      <c r="BR3827" s="265"/>
      <c r="BS3827" s="265"/>
      <c r="BT3827" s="265"/>
      <c r="BU3827" s="265"/>
      <c r="BV3827" s="265"/>
    </row>
    <row r="3828" spans="12:74">
      <c r="L3828" s="265"/>
      <c r="M3828" s="265"/>
      <c r="N3828" s="265"/>
      <c r="O3828" s="265"/>
      <c r="P3828" s="265"/>
      <c r="Q3828" s="265"/>
      <c r="BR3828" s="265"/>
      <c r="BS3828" s="265"/>
      <c r="BT3828" s="265"/>
      <c r="BU3828" s="265"/>
      <c r="BV3828" s="265"/>
    </row>
    <row r="3829" spans="12:74">
      <c r="L3829" s="265"/>
      <c r="M3829" s="265"/>
      <c r="N3829" s="265"/>
      <c r="O3829" s="265"/>
      <c r="P3829" s="265"/>
      <c r="Q3829" s="265"/>
      <c r="BR3829" s="265"/>
      <c r="BS3829" s="265"/>
      <c r="BT3829" s="265"/>
      <c r="BU3829" s="265"/>
      <c r="BV3829" s="265"/>
    </row>
    <row r="3830" spans="12:74">
      <c r="L3830" s="265"/>
      <c r="M3830" s="265"/>
      <c r="N3830" s="265"/>
      <c r="O3830" s="265"/>
      <c r="P3830" s="265"/>
      <c r="Q3830" s="265"/>
      <c r="BR3830" s="265"/>
      <c r="BS3830" s="265"/>
      <c r="BT3830" s="265"/>
      <c r="BU3830" s="265"/>
      <c r="BV3830" s="265"/>
    </row>
    <row r="3831" spans="12:74">
      <c r="L3831" s="265"/>
      <c r="M3831" s="265"/>
      <c r="N3831" s="265"/>
      <c r="O3831" s="265"/>
      <c r="P3831" s="265"/>
      <c r="Q3831" s="265"/>
      <c r="BR3831" s="265"/>
      <c r="BS3831" s="265"/>
      <c r="BT3831" s="265"/>
      <c r="BU3831" s="265"/>
      <c r="BV3831" s="265"/>
    </row>
    <row r="3832" spans="12:74">
      <c r="L3832" s="265"/>
      <c r="M3832" s="265"/>
      <c r="N3832" s="265"/>
      <c r="O3832" s="265"/>
      <c r="P3832" s="265"/>
      <c r="Q3832" s="265"/>
      <c r="BR3832" s="265"/>
      <c r="BS3832" s="265"/>
      <c r="BT3832" s="265"/>
      <c r="BU3832" s="265"/>
      <c r="BV3832" s="265"/>
    </row>
    <row r="3833" spans="12:74">
      <c r="L3833" s="265"/>
      <c r="M3833" s="265"/>
      <c r="N3833" s="265"/>
      <c r="O3833" s="265"/>
      <c r="P3833" s="265"/>
      <c r="Q3833" s="265"/>
      <c r="BR3833" s="265"/>
      <c r="BS3833" s="265"/>
      <c r="BT3833" s="265"/>
      <c r="BU3833" s="265"/>
      <c r="BV3833" s="265"/>
    </row>
    <row r="3834" spans="12:74">
      <c r="L3834" s="265"/>
      <c r="M3834" s="265"/>
      <c r="N3834" s="265"/>
      <c r="O3834" s="265"/>
      <c r="P3834" s="265"/>
      <c r="Q3834" s="265"/>
      <c r="BR3834" s="265"/>
      <c r="BS3834" s="265"/>
      <c r="BT3834" s="265"/>
      <c r="BU3834" s="265"/>
      <c r="BV3834" s="265"/>
    </row>
    <row r="3835" spans="12:74">
      <c r="L3835" s="265"/>
      <c r="M3835" s="265"/>
      <c r="N3835" s="265"/>
      <c r="O3835" s="265"/>
      <c r="P3835" s="265"/>
      <c r="Q3835" s="265"/>
      <c r="BR3835" s="265"/>
      <c r="BS3835" s="265"/>
      <c r="BT3835" s="265"/>
      <c r="BU3835" s="265"/>
      <c r="BV3835" s="265"/>
    </row>
    <row r="3836" spans="12:74">
      <c r="L3836" s="265"/>
      <c r="M3836" s="265"/>
      <c r="N3836" s="265"/>
      <c r="O3836" s="265"/>
      <c r="P3836" s="265"/>
      <c r="Q3836" s="265"/>
      <c r="BR3836" s="265"/>
      <c r="BS3836" s="265"/>
      <c r="BT3836" s="265"/>
      <c r="BU3836" s="265"/>
      <c r="BV3836" s="265"/>
    </row>
    <row r="3837" spans="12:74">
      <c r="L3837" s="265"/>
      <c r="M3837" s="265"/>
      <c r="N3837" s="265"/>
      <c r="O3837" s="265"/>
      <c r="P3837" s="265"/>
      <c r="Q3837" s="265"/>
      <c r="BR3837" s="265"/>
      <c r="BS3837" s="265"/>
      <c r="BT3837" s="265"/>
      <c r="BU3837" s="265"/>
      <c r="BV3837" s="265"/>
    </row>
    <row r="3838" spans="12:74">
      <c r="L3838" s="265"/>
      <c r="M3838" s="265"/>
      <c r="N3838" s="265"/>
      <c r="O3838" s="265"/>
      <c r="P3838" s="265"/>
      <c r="Q3838" s="265"/>
      <c r="BR3838" s="265"/>
      <c r="BS3838" s="265"/>
      <c r="BT3838" s="265"/>
      <c r="BU3838" s="265"/>
      <c r="BV3838" s="265"/>
    </row>
    <row r="3839" spans="12:74">
      <c r="L3839" s="265"/>
      <c r="M3839" s="265"/>
      <c r="N3839" s="265"/>
      <c r="O3839" s="265"/>
      <c r="P3839" s="265"/>
      <c r="Q3839" s="265"/>
      <c r="BR3839" s="265"/>
      <c r="BS3839" s="265"/>
      <c r="BT3839" s="265"/>
      <c r="BU3839" s="265"/>
      <c r="BV3839" s="265"/>
    </row>
    <row r="3840" spans="12:74">
      <c r="L3840" s="265"/>
      <c r="M3840" s="265"/>
      <c r="N3840" s="265"/>
      <c r="O3840" s="265"/>
      <c r="P3840" s="265"/>
      <c r="Q3840" s="265"/>
      <c r="BR3840" s="265"/>
      <c r="BS3840" s="265"/>
      <c r="BT3840" s="265"/>
      <c r="BU3840" s="265"/>
      <c r="BV3840" s="265"/>
    </row>
    <row r="3841" spans="12:74">
      <c r="L3841" s="265"/>
      <c r="M3841" s="265"/>
      <c r="N3841" s="265"/>
      <c r="O3841" s="265"/>
      <c r="P3841" s="265"/>
      <c r="Q3841" s="265"/>
      <c r="BR3841" s="265"/>
      <c r="BS3841" s="265"/>
      <c r="BT3841" s="265"/>
      <c r="BU3841" s="265"/>
      <c r="BV3841" s="265"/>
    </row>
    <row r="3842" spans="12:74">
      <c r="L3842" s="265"/>
      <c r="M3842" s="265"/>
      <c r="N3842" s="265"/>
      <c r="O3842" s="265"/>
      <c r="P3842" s="265"/>
      <c r="Q3842" s="265"/>
      <c r="BR3842" s="265"/>
      <c r="BS3842" s="265"/>
      <c r="BT3842" s="265"/>
      <c r="BU3842" s="265"/>
      <c r="BV3842" s="265"/>
    </row>
    <row r="3843" spans="12:74">
      <c r="L3843" s="265"/>
      <c r="M3843" s="265"/>
      <c r="N3843" s="265"/>
      <c r="O3843" s="265"/>
      <c r="P3843" s="265"/>
      <c r="Q3843" s="265"/>
      <c r="BR3843" s="265"/>
      <c r="BS3843" s="265"/>
      <c r="BT3843" s="265"/>
      <c r="BU3843" s="265"/>
      <c r="BV3843" s="265"/>
    </row>
    <row r="3844" spans="12:74">
      <c r="L3844" s="265"/>
      <c r="M3844" s="265"/>
      <c r="N3844" s="265"/>
      <c r="O3844" s="265"/>
      <c r="P3844" s="265"/>
      <c r="Q3844" s="265"/>
      <c r="BR3844" s="265"/>
      <c r="BS3844" s="265"/>
      <c r="BT3844" s="265"/>
      <c r="BU3844" s="265"/>
      <c r="BV3844" s="265"/>
    </row>
    <row r="3845" spans="12:74">
      <c r="L3845" s="265"/>
      <c r="M3845" s="265"/>
      <c r="N3845" s="265"/>
      <c r="O3845" s="265"/>
      <c r="P3845" s="265"/>
      <c r="Q3845" s="265"/>
      <c r="BR3845" s="265"/>
      <c r="BS3845" s="265"/>
      <c r="BT3845" s="265"/>
      <c r="BU3845" s="265"/>
      <c r="BV3845" s="265"/>
    </row>
    <row r="3846" spans="12:74">
      <c r="L3846" s="265"/>
      <c r="M3846" s="265"/>
      <c r="N3846" s="265"/>
      <c r="O3846" s="265"/>
      <c r="P3846" s="265"/>
      <c r="Q3846" s="265"/>
      <c r="BR3846" s="265"/>
      <c r="BS3846" s="265"/>
      <c r="BT3846" s="265"/>
      <c r="BU3846" s="265"/>
      <c r="BV3846" s="265"/>
    </row>
    <row r="3847" spans="12:74">
      <c r="L3847" s="265"/>
      <c r="M3847" s="265"/>
      <c r="N3847" s="265"/>
      <c r="O3847" s="265"/>
      <c r="P3847" s="265"/>
      <c r="Q3847" s="265"/>
      <c r="BR3847" s="265"/>
      <c r="BS3847" s="265"/>
      <c r="BT3847" s="265"/>
      <c r="BU3847" s="265"/>
      <c r="BV3847" s="265"/>
    </row>
    <row r="3848" spans="12:74">
      <c r="L3848" s="265"/>
      <c r="M3848" s="265"/>
      <c r="N3848" s="265"/>
      <c r="O3848" s="265"/>
      <c r="P3848" s="265"/>
      <c r="Q3848" s="265"/>
      <c r="BR3848" s="265"/>
      <c r="BS3848" s="265"/>
      <c r="BT3848" s="265"/>
      <c r="BU3848" s="265"/>
      <c r="BV3848" s="265"/>
    </row>
    <row r="3849" spans="12:74">
      <c r="L3849" s="265"/>
      <c r="M3849" s="265"/>
      <c r="N3849" s="265"/>
      <c r="O3849" s="265"/>
      <c r="P3849" s="265"/>
      <c r="Q3849" s="265"/>
      <c r="BR3849" s="265"/>
      <c r="BS3849" s="265"/>
      <c r="BT3849" s="265"/>
      <c r="BU3849" s="265"/>
      <c r="BV3849" s="265"/>
    </row>
    <row r="3850" spans="12:74">
      <c r="L3850" s="265"/>
      <c r="M3850" s="265"/>
      <c r="N3850" s="265"/>
      <c r="O3850" s="265"/>
      <c r="P3850" s="265"/>
      <c r="Q3850" s="265"/>
      <c r="BR3850" s="265"/>
      <c r="BS3850" s="265"/>
      <c r="BT3850" s="265"/>
      <c r="BU3850" s="265"/>
      <c r="BV3850" s="265"/>
    </row>
    <row r="3851" spans="12:74">
      <c r="L3851" s="265"/>
      <c r="M3851" s="265"/>
      <c r="N3851" s="265"/>
      <c r="O3851" s="265"/>
      <c r="P3851" s="265"/>
      <c r="Q3851" s="265"/>
      <c r="BR3851" s="265"/>
      <c r="BS3851" s="265"/>
      <c r="BT3851" s="265"/>
      <c r="BU3851" s="265"/>
      <c r="BV3851" s="265"/>
    </row>
    <row r="3852" spans="12:74">
      <c r="L3852" s="265"/>
      <c r="M3852" s="265"/>
      <c r="N3852" s="265"/>
      <c r="O3852" s="265"/>
      <c r="P3852" s="265"/>
      <c r="Q3852" s="265"/>
      <c r="BR3852" s="265"/>
      <c r="BS3852" s="265"/>
      <c r="BT3852" s="265"/>
      <c r="BU3852" s="265"/>
      <c r="BV3852" s="265"/>
    </row>
    <row r="3853" spans="12:74">
      <c r="L3853" s="265"/>
      <c r="M3853" s="265"/>
      <c r="N3853" s="265"/>
      <c r="O3853" s="265"/>
      <c r="P3853" s="265"/>
      <c r="Q3853" s="265"/>
      <c r="BR3853" s="265"/>
      <c r="BS3853" s="265"/>
      <c r="BT3853" s="265"/>
      <c r="BU3853" s="265"/>
      <c r="BV3853" s="265"/>
    </row>
    <row r="3854" spans="12:74">
      <c r="L3854" s="265"/>
      <c r="M3854" s="265"/>
      <c r="N3854" s="265"/>
      <c r="O3854" s="265"/>
      <c r="P3854" s="265"/>
      <c r="Q3854" s="265"/>
      <c r="BR3854" s="265"/>
      <c r="BS3854" s="265"/>
      <c r="BT3854" s="265"/>
      <c r="BU3854" s="265"/>
      <c r="BV3854" s="265"/>
    </row>
    <row r="3855" spans="12:74">
      <c r="L3855" s="265"/>
      <c r="M3855" s="265"/>
      <c r="N3855" s="265"/>
      <c r="O3855" s="265"/>
      <c r="P3855" s="265"/>
      <c r="Q3855" s="265"/>
      <c r="BR3855" s="265"/>
      <c r="BS3855" s="265"/>
      <c r="BT3855" s="265"/>
      <c r="BU3855" s="265"/>
      <c r="BV3855" s="265"/>
    </row>
    <row r="3856" spans="12:74">
      <c r="L3856" s="265"/>
      <c r="M3856" s="265"/>
      <c r="N3856" s="265"/>
      <c r="O3856" s="265"/>
      <c r="P3856" s="265"/>
      <c r="Q3856" s="265"/>
      <c r="BR3856" s="265"/>
      <c r="BS3856" s="265"/>
      <c r="BT3856" s="265"/>
      <c r="BU3856" s="265"/>
      <c r="BV3856" s="265"/>
    </row>
    <row r="3857" spans="12:74">
      <c r="L3857" s="265"/>
      <c r="M3857" s="265"/>
      <c r="N3857" s="265"/>
      <c r="O3857" s="265"/>
      <c r="P3857" s="265"/>
      <c r="Q3857" s="265"/>
      <c r="BR3857" s="265"/>
      <c r="BS3857" s="265"/>
      <c r="BT3857" s="265"/>
      <c r="BU3857" s="265"/>
      <c r="BV3857" s="265"/>
    </row>
    <row r="3858" spans="12:74">
      <c r="L3858" s="265"/>
      <c r="M3858" s="265"/>
      <c r="N3858" s="265"/>
      <c r="O3858" s="265"/>
      <c r="P3858" s="265"/>
      <c r="Q3858" s="265"/>
      <c r="BR3858" s="265"/>
      <c r="BS3858" s="265"/>
      <c r="BT3858" s="265"/>
      <c r="BU3858" s="265"/>
      <c r="BV3858" s="265"/>
    </row>
    <row r="3859" spans="12:74">
      <c r="L3859" s="265"/>
      <c r="M3859" s="265"/>
      <c r="N3859" s="265"/>
      <c r="O3859" s="265"/>
      <c r="P3859" s="265"/>
      <c r="Q3859" s="265"/>
      <c r="BR3859" s="265"/>
      <c r="BS3859" s="265"/>
      <c r="BT3859" s="265"/>
      <c r="BU3859" s="265"/>
      <c r="BV3859" s="265"/>
    </row>
    <row r="3860" spans="12:74">
      <c r="L3860" s="265"/>
      <c r="M3860" s="265"/>
      <c r="N3860" s="265"/>
      <c r="O3860" s="265"/>
      <c r="P3860" s="265"/>
      <c r="Q3860" s="265"/>
      <c r="BR3860" s="265"/>
      <c r="BS3860" s="265"/>
      <c r="BT3860" s="265"/>
      <c r="BU3860" s="265"/>
      <c r="BV3860" s="265"/>
    </row>
    <row r="3861" spans="12:74">
      <c r="L3861" s="265"/>
      <c r="M3861" s="265"/>
      <c r="N3861" s="265"/>
      <c r="O3861" s="265"/>
      <c r="P3861" s="265"/>
      <c r="Q3861" s="265"/>
      <c r="BR3861" s="265"/>
      <c r="BS3861" s="265"/>
      <c r="BT3861" s="265"/>
      <c r="BU3861" s="265"/>
      <c r="BV3861" s="265"/>
    </row>
    <row r="3862" spans="12:74">
      <c r="L3862" s="265"/>
      <c r="M3862" s="265"/>
      <c r="N3862" s="265"/>
      <c r="O3862" s="265"/>
      <c r="P3862" s="265"/>
      <c r="Q3862" s="265"/>
      <c r="BR3862" s="265"/>
      <c r="BS3862" s="265"/>
      <c r="BT3862" s="265"/>
      <c r="BU3862" s="265"/>
      <c r="BV3862" s="265"/>
    </row>
    <row r="3863" spans="12:74">
      <c r="L3863" s="265"/>
      <c r="M3863" s="265"/>
      <c r="N3863" s="265"/>
      <c r="O3863" s="265"/>
      <c r="P3863" s="265"/>
      <c r="Q3863" s="265"/>
      <c r="BR3863" s="265"/>
      <c r="BS3863" s="265"/>
      <c r="BT3863" s="265"/>
      <c r="BU3863" s="265"/>
      <c r="BV3863" s="265"/>
    </row>
    <row r="3864" spans="12:74">
      <c r="L3864" s="265"/>
      <c r="M3864" s="265"/>
      <c r="N3864" s="265"/>
      <c r="O3864" s="265"/>
      <c r="P3864" s="265"/>
      <c r="Q3864" s="265"/>
      <c r="BR3864" s="265"/>
      <c r="BS3864" s="265"/>
      <c r="BT3864" s="265"/>
      <c r="BU3864" s="265"/>
      <c r="BV3864" s="265"/>
    </row>
    <row r="3865" spans="12:74">
      <c r="L3865" s="265"/>
      <c r="M3865" s="265"/>
      <c r="N3865" s="265"/>
      <c r="O3865" s="265"/>
      <c r="P3865" s="265"/>
      <c r="Q3865" s="265"/>
      <c r="BR3865" s="265"/>
      <c r="BS3865" s="265"/>
      <c r="BT3865" s="265"/>
      <c r="BU3865" s="265"/>
      <c r="BV3865" s="265"/>
    </row>
    <row r="3866" spans="12:74">
      <c r="L3866" s="265"/>
      <c r="M3866" s="265"/>
      <c r="N3866" s="265"/>
      <c r="O3866" s="265"/>
      <c r="P3866" s="265"/>
      <c r="Q3866" s="265"/>
      <c r="BR3866" s="265"/>
      <c r="BS3866" s="265"/>
      <c r="BT3866" s="265"/>
      <c r="BU3866" s="265"/>
      <c r="BV3866" s="265"/>
    </row>
    <row r="3867" spans="12:74">
      <c r="L3867" s="265"/>
      <c r="M3867" s="265"/>
      <c r="N3867" s="265"/>
      <c r="O3867" s="265"/>
      <c r="P3867" s="265"/>
      <c r="Q3867" s="265"/>
      <c r="BR3867" s="265"/>
      <c r="BS3867" s="265"/>
      <c r="BT3867" s="265"/>
      <c r="BU3867" s="265"/>
      <c r="BV3867" s="265"/>
    </row>
    <row r="3868" spans="12:74">
      <c r="L3868" s="265"/>
      <c r="M3868" s="265"/>
      <c r="N3868" s="265"/>
      <c r="O3868" s="265"/>
      <c r="P3868" s="265"/>
      <c r="Q3868" s="265"/>
      <c r="BR3868" s="265"/>
      <c r="BS3868" s="265"/>
      <c r="BT3868" s="265"/>
      <c r="BU3868" s="265"/>
      <c r="BV3868" s="265"/>
    </row>
    <row r="3869" spans="12:74">
      <c r="L3869" s="265"/>
      <c r="M3869" s="265"/>
      <c r="N3869" s="265"/>
      <c r="O3869" s="265"/>
      <c r="P3869" s="265"/>
      <c r="Q3869" s="265"/>
      <c r="BR3869" s="265"/>
      <c r="BS3869" s="265"/>
      <c r="BT3869" s="265"/>
      <c r="BU3869" s="265"/>
      <c r="BV3869" s="265"/>
    </row>
    <row r="3870" spans="12:74">
      <c r="L3870" s="265"/>
      <c r="M3870" s="265"/>
      <c r="N3870" s="265"/>
      <c r="O3870" s="265"/>
      <c r="P3870" s="265"/>
      <c r="Q3870" s="265"/>
      <c r="BR3870" s="265"/>
      <c r="BS3870" s="265"/>
      <c r="BT3870" s="265"/>
      <c r="BU3870" s="265"/>
      <c r="BV3870" s="265"/>
    </row>
    <row r="3871" spans="12:74">
      <c r="L3871" s="265"/>
      <c r="M3871" s="265"/>
      <c r="N3871" s="265"/>
      <c r="O3871" s="265"/>
      <c r="P3871" s="265"/>
      <c r="Q3871" s="265"/>
      <c r="BR3871" s="265"/>
      <c r="BS3871" s="265"/>
      <c r="BT3871" s="265"/>
      <c r="BU3871" s="265"/>
      <c r="BV3871" s="265"/>
    </row>
    <row r="3872" spans="12:74">
      <c r="L3872" s="265"/>
      <c r="M3872" s="265"/>
      <c r="N3872" s="265"/>
      <c r="O3872" s="265"/>
      <c r="P3872" s="265"/>
      <c r="Q3872" s="265"/>
      <c r="BR3872" s="265"/>
      <c r="BS3872" s="265"/>
      <c r="BT3872" s="265"/>
      <c r="BU3872" s="265"/>
      <c r="BV3872" s="265"/>
    </row>
    <row r="3873" spans="12:74">
      <c r="L3873" s="265"/>
      <c r="M3873" s="265"/>
      <c r="N3873" s="265"/>
      <c r="O3873" s="265"/>
      <c r="P3873" s="265"/>
      <c r="Q3873" s="265"/>
      <c r="BR3873" s="265"/>
      <c r="BS3873" s="265"/>
      <c r="BT3873" s="265"/>
      <c r="BU3873" s="265"/>
      <c r="BV3873" s="265"/>
    </row>
    <row r="3874" spans="12:74">
      <c r="L3874" s="265"/>
      <c r="M3874" s="265"/>
      <c r="N3874" s="265"/>
      <c r="O3874" s="265"/>
      <c r="P3874" s="265"/>
      <c r="Q3874" s="265"/>
      <c r="BR3874" s="265"/>
      <c r="BS3874" s="265"/>
      <c r="BT3874" s="265"/>
      <c r="BU3874" s="265"/>
      <c r="BV3874" s="265"/>
    </row>
    <row r="3875" spans="12:74">
      <c r="L3875" s="265"/>
      <c r="M3875" s="265"/>
      <c r="N3875" s="265"/>
      <c r="O3875" s="265"/>
      <c r="P3875" s="265"/>
      <c r="Q3875" s="265"/>
      <c r="BR3875" s="265"/>
      <c r="BS3875" s="265"/>
      <c r="BT3875" s="265"/>
      <c r="BU3875" s="265"/>
      <c r="BV3875" s="265"/>
    </row>
    <row r="3876" spans="12:74">
      <c r="L3876" s="265"/>
      <c r="M3876" s="265"/>
      <c r="N3876" s="265"/>
      <c r="O3876" s="265"/>
      <c r="P3876" s="265"/>
      <c r="Q3876" s="265"/>
      <c r="BR3876" s="265"/>
      <c r="BS3876" s="265"/>
      <c r="BT3876" s="265"/>
      <c r="BU3876" s="265"/>
      <c r="BV3876" s="265"/>
    </row>
    <row r="3877" spans="12:74">
      <c r="L3877" s="265"/>
      <c r="M3877" s="265"/>
      <c r="N3877" s="265"/>
      <c r="O3877" s="265"/>
      <c r="P3877" s="265"/>
      <c r="Q3877" s="265"/>
      <c r="BR3877" s="265"/>
      <c r="BS3877" s="265"/>
      <c r="BT3877" s="265"/>
      <c r="BU3877" s="265"/>
      <c r="BV3877" s="265"/>
    </row>
    <row r="3878" spans="12:74">
      <c r="L3878" s="265"/>
      <c r="M3878" s="265"/>
      <c r="N3878" s="265"/>
      <c r="O3878" s="265"/>
      <c r="P3878" s="265"/>
      <c r="Q3878" s="265"/>
      <c r="BR3878" s="265"/>
      <c r="BS3878" s="265"/>
      <c r="BT3878" s="265"/>
      <c r="BU3878" s="265"/>
      <c r="BV3878" s="265"/>
    </row>
    <row r="3879" spans="12:74">
      <c r="L3879" s="265"/>
      <c r="M3879" s="265"/>
      <c r="N3879" s="265"/>
      <c r="O3879" s="265"/>
      <c r="P3879" s="265"/>
      <c r="Q3879" s="265"/>
      <c r="BR3879" s="265"/>
      <c r="BS3879" s="265"/>
      <c r="BT3879" s="265"/>
      <c r="BU3879" s="265"/>
      <c r="BV3879" s="265"/>
    </row>
    <row r="3880" spans="12:74">
      <c r="L3880" s="265"/>
      <c r="M3880" s="265"/>
      <c r="N3880" s="265"/>
      <c r="O3880" s="265"/>
      <c r="P3880" s="265"/>
      <c r="Q3880" s="265"/>
      <c r="BR3880" s="265"/>
      <c r="BS3880" s="265"/>
      <c r="BT3880" s="265"/>
      <c r="BU3880" s="265"/>
      <c r="BV3880" s="265"/>
    </row>
    <row r="3881" spans="12:74">
      <c r="L3881" s="265"/>
      <c r="M3881" s="265"/>
      <c r="N3881" s="265"/>
      <c r="O3881" s="265"/>
      <c r="P3881" s="265"/>
      <c r="Q3881" s="265"/>
      <c r="BR3881" s="265"/>
      <c r="BS3881" s="265"/>
      <c r="BT3881" s="265"/>
      <c r="BU3881" s="265"/>
      <c r="BV3881" s="265"/>
    </row>
    <row r="3882" spans="12:74">
      <c r="L3882" s="265"/>
      <c r="M3882" s="265"/>
      <c r="N3882" s="265"/>
      <c r="O3882" s="265"/>
      <c r="P3882" s="265"/>
      <c r="Q3882" s="265"/>
      <c r="BR3882" s="265"/>
      <c r="BS3882" s="265"/>
      <c r="BT3882" s="265"/>
      <c r="BU3882" s="265"/>
      <c r="BV3882" s="265"/>
    </row>
    <row r="3883" spans="12:74">
      <c r="L3883" s="265"/>
      <c r="M3883" s="265"/>
      <c r="N3883" s="265"/>
      <c r="O3883" s="265"/>
      <c r="P3883" s="265"/>
      <c r="Q3883" s="265"/>
      <c r="BR3883" s="265"/>
      <c r="BS3883" s="265"/>
      <c r="BT3883" s="265"/>
      <c r="BU3883" s="265"/>
      <c r="BV3883" s="265"/>
    </row>
    <row r="3884" spans="12:74">
      <c r="L3884" s="265"/>
      <c r="M3884" s="265"/>
      <c r="N3884" s="265"/>
      <c r="O3884" s="265"/>
      <c r="P3884" s="265"/>
      <c r="Q3884" s="265"/>
      <c r="BR3884" s="265"/>
      <c r="BS3884" s="265"/>
      <c r="BT3884" s="265"/>
      <c r="BU3884" s="265"/>
      <c r="BV3884" s="265"/>
    </row>
    <row r="3885" spans="12:74">
      <c r="L3885" s="265"/>
      <c r="M3885" s="265"/>
      <c r="N3885" s="265"/>
      <c r="O3885" s="265"/>
      <c r="P3885" s="265"/>
      <c r="Q3885" s="265"/>
      <c r="BR3885" s="265"/>
      <c r="BS3885" s="265"/>
      <c r="BT3885" s="265"/>
      <c r="BU3885" s="265"/>
      <c r="BV3885" s="265"/>
    </row>
    <row r="3886" spans="12:74">
      <c r="L3886" s="265"/>
      <c r="M3886" s="265"/>
      <c r="N3886" s="265"/>
      <c r="O3886" s="265"/>
      <c r="P3886" s="265"/>
      <c r="Q3886" s="265"/>
      <c r="BR3886" s="265"/>
      <c r="BS3886" s="265"/>
      <c r="BT3886" s="265"/>
      <c r="BU3886" s="265"/>
      <c r="BV3886" s="265"/>
    </row>
    <row r="3887" spans="12:74">
      <c r="L3887" s="265"/>
      <c r="M3887" s="265"/>
      <c r="N3887" s="265"/>
      <c r="O3887" s="265"/>
      <c r="P3887" s="265"/>
      <c r="Q3887" s="265"/>
      <c r="BR3887" s="265"/>
      <c r="BS3887" s="265"/>
      <c r="BT3887" s="265"/>
      <c r="BU3887" s="265"/>
      <c r="BV3887" s="265"/>
    </row>
    <row r="3888" spans="12:74">
      <c r="L3888" s="265"/>
      <c r="M3888" s="265"/>
      <c r="N3888" s="265"/>
      <c r="O3888" s="265"/>
      <c r="P3888" s="265"/>
      <c r="Q3888" s="265"/>
      <c r="BR3888" s="265"/>
      <c r="BS3888" s="265"/>
      <c r="BT3888" s="265"/>
      <c r="BU3888" s="265"/>
      <c r="BV3888" s="265"/>
    </row>
    <row r="3889" spans="12:74">
      <c r="L3889" s="265"/>
      <c r="M3889" s="265"/>
      <c r="N3889" s="265"/>
      <c r="O3889" s="265"/>
      <c r="P3889" s="265"/>
      <c r="Q3889" s="265"/>
      <c r="BR3889" s="265"/>
      <c r="BS3889" s="265"/>
      <c r="BT3889" s="265"/>
      <c r="BU3889" s="265"/>
      <c r="BV3889" s="265"/>
    </row>
    <row r="3890" spans="12:74">
      <c r="L3890" s="265"/>
      <c r="M3890" s="265"/>
      <c r="N3890" s="265"/>
      <c r="O3890" s="265"/>
      <c r="P3890" s="265"/>
      <c r="Q3890" s="265"/>
      <c r="BR3890" s="265"/>
      <c r="BS3890" s="265"/>
      <c r="BT3890" s="265"/>
      <c r="BU3890" s="265"/>
      <c r="BV3890" s="265"/>
    </row>
    <row r="3891" spans="12:74">
      <c r="L3891" s="265"/>
      <c r="M3891" s="265"/>
      <c r="N3891" s="265"/>
      <c r="O3891" s="265"/>
      <c r="P3891" s="265"/>
      <c r="Q3891" s="265"/>
      <c r="BR3891" s="265"/>
      <c r="BS3891" s="265"/>
      <c r="BT3891" s="265"/>
      <c r="BU3891" s="265"/>
      <c r="BV3891" s="265"/>
    </row>
    <row r="3892" spans="12:74">
      <c r="L3892" s="265"/>
      <c r="M3892" s="265"/>
      <c r="N3892" s="265"/>
      <c r="O3892" s="265"/>
      <c r="P3892" s="265"/>
      <c r="Q3892" s="265"/>
      <c r="BR3892" s="265"/>
      <c r="BS3892" s="265"/>
      <c r="BT3892" s="265"/>
      <c r="BU3892" s="265"/>
      <c r="BV3892" s="265"/>
    </row>
    <row r="3893" spans="12:74">
      <c r="L3893" s="265"/>
      <c r="M3893" s="265"/>
      <c r="N3893" s="265"/>
      <c r="O3893" s="265"/>
      <c r="P3893" s="265"/>
      <c r="Q3893" s="265"/>
      <c r="BR3893" s="265"/>
      <c r="BS3893" s="265"/>
      <c r="BT3893" s="265"/>
      <c r="BU3893" s="265"/>
      <c r="BV3893" s="265"/>
    </row>
    <row r="3894" spans="12:74">
      <c r="L3894" s="265"/>
      <c r="M3894" s="265"/>
      <c r="N3894" s="265"/>
      <c r="O3894" s="265"/>
      <c r="P3894" s="265"/>
      <c r="Q3894" s="265"/>
      <c r="BR3894" s="265"/>
      <c r="BS3894" s="265"/>
      <c r="BT3894" s="265"/>
      <c r="BU3894" s="265"/>
      <c r="BV3894" s="265"/>
    </row>
    <row r="3895" spans="12:74">
      <c r="L3895" s="265"/>
      <c r="M3895" s="265"/>
      <c r="N3895" s="265"/>
      <c r="O3895" s="265"/>
      <c r="P3895" s="265"/>
      <c r="Q3895" s="265"/>
      <c r="BR3895" s="265"/>
      <c r="BS3895" s="265"/>
      <c r="BT3895" s="265"/>
      <c r="BU3895" s="265"/>
      <c r="BV3895" s="265"/>
    </row>
    <row r="3896" spans="12:74">
      <c r="L3896" s="265"/>
      <c r="M3896" s="265"/>
      <c r="N3896" s="265"/>
      <c r="O3896" s="265"/>
      <c r="P3896" s="265"/>
      <c r="Q3896" s="265"/>
      <c r="BR3896" s="265"/>
      <c r="BS3896" s="265"/>
      <c r="BT3896" s="265"/>
      <c r="BU3896" s="265"/>
      <c r="BV3896" s="265"/>
    </row>
    <row r="3897" spans="12:74">
      <c r="L3897" s="265"/>
      <c r="M3897" s="265"/>
      <c r="N3897" s="265"/>
      <c r="O3897" s="265"/>
      <c r="P3897" s="265"/>
      <c r="Q3897" s="265"/>
      <c r="BR3897" s="265"/>
      <c r="BS3897" s="265"/>
      <c r="BT3897" s="265"/>
      <c r="BU3897" s="265"/>
      <c r="BV3897" s="265"/>
    </row>
    <row r="3898" spans="12:74">
      <c r="L3898" s="265"/>
      <c r="M3898" s="265"/>
      <c r="N3898" s="265"/>
      <c r="O3898" s="265"/>
      <c r="P3898" s="265"/>
      <c r="Q3898" s="265"/>
      <c r="BR3898" s="265"/>
      <c r="BS3898" s="265"/>
      <c r="BT3898" s="265"/>
      <c r="BU3898" s="265"/>
      <c r="BV3898" s="265"/>
    </row>
    <row r="3899" spans="12:74">
      <c r="L3899" s="265"/>
      <c r="M3899" s="265"/>
      <c r="N3899" s="265"/>
      <c r="O3899" s="265"/>
      <c r="P3899" s="265"/>
      <c r="Q3899" s="265"/>
      <c r="BR3899" s="265"/>
      <c r="BS3899" s="265"/>
      <c r="BT3899" s="265"/>
      <c r="BU3899" s="265"/>
      <c r="BV3899" s="265"/>
    </row>
    <row r="3900" spans="12:74">
      <c r="L3900" s="265"/>
      <c r="M3900" s="265"/>
      <c r="N3900" s="265"/>
      <c r="O3900" s="265"/>
      <c r="P3900" s="265"/>
      <c r="Q3900" s="265"/>
      <c r="BR3900" s="265"/>
      <c r="BS3900" s="265"/>
      <c r="BT3900" s="265"/>
      <c r="BU3900" s="265"/>
      <c r="BV3900" s="265"/>
    </row>
    <row r="3901" spans="12:74">
      <c r="L3901" s="265"/>
      <c r="M3901" s="265"/>
      <c r="N3901" s="265"/>
      <c r="O3901" s="265"/>
      <c r="P3901" s="265"/>
      <c r="Q3901" s="265"/>
      <c r="BR3901" s="265"/>
      <c r="BS3901" s="265"/>
      <c r="BT3901" s="265"/>
      <c r="BU3901" s="265"/>
      <c r="BV3901" s="265"/>
    </row>
    <row r="3902" spans="12:74">
      <c r="L3902" s="265"/>
      <c r="M3902" s="265"/>
      <c r="N3902" s="265"/>
      <c r="O3902" s="265"/>
      <c r="P3902" s="265"/>
      <c r="Q3902" s="265"/>
      <c r="BR3902" s="265"/>
      <c r="BS3902" s="265"/>
      <c r="BT3902" s="265"/>
      <c r="BU3902" s="265"/>
      <c r="BV3902" s="265"/>
    </row>
    <row r="3903" spans="12:74">
      <c r="L3903" s="265"/>
      <c r="M3903" s="265"/>
      <c r="N3903" s="265"/>
      <c r="O3903" s="265"/>
      <c r="P3903" s="265"/>
      <c r="Q3903" s="265"/>
      <c r="BR3903" s="265"/>
      <c r="BS3903" s="265"/>
      <c r="BT3903" s="265"/>
      <c r="BU3903" s="265"/>
      <c r="BV3903" s="265"/>
    </row>
    <row r="3904" spans="12:74">
      <c r="L3904" s="265"/>
      <c r="M3904" s="265"/>
      <c r="N3904" s="265"/>
      <c r="O3904" s="265"/>
      <c r="P3904" s="265"/>
      <c r="Q3904" s="265"/>
      <c r="BR3904" s="265"/>
      <c r="BS3904" s="265"/>
      <c r="BT3904" s="265"/>
      <c r="BU3904" s="265"/>
      <c r="BV3904" s="265"/>
    </row>
    <row r="3905" spans="12:74">
      <c r="L3905" s="265"/>
      <c r="M3905" s="265"/>
      <c r="N3905" s="265"/>
      <c r="O3905" s="265"/>
      <c r="P3905" s="265"/>
      <c r="Q3905" s="265"/>
      <c r="BR3905" s="265"/>
      <c r="BS3905" s="265"/>
      <c r="BT3905" s="265"/>
      <c r="BU3905" s="265"/>
      <c r="BV3905" s="265"/>
    </row>
    <row r="3906" spans="12:74">
      <c r="L3906" s="265"/>
      <c r="M3906" s="265"/>
      <c r="N3906" s="265"/>
      <c r="O3906" s="265"/>
      <c r="P3906" s="265"/>
      <c r="Q3906" s="265"/>
      <c r="BR3906" s="265"/>
      <c r="BS3906" s="265"/>
      <c r="BT3906" s="265"/>
      <c r="BU3906" s="265"/>
      <c r="BV3906" s="265"/>
    </row>
    <row r="3907" spans="12:74">
      <c r="L3907" s="265"/>
      <c r="M3907" s="265"/>
      <c r="N3907" s="265"/>
      <c r="O3907" s="265"/>
      <c r="P3907" s="265"/>
      <c r="Q3907" s="265"/>
      <c r="BR3907" s="265"/>
      <c r="BS3907" s="265"/>
      <c r="BT3907" s="265"/>
      <c r="BU3907" s="265"/>
      <c r="BV3907" s="265"/>
    </row>
    <row r="3908" spans="12:74">
      <c r="L3908" s="265"/>
      <c r="M3908" s="265"/>
      <c r="N3908" s="265"/>
      <c r="O3908" s="265"/>
      <c r="P3908" s="265"/>
      <c r="Q3908" s="265"/>
      <c r="BR3908" s="265"/>
      <c r="BS3908" s="265"/>
      <c r="BT3908" s="265"/>
      <c r="BU3908" s="265"/>
      <c r="BV3908" s="265"/>
    </row>
    <row r="3909" spans="12:74">
      <c r="L3909" s="265"/>
      <c r="M3909" s="265"/>
      <c r="N3909" s="265"/>
      <c r="O3909" s="265"/>
      <c r="P3909" s="265"/>
      <c r="Q3909" s="265"/>
      <c r="BR3909" s="265"/>
      <c r="BS3909" s="265"/>
      <c r="BT3909" s="265"/>
      <c r="BU3909" s="265"/>
      <c r="BV3909" s="265"/>
    </row>
    <row r="3910" spans="12:74">
      <c r="L3910" s="265"/>
      <c r="M3910" s="265"/>
      <c r="N3910" s="265"/>
      <c r="O3910" s="265"/>
      <c r="P3910" s="265"/>
      <c r="Q3910" s="265"/>
      <c r="BR3910" s="265"/>
      <c r="BS3910" s="265"/>
      <c r="BT3910" s="265"/>
      <c r="BU3910" s="265"/>
      <c r="BV3910" s="265"/>
    </row>
    <row r="3911" spans="12:74">
      <c r="L3911" s="265"/>
      <c r="M3911" s="265"/>
      <c r="N3911" s="265"/>
      <c r="O3911" s="265"/>
      <c r="P3911" s="265"/>
      <c r="Q3911" s="265"/>
      <c r="BR3911" s="265"/>
      <c r="BS3911" s="265"/>
      <c r="BT3911" s="265"/>
      <c r="BU3911" s="265"/>
      <c r="BV3911" s="265"/>
    </row>
    <row r="3912" spans="12:74">
      <c r="L3912" s="265"/>
      <c r="M3912" s="265"/>
      <c r="N3912" s="265"/>
      <c r="O3912" s="265"/>
      <c r="P3912" s="265"/>
      <c r="Q3912" s="265"/>
      <c r="BR3912" s="265"/>
      <c r="BS3912" s="265"/>
      <c r="BT3912" s="265"/>
      <c r="BU3912" s="265"/>
      <c r="BV3912" s="265"/>
    </row>
    <row r="3913" spans="12:74">
      <c r="L3913" s="265"/>
      <c r="M3913" s="265"/>
      <c r="N3913" s="265"/>
      <c r="O3913" s="265"/>
      <c r="P3913" s="265"/>
      <c r="Q3913" s="265"/>
      <c r="BR3913" s="265"/>
      <c r="BS3913" s="265"/>
      <c r="BT3913" s="265"/>
      <c r="BU3913" s="265"/>
      <c r="BV3913" s="265"/>
    </row>
    <row r="3914" spans="12:74">
      <c r="L3914" s="265"/>
      <c r="M3914" s="265"/>
      <c r="N3914" s="265"/>
      <c r="O3914" s="265"/>
      <c r="P3914" s="265"/>
      <c r="Q3914" s="265"/>
      <c r="BR3914" s="265"/>
      <c r="BS3914" s="265"/>
      <c r="BT3914" s="265"/>
      <c r="BU3914" s="265"/>
      <c r="BV3914" s="265"/>
    </row>
    <row r="3915" spans="12:74">
      <c r="L3915" s="265"/>
      <c r="M3915" s="265"/>
      <c r="N3915" s="265"/>
      <c r="O3915" s="265"/>
      <c r="P3915" s="265"/>
      <c r="Q3915" s="265"/>
      <c r="BR3915" s="265"/>
      <c r="BS3915" s="265"/>
      <c r="BT3915" s="265"/>
      <c r="BU3915" s="265"/>
      <c r="BV3915" s="265"/>
    </row>
    <row r="3916" spans="12:74">
      <c r="L3916" s="265"/>
      <c r="M3916" s="265"/>
      <c r="N3916" s="265"/>
      <c r="O3916" s="265"/>
      <c r="P3916" s="265"/>
      <c r="Q3916" s="265"/>
      <c r="BR3916" s="265"/>
      <c r="BS3916" s="265"/>
      <c r="BT3916" s="265"/>
      <c r="BU3916" s="265"/>
      <c r="BV3916" s="265"/>
    </row>
    <row r="3917" spans="12:74">
      <c r="L3917" s="265"/>
      <c r="M3917" s="265"/>
      <c r="N3917" s="265"/>
      <c r="O3917" s="265"/>
      <c r="P3917" s="265"/>
      <c r="Q3917" s="265"/>
      <c r="BR3917" s="265"/>
      <c r="BS3917" s="265"/>
      <c r="BT3917" s="265"/>
      <c r="BU3917" s="265"/>
      <c r="BV3917" s="265"/>
    </row>
    <row r="3918" spans="12:74">
      <c r="L3918" s="265"/>
      <c r="M3918" s="265"/>
      <c r="N3918" s="265"/>
      <c r="O3918" s="265"/>
      <c r="P3918" s="265"/>
      <c r="Q3918" s="265"/>
      <c r="BR3918" s="265"/>
      <c r="BS3918" s="265"/>
      <c r="BT3918" s="265"/>
      <c r="BU3918" s="265"/>
      <c r="BV3918" s="265"/>
    </row>
    <row r="3919" spans="12:74">
      <c r="L3919" s="265"/>
      <c r="M3919" s="265"/>
      <c r="N3919" s="265"/>
      <c r="O3919" s="265"/>
      <c r="P3919" s="265"/>
      <c r="Q3919" s="265"/>
      <c r="BR3919" s="265"/>
      <c r="BS3919" s="265"/>
      <c r="BT3919" s="265"/>
      <c r="BU3919" s="265"/>
      <c r="BV3919" s="265"/>
    </row>
    <row r="3920" spans="12:74">
      <c r="L3920" s="265"/>
      <c r="M3920" s="265"/>
      <c r="N3920" s="265"/>
      <c r="O3920" s="265"/>
      <c r="P3920" s="265"/>
      <c r="Q3920" s="265"/>
      <c r="BR3920" s="265"/>
      <c r="BS3920" s="265"/>
      <c r="BT3920" s="265"/>
      <c r="BU3920" s="265"/>
      <c r="BV3920" s="265"/>
    </row>
    <row r="3921" spans="12:74">
      <c r="L3921" s="265"/>
      <c r="M3921" s="265"/>
      <c r="N3921" s="265"/>
      <c r="O3921" s="265"/>
      <c r="P3921" s="265"/>
      <c r="Q3921" s="265"/>
      <c r="BR3921" s="265"/>
      <c r="BS3921" s="265"/>
      <c r="BT3921" s="265"/>
      <c r="BU3921" s="265"/>
      <c r="BV3921" s="265"/>
    </row>
    <row r="3922" spans="12:74">
      <c r="L3922" s="265"/>
      <c r="M3922" s="265"/>
      <c r="N3922" s="265"/>
      <c r="O3922" s="265"/>
      <c r="P3922" s="265"/>
      <c r="Q3922" s="265"/>
      <c r="BR3922" s="265"/>
      <c r="BS3922" s="265"/>
      <c r="BT3922" s="265"/>
      <c r="BU3922" s="265"/>
      <c r="BV3922" s="265"/>
    </row>
    <row r="3923" spans="12:74">
      <c r="L3923" s="265"/>
      <c r="M3923" s="265"/>
      <c r="N3923" s="265"/>
      <c r="O3923" s="265"/>
      <c r="P3923" s="265"/>
      <c r="Q3923" s="265"/>
      <c r="BR3923" s="265"/>
      <c r="BS3923" s="265"/>
      <c r="BT3923" s="265"/>
      <c r="BU3923" s="265"/>
      <c r="BV3923" s="265"/>
    </row>
    <row r="3924" spans="12:74">
      <c r="L3924" s="265"/>
      <c r="M3924" s="265"/>
      <c r="N3924" s="265"/>
      <c r="O3924" s="265"/>
      <c r="P3924" s="265"/>
      <c r="Q3924" s="265"/>
      <c r="BR3924" s="265"/>
      <c r="BS3924" s="265"/>
      <c r="BT3924" s="265"/>
      <c r="BU3924" s="265"/>
      <c r="BV3924" s="265"/>
    </row>
    <row r="3925" spans="12:74">
      <c r="L3925" s="265"/>
      <c r="M3925" s="265"/>
      <c r="N3925" s="265"/>
      <c r="O3925" s="265"/>
      <c r="P3925" s="265"/>
      <c r="Q3925" s="265"/>
      <c r="BR3925" s="265"/>
      <c r="BS3925" s="265"/>
      <c r="BT3925" s="265"/>
      <c r="BU3925" s="265"/>
      <c r="BV3925" s="265"/>
    </row>
    <row r="3926" spans="12:74">
      <c r="L3926" s="265"/>
      <c r="M3926" s="265"/>
      <c r="N3926" s="265"/>
      <c r="O3926" s="265"/>
      <c r="P3926" s="265"/>
      <c r="Q3926" s="265"/>
      <c r="BR3926" s="265"/>
      <c r="BS3926" s="265"/>
      <c r="BT3926" s="265"/>
      <c r="BU3926" s="265"/>
      <c r="BV3926" s="265"/>
    </row>
    <row r="3927" spans="12:74">
      <c r="L3927" s="265"/>
      <c r="M3927" s="265"/>
      <c r="N3927" s="265"/>
      <c r="O3927" s="265"/>
      <c r="P3927" s="265"/>
      <c r="Q3927" s="265"/>
      <c r="BR3927" s="265"/>
      <c r="BS3927" s="265"/>
      <c r="BT3927" s="265"/>
      <c r="BU3927" s="265"/>
      <c r="BV3927" s="265"/>
    </row>
    <row r="3928" spans="12:74">
      <c r="L3928" s="265"/>
      <c r="M3928" s="265"/>
      <c r="N3928" s="265"/>
      <c r="O3928" s="265"/>
      <c r="P3928" s="265"/>
      <c r="Q3928" s="265"/>
      <c r="BR3928" s="265"/>
      <c r="BS3928" s="265"/>
      <c r="BT3928" s="265"/>
      <c r="BU3928" s="265"/>
      <c r="BV3928" s="265"/>
    </row>
    <row r="3929" spans="12:74">
      <c r="L3929" s="265"/>
      <c r="M3929" s="265"/>
      <c r="N3929" s="265"/>
      <c r="O3929" s="265"/>
      <c r="P3929" s="265"/>
      <c r="Q3929" s="265"/>
      <c r="BR3929" s="265"/>
      <c r="BS3929" s="265"/>
      <c r="BT3929" s="265"/>
      <c r="BU3929" s="265"/>
      <c r="BV3929" s="265"/>
    </row>
    <row r="3930" spans="12:74">
      <c r="L3930" s="265"/>
      <c r="M3930" s="265"/>
      <c r="N3930" s="265"/>
      <c r="O3930" s="265"/>
      <c r="P3930" s="265"/>
      <c r="Q3930" s="265"/>
      <c r="BR3930" s="265"/>
      <c r="BS3930" s="265"/>
      <c r="BT3930" s="265"/>
      <c r="BU3930" s="265"/>
      <c r="BV3930" s="265"/>
    </row>
    <row r="3931" spans="12:74">
      <c r="L3931" s="265"/>
      <c r="M3931" s="265"/>
      <c r="N3931" s="265"/>
      <c r="O3931" s="265"/>
      <c r="P3931" s="265"/>
      <c r="Q3931" s="265"/>
      <c r="BR3931" s="265"/>
      <c r="BS3931" s="265"/>
      <c r="BT3931" s="265"/>
      <c r="BU3931" s="265"/>
      <c r="BV3931" s="265"/>
    </row>
    <row r="3932" spans="12:74">
      <c r="L3932" s="265"/>
      <c r="M3932" s="265"/>
      <c r="N3932" s="265"/>
      <c r="O3932" s="265"/>
      <c r="P3932" s="265"/>
      <c r="Q3932" s="265"/>
      <c r="BR3932" s="265"/>
      <c r="BS3932" s="265"/>
      <c r="BT3932" s="265"/>
      <c r="BU3932" s="265"/>
      <c r="BV3932" s="265"/>
    </row>
    <row r="3933" spans="12:74">
      <c r="L3933" s="265"/>
      <c r="M3933" s="265"/>
      <c r="N3933" s="265"/>
      <c r="O3933" s="265"/>
      <c r="P3933" s="265"/>
      <c r="Q3933" s="265"/>
      <c r="BR3933" s="265"/>
      <c r="BS3933" s="265"/>
      <c r="BT3933" s="265"/>
      <c r="BU3933" s="265"/>
      <c r="BV3933" s="265"/>
    </row>
    <row r="3934" spans="12:74">
      <c r="L3934" s="265"/>
      <c r="M3934" s="265"/>
      <c r="N3934" s="265"/>
      <c r="O3934" s="265"/>
      <c r="P3934" s="265"/>
      <c r="Q3934" s="265"/>
      <c r="BR3934" s="265"/>
      <c r="BS3934" s="265"/>
      <c r="BT3934" s="265"/>
      <c r="BU3934" s="265"/>
      <c r="BV3934" s="265"/>
    </row>
    <row r="3935" spans="12:74">
      <c r="L3935" s="265"/>
      <c r="M3935" s="265"/>
      <c r="N3935" s="265"/>
      <c r="O3935" s="265"/>
      <c r="P3935" s="265"/>
      <c r="Q3935" s="265"/>
      <c r="BR3935" s="265"/>
      <c r="BS3935" s="265"/>
      <c r="BT3935" s="265"/>
      <c r="BU3935" s="265"/>
      <c r="BV3935" s="265"/>
    </row>
    <row r="3936" spans="12:74">
      <c r="L3936" s="265"/>
      <c r="M3936" s="265"/>
      <c r="N3936" s="265"/>
      <c r="O3936" s="265"/>
      <c r="P3936" s="265"/>
      <c r="Q3936" s="265"/>
      <c r="BR3936" s="265"/>
      <c r="BS3936" s="265"/>
      <c r="BT3936" s="265"/>
      <c r="BU3936" s="265"/>
      <c r="BV3936" s="265"/>
    </row>
    <row r="3937" spans="12:74">
      <c r="L3937" s="265"/>
      <c r="M3937" s="265"/>
      <c r="N3937" s="265"/>
      <c r="O3937" s="265"/>
      <c r="P3937" s="265"/>
      <c r="Q3937" s="265"/>
      <c r="BR3937" s="265"/>
      <c r="BS3937" s="265"/>
      <c r="BT3937" s="265"/>
      <c r="BU3937" s="265"/>
      <c r="BV3937" s="265"/>
    </row>
    <row r="3938" spans="12:74">
      <c r="L3938" s="265"/>
      <c r="M3938" s="265"/>
      <c r="N3938" s="265"/>
      <c r="O3938" s="265"/>
      <c r="P3938" s="265"/>
      <c r="Q3938" s="265"/>
      <c r="BR3938" s="265"/>
      <c r="BS3938" s="265"/>
      <c r="BT3938" s="265"/>
      <c r="BU3938" s="265"/>
      <c r="BV3938" s="265"/>
    </row>
    <row r="3939" spans="12:74">
      <c r="L3939" s="265"/>
      <c r="M3939" s="265"/>
      <c r="N3939" s="265"/>
      <c r="O3939" s="265"/>
      <c r="P3939" s="265"/>
      <c r="Q3939" s="265"/>
      <c r="BR3939" s="265"/>
      <c r="BS3939" s="265"/>
      <c r="BT3939" s="265"/>
      <c r="BU3939" s="265"/>
      <c r="BV3939" s="265"/>
    </row>
    <row r="3940" spans="12:74">
      <c r="L3940" s="265"/>
      <c r="M3940" s="265"/>
      <c r="N3940" s="265"/>
      <c r="O3940" s="265"/>
      <c r="P3940" s="265"/>
      <c r="Q3940" s="265"/>
      <c r="BR3940" s="265"/>
      <c r="BS3940" s="265"/>
      <c r="BT3940" s="265"/>
      <c r="BU3940" s="265"/>
      <c r="BV3940" s="265"/>
    </row>
    <row r="3941" spans="12:74">
      <c r="L3941" s="265"/>
      <c r="M3941" s="265"/>
      <c r="N3941" s="265"/>
      <c r="O3941" s="265"/>
      <c r="P3941" s="265"/>
      <c r="Q3941" s="265"/>
      <c r="BR3941" s="265"/>
      <c r="BS3941" s="265"/>
      <c r="BT3941" s="265"/>
      <c r="BU3941" s="265"/>
      <c r="BV3941" s="265"/>
    </row>
    <row r="3942" spans="12:74">
      <c r="L3942" s="265"/>
      <c r="M3942" s="265"/>
      <c r="N3942" s="265"/>
      <c r="O3942" s="265"/>
      <c r="P3942" s="265"/>
      <c r="Q3942" s="265"/>
      <c r="BR3942" s="265"/>
      <c r="BS3942" s="265"/>
      <c r="BT3942" s="265"/>
      <c r="BU3942" s="265"/>
      <c r="BV3942" s="265"/>
    </row>
    <row r="3943" spans="12:74">
      <c r="L3943" s="265"/>
      <c r="M3943" s="265"/>
      <c r="N3943" s="265"/>
      <c r="O3943" s="265"/>
      <c r="P3943" s="265"/>
      <c r="Q3943" s="265"/>
      <c r="BR3943" s="265"/>
      <c r="BS3943" s="265"/>
      <c r="BT3943" s="265"/>
      <c r="BU3943" s="265"/>
      <c r="BV3943" s="265"/>
    </row>
    <row r="3944" spans="12:74">
      <c r="L3944" s="265"/>
      <c r="M3944" s="265"/>
      <c r="N3944" s="265"/>
      <c r="O3944" s="265"/>
      <c r="P3944" s="265"/>
      <c r="Q3944" s="265"/>
      <c r="BR3944" s="265"/>
      <c r="BS3944" s="265"/>
      <c r="BT3944" s="265"/>
      <c r="BU3944" s="265"/>
      <c r="BV3944" s="265"/>
    </row>
    <row r="3945" spans="12:74">
      <c r="L3945" s="265"/>
      <c r="M3945" s="265"/>
      <c r="N3945" s="265"/>
      <c r="O3945" s="265"/>
      <c r="P3945" s="265"/>
      <c r="Q3945" s="265"/>
      <c r="BR3945" s="265"/>
      <c r="BS3945" s="265"/>
      <c r="BT3945" s="265"/>
      <c r="BU3945" s="265"/>
      <c r="BV3945" s="265"/>
    </row>
    <row r="3946" spans="12:74">
      <c r="L3946" s="265"/>
      <c r="M3946" s="265"/>
      <c r="N3946" s="265"/>
      <c r="O3946" s="265"/>
      <c r="P3946" s="265"/>
      <c r="Q3946" s="265"/>
      <c r="BR3946" s="265"/>
      <c r="BS3946" s="265"/>
      <c r="BT3946" s="265"/>
      <c r="BU3946" s="265"/>
      <c r="BV3946" s="265"/>
    </row>
    <row r="3947" spans="12:74">
      <c r="L3947" s="265"/>
      <c r="M3947" s="265"/>
      <c r="N3947" s="265"/>
      <c r="O3947" s="265"/>
      <c r="P3947" s="265"/>
      <c r="Q3947" s="265"/>
      <c r="BR3947" s="265"/>
      <c r="BS3947" s="265"/>
      <c r="BT3947" s="265"/>
      <c r="BU3947" s="265"/>
      <c r="BV3947" s="265"/>
    </row>
    <row r="3948" spans="12:74">
      <c r="L3948" s="265"/>
      <c r="M3948" s="265"/>
      <c r="N3948" s="265"/>
      <c r="O3948" s="265"/>
      <c r="P3948" s="265"/>
      <c r="Q3948" s="265"/>
      <c r="BR3948" s="265"/>
      <c r="BS3948" s="265"/>
      <c r="BT3948" s="265"/>
      <c r="BU3948" s="265"/>
      <c r="BV3948" s="265"/>
    </row>
    <row r="3949" spans="12:74">
      <c r="L3949" s="265"/>
      <c r="M3949" s="265"/>
      <c r="N3949" s="265"/>
      <c r="O3949" s="265"/>
      <c r="P3949" s="265"/>
      <c r="Q3949" s="265"/>
      <c r="BR3949" s="265"/>
      <c r="BS3949" s="265"/>
      <c r="BT3949" s="265"/>
      <c r="BU3949" s="265"/>
      <c r="BV3949" s="265"/>
    </row>
    <row r="3950" spans="12:74">
      <c r="L3950" s="265"/>
      <c r="M3950" s="265"/>
      <c r="N3950" s="265"/>
      <c r="O3950" s="265"/>
      <c r="P3950" s="265"/>
      <c r="Q3950" s="265"/>
      <c r="BR3950" s="265"/>
      <c r="BS3950" s="265"/>
      <c r="BT3950" s="265"/>
      <c r="BU3950" s="265"/>
      <c r="BV3950" s="265"/>
    </row>
    <row r="3951" spans="12:74">
      <c r="L3951" s="265"/>
      <c r="M3951" s="265"/>
      <c r="N3951" s="265"/>
      <c r="O3951" s="265"/>
      <c r="P3951" s="265"/>
      <c r="Q3951" s="265"/>
      <c r="BR3951" s="265"/>
      <c r="BS3951" s="265"/>
      <c r="BT3951" s="265"/>
      <c r="BU3951" s="265"/>
      <c r="BV3951" s="265"/>
    </row>
    <row r="3952" spans="12:74">
      <c r="L3952" s="265"/>
      <c r="M3952" s="265"/>
      <c r="N3952" s="265"/>
      <c r="O3952" s="265"/>
      <c r="P3952" s="265"/>
      <c r="Q3952" s="265"/>
      <c r="BR3952" s="265"/>
      <c r="BS3952" s="265"/>
      <c r="BT3952" s="265"/>
      <c r="BU3952" s="265"/>
      <c r="BV3952" s="265"/>
    </row>
    <row r="3953" spans="12:74">
      <c r="L3953" s="265"/>
      <c r="M3953" s="265"/>
      <c r="N3953" s="265"/>
      <c r="O3953" s="265"/>
      <c r="P3953" s="265"/>
      <c r="Q3953" s="265"/>
      <c r="BR3953" s="265"/>
      <c r="BS3953" s="265"/>
      <c r="BT3953" s="265"/>
      <c r="BU3953" s="265"/>
      <c r="BV3953" s="265"/>
    </row>
    <row r="3954" spans="12:74">
      <c r="L3954" s="265"/>
      <c r="M3954" s="265"/>
      <c r="N3954" s="265"/>
      <c r="O3954" s="265"/>
      <c r="P3954" s="265"/>
      <c r="Q3954" s="265"/>
      <c r="BR3954" s="265"/>
      <c r="BS3954" s="265"/>
      <c r="BT3954" s="265"/>
      <c r="BU3954" s="265"/>
      <c r="BV3954" s="265"/>
    </row>
    <row r="3955" spans="12:74">
      <c r="L3955" s="265"/>
      <c r="M3955" s="265"/>
      <c r="N3955" s="265"/>
      <c r="O3955" s="265"/>
      <c r="P3955" s="265"/>
      <c r="Q3955" s="265"/>
      <c r="BR3955" s="265"/>
      <c r="BS3955" s="265"/>
      <c r="BT3955" s="265"/>
      <c r="BU3955" s="265"/>
      <c r="BV3955" s="265"/>
    </row>
    <row r="3956" spans="12:74">
      <c r="L3956" s="265"/>
      <c r="M3956" s="265"/>
      <c r="N3956" s="265"/>
      <c r="O3956" s="265"/>
      <c r="P3956" s="265"/>
      <c r="Q3956" s="265"/>
      <c r="BR3956" s="265"/>
      <c r="BS3956" s="265"/>
      <c r="BT3956" s="265"/>
      <c r="BU3956" s="265"/>
      <c r="BV3956" s="265"/>
    </row>
    <row r="3957" spans="12:74">
      <c r="L3957" s="265"/>
      <c r="M3957" s="265"/>
      <c r="N3957" s="265"/>
      <c r="O3957" s="265"/>
      <c r="P3957" s="265"/>
      <c r="Q3957" s="265"/>
      <c r="BR3957" s="265"/>
      <c r="BS3957" s="265"/>
      <c r="BT3957" s="265"/>
      <c r="BU3957" s="265"/>
      <c r="BV3957" s="265"/>
    </row>
    <row r="3958" spans="12:74">
      <c r="L3958" s="265"/>
      <c r="M3958" s="265"/>
      <c r="N3958" s="265"/>
      <c r="O3958" s="265"/>
      <c r="P3958" s="265"/>
      <c r="Q3958" s="265"/>
      <c r="BR3958" s="265"/>
      <c r="BS3958" s="265"/>
      <c r="BT3958" s="265"/>
      <c r="BU3958" s="265"/>
      <c r="BV3958" s="265"/>
    </row>
    <row r="3959" spans="12:74">
      <c r="L3959" s="265"/>
      <c r="M3959" s="265"/>
      <c r="N3959" s="265"/>
      <c r="O3959" s="265"/>
      <c r="P3959" s="265"/>
      <c r="Q3959" s="265"/>
      <c r="BR3959" s="265"/>
      <c r="BS3959" s="265"/>
      <c r="BT3959" s="265"/>
      <c r="BU3959" s="265"/>
      <c r="BV3959" s="265"/>
    </row>
    <row r="3960" spans="12:74">
      <c r="L3960" s="265"/>
      <c r="M3960" s="265"/>
      <c r="N3960" s="265"/>
      <c r="O3960" s="265"/>
      <c r="P3960" s="265"/>
      <c r="Q3960" s="265"/>
      <c r="BR3960" s="265"/>
      <c r="BS3960" s="265"/>
      <c r="BT3960" s="265"/>
      <c r="BU3960" s="265"/>
      <c r="BV3960" s="265"/>
    </row>
    <row r="3961" spans="12:74">
      <c r="L3961" s="265"/>
      <c r="M3961" s="265"/>
      <c r="N3961" s="265"/>
      <c r="O3961" s="265"/>
      <c r="P3961" s="265"/>
      <c r="Q3961" s="265"/>
      <c r="BR3961" s="265"/>
      <c r="BS3961" s="265"/>
      <c r="BT3961" s="265"/>
      <c r="BU3961" s="265"/>
      <c r="BV3961" s="265"/>
    </row>
    <row r="3962" spans="12:74">
      <c r="L3962" s="265"/>
      <c r="M3962" s="265"/>
      <c r="N3962" s="265"/>
      <c r="O3962" s="265"/>
      <c r="P3962" s="265"/>
      <c r="Q3962" s="265"/>
      <c r="BR3962" s="265"/>
      <c r="BS3962" s="265"/>
      <c r="BT3962" s="265"/>
      <c r="BU3962" s="265"/>
      <c r="BV3962" s="265"/>
    </row>
    <row r="3963" spans="12:74">
      <c r="L3963" s="265"/>
      <c r="M3963" s="265"/>
      <c r="N3963" s="265"/>
      <c r="O3963" s="265"/>
      <c r="P3963" s="265"/>
      <c r="Q3963" s="265"/>
      <c r="BR3963" s="265"/>
      <c r="BS3963" s="265"/>
      <c r="BT3963" s="265"/>
      <c r="BU3963" s="265"/>
      <c r="BV3963" s="265"/>
    </row>
    <row r="3964" spans="12:74">
      <c r="L3964" s="265"/>
      <c r="M3964" s="265"/>
      <c r="N3964" s="265"/>
      <c r="O3964" s="265"/>
      <c r="P3964" s="265"/>
      <c r="Q3964" s="265"/>
      <c r="BR3964" s="265"/>
      <c r="BS3964" s="265"/>
      <c r="BT3964" s="265"/>
      <c r="BU3964" s="265"/>
      <c r="BV3964" s="265"/>
    </row>
    <row r="3965" spans="12:74">
      <c r="L3965" s="265"/>
      <c r="M3965" s="265"/>
      <c r="N3965" s="265"/>
      <c r="O3965" s="265"/>
      <c r="P3965" s="265"/>
      <c r="Q3965" s="265"/>
      <c r="BR3965" s="265"/>
      <c r="BS3965" s="265"/>
      <c r="BT3965" s="265"/>
      <c r="BU3965" s="265"/>
      <c r="BV3965" s="265"/>
    </row>
    <row r="3966" spans="12:74">
      <c r="L3966" s="265"/>
      <c r="M3966" s="265"/>
      <c r="N3966" s="265"/>
      <c r="O3966" s="265"/>
      <c r="P3966" s="265"/>
      <c r="Q3966" s="265"/>
      <c r="BR3966" s="265"/>
      <c r="BS3966" s="265"/>
      <c r="BT3966" s="265"/>
      <c r="BU3966" s="265"/>
      <c r="BV3966" s="265"/>
    </row>
    <row r="3967" spans="12:74">
      <c r="L3967" s="265"/>
      <c r="M3967" s="265"/>
      <c r="N3967" s="265"/>
      <c r="O3967" s="265"/>
      <c r="P3967" s="265"/>
      <c r="Q3967" s="265"/>
      <c r="BR3967" s="265"/>
      <c r="BS3967" s="265"/>
      <c r="BT3967" s="265"/>
      <c r="BU3967" s="265"/>
      <c r="BV3967" s="265"/>
    </row>
    <row r="3968" spans="12:74">
      <c r="L3968" s="265"/>
      <c r="M3968" s="265"/>
      <c r="N3968" s="265"/>
      <c r="O3968" s="265"/>
      <c r="P3968" s="265"/>
      <c r="Q3968" s="265"/>
      <c r="BR3968" s="265"/>
      <c r="BS3968" s="265"/>
      <c r="BT3968" s="265"/>
      <c r="BU3968" s="265"/>
      <c r="BV3968" s="265"/>
    </row>
    <row r="3969" spans="12:74">
      <c r="L3969" s="265"/>
      <c r="M3969" s="265"/>
      <c r="N3969" s="265"/>
      <c r="O3969" s="265"/>
      <c r="P3969" s="265"/>
      <c r="Q3969" s="265"/>
      <c r="BR3969" s="265"/>
      <c r="BS3969" s="265"/>
      <c r="BT3969" s="265"/>
      <c r="BU3969" s="265"/>
      <c r="BV3969" s="265"/>
    </row>
    <row r="3970" spans="12:74">
      <c r="L3970" s="265"/>
      <c r="M3970" s="265"/>
      <c r="N3970" s="265"/>
      <c r="O3970" s="265"/>
      <c r="P3970" s="265"/>
      <c r="Q3970" s="265"/>
      <c r="BR3970" s="265"/>
      <c r="BS3970" s="265"/>
      <c r="BT3970" s="265"/>
      <c r="BU3970" s="265"/>
      <c r="BV3970" s="265"/>
    </row>
    <row r="3971" spans="12:74">
      <c r="L3971" s="265"/>
      <c r="M3971" s="265"/>
      <c r="N3971" s="265"/>
      <c r="O3971" s="265"/>
      <c r="P3971" s="265"/>
      <c r="Q3971" s="265"/>
      <c r="BR3971" s="265"/>
      <c r="BS3971" s="265"/>
      <c r="BT3971" s="265"/>
      <c r="BU3971" s="265"/>
      <c r="BV3971" s="265"/>
    </row>
    <row r="3972" spans="12:74">
      <c r="L3972" s="265"/>
      <c r="M3972" s="265"/>
      <c r="N3972" s="265"/>
      <c r="O3972" s="265"/>
      <c r="P3972" s="265"/>
      <c r="Q3972" s="265"/>
      <c r="BR3972" s="265"/>
      <c r="BS3972" s="265"/>
      <c r="BT3972" s="265"/>
      <c r="BU3972" s="265"/>
      <c r="BV3972" s="265"/>
    </row>
    <row r="3973" spans="12:74">
      <c r="L3973" s="265"/>
      <c r="M3973" s="265"/>
      <c r="N3973" s="265"/>
      <c r="O3973" s="265"/>
      <c r="P3973" s="265"/>
      <c r="Q3973" s="265"/>
      <c r="BR3973" s="265"/>
      <c r="BS3973" s="265"/>
      <c r="BT3973" s="265"/>
      <c r="BU3973" s="265"/>
      <c r="BV3973" s="265"/>
    </row>
    <row r="3974" spans="12:74">
      <c r="L3974" s="265"/>
      <c r="M3974" s="265"/>
      <c r="N3974" s="265"/>
      <c r="O3974" s="265"/>
      <c r="P3974" s="265"/>
      <c r="Q3974" s="265"/>
      <c r="BR3974" s="265"/>
      <c r="BS3974" s="265"/>
      <c r="BT3974" s="265"/>
      <c r="BU3974" s="265"/>
      <c r="BV3974" s="265"/>
    </row>
    <row r="3975" spans="12:74">
      <c r="L3975" s="265"/>
      <c r="M3975" s="265"/>
      <c r="N3975" s="265"/>
      <c r="O3975" s="265"/>
      <c r="P3975" s="265"/>
      <c r="Q3975" s="265"/>
      <c r="BR3975" s="265"/>
      <c r="BS3975" s="265"/>
      <c r="BT3975" s="265"/>
      <c r="BU3975" s="265"/>
      <c r="BV3975" s="265"/>
    </row>
    <row r="3976" spans="12:74">
      <c r="L3976" s="265"/>
      <c r="M3976" s="265"/>
      <c r="N3976" s="265"/>
      <c r="O3976" s="265"/>
      <c r="P3976" s="265"/>
      <c r="Q3976" s="265"/>
      <c r="BR3976" s="265"/>
      <c r="BS3976" s="265"/>
      <c r="BT3976" s="265"/>
      <c r="BU3976" s="265"/>
      <c r="BV3976" s="265"/>
    </row>
    <row r="3977" spans="12:74">
      <c r="L3977" s="265"/>
      <c r="M3977" s="265"/>
      <c r="N3977" s="265"/>
      <c r="O3977" s="265"/>
      <c r="P3977" s="265"/>
      <c r="Q3977" s="265"/>
      <c r="BR3977" s="265"/>
      <c r="BS3977" s="265"/>
      <c r="BT3977" s="265"/>
      <c r="BU3977" s="265"/>
      <c r="BV3977" s="265"/>
    </row>
    <row r="3978" spans="12:74">
      <c r="L3978" s="265"/>
      <c r="M3978" s="265"/>
      <c r="N3978" s="265"/>
      <c r="O3978" s="265"/>
      <c r="P3978" s="265"/>
      <c r="Q3978" s="265"/>
      <c r="BR3978" s="265"/>
      <c r="BS3978" s="265"/>
      <c r="BT3978" s="265"/>
      <c r="BU3978" s="265"/>
      <c r="BV3978" s="265"/>
    </row>
    <row r="3979" spans="12:74">
      <c r="L3979" s="265"/>
      <c r="M3979" s="265"/>
      <c r="N3979" s="265"/>
      <c r="O3979" s="265"/>
      <c r="P3979" s="265"/>
      <c r="Q3979" s="265"/>
      <c r="BR3979" s="265"/>
      <c r="BS3979" s="265"/>
      <c r="BT3979" s="265"/>
      <c r="BU3979" s="265"/>
      <c r="BV3979" s="265"/>
    </row>
    <row r="3980" spans="12:74">
      <c r="L3980" s="265"/>
      <c r="M3980" s="265"/>
      <c r="N3980" s="265"/>
      <c r="O3980" s="265"/>
      <c r="P3980" s="265"/>
      <c r="Q3980" s="265"/>
      <c r="BR3980" s="265"/>
      <c r="BS3980" s="265"/>
      <c r="BT3980" s="265"/>
      <c r="BU3980" s="265"/>
      <c r="BV3980" s="265"/>
    </row>
    <row r="3981" spans="12:74">
      <c r="L3981" s="265"/>
      <c r="M3981" s="265"/>
      <c r="N3981" s="265"/>
      <c r="O3981" s="265"/>
      <c r="P3981" s="265"/>
      <c r="Q3981" s="265"/>
      <c r="BR3981" s="265"/>
      <c r="BS3981" s="265"/>
      <c r="BT3981" s="265"/>
      <c r="BU3981" s="265"/>
      <c r="BV3981" s="265"/>
    </row>
    <row r="3982" spans="12:74">
      <c r="L3982" s="265"/>
      <c r="M3982" s="265"/>
      <c r="N3982" s="265"/>
      <c r="O3982" s="265"/>
      <c r="P3982" s="265"/>
      <c r="Q3982" s="265"/>
      <c r="BR3982" s="265"/>
      <c r="BS3982" s="265"/>
      <c r="BT3982" s="265"/>
      <c r="BU3982" s="265"/>
      <c r="BV3982" s="265"/>
    </row>
    <row r="3983" spans="12:74">
      <c r="L3983" s="265"/>
      <c r="M3983" s="265"/>
      <c r="N3983" s="265"/>
      <c r="O3983" s="265"/>
      <c r="P3983" s="265"/>
      <c r="Q3983" s="265"/>
      <c r="BR3983" s="265"/>
      <c r="BS3983" s="265"/>
      <c r="BT3983" s="265"/>
      <c r="BU3983" s="265"/>
      <c r="BV3983" s="265"/>
    </row>
    <row r="3984" spans="12:74">
      <c r="L3984" s="265"/>
      <c r="M3984" s="265"/>
      <c r="N3984" s="265"/>
      <c r="O3984" s="265"/>
      <c r="P3984" s="265"/>
      <c r="Q3984" s="265"/>
      <c r="BR3984" s="265"/>
      <c r="BS3984" s="265"/>
      <c r="BT3984" s="265"/>
      <c r="BU3984" s="265"/>
      <c r="BV3984" s="265"/>
    </row>
    <row r="3985" spans="12:74">
      <c r="L3985" s="265"/>
      <c r="M3985" s="265"/>
      <c r="N3985" s="265"/>
      <c r="O3985" s="265"/>
      <c r="P3985" s="265"/>
      <c r="Q3985" s="265"/>
      <c r="BR3985" s="265"/>
      <c r="BS3985" s="265"/>
      <c r="BT3985" s="265"/>
      <c r="BU3985" s="265"/>
      <c r="BV3985" s="265"/>
    </row>
    <row r="3986" spans="12:74">
      <c r="L3986" s="265"/>
      <c r="M3986" s="265"/>
      <c r="N3986" s="265"/>
      <c r="O3986" s="265"/>
      <c r="P3986" s="265"/>
      <c r="Q3986" s="265"/>
      <c r="BR3986" s="265"/>
      <c r="BS3986" s="265"/>
      <c r="BT3986" s="265"/>
      <c r="BU3986" s="265"/>
      <c r="BV3986" s="265"/>
    </row>
    <row r="3987" spans="12:74">
      <c r="L3987" s="265"/>
      <c r="M3987" s="265"/>
      <c r="N3987" s="265"/>
      <c r="O3987" s="265"/>
      <c r="P3987" s="265"/>
      <c r="Q3987" s="265"/>
      <c r="BR3987" s="265"/>
      <c r="BS3987" s="265"/>
      <c r="BT3987" s="265"/>
      <c r="BU3987" s="265"/>
      <c r="BV3987" s="265"/>
    </row>
    <row r="3988" spans="12:74">
      <c r="L3988" s="265"/>
      <c r="M3988" s="265"/>
      <c r="N3988" s="265"/>
      <c r="O3988" s="265"/>
      <c r="P3988" s="265"/>
      <c r="Q3988" s="265"/>
      <c r="BR3988" s="265"/>
      <c r="BS3988" s="265"/>
      <c r="BT3988" s="265"/>
      <c r="BU3988" s="265"/>
      <c r="BV3988" s="265"/>
    </row>
    <row r="3989" spans="12:74">
      <c r="L3989" s="265"/>
      <c r="M3989" s="265"/>
      <c r="N3989" s="265"/>
      <c r="O3989" s="265"/>
      <c r="P3989" s="265"/>
      <c r="Q3989" s="265"/>
      <c r="BR3989" s="265"/>
      <c r="BS3989" s="265"/>
      <c r="BT3989" s="265"/>
      <c r="BU3989" s="265"/>
      <c r="BV3989" s="265"/>
    </row>
    <row r="3990" spans="12:74">
      <c r="L3990" s="265"/>
      <c r="M3990" s="265"/>
      <c r="N3990" s="265"/>
      <c r="O3990" s="265"/>
      <c r="P3990" s="265"/>
      <c r="Q3990" s="265"/>
      <c r="BR3990" s="265"/>
      <c r="BS3990" s="265"/>
      <c r="BT3990" s="265"/>
      <c r="BU3990" s="265"/>
      <c r="BV3990" s="265"/>
    </row>
    <row r="3991" spans="12:74">
      <c r="L3991" s="265"/>
      <c r="M3991" s="265"/>
      <c r="N3991" s="265"/>
      <c r="O3991" s="265"/>
      <c r="P3991" s="265"/>
      <c r="Q3991" s="265"/>
      <c r="BR3991" s="265"/>
      <c r="BS3991" s="265"/>
      <c r="BT3991" s="265"/>
      <c r="BU3991" s="265"/>
      <c r="BV3991" s="265"/>
    </row>
    <row r="3992" spans="12:74">
      <c r="L3992" s="265"/>
      <c r="M3992" s="265"/>
      <c r="N3992" s="265"/>
      <c r="O3992" s="265"/>
      <c r="P3992" s="265"/>
      <c r="Q3992" s="265"/>
      <c r="BR3992" s="265"/>
      <c r="BS3992" s="265"/>
      <c r="BT3992" s="265"/>
      <c r="BU3992" s="265"/>
      <c r="BV3992" s="265"/>
    </row>
    <row r="3993" spans="12:74">
      <c r="L3993" s="265"/>
      <c r="M3993" s="265"/>
      <c r="N3993" s="265"/>
      <c r="O3993" s="265"/>
      <c r="P3993" s="265"/>
      <c r="Q3993" s="265"/>
      <c r="BR3993" s="265"/>
      <c r="BS3993" s="265"/>
      <c r="BT3993" s="265"/>
      <c r="BU3993" s="265"/>
      <c r="BV3993" s="265"/>
    </row>
    <row r="3994" spans="12:74">
      <c r="L3994" s="265"/>
      <c r="M3994" s="265"/>
      <c r="N3994" s="265"/>
      <c r="O3994" s="265"/>
      <c r="P3994" s="265"/>
      <c r="Q3994" s="265"/>
      <c r="BR3994" s="265"/>
      <c r="BS3994" s="265"/>
      <c r="BT3994" s="265"/>
      <c r="BU3994" s="265"/>
      <c r="BV3994" s="265"/>
    </row>
    <row r="3995" spans="12:74">
      <c r="L3995" s="265"/>
      <c r="M3995" s="265"/>
      <c r="N3995" s="265"/>
      <c r="O3995" s="265"/>
      <c r="P3995" s="265"/>
      <c r="Q3995" s="265"/>
      <c r="BR3995" s="265"/>
      <c r="BS3995" s="265"/>
      <c r="BT3995" s="265"/>
      <c r="BU3995" s="265"/>
      <c r="BV3995" s="265"/>
    </row>
    <row r="3996" spans="12:74">
      <c r="L3996" s="265"/>
      <c r="M3996" s="265"/>
      <c r="N3996" s="265"/>
      <c r="O3996" s="265"/>
      <c r="P3996" s="265"/>
      <c r="Q3996" s="265"/>
      <c r="BR3996" s="265"/>
      <c r="BS3996" s="265"/>
      <c r="BT3996" s="265"/>
      <c r="BU3996" s="265"/>
      <c r="BV3996" s="265"/>
    </row>
    <row r="3997" spans="12:74">
      <c r="L3997" s="265"/>
      <c r="M3997" s="265"/>
      <c r="N3997" s="265"/>
      <c r="O3997" s="265"/>
      <c r="P3997" s="265"/>
      <c r="Q3997" s="265"/>
      <c r="BR3997" s="265"/>
      <c r="BS3997" s="265"/>
      <c r="BT3997" s="265"/>
      <c r="BU3997" s="265"/>
      <c r="BV3997" s="265"/>
    </row>
    <row r="3998" spans="12:74">
      <c r="L3998" s="265"/>
      <c r="M3998" s="265"/>
      <c r="N3998" s="265"/>
      <c r="O3998" s="265"/>
      <c r="P3998" s="265"/>
      <c r="Q3998" s="265"/>
      <c r="BR3998" s="265"/>
      <c r="BS3998" s="265"/>
      <c r="BT3998" s="265"/>
      <c r="BU3998" s="265"/>
      <c r="BV3998" s="265"/>
    </row>
    <row r="3999" spans="12:74">
      <c r="L3999" s="265"/>
      <c r="M3999" s="265"/>
      <c r="N3999" s="265"/>
      <c r="O3999" s="265"/>
      <c r="P3999" s="265"/>
      <c r="Q3999" s="265"/>
      <c r="BR3999" s="265"/>
      <c r="BS3999" s="265"/>
      <c r="BT3999" s="265"/>
      <c r="BU3999" s="265"/>
      <c r="BV3999" s="265"/>
    </row>
    <row r="4000" spans="12:74">
      <c r="L4000" s="265"/>
      <c r="M4000" s="265"/>
      <c r="N4000" s="265"/>
      <c r="O4000" s="265"/>
      <c r="P4000" s="265"/>
      <c r="Q4000" s="265"/>
      <c r="BR4000" s="265"/>
      <c r="BS4000" s="265"/>
      <c r="BT4000" s="265"/>
      <c r="BU4000" s="265"/>
      <c r="BV4000" s="265"/>
    </row>
    <row r="4001" spans="12:74">
      <c r="L4001" s="265"/>
      <c r="M4001" s="265"/>
      <c r="N4001" s="265"/>
      <c r="O4001" s="265"/>
      <c r="P4001" s="265"/>
      <c r="Q4001" s="265"/>
      <c r="BR4001" s="265"/>
      <c r="BS4001" s="265"/>
      <c r="BT4001" s="265"/>
      <c r="BU4001" s="265"/>
      <c r="BV4001" s="265"/>
    </row>
    <row r="4002" spans="12:74">
      <c r="L4002" s="265"/>
      <c r="M4002" s="265"/>
      <c r="N4002" s="265"/>
      <c r="O4002" s="265"/>
      <c r="P4002" s="265"/>
      <c r="Q4002" s="265"/>
      <c r="BR4002" s="265"/>
      <c r="BS4002" s="265"/>
      <c r="BT4002" s="265"/>
      <c r="BU4002" s="265"/>
      <c r="BV4002" s="265"/>
    </row>
    <row r="4003" spans="12:74">
      <c r="L4003" s="265"/>
      <c r="M4003" s="265"/>
      <c r="N4003" s="265"/>
      <c r="O4003" s="265"/>
      <c r="P4003" s="265"/>
      <c r="Q4003" s="265"/>
      <c r="BR4003" s="265"/>
      <c r="BS4003" s="265"/>
      <c r="BT4003" s="265"/>
      <c r="BU4003" s="265"/>
      <c r="BV4003" s="265"/>
    </row>
    <row r="4004" spans="12:74">
      <c r="L4004" s="265"/>
      <c r="M4004" s="265"/>
      <c r="N4004" s="265"/>
      <c r="O4004" s="265"/>
      <c r="P4004" s="265"/>
      <c r="Q4004" s="265"/>
      <c r="BR4004" s="265"/>
      <c r="BS4004" s="265"/>
      <c r="BT4004" s="265"/>
      <c r="BU4004" s="265"/>
      <c r="BV4004" s="265"/>
    </row>
    <row r="4005" spans="12:74">
      <c r="L4005" s="265"/>
      <c r="M4005" s="265"/>
      <c r="N4005" s="265"/>
      <c r="O4005" s="265"/>
      <c r="P4005" s="265"/>
      <c r="Q4005" s="265"/>
      <c r="BR4005" s="265"/>
      <c r="BS4005" s="265"/>
      <c r="BT4005" s="265"/>
      <c r="BU4005" s="265"/>
      <c r="BV4005" s="265"/>
    </row>
    <row r="4006" spans="12:74">
      <c r="L4006" s="265"/>
      <c r="M4006" s="265"/>
      <c r="N4006" s="265"/>
      <c r="O4006" s="265"/>
      <c r="P4006" s="265"/>
      <c r="Q4006" s="265"/>
      <c r="BR4006" s="265"/>
      <c r="BS4006" s="265"/>
      <c r="BT4006" s="265"/>
      <c r="BU4006" s="265"/>
      <c r="BV4006" s="265"/>
    </row>
    <row r="4007" spans="12:74">
      <c r="L4007" s="265"/>
      <c r="M4007" s="265"/>
      <c r="N4007" s="265"/>
      <c r="O4007" s="265"/>
      <c r="P4007" s="265"/>
      <c r="Q4007" s="265"/>
      <c r="BR4007" s="265"/>
      <c r="BS4007" s="265"/>
      <c r="BT4007" s="265"/>
      <c r="BU4007" s="265"/>
      <c r="BV4007" s="265"/>
    </row>
    <row r="4008" spans="12:74">
      <c r="L4008" s="265"/>
      <c r="M4008" s="265"/>
      <c r="N4008" s="265"/>
      <c r="O4008" s="265"/>
      <c r="P4008" s="265"/>
      <c r="Q4008" s="265"/>
      <c r="BR4008" s="265"/>
      <c r="BS4008" s="265"/>
      <c r="BT4008" s="265"/>
      <c r="BU4008" s="265"/>
      <c r="BV4008" s="265"/>
    </row>
    <row r="4009" spans="12:74">
      <c r="L4009" s="265"/>
      <c r="M4009" s="265"/>
      <c r="N4009" s="265"/>
      <c r="O4009" s="265"/>
      <c r="P4009" s="265"/>
      <c r="Q4009" s="265"/>
      <c r="BR4009" s="265"/>
      <c r="BS4009" s="265"/>
      <c r="BT4009" s="265"/>
      <c r="BU4009" s="265"/>
      <c r="BV4009" s="265"/>
    </row>
    <row r="4010" spans="12:74">
      <c r="L4010" s="265"/>
      <c r="M4010" s="265"/>
      <c r="N4010" s="265"/>
      <c r="O4010" s="265"/>
      <c r="P4010" s="265"/>
      <c r="Q4010" s="265"/>
      <c r="BR4010" s="265"/>
      <c r="BS4010" s="265"/>
      <c r="BT4010" s="265"/>
      <c r="BU4010" s="265"/>
      <c r="BV4010" s="265"/>
    </row>
    <row r="4011" spans="12:74">
      <c r="L4011" s="265"/>
      <c r="M4011" s="265"/>
      <c r="N4011" s="265"/>
      <c r="O4011" s="265"/>
      <c r="P4011" s="265"/>
      <c r="Q4011" s="265"/>
      <c r="BR4011" s="265"/>
      <c r="BS4011" s="265"/>
      <c r="BT4011" s="265"/>
      <c r="BU4011" s="265"/>
      <c r="BV4011" s="265"/>
    </row>
    <row r="4012" spans="12:74">
      <c r="L4012" s="265"/>
      <c r="M4012" s="265"/>
      <c r="N4012" s="265"/>
      <c r="O4012" s="265"/>
      <c r="P4012" s="265"/>
      <c r="Q4012" s="265"/>
      <c r="BR4012" s="265"/>
      <c r="BS4012" s="265"/>
      <c r="BT4012" s="265"/>
      <c r="BU4012" s="265"/>
      <c r="BV4012" s="265"/>
    </row>
    <row r="4013" spans="12:74">
      <c r="L4013" s="265"/>
      <c r="M4013" s="265"/>
      <c r="N4013" s="265"/>
      <c r="O4013" s="265"/>
      <c r="P4013" s="265"/>
      <c r="Q4013" s="265"/>
      <c r="BR4013" s="265"/>
      <c r="BS4013" s="265"/>
      <c r="BT4013" s="265"/>
      <c r="BU4013" s="265"/>
      <c r="BV4013" s="265"/>
    </row>
    <row r="4014" spans="12:74">
      <c r="L4014" s="265"/>
      <c r="M4014" s="265"/>
      <c r="N4014" s="265"/>
      <c r="O4014" s="265"/>
      <c r="P4014" s="265"/>
      <c r="Q4014" s="265"/>
      <c r="BR4014" s="265"/>
      <c r="BS4014" s="265"/>
      <c r="BT4014" s="265"/>
      <c r="BU4014" s="265"/>
      <c r="BV4014" s="265"/>
    </row>
    <row r="4015" spans="12:74">
      <c r="L4015" s="265"/>
      <c r="M4015" s="265"/>
      <c r="N4015" s="265"/>
      <c r="O4015" s="265"/>
      <c r="P4015" s="265"/>
      <c r="Q4015" s="265"/>
      <c r="BR4015" s="265"/>
      <c r="BS4015" s="265"/>
      <c r="BT4015" s="265"/>
      <c r="BU4015" s="265"/>
      <c r="BV4015" s="265"/>
    </row>
    <row r="4016" spans="12:74">
      <c r="L4016" s="265"/>
      <c r="M4016" s="265"/>
      <c r="N4016" s="265"/>
      <c r="O4016" s="265"/>
      <c r="P4016" s="265"/>
      <c r="Q4016" s="265"/>
      <c r="BR4016" s="265"/>
      <c r="BS4016" s="265"/>
      <c r="BT4016" s="265"/>
      <c r="BU4016" s="265"/>
      <c r="BV4016" s="265"/>
    </row>
    <row r="4017" spans="12:74">
      <c r="L4017" s="265"/>
      <c r="M4017" s="265"/>
      <c r="N4017" s="265"/>
      <c r="O4017" s="265"/>
      <c r="P4017" s="265"/>
      <c r="Q4017" s="265"/>
      <c r="BR4017" s="265"/>
      <c r="BS4017" s="265"/>
      <c r="BT4017" s="265"/>
      <c r="BU4017" s="265"/>
      <c r="BV4017" s="265"/>
    </row>
    <row r="4018" spans="12:74">
      <c r="L4018" s="265"/>
      <c r="M4018" s="265"/>
      <c r="N4018" s="265"/>
      <c r="O4018" s="265"/>
      <c r="P4018" s="265"/>
      <c r="Q4018" s="265"/>
      <c r="BR4018" s="265"/>
      <c r="BS4018" s="265"/>
      <c r="BT4018" s="265"/>
      <c r="BU4018" s="265"/>
      <c r="BV4018" s="265"/>
    </row>
    <row r="4019" spans="12:74">
      <c r="L4019" s="265"/>
      <c r="M4019" s="265"/>
      <c r="N4019" s="265"/>
      <c r="O4019" s="265"/>
      <c r="P4019" s="265"/>
      <c r="Q4019" s="265"/>
      <c r="BR4019" s="265"/>
      <c r="BS4019" s="265"/>
      <c r="BT4019" s="265"/>
      <c r="BU4019" s="265"/>
      <c r="BV4019" s="265"/>
    </row>
    <row r="4020" spans="12:74">
      <c r="L4020" s="265"/>
      <c r="M4020" s="265"/>
      <c r="N4020" s="265"/>
      <c r="O4020" s="265"/>
      <c r="P4020" s="265"/>
      <c r="Q4020" s="265"/>
      <c r="BR4020" s="265"/>
      <c r="BS4020" s="265"/>
      <c r="BT4020" s="265"/>
      <c r="BU4020" s="265"/>
      <c r="BV4020" s="265"/>
    </row>
    <row r="4021" spans="12:74">
      <c r="L4021" s="265"/>
      <c r="M4021" s="265"/>
      <c r="N4021" s="265"/>
      <c r="O4021" s="265"/>
      <c r="P4021" s="265"/>
      <c r="Q4021" s="265"/>
      <c r="BR4021" s="265"/>
      <c r="BS4021" s="265"/>
      <c r="BT4021" s="265"/>
      <c r="BU4021" s="265"/>
      <c r="BV4021" s="265"/>
    </row>
    <row r="4022" spans="12:74">
      <c r="L4022" s="265"/>
      <c r="M4022" s="265"/>
      <c r="N4022" s="265"/>
      <c r="O4022" s="265"/>
      <c r="P4022" s="265"/>
      <c r="Q4022" s="265"/>
      <c r="BR4022" s="265"/>
      <c r="BS4022" s="265"/>
      <c r="BT4022" s="265"/>
      <c r="BU4022" s="265"/>
      <c r="BV4022" s="265"/>
    </row>
    <row r="4023" spans="12:74">
      <c r="L4023" s="265"/>
      <c r="M4023" s="265"/>
      <c r="N4023" s="265"/>
      <c r="O4023" s="265"/>
      <c r="P4023" s="265"/>
      <c r="Q4023" s="265"/>
      <c r="BR4023" s="265"/>
      <c r="BS4023" s="265"/>
      <c r="BT4023" s="265"/>
      <c r="BU4023" s="265"/>
      <c r="BV4023" s="265"/>
    </row>
    <row r="4024" spans="12:74">
      <c r="L4024" s="265"/>
      <c r="M4024" s="265"/>
      <c r="N4024" s="265"/>
      <c r="O4024" s="265"/>
      <c r="P4024" s="265"/>
      <c r="Q4024" s="265"/>
      <c r="BR4024" s="265"/>
      <c r="BS4024" s="265"/>
      <c r="BT4024" s="265"/>
      <c r="BU4024" s="265"/>
      <c r="BV4024" s="265"/>
    </row>
    <row r="4025" spans="12:74">
      <c r="L4025" s="265"/>
      <c r="M4025" s="265"/>
      <c r="N4025" s="265"/>
      <c r="O4025" s="265"/>
      <c r="P4025" s="265"/>
      <c r="Q4025" s="265"/>
      <c r="BR4025" s="265"/>
      <c r="BS4025" s="265"/>
      <c r="BT4025" s="265"/>
      <c r="BU4025" s="265"/>
      <c r="BV4025" s="265"/>
    </row>
    <row r="4026" spans="12:74">
      <c r="L4026" s="265"/>
      <c r="M4026" s="265"/>
      <c r="N4026" s="265"/>
      <c r="O4026" s="265"/>
      <c r="P4026" s="265"/>
      <c r="Q4026" s="265"/>
      <c r="BR4026" s="265"/>
      <c r="BS4026" s="265"/>
      <c r="BT4026" s="265"/>
      <c r="BU4026" s="265"/>
      <c r="BV4026" s="265"/>
    </row>
    <row r="4027" spans="12:74">
      <c r="L4027" s="265"/>
      <c r="M4027" s="265"/>
      <c r="N4027" s="265"/>
      <c r="O4027" s="265"/>
      <c r="P4027" s="265"/>
      <c r="Q4027" s="265"/>
      <c r="BR4027" s="265"/>
      <c r="BS4027" s="265"/>
      <c r="BT4027" s="265"/>
      <c r="BU4027" s="265"/>
      <c r="BV4027" s="265"/>
    </row>
    <row r="4028" spans="12:74">
      <c r="L4028" s="265"/>
      <c r="M4028" s="265"/>
      <c r="N4028" s="265"/>
      <c r="O4028" s="265"/>
      <c r="P4028" s="265"/>
      <c r="Q4028" s="265"/>
      <c r="BR4028" s="265"/>
      <c r="BS4028" s="265"/>
      <c r="BT4028" s="265"/>
      <c r="BU4028" s="265"/>
      <c r="BV4028" s="265"/>
    </row>
    <row r="4029" spans="12:74">
      <c r="L4029" s="265"/>
      <c r="M4029" s="265"/>
      <c r="N4029" s="265"/>
      <c r="O4029" s="265"/>
      <c r="P4029" s="265"/>
      <c r="Q4029" s="265"/>
      <c r="BR4029" s="265"/>
      <c r="BS4029" s="265"/>
      <c r="BT4029" s="265"/>
      <c r="BU4029" s="265"/>
      <c r="BV4029" s="265"/>
    </row>
    <row r="4030" spans="12:74">
      <c r="L4030" s="265"/>
      <c r="M4030" s="265"/>
      <c r="N4030" s="265"/>
      <c r="O4030" s="265"/>
      <c r="P4030" s="265"/>
      <c r="Q4030" s="265"/>
      <c r="BR4030" s="265"/>
      <c r="BS4030" s="265"/>
      <c r="BT4030" s="265"/>
      <c r="BU4030" s="265"/>
      <c r="BV4030" s="265"/>
    </row>
    <row r="4031" spans="12:74">
      <c r="L4031" s="265"/>
      <c r="M4031" s="265"/>
      <c r="N4031" s="265"/>
      <c r="O4031" s="265"/>
      <c r="P4031" s="265"/>
      <c r="Q4031" s="265"/>
      <c r="BR4031" s="265"/>
      <c r="BS4031" s="265"/>
      <c r="BT4031" s="265"/>
      <c r="BU4031" s="265"/>
      <c r="BV4031" s="265"/>
    </row>
    <row r="4032" spans="12:74">
      <c r="L4032" s="265"/>
      <c r="M4032" s="265"/>
      <c r="N4032" s="265"/>
      <c r="O4032" s="265"/>
      <c r="P4032" s="265"/>
      <c r="Q4032" s="265"/>
      <c r="BR4032" s="265"/>
      <c r="BS4032" s="265"/>
      <c r="BT4032" s="265"/>
      <c r="BU4032" s="265"/>
      <c r="BV4032" s="265"/>
    </row>
    <row r="4033" spans="12:74">
      <c r="L4033" s="265"/>
      <c r="M4033" s="265"/>
      <c r="N4033" s="265"/>
      <c r="O4033" s="265"/>
      <c r="P4033" s="265"/>
      <c r="Q4033" s="265"/>
      <c r="BR4033" s="265"/>
      <c r="BS4033" s="265"/>
      <c r="BT4033" s="265"/>
      <c r="BU4033" s="265"/>
      <c r="BV4033" s="265"/>
    </row>
    <row r="4034" spans="12:74">
      <c r="L4034" s="265"/>
      <c r="M4034" s="265"/>
      <c r="N4034" s="265"/>
      <c r="O4034" s="265"/>
      <c r="P4034" s="265"/>
      <c r="Q4034" s="265"/>
      <c r="BR4034" s="265"/>
      <c r="BS4034" s="265"/>
      <c r="BT4034" s="265"/>
      <c r="BU4034" s="265"/>
      <c r="BV4034" s="265"/>
    </row>
    <row r="4035" spans="12:74">
      <c r="L4035" s="265"/>
      <c r="M4035" s="265"/>
      <c r="N4035" s="265"/>
      <c r="O4035" s="265"/>
      <c r="P4035" s="265"/>
      <c r="Q4035" s="265"/>
      <c r="BR4035" s="265"/>
      <c r="BS4035" s="265"/>
      <c r="BT4035" s="265"/>
      <c r="BU4035" s="265"/>
      <c r="BV4035" s="265"/>
    </row>
    <row r="4036" spans="12:74">
      <c r="L4036" s="265"/>
      <c r="M4036" s="265"/>
      <c r="N4036" s="265"/>
      <c r="O4036" s="265"/>
      <c r="P4036" s="265"/>
      <c r="Q4036" s="265"/>
      <c r="BR4036" s="265"/>
      <c r="BS4036" s="265"/>
      <c r="BT4036" s="265"/>
      <c r="BU4036" s="265"/>
      <c r="BV4036" s="265"/>
    </row>
    <row r="4037" spans="12:74">
      <c r="L4037" s="265"/>
      <c r="M4037" s="265"/>
      <c r="N4037" s="265"/>
      <c r="O4037" s="265"/>
      <c r="P4037" s="265"/>
      <c r="Q4037" s="265"/>
      <c r="BR4037" s="265"/>
      <c r="BS4037" s="265"/>
      <c r="BT4037" s="265"/>
      <c r="BU4037" s="265"/>
      <c r="BV4037" s="265"/>
    </row>
    <row r="4038" spans="12:74">
      <c r="L4038" s="265"/>
      <c r="M4038" s="265"/>
      <c r="N4038" s="265"/>
      <c r="O4038" s="265"/>
      <c r="P4038" s="265"/>
      <c r="Q4038" s="265"/>
      <c r="BR4038" s="265"/>
      <c r="BS4038" s="265"/>
      <c r="BT4038" s="265"/>
      <c r="BU4038" s="265"/>
      <c r="BV4038" s="265"/>
    </row>
    <row r="4039" spans="12:74">
      <c r="L4039" s="265"/>
      <c r="M4039" s="265"/>
      <c r="N4039" s="265"/>
      <c r="O4039" s="265"/>
      <c r="P4039" s="265"/>
      <c r="Q4039" s="265"/>
      <c r="BR4039" s="265"/>
      <c r="BS4039" s="265"/>
      <c r="BT4039" s="265"/>
      <c r="BU4039" s="265"/>
      <c r="BV4039" s="265"/>
    </row>
    <row r="4040" spans="12:74">
      <c r="L4040" s="265"/>
      <c r="M4040" s="265"/>
      <c r="N4040" s="265"/>
      <c r="O4040" s="265"/>
      <c r="P4040" s="265"/>
      <c r="Q4040" s="265"/>
      <c r="BR4040" s="265"/>
      <c r="BS4040" s="265"/>
      <c r="BT4040" s="265"/>
      <c r="BU4040" s="265"/>
      <c r="BV4040" s="265"/>
    </row>
    <row r="4041" spans="12:74">
      <c r="L4041" s="265"/>
      <c r="M4041" s="265"/>
      <c r="N4041" s="265"/>
      <c r="O4041" s="265"/>
      <c r="P4041" s="265"/>
      <c r="Q4041" s="265"/>
      <c r="BR4041" s="265"/>
      <c r="BS4041" s="265"/>
      <c r="BT4041" s="265"/>
      <c r="BU4041" s="265"/>
      <c r="BV4041" s="265"/>
    </row>
    <row r="4042" spans="12:74">
      <c r="L4042" s="265"/>
      <c r="M4042" s="265"/>
      <c r="N4042" s="265"/>
      <c r="O4042" s="265"/>
      <c r="P4042" s="265"/>
      <c r="Q4042" s="265"/>
      <c r="BR4042" s="265"/>
      <c r="BS4042" s="265"/>
      <c r="BT4042" s="265"/>
      <c r="BU4042" s="265"/>
      <c r="BV4042" s="265"/>
    </row>
    <row r="4043" spans="12:74">
      <c r="L4043" s="265"/>
      <c r="M4043" s="265"/>
      <c r="N4043" s="265"/>
      <c r="O4043" s="265"/>
      <c r="P4043" s="265"/>
      <c r="Q4043" s="265"/>
      <c r="BR4043" s="265"/>
      <c r="BS4043" s="265"/>
      <c r="BT4043" s="265"/>
      <c r="BU4043" s="265"/>
      <c r="BV4043" s="265"/>
    </row>
    <row r="4044" spans="12:74">
      <c r="L4044" s="265"/>
      <c r="M4044" s="265"/>
      <c r="N4044" s="265"/>
      <c r="O4044" s="265"/>
      <c r="P4044" s="265"/>
      <c r="Q4044" s="265"/>
      <c r="BR4044" s="265"/>
      <c r="BS4044" s="265"/>
      <c r="BT4044" s="265"/>
      <c r="BU4044" s="265"/>
      <c r="BV4044" s="265"/>
    </row>
    <row r="4045" spans="12:74">
      <c r="L4045" s="265"/>
      <c r="M4045" s="265"/>
      <c r="N4045" s="265"/>
      <c r="O4045" s="265"/>
      <c r="P4045" s="265"/>
      <c r="Q4045" s="265"/>
      <c r="BR4045" s="265"/>
      <c r="BS4045" s="265"/>
      <c r="BT4045" s="265"/>
      <c r="BU4045" s="265"/>
      <c r="BV4045" s="265"/>
    </row>
    <row r="4046" spans="12:74">
      <c r="L4046" s="265"/>
      <c r="M4046" s="265"/>
      <c r="N4046" s="265"/>
      <c r="O4046" s="265"/>
      <c r="P4046" s="265"/>
      <c r="Q4046" s="265"/>
      <c r="BR4046" s="265"/>
      <c r="BS4046" s="265"/>
      <c r="BT4046" s="265"/>
      <c r="BU4046" s="265"/>
      <c r="BV4046" s="265"/>
    </row>
    <row r="4047" spans="12:74">
      <c r="L4047" s="265"/>
      <c r="M4047" s="265"/>
      <c r="N4047" s="265"/>
      <c r="O4047" s="265"/>
      <c r="P4047" s="265"/>
      <c r="Q4047" s="265"/>
      <c r="BR4047" s="265"/>
      <c r="BS4047" s="265"/>
      <c r="BT4047" s="265"/>
      <c r="BU4047" s="265"/>
      <c r="BV4047" s="265"/>
    </row>
    <row r="4048" spans="12:74">
      <c r="L4048" s="265"/>
      <c r="M4048" s="265"/>
      <c r="N4048" s="265"/>
      <c r="O4048" s="265"/>
      <c r="P4048" s="265"/>
      <c r="Q4048" s="265"/>
      <c r="BR4048" s="265"/>
      <c r="BS4048" s="265"/>
      <c r="BT4048" s="265"/>
      <c r="BU4048" s="265"/>
      <c r="BV4048" s="265"/>
    </row>
    <row r="4049" spans="12:74">
      <c r="L4049" s="265"/>
      <c r="M4049" s="265"/>
      <c r="N4049" s="265"/>
      <c r="O4049" s="265"/>
      <c r="P4049" s="265"/>
      <c r="Q4049" s="265"/>
      <c r="BR4049" s="265"/>
      <c r="BS4049" s="265"/>
      <c r="BT4049" s="265"/>
      <c r="BU4049" s="265"/>
      <c r="BV4049" s="265"/>
    </row>
    <row r="4050" spans="12:74">
      <c r="L4050" s="265"/>
      <c r="M4050" s="265"/>
      <c r="N4050" s="265"/>
      <c r="O4050" s="265"/>
      <c r="P4050" s="265"/>
      <c r="Q4050" s="265"/>
      <c r="BR4050" s="265"/>
      <c r="BS4050" s="265"/>
      <c r="BT4050" s="265"/>
      <c r="BU4050" s="265"/>
      <c r="BV4050" s="265"/>
    </row>
    <row r="4051" spans="12:74">
      <c r="L4051" s="265"/>
      <c r="M4051" s="265"/>
      <c r="N4051" s="265"/>
      <c r="O4051" s="265"/>
      <c r="P4051" s="265"/>
      <c r="Q4051" s="265"/>
      <c r="BR4051" s="265"/>
      <c r="BS4051" s="265"/>
      <c r="BT4051" s="265"/>
      <c r="BU4051" s="265"/>
      <c r="BV4051" s="265"/>
    </row>
    <row r="4052" spans="12:74">
      <c r="L4052" s="265"/>
      <c r="M4052" s="265"/>
      <c r="N4052" s="265"/>
      <c r="O4052" s="265"/>
      <c r="P4052" s="265"/>
      <c r="Q4052" s="265"/>
      <c r="BR4052" s="265"/>
      <c r="BS4052" s="265"/>
      <c r="BT4052" s="265"/>
      <c r="BU4052" s="265"/>
      <c r="BV4052" s="265"/>
    </row>
    <row r="4053" spans="12:74">
      <c r="L4053" s="265"/>
      <c r="M4053" s="265"/>
      <c r="N4053" s="265"/>
      <c r="O4053" s="265"/>
      <c r="P4053" s="265"/>
      <c r="Q4053" s="265"/>
      <c r="BR4053" s="265"/>
      <c r="BS4053" s="265"/>
      <c r="BT4053" s="265"/>
      <c r="BU4053" s="265"/>
      <c r="BV4053" s="265"/>
    </row>
    <row r="4054" spans="12:74">
      <c r="L4054" s="265"/>
      <c r="M4054" s="265"/>
      <c r="N4054" s="265"/>
      <c r="O4054" s="265"/>
      <c r="P4054" s="265"/>
      <c r="Q4054" s="265"/>
      <c r="BR4054" s="265"/>
      <c r="BS4054" s="265"/>
      <c r="BT4054" s="265"/>
      <c r="BU4054" s="265"/>
      <c r="BV4054" s="265"/>
    </row>
    <row r="4055" spans="12:74">
      <c r="L4055" s="265"/>
      <c r="M4055" s="265"/>
      <c r="N4055" s="265"/>
      <c r="O4055" s="265"/>
      <c r="P4055" s="265"/>
      <c r="Q4055" s="265"/>
      <c r="BR4055" s="265"/>
      <c r="BS4055" s="265"/>
      <c r="BT4055" s="265"/>
      <c r="BU4055" s="265"/>
      <c r="BV4055" s="265"/>
    </row>
    <row r="4056" spans="12:74">
      <c r="L4056" s="265"/>
      <c r="M4056" s="265"/>
      <c r="N4056" s="265"/>
      <c r="O4056" s="265"/>
      <c r="P4056" s="265"/>
      <c r="Q4056" s="265"/>
      <c r="BR4056" s="265"/>
      <c r="BS4056" s="265"/>
      <c r="BT4056" s="265"/>
      <c r="BU4056" s="265"/>
      <c r="BV4056" s="265"/>
    </row>
    <row r="4057" spans="12:74">
      <c r="L4057" s="265"/>
      <c r="M4057" s="265"/>
      <c r="N4057" s="265"/>
      <c r="O4057" s="265"/>
      <c r="P4057" s="265"/>
      <c r="Q4057" s="265"/>
      <c r="BR4057" s="265"/>
      <c r="BS4057" s="265"/>
      <c r="BT4057" s="265"/>
      <c r="BU4057" s="265"/>
      <c r="BV4057" s="265"/>
    </row>
    <row r="4058" spans="12:74">
      <c r="L4058" s="265"/>
      <c r="M4058" s="265"/>
      <c r="N4058" s="265"/>
      <c r="O4058" s="265"/>
      <c r="P4058" s="265"/>
      <c r="Q4058" s="265"/>
      <c r="BR4058" s="265"/>
      <c r="BS4058" s="265"/>
      <c r="BT4058" s="265"/>
      <c r="BU4058" s="265"/>
      <c r="BV4058" s="265"/>
    </row>
    <row r="4059" spans="12:74">
      <c r="L4059" s="265"/>
      <c r="M4059" s="265"/>
      <c r="N4059" s="265"/>
      <c r="O4059" s="265"/>
      <c r="P4059" s="265"/>
      <c r="Q4059" s="265"/>
      <c r="BR4059" s="265"/>
      <c r="BS4059" s="265"/>
      <c r="BT4059" s="265"/>
      <c r="BU4059" s="265"/>
      <c r="BV4059" s="265"/>
    </row>
    <row r="4060" spans="12:74">
      <c r="L4060" s="265"/>
      <c r="M4060" s="265"/>
      <c r="N4060" s="265"/>
      <c r="O4060" s="265"/>
      <c r="P4060" s="265"/>
      <c r="Q4060" s="265"/>
      <c r="BR4060" s="265"/>
      <c r="BS4060" s="265"/>
      <c r="BT4060" s="265"/>
      <c r="BU4060" s="265"/>
      <c r="BV4060" s="265"/>
    </row>
    <row r="4061" spans="12:74">
      <c r="L4061" s="265"/>
      <c r="M4061" s="265"/>
      <c r="N4061" s="265"/>
      <c r="O4061" s="265"/>
      <c r="P4061" s="265"/>
      <c r="Q4061" s="265"/>
      <c r="BR4061" s="265"/>
      <c r="BS4061" s="265"/>
      <c r="BT4061" s="265"/>
      <c r="BU4061" s="265"/>
      <c r="BV4061" s="265"/>
    </row>
    <row r="4062" spans="12:74">
      <c r="L4062" s="265"/>
      <c r="M4062" s="265"/>
      <c r="N4062" s="265"/>
      <c r="O4062" s="265"/>
      <c r="P4062" s="265"/>
      <c r="Q4062" s="265"/>
      <c r="BR4062" s="265"/>
      <c r="BS4062" s="265"/>
      <c r="BT4062" s="265"/>
      <c r="BU4062" s="265"/>
      <c r="BV4062" s="265"/>
    </row>
    <row r="4063" spans="12:74">
      <c r="L4063" s="265"/>
      <c r="M4063" s="265"/>
      <c r="N4063" s="265"/>
      <c r="O4063" s="265"/>
      <c r="P4063" s="265"/>
      <c r="Q4063" s="265"/>
      <c r="BR4063" s="265"/>
      <c r="BS4063" s="265"/>
      <c r="BT4063" s="265"/>
      <c r="BU4063" s="265"/>
      <c r="BV4063" s="265"/>
    </row>
    <row r="4064" spans="12:74">
      <c r="L4064" s="265"/>
      <c r="M4064" s="265"/>
      <c r="N4064" s="265"/>
      <c r="O4064" s="265"/>
      <c r="P4064" s="265"/>
      <c r="Q4064" s="265"/>
      <c r="BR4064" s="265"/>
      <c r="BS4064" s="265"/>
      <c r="BT4064" s="265"/>
      <c r="BU4064" s="265"/>
      <c r="BV4064" s="265"/>
    </row>
    <row r="4065" spans="12:74">
      <c r="L4065" s="265"/>
      <c r="M4065" s="265"/>
      <c r="N4065" s="265"/>
      <c r="O4065" s="265"/>
      <c r="P4065" s="265"/>
      <c r="Q4065" s="265"/>
      <c r="BR4065" s="265"/>
      <c r="BS4065" s="265"/>
      <c r="BT4065" s="265"/>
      <c r="BU4065" s="265"/>
      <c r="BV4065" s="265"/>
    </row>
    <row r="4066" spans="12:74">
      <c r="L4066" s="265"/>
      <c r="M4066" s="265"/>
      <c r="N4066" s="265"/>
      <c r="O4066" s="265"/>
      <c r="P4066" s="265"/>
      <c r="Q4066" s="265"/>
      <c r="BR4066" s="265"/>
      <c r="BS4066" s="265"/>
      <c r="BT4066" s="265"/>
      <c r="BU4066" s="265"/>
      <c r="BV4066" s="265"/>
    </row>
    <row r="4067" spans="12:74">
      <c r="L4067" s="265"/>
      <c r="M4067" s="265"/>
      <c r="N4067" s="265"/>
      <c r="O4067" s="265"/>
      <c r="P4067" s="265"/>
      <c r="Q4067" s="265"/>
      <c r="BR4067" s="265"/>
      <c r="BS4067" s="265"/>
      <c r="BT4067" s="265"/>
      <c r="BU4067" s="265"/>
      <c r="BV4067" s="265"/>
    </row>
    <row r="4068" spans="12:74">
      <c r="L4068" s="265"/>
      <c r="M4068" s="265"/>
      <c r="N4068" s="265"/>
      <c r="O4068" s="265"/>
      <c r="P4068" s="265"/>
      <c r="Q4068" s="265"/>
      <c r="BR4068" s="265"/>
      <c r="BS4068" s="265"/>
      <c r="BT4068" s="265"/>
      <c r="BU4068" s="265"/>
      <c r="BV4068" s="265"/>
    </row>
    <row r="4069" spans="12:74">
      <c r="L4069" s="265"/>
      <c r="M4069" s="265"/>
      <c r="N4069" s="265"/>
      <c r="O4069" s="265"/>
      <c r="P4069" s="265"/>
      <c r="Q4069" s="265"/>
      <c r="BR4069" s="265"/>
      <c r="BS4069" s="265"/>
      <c r="BT4069" s="265"/>
      <c r="BU4069" s="265"/>
      <c r="BV4069" s="265"/>
    </row>
    <row r="4070" spans="12:74">
      <c r="L4070" s="265"/>
      <c r="M4070" s="265"/>
      <c r="N4070" s="265"/>
      <c r="O4070" s="265"/>
      <c r="P4070" s="265"/>
      <c r="Q4070" s="265"/>
      <c r="BR4070" s="265"/>
      <c r="BS4070" s="265"/>
      <c r="BT4070" s="265"/>
      <c r="BU4070" s="265"/>
      <c r="BV4070" s="265"/>
    </row>
    <row r="4071" spans="12:74">
      <c r="L4071" s="265"/>
      <c r="M4071" s="265"/>
      <c r="N4071" s="265"/>
      <c r="O4071" s="265"/>
      <c r="P4071" s="265"/>
      <c r="Q4071" s="265"/>
      <c r="BR4071" s="265"/>
      <c r="BS4071" s="265"/>
      <c r="BT4071" s="265"/>
      <c r="BU4071" s="265"/>
      <c r="BV4071" s="265"/>
    </row>
    <row r="4072" spans="12:74">
      <c r="L4072" s="265"/>
      <c r="M4072" s="265"/>
      <c r="N4072" s="265"/>
      <c r="O4072" s="265"/>
      <c r="P4072" s="265"/>
      <c r="Q4072" s="265"/>
      <c r="BR4072" s="265"/>
      <c r="BS4072" s="265"/>
      <c r="BT4072" s="265"/>
      <c r="BU4072" s="265"/>
      <c r="BV4072" s="265"/>
    </row>
    <row r="4073" spans="12:74">
      <c r="L4073" s="265"/>
      <c r="M4073" s="265"/>
      <c r="N4073" s="265"/>
      <c r="O4073" s="265"/>
      <c r="P4073" s="265"/>
      <c r="Q4073" s="265"/>
      <c r="BR4073" s="265"/>
      <c r="BS4073" s="265"/>
      <c r="BT4073" s="265"/>
      <c r="BU4073" s="265"/>
      <c r="BV4073" s="265"/>
    </row>
    <row r="4074" spans="12:74">
      <c r="L4074" s="265"/>
      <c r="M4074" s="265"/>
      <c r="N4074" s="265"/>
      <c r="O4074" s="265"/>
      <c r="P4074" s="265"/>
      <c r="Q4074" s="265"/>
      <c r="BR4074" s="265"/>
      <c r="BS4074" s="265"/>
      <c r="BT4074" s="265"/>
      <c r="BU4074" s="265"/>
      <c r="BV4074" s="265"/>
    </row>
    <row r="4075" spans="12:74">
      <c r="L4075" s="265"/>
      <c r="M4075" s="265"/>
      <c r="N4075" s="265"/>
      <c r="O4075" s="265"/>
      <c r="P4075" s="265"/>
      <c r="Q4075" s="265"/>
      <c r="BR4075" s="265"/>
      <c r="BS4075" s="265"/>
      <c r="BT4075" s="265"/>
      <c r="BU4075" s="265"/>
      <c r="BV4075" s="265"/>
    </row>
    <row r="4076" spans="12:74">
      <c r="L4076" s="265"/>
      <c r="M4076" s="265"/>
      <c r="N4076" s="265"/>
      <c r="O4076" s="265"/>
      <c r="P4076" s="265"/>
      <c r="Q4076" s="265"/>
      <c r="BR4076" s="265"/>
      <c r="BS4076" s="265"/>
      <c r="BT4076" s="265"/>
      <c r="BU4076" s="265"/>
      <c r="BV4076" s="265"/>
    </row>
    <row r="4077" spans="12:74">
      <c r="L4077" s="265"/>
      <c r="M4077" s="265"/>
      <c r="N4077" s="265"/>
      <c r="O4077" s="265"/>
      <c r="P4077" s="265"/>
      <c r="Q4077" s="265"/>
      <c r="BR4077" s="265"/>
      <c r="BS4077" s="265"/>
      <c r="BT4077" s="265"/>
      <c r="BU4077" s="265"/>
      <c r="BV4077" s="265"/>
    </row>
    <row r="4078" spans="12:74">
      <c r="L4078" s="265"/>
      <c r="M4078" s="265"/>
      <c r="N4078" s="265"/>
      <c r="O4078" s="265"/>
      <c r="P4078" s="265"/>
      <c r="Q4078" s="265"/>
      <c r="BR4078" s="265"/>
      <c r="BS4078" s="265"/>
      <c r="BT4078" s="265"/>
      <c r="BU4078" s="265"/>
      <c r="BV4078" s="265"/>
    </row>
    <row r="4079" spans="12:74">
      <c r="L4079" s="265"/>
      <c r="M4079" s="265"/>
      <c r="N4079" s="265"/>
      <c r="O4079" s="265"/>
      <c r="P4079" s="265"/>
      <c r="Q4079" s="265"/>
      <c r="BR4079" s="265"/>
      <c r="BS4079" s="265"/>
      <c r="BT4079" s="265"/>
      <c r="BU4079" s="265"/>
      <c r="BV4079" s="265"/>
    </row>
    <row r="4080" spans="12:74">
      <c r="L4080" s="265"/>
      <c r="M4080" s="265"/>
      <c r="N4080" s="265"/>
      <c r="O4080" s="265"/>
      <c r="P4080" s="265"/>
      <c r="Q4080" s="265"/>
      <c r="BR4080" s="265"/>
      <c r="BS4080" s="265"/>
      <c r="BT4080" s="265"/>
      <c r="BU4080" s="265"/>
      <c r="BV4080" s="265"/>
    </row>
    <row r="4081" spans="12:74">
      <c r="L4081" s="265"/>
      <c r="M4081" s="265"/>
      <c r="N4081" s="265"/>
      <c r="O4081" s="265"/>
      <c r="P4081" s="265"/>
      <c r="Q4081" s="265"/>
      <c r="BR4081" s="265"/>
      <c r="BS4081" s="265"/>
      <c r="BT4081" s="265"/>
      <c r="BU4081" s="265"/>
      <c r="BV4081" s="265"/>
    </row>
    <row r="4082" spans="12:74">
      <c r="L4082" s="265"/>
      <c r="M4082" s="265"/>
      <c r="N4082" s="265"/>
      <c r="O4082" s="265"/>
      <c r="P4082" s="265"/>
      <c r="Q4082" s="265"/>
      <c r="BR4082" s="265"/>
      <c r="BS4082" s="265"/>
      <c r="BT4082" s="265"/>
      <c r="BU4082" s="265"/>
      <c r="BV4082" s="265"/>
    </row>
    <row r="4083" spans="12:74">
      <c r="L4083" s="265"/>
      <c r="M4083" s="265"/>
      <c r="N4083" s="265"/>
      <c r="O4083" s="265"/>
      <c r="P4083" s="265"/>
      <c r="Q4083" s="265"/>
      <c r="BR4083" s="265"/>
      <c r="BS4083" s="265"/>
      <c r="BT4083" s="265"/>
      <c r="BU4083" s="265"/>
      <c r="BV4083" s="265"/>
    </row>
    <row r="4084" spans="12:74">
      <c r="L4084" s="265"/>
      <c r="M4084" s="265"/>
      <c r="N4084" s="265"/>
      <c r="O4084" s="265"/>
      <c r="P4084" s="265"/>
      <c r="Q4084" s="265"/>
      <c r="BR4084" s="265"/>
      <c r="BS4084" s="265"/>
      <c r="BT4084" s="265"/>
      <c r="BU4084" s="265"/>
      <c r="BV4084" s="265"/>
    </row>
    <row r="4085" spans="12:74">
      <c r="L4085" s="265"/>
      <c r="M4085" s="265"/>
      <c r="N4085" s="265"/>
      <c r="O4085" s="265"/>
      <c r="P4085" s="265"/>
      <c r="Q4085" s="265"/>
      <c r="BR4085" s="265"/>
      <c r="BS4085" s="265"/>
      <c r="BT4085" s="265"/>
      <c r="BU4085" s="265"/>
      <c r="BV4085" s="265"/>
    </row>
    <row r="4086" spans="12:74">
      <c r="L4086" s="265"/>
      <c r="M4086" s="265"/>
      <c r="N4086" s="265"/>
      <c r="O4086" s="265"/>
      <c r="P4086" s="265"/>
      <c r="Q4086" s="265"/>
      <c r="BR4086" s="265"/>
      <c r="BS4086" s="265"/>
      <c r="BT4086" s="265"/>
      <c r="BU4086" s="265"/>
      <c r="BV4086" s="265"/>
    </row>
    <row r="4087" spans="12:74">
      <c r="L4087" s="265"/>
      <c r="M4087" s="265"/>
      <c r="N4087" s="265"/>
      <c r="O4087" s="265"/>
      <c r="P4087" s="265"/>
      <c r="Q4087" s="265"/>
      <c r="BR4087" s="265"/>
      <c r="BS4087" s="265"/>
      <c r="BT4087" s="265"/>
      <c r="BU4087" s="265"/>
      <c r="BV4087" s="265"/>
    </row>
    <row r="4088" spans="12:74">
      <c r="L4088" s="265"/>
      <c r="M4088" s="265"/>
      <c r="N4088" s="265"/>
      <c r="O4088" s="265"/>
      <c r="P4088" s="265"/>
      <c r="Q4088" s="265"/>
      <c r="BR4088" s="265"/>
      <c r="BS4088" s="265"/>
      <c r="BT4088" s="265"/>
      <c r="BU4088" s="265"/>
      <c r="BV4088" s="265"/>
    </row>
    <row r="4089" spans="12:74">
      <c r="L4089" s="265"/>
      <c r="M4089" s="265"/>
      <c r="N4089" s="265"/>
      <c r="O4089" s="265"/>
      <c r="P4089" s="265"/>
      <c r="Q4089" s="265"/>
      <c r="BR4089" s="265"/>
      <c r="BS4089" s="265"/>
      <c r="BT4089" s="265"/>
      <c r="BU4089" s="265"/>
      <c r="BV4089" s="265"/>
    </row>
    <row r="4090" spans="12:74">
      <c r="L4090" s="265"/>
      <c r="M4090" s="265"/>
      <c r="N4090" s="265"/>
      <c r="O4090" s="265"/>
      <c r="P4090" s="265"/>
      <c r="Q4090" s="265"/>
      <c r="BR4090" s="265"/>
      <c r="BS4090" s="265"/>
      <c r="BT4090" s="265"/>
      <c r="BU4090" s="265"/>
      <c r="BV4090" s="265"/>
    </row>
    <row r="4091" spans="12:74">
      <c r="L4091" s="265"/>
      <c r="M4091" s="265"/>
      <c r="N4091" s="265"/>
      <c r="O4091" s="265"/>
      <c r="P4091" s="265"/>
      <c r="Q4091" s="265"/>
      <c r="BR4091" s="265"/>
      <c r="BS4091" s="265"/>
      <c r="BT4091" s="265"/>
      <c r="BU4091" s="265"/>
      <c r="BV4091" s="265"/>
    </row>
    <row r="4092" spans="12:74">
      <c r="L4092" s="265"/>
      <c r="M4092" s="265"/>
      <c r="N4092" s="265"/>
      <c r="O4092" s="265"/>
      <c r="P4092" s="265"/>
      <c r="Q4092" s="265"/>
      <c r="BR4092" s="265"/>
      <c r="BS4092" s="265"/>
      <c r="BT4092" s="265"/>
      <c r="BU4092" s="265"/>
      <c r="BV4092" s="265"/>
    </row>
    <row r="4093" spans="12:74">
      <c r="L4093" s="265"/>
      <c r="M4093" s="265"/>
      <c r="N4093" s="265"/>
      <c r="O4093" s="265"/>
      <c r="P4093" s="265"/>
      <c r="Q4093" s="265"/>
      <c r="BR4093" s="265"/>
      <c r="BS4093" s="265"/>
      <c r="BT4093" s="265"/>
      <c r="BU4093" s="265"/>
      <c r="BV4093" s="265"/>
    </row>
    <row r="4094" spans="12:74">
      <c r="L4094" s="265"/>
      <c r="M4094" s="265"/>
      <c r="N4094" s="265"/>
      <c r="O4094" s="265"/>
      <c r="P4094" s="265"/>
      <c r="Q4094" s="265"/>
      <c r="BR4094" s="265"/>
      <c r="BS4094" s="265"/>
      <c r="BT4094" s="265"/>
      <c r="BU4094" s="265"/>
      <c r="BV4094" s="265"/>
    </row>
    <row r="4095" spans="12:74">
      <c r="L4095" s="265"/>
      <c r="M4095" s="265"/>
      <c r="N4095" s="265"/>
      <c r="O4095" s="265"/>
      <c r="P4095" s="265"/>
      <c r="Q4095" s="265"/>
      <c r="BR4095" s="265"/>
      <c r="BS4095" s="265"/>
      <c r="BT4095" s="265"/>
      <c r="BU4095" s="265"/>
      <c r="BV4095" s="265"/>
    </row>
    <row r="4096" spans="12:74">
      <c r="L4096" s="265"/>
      <c r="M4096" s="265"/>
      <c r="N4096" s="265"/>
      <c r="O4096" s="265"/>
      <c r="P4096" s="265"/>
      <c r="Q4096" s="265"/>
      <c r="BR4096" s="265"/>
      <c r="BS4096" s="265"/>
      <c r="BT4096" s="265"/>
      <c r="BU4096" s="265"/>
      <c r="BV4096" s="265"/>
    </row>
    <row r="4097" spans="12:74">
      <c r="L4097" s="265"/>
      <c r="M4097" s="265"/>
      <c r="N4097" s="265"/>
      <c r="O4097" s="265"/>
      <c r="P4097" s="265"/>
      <c r="Q4097" s="265"/>
      <c r="BR4097" s="265"/>
      <c r="BS4097" s="265"/>
      <c r="BT4097" s="265"/>
      <c r="BU4097" s="265"/>
      <c r="BV4097" s="265"/>
    </row>
    <row r="4098" spans="12:74">
      <c r="L4098" s="265"/>
      <c r="M4098" s="265"/>
      <c r="N4098" s="265"/>
      <c r="O4098" s="265"/>
      <c r="P4098" s="265"/>
      <c r="Q4098" s="265"/>
      <c r="BR4098" s="265"/>
      <c r="BS4098" s="265"/>
      <c r="BT4098" s="265"/>
      <c r="BU4098" s="265"/>
      <c r="BV4098" s="265"/>
    </row>
    <row r="4099" spans="12:74">
      <c r="L4099" s="265"/>
      <c r="M4099" s="265"/>
      <c r="N4099" s="265"/>
      <c r="O4099" s="265"/>
      <c r="P4099" s="265"/>
      <c r="Q4099" s="265"/>
      <c r="BR4099" s="265"/>
      <c r="BS4099" s="265"/>
      <c r="BT4099" s="265"/>
      <c r="BU4099" s="265"/>
      <c r="BV4099" s="265"/>
    </row>
    <row r="4100" spans="12:74">
      <c r="L4100" s="265"/>
      <c r="M4100" s="265"/>
      <c r="N4100" s="265"/>
      <c r="O4100" s="265"/>
      <c r="P4100" s="265"/>
      <c r="Q4100" s="265"/>
      <c r="BR4100" s="265"/>
      <c r="BS4100" s="265"/>
      <c r="BT4100" s="265"/>
      <c r="BU4100" s="265"/>
      <c r="BV4100" s="265"/>
    </row>
    <row r="4101" spans="12:74">
      <c r="L4101" s="265"/>
      <c r="M4101" s="265"/>
      <c r="N4101" s="265"/>
      <c r="O4101" s="265"/>
      <c r="P4101" s="265"/>
      <c r="Q4101" s="265"/>
      <c r="BR4101" s="265"/>
      <c r="BS4101" s="265"/>
      <c r="BT4101" s="265"/>
      <c r="BU4101" s="265"/>
      <c r="BV4101" s="265"/>
    </row>
    <row r="4102" spans="12:74">
      <c r="L4102" s="265"/>
      <c r="M4102" s="265"/>
      <c r="N4102" s="265"/>
      <c r="O4102" s="265"/>
      <c r="P4102" s="265"/>
      <c r="Q4102" s="265"/>
      <c r="BR4102" s="265"/>
      <c r="BS4102" s="265"/>
      <c r="BT4102" s="265"/>
      <c r="BU4102" s="265"/>
      <c r="BV4102" s="265"/>
    </row>
    <row r="4103" spans="12:74">
      <c r="L4103" s="265"/>
      <c r="M4103" s="265"/>
      <c r="N4103" s="265"/>
      <c r="O4103" s="265"/>
      <c r="P4103" s="265"/>
      <c r="Q4103" s="265"/>
      <c r="BR4103" s="265"/>
      <c r="BS4103" s="265"/>
      <c r="BT4103" s="265"/>
      <c r="BU4103" s="265"/>
      <c r="BV4103" s="265"/>
    </row>
    <row r="4104" spans="12:74">
      <c r="L4104" s="265"/>
      <c r="M4104" s="265"/>
      <c r="N4104" s="265"/>
      <c r="O4104" s="265"/>
      <c r="P4104" s="265"/>
      <c r="Q4104" s="265"/>
      <c r="BR4104" s="265"/>
      <c r="BS4104" s="265"/>
      <c r="BT4104" s="265"/>
      <c r="BU4104" s="265"/>
      <c r="BV4104" s="265"/>
    </row>
    <row r="4105" spans="12:74">
      <c r="L4105" s="265"/>
      <c r="M4105" s="265"/>
      <c r="N4105" s="265"/>
      <c r="O4105" s="265"/>
      <c r="P4105" s="265"/>
      <c r="Q4105" s="265"/>
      <c r="BR4105" s="265"/>
      <c r="BS4105" s="265"/>
      <c r="BT4105" s="265"/>
      <c r="BU4105" s="265"/>
      <c r="BV4105" s="265"/>
    </row>
    <row r="4106" spans="12:74">
      <c r="L4106" s="265"/>
      <c r="M4106" s="265"/>
      <c r="N4106" s="265"/>
      <c r="O4106" s="265"/>
      <c r="P4106" s="265"/>
      <c r="Q4106" s="265"/>
      <c r="BR4106" s="265"/>
      <c r="BS4106" s="265"/>
      <c r="BT4106" s="265"/>
      <c r="BU4106" s="265"/>
      <c r="BV4106" s="265"/>
    </row>
    <row r="4107" spans="12:74">
      <c r="L4107" s="265"/>
      <c r="M4107" s="265"/>
      <c r="N4107" s="265"/>
      <c r="O4107" s="265"/>
      <c r="P4107" s="265"/>
      <c r="Q4107" s="265"/>
      <c r="BR4107" s="265"/>
      <c r="BS4107" s="265"/>
      <c r="BT4107" s="265"/>
      <c r="BU4107" s="265"/>
      <c r="BV4107" s="265"/>
    </row>
    <row r="4108" spans="12:74">
      <c r="L4108" s="265"/>
      <c r="M4108" s="265"/>
      <c r="N4108" s="265"/>
      <c r="O4108" s="265"/>
      <c r="P4108" s="265"/>
      <c r="Q4108" s="265"/>
      <c r="BR4108" s="265"/>
      <c r="BS4108" s="265"/>
      <c r="BT4108" s="265"/>
      <c r="BU4108" s="265"/>
      <c r="BV4108" s="265"/>
    </row>
    <row r="4109" spans="12:74">
      <c r="L4109" s="265"/>
      <c r="M4109" s="265"/>
      <c r="N4109" s="265"/>
      <c r="O4109" s="265"/>
      <c r="P4109" s="265"/>
      <c r="Q4109" s="265"/>
      <c r="BR4109" s="265"/>
      <c r="BS4109" s="265"/>
      <c r="BT4109" s="265"/>
      <c r="BU4109" s="265"/>
      <c r="BV4109" s="265"/>
    </row>
    <row r="4110" spans="12:74">
      <c r="L4110" s="265"/>
      <c r="M4110" s="265"/>
      <c r="N4110" s="265"/>
      <c r="O4110" s="265"/>
      <c r="P4110" s="265"/>
      <c r="Q4110" s="265"/>
      <c r="BR4110" s="265"/>
      <c r="BS4110" s="265"/>
      <c r="BT4110" s="265"/>
      <c r="BU4110" s="265"/>
      <c r="BV4110" s="265"/>
    </row>
    <row r="4111" spans="12:74">
      <c r="L4111" s="265"/>
      <c r="M4111" s="265"/>
      <c r="N4111" s="265"/>
      <c r="O4111" s="265"/>
      <c r="P4111" s="265"/>
      <c r="Q4111" s="265"/>
      <c r="BR4111" s="265"/>
      <c r="BS4111" s="265"/>
      <c r="BT4111" s="265"/>
      <c r="BU4111" s="265"/>
      <c r="BV4111" s="265"/>
    </row>
    <row r="4112" spans="12:74">
      <c r="L4112" s="265"/>
      <c r="M4112" s="265"/>
      <c r="N4112" s="265"/>
      <c r="O4112" s="265"/>
      <c r="P4112" s="265"/>
      <c r="Q4112" s="265"/>
      <c r="BR4112" s="265"/>
      <c r="BS4112" s="265"/>
      <c r="BT4112" s="265"/>
      <c r="BU4112" s="265"/>
      <c r="BV4112" s="265"/>
    </row>
    <row r="4113" spans="12:74">
      <c r="L4113" s="265"/>
      <c r="M4113" s="265"/>
      <c r="N4113" s="265"/>
      <c r="O4113" s="265"/>
      <c r="P4113" s="265"/>
      <c r="Q4113" s="265"/>
      <c r="BR4113" s="265"/>
      <c r="BS4113" s="265"/>
      <c r="BT4113" s="265"/>
      <c r="BU4113" s="265"/>
      <c r="BV4113" s="265"/>
    </row>
    <row r="4114" spans="12:74">
      <c r="L4114" s="265"/>
      <c r="M4114" s="265"/>
      <c r="N4114" s="265"/>
      <c r="O4114" s="265"/>
      <c r="P4114" s="265"/>
      <c r="Q4114" s="265"/>
      <c r="BR4114" s="265"/>
      <c r="BS4114" s="265"/>
      <c r="BT4114" s="265"/>
      <c r="BU4114" s="265"/>
      <c r="BV4114" s="265"/>
    </row>
    <row r="4115" spans="12:74">
      <c r="L4115" s="265"/>
      <c r="M4115" s="265"/>
      <c r="N4115" s="265"/>
      <c r="O4115" s="265"/>
      <c r="P4115" s="265"/>
      <c r="Q4115" s="265"/>
      <c r="BR4115" s="265"/>
      <c r="BS4115" s="265"/>
      <c r="BT4115" s="265"/>
      <c r="BU4115" s="265"/>
      <c r="BV4115" s="265"/>
    </row>
    <row r="4116" spans="12:74">
      <c r="L4116" s="265"/>
      <c r="M4116" s="265"/>
      <c r="N4116" s="265"/>
      <c r="O4116" s="265"/>
      <c r="P4116" s="265"/>
      <c r="Q4116" s="265"/>
      <c r="BR4116" s="265"/>
      <c r="BS4116" s="265"/>
      <c r="BT4116" s="265"/>
      <c r="BU4116" s="265"/>
      <c r="BV4116" s="265"/>
    </row>
    <row r="4117" spans="12:74">
      <c r="L4117" s="265"/>
      <c r="M4117" s="265"/>
      <c r="N4117" s="265"/>
      <c r="O4117" s="265"/>
      <c r="P4117" s="265"/>
      <c r="Q4117" s="265"/>
      <c r="BR4117" s="265"/>
      <c r="BS4117" s="265"/>
      <c r="BT4117" s="265"/>
      <c r="BU4117" s="265"/>
      <c r="BV4117" s="265"/>
    </row>
    <row r="4118" spans="12:74">
      <c r="L4118" s="265"/>
      <c r="M4118" s="265"/>
      <c r="N4118" s="265"/>
      <c r="O4118" s="265"/>
      <c r="P4118" s="265"/>
      <c r="Q4118" s="265"/>
      <c r="BR4118" s="265"/>
      <c r="BS4118" s="265"/>
      <c r="BT4118" s="265"/>
      <c r="BU4118" s="265"/>
      <c r="BV4118" s="265"/>
    </row>
    <row r="4119" spans="12:74">
      <c r="L4119" s="265"/>
      <c r="M4119" s="265"/>
      <c r="N4119" s="265"/>
      <c r="O4119" s="265"/>
      <c r="P4119" s="265"/>
      <c r="Q4119" s="265"/>
      <c r="BR4119" s="265"/>
      <c r="BS4119" s="265"/>
      <c r="BT4119" s="265"/>
      <c r="BU4119" s="265"/>
      <c r="BV4119" s="265"/>
    </row>
    <row r="4120" spans="12:74">
      <c r="L4120" s="265"/>
      <c r="M4120" s="265"/>
      <c r="N4120" s="265"/>
      <c r="O4120" s="265"/>
      <c r="P4120" s="265"/>
      <c r="Q4120" s="265"/>
      <c r="BR4120" s="265"/>
      <c r="BS4120" s="265"/>
      <c r="BT4120" s="265"/>
      <c r="BU4120" s="265"/>
      <c r="BV4120" s="265"/>
    </row>
    <row r="4121" spans="12:74">
      <c r="L4121" s="265"/>
      <c r="M4121" s="265"/>
      <c r="N4121" s="265"/>
      <c r="O4121" s="265"/>
      <c r="P4121" s="265"/>
      <c r="Q4121" s="265"/>
      <c r="BR4121" s="265"/>
      <c r="BS4121" s="265"/>
      <c r="BT4121" s="265"/>
      <c r="BU4121" s="265"/>
      <c r="BV4121" s="265"/>
    </row>
    <row r="4122" spans="12:74">
      <c r="L4122" s="265"/>
      <c r="M4122" s="265"/>
      <c r="N4122" s="265"/>
      <c r="O4122" s="265"/>
      <c r="P4122" s="265"/>
      <c r="Q4122" s="265"/>
      <c r="BR4122" s="265"/>
      <c r="BS4122" s="265"/>
      <c r="BT4122" s="265"/>
      <c r="BU4122" s="265"/>
      <c r="BV4122" s="265"/>
    </row>
    <row r="4123" spans="12:74">
      <c r="L4123" s="265"/>
      <c r="M4123" s="265"/>
      <c r="N4123" s="265"/>
      <c r="O4123" s="265"/>
      <c r="P4123" s="265"/>
      <c r="Q4123" s="265"/>
      <c r="BR4123" s="265"/>
      <c r="BS4123" s="265"/>
      <c r="BT4123" s="265"/>
      <c r="BU4123" s="265"/>
      <c r="BV4123" s="265"/>
    </row>
    <row r="4124" spans="12:74">
      <c r="L4124" s="265"/>
      <c r="M4124" s="265"/>
      <c r="N4124" s="265"/>
      <c r="O4124" s="265"/>
      <c r="P4124" s="265"/>
      <c r="Q4124" s="265"/>
      <c r="BR4124" s="265"/>
      <c r="BS4124" s="265"/>
      <c r="BT4124" s="265"/>
      <c r="BU4124" s="265"/>
      <c r="BV4124" s="265"/>
    </row>
    <row r="4125" spans="12:74">
      <c r="L4125" s="265"/>
      <c r="M4125" s="265"/>
      <c r="N4125" s="265"/>
      <c r="O4125" s="265"/>
      <c r="P4125" s="265"/>
      <c r="Q4125" s="265"/>
      <c r="BR4125" s="265"/>
      <c r="BS4125" s="265"/>
      <c r="BT4125" s="265"/>
      <c r="BU4125" s="265"/>
      <c r="BV4125" s="265"/>
    </row>
    <row r="4126" spans="12:74">
      <c r="L4126" s="265"/>
      <c r="M4126" s="265"/>
      <c r="N4126" s="265"/>
      <c r="O4126" s="265"/>
      <c r="P4126" s="265"/>
      <c r="Q4126" s="265"/>
      <c r="BR4126" s="265"/>
      <c r="BS4126" s="265"/>
      <c r="BT4126" s="265"/>
      <c r="BU4126" s="265"/>
      <c r="BV4126" s="265"/>
    </row>
    <row r="4127" spans="12:74">
      <c r="L4127" s="265"/>
      <c r="M4127" s="265"/>
      <c r="N4127" s="265"/>
      <c r="O4127" s="265"/>
      <c r="P4127" s="265"/>
      <c r="Q4127" s="265"/>
      <c r="BR4127" s="265"/>
      <c r="BS4127" s="265"/>
      <c r="BT4127" s="265"/>
      <c r="BU4127" s="265"/>
      <c r="BV4127" s="265"/>
    </row>
    <row r="4128" spans="12:74">
      <c r="L4128" s="265"/>
      <c r="M4128" s="265"/>
      <c r="N4128" s="265"/>
      <c r="O4128" s="265"/>
      <c r="P4128" s="265"/>
      <c r="Q4128" s="265"/>
      <c r="BR4128" s="265"/>
      <c r="BS4128" s="265"/>
      <c r="BT4128" s="265"/>
      <c r="BU4128" s="265"/>
      <c r="BV4128" s="265"/>
    </row>
    <row r="4129" spans="12:74">
      <c r="L4129" s="265"/>
      <c r="M4129" s="265"/>
      <c r="N4129" s="265"/>
      <c r="O4129" s="265"/>
      <c r="P4129" s="265"/>
      <c r="Q4129" s="265"/>
      <c r="BR4129" s="265"/>
      <c r="BS4129" s="265"/>
      <c r="BT4129" s="265"/>
      <c r="BU4129" s="265"/>
      <c r="BV4129" s="265"/>
    </row>
    <row r="4130" spans="12:74">
      <c r="L4130" s="265"/>
      <c r="M4130" s="265"/>
      <c r="N4130" s="265"/>
      <c r="O4130" s="265"/>
      <c r="P4130" s="265"/>
      <c r="Q4130" s="265"/>
      <c r="BR4130" s="265"/>
      <c r="BS4130" s="265"/>
      <c r="BT4130" s="265"/>
      <c r="BU4130" s="265"/>
      <c r="BV4130" s="265"/>
    </row>
    <row r="4131" spans="12:74">
      <c r="L4131" s="265"/>
      <c r="M4131" s="265"/>
      <c r="N4131" s="265"/>
      <c r="O4131" s="265"/>
      <c r="P4131" s="265"/>
      <c r="Q4131" s="265"/>
      <c r="BR4131" s="265"/>
      <c r="BS4131" s="265"/>
      <c r="BT4131" s="265"/>
      <c r="BU4131" s="265"/>
      <c r="BV4131" s="265"/>
    </row>
    <row r="4132" spans="12:74">
      <c r="L4132" s="265"/>
      <c r="M4132" s="265"/>
      <c r="N4132" s="265"/>
      <c r="O4132" s="265"/>
      <c r="P4132" s="265"/>
      <c r="Q4132" s="265"/>
      <c r="BR4132" s="265"/>
      <c r="BS4132" s="265"/>
      <c r="BT4132" s="265"/>
      <c r="BU4132" s="265"/>
      <c r="BV4132" s="265"/>
    </row>
    <row r="4133" spans="12:74">
      <c r="L4133" s="265"/>
      <c r="M4133" s="265"/>
      <c r="N4133" s="265"/>
      <c r="O4133" s="265"/>
      <c r="P4133" s="265"/>
      <c r="Q4133" s="265"/>
      <c r="BR4133" s="265"/>
      <c r="BS4133" s="265"/>
      <c r="BT4133" s="265"/>
      <c r="BU4133" s="265"/>
      <c r="BV4133" s="265"/>
    </row>
    <row r="4134" spans="12:74">
      <c r="L4134" s="265"/>
      <c r="M4134" s="265"/>
      <c r="N4134" s="265"/>
      <c r="O4134" s="265"/>
      <c r="P4134" s="265"/>
      <c r="Q4134" s="265"/>
      <c r="BR4134" s="265"/>
      <c r="BS4134" s="265"/>
      <c r="BT4134" s="265"/>
      <c r="BU4134" s="265"/>
      <c r="BV4134" s="265"/>
    </row>
    <row r="4135" spans="12:74">
      <c r="L4135" s="265"/>
      <c r="M4135" s="265"/>
      <c r="N4135" s="265"/>
      <c r="O4135" s="265"/>
      <c r="P4135" s="265"/>
      <c r="Q4135" s="265"/>
      <c r="BR4135" s="265"/>
      <c r="BS4135" s="265"/>
      <c r="BT4135" s="265"/>
      <c r="BU4135" s="265"/>
      <c r="BV4135" s="265"/>
    </row>
    <row r="4136" spans="12:74">
      <c r="L4136" s="265"/>
      <c r="M4136" s="265"/>
      <c r="N4136" s="265"/>
      <c r="O4136" s="265"/>
      <c r="P4136" s="265"/>
      <c r="Q4136" s="265"/>
      <c r="BR4136" s="265"/>
      <c r="BS4136" s="265"/>
      <c r="BT4136" s="265"/>
      <c r="BU4136" s="265"/>
      <c r="BV4136" s="265"/>
    </row>
    <row r="4137" spans="12:74">
      <c r="L4137" s="265"/>
      <c r="M4137" s="265"/>
      <c r="N4137" s="265"/>
      <c r="O4137" s="265"/>
      <c r="P4137" s="265"/>
      <c r="Q4137" s="265"/>
      <c r="BR4137" s="265"/>
      <c r="BS4137" s="265"/>
      <c r="BT4137" s="265"/>
      <c r="BU4137" s="265"/>
      <c r="BV4137" s="265"/>
    </row>
    <row r="4138" spans="12:74">
      <c r="L4138" s="265"/>
      <c r="M4138" s="265"/>
      <c r="N4138" s="265"/>
      <c r="O4138" s="265"/>
      <c r="P4138" s="265"/>
      <c r="Q4138" s="265"/>
      <c r="BR4138" s="265"/>
      <c r="BS4138" s="265"/>
      <c r="BT4138" s="265"/>
      <c r="BU4138" s="265"/>
      <c r="BV4138" s="265"/>
    </row>
    <row r="4139" spans="12:74">
      <c r="L4139" s="265"/>
      <c r="M4139" s="265"/>
      <c r="N4139" s="265"/>
      <c r="O4139" s="265"/>
      <c r="P4139" s="265"/>
      <c r="Q4139" s="265"/>
      <c r="BR4139" s="265"/>
      <c r="BS4139" s="265"/>
      <c r="BT4139" s="265"/>
      <c r="BU4139" s="265"/>
      <c r="BV4139" s="265"/>
    </row>
    <row r="4140" spans="12:74">
      <c r="L4140" s="265"/>
      <c r="M4140" s="265"/>
      <c r="N4140" s="265"/>
      <c r="O4140" s="265"/>
      <c r="P4140" s="265"/>
      <c r="Q4140" s="265"/>
      <c r="BR4140" s="265"/>
      <c r="BS4140" s="265"/>
      <c r="BT4140" s="265"/>
      <c r="BU4140" s="265"/>
      <c r="BV4140" s="265"/>
    </row>
    <row r="4141" spans="12:74">
      <c r="L4141" s="265"/>
      <c r="M4141" s="265"/>
      <c r="N4141" s="265"/>
      <c r="O4141" s="265"/>
      <c r="P4141" s="265"/>
      <c r="Q4141" s="265"/>
      <c r="BR4141" s="265"/>
      <c r="BS4141" s="265"/>
      <c r="BT4141" s="265"/>
      <c r="BU4141" s="265"/>
      <c r="BV4141" s="265"/>
    </row>
    <row r="4142" spans="12:74">
      <c r="L4142" s="265"/>
      <c r="M4142" s="265"/>
      <c r="N4142" s="265"/>
      <c r="O4142" s="265"/>
      <c r="P4142" s="265"/>
      <c r="Q4142" s="265"/>
      <c r="BR4142" s="265"/>
      <c r="BS4142" s="265"/>
      <c r="BT4142" s="265"/>
      <c r="BU4142" s="265"/>
      <c r="BV4142" s="265"/>
    </row>
    <row r="4143" spans="12:74">
      <c r="L4143" s="265"/>
      <c r="M4143" s="265"/>
      <c r="N4143" s="265"/>
      <c r="O4143" s="265"/>
      <c r="P4143" s="265"/>
      <c r="Q4143" s="265"/>
      <c r="BR4143" s="265"/>
      <c r="BS4143" s="265"/>
      <c r="BT4143" s="265"/>
      <c r="BU4143" s="265"/>
      <c r="BV4143" s="265"/>
    </row>
    <row r="4144" spans="12:74">
      <c r="L4144" s="265"/>
      <c r="M4144" s="265"/>
      <c r="N4144" s="265"/>
      <c r="O4144" s="265"/>
      <c r="P4144" s="265"/>
      <c r="Q4144" s="265"/>
      <c r="BR4144" s="265"/>
      <c r="BS4144" s="265"/>
      <c r="BT4144" s="265"/>
      <c r="BU4144" s="265"/>
      <c r="BV4144" s="265"/>
    </row>
    <row r="4145" spans="12:74">
      <c r="L4145" s="265"/>
      <c r="M4145" s="265"/>
      <c r="N4145" s="265"/>
      <c r="O4145" s="265"/>
      <c r="P4145" s="265"/>
      <c r="Q4145" s="265"/>
      <c r="BR4145" s="265"/>
      <c r="BS4145" s="265"/>
      <c r="BT4145" s="265"/>
      <c r="BU4145" s="265"/>
      <c r="BV4145" s="265"/>
    </row>
    <row r="4146" spans="12:74">
      <c r="L4146" s="265"/>
      <c r="M4146" s="265"/>
      <c r="N4146" s="265"/>
      <c r="O4146" s="265"/>
      <c r="P4146" s="265"/>
      <c r="Q4146" s="265"/>
      <c r="BR4146" s="265"/>
      <c r="BS4146" s="265"/>
      <c r="BT4146" s="265"/>
      <c r="BU4146" s="265"/>
      <c r="BV4146" s="265"/>
    </row>
    <row r="4147" spans="12:74">
      <c r="L4147" s="265"/>
      <c r="M4147" s="265"/>
      <c r="N4147" s="265"/>
      <c r="O4147" s="265"/>
      <c r="P4147" s="265"/>
      <c r="Q4147" s="265"/>
      <c r="BR4147" s="265"/>
      <c r="BS4147" s="265"/>
      <c r="BT4147" s="265"/>
      <c r="BU4147" s="265"/>
      <c r="BV4147" s="265"/>
    </row>
    <row r="4148" spans="12:74">
      <c r="L4148" s="265"/>
      <c r="M4148" s="265"/>
      <c r="N4148" s="265"/>
      <c r="O4148" s="265"/>
      <c r="P4148" s="265"/>
      <c r="Q4148" s="265"/>
      <c r="BR4148" s="265"/>
      <c r="BS4148" s="265"/>
      <c r="BT4148" s="265"/>
      <c r="BU4148" s="265"/>
      <c r="BV4148" s="265"/>
    </row>
    <row r="4149" spans="12:74">
      <c r="L4149" s="265"/>
      <c r="M4149" s="265"/>
      <c r="N4149" s="265"/>
      <c r="O4149" s="265"/>
      <c r="P4149" s="265"/>
      <c r="Q4149" s="265"/>
      <c r="BR4149" s="265"/>
      <c r="BS4149" s="265"/>
      <c r="BT4149" s="265"/>
      <c r="BU4149" s="265"/>
      <c r="BV4149" s="265"/>
    </row>
    <row r="4150" spans="12:74">
      <c r="L4150" s="265"/>
      <c r="M4150" s="265"/>
      <c r="N4150" s="265"/>
      <c r="O4150" s="265"/>
      <c r="P4150" s="265"/>
      <c r="Q4150" s="265"/>
      <c r="BR4150" s="265"/>
      <c r="BS4150" s="265"/>
      <c r="BT4150" s="265"/>
      <c r="BU4150" s="265"/>
      <c r="BV4150" s="265"/>
    </row>
    <row r="4151" spans="12:74">
      <c r="L4151" s="265"/>
      <c r="M4151" s="265"/>
      <c r="N4151" s="265"/>
      <c r="O4151" s="265"/>
      <c r="P4151" s="265"/>
      <c r="Q4151" s="265"/>
      <c r="BR4151" s="265"/>
      <c r="BS4151" s="265"/>
      <c r="BT4151" s="265"/>
      <c r="BU4151" s="265"/>
      <c r="BV4151" s="265"/>
    </row>
    <row r="4152" spans="12:74">
      <c r="L4152" s="265"/>
      <c r="M4152" s="265"/>
      <c r="N4152" s="265"/>
      <c r="O4152" s="265"/>
      <c r="P4152" s="265"/>
      <c r="Q4152" s="265"/>
      <c r="BR4152" s="265"/>
      <c r="BS4152" s="265"/>
      <c r="BT4152" s="265"/>
      <c r="BU4152" s="265"/>
      <c r="BV4152" s="265"/>
    </row>
    <row r="4153" spans="12:74">
      <c r="L4153" s="265"/>
      <c r="M4153" s="265"/>
      <c r="N4153" s="265"/>
      <c r="O4153" s="265"/>
      <c r="P4153" s="265"/>
      <c r="Q4153" s="265"/>
      <c r="BR4153" s="265"/>
      <c r="BS4153" s="265"/>
      <c r="BT4153" s="265"/>
      <c r="BU4153" s="265"/>
      <c r="BV4153" s="265"/>
    </row>
    <row r="4154" spans="12:74">
      <c r="L4154" s="265"/>
      <c r="M4154" s="265"/>
      <c r="N4154" s="265"/>
      <c r="O4154" s="265"/>
      <c r="P4154" s="265"/>
      <c r="Q4154" s="265"/>
      <c r="BR4154" s="265"/>
      <c r="BS4154" s="265"/>
      <c r="BT4154" s="265"/>
      <c r="BU4154" s="265"/>
      <c r="BV4154" s="265"/>
    </row>
    <row r="4155" spans="12:74">
      <c r="L4155" s="265"/>
      <c r="M4155" s="265"/>
      <c r="N4155" s="265"/>
      <c r="O4155" s="265"/>
      <c r="P4155" s="265"/>
      <c r="Q4155" s="265"/>
      <c r="BR4155" s="265"/>
      <c r="BS4155" s="265"/>
      <c r="BT4155" s="265"/>
      <c r="BU4155" s="265"/>
      <c r="BV4155" s="265"/>
    </row>
    <row r="4156" spans="12:74">
      <c r="L4156" s="265"/>
      <c r="M4156" s="265"/>
      <c r="N4156" s="265"/>
      <c r="O4156" s="265"/>
      <c r="P4156" s="265"/>
      <c r="Q4156" s="265"/>
      <c r="BR4156" s="265"/>
      <c r="BS4156" s="265"/>
      <c r="BT4156" s="265"/>
      <c r="BU4156" s="265"/>
      <c r="BV4156" s="265"/>
    </row>
    <row r="4157" spans="12:74">
      <c r="L4157" s="265"/>
      <c r="M4157" s="265"/>
      <c r="N4157" s="265"/>
      <c r="O4157" s="265"/>
      <c r="P4157" s="265"/>
      <c r="Q4157" s="265"/>
      <c r="BR4157" s="265"/>
      <c r="BS4157" s="265"/>
      <c r="BT4157" s="265"/>
      <c r="BU4157" s="265"/>
      <c r="BV4157" s="265"/>
    </row>
    <row r="4158" spans="12:74">
      <c r="L4158" s="265"/>
      <c r="M4158" s="265"/>
      <c r="N4158" s="265"/>
      <c r="O4158" s="265"/>
      <c r="P4158" s="265"/>
      <c r="Q4158" s="265"/>
      <c r="BR4158" s="265"/>
      <c r="BS4158" s="265"/>
      <c r="BT4158" s="265"/>
      <c r="BU4158" s="265"/>
      <c r="BV4158" s="265"/>
    </row>
    <row r="4159" spans="12:74">
      <c r="L4159" s="265"/>
      <c r="M4159" s="265"/>
      <c r="N4159" s="265"/>
      <c r="O4159" s="265"/>
      <c r="P4159" s="265"/>
      <c r="Q4159" s="265"/>
      <c r="BR4159" s="265"/>
      <c r="BS4159" s="265"/>
      <c r="BT4159" s="265"/>
      <c r="BU4159" s="265"/>
      <c r="BV4159" s="265"/>
    </row>
    <row r="4160" spans="12:74">
      <c r="L4160" s="265"/>
      <c r="M4160" s="265"/>
      <c r="N4160" s="265"/>
      <c r="O4160" s="265"/>
      <c r="P4160" s="265"/>
      <c r="Q4160" s="265"/>
      <c r="BR4160" s="265"/>
      <c r="BS4160" s="265"/>
      <c r="BT4160" s="265"/>
      <c r="BU4160" s="265"/>
      <c r="BV4160" s="265"/>
    </row>
    <row r="4161" spans="12:74">
      <c r="L4161" s="265"/>
      <c r="M4161" s="265"/>
      <c r="N4161" s="265"/>
      <c r="O4161" s="265"/>
      <c r="P4161" s="265"/>
      <c r="Q4161" s="265"/>
      <c r="BR4161" s="265"/>
      <c r="BS4161" s="265"/>
      <c r="BT4161" s="265"/>
      <c r="BU4161" s="265"/>
      <c r="BV4161" s="265"/>
    </row>
    <row r="4162" spans="12:74">
      <c r="L4162" s="265"/>
      <c r="M4162" s="265"/>
      <c r="N4162" s="265"/>
      <c r="O4162" s="265"/>
      <c r="P4162" s="265"/>
      <c r="Q4162" s="265"/>
      <c r="BR4162" s="265"/>
      <c r="BS4162" s="265"/>
      <c r="BT4162" s="265"/>
      <c r="BU4162" s="265"/>
      <c r="BV4162" s="265"/>
    </row>
    <row r="4163" spans="12:74">
      <c r="L4163" s="265"/>
      <c r="M4163" s="265"/>
      <c r="N4163" s="265"/>
      <c r="O4163" s="265"/>
      <c r="P4163" s="265"/>
      <c r="Q4163" s="265"/>
      <c r="BR4163" s="265"/>
      <c r="BS4163" s="265"/>
      <c r="BT4163" s="265"/>
      <c r="BU4163" s="265"/>
      <c r="BV4163" s="265"/>
    </row>
    <row r="4164" spans="12:74">
      <c r="L4164" s="265"/>
      <c r="M4164" s="265"/>
      <c r="N4164" s="265"/>
      <c r="O4164" s="265"/>
      <c r="P4164" s="265"/>
      <c r="Q4164" s="265"/>
      <c r="BR4164" s="265"/>
      <c r="BS4164" s="265"/>
      <c r="BT4164" s="265"/>
      <c r="BU4164" s="265"/>
      <c r="BV4164" s="265"/>
    </row>
    <row r="4165" spans="12:74">
      <c r="L4165" s="265"/>
      <c r="M4165" s="265"/>
      <c r="N4165" s="265"/>
      <c r="O4165" s="265"/>
      <c r="P4165" s="265"/>
      <c r="Q4165" s="265"/>
      <c r="BR4165" s="265"/>
      <c r="BS4165" s="265"/>
      <c r="BT4165" s="265"/>
      <c r="BU4165" s="265"/>
      <c r="BV4165" s="265"/>
    </row>
    <row r="4166" spans="12:74">
      <c r="L4166" s="265"/>
      <c r="M4166" s="265"/>
      <c r="N4166" s="265"/>
      <c r="O4166" s="265"/>
      <c r="P4166" s="265"/>
      <c r="Q4166" s="265"/>
      <c r="BR4166" s="265"/>
      <c r="BS4166" s="265"/>
      <c r="BT4166" s="265"/>
      <c r="BU4166" s="265"/>
      <c r="BV4166" s="265"/>
    </row>
    <row r="4167" spans="12:74">
      <c r="L4167" s="265"/>
      <c r="M4167" s="265"/>
      <c r="N4167" s="265"/>
      <c r="O4167" s="265"/>
      <c r="P4167" s="265"/>
      <c r="Q4167" s="265"/>
      <c r="BR4167" s="265"/>
      <c r="BS4167" s="265"/>
      <c r="BT4167" s="265"/>
      <c r="BU4167" s="265"/>
      <c r="BV4167" s="265"/>
    </row>
    <row r="4168" spans="12:74">
      <c r="L4168" s="265"/>
      <c r="M4168" s="265"/>
      <c r="N4168" s="265"/>
      <c r="O4168" s="265"/>
      <c r="P4168" s="265"/>
      <c r="Q4168" s="265"/>
      <c r="BR4168" s="265"/>
      <c r="BS4168" s="265"/>
      <c r="BT4168" s="265"/>
      <c r="BU4168" s="265"/>
      <c r="BV4168" s="265"/>
    </row>
    <row r="4169" spans="12:74">
      <c r="L4169" s="265"/>
      <c r="M4169" s="265"/>
      <c r="N4169" s="265"/>
      <c r="O4169" s="265"/>
      <c r="P4169" s="265"/>
      <c r="Q4169" s="265"/>
      <c r="BR4169" s="265"/>
      <c r="BS4169" s="265"/>
      <c r="BT4169" s="265"/>
      <c r="BU4169" s="265"/>
      <c r="BV4169" s="265"/>
    </row>
    <row r="4170" spans="12:74">
      <c r="L4170" s="265"/>
      <c r="M4170" s="265"/>
      <c r="N4170" s="265"/>
      <c r="O4170" s="265"/>
      <c r="P4170" s="265"/>
      <c r="Q4170" s="265"/>
      <c r="BR4170" s="265"/>
      <c r="BS4170" s="265"/>
      <c r="BT4170" s="265"/>
      <c r="BU4170" s="265"/>
      <c r="BV4170" s="265"/>
    </row>
    <row r="4171" spans="12:74">
      <c r="L4171" s="265"/>
      <c r="M4171" s="265"/>
      <c r="N4171" s="265"/>
      <c r="O4171" s="265"/>
      <c r="P4171" s="265"/>
      <c r="Q4171" s="265"/>
      <c r="BR4171" s="265"/>
      <c r="BS4171" s="265"/>
      <c r="BT4171" s="265"/>
      <c r="BU4171" s="265"/>
      <c r="BV4171" s="265"/>
    </row>
    <row r="4172" spans="12:74">
      <c r="L4172" s="265"/>
      <c r="M4172" s="265"/>
      <c r="N4172" s="265"/>
      <c r="O4172" s="265"/>
      <c r="P4172" s="265"/>
      <c r="Q4172" s="265"/>
      <c r="BR4172" s="265"/>
      <c r="BS4172" s="265"/>
      <c r="BT4172" s="265"/>
      <c r="BU4172" s="265"/>
      <c r="BV4172" s="265"/>
    </row>
    <row r="4173" spans="12:74">
      <c r="L4173" s="265"/>
      <c r="M4173" s="265"/>
      <c r="N4173" s="265"/>
      <c r="O4173" s="265"/>
      <c r="P4173" s="265"/>
      <c r="Q4173" s="265"/>
      <c r="BR4173" s="265"/>
      <c r="BS4173" s="265"/>
      <c r="BT4173" s="265"/>
      <c r="BU4173" s="265"/>
      <c r="BV4173" s="265"/>
    </row>
    <row r="4174" spans="12:74">
      <c r="L4174" s="265"/>
      <c r="M4174" s="265"/>
      <c r="N4174" s="265"/>
      <c r="O4174" s="265"/>
      <c r="P4174" s="265"/>
      <c r="Q4174" s="265"/>
      <c r="BR4174" s="265"/>
      <c r="BS4174" s="265"/>
      <c r="BT4174" s="265"/>
      <c r="BU4174" s="265"/>
      <c r="BV4174" s="265"/>
    </row>
    <row r="4175" spans="12:74">
      <c r="L4175" s="265"/>
      <c r="M4175" s="265"/>
      <c r="N4175" s="265"/>
      <c r="O4175" s="265"/>
      <c r="P4175" s="265"/>
      <c r="Q4175" s="265"/>
      <c r="BR4175" s="265"/>
      <c r="BS4175" s="265"/>
      <c r="BT4175" s="265"/>
      <c r="BU4175" s="265"/>
      <c r="BV4175" s="265"/>
    </row>
    <row r="4176" spans="12:74">
      <c r="L4176" s="265"/>
      <c r="M4176" s="265"/>
      <c r="N4176" s="265"/>
      <c r="O4176" s="265"/>
      <c r="P4176" s="265"/>
      <c r="Q4176" s="265"/>
      <c r="BR4176" s="265"/>
      <c r="BS4176" s="265"/>
      <c r="BT4176" s="265"/>
      <c r="BU4176" s="265"/>
      <c r="BV4176" s="265"/>
    </row>
    <row r="4177" spans="12:74">
      <c r="L4177" s="265"/>
      <c r="M4177" s="265"/>
      <c r="N4177" s="265"/>
      <c r="O4177" s="265"/>
      <c r="P4177" s="265"/>
      <c r="Q4177" s="265"/>
      <c r="BR4177" s="265"/>
      <c r="BS4177" s="265"/>
      <c r="BT4177" s="265"/>
      <c r="BU4177" s="265"/>
      <c r="BV4177" s="265"/>
    </row>
    <row r="4178" spans="12:74">
      <c r="L4178" s="265"/>
      <c r="M4178" s="265"/>
      <c r="N4178" s="265"/>
      <c r="O4178" s="265"/>
      <c r="P4178" s="265"/>
      <c r="Q4178" s="265"/>
      <c r="BR4178" s="265"/>
      <c r="BS4178" s="265"/>
      <c r="BT4178" s="265"/>
      <c r="BU4178" s="265"/>
      <c r="BV4178" s="265"/>
    </row>
    <row r="4179" spans="12:74">
      <c r="L4179" s="265"/>
      <c r="M4179" s="265"/>
      <c r="N4179" s="265"/>
      <c r="O4179" s="265"/>
      <c r="P4179" s="265"/>
      <c r="Q4179" s="265"/>
      <c r="BR4179" s="265"/>
      <c r="BS4179" s="265"/>
      <c r="BT4179" s="265"/>
      <c r="BU4179" s="265"/>
      <c r="BV4179" s="265"/>
    </row>
    <row r="4180" spans="12:74">
      <c r="L4180" s="265"/>
      <c r="M4180" s="265"/>
      <c r="N4180" s="265"/>
      <c r="O4180" s="265"/>
      <c r="P4180" s="265"/>
      <c r="Q4180" s="265"/>
      <c r="BR4180" s="265"/>
      <c r="BS4180" s="265"/>
      <c r="BT4180" s="265"/>
      <c r="BU4180" s="265"/>
      <c r="BV4180" s="265"/>
    </row>
    <row r="4181" spans="12:74">
      <c r="L4181" s="265"/>
      <c r="M4181" s="265"/>
      <c r="N4181" s="265"/>
      <c r="O4181" s="265"/>
      <c r="P4181" s="265"/>
      <c r="Q4181" s="265"/>
      <c r="BR4181" s="265"/>
      <c r="BS4181" s="265"/>
      <c r="BT4181" s="265"/>
      <c r="BU4181" s="265"/>
      <c r="BV4181" s="265"/>
    </row>
    <row r="4182" spans="12:74">
      <c r="L4182" s="265"/>
      <c r="M4182" s="265"/>
      <c r="N4182" s="265"/>
      <c r="O4182" s="265"/>
      <c r="P4182" s="265"/>
      <c r="Q4182" s="265"/>
      <c r="BR4182" s="265"/>
      <c r="BS4182" s="265"/>
      <c r="BT4182" s="265"/>
      <c r="BU4182" s="265"/>
      <c r="BV4182" s="265"/>
    </row>
    <row r="4183" spans="12:74">
      <c r="L4183" s="265"/>
      <c r="M4183" s="265"/>
      <c r="N4183" s="265"/>
      <c r="O4183" s="265"/>
      <c r="P4183" s="265"/>
      <c r="Q4183" s="265"/>
      <c r="BR4183" s="265"/>
      <c r="BS4183" s="265"/>
      <c r="BT4183" s="265"/>
      <c r="BU4183" s="265"/>
      <c r="BV4183" s="265"/>
    </row>
    <row r="4184" spans="12:74">
      <c r="L4184" s="265"/>
      <c r="M4184" s="265"/>
      <c r="N4184" s="265"/>
      <c r="O4184" s="265"/>
      <c r="P4184" s="265"/>
      <c r="Q4184" s="265"/>
      <c r="BR4184" s="265"/>
      <c r="BS4184" s="265"/>
      <c r="BT4184" s="265"/>
      <c r="BU4184" s="265"/>
      <c r="BV4184" s="265"/>
    </row>
    <row r="4185" spans="12:74">
      <c r="L4185" s="265"/>
      <c r="M4185" s="265"/>
      <c r="N4185" s="265"/>
      <c r="O4185" s="265"/>
      <c r="P4185" s="265"/>
      <c r="Q4185" s="265"/>
      <c r="BR4185" s="265"/>
      <c r="BS4185" s="265"/>
      <c r="BT4185" s="265"/>
      <c r="BU4185" s="265"/>
      <c r="BV4185" s="265"/>
    </row>
    <row r="4186" spans="12:74">
      <c r="L4186" s="265"/>
      <c r="M4186" s="265"/>
      <c r="N4186" s="265"/>
      <c r="O4186" s="265"/>
      <c r="P4186" s="265"/>
      <c r="Q4186" s="265"/>
      <c r="BR4186" s="265"/>
      <c r="BS4186" s="265"/>
      <c r="BT4186" s="265"/>
      <c r="BU4186" s="265"/>
      <c r="BV4186" s="265"/>
    </row>
    <row r="4187" spans="12:74">
      <c r="L4187" s="265"/>
      <c r="M4187" s="265"/>
      <c r="N4187" s="265"/>
      <c r="O4187" s="265"/>
      <c r="P4187" s="265"/>
      <c r="Q4187" s="265"/>
      <c r="BR4187" s="265"/>
      <c r="BS4187" s="265"/>
      <c r="BT4187" s="265"/>
      <c r="BU4187" s="265"/>
      <c r="BV4187" s="265"/>
    </row>
    <row r="4188" spans="12:74">
      <c r="L4188" s="265"/>
      <c r="M4188" s="265"/>
      <c r="N4188" s="265"/>
      <c r="O4188" s="265"/>
      <c r="P4188" s="265"/>
      <c r="Q4188" s="265"/>
      <c r="BR4188" s="265"/>
      <c r="BS4188" s="265"/>
      <c r="BT4188" s="265"/>
      <c r="BU4188" s="265"/>
      <c r="BV4188" s="265"/>
    </row>
    <row r="4189" spans="12:74">
      <c r="L4189" s="265"/>
      <c r="M4189" s="265"/>
      <c r="N4189" s="265"/>
      <c r="O4189" s="265"/>
      <c r="P4189" s="265"/>
      <c r="Q4189" s="265"/>
      <c r="BR4189" s="265"/>
      <c r="BS4189" s="265"/>
      <c r="BT4189" s="265"/>
      <c r="BU4189" s="265"/>
      <c r="BV4189" s="265"/>
    </row>
    <row r="4190" spans="12:74">
      <c r="L4190" s="265"/>
      <c r="M4190" s="265"/>
      <c r="N4190" s="265"/>
      <c r="O4190" s="265"/>
      <c r="P4190" s="265"/>
      <c r="Q4190" s="265"/>
      <c r="BR4190" s="265"/>
      <c r="BS4190" s="265"/>
      <c r="BT4190" s="265"/>
      <c r="BU4190" s="265"/>
      <c r="BV4190" s="265"/>
    </row>
    <row r="4191" spans="12:74">
      <c r="L4191" s="265"/>
      <c r="M4191" s="265"/>
      <c r="N4191" s="265"/>
      <c r="O4191" s="265"/>
      <c r="P4191" s="265"/>
      <c r="Q4191" s="265"/>
      <c r="BR4191" s="265"/>
      <c r="BS4191" s="265"/>
      <c r="BT4191" s="265"/>
      <c r="BU4191" s="265"/>
      <c r="BV4191" s="265"/>
    </row>
    <row r="4192" spans="12:74">
      <c r="L4192" s="265"/>
      <c r="M4192" s="265"/>
      <c r="N4192" s="265"/>
      <c r="O4192" s="265"/>
      <c r="P4192" s="265"/>
      <c r="Q4192" s="265"/>
      <c r="BR4192" s="265"/>
      <c r="BS4192" s="265"/>
      <c r="BT4192" s="265"/>
      <c r="BU4192" s="265"/>
      <c r="BV4192" s="265"/>
    </row>
    <row r="4193" spans="12:74">
      <c r="L4193" s="265"/>
      <c r="M4193" s="265"/>
      <c r="N4193" s="265"/>
      <c r="O4193" s="265"/>
      <c r="P4193" s="265"/>
      <c r="Q4193" s="265"/>
      <c r="BR4193" s="265"/>
      <c r="BS4193" s="265"/>
      <c r="BT4193" s="265"/>
      <c r="BU4193" s="265"/>
      <c r="BV4193" s="265"/>
    </row>
    <row r="4194" spans="12:74">
      <c r="L4194" s="265"/>
      <c r="M4194" s="265"/>
      <c r="N4194" s="265"/>
      <c r="O4194" s="265"/>
      <c r="P4194" s="265"/>
      <c r="Q4194" s="265"/>
      <c r="BR4194" s="265"/>
      <c r="BS4194" s="265"/>
      <c r="BT4194" s="265"/>
      <c r="BU4194" s="265"/>
      <c r="BV4194" s="265"/>
    </row>
    <row r="4195" spans="12:74">
      <c r="L4195" s="265"/>
      <c r="M4195" s="265"/>
      <c r="N4195" s="265"/>
      <c r="O4195" s="265"/>
      <c r="P4195" s="265"/>
      <c r="Q4195" s="265"/>
      <c r="BR4195" s="265"/>
      <c r="BS4195" s="265"/>
      <c r="BT4195" s="265"/>
      <c r="BU4195" s="265"/>
      <c r="BV4195" s="265"/>
    </row>
    <row r="4196" spans="12:74">
      <c r="L4196" s="265"/>
      <c r="M4196" s="265"/>
      <c r="N4196" s="265"/>
      <c r="O4196" s="265"/>
      <c r="P4196" s="265"/>
      <c r="Q4196" s="265"/>
      <c r="BR4196" s="265"/>
      <c r="BS4196" s="265"/>
      <c r="BT4196" s="265"/>
      <c r="BU4196" s="265"/>
      <c r="BV4196" s="265"/>
    </row>
    <row r="4197" spans="12:74">
      <c r="L4197" s="265"/>
      <c r="M4197" s="265"/>
      <c r="N4197" s="265"/>
      <c r="O4197" s="265"/>
      <c r="P4197" s="265"/>
      <c r="Q4197" s="265"/>
      <c r="BR4197" s="265"/>
      <c r="BS4197" s="265"/>
      <c r="BT4197" s="265"/>
      <c r="BU4197" s="265"/>
      <c r="BV4197" s="265"/>
    </row>
    <row r="4198" spans="12:74">
      <c r="L4198" s="265"/>
      <c r="M4198" s="265"/>
      <c r="N4198" s="265"/>
      <c r="O4198" s="265"/>
      <c r="P4198" s="265"/>
      <c r="Q4198" s="265"/>
      <c r="BR4198" s="265"/>
      <c r="BS4198" s="265"/>
      <c r="BT4198" s="265"/>
      <c r="BU4198" s="265"/>
      <c r="BV4198" s="265"/>
    </row>
    <row r="4199" spans="12:74">
      <c r="L4199" s="265"/>
      <c r="M4199" s="265"/>
      <c r="N4199" s="265"/>
      <c r="O4199" s="265"/>
      <c r="P4199" s="265"/>
      <c r="Q4199" s="265"/>
      <c r="BR4199" s="265"/>
      <c r="BS4199" s="265"/>
      <c r="BT4199" s="265"/>
      <c r="BU4199" s="265"/>
      <c r="BV4199" s="265"/>
    </row>
    <row r="4200" spans="12:74">
      <c r="L4200" s="265"/>
      <c r="M4200" s="265"/>
      <c r="N4200" s="265"/>
      <c r="O4200" s="265"/>
      <c r="P4200" s="265"/>
      <c r="Q4200" s="265"/>
      <c r="BR4200" s="265"/>
      <c r="BS4200" s="265"/>
      <c r="BT4200" s="265"/>
      <c r="BU4200" s="265"/>
      <c r="BV4200" s="265"/>
    </row>
    <row r="4201" spans="12:74">
      <c r="L4201" s="265"/>
      <c r="M4201" s="265"/>
      <c r="N4201" s="265"/>
      <c r="O4201" s="265"/>
      <c r="P4201" s="265"/>
      <c r="Q4201" s="265"/>
      <c r="BR4201" s="265"/>
      <c r="BS4201" s="265"/>
      <c r="BT4201" s="265"/>
      <c r="BU4201" s="265"/>
      <c r="BV4201" s="265"/>
    </row>
    <row r="4202" spans="12:74">
      <c r="L4202" s="265"/>
      <c r="M4202" s="265"/>
      <c r="N4202" s="265"/>
      <c r="O4202" s="265"/>
      <c r="P4202" s="265"/>
      <c r="Q4202" s="265"/>
      <c r="BR4202" s="265"/>
      <c r="BS4202" s="265"/>
      <c r="BT4202" s="265"/>
      <c r="BU4202" s="265"/>
      <c r="BV4202" s="265"/>
    </row>
    <row r="4203" spans="12:74">
      <c r="L4203" s="265"/>
      <c r="M4203" s="265"/>
      <c r="N4203" s="265"/>
      <c r="O4203" s="265"/>
      <c r="P4203" s="265"/>
      <c r="Q4203" s="265"/>
      <c r="BR4203" s="265"/>
      <c r="BS4203" s="265"/>
      <c r="BT4203" s="265"/>
      <c r="BU4203" s="265"/>
      <c r="BV4203" s="265"/>
    </row>
    <row r="4204" spans="12:74">
      <c r="L4204" s="265"/>
      <c r="M4204" s="265"/>
      <c r="N4204" s="265"/>
      <c r="O4204" s="265"/>
      <c r="P4204" s="265"/>
      <c r="Q4204" s="265"/>
      <c r="BR4204" s="265"/>
      <c r="BS4204" s="265"/>
      <c r="BT4204" s="265"/>
      <c r="BU4204" s="265"/>
      <c r="BV4204" s="265"/>
    </row>
    <row r="4205" spans="12:74">
      <c r="L4205" s="265"/>
      <c r="M4205" s="265"/>
      <c r="N4205" s="265"/>
      <c r="O4205" s="265"/>
      <c r="P4205" s="265"/>
      <c r="Q4205" s="265"/>
      <c r="BR4205" s="265"/>
      <c r="BS4205" s="265"/>
      <c r="BT4205" s="265"/>
      <c r="BU4205" s="265"/>
      <c r="BV4205" s="265"/>
    </row>
    <row r="4206" spans="12:74">
      <c r="L4206" s="265"/>
      <c r="M4206" s="265"/>
      <c r="N4206" s="265"/>
      <c r="O4206" s="265"/>
      <c r="P4206" s="265"/>
      <c r="Q4206" s="265"/>
      <c r="BR4206" s="265"/>
      <c r="BS4206" s="265"/>
      <c r="BT4206" s="265"/>
      <c r="BU4206" s="265"/>
      <c r="BV4206" s="265"/>
    </row>
    <row r="4207" spans="12:74">
      <c r="L4207" s="265"/>
      <c r="M4207" s="265"/>
      <c r="N4207" s="265"/>
      <c r="O4207" s="265"/>
      <c r="P4207" s="265"/>
      <c r="Q4207" s="265"/>
      <c r="BR4207" s="265"/>
      <c r="BS4207" s="265"/>
      <c r="BT4207" s="265"/>
      <c r="BU4207" s="265"/>
      <c r="BV4207" s="265"/>
    </row>
    <row r="4208" spans="12:74">
      <c r="L4208" s="265"/>
      <c r="M4208" s="265"/>
      <c r="N4208" s="265"/>
      <c r="O4208" s="265"/>
      <c r="P4208" s="265"/>
      <c r="Q4208" s="265"/>
      <c r="BR4208" s="265"/>
      <c r="BS4208" s="265"/>
      <c r="BT4208" s="265"/>
      <c r="BU4208" s="265"/>
      <c r="BV4208" s="265"/>
    </row>
    <row r="4209" spans="12:74">
      <c r="L4209" s="265"/>
      <c r="M4209" s="265"/>
      <c r="N4209" s="265"/>
      <c r="O4209" s="265"/>
      <c r="P4209" s="265"/>
      <c r="Q4209" s="265"/>
      <c r="BR4209" s="265"/>
      <c r="BS4209" s="265"/>
      <c r="BT4209" s="265"/>
      <c r="BU4209" s="265"/>
      <c r="BV4209" s="265"/>
    </row>
    <row r="4210" spans="12:74">
      <c r="L4210" s="265"/>
      <c r="M4210" s="265"/>
      <c r="N4210" s="265"/>
      <c r="O4210" s="265"/>
      <c r="P4210" s="265"/>
      <c r="Q4210" s="265"/>
      <c r="BR4210" s="265"/>
      <c r="BS4210" s="265"/>
      <c r="BT4210" s="265"/>
      <c r="BU4210" s="265"/>
      <c r="BV4210" s="265"/>
    </row>
    <row r="4211" spans="12:74">
      <c r="L4211" s="265"/>
      <c r="M4211" s="265"/>
      <c r="N4211" s="265"/>
      <c r="O4211" s="265"/>
      <c r="P4211" s="265"/>
      <c r="Q4211" s="265"/>
      <c r="BR4211" s="265"/>
      <c r="BS4211" s="265"/>
      <c r="BT4211" s="265"/>
      <c r="BU4211" s="265"/>
      <c r="BV4211" s="265"/>
    </row>
    <row r="4212" spans="12:74">
      <c r="L4212" s="265"/>
      <c r="M4212" s="265"/>
      <c r="N4212" s="265"/>
      <c r="O4212" s="265"/>
      <c r="P4212" s="265"/>
      <c r="Q4212" s="265"/>
      <c r="BR4212" s="265"/>
      <c r="BS4212" s="265"/>
      <c r="BT4212" s="265"/>
      <c r="BU4212" s="265"/>
      <c r="BV4212" s="265"/>
    </row>
    <row r="4213" spans="12:74">
      <c r="L4213" s="265"/>
      <c r="M4213" s="265"/>
      <c r="N4213" s="265"/>
      <c r="O4213" s="265"/>
      <c r="P4213" s="265"/>
      <c r="Q4213" s="265"/>
      <c r="BR4213" s="265"/>
      <c r="BS4213" s="265"/>
      <c r="BT4213" s="265"/>
      <c r="BU4213" s="265"/>
      <c r="BV4213" s="265"/>
    </row>
    <row r="4214" spans="12:74">
      <c r="L4214" s="265"/>
      <c r="M4214" s="265"/>
      <c r="N4214" s="265"/>
      <c r="O4214" s="265"/>
      <c r="P4214" s="265"/>
      <c r="Q4214" s="265"/>
      <c r="BR4214" s="265"/>
      <c r="BS4214" s="265"/>
      <c r="BT4214" s="265"/>
      <c r="BU4214" s="265"/>
      <c r="BV4214" s="265"/>
    </row>
    <row r="4215" spans="12:74">
      <c r="L4215" s="265"/>
      <c r="M4215" s="265"/>
      <c r="N4215" s="265"/>
      <c r="O4215" s="265"/>
      <c r="P4215" s="265"/>
      <c r="Q4215" s="265"/>
      <c r="BR4215" s="265"/>
      <c r="BS4215" s="265"/>
      <c r="BT4215" s="265"/>
      <c r="BU4215" s="265"/>
      <c r="BV4215" s="265"/>
    </row>
    <row r="4216" spans="12:74">
      <c r="L4216" s="265"/>
      <c r="M4216" s="265"/>
      <c r="N4216" s="265"/>
      <c r="O4216" s="265"/>
      <c r="P4216" s="265"/>
      <c r="Q4216" s="265"/>
      <c r="BR4216" s="265"/>
      <c r="BS4216" s="265"/>
      <c r="BT4216" s="265"/>
      <c r="BU4216" s="265"/>
      <c r="BV4216" s="265"/>
    </row>
    <row r="4217" spans="12:74">
      <c r="L4217" s="265"/>
      <c r="M4217" s="265"/>
      <c r="N4217" s="265"/>
      <c r="O4217" s="265"/>
      <c r="P4217" s="265"/>
      <c r="Q4217" s="265"/>
      <c r="BR4217" s="265"/>
      <c r="BS4217" s="265"/>
      <c r="BT4217" s="265"/>
      <c r="BU4217" s="265"/>
      <c r="BV4217" s="265"/>
    </row>
    <row r="4218" spans="12:74">
      <c r="L4218" s="265"/>
      <c r="M4218" s="265"/>
      <c r="N4218" s="265"/>
      <c r="O4218" s="265"/>
      <c r="P4218" s="265"/>
      <c r="Q4218" s="265"/>
      <c r="BR4218" s="265"/>
      <c r="BS4218" s="265"/>
      <c r="BT4218" s="265"/>
      <c r="BU4218" s="265"/>
      <c r="BV4218" s="265"/>
    </row>
    <row r="4219" spans="12:74">
      <c r="L4219" s="265"/>
      <c r="M4219" s="265"/>
      <c r="N4219" s="265"/>
      <c r="O4219" s="265"/>
      <c r="P4219" s="265"/>
      <c r="Q4219" s="265"/>
      <c r="BR4219" s="265"/>
      <c r="BS4219" s="265"/>
      <c r="BT4219" s="265"/>
      <c r="BU4219" s="265"/>
      <c r="BV4219" s="265"/>
    </row>
    <row r="4220" spans="12:74">
      <c r="L4220" s="265"/>
      <c r="M4220" s="265"/>
      <c r="N4220" s="265"/>
      <c r="O4220" s="265"/>
      <c r="P4220" s="265"/>
      <c r="Q4220" s="265"/>
      <c r="BR4220" s="265"/>
      <c r="BS4220" s="265"/>
      <c r="BT4220" s="265"/>
      <c r="BU4220" s="265"/>
      <c r="BV4220" s="265"/>
    </row>
    <row r="4221" spans="12:74">
      <c r="L4221" s="265"/>
      <c r="M4221" s="265"/>
      <c r="N4221" s="265"/>
      <c r="O4221" s="265"/>
      <c r="P4221" s="265"/>
      <c r="Q4221" s="265"/>
      <c r="BR4221" s="265"/>
      <c r="BS4221" s="265"/>
      <c r="BT4221" s="265"/>
      <c r="BU4221" s="265"/>
      <c r="BV4221" s="265"/>
    </row>
    <row r="4222" spans="12:74">
      <c r="L4222" s="265"/>
      <c r="M4222" s="265"/>
      <c r="N4222" s="265"/>
      <c r="O4222" s="265"/>
      <c r="P4222" s="265"/>
      <c r="Q4222" s="265"/>
      <c r="BR4222" s="265"/>
      <c r="BS4222" s="265"/>
      <c r="BT4222" s="265"/>
      <c r="BU4222" s="265"/>
      <c r="BV4222" s="265"/>
    </row>
    <row r="4223" spans="12:74">
      <c r="L4223" s="265"/>
      <c r="M4223" s="265"/>
      <c r="N4223" s="265"/>
      <c r="O4223" s="265"/>
      <c r="P4223" s="265"/>
      <c r="Q4223" s="265"/>
      <c r="BR4223" s="265"/>
      <c r="BS4223" s="265"/>
      <c r="BT4223" s="265"/>
      <c r="BU4223" s="265"/>
      <c r="BV4223" s="265"/>
    </row>
    <row r="4224" spans="12:74">
      <c r="L4224" s="265"/>
      <c r="M4224" s="265"/>
      <c r="N4224" s="265"/>
      <c r="O4224" s="265"/>
      <c r="P4224" s="265"/>
      <c r="Q4224" s="265"/>
      <c r="BR4224" s="265"/>
      <c r="BS4224" s="265"/>
      <c r="BT4224" s="265"/>
      <c r="BU4224" s="265"/>
      <c r="BV4224" s="265"/>
    </row>
    <row r="4225" spans="12:74">
      <c r="L4225" s="265"/>
      <c r="M4225" s="265"/>
      <c r="N4225" s="265"/>
      <c r="O4225" s="265"/>
      <c r="P4225" s="265"/>
      <c r="Q4225" s="265"/>
      <c r="BR4225" s="265"/>
      <c r="BS4225" s="265"/>
      <c r="BT4225" s="265"/>
      <c r="BU4225" s="265"/>
      <c r="BV4225" s="265"/>
    </row>
    <row r="4226" spans="12:74">
      <c r="L4226" s="265"/>
      <c r="M4226" s="265"/>
      <c r="N4226" s="265"/>
      <c r="O4226" s="265"/>
      <c r="P4226" s="265"/>
      <c r="Q4226" s="265"/>
      <c r="BR4226" s="265"/>
      <c r="BS4226" s="265"/>
      <c r="BT4226" s="265"/>
      <c r="BU4226" s="265"/>
      <c r="BV4226" s="265"/>
    </row>
    <row r="4227" spans="12:74">
      <c r="L4227" s="265"/>
      <c r="M4227" s="265"/>
      <c r="N4227" s="265"/>
      <c r="O4227" s="265"/>
      <c r="P4227" s="265"/>
      <c r="Q4227" s="265"/>
      <c r="BR4227" s="265"/>
      <c r="BS4227" s="265"/>
      <c r="BT4227" s="265"/>
      <c r="BU4227" s="265"/>
      <c r="BV4227" s="265"/>
    </row>
    <row r="4228" spans="12:74">
      <c r="L4228" s="265"/>
      <c r="M4228" s="265"/>
      <c r="N4228" s="265"/>
      <c r="O4228" s="265"/>
      <c r="P4228" s="265"/>
      <c r="Q4228" s="265"/>
      <c r="BR4228" s="265"/>
      <c r="BS4228" s="265"/>
      <c r="BT4228" s="265"/>
      <c r="BU4228" s="265"/>
      <c r="BV4228" s="265"/>
    </row>
    <row r="4229" spans="12:74">
      <c r="L4229" s="265"/>
      <c r="M4229" s="265"/>
      <c r="N4229" s="265"/>
      <c r="O4229" s="265"/>
      <c r="P4229" s="265"/>
      <c r="Q4229" s="265"/>
      <c r="BR4229" s="265"/>
      <c r="BS4229" s="265"/>
      <c r="BT4229" s="265"/>
      <c r="BU4229" s="265"/>
      <c r="BV4229" s="265"/>
    </row>
    <row r="4230" spans="12:74">
      <c r="L4230" s="265"/>
      <c r="M4230" s="265"/>
      <c r="N4230" s="265"/>
      <c r="O4230" s="265"/>
      <c r="P4230" s="265"/>
      <c r="Q4230" s="265"/>
      <c r="BR4230" s="265"/>
      <c r="BS4230" s="265"/>
      <c r="BT4230" s="265"/>
      <c r="BU4230" s="265"/>
      <c r="BV4230" s="265"/>
    </row>
    <row r="4231" spans="12:74">
      <c r="L4231" s="265"/>
      <c r="M4231" s="265"/>
      <c r="N4231" s="265"/>
      <c r="O4231" s="265"/>
      <c r="P4231" s="265"/>
      <c r="Q4231" s="265"/>
      <c r="BR4231" s="265"/>
      <c r="BS4231" s="265"/>
      <c r="BT4231" s="265"/>
      <c r="BU4231" s="265"/>
      <c r="BV4231" s="265"/>
    </row>
    <row r="4232" spans="12:74">
      <c r="L4232" s="265"/>
      <c r="M4232" s="265"/>
      <c r="N4232" s="265"/>
      <c r="O4232" s="265"/>
      <c r="P4232" s="265"/>
      <c r="Q4232" s="265"/>
      <c r="BR4232" s="265"/>
      <c r="BS4232" s="265"/>
      <c r="BT4232" s="265"/>
      <c r="BU4232" s="265"/>
      <c r="BV4232" s="265"/>
    </row>
    <row r="4233" spans="12:74">
      <c r="L4233" s="265"/>
      <c r="M4233" s="265"/>
      <c r="N4233" s="265"/>
      <c r="O4233" s="265"/>
      <c r="P4233" s="265"/>
      <c r="Q4233" s="265"/>
      <c r="BR4233" s="265"/>
      <c r="BS4233" s="265"/>
      <c r="BT4233" s="265"/>
      <c r="BU4233" s="265"/>
      <c r="BV4233" s="265"/>
    </row>
    <row r="4234" spans="12:74">
      <c r="L4234" s="265"/>
      <c r="M4234" s="265"/>
      <c r="N4234" s="265"/>
      <c r="O4234" s="265"/>
      <c r="P4234" s="265"/>
      <c r="Q4234" s="265"/>
      <c r="BR4234" s="265"/>
      <c r="BS4234" s="265"/>
      <c r="BT4234" s="265"/>
      <c r="BU4234" s="265"/>
      <c r="BV4234" s="265"/>
    </row>
    <row r="4235" spans="12:74">
      <c r="L4235" s="265"/>
      <c r="M4235" s="265"/>
      <c r="N4235" s="265"/>
      <c r="O4235" s="265"/>
      <c r="P4235" s="265"/>
      <c r="Q4235" s="265"/>
      <c r="BR4235" s="265"/>
      <c r="BS4235" s="265"/>
      <c r="BT4235" s="265"/>
      <c r="BU4235" s="265"/>
      <c r="BV4235" s="265"/>
    </row>
    <row r="4236" spans="12:74">
      <c r="L4236" s="265"/>
      <c r="M4236" s="265"/>
      <c r="N4236" s="265"/>
      <c r="O4236" s="265"/>
      <c r="P4236" s="265"/>
      <c r="Q4236" s="265"/>
      <c r="BR4236" s="265"/>
      <c r="BS4236" s="265"/>
      <c r="BT4236" s="265"/>
      <c r="BU4236" s="265"/>
      <c r="BV4236" s="265"/>
    </row>
    <row r="4237" spans="12:74">
      <c r="L4237" s="265"/>
      <c r="M4237" s="265"/>
      <c r="N4237" s="265"/>
      <c r="O4237" s="265"/>
      <c r="P4237" s="265"/>
      <c r="Q4237" s="265"/>
      <c r="BR4237" s="265"/>
      <c r="BS4237" s="265"/>
      <c r="BT4237" s="265"/>
      <c r="BU4237" s="265"/>
      <c r="BV4237" s="265"/>
    </row>
    <row r="4238" spans="12:74">
      <c r="L4238" s="265"/>
      <c r="M4238" s="265"/>
      <c r="N4238" s="265"/>
      <c r="O4238" s="265"/>
      <c r="P4238" s="265"/>
      <c r="Q4238" s="265"/>
      <c r="BR4238" s="265"/>
      <c r="BS4238" s="265"/>
      <c r="BT4238" s="265"/>
      <c r="BU4238" s="265"/>
      <c r="BV4238" s="265"/>
    </row>
    <row r="4239" spans="12:74">
      <c r="L4239" s="265"/>
      <c r="M4239" s="265"/>
      <c r="N4239" s="265"/>
      <c r="O4239" s="265"/>
      <c r="P4239" s="265"/>
      <c r="Q4239" s="265"/>
      <c r="BR4239" s="265"/>
      <c r="BS4239" s="265"/>
      <c r="BT4239" s="265"/>
      <c r="BU4239" s="265"/>
      <c r="BV4239" s="265"/>
    </row>
    <row r="4240" spans="12:74">
      <c r="L4240" s="265"/>
      <c r="M4240" s="265"/>
      <c r="N4240" s="265"/>
      <c r="O4240" s="265"/>
      <c r="P4240" s="265"/>
      <c r="Q4240" s="265"/>
      <c r="BR4240" s="265"/>
      <c r="BS4240" s="265"/>
      <c r="BT4240" s="265"/>
      <c r="BU4240" s="265"/>
      <c r="BV4240" s="265"/>
    </row>
    <row r="4241" spans="12:74">
      <c r="L4241" s="265"/>
      <c r="M4241" s="265"/>
      <c r="N4241" s="265"/>
      <c r="O4241" s="265"/>
      <c r="P4241" s="265"/>
      <c r="Q4241" s="265"/>
      <c r="BR4241" s="265"/>
      <c r="BS4241" s="265"/>
      <c r="BT4241" s="265"/>
      <c r="BU4241" s="265"/>
      <c r="BV4241" s="265"/>
    </row>
    <row r="4242" spans="12:74">
      <c r="L4242" s="265"/>
      <c r="M4242" s="265"/>
      <c r="N4242" s="265"/>
      <c r="O4242" s="265"/>
      <c r="P4242" s="265"/>
      <c r="Q4242" s="265"/>
      <c r="BR4242" s="265"/>
      <c r="BS4242" s="265"/>
      <c r="BT4242" s="265"/>
      <c r="BU4242" s="265"/>
      <c r="BV4242" s="265"/>
    </row>
    <row r="4243" spans="12:74">
      <c r="L4243" s="265"/>
      <c r="M4243" s="265"/>
      <c r="N4243" s="265"/>
      <c r="O4243" s="265"/>
      <c r="P4243" s="265"/>
      <c r="Q4243" s="265"/>
      <c r="BR4243" s="265"/>
      <c r="BS4243" s="265"/>
      <c r="BT4243" s="265"/>
      <c r="BU4243" s="265"/>
      <c r="BV4243" s="265"/>
    </row>
    <row r="4244" spans="12:74">
      <c r="L4244" s="265"/>
      <c r="M4244" s="265"/>
      <c r="N4244" s="265"/>
      <c r="O4244" s="265"/>
      <c r="P4244" s="265"/>
      <c r="Q4244" s="265"/>
      <c r="BR4244" s="265"/>
      <c r="BS4244" s="265"/>
      <c r="BT4244" s="265"/>
      <c r="BU4244" s="265"/>
      <c r="BV4244" s="265"/>
    </row>
    <row r="4245" spans="12:74">
      <c r="L4245" s="265"/>
      <c r="M4245" s="265"/>
      <c r="N4245" s="265"/>
      <c r="O4245" s="265"/>
      <c r="P4245" s="265"/>
      <c r="Q4245" s="265"/>
      <c r="BR4245" s="265"/>
      <c r="BS4245" s="265"/>
      <c r="BT4245" s="265"/>
      <c r="BU4245" s="265"/>
      <c r="BV4245" s="265"/>
    </row>
    <row r="4246" spans="12:74">
      <c r="L4246" s="265"/>
      <c r="M4246" s="265"/>
      <c r="N4246" s="265"/>
      <c r="O4246" s="265"/>
      <c r="P4246" s="265"/>
      <c r="Q4246" s="265"/>
      <c r="BR4246" s="265"/>
      <c r="BS4246" s="265"/>
      <c r="BT4246" s="265"/>
      <c r="BU4246" s="265"/>
      <c r="BV4246" s="265"/>
    </row>
    <row r="4247" spans="12:74">
      <c r="L4247" s="265"/>
      <c r="M4247" s="265"/>
      <c r="N4247" s="265"/>
      <c r="O4247" s="265"/>
      <c r="P4247" s="265"/>
      <c r="Q4247" s="265"/>
      <c r="BR4247" s="265"/>
      <c r="BS4247" s="265"/>
      <c r="BT4247" s="265"/>
      <c r="BU4247" s="265"/>
      <c r="BV4247" s="265"/>
    </row>
    <row r="4248" spans="12:74">
      <c r="L4248" s="265"/>
      <c r="M4248" s="265"/>
      <c r="N4248" s="265"/>
      <c r="O4248" s="265"/>
      <c r="P4248" s="265"/>
      <c r="Q4248" s="265"/>
      <c r="BR4248" s="265"/>
      <c r="BS4248" s="265"/>
      <c r="BT4248" s="265"/>
      <c r="BU4248" s="265"/>
      <c r="BV4248" s="265"/>
    </row>
    <row r="4249" spans="12:74">
      <c r="L4249" s="265"/>
      <c r="M4249" s="265"/>
      <c r="N4249" s="265"/>
      <c r="O4249" s="265"/>
      <c r="P4249" s="265"/>
      <c r="Q4249" s="265"/>
      <c r="BR4249" s="265"/>
      <c r="BS4249" s="265"/>
      <c r="BT4249" s="265"/>
      <c r="BU4249" s="265"/>
      <c r="BV4249" s="265"/>
    </row>
    <row r="4250" spans="12:74">
      <c r="L4250" s="265"/>
      <c r="M4250" s="265"/>
      <c r="N4250" s="265"/>
      <c r="O4250" s="265"/>
      <c r="P4250" s="265"/>
      <c r="Q4250" s="265"/>
      <c r="BR4250" s="265"/>
      <c r="BS4250" s="265"/>
      <c r="BT4250" s="265"/>
      <c r="BU4250" s="265"/>
      <c r="BV4250" s="265"/>
    </row>
    <row r="4251" spans="12:74">
      <c r="L4251" s="265"/>
      <c r="M4251" s="265"/>
      <c r="N4251" s="265"/>
      <c r="O4251" s="265"/>
      <c r="P4251" s="265"/>
      <c r="Q4251" s="265"/>
      <c r="BR4251" s="265"/>
      <c r="BS4251" s="265"/>
      <c r="BT4251" s="265"/>
      <c r="BU4251" s="265"/>
      <c r="BV4251" s="265"/>
    </row>
    <row r="4252" spans="12:74">
      <c r="L4252" s="265"/>
      <c r="M4252" s="265"/>
      <c r="N4252" s="265"/>
      <c r="O4252" s="265"/>
      <c r="P4252" s="265"/>
      <c r="Q4252" s="265"/>
      <c r="BR4252" s="265"/>
      <c r="BS4252" s="265"/>
      <c r="BT4252" s="265"/>
      <c r="BU4252" s="265"/>
      <c r="BV4252" s="265"/>
    </row>
    <row r="4253" spans="12:74">
      <c r="L4253" s="265"/>
      <c r="M4253" s="265"/>
      <c r="N4253" s="265"/>
      <c r="O4253" s="265"/>
      <c r="P4253" s="265"/>
      <c r="Q4253" s="265"/>
      <c r="BR4253" s="265"/>
      <c r="BS4253" s="265"/>
      <c r="BT4253" s="265"/>
      <c r="BU4253" s="265"/>
      <c r="BV4253" s="265"/>
    </row>
    <row r="4254" spans="12:74">
      <c r="L4254" s="265"/>
      <c r="M4254" s="265"/>
      <c r="N4254" s="265"/>
      <c r="O4254" s="265"/>
      <c r="P4254" s="265"/>
      <c r="Q4254" s="265"/>
      <c r="BR4254" s="265"/>
      <c r="BS4254" s="265"/>
      <c r="BT4254" s="265"/>
      <c r="BU4254" s="265"/>
      <c r="BV4254" s="265"/>
    </row>
    <row r="4255" spans="12:74">
      <c r="L4255" s="265"/>
      <c r="M4255" s="265"/>
      <c r="N4255" s="265"/>
      <c r="O4255" s="265"/>
      <c r="P4255" s="265"/>
      <c r="Q4255" s="265"/>
      <c r="BR4255" s="265"/>
      <c r="BS4255" s="265"/>
      <c r="BT4255" s="265"/>
      <c r="BU4255" s="265"/>
      <c r="BV4255" s="265"/>
    </row>
    <row r="4256" spans="12:74">
      <c r="L4256" s="265"/>
      <c r="M4256" s="265"/>
      <c r="N4256" s="265"/>
      <c r="O4256" s="265"/>
      <c r="P4256" s="265"/>
      <c r="Q4256" s="265"/>
      <c r="BR4256" s="265"/>
      <c r="BS4256" s="265"/>
      <c r="BT4256" s="265"/>
      <c r="BU4256" s="265"/>
      <c r="BV4256" s="265"/>
    </row>
    <row r="4257" spans="12:74">
      <c r="L4257" s="265"/>
      <c r="M4257" s="265"/>
      <c r="N4257" s="265"/>
      <c r="O4257" s="265"/>
      <c r="P4257" s="265"/>
      <c r="Q4257" s="265"/>
      <c r="BR4257" s="265"/>
      <c r="BS4257" s="265"/>
      <c r="BT4257" s="265"/>
      <c r="BU4257" s="265"/>
      <c r="BV4257" s="265"/>
    </row>
    <row r="4258" spans="12:74">
      <c r="L4258" s="265"/>
      <c r="M4258" s="265"/>
      <c r="N4258" s="265"/>
      <c r="O4258" s="265"/>
      <c r="P4258" s="265"/>
      <c r="Q4258" s="265"/>
      <c r="BR4258" s="265"/>
      <c r="BS4258" s="265"/>
      <c r="BT4258" s="265"/>
      <c r="BU4258" s="265"/>
      <c r="BV4258" s="265"/>
    </row>
    <row r="4259" spans="12:74">
      <c r="L4259" s="265"/>
      <c r="M4259" s="265"/>
      <c r="N4259" s="265"/>
      <c r="O4259" s="265"/>
      <c r="P4259" s="265"/>
      <c r="Q4259" s="265"/>
      <c r="BR4259" s="265"/>
      <c r="BS4259" s="265"/>
      <c r="BT4259" s="265"/>
      <c r="BU4259" s="265"/>
      <c r="BV4259" s="265"/>
    </row>
    <row r="4260" spans="12:74">
      <c r="L4260" s="265"/>
      <c r="M4260" s="265"/>
      <c r="N4260" s="265"/>
      <c r="O4260" s="265"/>
      <c r="P4260" s="265"/>
      <c r="Q4260" s="265"/>
      <c r="BR4260" s="265"/>
      <c r="BS4260" s="265"/>
      <c r="BT4260" s="265"/>
      <c r="BU4260" s="265"/>
      <c r="BV4260" s="265"/>
    </row>
    <row r="4261" spans="12:74">
      <c r="L4261" s="265"/>
      <c r="M4261" s="265"/>
      <c r="N4261" s="265"/>
      <c r="O4261" s="265"/>
      <c r="P4261" s="265"/>
      <c r="Q4261" s="265"/>
      <c r="BR4261" s="265"/>
      <c r="BS4261" s="265"/>
      <c r="BT4261" s="265"/>
      <c r="BU4261" s="265"/>
      <c r="BV4261" s="265"/>
    </row>
    <row r="4262" spans="12:74">
      <c r="L4262" s="265"/>
      <c r="M4262" s="265"/>
      <c r="N4262" s="265"/>
      <c r="O4262" s="265"/>
      <c r="P4262" s="265"/>
      <c r="Q4262" s="265"/>
      <c r="BR4262" s="265"/>
      <c r="BS4262" s="265"/>
      <c r="BT4262" s="265"/>
      <c r="BU4262" s="265"/>
      <c r="BV4262" s="265"/>
    </row>
    <row r="4263" spans="12:74">
      <c r="L4263" s="265"/>
      <c r="M4263" s="265"/>
      <c r="N4263" s="265"/>
      <c r="O4263" s="265"/>
      <c r="P4263" s="265"/>
      <c r="Q4263" s="265"/>
      <c r="BR4263" s="265"/>
      <c r="BS4263" s="265"/>
      <c r="BT4263" s="265"/>
      <c r="BU4263" s="265"/>
      <c r="BV4263" s="265"/>
    </row>
    <row r="4264" spans="12:74">
      <c r="L4264" s="265"/>
      <c r="M4264" s="265"/>
      <c r="N4264" s="265"/>
      <c r="O4264" s="265"/>
      <c r="P4264" s="265"/>
      <c r="Q4264" s="265"/>
      <c r="BR4264" s="265"/>
      <c r="BS4264" s="265"/>
      <c r="BT4264" s="265"/>
      <c r="BU4264" s="265"/>
      <c r="BV4264" s="265"/>
    </row>
    <row r="4265" spans="12:74">
      <c r="L4265" s="265"/>
      <c r="M4265" s="265"/>
      <c r="N4265" s="265"/>
      <c r="O4265" s="265"/>
      <c r="P4265" s="265"/>
      <c r="Q4265" s="265"/>
      <c r="BR4265" s="265"/>
      <c r="BS4265" s="265"/>
      <c r="BT4265" s="265"/>
      <c r="BU4265" s="265"/>
      <c r="BV4265" s="265"/>
    </row>
    <row r="4266" spans="12:74">
      <c r="L4266" s="265"/>
      <c r="M4266" s="265"/>
      <c r="N4266" s="265"/>
      <c r="O4266" s="265"/>
      <c r="P4266" s="265"/>
      <c r="Q4266" s="265"/>
      <c r="BR4266" s="265"/>
      <c r="BS4266" s="265"/>
      <c r="BT4266" s="265"/>
      <c r="BU4266" s="265"/>
      <c r="BV4266" s="265"/>
    </row>
    <row r="4267" spans="12:74">
      <c r="L4267" s="265"/>
      <c r="M4267" s="265"/>
      <c r="N4267" s="265"/>
      <c r="O4267" s="265"/>
      <c r="P4267" s="265"/>
      <c r="Q4267" s="265"/>
      <c r="BR4267" s="265"/>
      <c r="BS4267" s="265"/>
      <c r="BT4267" s="265"/>
      <c r="BU4267" s="265"/>
      <c r="BV4267" s="265"/>
    </row>
    <row r="4268" spans="12:74">
      <c r="L4268" s="265"/>
      <c r="M4268" s="265"/>
      <c r="N4268" s="265"/>
      <c r="O4268" s="265"/>
      <c r="P4268" s="265"/>
      <c r="Q4268" s="265"/>
      <c r="BR4268" s="265"/>
      <c r="BS4268" s="265"/>
      <c r="BT4268" s="265"/>
      <c r="BU4268" s="265"/>
      <c r="BV4268" s="265"/>
    </row>
    <row r="4269" spans="12:74">
      <c r="L4269" s="265"/>
      <c r="M4269" s="265"/>
      <c r="N4269" s="265"/>
      <c r="O4269" s="265"/>
      <c r="P4269" s="265"/>
      <c r="Q4269" s="265"/>
      <c r="BR4269" s="265"/>
      <c r="BS4269" s="265"/>
      <c r="BT4269" s="265"/>
      <c r="BU4269" s="265"/>
      <c r="BV4269" s="265"/>
    </row>
    <row r="4270" spans="12:74">
      <c r="L4270" s="265"/>
      <c r="M4270" s="265"/>
      <c r="N4270" s="265"/>
      <c r="O4270" s="265"/>
      <c r="P4270" s="265"/>
      <c r="Q4270" s="265"/>
      <c r="BR4270" s="265"/>
      <c r="BS4270" s="265"/>
      <c r="BT4270" s="265"/>
      <c r="BU4270" s="265"/>
      <c r="BV4270" s="265"/>
    </row>
    <row r="4271" spans="12:74">
      <c r="L4271" s="265"/>
      <c r="M4271" s="265"/>
      <c r="N4271" s="265"/>
      <c r="O4271" s="265"/>
      <c r="P4271" s="265"/>
      <c r="Q4271" s="265"/>
      <c r="BR4271" s="265"/>
      <c r="BS4271" s="265"/>
      <c r="BT4271" s="265"/>
      <c r="BU4271" s="265"/>
      <c r="BV4271" s="265"/>
    </row>
    <row r="4272" spans="12:74">
      <c r="L4272" s="265"/>
      <c r="M4272" s="265"/>
      <c r="N4272" s="265"/>
      <c r="O4272" s="265"/>
      <c r="P4272" s="265"/>
      <c r="Q4272" s="265"/>
      <c r="BR4272" s="265"/>
      <c r="BS4272" s="265"/>
      <c r="BT4272" s="265"/>
      <c r="BU4272" s="265"/>
      <c r="BV4272" s="265"/>
    </row>
    <row r="4273" spans="12:74">
      <c r="L4273" s="265"/>
      <c r="M4273" s="265"/>
      <c r="N4273" s="265"/>
      <c r="O4273" s="265"/>
      <c r="P4273" s="265"/>
      <c r="Q4273" s="265"/>
      <c r="BR4273" s="265"/>
      <c r="BS4273" s="265"/>
      <c r="BT4273" s="265"/>
      <c r="BU4273" s="265"/>
      <c r="BV4273" s="265"/>
    </row>
    <row r="4274" spans="12:74">
      <c r="L4274" s="265"/>
      <c r="M4274" s="265"/>
      <c r="N4274" s="265"/>
      <c r="O4274" s="265"/>
      <c r="P4274" s="265"/>
      <c r="Q4274" s="265"/>
      <c r="BR4274" s="265"/>
      <c r="BS4274" s="265"/>
      <c r="BT4274" s="265"/>
      <c r="BU4274" s="265"/>
      <c r="BV4274" s="265"/>
    </row>
    <row r="4275" spans="12:74">
      <c r="L4275" s="265"/>
      <c r="M4275" s="265"/>
      <c r="N4275" s="265"/>
      <c r="O4275" s="265"/>
      <c r="P4275" s="265"/>
      <c r="Q4275" s="265"/>
      <c r="BR4275" s="265"/>
      <c r="BS4275" s="265"/>
      <c r="BT4275" s="265"/>
      <c r="BU4275" s="265"/>
      <c r="BV4275" s="265"/>
    </row>
    <row r="4276" spans="12:74">
      <c r="L4276" s="265"/>
      <c r="M4276" s="265"/>
      <c r="N4276" s="265"/>
      <c r="O4276" s="265"/>
      <c r="P4276" s="265"/>
      <c r="Q4276" s="265"/>
      <c r="BR4276" s="265"/>
      <c r="BS4276" s="265"/>
      <c r="BT4276" s="265"/>
      <c r="BU4276" s="265"/>
      <c r="BV4276" s="265"/>
    </row>
    <row r="4277" spans="12:74">
      <c r="L4277" s="265"/>
      <c r="M4277" s="265"/>
      <c r="N4277" s="265"/>
      <c r="O4277" s="265"/>
      <c r="P4277" s="265"/>
      <c r="Q4277" s="265"/>
      <c r="BR4277" s="265"/>
      <c r="BS4277" s="265"/>
      <c r="BT4277" s="265"/>
      <c r="BU4277" s="265"/>
      <c r="BV4277" s="265"/>
    </row>
    <row r="4278" spans="12:74">
      <c r="L4278" s="265"/>
      <c r="M4278" s="265"/>
      <c r="N4278" s="265"/>
      <c r="O4278" s="265"/>
      <c r="P4278" s="265"/>
      <c r="Q4278" s="265"/>
      <c r="BR4278" s="265"/>
      <c r="BS4278" s="265"/>
      <c r="BT4278" s="265"/>
      <c r="BU4278" s="265"/>
      <c r="BV4278" s="265"/>
    </row>
    <row r="4279" spans="12:74">
      <c r="L4279" s="265"/>
      <c r="M4279" s="265"/>
      <c r="N4279" s="265"/>
      <c r="O4279" s="265"/>
      <c r="P4279" s="265"/>
      <c r="Q4279" s="265"/>
      <c r="BR4279" s="265"/>
      <c r="BS4279" s="265"/>
      <c r="BT4279" s="265"/>
      <c r="BU4279" s="265"/>
      <c r="BV4279" s="265"/>
    </row>
    <row r="4280" spans="12:74">
      <c r="L4280" s="265"/>
      <c r="M4280" s="265"/>
      <c r="N4280" s="265"/>
      <c r="O4280" s="265"/>
      <c r="P4280" s="265"/>
      <c r="Q4280" s="265"/>
      <c r="BR4280" s="265"/>
      <c r="BS4280" s="265"/>
      <c r="BT4280" s="265"/>
      <c r="BU4280" s="265"/>
      <c r="BV4280" s="265"/>
    </row>
    <row r="4281" spans="12:74">
      <c r="L4281" s="265"/>
      <c r="M4281" s="265"/>
      <c r="N4281" s="265"/>
      <c r="O4281" s="265"/>
      <c r="P4281" s="265"/>
      <c r="Q4281" s="265"/>
      <c r="BR4281" s="265"/>
      <c r="BS4281" s="265"/>
      <c r="BT4281" s="265"/>
      <c r="BU4281" s="265"/>
      <c r="BV4281" s="265"/>
    </row>
    <row r="4282" spans="12:74">
      <c r="L4282" s="265"/>
      <c r="M4282" s="265"/>
      <c r="N4282" s="265"/>
      <c r="O4282" s="265"/>
      <c r="P4282" s="265"/>
      <c r="Q4282" s="265"/>
      <c r="BR4282" s="265"/>
      <c r="BS4282" s="265"/>
      <c r="BT4282" s="265"/>
      <c r="BU4282" s="265"/>
      <c r="BV4282" s="265"/>
    </row>
    <row r="4283" spans="12:74">
      <c r="L4283" s="265"/>
      <c r="M4283" s="265"/>
      <c r="N4283" s="265"/>
      <c r="O4283" s="265"/>
      <c r="P4283" s="265"/>
      <c r="Q4283" s="265"/>
      <c r="BR4283" s="265"/>
      <c r="BS4283" s="265"/>
      <c r="BT4283" s="265"/>
      <c r="BU4283" s="265"/>
      <c r="BV4283" s="265"/>
    </row>
    <row r="4284" spans="12:74">
      <c r="L4284" s="265"/>
      <c r="M4284" s="265"/>
      <c r="N4284" s="265"/>
      <c r="O4284" s="265"/>
      <c r="P4284" s="265"/>
      <c r="Q4284" s="265"/>
      <c r="BR4284" s="265"/>
      <c r="BS4284" s="265"/>
      <c r="BT4284" s="265"/>
      <c r="BU4284" s="265"/>
      <c r="BV4284" s="265"/>
    </row>
    <row r="4285" spans="12:74">
      <c r="L4285" s="265"/>
      <c r="M4285" s="265"/>
      <c r="N4285" s="265"/>
      <c r="O4285" s="265"/>
      <c r="P4285" s="265"/>
      <c r="Q4285" s="265"/>
      <c r="BR4285" s="265"/>
      <c r="BS4285" s="265"/>
      <c r="BT4285" s="265"/>
      <c r="BU4285" s="265"/>
      <c r="BV4285" s="265"/>
    </row>
    <row r="4286" spans="12:74">
      <c r="L4286" s="265"/>
      <c r="M4286" s="265"/>
      <c r="N4286" s="265"/>
      <c r="O4286" s="265"/>
      <c r="P4286" s="265"/>
      <c r="Q4286" s="265"/>
      <c r="BR4286" s="265"/>
      <c r="BS4286" s="265"/>
      <c r="BT4286" s="265"/>
      <c r="BU4286" s="265"/>
      <c r="BV4286" s="265"/>
    </row>
    <row r="4287" spans="12:74">
      <c r="L4287" s="265"/>
      <c r="M4287" s="265"/>
      <c r="N4287" s="265"/>
      <c r="O4287" s="265"/>
      <c r="P4287" s="265"/>
      <c r="Q4287" s="265"/>
      <c r="BR4287" s="265"/>
      <c r="BS4287" s="265"/>
      <c r="BT4287" s="265"/>
      <c r="BU4287" s="265"/>
      <c r="BV4287" s="265"/>
    </row>
    <row r="4288" spans="12:74">
      <c r="L4288" s="265"/>
      <c r="M4288" s="265"/>
      <c r="N4288" s="265"/>
      <c r="O4288" s="265"/>
      <c r="P4288" s="265"/>
      <c r="Q4288" s="265"/>
      <c r="BR4288" s="265"/>
      <c r="BS4288" s="265"/>
      <c r="BT4288" s="265"/>
      <c r="BU4288" s="265"/>
      <c r="BV4288" s="265"/>
    </row>
    <row r="4289" spans="12:74">
      <c r="L4289" s="265"/>
      <c r="M4289" s="265"/>
      <c r="N4289" s="265"/>
      <c r="O4289" s="265"/>
      <c r="P4289" s="265"/>
      <c r="Q4289" s="265"/>
      <c r="BR4289" s="265"/>
      <c r="BS4289" s="265"/>
      <c r="BT4289" s="265"/>
      <c r="BU4289" s="265"/>
      <c r="BV4289" s="265"/>
    </row>
    <row r="4290" spans="12:74">
      <c r="L4290" s="265"/>
      <c r="M4290" s="265"/>
      <c r="N4290" s="265"/>
      <c r="O4290" s="265"/>
      <c r="P4290" s="265"/>
      <c r="Q4290" s="265"/>
      <c r="BR4290" s="265"/>
      <c r="BS4290" s="265"/>
      <c r="BT4290" s="265"/>
      <c r="BU4290" s="265"/>
      <c r="BV4290" s="265"/>
    </row>
    <row r="4291" spans="12:74">
      <c r="L4291" s="265"/>
      <c r="M4291" s="265"/>
      <c r="N4291" s="265"/>
      <c r="O4291" s="265"/>
      <c r="P4291" s="265"/>
      <c r="Q4291" s="265"/>
      <c r="BR4291" s="265"/>
      <c r="BS4291" s="265"/>
      <c r="BT4291" s="265"/>
      <c r="BU4291" s="265"/>
      <c r="BV4291" s="265"/>
    </row>
    <row r="4292" spans="12:74">
      <c r="L4292" s="265"/>
      <c r="M4292" s="265"/>
      <c r="N4292" s="265"/>
      <c r="O4292" s="265"/>
      <c r="P4292" s="265"/>
      <c r="Q4292" s="265"/>
      <c r="BR4292" s="265"/>
      <c r="BS4292" s="265"/>
      <c r="BT4292" s="265"/>
      <c r="BU4292" s="265"/>
      <c r="BV4292" s="265"/>
    </row>
    <row r="4293" spans="12:74">
      <c r="L4293" s="265"/>
      <c r="M4293" s="265"/>
      <c r="N4293" s="265"/>
      <c r="O4293" s="265"/>
      <c r="P4293" s="265"/>
      <c r="Q4293" s="265"/>
      <c r="BR4293" s="265"/>
      <c r="BS4293" s="265"/>
      <c r="BT4293" s="265"/>
      <c r="BU4293" s="265"/>
      <c r="BV4293" s="265"/>
    </row>
    <row r="4294" spans="12:74">
      <c r="L4294" s="265"/>
      <c r="M4294" s="265"/>
      <c r="N4294" s="265"/>
      <c r="O4294" s="265"/>
      <c r="P4294" s="265"/>
      <c r="Q4294" s="265"/>
      <c r="BR4294" s="265"/>
      <c r="BS4294" s="265"/>
      <c r="BT4294" s="265"/>
      <c r="BU4294" s="265"/>
      <c r="BV4294" s="265"/>
    </row>
    <row r="4295" spans="12:74">
      <c r="L4295" s="265"/>
      <c r="M4295" s="265"/>
      <c r="N4295" s="265"/>
      <c r="O4295" s="265"/>
      <c r="P4295" s="265"/>
      <c r="Q4295" s="265"/>
      <c r="BR4295" s="265"/>
      <c r="BS4295" s="265"/>
      <c r="BT4295" s="265"/>
      <c r="BU4295" s="265"/>
      <c r="BV4295" s="265"/>
    </row>
    <row r="4296" spans="12:74">
      <c r="L4296" s="265"/>
      <c r="M4296" s="265"/>
      <c r="N4296" s="265"/>
      <c r="O4296" s="265"/>
      <c r="P4296" s="265"/>
      <c r="Q4296" s="265"/>
      <c r="BR4296" s="265"/>
      <c r="BS4296" s="265"/>
      <c r="BT4296" s="265"/>
      <c r="BU4296" s="265"/>
      <c r="BV4296" s="265"/>
    </row>
    <row r="4297" spans="12:74">
      <c r="L4297" s="265"/>
      <c r="M4297" s="265"/>
      <c r="N4297" s="265"/>
      <c r="O4297" s="265"/>
      <c r="P4297" s="265"/>
      <c r="Q4297" s="265"/>
      <c r="BR4297" s="265"/>
      <c r="BS4297" s="265"/>
      <c r="BT4297" s="265"/>
      <c r="BU4297" s="265"/>
      <c r="BV4297" s="265"/>
    </row>
    <row r="4298" spans="12:74">
      <c r="L4298" s="265"/>
      <c r="M4298" s="265"/>
      <c r="N4298" s="265"/>
      <c r="O4298" s="265"/>
      <c r="P4298" s="265"/>
      <c r="Q4298" s="265"/>
      <c r="BR4298" s="265"/>
      <c r="BS4298" s="265"/>
      <c r="BT4298" s="265"/>
      <c r="BU4298" s="265"/>
      <c r="BV4298" s="265"/>
    </row>
    <row r="4299" spans="12:74">
      <c r="L4299" s="265"/>
      <c r="M4299" s="265"/>
      <c r="N4299" s="265"/>
      <c r="O4299" s="265"/>
      <c r="P4299" s="265"/>
      <c r="Q4299" s="265"/>
      <c r="BR4299" s="265"/>
      <c r="BS4299" s="265"/>
      <c r="BT4299" s="265"/>
      <c r="BU4299" s="265"/>
      <c r="BV4299" s="265"/>
    </row>
    <row r="4300" spans="12:74">
      <c r="L4300" s="265"/>
      <c r="M4300" s="265"/>
      <c r="N4300" s="265"/>
      <c r="O4300" s="265"/>
      <c r="P4300" s="265"/>
      <c r="Q4300" s="265"/>
      <c r="BR4300" s="265"/>
      <c r="BS4300" s="265"/>
      <c r="BT4300" s="265"/>
      <c r="BU4300" s="265"/>
      <c r="BV4300" s="265"/>
    </row>
    <row r="4301" spans="12:74">
      <c r="L4301" s="265"/>
      <c r="M4301" s="265"/>
      <c r="N4301" s="265"/>
      <c r="O4301" s="265"/>
      <c r="P4301" s="265"/>
      <c r="Q4301" s="265"/>
      <c r="BR4301" s="265"/>
      <c r="BS4301" s="265"/>
      <c r="BT4301" s="265"/>
      <c r="BU4301" s="265"/>
      <c r="BV4301" s="265"/>
    </row>
    <row r="4302" spans="12:74">
      <c r="L4302" s="265"/>
      <c r="M4302" s="265"/>
      <c r="N4302" s="265"/>
      <c r="O4302" s="265"/>
      <c r="P4302" s="265"/>
      <c r="Q4302" s="265"/>
      <c r="BR4302" s="265"/>
      <c r="BS4302" s="265"/>
      <c r="BT4302" s="265"/>
      <c r="BU4302" s="265"/>
      <c r="BV4302" s="265"/>
    </row>
    <row r="4303" spans="12:74">
      <c r="L4303" s="265"/>
      <c r="M4303" s="265"/>
      <c r="N4303" s="265"/>
      <c r="O4303" s="265"/>
      <c r="P4303" s="265"/>
      <c r="Q4303" s="265"/>
      <c r="BR4303" s="265"/>
      <c r="BS4303" s="265"/>
      <c r="BT4303" s="265"/>
      <c r="BU4303" s="265"/>
      <c r="BV4303" s="265"/>
    </row>
    <row r="4304" spans="12:74">
      <c r="L4304" s="265"/>
      <c r="M4304" s="265"/>
      <c r="N4304" s="265"/>
      <c r="O4304" s="265"/>
      <c r="P4304" s="265"/>
      <c r="Q4304" s="265"/>
      <c r="BR4304" s="265"/>
      <c r="BS4304" s="265"/>
      <c r="BT4304" s="265"/>
      <c r="BU4304" s="265"/>
      <c r="BV4304" s="265"/>
    </row>
    <row r="4305" spans="12:74">
      <c r="L4305" s="265"/>
      <c r="M4305" s="265"/>
      <c r="N4305" s="265"/>
      <c r="O4305" s="265"/>
      <c r="P4305" s="265"/>
      <c r="Q4305" s="265"/>
      <c r="BR4305" s="265"/>
      <c r="BS4305" s="265"/>
      <c r="BT4305" s="265"/>
      <c r="BU4305" s="265"/>
      <c r="BV4305" s="265"/>
    </row>
    <row r="4306" spans="12:74">
      <c r="L4306" s="265"/>
      <c r="M4306" s="265"/>
      <c r="N4306" s="265"/>
      <c r="O4306" s="265"/>
      <c r="P4306" s="265"/>
      <c r="Q4306" s="265"/>
      <c r="BR4306" s="265"/>
      <c r="BS4306" s="265"/>
      <c r="BT4306" s="265"/>
      <c r="BU4306" s="265"/>
      <c r="BV4306" s="265"/>
    </row>
    <row r="4307" spans="12:74">
      <c r="L4307" s="265"/>
      <c r="M4307" s="265"/>
      <c r="N4307" s="265"/>
      <c r="O4307" s="265"/>
      <c r="P4307" s="265"/>
      <c r="Q4307" s="265"/>
      <c r="BR4307" s="265"/>
      <c r="BS4307" s="265"/>
      <c r="BT4307" s="265"/>
      <c r="BU4307" s="265"/>
      <c r="BV4307" s="265"/>
    </row>
    <row r="4308" spans="12:74">
      <c r="L4308" s="265"/>
      <c r="M4308" s="265"/>
      <c r="N4308" s="265"/>
      <c r="O4308" s="265"/>
      <c r="P4308" s="265"/>
      <c r="Q4308" s="265"/>
      <c r="BR4308" s="265"/>
      <c r="BS4308" s="265"/>
      <c r="BT4308" s="265"/>
      <c r="BU4308" s="265"/>
      <c r="BV4308" s="265"/>
    </row>
    <row r="4309" spans="12:74">
      <c r="L4309" s="265"/>
      <c r="M4309" s="265"/>
      <c r="N4309" s="265"/>
      <c r="O4309" s="265"/>
      <c r="P4309" s="265"/>
      <c r="Q4309" s="265"/>
      <c r="BR4309" s="265"/>
      <c r="BS4309" s="265"/>
      <c r="BT4309" s="265"/>
      <c r="BU4309" s="265"/>
      <c r="BV4309" s="265"/>
    </row>
    <row r="4310" spans="12:74">
      <c r="L4310" s="265"/>
      <c r="M4310" s="265"/>
      <c r="N4310" s="265"/>
      <c r="O4310" s="265"/>
      <c r="P4310" s="265"/>
      <c r="Q4310" s="265"/>
      <c r="BR4310" s="265"/>
      <c r="BS4310" s="265"/>
      <c r="BT4310" s="265"/>
      <c r="BU4310" s="265"/>
      <c r="BV4310" s="265"/>
    </row>
    <row r="4311" spans="12:74">
      <c r="L4311" s="265"/>
      <c r="M4311" s="265"/>
      <c r="N4311" s="265"/>
      <c r="O4311" s="265"/>
      <c r="P4311" s="265"/>
      <c r="Q4311" s="265"/>
      <c r="BR4311" s="265"/>
      <c r="BS4311" s="265"/>
      <c r="BT4311" s="265"/>
      <c r="BU4311" s="265"/>
      <c r="BV4311" s="265"/>
    </row>
    <row r="4312" spans="12:74">
      <c r="L4312" s="265"/>
      <c r="M4312" s="265"/>
      <c r="N4312" s="265"/>
      <c r="O4312" s="265"/>
      <c r="P4312" s="265"/>
      <c r="Q4312" s="265"/>
      <c r="BR4312" s="265"/>
      <c r="BS4312" s="265"/>
      <c r="BT4312" s="265"/>
      <c r="BU4312" s="265"/>
      <c r="BV4312" s="265"/>
    </row>
    <row r="4313" spans="12:74">
      <c r="L4313" s="265"/>
      <c r="M4313" s="265"/>
      <c r="N4313" s="265"/>
      <c r="O4313" s="265"/>
      <c r="P4313" s="265"/>
      <c r="Q4313" s="265"/>
      <c r="BR4313" s="265"/>
      <c r="BS4313" s="265"/>
      <c r="BT4313" s="265"/>
      <c r="BU4313" s="265"/>
      <c r="BV4313" s="265"/>
    </row>
    <row r="4314" spans="12:74">
      <c r="L4314" s="265"/>
      <c r="M4314" s="265"/>
      <c r="N4314" s="265"/>
      <c r="O4314" s="265"/>
      <c r="P4314" s="265"/>
      <c r="Q4314" s="265"/>
      <c r="BR4314" s="265"/>
      <c r="BS4314" s="265"/>
      <c r="BT4314" s="265"/>
      <c r="BU4314" s="265"/>
      <c r="BV4314" s="265"/>
    </row>
    <row r="4315" spans="12:74">
      <c r="L4315" s="265"/>
      <c r="M4315" s="265"/>
      <c r="N4315" s="265"/>
      <c r="O4315" s="265"/>
      <c r="P4315" s="265"/>
      <c r="Q4315" s="265"/>
      <c r="BR4315" s="265"/>
      <c r="BS4315" s="265"/>
      <c r="BT4315" s="265"/>
      <c r="BU4315" s="265"/>
      <c r="BV4315" s="265"/>
    </row>
    <row r="4316" spans="12:74">
      <c r="L4316" s="265"/>
      <c r="M4316" s="265"/>
      <c r="N4316" s="265"/>
      <c r="O4316" s="265"/>
      <c r="P4316" s="265"/>
      <c r="Q4316" s="265"/>
      <c r="BR4316" s="265"/>
      <c r="BS4316" s="265"/>
      <c r="BT4316" s="265"/>
      <c r="BU4316" s="265"/>
      <c r="BV4316" s="265"/>
    </row>
    <row r="4317" spans="12:74">
      <c r="L4317" s="265"/>
      <c r="M4317" s="265"/>
      <c r="N4317" s="265"/>
      <c r="O4317" s="265"/>
      <c r="P4317" s="265"/>
      <c r="Q4317" s="265"/>
      <c r="BR4317" s="265"/>
      <c r="BS4317" s="265"/>
      <c r="BT4317" s="265"/>
      <c r="BU4317" s="265"/>
      <c r="BV4317" s="265"/>
    </row>
    <row r="4318" spans="12:74">
      <c r="L4318" s="265"/>
      <c r="M4318" s="265"/>
      <c r="N4318" s="265"/>
      <c r="O4318" s="265"/>
      <c r="P4318" s="265"/>
      <c r="Q4318" s="265"/>
      <c r="BR4318" s="265"/>
      <c r="BS4318" s="265"/>
      <c r="BT4318" s="265"/>
      <c r="BU4318" s="265"/>
      <c r="BV4318" s="265"/>
    </row>
    <row r="4319" spans="12:74">
      <c r="L4319" s="265"/>
      <c r="M4319" s="265"/>
      <c r="N4319" s="265"/>
      <c r="O4319" s="265"/>
      <c r="P4319" s="265"/>
      <c r="Q4319" s="265"/>
      <c r="BR4319" s="265"/>
      <c r="BS4319" s="265"/>
      <c r="BT4319" s="265"/>
      <c r="BU4319" s="265"/>
      <c r="BV4319" s="265"/>
    </row>
    <row r="4320" spans="12:74">
      <c r="L4320" s="265"/>
      <c r="M4320" s="265"/>
      <c r="N4320" s="265"/>
      <c r="O4320" s="265"/>
      <c r="P4320" s="265"/>
      <c r="Q4320" s="265"/>
      <c r="BR4320" s="265"/>
      <c r="BS4320" s="265"/>
      <c r="BT4320" s="265"/>
      <c r="BU4320" s="265"/>
      <c r="BV4320" s="265"/>
    </row>
    <row r="4321" spans="12:74">
      <c r="L4321" s="265"/>
      <c r="M4321" s="265"/>
      <c r="N4321" s="265"/>
      <c r="O4321" s="265"/>
      <c r="P4321" s="265"/>
      <c r="Q4321" s="265"/>
      <c r="BR4321" s="265"/>
      <c r="BS4321" s="265"/>
      <c r="BT4321" s="265"/>
      <c r="BU4321" s="265"/>
      <c r="BV4321" s="265"/>
    </row>
    <row r="4322" spans="12:74">
      <c r="L4322" s="265"/>
      <c r="M4322" s="265"/>
      <c r="N4322" s="265"/>
      <c r="O4322" s="265"/>
      <c r="P4322" s="265"/>
      <c r="Q4322" s="265"/>
      <c r="BR4322" s="265"/>
      <c r="BS4322" s="265"/>
      <c r="BT4322" s="265"/>
      <c r="BU4322" s="265"/>
      <c r="BV4322" s="265"/>
    </row>
    <row r="4323" spans="12:74">
      <c r="L4323" s="265"/>
      <c r="M4323" s="265"/>
      <c r="N4323" s="265"/>
      <c r="O4323" s="265"/>
      <c r="P4323" s="265"/>
      <c r="Q4323" s="265"/>
      <c r="BR4323" s="265"/>
      <c r="BS4323" s="265"/>
      <c r="BT4323" s="265"/>
      <c r="BU4323" s="265"/>
      <c r="BV4323" s="265"/>
    </row>
    <row r="4324" spans="12:74">
      <c r="L4324" s="265"/>
      <c r="M4324" s="265"/>
      <c r="N4324" s="265"/>
      <c r="O4324" s="265"/>
      <c r="P4324" s="265"/>
      <c r="Q4324" s="265"/>
      <c r="BR4324" s="265"/>
      <c r="BS4324" s="265"/>
      <c r="BT4324" s="265"/>
      <c r="BU4324" s="265"/>
      <c r="BV4324" s="265"/>
    </row>
    <row r="4325" spans="12:74">
      <c r="L4325" s="265"/>
      <c r="M4325" s="265"/>
      <c r="N4325" s="265"/>
      <c r="O4325" s="265"/>
      <c r="P4325" s="265"/>
      <c r="Q4325" s="265"/>
      <c r="BR4325" s="265"/>
      <c r="BS4325" s="265"/>
      <c r="BT4325" s="265"/>
      <c r="BU4325" s="265"/>
      <c r="BV4325" s="265"/>
    </row>
    <row r="4326" spans="12:74">
      <c r="L4326" s="265"/>
      <c r="M4326" s="265"/>
      <c r="N4326" s="265"/>
      <c r="O4326" s="265"/>
      <c r="P4326" s="265"/>
      <c r="Q4326" s="265"/>
      <c r="BR4326" s="265"/>
      <c r="BS4326" s="265"/>
      <c r="BT4326" s="265"/>
      <c r="BU4326" s="265"/>
      <c r="BV4326" s="265"/>
    </row>
    <row r="4327" spans="12:74">
      <c r="L4327" s="265"/>
      <c r="M4327" s="265"/>
      <c r="N4327" s="265"/>
      <c r="O4327" s="265"/>
      <c r="P4327" s="265"/>
      <c r="Q4327" s="265"/>
      <c r="BR4327" s="265"/>
      <c r="BS4327" s="265"/>
      <c r="BT4327" s="265"/>
      <c r="BU4327" s="265"/>
      <c r="BV4327" s="265"/>
    </row>
    <row r="4328" spans="12:74">
      <c r="L4328" s="265"/>
      <c r="M4328" s="265"/>
      <c r="N4328" s="265"/>
      <c r="O4328" s="265"/>
      <c r="P4328" s="265"/>
      <c r="Q4328" s="265"/>
      <c r="BR4328" s="265"/>
      <c r="BS4328" s="265"/>
      <c r="BT4328" s="265"/>
      <c r="BU4328" s="265"/>
      <c r="BV4328" s="265"/>
    </row>
    <row r="4329" spans="12:74">
      <c r="L4329" s="265"/>
      <c r="M4329" s="265"/>
      <c r="N4329" s="265"/>
      <c r="O4329" s="265"/>
      <c r="P4329" s="265"/>
      <c r="Q4329" s="265"/>
      <c r="BR4329" s="265"/>
      <c r="BS4329" s="265"/>
      <c r="BT4329" s="265"/>
      <c r="BU4329" s="265"/>
      <c r="BV4329" s="265"/>
    </row>
    <row r="4330" spans="12:74">
      <c r="L4330" s="265"/>
      <c r="M4330" s="265"/>
      <c r="N4330" s="265"/>
      <c r="O4330" s="265"/>
      <c r="P4330" s="265"/>
      <c r="Q4330" s="265"/>
      <c r="BR4330" s="265"/>
      <c r="BS4330" s="265"/>
      <c r="BT4330" s="265"/>
      <c r="BU4330" s="265"/>
      <c r="BV4330" s="265"/>
    </row>
    <row r="4331" spans="12:74">
      <c r="L4331" s="265"/>
      <c r="M4331" s="265"/>
      <c r="N4331" s="265"/>
      <c r="O4331" s="265"/>
      <c r="P4331" s="265"/>
      <c r="Q4331" s="265"/>
      <c r="BR4331" s="265"/>
      <c r="BS4331" s="265"/>
      <c r="BT4331" s="265"/>
      <c r="BU4331" s="265"/>
      <c r="BV4331" s="265"/>
    </row>
    <row r="4332" spans="12:74">
      <c r="L4332" s="265"/>
      <c r="M4332" s="265"/>
      <c r="N4332" s="265"/>
      <c r="O4332" s="265"/>
      <c r="P4332" s="265"/>
      <c r="Q4332" s="265"/>
      <c r="BR4332" s="265"/>
      <c r="BS4332" s="265"/>
      <c r="BT4332" s="265"/>
      <c r="BU4332" s="265"/>
      <c r="BV4332" s="265"/>
    </row>
    <row r="4333" spans="12:74">
      <c r="L4333" s="265"/>
      <c r="M4333" s="265"/>
      <c r="N4333" s="265"/>
      <c r="O4333" s="265"/>
      <c r="P4333" s="265"/>
      <c r="Q4333" s="265"/>
      <c r="BR4333" s="265"/>
      <c r="BS4333" s="265"/>
      <c r="BT4333" s="265"/>
      <c r="BU4333" s="265"/>
      <c r="BV4333" s="265"/>
    </row>
    <row r="4334" spans="12:74">
      <c r="L4334" s="265"/>
      <c r="M4334" s="265"/>
      <c r="N4334" s="265"/>
      <c r="O4334" s="265"/>
      <c r="P4334" s="265"/>
      <c r="Q4334" s="265"/>
      <c r="BR4334" s="265"/>
      <c r="BS4334" s="265"/>
      <c r="BT4334" s="265"/>
      <c r="BU4334" s="265"/>
      <c r="BV4334" s="265"/>
    </row>
    <row r="4335" spans="12:74">
      <c r="L4335" s="265"/>
      <c r="M4335" s="265"/>
      <c r="N4335" s="265"/>
      <c r="O4335" s="265"/>
      <c r="P4335" s="265"/>
      <c r="Q4335" s="265"/>
      <c r="BR4335" s="265"/>
      <c r="BS4335" s="265"/>
      <c r="BT4335" s="265"/>
      <c r="BU4335" s="265"/>
      <c r="BV4335" s="265"/>
    </row>
    <row r="4336" spans="12:74">
      <c r="L4336" s="265"/>
      <c r="M4336" s="265"/>
      <c r="N4336" s="265"/>
      <c r="O4336" s="265"/>
      <c r="P4336" s="265"/>
      <c r="Q4336" s="265"/>
      <c r="BR4336" s="265"/>
      <c r="BS4336" s="265"/>
      <c r="BT4336" s="265"/>
      <c r="BU4336" s="265"/>
      <c r="BV4336" s="265"/>
    </row>
    <row r="4337" spans="12:74">
      <c r="L4337" s="265"/>
      <c r="M4337" s="265"/>
      <c r="N4337" s="265"/>
      <c r="O4337" s="265"/>
      <c r="P4337" s="265"/>
      <c r="Q4337" s="265"/>
      <c r="BR4337" s="265"/>
      <c r="BS4337" s="265"/>
      <c r="BT4337" s="265"/>
      <c r="BU4337" s="265"/>
      <c r="BV4337" s="265"/>
    </row>
    <row r="4338" spans="12:74">
      <c r="L4338" s="265"/>
      <c r="M4338" s="265"/>
      <c r="N4338" s="265"/>
      <c r="O4338" s="265"/>
      <c r="P4338" s="265"/>
      <c r="Q4338" s="265"/>
      <c r="BR4338" s="265"/>
      <c r="BS4338" s="265"/>
      <c r="BT4338" s="265"/>
      <c r="BU4338" s="265"/>
      <c r="BV4338" s="265"/>
    </row>
    <row r="4339" spans="12:74">
      <c r="L4339" s="265"/>
      <c r="M4339" s="265"/>
      <c r="N4339" s="265"/>
      <c r="O4339" s="265"/>
      <c r="P4339" s="265"/>
      <c r="Q4339" s="265"/>
      <c r="BR4339" s="265"/>
      <c r="BS4339" s="265"/>
      <c r="BT4339" s="265"/>
      <c r="BU4339" s="265"/>
      <c r="BV4339" s="265"/>
    </row>
    <row r="4340" spans="12:74">
      <c r="L4340" s="265"/>
      <c r="M4340" s="265"/>
      <c r="N4340" s="265"/>
      <c r="O4340" s="265"/>
      <c r="P4340" s="265"/>
      <c r="Q4340" s="265"/>
      <c r="BR4340" s="265"/>
      <c r="BS4340" s="265"/>
      <c r="BT4340" s="265"/>
      <c r="BU4340" s="265"/>
      <c r="BV4340" s="265"/>
    </row>
    <row r="4341" spans="12:74">
      <c r="L4341" s="265"/>
      <c r="M4341" s="265"/>
      <c r="N4341" s="265"/>
      <c r="O4341" s="265"/>
      <c r="P4341" s="265"/>
      <c r="Q4341" s="265"/>
      <c r="BR4341" s="265"/>
      <c r="BS4341" s="265"/>
      <c r="BT4341" s="265"/>
      <c r="BU4341" s="265"/>
      <c r="BV4341" s="265"/>
    </row>
    <row r="4342" spans="12:74">
      <c r="L4342" s="265"/>
      <c r="M4342" s="265"/>
      <c r="N4342" s="265"/>
      <c r="O4342" s="265"/>
      <c r="P4342" s="265"/>
      <c r="Q4342" s="265"/>
      <c r="BR4342" s="265"/>
      <c r="BS4342" s="265"/>
      <c r="BT4342" s="265"/>
      <c r="BU4342" s="265"/>
      <c r="BV4342" s="265"/>
    </row>
    <row r="4343" spans="12:74">
      <c r="L4343" s="265"/>
      <c r="M4343" s="265"/>
      <c r="N4343" s="265"/>
      <c r="O4343" s="265"/>
      <c r="P4343" s="265"/>
      <c r="Q4343" s="265"/>
      <c r="BR4343" s="265"/>
      <c r="BS4343" s="265"/>
      <c r="BT4343" s="265"/>
      <c r="BU4343" s="265"/>
      <c r="BV4343" s="265"/>
    </row>
    <row r="4344" spans="12:74">
      <c r="L4344" s="265"/>
      <c r="M4344" s="265"/>
      <c r="N4344" s="265"/>
      <c r="O4344" s="265"/>
      <c r="P4344" s="265"/>
      <c r="Q4344" s="265"/>
      <c r="BR4344" s="265"/>
      <c r="BS4344" s="265"/>
      <c r="BT4344" s="265"/>
      <c r="BU4344" s="265"/>
      <c r="BV4344" s="265"/>
    </row>
    <row r="4345" spans="12:74">
      <c r="L4345" s="265"/>
      <c r="M4345" s="265"/>
      <c r="N4345" s="265"/>
      <c r="O4345" s="265"/>
      <c r="P4345" s="265"/>
      <c r="Q4345" s="265"/>
      <c r="BR4345" s="265"/>
      <c r="BS4345" s="265"/>
      <c r="BT4345" s="265"/>
      <c r="BU4345" s="265"/>
      <c r="BV4345" s="265"/>
    </row>
    <row r="4346" spans="12:74">
      <c r="L4346" s="265"/>
      <c r="M4346" s="265"/>
      <c r="N4346" s="265"/>
      <c r="O4346" s="265"/>
      <c r="P4346" s="265"/>
      <c r="Q4346" s="265"/>
      <c r="BR4346" s="265"/>
      <c r="BS4346" s="265"/>
      <c r="BT4346" s="265"/>
      <c r="BU4346" s="265"/>
      <c r="BV4346" s="265"/>
    </row>
    <row r="4347" spans="12:74">
      <c r="L4347" s="265"/>
      <c r="M4347" s="265"/>
      <c r="N4347" s="265"/>
      <c r="O4347" s="265"/>
      <c r="P4347" s="265"/>
      <c r="Q4347" s="265"/>
      <c r="BR4347" s="265"/>
      <c r="BS4347" s="265"/>
      <c r="BT4347" s="265"/>
      <c r="BU4347" s="265"/>
      <c r="BV4347" s="265"/>
    </row>
    <row r="4348" spans="12:74">
      <c r="L4348" s="265"/>
      <c r="M4348" s="265"/>
      <c r="N4348" s="265"/>
      <c r="O4348" s="265"/>
      <c r="P4348" s="265"/>
      <c r="Q4348" s="265"/>
      <c r="BR4348" s="265"/>
      <c r="BS4348" s="265"/>
      <c r="BT4348" s="265"/>
      <c r="BU4348" s="265"/>
      <c r="BV4348" s="265"/>
    </row>
    <row r="4349" spans="12:74">
      <c r="L4349" s="265"/>
      <c r="M4349" s="265"/>
      <c r="N4349" s="265"/>
      <c r="O4349" s="265"/>
      <c r="P4349" s="265"/>
      <c r="Q4349" s="265"/>
      <c r="BR4349" s="265"/>
      <c r="BS4349" s="265"/>
      <c r="BT4349" s="265"/>
      <c r="BU4349" s="265"/>
      <c r="BV4349" s="265"/>
    </row>
    <row r="4350" spans="12:74">
      <c r="L4350" s="265"/>
      <c r="M4350" s="265"/>
      <c r="N4350" s="265"/>
      <c r="O4350" s="265"/>
      <c r="P4350" s="265"/>
      <c r="Q4350" s="265"/>
      <c r="BR4350" s="265"/>
      <c r="BS4350" s="265"/>
      <c r="BT4350" s="265"/>
      <c r="BU4350" s="265"/>
      <c r="BV4350" s="265"/>
    </row>
    <row r="4351" spans="12:74">
      <c r="L4351" s="265"/>
      <c r="M4351" s="265"/>
      <c r="N4351" s="265"/>
      <c r="O4351" s="265"/>
      <c r="P4351" s="265"/>
      <c r="Q4351" s="265"/>
      <c r="BR4351" s="265"/>
      <c r="BS4351" s="265"/>
      <c r="BT4351" s="265"/>
      <c r="BU4351" s="265"/>
      <c r="BV4351" s="265"/>
    </row>
    <row r="4352" spans="12:74">
      <c r="L4352" s="265"/>
      <c r="M4352" s="265"/>
      <c r="N4352" s="265"/>
      <c r="O4352" s="265"/>
      <c r="P4352" s="265"/>
      <c r="Q4352" s="265"/>
      <c r="BR4352" s="265"/>
      <c r="BS4352" s="265"/>
      <c r="BT4352" s="265"/>
      <c r="BU4352" s="265"/>
      <c r="BV4352" s="265"/>
    </row>
    <row r="4353" spans="12:74">
      <c r="L4353" s="265"/>
      <c r="M4353" s="265"/>
      <c r="N4353" s="265"/>
      <c r="O4353" s="265"/>
      <c r="P4353" s="265"/>
      <c r="Q4353" s="265"/>
      <c r="BR4353" s="265"/>
      <c r="BS4353" s="265"/>
      <c r="BT4353" s="265"/>
      <c r="BU4353" s="265"/>
      <c r="BV4353" s="265"/>
    </row>
    <row r="4354" spans="12:74">
      <c r="L4354" s="265"/>
      <c r="M4354" s="265"/>
      <c r="N4354" s="265"/>
      <c r="O4354" s="265"/>
      <c r="P4354" s="265"/>
      <c r="Q4354" s="265"/>
      <c r="BR4354" s="265"/>
      <c r="BS4354" s="265"/>
      <c r="BT4354" s="265"/>
      <c r="BU4354" s="265"/>
      <c r="BV4354" s="265"/>
    </row>
    <row r="4355" spans="12:74">
      <c r="L4355" s="265"/>
      <c r="M4355" s="265"/>
      <c r="N4355" s="265"/>
      <c r="O4355" s="265"/>
      <c r="P4355" s="265"/>
      <c r="Q4355" s="265"/>
      <c r="BR4355" s="265"/>
      <c r="BS4355" s="265"/>
      <c r="BT4355" s="265"/>
      <c r="BU4355" s="265"/>
      <c r="BV4355" s="265"/>
    </row>
    <row r="4356" spans="12:74">
      <c r="L4356" s="265"/>
      <c r="M4356" s="265"/>
      <c r="N4356" s="265"/>
      <c r="O4356" s="265"/>
      <c r="P4356" s="265"/>
      <c r="Q4356" s="265"/>
      <c r="BR4356" s="265"/>
      <c r="BS4356" s="265"/>
      <c r="BT4356" s="265"/>
      <c r="BU4356" s="265"/>
      <c r="BV4356" s="265"/>
    </row>
    <row r="4357" spans="12:74">
      <c r="L4357" s="265"/>
      <c r="M4357" s="265"/>
      <c r="N4357" s="265"/>
      <c r="O4357" s="265"/>
      <c r="P4357" s="265"/>
      <c r="Q4357" s="265"/>
      <c r="BR4357" s="265"/>
      <c r="BS4357" s="265"/>
      <c r="BT4357" s="265"/>
      <c r="BU4357" s="265"/>
      <c r="BV4357" s="265"/>
    </row>
    <row r="4358" spans="12:74">
      <c r="L4358" s="265"/>
      <c r="M4358" s="265"/>
      <c r="N4358" s="265"/>
      <c r="O4358" s="265"/>
      <c r="P4358" s="265"/>
      <c r="Q4358" s="265"/>
      <c r="BR4358" s="265"/>
      <c r="BS4358" s="265"/>
      <c r="BT4358" s="265"/>
      <c r="BU4358" s="265"/>
      <c r="BV4358" s="265"/>
    </row>
    <row r="4359" spans="12:74">
      <c r="L4359" s="265"/>
      <c r="M4359" s="265"/>
      <c r="N4359" s="265"/>
      <c r="O4359" s="265"/>
      <c r="P4359" s="265"/>
      <c r="Q4359" s="265"/>
      <c r="BR4359" s="265"/>
      <c r="BS4359" s="265"/>
      <c r="BT4359" s="265"/>
      <c r="BU4359" s="265"/>
      <c r="BV4359" s="265"/>
    </row>
    <row r="4360" spans="12:74">
      <c r="L4360" s="265"/>
      <c r="M4360" s="265"/>
      <c r="N4360" s="265"/>
      <c r="O4360" s="265"/>
      <c r="P4360" s="265"/>
      <c r="Q4360" s="265"/>
      <c r="BR4360" s="265"/>
      <c r="BS4360" s="265"/>
      <c r="BT4360" s="265"/>
      <c r="BU4360" s="265"/>
      <c r="BV4360" s="265"/>
    </row>
    <row r="4361" spans="12:74">
      <c r="L4361" s="265"/>
      <c r="M4361" s="265"/>
      <c r="N4361" s="265"/>
      <c r="O4361" s="265"/>
      <c r="P4361" s="265"/>
      <c r="Q4361" s="265"/>
      <c r="BR4361" s="265"/>
      <c r="BS4361" s="265"/>
      <c r="BT4361" s="265"/>
      <c r="BU4361" s="265"/>
      <c r="BV4361" s="265"/>
    </row>
    <row r="4362" spans="12:74">
      <c r="L4362" s="265"/>
      <c r="M4362" s="265"/>
      <c r="N4362" s="265"/>
      <c r="O4362" s="265"/>
      <c r="P4362" s="265"/>
      <c r="Q4362" s="265"/>
      <c r="BR4362" s="265"/>
      <c r="BS4362" s="265"/>
      <c r="BT4362" s="265"/>
      <c r="BU4362" s="265"/>
      <c r="BV4362" s="265"/>
    </row>
    <row r="4363" spans="12:74">
      <c r="L4363" s="265"/>
      <c r="M4363" s="265"/>
      <c r="N4363" s="265"/>
      <c r="O4363" s="265"/>
      <c r="P4363" s="265"/>
      <c r="Q4363" s="265"/>
      <c r="BR4363" s="265"/>
      <c r="BS4363" s="265"/>
      <c r="BT4363" s="265"/>
      <c r="BU4363" s="265"/>
      <c r="BV4363" s="265"/>
    </row>
    <row r="4364" spans="12:74">
      <c r="L4364" s="265"/>
      <c r="M4364" s="265"/>
      <c r="N4364" s="265"/>
      <c r="O4364" s="265"/>
      <c r="P4364" s="265"/>
      <c r="Q4364" s="265"/>
      <c r="BR4364" s="265"/>
      <c r="BS4364" s="265"/>
      <c r="BT4364" s="265"/>
      <c r="BU4364" s="265"/>
      <c r="BV4364" s="265"/>
    </row>
    <row r="4365" spans="12:74">
      <c r="L4365" s="265"/>
      <c r="M4365" s="265"/>
      <c r="N4365" s="265"/>
      <c r="O4365" s="265"/>
      <c r="P4365" s="265"/>
      <c r="Q4365" s="265"/>
      <c r="BR4365" s="265"/>
      <c r="BS4365" s="265"/>
      <c r="BT4365" s="265"/>
      <c r="BU4365" s="265"/>
      <c r="BV4365" s="265"/>
    </row>
    <row r="4366" spans="12:74">
      <c r="L4366" s="265"/>
      <c r="M4366" s="265"/>
      <c r="N4366" s="265"/>
      <c r="O4366" s="265"/>
      <c r="P4366" s="265"/>
      <c r="Q4366" s="265"/>
      <c r="BR4366" s="265"/>
      <c r="BS4366" s="265"/>
      <c r="BT4366" s="265"/>
      <c r="BU4366" s="265"/>
      <c r="BV4366" s="265"/>
    </row>
    <row r="4367" spans="12:74">
      <c r="L4367" s="265"/>
      <c r="M4367" s="265"/>
      <c r="N4367" s="265"/>
      <c r="O4367" s="265"/>
      <c r="P4367" s="265"/>
      <c r="Q4367" s="265"/>
      <c r="BR4367" s="265"/>
      <c r="BS4367" s="265"/>
      <c r="BT4367" s="265"/>
      <c r="BU4367" s="265"/>
      <c r="BV4367" s="265"/>
    </row>
    <row r="4368" spans="12:74">
      <c r="L4368" s="265"/>
      <c r="M4368" s="265"/>
      <c r="N4368" s="265"/>
      <c r="O4368" s="265"/>
      <c r="P4368" s="265"/>
      <c r="Q4368" s="265"/>
      <c r="BR4368" s="265"/>
      <c r="BS4368" s="265"/>
      <c r="BT4368" s="265"/>
      <c r="BU4368" s="265"/>
      <c r="BV4368" s="265"/>
    </row>
    <row r="4369" spans="12:74">
      <c r="L4369" s="265"/>
      <c r="M4369" s="265"/>
      <c r="N4369" s="265"/>
      <c r="O4369" s="265"/>
      <c r="P4369" s="265"/>
      <c r="Q4369" s="265"/>
      <c r="BR4369" s="265"/>
      <c r="BS4369" s="265"/>
      <c r="BT4369" s="265"/>
      <c r="BU4369" s="265"/>
      <c r="BV4369" s="265"/>
    </row>
    <row r="4370" spans="12:74">
      <c r="L4370" s="265"/>
      <c r="M4370" s="265"/>
      <c r="N4370" s="265"/>
      <c r="O4370" s="265"/>
      <c r="P4370" s="265"/>
      <c r="Q4370" s="265"/>
      <c r="BR4370" s="265"/>
      <c r="BS4370" s="265"/>
      <c r="BT4370" s="265"/>
      <c r="BU4370" s="265"/>
      <c r="BV4370" s="265"/>
    </row>
    <row r="4371" spans="12:74">
      <c r="L4371" s="265"/>
      <c r="M4371" s="265"/>
      <c r="N4371" s="265"/>
      <c r="O4371" s="265"/>
      <c r="P4371" s="265"/>
      <c r="Q4371" s="265"/>
      <c r="BR4371" s="265"/>
      <c r="BS4371" s="265"/>
      <c r="BT4371" s="265"/>
      <c r="BU4371" s="265"/>
      <c r="BV4371" s="265"/>
    </row>
    <row r="4372" spans="12:74">
      <c r="L4372" s="265"/>
      <c r="M4372" s="265"/>
      <c r="N4372" s="265"/>
      <c r="O4372" s="265"/>
      <c r="P4372" s="265"/>
      <c r="Q4372" s="265"/>
      <c r="BR4372" s="265"/>
      <c r="BS4372" s="265"/>
      <c r="BT4372" s="265"/>
      <c r="BU4372" s="265"/>
      <c r="BV4372" s="265"/>
    </row>
    <row r="4373" spans="12:74">
      <c r="L4373" s="265"/>
      <c r="M4373" s="265"/>
      <c r="N4373" s="265"/>
      <c r="O4373" s="265"/>
      <c r="P4373" s="265"/>
      <c r="Q4373" s="265"/>
      <c r="BR4373" s="265"/>
      <c r="BS4373" s="265"/>
      <c r="BT4373" s="265"/>
      <c r="BU4373" s="265"/>
      <c r="BV4373" s="265"/>
    </row>
    <row r="4374" spans="12:74">
      <c r="L4374" s="265"/>
      <c r="M4374" s="265"/>
      <c r="N4374" s="265"/>
      <c r="O4374" s="265"/>
      <c r="P4374" s="265"/>
      <c r="Q4374" s="265"/>
      <c r="BR4374" s="265"/>
      <c r="BS4374" s="265"/>
      <c r="BT4374" s="265"/>
      <c r="BU4374" s="265"/>
      <c r="BV4374" s="265"/>
    </row>
    <row r="4375" spans="12:74">
      <c r="L4375" s="265"/>
      <c r="M4375" s="265"/>
      <c r="N4375" s="265"/>
      <c r="O4375" s="265"/>
      <c r="P4375" s="265"/>
      <c r="Q4375" s="265"/>
      <c r="BR4375" s="265"/>
      <c r="BS4375" s="265"/>
      <c r="BT4375" s="265"/>
      <c r="BU4375" s="265"/>
      <c r="BV4375" s="265"/>
    </row>
    <row r="4376" spans="12:74">
      <c r="L4376" s="265"/>
      <c r="M4376" s="265"/>
      <c r="N4376" s="265"/>
      <c r="O4376" s="265"/>
      <c r="P4376" s="265"/>
      <c r="Q4376" s="265"/>
      <c r="BR4376" s="265"/>
      <c r="BS4376" s="265"/>
      <c r="BT4376" s="265"/>
      <c r="BU4376" s="265"/>
      <c r="BV4376" s="265"/>
    </row>
    <row r="4377" spans="12:74">
      <c r="L4377" s="265"/>
      <c r="M4377" s="265"/>
      <c r="N4377" s="265"/>
      <c r="O4377" s="265"/>
      <c r="P4377" s="265"/>
      <c r="Q4377" s="265"/>
      <c r="BR4377" s="265"/>
      <c r="BS4377" s="265"/>
      <c r="BT4377" s="265"/>
      <c r="BU4377" s="265"/>
      <c r="BV4377" s="265"/>
    </row>
    <row r="4378" spans="12:74">
      <c r="L4378" s="265"/>
      <c r="M4378" s="265"/>
      <c r="N4378" s="265"/>
      <c r="O4378" s="265"/>
      <c r="P4378" s="265"/>
      <c r="Q4378" s="265"/>
      <c r="BR4378" s="265"/>
      <c r="BS4378" s="265"/>
      <c r="BT4378" s="265"/>
      <c r="BU4378" s="265"/>
      <c r="BV4378" s="265"/>
    </row>
    <row r="4379" spans="12:74">
      <c r="L4379" s="265"/>
      <c r="M4379" s="265"/>
      <c r="N4379" s="265"/>
      <c r="O4379" s="265"/>
      <c r="P4379" s="265"/>
      <c r="Q4379" s="265"/>
      <c r="BR4379" s="265"/>
      <c r="BS4379" s="265"/>
      <c r="BT4379" s="265"/>
      <c r="BU4379" s="265"/>
      <c r="BV4379" s="265"/>
    </row>
    <row r="4380" spans="12:74">
      <c r="L4380" s="265"/>
      <c r="M4380" s="265"/>
      <c r="N4380" s="265"/>
      <c r="O4380" s="265"/>
      <c r="P4380" s="265"/>
      <c r="Q4380" s="265"/>
      <c r="BR4380" s="265"/>
      <c r="BS4380" s="265"/>
      <c r="BT4380" s="265"/>
      <c r="BU4380" s="265"/>
      <c r="BV4380" s="265"/>
    </row>
    <row r="4381" spans="12:74">
      <c r="L4381" s="265"/>
      <c r="M4381" s="265"/>
      <c r="N4381" s="265"/>
      <c r="O4381" s="265"/>
      <c r="P4381" s="265"/>
      <c r="Q4381" s="265"/>
      <c r="BR4381" s="265"/>
      <c r="BS4381" s="265"/>
      <c r="BT4381" s="265"/>
      <c r="BU4381" s="265"/>
      <c r="BV4381" s="265"/>
    </row>
    <row r="4382" spans="12:74">
      <c r="L4382" s="265"/>
      <c r="M4382" s="265"/>
      <c r="N4382" s="265"/>
      <c r="O4382" s="265"/>
      <c r="P4382" s="265"/>
      <c r="Q4382" s="265"/>
      <c r="BR4382" s="265"/>
      <c r="BS4382" s="265"/>
      <c r="BT4382" s="265"/>
      <c r="BU4382" s="265"/>
      <c r="BV4382" s="265"/>
    </row>
    <row r="4383" spans="12:74">
      <c r="L4383" s="265"/>
      <c r="M4383" s="265"/>
      <c r="N4383" s="265"/>
      <c r="O4383" s="265"/>
      <c r="P4383" s="265"/>
      <c r="Q4383" s="265"/>
      <c r="BR4383" s="265"/>
      <c r="BS4383" s="265"/>
      <c r="BT4383" s="265"/>
      <c r="BU4383" s="265"/>
      <c r="BV4383" s="265"/>
    </row>
    <row r="4384" spans="12:74">
      <c r="L4384" s="265"/>
      <c r="M4384" s="265"/>
      <c r="N4384" s="265"/>
      <c r="O4384" s="265"/>
      <c r="P4384" s="265"/>
      <c r="Q4384" s="265"/>
      <c r="BR4384" s="265"/>
      <c r="BS4384" s="265"/>
      <c r="BT4384" s="265"/>
      <c r="BU4384" s="265"/>
      <c r="BV4384" s="265"/>
    </row>
    <row r="4385" spans="12:74">
      <c r="L4385" s="265"/>
      <c r="M4385" s="265"/>
      <c r="N4385" s="265"/>
      <c r="O4385" s="265"/>
      <c r="P4385" s="265"/>
      <c r="Q4385" s="265"/>
      <c r="BR4385" s="265"/>
      <c r="BS4385" s="265"/>
      <c r="BT4385" s="265"/>
      <c r="BU4385" s="265"/>
      <c r="BV4385" s="265"/>
    </row>
    <row r="4386" spans="12:74">
      <c r="L4386" s="265"/>
      <c r="M4386" s="265"/>
      <c r="N4386" s="265"/>
      <c r="O4386" s="265"/>
      <c r="P4386" s="265"/>
      <c r="Q4386" s="265"/>
      <c r="BR4386" s="265"/>
      <c r="BS4386" s="265"/>
      <c r="BT4386" s="265"/>
      <c r="BU4386" s="265"/>
      <c r="BV4386" s="265"/>
    </row>
    <row r="4387" spans="12:74">
      <c r="L4387" s="265"/>
      <c r="M4387" s="265"/>
      <c r="N4387" s="265"/>
      <c r="O4387" s="265"/>
      <c r="P4387" s="265"/>
      <c r="Q4387" s="265"/>
      <c r="BR4387" s="265"/>
      <c r="BS4387" s="265"/>
      <c r="BT4387" s="265"/>
      <c r="BU4387" s="265"/>
      <c r="BV4387" s="265"/>
    </row>
    <row r="4388" spans="12:74">
      <c r="L4388" s="265"/>
      <c r="M4388" s="265"/>
      <c r="N4388" s="265"/>
      <c r="O4388" s="265"/>
      <c r="P4388" s="265"/>
      <c r="Q4388" s="265"/>
      <c r="BR4388" s="265"/>
      <c r="BS4388" s="265"/>
      <c r="BT4388" s="265"/>
      <c r="BU4388" s="265"/>
      <c r="BV4388" s="265"/>
    </row>
    <row r="4389" spans="12:74">
      <c r="L4389" s="265"/>
      <c r="M4389" s="265"/>
      <c r="N4389" s="265"/>
      <c r="O4389" s="265"/>
      <c r="P4389" s="265"/>
      <c r="Q4389" s="265"/>
      <c r="BR4389" s="265"/>
      <c r="BS4389" s="265"/>
      <c r="BT4389" s="265"/>
      <c r="BU4389" s="265"/>
      <c r="BV4389" s="265"/>
    </row>
    <row r="4390" spans="12:74">
      <c r="L4390" s="265"/>
      <c r="M4390" s="265"/>
      <c r="N4390" s="265"/>
      <c r="O4390" s="265"/>
      <c r="P4390" s="265"/>
      <c r="Q4390" s="265"/>
      <c r="BR4390" s="265"/>
      <c r="BS4390" s="265"/>
      <c r="BT4390" s="265"/>
      <c r="BU4390" s="265"/>
      <c r="BV4390" s="265"/>
    </row>
    <row r="4391" spans="12:74">
      <c r="L4391" s="265"/>
      <c r="M4391" s="265"/>
      <c r="N4391" s="265"/>
      <c r="O4391" s="265"/>
      <c r="P4391" s="265"/>
      <c r="Q4391" s="265"/>
      <c r="BR4391" s="265"/>
      <c r="BS4391" s="265"/>
      <c r="BT4391" s="265"/>
      <c r="BU4391" s="265"/>
      <c r="BV4391" s="265"/>
    </row>
    <row r="4392" spans="12:74">
      <c r="L4392" s="265"/>
      <c r="M4392" s="265"/>
      <c r="N4392" s="265"/>
      <c r="O4392" s="265"/>
      <c r="P4392" s="265"/>
      <c r="Q4392" s="265"/>
      <c r="BR4392" s="265"/>
      <c r="BS4392" s="265"/>
      <c r="BT4392" s="265"/>
      <c r="BU4392" s="265"/>
      <c r="BV4392" s="265"/>
    </row>
    <row r="4393" spans="12:74">
      <c r="L4393" s="265"/>
      <c r="M4393" s="265"/>
      <c r="N4393" s="265"/>
      <c r="O4393" s="265"/>
      <c r="P4393" s="265"/>
      <c r="Q4393" s="265"/>
      <c r="BR4393" s="265"/>
      <c r="BS4393" s="265"/>
      <c r="BT4393" s="265"/>
      <c r="BU4393" s="265"/>
      <c r="BV4393" s="265"/>
    </row>
    <row r="4394" spans="12:74">
      <c r="L4394" s="265"/>
      <c r="M4394" s="265"/>
      <c r="N4394" s="265"/>
      <c r="O4394" s="265"/>
      <c r="P4394" s="265"/>
      <c r="Q4394" s="265"/>
      <c r="BR4394" s="265"/>
      <c r="BS4394" s="265"/>
      <c r="BT4394" s="265"/>
      <c r="BU4394" s="265"/>
      <c r="BV4394" s="265"/>
    </row>
    <row r="4395" spans="12:74">
      <c r="L4395" s="265"/>
      <c r="M4395" s="265"/>
      <c r="N4395" s="265"/>
      <c r="O4395" s="265"/>
      <c r="P4395" s="265"/>
      <c r="Q4395" s="265"/>
      <c r="BR4395" s="265"/>
      <c r="BS4395" s="265"/>
      <c r="BT4395" s="265"/>
      <c r="BU4395" s="265"/>
      <c r="BV4395" s="265"/>
    </row>
    <row r="4396" spans="12:74">
      <c r="L4396" s="265"/>
      <c r="M4396" s="265"/>
      <c r="N4396" s="265"/>
      <c r="O4396" s="265"/>
      <c r="P4396" s="265"/>
      <c r="Q4396" s="265"/>
      <c r="BR4396" s="265"/>
      <c r="BS4396" s="265"/>
      <c r="BT4396" s="265"/>
      <c r="BU4396" s="265"/>
      <c r="BV4396" s="265"/>
    </row>
    <row r="4397" spans="12:74">
      <c r="L4397" s="265"/>
      <c r="M4397" s="265"/>
      <c r="N4397" s="265"/>
      <c r="O4397" s="265"/>
      <c r="P4397" s="265"/>
      <c r="Q4397" s="265"/>
      <c r="BR4397" s="265"/>
      <c r="BS4397" s="265"/>
      <c r="BT4397" s="265"/>
      <c r="BU4397" s="265"/>
      <c r="BV4397" s="265"/>
    </row>
    <row r="4398" spans="12:74">
      <c r="L4398" s="265"/>
      <c r="M4398" s="265"/>
      <c r="N4398" s="265"/>
      <c r="O4398" s="265"/>
      <c r="P4398" s="265"/>
      <c r="Q4398" s="265"/>
      <c r="BR4398" s="265"/>
      <c r="BS4398" s="265"/>
      <c r="BT4398" s="265"/>
      <c r="BU4398" s="265"/>
      <c r="BV4398" s="265"/>
    </row>
    <row r="4399" spans="12:74">
      <c r="L4399" s="265"/>
      <c r="M4399" s="265"/>
      <c r="N4399" s="265"/>
      <c r="O4399" s="265"/>
      <c r="P4399" s="265"/>
      <c r="Q4399" s="265"/>
      <c r="BR4399" s="265"/>
      <c r="BS4399" s="265"/>
      <c r="BT4399" s="265"/>
      <c r="BU4399" s="265"/>
      <c r="BV4399" s="265"/>
    </row>
    <row r="4400" spans="12:74">
      <c r="L4400" s="265"/>
      <c r="M4400" s="265"/>
      <c r="N4400" s="265"/>
      <c r="O4400" s="265"/>
      <c r="P4400" s="265"/>
      <c r="Q4400" s="265"/>
      <c r="BR4400" s="265"/>
      <c r="BS4400" s="265"/>
      <c r="BT4400" s="265"/>
      <c r="BU4400" s="265"/>
      <c r="BV4400" s="265"/>
    </row>
    <row r="4401" spans="12:74">
      <c r="L4401" s="265"/>
      <c r="M4401" s="265"/>
      <c r="N4401" s="265"/>
      <c r="O4401" s="265"/>
      <c r="P4401" s="265"/>
      <c r="Q4401" s="265"/>
      <c r="BR4401" s="265"/>
      <c r="BS4401" s="265"/>
      <c r="BT4401" s="265"/>
      <c r="BU4401" s="265"/>
      <c r="BV4401" s="265"/>
    </row>
    <row r="4402" spans="12:74">
      <c r="L4402" s="265"/>
      <c r="M4402" s="265"/>
      <c r="N4402" s="265"/>
      <c r="O4402" s="265"/>
      <c r="P4402" s="265"/>
      <c r="Q4402" s="265"/>
      <c r="BR4402" s="265"/>
      <c r="BS4402" s="265"/>
      <c r="BT4402" s="265"/>
      <c r="BU4402" s="265"/>
      <c r="BV4402" s="265"/>
    </row>
    <row r="4403" spans="12:74">
      <c r="L4403" s="265"/>
      <c r="M4403" s="265"/>
      <c r="N4403" s="265"/>
      <c r="O4403" s="265"/>
      <c r="P4403" s="265"/>
      <c r="Q4403" s="265"/>
      <c r="BR4403" s="265"/>
      <c r="BS4403" s="265"/>
      <c r="BT4403" s="265"/>
      <c r="BU4403" s="265"/>
      <c r="BV4403" s="265"/>
    </row>
    <row r="4404" spans="12:74">
      <c r="L4404" s="265"/>
      <c r="M4404" s="265"/>
      <c r="N4404" s="265"/>
      <c r="O4404" s="265"/>
      <c r="P4404" s="265"/>
      <c r="Q4404" s="265"/>
      <c r="BR4404" s="265"/>
      <c r="BS4404" s="265"/>
      <c r="BT4404" s="265"/>
      <c r="BU4404" s="265"/>
      <c r="BV4404" s="265"/>
    </row>
    <row r="4405" spans="12:74">
      <c r="L4405" s="265"/>
      <c r="M4405" s="265"/>
      <c r="N4405" s="265"/>
      <c r="O4405" s="265"/>
      <c r="P4405" s="265"/>
      <c r="Q4405" s="265"/>
      <c r="BR4405" s="265"/>
      <c r="BS4405" s="265"/>
      <c r="BT4405" s="265"/>
      <c r="BU4405" s="265"/>
      <c r="BV4405" s="265"/>
    </row>
    <row r="4406" spans="12:74">
      <c r="L4406" s="265"/>
      <c r="M4406" s="265"/>
      <c r="N4406" s="265"/>
      <c r="O4406" s="265"/>
      <c r="P4406" s="265"/>
      <c r="Q4406" s="265"/>
      <c r="BR4406" s="265"/>
      <c r="BS4406" s="265"/>
      <c r="BT4406" s="265"/>
      <c r="BU4406" s="265"/>
      <c r="BV4406" s="265"/>
    </row>
    <row r="4407" spans="12:74">
      <c r="L4407" s="265"/>
      <c r="M4407" s="265"/>
      <c r="N4407" s="265"/>
      <c r="O4407" s="265"/>
      <c r="P4407" s="265"/>
      <c r="Q4407" s="265"/>
      <c r="BR4407" s="265"/>
      <c r="BS4407" s="265"/>
      <c r="BT4407" s="265"/>
      <c r="BU4407" s="265"/>
      <c r="BV4407" s="265"/>
    </row>
    <row r="4408" spans="12:74">
      <c r="L4408" s="265"/>
      <c r="M4408" s="265"/>
      <c r="N4408" s="265"/>
      <c r="O4408" s="265"/>
      <c r="P4408" s="265"/>
      <c r="Q4408" s="265"/>
      <c r="BR4408" s="265"/>
      <c r="BS4408" s="265"/>
      <c r="BT4408" s="265"/>
      <c r="BU4408" s="265"/>
      <c r="BV4408" s="265"/>
    </row>
    <row r="4409" spans="12:74">
      <c r="L4409" s="265"/>
      <c r="M4409" s="265"/>
      <c r="N4409" s="265"/>
      <c r="O4409" s="265"/>
      <c r="P4409" s="265"/>
      <c r="Q4409" s="265"/>
      <c r="BR4409" s="265"/>
      <c r="BS4409" s="265"/>
      <c r="BT4409" s="265"/>
      <c r="BU4409" s="265"/>
      <c r="BV4409" s="265"/>
    </row>
    <row r="4410" spans="12:74">
      <c r="L4410" s="265"/>
      <c r="M4410" s="265"/>
      <c r="N4410" s="265"/>
      <c r="O4410" s="265"/>
      <c r="P4410" s="265"/>
      <c r="Q4410" s="265"/>
      <c r="BR4410" s="265"/>
      <c r="BS4410" s="265"/>
      <c r="BT4410" s="265"/>
      <c r="BU4410" s="265"/>
      <c r="BV4410" s="265"/>
    </row>
    <row r="4411" spans="12:74">
      <c r="L4411" s="265"/>
      <c r="M4411" s="265"/>
      <c r="N4411" s="265"/>
      <c r="O4411" s="265"/>
      <c r="P4411" s="265"/>
      <c r="Q4411" s="265"/>
      <c r="BR4411" s="265"/>
      <c r="BS4411" s="265"/>
      <c r="BT4411" s="265"/>
      <c r="BU4411" s="265"/>
      <c r="BV4411" s="265"/>
    </row>
    <row r="4412" spans="12:74">
      <c r="L4412" s="265"/>
      <c r="M4412" s="265"/>
      <c r="N4412" s="265"/>
      <c r="O4412" s="265"/>
      <c r="P4412" s="265"/>
      <c r="Q4412" s="265"/>
      <c r="BR4412" s="265"/>
      <c r="BS4412" s="265"/>
      <c r="BT4412" s="265"/>
      <c r="BU4412" s="265"/>
      <c r="BV4412" s="265"/>
    </row>
    <row r="4413" spans="12:74">
      <c r="L4413" s="265"/>
      <c r="M4413" s="265"/>
      <c r="N4413" s="265"/>
      <c r="O4413" s="265"/>
      <c r="P4413" s="265"/>
      <c r="Q4413" s="265"/>
      <c r="BR4413" s="265"/>
      <c r="BS4413" s="265"/>
      <c r="BT4413" s="265"/>
      <c r="BU4413" s="265"/>
      <c r="BV4413" s="265"/>
    </row>
    <row r="4414" spans="12:74">
      <c r="L4414" s="265"/>
      <c r="M4414" s="265"/>
      <c r="N4414" s="265"/>
      <c r="O4414" s="265"/>
      <c r="P4414" s="265"/>
      <c r="Q4414" s="265"/>
      <c r="BR4414" s="265"/>
      <c r="BS4414" s="265"/>
      <c r="BT4414" s="265"/>
      <c r="BU4414" s="265"/>
      <c r="BV4414" s="265"/>
    </row>
    <row r="4415" spans="12:74">
      <c r="L4415" s="265"/>
      <c r="M4415" s="265"/>
      <c r="N4415" s="265"/>
      <c r="O4415" s="265"/>
      <c r="P4415" s="265"/>
      <c r="Q4415" s="265"/>
      <c r="BR4415" s="265"/>
      <c r="BS4415" s="265"/>
      <c r="BT4415" s="265"/>
      <c r="BU4415" s="265"/>
      <c r="BV4415" s="265"/>
    </row>
    <row r="4416" spans="12:74">
      <c r="L4416" s="265"/>
      <c r="M4416" s="265"/>
      <c r="N4416" s="265"/>
      <c r="O4416" s="265"/>
      <c r="P4416" s="265"/>
      <c r="Q4416" s="265"/>
      <c r="BR4416" s="265"/>
      <c r="BS4416" s="265"/>
      <c r="BT4416" s="265"/>
      <c r="BU4416" s="265"/>
      <c r="BV4416" s="265"/>
    </row>
    <row r="4417" spans="12:74">
      <c r="L4417" s="265"/>
      <c r="M4417" s="265"/>
      <c r="N4417" s="265"/>
      <c r="O4417" s="265"/>
      <c r="P4417" s="265"/>
      <c r="Q4417" s="265"/>
      <c r="BR4417" s="265"/>
      <c r="BS4417" s="265"/>
      <c r="BT4417" s="265"/>
      <c r="BU4417" s="265"/>
      <c r="BV4417" s="265"/>
    </row>
    <row r="4418" spans="12:74">
      <c r="L4418" s="265"/>
      <c r="M4418" s="265"/>
      <c r="N4418" s="265"/>
      <c r="O4418" s="265"/>
      <c r="P4418" s="265"/>
      <c r="Q4418" s="265"/>
      <c r="BR4418" s="265"/>
      <c r="BS4418" s="265"/>
      <c r="BT4418" s="265"/>
      <c r="BU4418" s="265"/>
      <c r="BV4418" s="265"/>
    </row>
    <row r="4419" spans="12:74">
      <c r="L4419" s="265"/>
      <c r="M4419" s="265"/>
      <c r="N4419" s="265"/>
      <c r="O4419" s="265"/>
      <c r="P4419" s="265"/>
      <c r="Q4419" s="265"/>
      <c r="BR4419" s="265"/>
      <c r="BS4419" s="265"/>
      <c r="BT4419" s="265"/>
      <c r="BU4419" s="265"/>
      <c r="BV4419" s="265"/>
    </row>
    <row r="4420" spans="12:74">
      <c r="L4420" s="265"/>
      <c r="M4420" s="265"/>
      <c r="N4420" s="265"/>
      <c r="O4420" s="265"/>
      <c r="P4420" s="265"/>
      <c r="Q4420" s="265"/>
      <c r="BR4420" s="265"/>
      <c r="BS4420" s="265"/>
      <c r="BT4420" s="265"/>
      <c r="BU4420" s="265"/>
      <c r="BV4420" s="265"/>
    </row>
    <row r="4421" spans="12:74">
      <c r="L4421" s="265"/>
      <c r="M4421" s="265"/>
      <c r="N4421" s="265"/>
      <c r="O4421" s="265"/>
      <c r="P4421" s="265"/>
      <c r="Q4421" s="265"/>
      <c r="BR4421" s="265"/>
      <c r="BS4421" s="265"/>
      <c r="BT4421" s="265"/>
      <c r="BU4421" s="265"/>
      <c r="BV4421" s="265"/>
    </row>
    <row r="4422" spans="12:74">
      <c r="L4422" s="265"/>
      <c r="M4422" s="265"/>
      <c r="N4422" s="265"/>
      <c r="O4422" s="265"/>
      <c r="P4422" s="265"/>
      <c r="Q4422" s="265"/>
      <c r="BR4422" s="265"/>
      <c r="BS4422" s="265"/>
      <c r="BT4422" s="265"/>
      <c r="BU4422" s="265"/>
      <c r="BV4422" s="265"/>
    </row>
    <row r="4423" spans="12:74">
      <c r="L4423" s="265"/>
      <c r="M4423" s="265"/>
      <c r="N4423" s="265"/>
      <c r="O4423" s="265"/>
      <c r="P4423" s="265"/>
      <c r="Q4423" s="265"/>
      <c r="BR4423" s="265"/>
      <c r="BS4423" s="265"/>
      <c r="BT4423" s="265"/>
      <c r="BU4423" s="265"/>
      <c r="BV4423" s="265"/>
    </row>
    <row r="4424" spans="12:74">
      <c r="L4424" s="265"/>
      <c r="M4424" s="265"/>
      <c r="N4424" s="265"/>
      <c r="O4424" s="265"/>
      <c r="P4424" s="265"/>
      <c r="Q4424" s="265"/>
      <c r="BR4424" s="265"/>
      <c r="BS4424" s="265"/>
      <c r="BT4424" s="265"/>
      <c r="BU4424" s="265"/>
      <c r="BV4424" s="265"/>
    </row>
    <row r="4425" spans="12:74">
      <c r="L4425" s="265"/>
      <c r="M4425" s="265"/>
      <c r="N4425" s="265"/>
      <c r="O4425" s="265"/>
      <c r="P4425" s="265"/>
      <c r="Q4425" s="265"/>
      <c r="BR4425" s="265"/>
      <c r="BS4425" s="265"/>
      <c r="BT4425" s="265"/>
      <c r="BU4425" s="265"/>
      <c r="BV4425" s="265"/>
    </row>
    <row r="4426" spans="12:74">
      <c r="L4426" s="265"/>
      <c r="M4426" s="265"/>
      <c r="N4426" s="265"/>
      <c r="O4426" s="265"/>
      <c r="P4426" s="265"/>
      <c r="Q4426" s="265"/>
      <c r="BR4426" s="265"/>
      <c r="BS4426" s="265"/>
      <c r="BT4426" s="265"/>
      <c r="BU4426" s="265"/>
      <c r="BV4426" s="265"/>
    </row>
    <row r="4427" spans="12:74">
      <c r="L4427" s="265"/>
      <c r="M4427" s="265"/>
      <c r="N4427" s="265"/>
      <c r="O4427" s="265"/>
      <c r="P4427" s="265"/>
      <c r="Q4427" s="265"/>
      <c r="BR4427" s="265"/>
      <c r="BS4427" s="265"/>
      <c r="BT4427" s="265"/>
      <c r="BU4427" s="265"/>
      <c r="BV4427" s="265"/>
    </row>
    <row r="4428" spans="12:74">
      <c r="L4428" s="265"/>
      <c r="M4428" s="265"/>
      <c r="N4428" s="265"/>
      <c r="O4428" s="265"/>
      <c r="P4428" s="265"/>
      <c r="Q4428" s="265"/>
      <c r="BR4428" s="265"/>
      <c r="BS4428" s="265"/>
      <c r="BT4428" s="265"/>
      <c r="BU4428" s="265"/>
      <c r="BV4428" s="265"/>
    </row>
    <row r="4429" spans="12:74">
      <c r="L4429" s="265"/>
      <c r="M4429" s="265"/>
      <c r="N4429" s="265"/>
      <c r="O4429" s="265"/>
      <c r="P4429" s="265"/>
      <c r="Q4429" s="265"/>
      <c r="BR4429" s="265"/>
      <c r="BS4429" s="265"/>
      <c r="BT4429" s="265"/>
      <c r="BU4429" s="265"/>
      <c r="BV4429" s="265"/>
    </row>
    <row r="4430" spans="12:74">
      <c r="L4430" s="265"/>
      <c r="M4430" s="265"/>
      <c r="N4430" s="265"/>
      <c r="O4430" s="265"/>
      <c r="P4430" s="265"/>
      <c r="Q4430" s="265"/>
      <c r="BR4430" s="265"/>
      <c r="BS4430" s="265"/>
      <c r="BT4430" s="265"/>
      <c r="BU4430" s="265"/>
      <c r="BV4430" s="265"/>
    </row>
    <row r="4431" spans="12:74">
      <c r="L4431" s="265"/>
      <c r="M4431" s="265"/>
      <c r="N4431" s="265"/>
      <c r="O4431" s="265"/>
      <c r="P4431" s="265"/>
      <c r="Q4431" s="265"/>
      <c r="BR4431" s="265"/>
      <c r="BS4431" s="265"/>
      <c r="BT4431" s="265"/>
      <c r="BU4431" s="265"/>
      <c r="BV4431" s="265"/>
    </row>
    <row r="4432" spans="12:74">
      <c r="L4432" s="265"/>
      <c r="M4432" s="265"/>
      <c r="N4432" s="265"/>
      <c r="O4432" s="265"/>
      <c r="P4432" s="265"/>
      <c r="Q4432" s="265"/>
      <c r="BR4432" s="265"/>
      <c r="BS4432" s="265"/>
      <c r="BT4432" s="265"/>
      <c r="BU4432" s="265"/>
      <c r="BV4432" s="265"/>
    </row>
    <row r="4433" spans="12:74">
      <c r="L4433" s="265"/>
      <c r="M4433" s="265"/>
      <c r="N4433" s="265"/>
      <c r="O4433" s="265"/>
      <c r="P4433" s="265"/>
      <c r="Q4433" s="265"/>
      <c r="BR4433" s="265"/>
      <c r="BS4433" s="265"/>
      <c r="BT4433" s="265"/>
      <c r="BU4433" s="265"/>
      <c r="BV4433" s="265"/>
    </row>
    <row r="4434" spans="12:74">
      <c r="L4434" s="265"/>
      <c r="M4434" s="265"/>
      <c r="N4434" s="265"/>
      <c r="O4434" s="265"/>
      <c r="P4434" s="265"/>
      <c r="Q4434" s="265"/>
      <c r="BR4434" s="265"/>
      <c r="BS4434" s="265"/>
      <c r="BT4434" s="265"/>
      <c r="BU4434" s="265"/>
      <c r="BV4434" s="265"/>
    </row>
    <row r="4435" spans="12:74">
      <c r="L4435" s="265"/>
      <c r="M4435" s="265"/>
      <c r="N4435" s="265"/>
      <c r="O4435" s="265"/>
      <c r="P4435" s="265"/>
      <c r="Q4435" s="265"/>
      <c r="BR4435" s="265"/>
      <c r="BS4435" s="265"/>
      <c r="BT4435" s="265"/>
      <c r="BU4435" s="265"/>
      <c r="BV4435" s="265"/>
    </row>
    <row r="4436" spans="12:74">
      <c r="L4436" s="265"/>
      <c r="M4436" s="265"/>
      <c r="N4436" s="265"/>
      <c r="O4436" s="265"/>
      <c r="P4436" s="265"/>
      <c r="Q4436" s="265"/>
      <c r="BR4436" s="265"/>
      <c r="BS4436" s="265"/>
      <c r="BT4436" s="265"/>
      <c r="BU4436" s="265"/>
      <c r="BV4436" s="265"/>
    </row>
    <row r="4437" spans="12:74">
      <c r="L4437" s="265"/>
      <c r="M4437" s="265"/>
      <c r="N4437" s="265"/>
      <c r="O4437" s="265"/>
      <c r="P4437" s="265"/>
      <c r="Q4437" s="265"/>
      <c r="BR4437" s="265"/>
      <c r="BS4437" s="265"/>
      <c r="BT4437" s="265"/>
      <c r="BU4437" s="265"/>
      <c r="BV4437" s="265"/>
    </row>
    <row r="4438" spans="12:74">
      <c r="L4438" s="265"/>
      <c r="M4438" s="265"/>
      <c r="N4438" s="265"/>
      <c r="O4438" s="265"/>
      <c r="P4438" s="265"/>
      <c r="Q4438" s="265"/>
      <c r="BR4438" s="265"/>
      <c r="BS4438" s="265"/>
      <c r="BT4438" s="265"/>
      <c r="BU4438" s="265"/>
      <c r="BV4438" s="265"/>
    </row>
    <row r="4439" spans="12:74">
      <c r="L4439" s="265"/>
      <c r="M4439" s="265"/>
      <c r="N4439" s="265"/>
      <c r="O4439" s="265"/>
      <c r="P4439" s="265"/>
      <c r="Q4439" s="265"/>
      <c r="BR4439" s="265"/>
      <c r="BS4439" s="265"/>
      <c r="BT4439" s="265"/>
      <c r="BU4439" s="265"/>
      <c r="BV4439" s="265"/>
    </row>
    <row r="4440" spans="12:74">
      <c r="L4440" s="265"/>
      <c r="M4440" s="265"/>
      <c r="N4440" s="265"/>
      <c r="O4440" s="265"/>
      <c r="P4440" s="265"/>
      <c r="Q4440" s="265"/>
      <c r="BR4440" s="265"/>
      <c r="BS4440" s="265"/>
      <c r="BT4440" s="265"/>
      <c r="BU4440" s="265"/>
      <c r="BV4440" s="265"/>
    </row>
    <row r="4441" spans="12:74">
      <c r="L4441" s="265"/>
      <c r="M4441" s="265"/>
      <c r="N4441" s="265"/>
      <c r="O4441" s="265"/>
      <c r="P4441" s="265"/>
      <c r="Q4441" s="265"/>
      <c r="BR4441" s="265"/>
      <c r="BS4441" s="265"/>
      <c r="BT4441" s="265"/>
      <c r="BU4441" s="265"/>
      <c r="BV4441" s="265"/>
    </row>
    <row r="4442" spans="12:74">
      <c r="L4442" s="265"/>
      <c r="M4442" s="265"/>
      <c r="N4442" s="265"/>
      <c r="O4442" s="265"/>
      <c r="P4442" s="265"/>
      <c r="Q4442" s="265"/>
      <c r="BR4442" s="265"/>
      <c r="BS4442" s="265"/>
      <c r="BT4442" s="265"/>
      <c r="BU4442" s="265"/>
      <c r="BV4442" s="265"/>
    </row>
    <row r="4443" spans="12:74">
      <c r="L4443" s="265"/>
      <c r="M4443" s="265"/>
      <c r="N4443" s="265"/>
      <c r="O4443" s="265"/>
      <c r="P4443" s="265"/>
      <c r="Q4443" s="265"/>
      <c r="BR4443" s="265"/>
      <c r="BS4443" s="265"/>
      <c r="BT4443" s="265"/>
      <c r="BU4443" s="265"/>
      <c r="BV4443" s="265"/>
    </row>
    <row r="4444" spans="12:74">
      <c r="L4444" s="265"/>
      <c r="M4444" s="265"/>
      <c r="N4444" s="265"/>
      <c r="O4444" s="265"/>
      <c r="P4444" s="265"/>
      <c r="Q4444" s="265"/>
      <c r="BR4444" s="265"/>
      <c r="BS4444" s="265"/>
      <c r="BT4444" s="265"/>
      <c r="BU4444" s="265"/>
      <c r="BV4444" s="265"/>
    </row>
    <row r="4445" spans="12:74">
      <c r="L4445" s="265"/>
      <c r="M4445" s="265"/>
      <c r="N4445" s="265"/>
      <c r="O4445" s="265"/>
      <c r="P4445" s="265"/>
      <c r="Q4445" s="265"/>
      <c r="BR4445" s="265"/>
      <c r="BS4445" s="265"/>
      <c r="BT4445" s="265"/>
      <c r="BU4445" s="265"/>
      <c r="BV4445" s="265"/>
    </row>
    <row r="4446" spans="12:74">
      <c r="L4446" s="265"/>
      <c r="M4446" s="265"/>
      <c r="N4446" s="265"/>
      <c r="O4446" s="265"/>
      <c r="P4446" s="265"/>
      <c r="Q4446" s="265"/>
      <c r="BR4446" s="265"/>
      <c r="BS4446" s="265"/>
      <c r="BT4446" s="265"/>
      <c r="BU4446" s="265"/>
      <c r="BV4446" s="265"/>
    </row>
    <row r="4447" spans="12:74">
      <c r="L4447" s="265"/>
      <c r="M4447" s="265"/>
      <c r="N4447" s="265"/>
      <c r="O4447" s="265"/>
      <c r="P4447" s="265"/>
      <c r="Q4447" s="265"/>
      <c r="BR4447" s="265"/>
      <c r="BS4447" s="265"/>
      <c r="BT4447" s="265"/>
      <c r="BU4447" s="265"/>
      <c r="BV4447" s="265"/>
    </row>
    <row r="4448" spans="12:74">
      <c r="L4448" s="265"/>
      <c r="M4448" s="265"/>
      <c r="N4448" s="265"/>
      <c r="O4448" s="265"/>
      <c r="P4448" s="265"/>
      <c r="Q4448" s="265"/>
      <c r="BR4448" s="265"/>
      <c r="BS4448" s="265"/>
      <c r="BT4448" s="265"/>
      <c r="BU4448" s="265"/>
      <c r="BV4448" s="265"/>
    </row>
    <row r="4449" spans="12:74">
      <c r="L4449" s="265"/>
      <c r="M4449" s="265"/>
      <c r="N4449" s="265"/>
      <c r="O4449" s="265"/>
      <c r="P4449" s="265"/>
      <c r="Q4449" s="265"/>
      <c r="BR4449" s="265"/>
      <c r="BS4449" s="265"/>
      <c r="BT4449" s="265"/>
      <c r="BU4449" s="265"/>
      <c r="BV4449" s="265"/>
    </row>
    <row r="4450" spans="12:74">
      <c r="L4450" s="265"/>
      <c r="M4450" s="265"/>
      <c r="N4450" s="265"/>
      <c r="O4450" s="265"/>
      <c r="P4450" s="265"/>
      <c r="Q4450" s="265"/>
      <c r="BR4450" s="265"/>
      <c r="BS4450" s="265"/>
      <c r="BT4450" s="265"/>
      <c r="BU4450" s="265"/>
      <c r="BV4450" s="265"/>
    </row>
    <row r="4451" spans="12:74">
      <c r="L4451" s="265"/>
      <c r="M4451" s="265"/>
      <c r="N4451" s="265"/>
      <c r="O4451" s="265"/>
      <c r="P4451" s="265"/>
      <c r="Q4451" s="265"/>
      <c r="BR4451" s="265"/>
      <c r="BS4451" s="265"/>
      <c r="BT4451" s="265"/>
      <c r="BU4451" s="265"/>
      <c r="BV4451" s="265"/>
    </row>
    <row r="4452" spans="12:74">
      <c r="L4452" s="265"/>
      <c r="M4452" s="265"/>
      <c r="N4452" s="265"/>
      <c r="O4452" s="265"/>
      <c r="P4452" s="265"/>
      <c r="Q4452" s="265"/>
      <c r="BR4452" s="265"/>
      <c r="BS4452" s="265"/>
      <c r="BT4452" s="265"/>
      <c r="BU4452" s="265"/>
      <c r="BV4452" s="265"/>
    </row>
    <row r="4453" spans="12:74">
      <c r="L4453" s="265"/>
      <c r="M4453" s="265"/>
      <c r="N4453" s="265"/>
      <c r="O4453" s="265"/>
      <c r="P4453" s="265"/>
      <c r="Q4453" s="265"/>
      <c r="BR4453" s="265"/>
      <c r="BS4453" s="265"/>
      <c r="BT4453" s="265"/>
      <c r="BU4453" s="265"/>
      <c r="BV4453" s="265"/>
    </row>
    <row r="4454" spans="12:74">
      <c r="L4454" s="265"/>
      <c r="M4454" s="265"/>
      <c r="N4454" s="265"/>
      <c r="O4454" s="265"/>
      <c r="P4454" s="265"/>
      <c r="Q4454" s="265"/>
      <c r="BR4454" s="265"/>
      <c r="BS4454" s="265"/>
      <c r="BT4454" s="265"/>
      <c r="BU4454" s="265"/>
      <c r="BV4454" s="265"/>
    </row>
    <row r="4455" spans="12:74">
      <c r="L4455" s="265"/>
      <c r="M4455" s="265"/>
      <c r="N4455" s="265"/>
      <c r="O4455" s="265"/>
      <c r="P4455" s="265"/>
      <c r="Q4455" s="265"/>
      <c r="BR4455" s="265"/>
      <c r="BS4455" s="265"/>
      <c r="BT4455" s="265"/>
      <c r="BU4455" s="265"/>
      <c r="BV4455" s="265"/>
    </row>
    <row r="4456" spans="12:74">
      <c r="L4456" s="265"/>
      <c r="M4456" s="265"/>
      <c r="N4456" s="265"/>
      <c r="O4456" s="265"/>
      <c r="P4456" s="265"/>
      <c r="Q4456" s="265"/>
      <c r="BR4456" s="265"/>
      <c r="BS4456" s="265"/>
      <c r="BT4456" s="265"/>
      <c r="BU4456" s="265"/>
      <c r="BV4456" s="265"/>
    </row>
    <row r="4457" spans="12:74">
      <c r="L4457" s="265"/>
      <c r="M4457" s="265"/>
      <c r="N4457" s="265"/>
      <c r="O4457" s="265"/>
      <c r="P4457" s="265"/>
      <c r="Q4457" s="265"/>
      <c r="BR4457" s="265"/>
      <c r="BS4457" s="265"/>
      <c r="BT4457" s="265"/>
      <c r="BU4457" s="265"/>
      <c r="BV4457" s="265"/>
    </row>
    <row r="4458" spans="12:74">
      <c r="L4458" s="265"/>
      <c r="M4458" s="265"/>
      <c r="N4458" s="265"/>
      <c r="O4458" s="265"/>
      <c r="P4458" s="265"/>
      <c r="Q4458" s="265"/>
      <c r="BR4458" s="265"/>
      <c r="BS4458" s="265"/>
      <c r="BT4458" s="265"/>
      <c r="BU4458" s="265"/>
      <c r="BV4458" s="265"/>
    </row>
    <row r="4459" spans="12:74">
      <c r="L4459" s="265"/>
      <c r="M4459" s="265"/>
      <c r="N4459" s="265"/>
      <c r="O4459" s="265"/>
      <c r="P4459" s="265"/>
      <c r="Q4459" s="265"/>
      <c r="BR4459" s="265"/>
      <c r="BS4459" s="265"/>
      <c r="BT4459" s="265"/>
      <c r="BU4459" s="265"/>
      <c r="BV4459" s="265"/>
    </row>
    <row r="4460" spans="12:74">
      <c r="L4460" s="265"/>
      <c r="M4460" s="265"/>
      <c r="N4460" s="265"/>
      <c r="O4460" s="265"/>
      <c r="P4460" s="265"/>
      <c r="Q4460" s="265"/>
      <c r="BR4460" s="265"/>
      <c r="BS4460" s="265"/>
      <c r="BT4460" s="265"/>
      <c r="BU4460" s="265"/>
      <c r="BV4460" s="265"/>
    </row>
    <row r="4461" spans="12:74">
      <c r="L4461" s="265"/>
      <c r="M4461" s="265"/>
      <c r="N4461" s="265"/>
      <c r="O4461" s="265"/>
      <c r="P4461" s="265"/>
      <c r="Q4461" s="265"/>
      <c r="BR4461" s="265"/>
      <c r="BS4461" s="265"/>
      <c r="BT4461" s="265"/>
      <c r="BU4461" s="265"/>
      <c r="BV4461" s="265"/>
    </row>
    <row r="4462" spans="12:74">
      <c r="L4462" s="265"/>
      <c r="M4462" s="265"/>
      <c r="N4462" s="265"/>
      <c r="O4462" s="265"/>
      <c r="P4462" s="265"/>
      <c r="Q4462" s="265"/>
      <c r="BR4462" s="265"/>
      <c r="BS4462" s="265"/>
      <c r="BT4462" s="265"/>
      <c r="BU4462" s="265"/>
      <c r="BV4462" s="265"/>
    </row>
    <row r="4463" spans="12:74">
      <c r="L4463" s="265"/>
      <c r="M4463" s="265"/>
      <c r="N4463" s="265"/>
      <c r="O4463" s="265"/>
      <c r="P4463" s="265"/>
      <c r="Q4463" s="265"/>
      <c r="BR4463" s="265"/>
      <c r="BS4463" s="265"/>
      <c r="BT4463" s="265"/>
      <c r="BU4463" s="265"/>
      <c r="BV4463" s="265"/>
    </row>
    <row r="4464" spans="12:74">
      <c r="L4464" s="265"/>
      <c r="M4464" s="265"/>
      <c r="N4464" s="265"/>
      <c r="O4464" s="265"/>
      <c r="P4464" s="265"/>
      <c r="Q4464" s="265"/>
      <c r="BR4464" s="265"/>
      <c r="BS4464" s="265"/>
      <c r="BT4464" s="265"/>
      <c r="BU4464" s="265"/>
      <c r="BV4464" s="265"/>
    </row>
    <row r="4465" spans="12:74">
      <c r="L4465" s="265"/>
      <c r="M4465" s="265"/>
      <c r="N4465" s="265"/>
      <c r="O4465" s="265"/>
      <c r="P4465" s="265"/>
      <c r="Q4465" s="265"/>
      <c r="BR4465" s="265"/>
      <c r="BS4465" s="265"/>
      <c r="BT4465" s="265"/>
      <c r="BU4465" s="265"/>
      <c r="BV4465" s="265"/>
    </row>
    <row r="4466" spans="12:74">
      <c r="L4466" s="265"/>
      <c r="M4466" s="265"/>
      <c r="N4466" s="265"/>
      <c r="O4466" s="265"/>
      <c r="P4466" s="265"/>
      <c r="Q4466" s="265"/>
      <c r="BR4466" s="265"/>
      <c r="BS4466" s="265"/>
      <c r="BT4466" s="265"/>
      <c r="BU4466" s="265"/>
      <c r="BV4466" s="265"/>
    </row>
    <row r="4467" spans="12:74">
      <c r="L4467" s="265"/>
      <c r="M4467" s="265"/>
      <c r="N4467" s="265"/>
      <c r="O4467" s="265"/>
      <c r="P4467" s="265"/>
      <c r="Q4467" s="265"/>
      <c r="BR4467" s="265"/>
      <c r="BS4467" s="265"/>
      <c r="BT4467" s="265"/>
      <c r="BU4467" s="265"/>
      <c r="BV4467" s="265"/>
    </row>
    <row r="4468" spans="12:74">
      <c r="L4468" s="265"/>
      <c r="M4468" s="265"/>
      <c r="N4468" s="265"/>
      <c r="O4468" s="265"/>
      <c r="P4468" s="265"/>
      <c r="Q4468" s="265"/>
      <c r="BR4468" s="265"/>
      <c r="BS4468" s="265"/>
      <c r="BT4468" s="265"/>
      <c r="BU4468" s="265"/>
      <c r="BV4468" s="265"/>
    </row>
    <row r="4469" spans="12:74">
      <c r="L4469" s="265"/>
      <c r="M4469" s="265"/>
      <c r="N4469" s="265"/>
      <c r="O4469" s="265"/>
      <c r="P4469" s="265"/>
      <c r="Q4469" s="265"/>
      <c r="BR4469" s="265"/>
      <c r="BS4469" s="265"/>
      <c r="BT4469" s="265"/>
      <c r="BU4469" s="265"/>
      <c r="BV4469" s="265"/>
    </row>
    <row r="4470" spans="12:74">
      <c r="L4470" s="265"/>
      <c r="M4470" s="265"/>
      <c r="N4470" s="265"/>
      <c r="O4470" s="265"/>
      <c r="P4470" s="265"/>
      <c r="Q4470" s="265"/>
      <c r="BR4470" s="265"/>
      <c r="BS4470" s="265"/>
      <c r="BT4470" s="265"/>
      <c r="BU4470" s="265"/>
      <c r="BV4470" s="265"/>
    </row>
    <row r="4471" spans="12:74">
      <c r="L4471" s="265"/>
      <c r="M4471" s="265"/>
      <c r="N4471" s="265"/>
      <c r="O4471" s="265"/>
      <c r="P4471" s="265"/>
      <c r="Q4471" s="265"/>
      <c r="BR4471" s="265"/>
      <c r="BS4471" s="265"/>
      <c r="BT4471" s="265"/>
      <c r="BU4471" s="265"/>
      <c r="BV4471" s="265"/>
    </row>
    <row r="4472" spans="12:74">
      <c r="L4472" s="265"/>
      <c r="M4472" s="265"/>
      <c r="N4472" s="265"/>
      <c r="O4472" s="265"/>
      <c r="P4472" s="265"/>
      <c r="Q4472" s="265"/>
      <c r="BR4472" s="265"/>
      <c r="BS4472" s="265"/>
      <c r="BT4472" s="265"/>
      <c r="BU4472" s="265"/>
      <c r="BV4472" s="265"/>
    </row>
    <row r="4473" spans="12:74">
      <c r="L4473" s="265"/>
      <c r="M4473" s="265"/>
      <c r="N4473" s="265"/>
      <c r="O4473" s="265"/>
      <c r="P4473" s="265"/>
      <c r="Q4473" s="265"/>
      <c r="BR4473" s="265"/>
      <c r="BS4473" s="265"/>
      <c r="BT4473" s="265"/>
      <c r="BU4473" s="265"/>
      <c r="BV4473" s="265"/>
    </row>
    <row r="4474" spans="12:74">
      <c r="L4474" s="265"/>
      <c r="M4474" s="265"/>
      <c r="N4474" s="265"/>
      <c r="O4474" s="265"/>
      <c r="P4474" s="265"/>
      <c r="Q4474" s="265"/>
      <c r="BR4474" s="265"/>
      <c r="BS4474" s="265"/>
      <c r="BT4474" s="265"/>
      <c r="BU4474" s="265"/>
      <c r="BV4474" s="265"/>
    </row>
    <row r="4475" spans="12:74">
      <c r="L4475" s="265"/>
      <c r="M4475" s="265"/>
      <c r="N4475" s="265"/>
      <c r="O4475" s="265"/>
      <c r="P4475" s="265"/>
      <c r="Q4475" s="265"/>
      <c r="BR4475" s="265"/>
      <c r="BS4475" s="265"/>
      <c r="BT4475" s="265"/>
      <c r="BU4475" s="265"/>
      <c r="BV4475" s="265"/>
    </row>
    <row r="4476" spans="12:74">
      <c r="L4476" s="265"/>
      <c r="M4476" s="265"/>
      <c r="N4476" s="265"/>
      <c r="O4476" s="265"/>
      <c r="P4476" s="265"/>
      <c r="Q4476" s="265"/>
      <c r="BR4476" s="265"/>
      <c r="BS4476" s="265"/>
      <c r="BT4476" s="265"/>
      <c r="BU4476" s="265"/>
      <c r="BV4476" s="265"/>
    </row>
    <row r="4477" spans="12:74">
      <c r="L4477" s="265"/>
      <c r="M4477" s="265"/>
      <c r="N4477" s="265"/>
      <c r="O4477" s="265"/>
      <c r="P4477" s="265"/>
      <c r="Q4477" s="265"/>
      <c r="BR4477" s="265"/>
      <c r="BS4477" s="265"/>
      <c r="BT4477" s="265"/>
      <c r="BU4477" s="265"/>
      <c r="BV4477" s="265"/>
    </row>
    <row r="4478" spans="12:74">
      <c r="L4478" s="265"/>
      <c r="M4478" s="265"/>
      <c r="N4478" s="265"/>
      <c r="O4478" s="265"/>
      <c r="P4478" s="265"/>
      <c r="Q4478" s="265"/>
      <c r="BR4478" s="265"/>
      <c r="BS4478" s="265"/>
      <c r="BT4478" s="265"/>
      <c r="BU4478" s="265"/>
      <c r="BV4478" s="265"/>
    </row>
    <row r="4479" spans="12:74">
      <c r="L4479" s="265"/>
      <c r="M4479" s="265"/>
      <c r="N4479" s="265"/>
      <c r="O4479" s="265"/>
      <c r="P4479" s="265"/>
      <c r="Q4479" s="265"/>
      <c r="BR4479" s="265"/>
      <c r="BS4479" s="265"/>
      <c r="BT4479" s="265"/>
      <c r="BU4479" s="265"/>
      <c r="BV4479" s="265"/>
    </row>
    <row r="4480" spans="12:74">
      <c r="L4480" s="265"/>
      <c r="M4480" s="265"/>
      <c r="N4480" s="265"/>
      <c r="O4480" s="265"/>
      <c r="P4480" s="265"/>
      <c r="Q4480" s="265"/>
      <c r="BR4480" s="265"/>
      <c r="BS4480" s="265"/>
      <c r="BT4480" s="265"/>
      <c r="BU4480" s="265"/>
      <c r="BV4480" s="265"/>
    </row>
    <row r="4481" spans="12:74">
      <c r="L4481" s="265"/>
      <c r="M4481" s="265"/>
      <c r="N4481" s="265"/>
      <c r="O4481" s="265"/>
      <c r="P4481" s="265"/>
      <c r="Q4481" s="265"/>
      <c r="BR4481" s="265"/>
      <c r="BS4481" s="265"/>
      <c r="BT4481" s="265"/>
      <c r="BU4481" s="265"/>
      <c r="BV4481" s="265"/>
    </row>
    <row r="4482" spans="12:74">
      <c r="L4482" s="265"/>
      <c r="M4482" s="265"/>
      <c r="N4482" s="265"/>
      <c r="O4482" s="265"/>
      <c r="P4482" s="265"/>
      <c r="Q4482" s="265"/>
      <c r="BR4482" s="265"/>
      <c r="BS4482" s="265"/>
      <c r="BT4482" s="265"/>
      <c r="BU4482" s="265"/>
      <c r="BV4482" s="265"/>
    </row>
    <row r="4483" spans="12:74">
      <c r="L4483" s="265"/>
      <c r="M4483" s="265"/>
      <c r="N4483" s="265"/>
      <c r="O4483" s="265"/>
      <c r="P4483" s="265"/>
      <c r="Q4483" s="265"/>
      <c r="BR4483" s="265"/>
      <c r="BS4483" s="265"/>
      <c r="BT4483" s="265"/>
      <c r="BU4483" s="265"/>
      <c r="BV4483" s="265"/>
    </row>
    <row r="4484" spans="12:74">
      <c r="L4484" s="265"/>
      <c r="M4484" s="265"/>
      <c r="N4484" s="265"/>
      <c r="O4484" s="265"/>
      <c r="P4484" s="265"/>
      <c r="Q4484" s="265"/>
      <c r="BR4484" s="265"/>
      <c r="BS4484" s="265"/>
      <c r="BT4484" s="265"/>
      <c r="BU4484" s="265"/>
      <c r="BV4484" s="265"/>
    </row>
    <row r="4485" spans="12:74">
      <c r="L4485" s="265"/>
      <c r="M4485" s="265"/>
      <c r="N4485" s="265"/>
      <c r="O4485" s="265"/>
      <c r="P4485" s="265"/>
      <c r="Q4485" s="265"/>
      <c r="BR4485" s="265"/>
      <c r="BS4485" s="265"/>
      <c r="BT4485" s="265"/>
      <c r="BU4485" s="265"/>
      <c r="BV4485" s="265"/>
    </row>
    <row r="4486" spans="12:74">
      <c r="L4486" s="265"/>
      <c r="M4486" s="265"/>
      <c r="N4486" s="265"/>
      <c r="O4486" s="265"/>
      <c r="P4486" s="265"/>
      <c r="Q4486" s="265"/>
      <c r="BR4486" s="265"/>
      <c r="BS4486" s="265"/>
      <c r="BT4486" s="265"/>
      <c r="BU4486" s="265"/>
      <c r="BV4486" s="265"/>
    </row>
    <row r="4487" spans="12:74">
      <c r="L4487" s="265"/>
      <c r="M4487" s="265"/>
      <c r="N4487" s="265"/>
      <c r="O4487" s="265"/>
      <c r="P4487" s="265"/>
      <c r="Q4487" s="265"/>
      <c r="BR4487" s="265"/>
      <c r="BS4487" s="265"/>
      <c r="BT4487" s="265"/>
      <c r="BU4487" s="265"/>
      <c r="BV4487" s="265"/>
    </row>
    <row r="4488" spans="12:74">
      <c r="L4488" s="265"/>
      <c r="M4488" s="265"/>
      <c r="N4488" s="265"/>
      <c r="O4488" s="265"/>
      <c r="P4488" s="265"/>
      <c r="Q4488" s="265"/>
      <c r="BR4488" s="265"/>
      <c r="BS4488" s="265"/>
      <c r="BT4488" s="265"/>
      <c r="BU4488" s="265"/>
      <c r="BV4488" s="265"/>
    </row>
    <row r="4489" spans="12:74">
      <c r="L4489" s="265"/>
      <c r="M4489" s="265"/>
      <c r="N4489" s="265"/>
      <c r="O4489" s="265"/>
      <c r="P4489" s="265"/>
      <c r="Q4489" s="265"/>
      <c r="BR4489" s="265"/>
      <c r="BS4489" s="265"/>
      <c r="BT4489" s="265"/>
      <c r="BU4489" s="265"/>
      <c r="BV4489" s="265"/>
    </row>
    <row r="4490" spans="12:74">
      <c r="L4490" s="265"/>
      <c r="M4490" s="265"/>
      <c r="N4490" s="265"/>
      <c r="O4490" s="265"/>
      <c r="P4490" s="265"/>
      <c r="Q4490" s="265"/>
      <c r="BR4490" s="265"/>
      <c r="BS4490" s="265"/>
      <c r="BT4490" s="265"/>
      <c r="BU4490" s="265"/>
      <c r="BV4490" s="265"/>
    </row>
    <row r="4491" spans="12:74">
      <c r="L4491" s="265"/>
      <c r="M4491" s="265"/>
      <c r="N4491" s="265"/>
      <c r="O4491" s="265"/>
      <c r="P4491" s="265"/>
      <c r="Q4491" s="265"/>
      <c r="BR4491" s="265"/>
      <c r="BS4491" s="265"/>
      <c r="BT4491" s="265"/>
      <c r="BU4491" s="265"/>
      <c r="BV4491" s="265"/>
    </row>
    <row r="4492" spans="12:74">
      <c r="L4492" s="265"/>
      <c r="M4492" s="265"/>
      <c r="N4492" s="265"/>
      <c r="O4492" s="265"/>
      <c r="P4492" s="265"/>
      <c r="Q4492" s="265"/>
      <c r="BR4492" s="265"/>
      <c r="BS4492" s="265"/>
      <c r="BT4492" s="265"/>
      <c r="BU4492" s="265"/>
      <c r="BV4492" s="265"/>
    </row>
    <row r="4493" spans="12:74">
      <c r="L4493" s="265"/>
      <c r="M4493" s="265"/>
      <c r="N4493" s="265"/>
      <c r="O4493" s="265"/>
      <c r="P4493" s="265"/>
      <c r="Q4493" s="265"/>
      <c r="BR4493" s="265"/>
      <c r="BS4493" s="265"/>
      <c r="BT4493" s="265"/>
      <c r="BU4493" s="265"/>
      <c r="BV4493" s="265"/>
    </row>
    <row r="4494" spans="12:74">
      <c r="L4494" s="265"/>
      <c r="M4494" s="265"/>
      <c r="N4494" s="265"/>
      <c r="O4494" s="265"/>
      <c r="P4494" s="265"/>
      <c r="Q4494" s="265"/>
      <c r="BR4494" s="265"/>
      <c r="BS4494" s="265"/>
      <c r="BT4494" s="265"/>
      <c r="BU4494" s="265"/>
      <c r="BV4494" s="265"/>
    </row>
    <row r="4495" spans="12:74">
      <c r="L4495" s="265"/>
      <c r="M4495" s="265"/>
      <c r="N4495" s="265"/>
      <c r="O4495" s="265"/>
      <c r="P4495" s="265"/>
      <c r="Q4495" s="265"/>
      <c r="BR4495" s="265"/>
      <c r="BS4495" s="265"/>
      <c r="BT4495" s="265"/>
      <c r="BU4495" s="265"/>
      <c r="BV4495" s="265"/>
    </row>
    <row r="4496" spans="12:74">
      <c r="L4496" s="265"/>
      <c r="M4496" s="265"/>
      <c r="N4496" s="265"/>
      <c r="O4496" s="265"/>
      <c r="P4496" s="265"/>
      <c r="Q4496" s="265"/>
      <c r="BR4496" s="265"/>
      <c r="BS4496" s="265"/>
      <c r="BT4496" s="265"/>
      <c r="BU4496" s="265"/>
      <c r="BV4496" s="265"/>
    </row>
    <row r="4497" spans="12:74">
      <c r="L4497" s="265"/>
      <c r="M4497" s="265"/>
      <c r="N4497" s="265"/>
      <c r="O4497" s="265"/>
      <c r="P4497" s="265"/>
      <c r="Q4497" s="265"/>
      <c r="BR4497" s="265"/>
      <c r="BS4497" s="265"/>
      <c r="BT4497" s="265"/>
      <c r="BU4497" s="265"/>
      <c r="BV4497" s="265"/>
    </row>
    <row r="4498" spans="12:74">
      <c r="L4498" s="265"/>
      <c r="M4498" s="265"/>
      <c r="N4498" s="265"/>
      <c r="O4498" s="265"/>
      <c r="P4498" s="265"/>
      <c r="Q4498" s="265"/>
      <c r="BR4498" s="265"/>
      <c r="BS4498" s="265"/>
      <c r="BT4498" s="265"/>
      <c r="BU4498" s="265"/>
      <c r="BV4498" s="265"/>
    </row>
    <row r="4499" spans="12:74">
      <c r="L4499" s="265"/>
      <c r="M4499" s="265"/>
      <c r="N4499" s="265"/>
      <c r="O4499" s="265"/>
      <c r="P4499" s="265"/>
      <c r="Q4499" s="265"/>
      <c r="BR4499" s="265"/>
      <c r="BS4499" s="265"/>
      <c r="BT4499" s="265"/>
      <c r="BU4499" s="265"/>
      <c r="BV4499" s="265"/>
    </row>
    <row r="4500" spans="12:74">
      <c r="L4500" s="265"/>
      <c r="M4500" s="265"/>
      <c r="N4500" s="265"/>
      <c r="O4500" s="265"/>
      <c r="P4500" s="265"/>
      <c r="Q4500" s="265"/>
      <c r="BR4500" s="265"/>
      <c r="BS4500" s="265"/>
      <c r="BT4500" s="265"/>
      <c r="BU4500" s="265"/>
      <c r="BV4500" s="265"/>
    </row>
    <row r="4501" spans="12:74">
      <c r="L4501" s="265"/>
      <c r="M4501" s="265"/>
      <c r="N4501" s="265"/>
      <c r="O4501" s="265"/>
      <c r="P4501" s="265"/>
      <c r="Q4501" s="265"/>
      <c r="BR4501" s="265"/>
      <c r="BS4501" s="265"/>
      <c r="BT4501" s="265"/>
      <c r="BU4501" s="265"/>
      <c r="BV4501" s="265"/>
    </row>
    <row r="4502" spans="12:74">
      <c r="L4502" s="265"/>
      <c r="M4502" s="265"/>
      <c r="N4502" s="265"/>
      <c r="O4502" s="265"/>
      <c r="P4502" s="265"/>
      <c r="Q4502" s="265"/>
      <c r="BR4502" s="265"/>
      <c r="BS4502" s="265"/>
      <c r="BT4502" s="265"/>
      <c r="BU4502" s="265"/>
      <c r="BV4502" s="265"/>
    </row>
    <row r="4503" spans="12:74">
      <c r="L4503" s="265"/>
      <c r="M4503" s="265"/>
      <c r="N4503" s="265"/>
      <c r="O4503" s="265"/>
      <c r="P4503" s="265"/>
      <c r="Q4503" s="265"/>
      <c r="BR4503" s="265"/>
      <c r="BS4503" s="265"/>
      <c r="BT4503" s="265"/>
      <c r="BU4503" s="265"/>
      <c r="BV4503" s="265"/>
    </row>
    <row r="4504" spans="12:74">
      <c r="L4504" s="265"/>
      <c r="M4504" s="265"/>
      <c r="N4504" s="265"/>
      <c r="O4504" s="265"/>
      <c r="P4504" s="265"/>
      <c r="Q4504" s="265"/>
      <c r="BR4504" s="265"/>
      <c r="BS4504" s="265"/>
      <c r="BT4504" s="265"/>
      <c r="BU4504" s="265"/>
      <c r="BV4504" s="265"/>
    </row>
    <row r="4505" spans="12:74">
      <c r="L4505" s="265"/>
      <c r="M4505" s="265"/>
      <c r="N4505" s="265"/>
      <c r="O4505" s="265"/>
      <c r="P4505" s="265"/>
      <c r="Q4505" s="265"/>
      <c r="BR4505" s="265"/>
      <c r="BS4505" s="265"/>
      <c r="BT4505" s="265"/>
      <c r="BU4505" s="265"/>
      <c r="BV4505" s="265"/>
    </row>
    <row r="4506" spans="12:74">
      <c r="L4506" s="265"/>
      <c r="M4506" s="265"/>
      <c r="N4506" s="265"/>
      <c r="O4506" s="265"/>
      <c r="P4506" s="265"/>
      <c r="Q4506" s="265"/>
      <c r="BR4506" s="265"/>
      <c r="BS4506" s="265"/>
      <c r="BT4506" s="265"/>
      <c r="BU4506" s="265"/>
      <c r="BV4506" s="265"/>
    </row>
    <row r="4507" spans="12:74">
      <c r="L4507" s="265"/>
      <c r="M4507" s="265"/>
      <c r="N4507" s="265"/>
      <c r="O4507" s="265"/>
      <c r="P4507" s="265"/>
      <c r="Q4507" s="265"/>
      <c r="BR4507" s="265"/>
      <c r="BS4507" s="265"/>
      <c r="BT4507" s="265"/>
      <c r="BU4507" s="265"/>
      <c r="BV4507" s="265"/>
    </row>
    <row r="4508" spans="12:74">
      <c r="L4508" s="265"/>
      <c r="M4508" s="265"/>
      <c r="N4508" s="265"/>
      <c r="O4508" s="265"/>
      <c r="P4508" s="265"/>
      <c r="Q4508" s="265"/>
      <c r="BR4508" s="265"/>
      <c r="BS4508" s="265"/>
      <c r="BT4508" s="265"/>
      <c r="BU4508" s="265"/>
      <c r="BV4508" s="265"/>
    </row>
    <row r="4509" spans="12:74">
      <c r="L4509" s="265"/>
      <c r="M4509" s="265"/>
      <c r="N4509" s="265"/>
      <c r="O4509" s="265"/>
      <c r="P4509" s="265"/>
      <c r="Q4509" s="265"/>
      <c r="BR4509" s="265"/>
      <c r="BS4509" s="265"/>
      <c r="BT4509" s="265"/>
      <c r="BU4509" s="265"/>
      <c r="BV4509" s="265"/>
    </row>
    <row r="4510" spans="12:74">
      <c r="L4510" s="265"/>
      <c r="M4510" s="265"/>
      <c r="N4510" s="265"/>
      <c r="O4510" s="265"/>
      <c r="P4510" s="265"/>
      <c r="Q4510" s="265"/>
      <c r="BR4510" s="265"/>
      <c r="BS4510" s="265"/>
      <c r="BT4510" s="265"/>
      <c r="BU4510" s="265"/>
      <c r="BV4510" s="265"/>
    </row>
    <row r="4511" spans="12:74">
      <c r="L4511" s="265"/>
      <c r="M4511" s="265"/>
      <c r="N4511" s="265"/>
      <c r="O4511" s="265"/>
      <c r="P4511" s="265"/>
      <c r="Q4511" s="265"/>
      <c r="BR4511" s="265"/>
      <c r="BS4511" s="265"/>
      <c r="BT4511" s="265"/>
      <c r="BU4511" s="265"/>
      <c r="BV4511" s="265"/>
    </row>
    <row r="4512" spans="12:74">
      <c r="L4512" s="265"/>
      <c r="M4512" s="265"/>
      <c r="N4512" s="265"/>
      <c r="O4512" s="265"/>
      <c r="P4512" s="265"/>
      <c r="Q4512" s="265"/>
      <c r="BR4512" s="265"/>
      <c r="BS4512" s="265"/>
      <c r="BT4512" s="265"/>
      <c r="BU4512" s="265"/>
      <c r="BV4512" s="265"/>
    </row>
    <row r="4513" spans="12:74">
      <c r="L4513" s="265"/>
      <c r="M4513" s="265"/>
      <c r="N4513" s="265"/>
      <c r="O4513" s="265"/>
      <c r="P4513" s="265"/>
      <c r="Q4513" s="265"/>
      <c r="BR4513" s="265"/>
      <c r="BS4513" s="265"/>
      <c r="BT4513" s="265"/>
      <c r="BU4513" s="265"/>
      <c r="BV4513" s="265"/>
    </row>
    <row r="4514" spans="12:74">
      <c r="L4514" s="265"/>
      <c r="M4514" s="265"/>
      <c r="N4514" s="265"/>
      <c r="O4514" s="265"/>
      <c r="P4514" s="265"/>
      <c r="Q4514" s="265"/>
      <c r="BR4514" s="265"/>
      <c r="BS4514" s="265"/>
      <c r="BT4514" s="265"/>
      <c r="BU4514" s="265"/>
      <c r="BV4514" s="265"/>
    </row>
    <row r="4515" spans="12:74">
      <c r="L4515" s="265"/>
      <c r="M4515" s="265"/>
      <c r="N4515" s="265"/>
      <c r="O4515" s="265"/>
      <c r="P4515" s="265"/>
      <c r="Q4515" s="265"/>
      <c r="BR4515" s="265"/>
      <c r="BS4515" s="265"/>
      <c r="BT4515" s="265"/>
      <c r="BU4515" s="265"/>
      <c r="BV4515" s="265"/>
    </row>
    <row r="4516" spans="12:74">
      <c r="L4516" s="265"/>
      <c r="M4516" s="265"/>
      <c r="N4516" s="265"/>
      <c r="O4516" s="265"/>
      <c r="P4516" s="265"/>
      <c r="Q4516" s="265"/>
      <c r="BR4516" s="265"/>
      <c r="BS4516" s="265"/>
      <c r="BT4516" s="265"/>
      <c r="BU4516" s="265"/>
      <c r="BV4516" s="265"/>
    </row>
    <row r="4517" spans="12:74">
      <c r="L4517" s="265"/>
      <c r="M4517" s="265"/>
      <c r="N4517" s="265"/>
      <c r="O4517" s="265"/>
      <c r="P4517" s="265"/>
      <c r="Q4517" s="265"/>
      <c r="BR4517" s="265"/>
      <c r="BS4517" s="265"/>
      <c r="BT4517" s="265"/>
      <c r="BU4517" s="265"/>
      <c r="BV4517" s="265"/>
    </row>
    <row r="4518" spans="12:74">
      <c r="L4518" s="265"/>
      <c r="M4518" s="265"/>
      <c r="N4518" s="265"/>
      <c r="O4518" s="265"/>
      <c r="P4518" s="265"/>
      <c r="Q4518" s="265"/>
      <c r="BR4518" s="265"/>
      <c r="BS4518" s="265"/>
      <c r="BT4518" s="265"/>
      <c r="BU4518" s="265"/>
      <c r="BV4518" s="265"/>
    </row>
    <row r="4519" spans="12:74">
      <c r="L4519" s="265"/>
      <c r="M4519" s="265"/>
      <c r="N4519" s="265"/>
      <c r="O4519" s="265"/>
      <c r="P4519" s="265"/>
      <c r="Q4519" s="265"/>
      <c r="BR4519" s="265"/>
      <c r="BS4519" s="265"/>
      <c r="BT4519" s="265"/>
      <c r="BU4519" s="265"/>
      <c r="BV4519" s="265"/>
    </row>
    <row r="4520" spans="12:74">
      <c r="L4520" s="265"/>
      <c r="M4520" s="265"/>
      <c r="N4520" s="265"/>
      <c r="O4520" s="265"/>
      <c r="P4520" s="265"/>
      <c r="Q4520" s="265"/>
      <c r="BR4520" s="265"/>
      <c r="BS4520" s="265"/>
      <c r="BT4520" s="265"/>
      <c r="BU4520" s="265"/>
      <c r="BV4520" s="265"/>
    </row>
    <row r="4521" spans="12:74">
      <c r="L4521" s="265"/>
      <c r="M4521" s="265"/>
      <c r="N4521" s="265"/>
      <c r="O4521" s="265"/>
      <c r="P4521" s="265"/>
      <c r="Q4521" s="265"/>
      <c r="BR4521" s="265"/>
      <c r="BS4521" s="265"/>
      <c r="BT4521" s="265"/>
      <c r="BU4521" s="265"/>
      <c r="BV4521" s="265"/>
    </row>
    <row r="4522" spans="12:74">
      <c r="L4522" s="265"/>
      <c r="M4522" s="265"/>
      <c r="N4522" s="265"/>
      <c r="O4522" s="265"/>
      <c r="P4522" s="265"/>
      <c r="Q4522" s="265"/>
      <c r="BR4522" s="265"/>
      <c r="BS4522" s="265"/>
      <c r="BT4522" s="265"/>
      <c r="BU4522" s="265"/>
      <c r="BV4522" s="265"/>
    </row>
    <row r="4523" spans="12:74">
      <c r="L4523" s="265"/>
      <c r="M4523" s="265"/>
      <c r="N4523" s="265"/>
      <c r="O4523" s="265"/>
      <c r="P4523" s="265"/>
      <c r="Q4523" s="265"/>
      <c r="BR4523" s="265"/>
      <c r="BS4523" s="265"/>
      <c r="BT4523" s="265"/>
      <c r="BU4523" s="265"/>
      <c r="BV4523" s="265"/>
    </row>
    <row r="4524" spans="12:74">
      <c r="L4524" s="265"/>
      <c r="M4524" s="265"/>
      <c r="N4524" s="265"/>
      <c r="O4524" s="265"/>
      <c r="P4524" s="265"/>
      <c r="Q4524" s="265"/>
      <c r="BR4524" s="265"/>
      <c r="BS4524" s="265"/>
      <c r="BT4524" s="265"/>
      <c r="BU4524" s="265"/>
      <c r="BV4524" s="265"/>
    </row>
    <row r="4525" spans="12:74">
      <c r="L4525" s="265"/>
      <c r="M4525" s="265"/>
      <c r="N4525" s="265"/>
      <c r="O4525" s="265"/>
      <c r="P4525" s="265"/>
      <c r="Q4525" s="265"/>
      <c r="BR4525" s="265"/>
      <c r="BS4525" s="265"/>
      <c r="BT4525" s="265"/>
      <c r="BU4525" s="265"/>
      <c r="BV4525" s="265"/>
    </row>
    <row r="4526" spans="12:74">
      <c r="L4526" s="265"/>
      <c r="M4526" s="265"/>
      <c r="N4526" s="265"/>
      <c r="O4526" s="265"/>
      <c r="P4526" s="265"/>
      <c r="Q4526" s="265"/>
      <c r="BR4526" s="265"/>
      <c r="BS4526" s="265"/>
      <c r="BT4526" s="265"/>
      <c r="BU4526" s="265"/>
      <c r="BV4526" s="265"/>
    </row>
    <row r="4527" spans="12:74">
      <c r="L4527" s="265"/>
      <c r="M4527" s="265"/>
      <c r="N4527" s="265"/>
      <c r="O4527" s="265"/>
      <c r="P4527" s="265"/>
      <c r="Q4527" s="265"/>
      <c r="BR4527" s="265"/>
      <c r="BS4527" s="265"/>
      <c r="BT4527" s="265"/>
      <c r="BU4527" s="265"/>
      <c r="BV4527" s="265"/>
    </row>
    <row r="4528" spans="12:74">
      <c r="L4528" s="265"/>
      <c r="M4528" s="265"/>
      <c r="N4528" s="265"/>
      <c r="O4528" s="265"/>
      <c r="P4528" s="265"/>
      <c r="Q4528" s="265"/>
      <c r="BR4528" s="265"/>
      <c r="BS4528" s="265"/>
      <c r="BT4528" s="265"/>
      <c r="BU4528" s="265"/>
      <c r="BV4528" s="265"/>
    </row>
    <row r="4529" spans="12:74">
      <c r="L4529" s="265"/>
      <c r="M4529" s="265"/>
      <c r="N4529" s="265"/>
      <c r="O4529" s="265"/>
      <c r="P4529" s="265"/>
      <c r="Q4529" s="265"/>
      <c r="BR4529" s="265"/>
      <c r="BS4529" s="265"/>
      <c r="BT4529" s="265"/>
      <c r="BU4529" s="265"/>
      <c r="BV4529" s="265"/>
    </row>
    <row r="4530" spans="12:74">
      <c r="L4530" s="265"/>
      <c r="M4530" s="265"/>
      <c r="N4530" s="265"/>
      <c r="O4530" s="265"/>
      <c r="P4530" s="265"/>
      <c r="Q4530" s="265"/>
      <c r="BR4530" s="265"/>
      <c r="BS4530" s="265"/>
      <c r="BT4530" s="265"/>
      <c r="BU4530" s="265"/>
      <c r="BV4530" s="265"/>
    </row>
    <row r="4531" spans="12:74">
      <c r="L4531" s="265"/>
      <c r="M4531" s="265"/>
      <c r="N4531" s="265"/>
      <c r="O4531" s="265"/>
      <c r="P4531" s="265"/>
      <c r="Q4531" s="265"/>
      <c r="BR4531" s="265"/>
      <c r="BS4531" s="265"/>
      <c r="BT4531" s="265"/>
      <c r="BU4531" s="265"/>
      <c r="BV4531" s="265"/>
    </row>
    <row r="4532" spans="12:74">
      <c r="L4532" s="265"/>
      <c r="M4532" s="265"/>
      <c r="N4532" s="265"/>
      <c r="O4532" s="265"/>
      <c r="P4532" s="265"/>
      <c r="Q4532" s="265"/>
      <c r="BR4532" s="265"/>
      <c r="BS4532" s="265"/>
      <c r="BT4532" s="265"/>
      <c r="BU4532" s="265"/>
      <c r="BV4532" s="265"/>
    </row>
    <row r="4533" spans="12:74">
      <c r="L4533" s="265"/>
      <c r="M4533" s="265"/>
      <c r="N4533" s="265"/>
      <c r="O4533" s="265"/>
      <c r="P4533" s="265"/>
      <c r="Q4533" s="265"/>
      <c r="BR4533" s="265"/>
      <c r="BS4533" s="265"/>
      <c r="BT4533" s="265"/>
      <c r="BU4533" s="265"/>
      <c r="BV4533" s="265"/>
    </row>
    <row r="4534" spans="12:74">
      <c r="L4534" s="265"/>
      <c r="M4534" s="265"/>
      <c r="N4534" s="265"/>
      <c r="O4534" s="265"/>
      <c r="P4534" s="265"/>
      <c r="Q4534" s="265"/>
      <c r="BR4534" s="265"/>
      <c r="BS4534" s="265"/>
      <c r="BT4534" s="265"/>
      <c r="BU4534" s="265"/>
      <c r="BV4534" s="265"/>
    </row>
    <row r="4535" spans="12:74">
      <c r="L4535" s="265"/>
      <c r="M4535" s="265"/>
      <c r="N4535" s="265"/>
      <c r="O4535" s="265"/>
      <c r="P4535" s="265"/>
      <c r="Q4535" s="265"/>
      <c r="BR4535" s="265"/>
      <c r="BS4535" s="265"/>
      <c r="BT4535" s="265"/>
      <c r="BU4535" s="265"/>
      <c r="BV4535" s="265"/>
    </row>
    <row r="4536" spans="12:74">
      <c r="L4536" s="265"/>
      <c r="M4536" s="265"/>
      <c r="N4536" s="265"/>
      <c r="O4536" s="265"/>
      <c r="P4536" s="265"/>
      <c r="Q4536" s="265"/>
      <c r="BR4536" s="265"/>
      <c r="BS4536" s="265"/>
      <c r="BT4536" s="265"/>
      <c r="BU4536" s="265"/>
      <c r="BV4536" s="265"/>
    </row>
    <row r="4537" spans="12:74">
      <c r="L4537" s="265"/>
      <c r="M4537" s="265"/>
      <c r="N4537" s="265"/>
      <c r="O4537" s="265"/>
      <c r="P4537" s="265"/>
      <c r="Q4537" s="265"/>
      <c r="BR4537" s="265"/>
      <c r="BS4537" s="265"/>
      <c r="BT4537" s="265"/>
      <c r="BU4537" s="265"/>
      <c r="BV4537" s="265"/>
    </row>
    <row r="4538" spans="12:74">
      <c r="L4538" s="265"/>
      <c r="M4538" s="265"/>
      <c r="N4538" s="265"/>
      <c r="O4538" s="265"/>
      <c r="P4538" s="265"/>
      <c r="Q4538" s="265"/>
      <c r="BR4538" s="265"/>
      <c r="BS4538" s="265"/>
      <c r="BT4538" s="265"/>
      <c r="BU4538" s="265"/>
      <c r="BV4538" s="265"/>
    </row>
    <row r="4539" spans="12:74">
      <c r="L4539" s="265"/>
      <c r="M4539" s="265"/>
      <c r="N4539" s="265"/>
      <c r="O4539" s="265"/>
      <c r="P4539" s="265"/>
      <c r="Q4539" s="265"/>
      <c r="BR4539" s="265"/>
      <c r="BS4539" s="265"/>
      <c r="BT4539" s="265"/>
      <c r="BU4539" s="265"/>
      <c r="BV4539" s="265"/>
    </row>
    <row r="4540" spans="12:74">
      <c r="L4540" s="265"/>
      <c r="M4540" s="265"/>
      <c r="N4540" s="265"/>
      <c r="O4540" s="265"/>
      <c r="P4540" s="265"/>
      <c r="Q4540" s="265"/>
      <c r="BR4540" s="265"/>
      <c r="BS4540" s="265"/>
      <c r="BT4540" s="265"/>
      <c r="BU4540" s="265"/>
      <c r="BV4540" s="265"/>
    </row>
    <row r="4541" spans="12:74">
      <c r="L4541" s="265"/>
      <c r="M4541" s="265"/>
      <c r="N4541" s="265"/>
      <c r="O4541" s="265"/>
      <c r="P4541" s="265"/>
      <c r="Q4541" s="265"/>
      <c r="BR4541" s="265"/>
      <c r="BS4541" s="265"/>
      <c r="BT4541" s="265"/>
      <c r="BU4541" s="265"/>
      <c r="BV4541" s="265"/>
    </row>
    <row r="4542" spans="12:74">
      <c r="L4542" s="265"/>
      <c r="M4542" s="265"/>
      <c r="N4542" s="265"/>
      <c r="O4542" s="265"/>
      <c r="P4542" s="265"/>
      <c r="Q4542" s="265"/>
      <c r="BR4542" s="265"/>
      <c r="BS4542" s="265"/>
      <c r="BT4542" s="265"/>
      <c r="BU4542" s="265"/>
      <c r="BV4542" s="265"/>
    </row>
    <row r="4543" spans="12:74">
      <c r="L4543" s="265"/>
      <c r="M4543" s="265"/>
      <c r="N4543" s="265"/>
      <c r="O4543" s="265"/>
      <c r="P4543" s="265"/>
      <c r="Q4543" s="265"/>
      <c r="BR4543" s="265"/>
      <c r="BS4543" s="265"/>
      <c r="BT4543" s="265"/>
      <c r="BU4543" s="265"/>
      <c r="BV4543" s="265"/>
    </row>
    <row r="4544" spans="12:74">
      <c r="L4544" s="265"/>
      <c r="M4544" s="265"/>
      <c r="N4544" s="265"/>
      <c r="O4544" s="265"/>
      <c r="P4544" s="265"/>
      <c r="Q4544" s="265"/>
      <c r="BR4544" s="265"/>
      <c r="BS4544" s="265"/>
      <c r="BT4544" s="265"/>
      <c r="BU4544" s="265"/>
      <c r="BV4544" s="265"/>
    </row>
    <row r="4545" spans="12:74">
      <c r="L4545" s="265"/>
      <c r="M4545" s="265"/>
      <c r="N4545" s="265"/>
      <c r="O4545" s="265"/>
      <c r="P4545" s="265"/>
      <c r="Q4545" s="265"/>
      <c r="BR4545" s="265"/>
      <c r="BS4545" s="265"/>
      <c r="BT4545" s="265"/>
      <c r="BU4545" s="265"/>
      <c r="BV4545" s="265"/>
    </row>
    <row r="4546" spans="12:74">
      <c r="L4546" s="265"/>
      <c r="M4546" s="265"/>
      <c r="N4546" s="265"/>
      <c r="O4546" s="265"/>
      <c r="P4546" s="265"/>
      <c r="Q4546" s="265"/>
      <c r="BR4546" s="265"/>
      <c r="BS4546" s="265"/>
      <c r="BT4546" s="265"/>
      <c r="BU4546" s="265"/>
      <c r="BV4546" s="265"/>
    </row>
    <row r="4547" spans="12:74">
      <c r="L4547" s="265"/>
      <c r="M4547" s="265"/>
      <c r="N4547" s="265"/>
      <c r="O4547" s="265"/>
      <c r="P4547" s="265"/>
      <c r="Q4547" s="265"/>
      <c r="BR4547" s="265"/>
      <c r="BS4547" s="265"/>
      <c r="BT4547" s="265"/>
      <c r="BU4547" s="265"/>
      <c r="BV4547" s="265"/>
    </row>
    <row r="4548" spans="12:74">
      <c r="L4548" s="265"/>
      <c r="M4548" s="265"/>
      <c r="N4548" s="265"/>
      <c r="O4548" s="265"/>
      <c r="P4548" s="265"/>
      <c r="Q4548" s="265"/>
      <c r="BR4548" s="265"/>
      <c r="BS4548" s="265"/>
      <c r="BT4548" s="265"/>
      <c r="BU4548" s="265"/>
      <c r="BV4548" s="265"/>
    </row>
    <row r="4549" spans="12:74">
      <c r="L4549" s="265"/>
      <c r="M4549" s="265"/>
      <c r="N4549" s="265"/>
      <c r="O4549" s="265"/>
      <c r="P4549" s="265"/>
      <c r="Q4549" s="265"/>
      <c r="BR4549" s="265"/>
      <c r="BS4549" s="265"/>
      <c r="BT4549" s="265"/>
      <c r="BU4549" s="265"/>
      <c r="BV4549" s="265"/>
    </row>
    <row r="4550" spans="12:74">
      <c r="L4550" s="265"/>
      <c r="M4550" s="265"/>
      <c r="N4550" s="265"/>
      <c r="O4550" s="265"/>
      <c r="P4550" s="265"/>
      <c r="Q4550" s="265"/>
      <c r="BR4550" s="265"/>
      <c r="BS4550" s="265"/>
      <c r="BT4550" s="265"/>
      <c r="BU4550" s="265"/>
      <c r="BV4550" s="265"/>
    </row>
    <row r="4551" spans="12:74">
      <c r="L4551" s="265"/>
      <c r="M4551" s="265"/>
      <c r="N4551" s="265"/>
      <c r="O4551" s="265"/>
      <c r="P4551" s="265"/>
      <c r="Q4551" s="265"/>
      <c r="BR4551" s="265"/>
      <c r="BS4551" s="265"/>
      <c r="BT4551" s="265"/>
      <c r="BU4551" s="265"/>
      <c r="BV4551" s="265"/>
    </row>
    <row r="4552" spans="12:74">
      <c r="L4552" s="265"/>
      <c r="M4552" s="265"/>
      <c r="N4552" s="265"/>
      <c r="O4552" s="265"/>
      <c r="P4552" s="265"/>
      <c r="Q4552" s="265"/>
      <c r="BR4552" s="265"/>
      <c r="BS4552" s="265"/>
      <c r="BT4552" s="265"/>
      <c r="BU4552" s="265"/>
      <c r="BV4552" s="265"/>
    </row>
    <row r="4553" spans="12:74">
      <c r="L4553" s="265"/>
      <c r="M4553" s="265"/>
      <c r="N4553" s="265"/>
      <c r="O4553" s="265"/>
      <c r="P4553" s="265"/>
      <c r="Q4553" s="265"/>
      <c r="BR4553" s="265"/>
      <c r="BS4553" s="265"/>
      <c r="BT4553" s="265"/>
      <c r="BU4553" s="265"/>
      <c r="BV4553" s="265"/>
    </row>
    <row r="4554" spans="12:74">
      <c r="L4554" s="265"/>
      <c r="M4554" s="265"/>
      <c r="N4554" s="265"/>
      <c r="O4554" s="265"/>
      <c r="P4554" s="265"/>
      <c r="Q4554" s="265"/>
      <c r="BR4554" s="265"/>
      <c r="BS4554" s="265"/>
      <c r="BT4554" s="265"/>
      <c r="BU4554" s="265"/>
      <c r="BV4554" s="265"/>
    </row>
    <row r="4555" spans="12:74">
      <c r="L4555" s="265"/>
      <c r="M4555" s="265"/>
      <c r="N4555" s="265"/>
      <c r="O4555" s="265"/>
      <c r="P4555" s="265"/>
      <c r="Q4555" s="265"/>
      <c r="BR4555" s="265"/>
      <c r="BS4555" s="265"/>
      <c r="BT4555" s="265"/>
      <c r="BU4555" s="265"/>
      <c r="BV4555" s="265"/>
    </row>
    <row r="4556" spans="12:74">
      <c r="L4556" s="265"/>
      <c r="M4556" s="265"/>
      <c r="N4556" s="265"/>
      <c r="O4556" s="265"/>
      <c r="P4556" s="265"/>
      <c r="Q4556" s="265"/>
      <c r="BR4556" s="265"/>
      <c r="BS4556" s="265"/>
      <c r="BT4556" s="265"/>
      <c r="BU4556" s="265"/>
      <c r="BV4556" s="265"/>
    </row>
    <row r="4557" spans="12:74">
      <c r="L4557" s="265"/>
      <c r="M4557" s="265"/>
      <c r="N4557" s="265"/>
      <c r="O4557" s="265"/>
      <c r="P4557" s="265"/>
      <c r="Q4557" s="265"/>
      <c r="BR4557" s="265"/>
      <c r="BS4557" s="265"/>
      <c r="BT4557" s="265"/>
      <c r="BU4557" s="265"/>
      <c r="BV4557" s="265"/>
    </row>
    <row r="4558" spans="12:74">
      <c r="L4558" s="265"/>
      <c r="M4558" s="265"/>
      <c r="N4558" s="265"/>
      <c r="O4558" s="265"/>
      <c r="P4558" s="265"/>
      <c r="Q4558" s="265"/>
      <c r="BR4558" s="265"/>
      <c r="BS4558" s="265"/>
      <c r="BT4558" s="265"/>
      <c r="BU4558" s="265"/>
      <c r="BV4558" s="265"/>
    </row>
    <row r="4559" spans="12:74">
      <c r="L4559" s="265"/>
      <c r="M4559" s="265"/>
      <c r="N4559" s="265"/>
      <c r="O4559" s="265"/>
      <c r="P4559" s="265"/>
      <c r="Q4559" s="265"/>
      <c r="BR4559" s="265"/>
      <c r="BS4559" s="265"/>
      <c r="BT4559" s="265"/>
      <c r="BU4559" s="265"/>
      <c r="BV4559" s="265"/>
    </row>
    <row r="4560" spans="12:74">
      <c r="L4560" s="265"/>
      <c r="M4560" s="265"/>
      <c r="N4560" s="265"/>
      <c r="O4560" s="265"/>
      <c r="P4560" s="265"/>
      <c r="Q4560" s="265"/>
      <c r="BR4560" s="265"/>
      <c r="BS4560" s="265"/>
      <c r="BT4560" s="265"/>
      <c r="BU4560" s="265"/>
      <c r="BV4560" s="265"/>
    </row>
    <row r="4561" spans="12:74">
      <c r="L4561" s="265"/>
      <c r="M4561" s="265"/>
      <c r="N4561" s="265"/>
      <c r="O4561" s="265"/>
      <c r="P4561" s="265"/>
      <c r="Q4561" s="265"/>
      <c r="BR4561" s="265"/>
      <c r="BS4561" s="265"/>
      <c r="BT4561" s="265"/>
      <c r="BU4561" s="265"/>
      <c r="BV4561" s="265"/>
    </row>
    <row r="4562" spans="12:74">
      <c r="L4562" s="265"/>
      <c r="M4562" s="265"/>
      <c r="N4562" s="265"/>
      <c r="O4562" s="265"/>
      <c r="P4562" s="265"/>
      <c r="Q4562" s="265"/>
      <c r="BR4562" s="265"/>
      <c r="BS4562" s="265"/>
      <c r="BT4562" s="265"/>
      <c r="BU4562" s="265"/>
      <c r="BV4562" s="265"/>
    </row>
    <row r="4563" spans="12:74">
      <c r="L4563" s="265"/>
      <c r="M4563" s="265"/>
      <c r="N4563" s="265"/>
      <c r="O4563" s="265"/>
      <c r="P4563" s="265"/>
      <c r="Q4563" s="265"/>
      <c r="BR4563" s="265"/>
      <c r="BS4563" s="265"/>
      <c r="BT4563" s="265"/>
      <c r="BU4563" s="265"/>
      <c r="BV4563" s="265"/>
    </row>
    <row r="4564" spans="12:74">
      <c r="L4564" s="265"/>
      <c r="M4564" s="265"/>
      <c r="N4564" s="265"/>
      <c r="O4564" s="265"/>
      <c r="P4564" s="265"/>
      <c r="Q4564" s="265"/>
      <c r="BR4564" s="265"/>
      <c r="BS4564" s="265"/>
      <c r="BT4564" s="265"/>
      <c r="BU4564" s="265"/>
      <c r="BV4564" s="265"/>
    </row>
    <row r="4565" spans="12:74">
      <c r="L4565" s="265"/>
      <c r="M4565" s="265"/>
      <c r="N4565" s="265"/>
      <c r="O4565" s="265"/>
      <c r="P4565" s="265"/>
      <c r="Q4565" s="265"/>
      <c r="BR4565" s="265"/>
      <c r="BS4565" s="265"/>
      <c r="BT4565" s="265"/>
      <c r="BU4565" s="265"/>
      <c r="BV4565" s="265"/>
    </row>
    <row r="4566" spans="12:74">
      <c r="L4566" s="265"/>
      <c r="M4566" s="265"/>
      <c r="N4566" s="265"/>
      <c r="O4566" s="265"/>
      <c r="P4566" s="265"/>
      <c r="Q4566" s="265"/>
      <c r="BR4566" s="265"/>
      <c r="BS4566" s="265"/>
      <c r="BT4566" s="265"/>
      <c r="BU4566" s="265"/>
      <c r="BV4566" s="265"/>
    </row>
    <row r="4567" spans="12:74">
      <c r="L4567" s="265"/>
      <c r="M4567" s="265"/>
      <c r="N4567" s="265"/>
      <c r="O4567" s="265"/>
      <c r="P4567" s="265"/>
      <c r="Q4567" s="265"/>
      <c r="BR4567" s="265"/>
      <c r="BS4567" s="265"/>
      <c r="BT4567" s="265"/>
      <c r="BU4567" s="265"/>
      <c r="BV4567" s="265"/>
    </row>
    <row r="4568" spans="12:74">
      <c r="L4568" s="265"/>
      <c r="M4568" s="265"/>
      <c r="N4568" s="265"/>
      <c r="O4568" s="265"/>
      <c r="P4568" s="265"/>
      <c r="Q4568" s="265"/>
      <c r="BR4568" s="265"/>
      <c r="BS4568" s="265"/>
      <c r="BT4568" s="265"/>
      <c r="BU4568" s="265"/>
      <c r="BV4568" s="265"/>
    </row>
    <row r="4569" spans="12:74">
      <c r="L4569" s="265"/>
      <c r="M4569" s="265"/>
      <c r="N4569" s="265"/>
      <c r="O4569" s="265"/>
      <c r="P4569" s="265"/>
      <c r="Q4569" s="265"/>
      <c r="BR4569" s="265"/>
      <c r="BS4569" s="265"/>
      <c r="BT4569" s="265"/>
      <c r="BU4569" s="265"/>
      <c r="BV4569" s="265"/>
    </row>
    <row r="4570" spans="12:74">
      <c r="L4570" s="265"/>
      <c r="M4570" s="265"/>
      <c r="N4570" s="265"/>
      <c r="O4570" s="265"/>
      <c r="P4570" s="265"/>
      <c r="Q4570" s="265"/>
      <c r="BR4570" s="265"/>
      <c r="BS4570" s="265"/>
      <c r="BT4570" s="265"/>
      <c r="BU4570" s="265"/>
      <c r="BV4570" s="265"/>
    </row>
    <row r="4571" spans="12:74">
      <c r="L4571" s="265"/>
      <c r="M4571" s="265"/>
      <c r="N4571" s="265"/>
      <c r="O4571" s="265"/>
      <c r="P4571" s="265"/>
      <c r="Q4571" s="265"/>
      <c r="BR4571" s="265"/>
      <c r="BS4571" s="265"/>
      <c r="BT4571" s="265"/>
      <c r="BU4571" s="265"/>
      <c r="BV4571" s="265"/>
    </row>
    <row r="4572" spans="12:74">
      <c r="L4572" s="265"/>
      <c r="M4572" s="265"/>
      <c r="N4572" s="265"/>
      <c r="O4572" s="265"/>
      <c r="P4572" s="265"/>
      <c r="Q4572" s="265"/>
      <c r="BR4572" s="265"/>
      <c r="BS4572" s="265"/>
      <c r="BT4572" s="265"/>
      <c r="BU4572" s="265"/>
      <c r="BV4572" s="265"/>
    </row>
    <row r="4573" spans="12:74">
      <c r="L4573" s="265"/>
      <c r="M4573" s="265"/>
      <c r="N4573" s="265"/>
      <c r="O4573" s="265"/>
      <c r="P4573" s="265"/>
      <c r="Q4573" s="265"/>
      <c r="BR4573" s="265"/>
      <c r="BS4573" s="265"/>
      <c r="BT4573" s="265"/>
      <c r="BU4573" s="265"/>
      <c r="BV4573" s="265"/>
    </row>
    <row r="4574" spans="12:74">
      <c r="L4574" s="265"/>
      <c r="M4574" s="265"/>
      <c r="N4574" s="265"/>
      <c r="O4574" s="265"/>
      <c r="P4574" s="265"/>
      <c r="Q4574" s="265"/>
      <c r="BR4574" s="265"/>
      <c r="BS4574" s="265"/>
      <c r="BT4574" s="265"/>
      <c r="BU4574" s="265"/>
      <c r="BV4574" s="265"/>
    </row>
    <row r="4575" spans="12:74">
      <c r="L4575" s="265"/>
      <c r="M4575" s="265"/>
      <c r="N4575" s="265"/>
      <c r="O4575" s="265"/>
      <c r="P4575" s="265"/>
      <c r="Q4575" s="265"/>
      <c r="BR4575" s="265"/>
      <c r="BS4575" s="265"/>
      <c r="BT4575" s="265"/>
      <c r="BU4575" s="265"/>
      <c r="BV4575" s="265"/>
    </row>
    <row r="4576" spans="12:74">
      <c r="L4576" s="265"/>
      <c r="M4576" s="265"/>
      <c r="N4576" s="265"/>
      <c r="O4576" s="265"/>
      <c r="P4576" s="265"/>
      <c r="Q4576" s="265"/>
      <c r="BR4576" s="265"/>
      <c r="BS4576" s="265"/>
      <c r="BT4576" s="265"/>
      <c r="BU4576" s="265"/>
      <c r="BV4576" s="265"/>
    </row>
    <row r="4577" spans="12:74">
      <c r="L4577" s="265"/>
      <c r="M4577" s="265"/>
      <c r="N4577" s="265"/>
      <c r="O4577" s="265"/>
      <c r="P4577" s="265"/>
      <c r="Q4577" s="265"/>
      <c r="BR4577" s="265"/>
      <c r="BS4577" s="265"/>
      <c r="BT4577" s="265"/>
      <c r="BU4577" s="265"/>
      <c r="BV4577" s="265"/>
    </row>
    <row r="4578" spans="12:74">
      <c r="L4578" s="265"/>
      <c r="M4578" s="265"/>
      <c r="N4578" s="265"/>
      <c r="O4578" s="265"/>
      <c r="P4578" s="265"/>
      <c r="Q4578" s="265"/>
      <c r="BR4578" s="265"/>
      <c r="BS4578" s="265"/>
      <c r="BT4578" s="265"/>
      <c r="BU4578" s="265"/>
      <c r="BV4578" s="265"/>
    </row>
    <row r="4579" spans="12:74">
      <c r="L4579" s="265"/>
      <c r="M4579" s="265"/>
      <c r="N4579" s="265"/>
      <c r="O4579" s="265"/>
      <c r="P4579" s="265"/>
      <c r="Q4579" s="265"/>
      <c r="BR4579" s="265"/>
      <c r="BS4579" s="265"/>
      <c r="BT4579" s="265"/>
      <c r="BU4579" s="265"/>
      <c r="BV4579" s="265"/>
    </row>
    <row r="4580" spans="12:74">
      <c r="L4580" s="265"/>
      <c r="M4580" s="265"/>
      <c r="N4580" s="265"/>
      <c r="O4580" s="265"/>
      <c r="P4580" s="265"/>
      <c r="Q4580" s="265"/>
      <c r="BR4580" s="265"/>
      <c r="BS4580" s="265"/>
      <c r="BT4580" s="265"/>
      <c r="BU4580" s="265"/>
      <c r="BV4580" s="265"/>
    </row>
    <row r="4581" spans="12:74">
      <c r="L4581" s="265"/>
      <c r="M4581" s="265"/>
      <c r="N4581" s="265"/>
      <c r="O4581" s="265"/>
      <c r="P4581" s="265"/>
      <c r="Q4581" s="265"/>
      <c r="BR4581" s="265"/>
      <c r="BS4581" s="265"/>
      <c r="BT4581" s="265"/>
      <c r="BU4581" s="265"/>
      <c r="BV4581" s="265"/>
    </row>
    <row r="4582" spans="12:74">
      <c r="L4582" s="265"/>
      <c r="M4582" s="265"/>
      <c r="N4582" s="265"/>
      <c r="O4582" s="265"/>
      <c r="P4582" s="265"/>
      <c r="Q4582" s="265"/>
      <c r="BR4582" s="265"/>
      <c r="BS4582" s="265"/>
      <c r="BT4582" s="265"/>
      <c r="BU4582" s="265"/>
      <c r="BV4582" s="265"/>
    </row>
    <row r="4583" spans="12:74">
      <c r="L4583" s="265"/>
      <c r="M4583" s="265"/>
      <c r="N4583" s="265"/>
      <c r="O4583" s="265"/>
      <c r="P4583" s="265"/>
      <c r="Q4583" s="265"/>
      <c r="BR4583" s="265"/>
      <c r="BS4583" s="265"/>
      <c r="BT4583" s="265"/>
      <c r="BU4583" s="265"/>
      <c r="BV4583" s="265"/>
    </row>
    <row r="4584" spans="12:74">
      <c r="L4584" s="265"/>
      <c r="M4584" s="265"/>
      <c r="N4584" s="265"/>
      <c r="O4584" s="265"/>
      <c r="P4584" s="265"/>
      <c r="Q4584" s="265"/>
      <c r="BR4584" s="265"/>
      <c r="BS4584" s="265"/>
      <c r="BT4584" s="265"/>
      <c r="BU4584" s="265"/>
      <c r="BV4584" s="265"/>
    </row>
    <row r="4585" spans="12:74">
      <c r="L4585" s="265"/>
      <c r="M4585" s="265"/>
      <c r="N4585" s="265"/>
      <c r="O4585" s="265"/>
      <c r="P4585" s="265"/>
      <c r="Q4585" s="265"/>
      <c r="BR4585" s="265"/>
      <c r="BS4585" s="265"/>
      <c r="BT4585" s="265"/>
      <c r="BU4585" s="265"/>
      <c r="BV4585" s="265"/>
    </row>
    <row r="4586" spans="12:74">
      <c r="L4586" s="265"/>
      <c r="M4586" s="265"/>
      <c r="N4586" s="265"/>
      <c r="O4586" s="265"/>
      <c r="P4586" s="265"/>
      <c r="Q4586" s="265"/>
      <c r="BR4586" s="265"/>
      <c r="BS4586" s="265"/>
      <c r="BT4586" s="265"/>
      <c r="BU4586" s="265"/>
      <c r="BV4586" s="265"/>
    </row>
    <row r="4587" spans="12:74">
      <c r="L4587" s="265"/>
      <c r="M4587" s="265"/>
      <c r="N4587" s="265"/>
      <c r="O4587" s="265"/>
      <c r="P4587" s="265"/>
      <c r="Q4587" s="265"/>
      <c r="BR4587" s="265"/>
      <c r="BS4587" s="265"/>
      <c r="BT4587" s="265"/>
      <c r="BU4587" s="265"/>
      <c r="BV4587" s="265"/>
    </row>
    <row r="4588" spans="12:74">
      <c r="L4588" s="265"/>
      <c r="M4588" s="265"/>
      <c r="N4588" s="265"/>
      <c r="O4588" s="265"/>
      <c r="P4588" s="265"/>
      <c r="Q4588" s="265"/>
      <c r="BR4588" s="265"/>
      <c r="BS4588" s="265"/>
      <c r="BT4588" s="265"/>
      <c r="BU4588" s="265"/>
      <c r="BV4588" s="265"/>
    </row>
    <row r="4589" spans="12:74">
      <c r="L4589" s="265"/>
      <c r="M4589" s="265"/>
      <c r="N4589" s="265"/>
      <c r="O4589" s="265"/>
      <c r="P4589" s="265"/>
      <c r="Q4589" s="265"/>
      <c r="BR4589" s="265"/>
      <c r="BS4589" s="265"/>
      <c r="BT4589" s="265"/>
      <c r="BU4589" s="265"/>
      <c r="BV4589" s="265"/>
    </row>
    <row r="4590" spans="12:74">
      <c r="L4590" s="265"/>
      <c r="M4590" s="265"/>
      <c r="N4590" s="265"/>
      <c r="O4590" s="265"/>
      <c r="P4590" s="265"/>
      <c r="Q4590" s="265"/>
      <c r="BR4590" s="265"/>
      <c r="BS4590" s="265"/>
      <c r="BT4590" s="265"/>
      <c r="BU4590" s="265"/>
      <c r="BV4590" s="265"/>
    </row>
    <row r="4591" spans="12:74">
      <c r="L4591" s="265"/>
      <c r="M4591" s="265"/>
      <c r="N4591" s="265"/>
      <c r="O4591" s="265"/>
      <c r="P4591" s="265"/>
      <c r="Q4591" s="265"/>
      <c r="BR4591" s="265"/>
      <c r="BS4591" s="265"/>
      <c r="BT4591" s="265"/>
      <c r="BU4591" s="265"/>
      <c r="BV4591" s="265"/>
    </row>
    <row r="4592" spans="12:74">
      <c r="L4592" s="265"/>
      <c r="M4592" s="265"/>
      <c r="N4592" s="265"/>
      <c r="O4592" s="265"/>
      <c r="P4592" s="265"/>
      <c r="Q4592" s="265"/>
      <c r="BR4592" s="265"/>
      <c r="BS4592" s="265"/>
      <c r="BT4592" s="265"/>
      <c r="BU4592" s="265"/>
      <c r="BV4592" s="265"/>
    </row>
    <row r="4593" spans="12:74">
      <c r="L4593" s="265"/>
      <c r="M4593" s="265"/>
      <c r="N4593" s="265"/>
      <c r="O4593" s="265"/>
      <c r="P4593" s="265"/>
      <c r="Q4593" s="265"/>
      <c r="BR4593" s="265"/>
      <c r="BS4593" s="265"/>
      <c r="BT4593" s="265"/>
      <c r="BU4593" s="265"/>
      <c r="BV4593" s="265"/>
    </row>
    <row r="4594" spans="12:74">
      <c r="L4594" s="265"/>
      <c r="M4594" s="265"/>
      <c r="N4594" s="265"/>
      <c r="O4594" s="265"/>
      <c r="P4594" s="265"/>
      <c r="Q4594" s="265"/>
      <c r="BR4594" s="265"/>
      <c r="BS4594" s="265"/>
      <c r="BT4594" s="265"/>
      <c r="BU4594" s="265"/>
      <c r="BV4594" s="265"/>
    </row>
    <row r="4595" spans="12:74">
      <c r="L4595" s="265"/>
      <c r="M4595" s="265"/>
      <c r="N4595" s="265"/>
      <c r="O4595" s="265"/>
      <c r="P4595" s="265"/>
      <c r="Q4595" s="265"/>
      <c r="BR4595" s="265"/>
      <c r="BS4595" s="265"/>
      <c r="BT4595" s="265"/>
      <c r="BU4595" s="265"/>
      <c r="BV4595" s="265"/>
    </row>
    <row r="4596" spans="12:74">
      <c r="L4596" s="265"/>
      <c r="M4596" s="265"/>
      <c r="N4596" s="265"/>
      <c r="O4596" s="265"/>
      <c r="P4596" s="265"/>
      <c r="Q4596" s="265"/>
      <c r="BR4596" s="265"/>
      <c r="BS4596" s="265"/>
      <c r="BT4596" s="265"/>
      <c r="BU4596" s="265"/>
      <c r="BV4596" s="265"/>
    </row>
    <row r="4597" spans="12:74">
      <c r="L4597" s="265"/>
      <c r="M4597" s="265"/>
      <c r="N4597" s="265"/>
      <c r="O4597" s="265"/>
      <c r="P4597" s="265"/>
      <c r="Q4597" s="265"/>
      <c r="BR4597" s="265"/>
      <c r="BS4597" s="265"/>
      <c r="BT4597" s="265"/>
      <c r="BU4597" s="265"/>
      <c r="BV4597" s="265"/>
    </row>
    <row r="4598" spans="12:74">
      <c r="L4598" s="265"/>
      <c r="M4598" s="265"/>
      <c r="N4598" s="265"/>
      <c r="O4598" s="265"/>
      <c r="P4598" s="265"/>
      <c r="Q4598" s="265"/>
      <c r="BR4598" s="265"/>
      <c r="BS4598" s="265"/>
      <c r="BT4598" s="265"/>
      <c r="BU4598" s="265"/>
      <c r="BV4598" s="265"/>
    </row>
    <row r="4599" spans="12:74">
      <c r="L4599" s="265"/>
      <c r="M4599" s="265"/>
      <c r="N4599" s="265"/>
      <c r="O4599" s="265"/>
      <c r="P4599" s="265"/>
      <c r="Q4599" s="265"/>
      <c r="BR4599" s="265"/>
      <c r="BS4599" s="265"/>
      <c r="BT4599" s="265"/>
      <c r="BU4599" s="265"/>
      <c r="BV4599" s="265"/>
    </row>
    <row r="4600" spans="12:74">
      <c r="L4600" s="265"/>
      <c r="M4600" s="265"/>
      <c r="N4600" s="265"/>
      <c r="O4600" s="265"/>
      <c r="P4600" s="265"/>
      <c r="Q4600" s="265"/>
      <c r="BR4600" s="265"/>
      <c r="BS4600" s="265"/>
      <c r="BT4600" s="265"/>
      <c r="BU4600" s="265"/>
      <c r="BV4600" s="265"/>
    </row>
    <row r="4601" spans="12:74">
      <c r="L4601" s="265"/>
      <c r="M4601" s="265"/>
      <c r="N4601" s="265"/>
      <c r="O4601" s="265"/>
      <c r="P4601" s="265"/>
      <c r="Q4601" s="265"/>
      <c r="BR4601" s="265"/>
      <c r="BS4601" s="265"/>
      <c r="BT4601" s="265"/>
      <c r="BU4601" s="265"/>
      <c r="BV4601" s="265"/>
    </row>
    <row r="4602" spans="12:74">
      <c r="L4602" s="265"/>
      <c r="M4602" s="265"/>
      <c r="N4602" s="265"/>
      <c r="O4602" s="265"/>
      <c r="P4602" s="265"/>
      <c r="Q4602" s="265"/>
      <c r="BR4602" s="265"/>
      <c r="BS4602" s="265"/>
      <c r="BT4602" s="265"/>
      <c r="BU4602" s="265"/>
      <c r="BV4602" s="265"/>
    </row>
    <row r="4603" spans="12:74">
      <c r="L4603" s="265"/>
      <c r="M4603" s="265"/>
      <c r="N4603" s="265"/>
      <c r="O4603" s="265"/>
      <c r="P4603" s="265"/>
      <c r="Q4603" s="265"/>
      <c r="BR4603" s="265"/>
      <c r="BS4603" s="265"/>
      <c r="BT4603" s="265"/>
      <c r="BU4603" s="265"/>
      <c r="BV4603" s="265"/>
    </row>
    <row r="4604" spans="12:74">
      <c r="L4604" s="265"/>
      <c r="M4604" s="265"/>
      <c r="N4604" s="265"/>
      <c r="O4604" s="265"/>
      <c r="P4604" s="265"/>
      <c r="Q4604" s="265"/>
      <c r="BR4604" s="265"/>
      <c r="BS4604" s="265"/>
      <c r="BT4604" s="265"/>
      <c r="BU4604" s="265"/>
      <c r="BV4604" s="265"/>
    </row>
    <row r="4605" spans="12:74">
      <c r="L4605" s="265"/>
      <c r="M4605" s="265"/>
      <c r="N4605" s="265"/>
      <c r="O4605" s="265"/>
      <c r="P4605" s="265"/>
      <c r="Q4605" s="265"/>
      <c r="BR4605" s="265"/>
      <c r="BS4605" s="265"/>
      <c r="BT4605" s="265"/>
      <c r="BU4605" s="265"/>
      <c r="BV4605" s="265"/>
    </row>
    <row r="4606" spans="12:74">
      <c r="L4606" s="265"/>
      <c r="M4606" s="265"/>
      <c r="N4606" s="265"/>
      <c r="O4606" s="265"/>
      <c r="P4606" s="265"/>
      <c r="Q4606" s="265"/>
      <c r="BR4606" s="265"/>
      <c r="BS4606" s="265"/>
      <c r="BT4606" s="265"/>
      <c r="BU4606" s="265"/>
      <c r="BV4606" s="265"/>
    </row>
    <row r="4607" spans="12:74">
      <c r="L4607" s="265"/>
      <c r="M4607" s="265"/>
      <c r="N4607" s="265"/>
      <c r="O4607" s="265"/>
      <c r="P4607" s="265"/>
      <c r="Q4607" s="265"/>
      <c r="BR4607" s="265"/>
      <c r="BS4607" s="265"/>
      <c r="BT4607" s="265"/>
      <c r="BU4607" s="265"/>
      <c r="BV4607" s="265"/>
    </row>
    <row r="4608" spans="12:74">
      <c r="L4608" s="265"/>
      <c r="M4608" s="265"/>
      <c r="N4608" s="265"/>
      <c r="O4608" s="265"/>
      <c r="P4608" s="265"/>
      <c r="Q4608" s="265"/>
      <c r="BR4608" s="265"/>
      <c r="BS4608" s="265"/>
      <c r="BT4608" s="265"/>
      <c r="BU4608" s="265"/>
      <c r="BV4608" s="265"/>
    </row>
    <row r="4609" spans="12:74">
      <c r="L4609" s="265"/>
      <c r="M4609" s="265"/>
      <c r="N4609" s="265"/>
      <c r="O4609" s="265"/>
      <c r="P4609" s="265"/>
      <c r="Q4609" s="265"/>
      <c r="BR4609" s="265"/>
      <c r="BS4609" s="265"/>
      <c r="BT4609" s="265"/>
      <c r="BU4609" s="265"/>
      <c r="BV4609" s="265"/>
    </row>
    <row r="4610" spans="12:74">
      <c r="L4610" s="265"/>
      <c r="M4610" s="265"/>
      <c r="N4610" s="265"/>
      <c r="O4610" s="265"/>
      <c r="P4610" s="265"/>
      <c r="Q4610" s="265"/>
      <c r="BR4610" s="265"/>
      <c r="BS4610" s="265"/>
      <c r="BT4610" s="265"/>
      <c r="BU4610" s="265"/>
      <c r="BV4610" s="265"/>
    </row>
    <row r="4611" spans="12:74">
      <c r="L4611" s="265"/>
      <c r="M4611" s="265"/>
      <c r="N4611" s="265"/>
      <c r="O4611" s="265"/>
      <c r="P4611" s="265"/>
      <c r="Q4611" s="265"/>
      <c r="BR4611" s="265"/>
      <c r="BS4611" s="265"/>
      <c r="BT4611" s="265"/>
      <c r="BU4611" s="265"/>
      <c r="BV4611" s="265"/>
    </row>
    <row r="4612" spans="12:74">
      <c r="L4612" s="265"/>
      <c r="M4612" s="265"/>
      <c r="N4612" s="265"/>
      <c r="O4612" s="265"/>
      <c r="P4612" s="265"/>
      <c r="Q4612" s="265"/>
      <c r="BR4612" s="265"/>
      <c r="BS4612" s="265"/>
      <c r="BT4612" s="265"/>
      <c r="BU4612" s="265"/>
      <c r="BV4612" s="265"/>
    </row>
    <row r="4613" spans="12:74">
      <c r="L4613" s="265"/>
      <c r="M4613" s="265"/>
      <c r="N4613" s="265"/>
      <c r="O4613" s="265"/>
      <c r="P4613" s="265"/>
      <c r="Q4613" s="265"/>
      <c r="BR4613" s="265"/>
      <c r="BS4613" s="265"/>
      <c r="BT4613" s="265"/>
      <c r="BU4613" s="265"/>
      <c r="BV4613" s="265"/>
    </row>
    <row r="4614" spans="12:74">
      <c r="L4614" s="265"/>
      <c r="M4614" s="265"/>
      <c r="N4614" s="265"/>
      <c r="O4614" s="265"/>
      <c r="P4614" s="265"/>
      <c r="Q4614" s="265"/>
      <c r="BR4614" s="265"/>
      <c r="BS4614" s="265"/>
      <c r="BT4614" s="265"/>
      <c r="BU4614" s="265"/>
      <c r="BV4614" s="265"/>
    </row>
    <row r="4615" spans="12:74">
      <c r="L4615" s="265"/>
      <c r="M4615" s="265"/>
      <c r="N4615" s="265"/>
      <c r="O4615" s="265"/>
      <c r="P4615" s="265"/>
      <c r="Q4615" s="265"/>
      <c r="BR4615" s="265"/>
      <c r="BS4615" s="265"/>
      <c r="BT4615" s="265"/>
      <c r="BU4615" s="265"/>
      <c r="BV4615" s="265"/>
    </row>
    <row r="4616" spans="12:74">
      <c r="L4616" s="265"/>
      <c r="M4616" s="265"/>
      <c r="N4616" s="265"/>
      <c r="O4616" s="265"/>
      <c r="P4616" s="265"/>
      <c r="Q4616" s="265"/>
      <c r="BR4616" s="265"/>
      <c r="BS4616" s="265"/>
      <c r="BT4616" s="265"/>
      <c r="BU4616" s="265"/>
      <c r="BV4616" s="265"/>
    </row>
    <row r="4617" spans="12:74">
      <c r="L4617" s="265"/>
      <c r="M4617" s="265"/>
      <c r="N4617" s="265"/>
      <c r="O4617" s="265"/>
      <c r="P4617" s="265"/>
      <c r="Q4617" s="265"/>
      <c r="BR4617" s="265"/>
      <c r="BS4617" s="265"/>
      <c r="BT4617" s="265"/>
      <c r="BU4617" s="265"/>
      <c r="BV4617" s="265"/>
    </row>
    <row r="4618" spans="12:74">
      <c r="L4618" s="265"/>
      <c r="M4618" s="265"/>
      <c r="N4618" s="265"/>
      <c r="O4618" s="265"/>
      <c r="P4618" s="265"/>
      <c r="Q4618" s="265"/>
      <c r="BR4618" s="265"/>
      <c r="BS4618" s="265"/>
      <c r="BT4618" s="265"/>
      <c r="BU4618" s="265"/>
      <c r="BV4618" s="265"/>
    </row>
    <row r="4619" spans="12:74">
      <c r="L4619" s="265"/>
      <c r="M4619" s="265"/>
      <c r="N4619" s="265"/>
      <c r="O4619" s="265"/>
      <c r="P4619" s="265"/>
      <c r="Q4619" s="265"/>
      <c r="BR4619" s="265"/>
      <c r="BS4619" s="265"/>
      <c r="BT4619" s="265"/>
      <c r="BU4619" s="265"/>
      <c r="BV4619" s="265"/>
    </row>
    <row r="4620" spans="12:74">
      <c r="L4620" s="265"/>
      <c r="M4620" s="265"/>
      <c r="N4620" s="265"/>
      <c r="O4620" s="265"/>
      <c r="P4620" s="265"/>
      <c r="Q4620" s="265"/>
      <c r="BR4620" s="265"/>
      <c r="BS4620" s="265"/>
      <c r="BT4620" s="265"/>
      <c r="BU4620" s="265"/>
      <c r="BV4620" s="265"/>
    </row>
    <row r="4621" spans="12:74">
      <c r="L4621" s="265"/>
      <c r="M4621" s="265"/>
      <c r="N4621" s="265"/>
      <c r="O4621" s="265"/>
      <c r="P4621" s="265"/>
      <c r="Q4621" s="265"/>
      <c r="BR4621" s="265"/>
      <c r="BS4621" s="265"/>
      <c r="BT4621" s="265"/>
      <c r="BU4621" s="265"/>
      <c r="BV4621" s="265"/>
    </row>
    <row r="4622" spans="12:74">
      <c r="L4622" s="265"/>
      <c r="M4622" s="265"/>
      <c r="N4622" s="265"/>
      <c r="O4622" s="265"/>
      <c r="P4622" s="265"/>
      <c r="Q4622" s="265"/>
      <c r="BR4622" s="265"/>
      <c r="BS4622" s="265"/>
      <c r="BT4622" s="265"/>
      <c r="BU4622" s="265"/>
      <c r="BV4622" s="265"/>
    </row>
    <row r="4623" spans="12:74">
      <c r="L4623" s="265"/>
      <c r="M4623" s="265"/>
      <c r="N4623" s="265"/>
      <c r="O4623" s="265"/>
      <c r="P4623" s="265"/>
      <c r="Q4623" s="265"/>
      <c r="BR4623" s="265"/>
      <c r="BS4623" s="265"/>
      <c r="BT4623" s="265"/>
      <c r="BU4623" s="265"/>
      <c r="BV4623" s="265"/>
    </row>
    <row r="4624" spans="12:74">
      <c r="L4624" s="265"/>
      <c r="M4624" s="265"/>
      <c r="N4624" s="265"/>
      <c r="O4624" s="265"/>
      <c r="P4624" s="265"/>
      <c r="Q4624" s="265"/>
      <c r="BR4624" s="265"/>
      <c r="BS4624" s="265"/>
      <c r="BT4624" s="265"/>
      <c r="BU4624" s="265"/>
      <c r="BV4624" s="265"/>
    </row>
    <row r="4625" spans="12:74">
      <c r="L4625" s="265"/>
      <c r="M4625" s="265"/>
      <c r="N4625" s="265"/>
      <c r="O4625" s="265"/>
      <c r="P4625" s="265"/>
      <c r="Q4625" s="265"/>
      <c r="BR4625" s="265"/>
      <c r="BS4625" s="265"/>
      <c r="BT4625" s="265"/>
      <c r="BU4625" s="265"/>
      <c r="BV4625" s="265"/>
    </row>
    <row r="4626" spans="12:74">
      <c r="L4626" s="265"/>
      <c r="M4626" s="265"/>
      <c r="N4626" s="265"/>
      <c r="O4626" s="265"/>
      <c r="P4626" s="265"/>
      <c r="Q4626" s="265"/>
      <c r="BR4626" s="265"/>
      <c r="BS4626" s="265"/>
      <c r="BT4626" s="265"/>
      <c r="BU4626" s="265"/>
      <c r="BV4626" s="265"/>
    </row>
    <row r="4627" spans="12:74">
      <c r="L4627" s="265"/>
      <c r="M4627" s="265"/>
      <c r="N4627" s="265"/>
      <c r="O4627" s="265"/>
      <c r="P4627" s="265"/>
      <c r="Q4627" s="265"/>
      <c r="BR4627" s="265"/>
      <c r="BS4627" s="265"/>
      <c r="BT4627" s="265"/>
      <c r="BU4627" s="265"/>
      <c r="BV4627" s="265"/>
    </row>
    <row r="4628" spans="12:74">
      <c r="L4628" s="265"/>
      <c r="M4628" s="265"/>
      <c r="N4628" s="265"/>
      <c r="O4628" s="265"/>
      <c r="P4628" s="265"/>
      <c r="Q4628" s="265"/>
      <c r="BR4628" s="265"/>
      <c r="BS4628" s="265"/>
      <c r="BT4628" s="265"/>
      <c r="BU4628" s="265"/>
      <c r="BV4628" s="265"/>
    </row>
    <row r="4629" spans="12:74">
      <c r="L4629" s="265"/>
      <c r="M4629" s="265"/>
      <c r="N4629" s="265"/>
      <c r="O4629" s="265"/>
      <c r="P4629" s="265"/>
      <c r="Q4629" s="265"/>
      <c r="BR4629" s="265"/>
      <c r="BS4629" s="265"/>
      <c r="BT4629" s="265"/>
      <c r="BU4629" s="265"/>
      <c r="BV4629" s="265"/>
    </row>
    <row r="4630" spans="12:74">
      <c r="L4630" s="265"/>
      <c r="M4630" s="265"/>
      <c r="N4630" s="265"/>
      <c r="O4630" s="265"/>
      <c r="P4630" s="265"/>
      <c r="Q4630" s="265"/>
      <c r="BR4630" s="265"/>
      <c r="BS4630" s="265"/>
      <c r="BT4630" s="265"/>
      <c r="BU4630" s="265"/>
      <c r="BV4630" s="265"/>
    </row>
    <row r="4631" spans="12:74">
      <c r="L4631" s="265"/>
      <c r="M4631" s="265"/>
      <c r="N4631" s="265"/>
      <c r="O4631" s="265"/>
      <c r="P4631" s="265"/>
      <c r="Q4631" s="265"/>
      <c r="BR4631" s="265"/>
      <c r="BS4631" s="265"/>
      <c r="BT4631" s="265"/>
      <c r="BU4631" s="265"/>
      <c r="BV4631" s="265"/>
    </row>
    <row r="4632" spans="12:74">
      <c r="L4632" s="265"/>
      <c r="M4632" s="265"/>
      <c r="N4632" s="265"/>
      <c r="O4632" s="265"/>
      <c r="P4632" s="265"/>
      <c r="Q4632" s="265"/>
      <c r="BR4632" s="265"/>
      <c r="BS4632" s="265"/>
      <c r="BT4632" s="265"/>
      <c r="BU4632" s="265"/>
      <c r="BV4632" s="265"/>
    </row>
    <row r="4633" spans="12:74">
      <c r="L4633" s="265"/>
      <c r="M4633" s="265"/>
      <c r="N4633" s="265"/>
      <c r="O4633" s="265"/>
      <c r="P4633" s="265"/>
      <c r="Q4633" s="265"/>
      <c r="BR4633" s="265"/>
      <c r="BS4633" s="265"/>
      <c r="BT4633" s="265"/>
      <c r="BU4633" s="265"/>
      <c r="BV4633" s="265"/>
    </row>
    <row r="4634" spans="12:74">
      <c r="L4634" s="265"/>
      <c r="M4634" s="265"/>
      <c r="N4634" s="265"/>
      <c r="O4634" s="265"/>
      <c r="P4634" s="265"/>
      <c r="Q4634" s="265"/>
      <c r="BR4634" s="265"/>
      <c r="BS4634" s="265"/>
      <c r="BT4634" s="265"/>
      <c r="BU4634" s="265"/>
      <c r="BV4634" s="265"/>
    </row>
    <row r="4635" spans="12:74">
      <c r="L4635" s="265"/>
      <c r="M4635" s="265"/>
      <c r="N4635" s="265"/>
      <c r="O4635" s="265"/>
      <c r="P4635" s="265"/>
      <c r="Q4635" s="265"/>
      <c r="BR4635" s="265"/>
      <c r="BS4635" s="265"/>
      <c r="BT4635" s="265"/>
      <c r="BU4635" s="265"/>
      <c r="BV4635" s="265"/>
    </row>
    <row r="4636" spans="12:74">
      <c r="L4636" s="265"/>
      <c r="M4636" s="265"/>
      <c r="N4636" s="265"/>
      <c r="O4636" s="265"/>
      <c r="P4636" s="265"/>
      <c r="Q4636" s="265"/>
      <c r="BR4636" s="265"/>
      <c r="BS4636" s="265"/>
      <c r="BT4636" s="265"/>
      <c r="BU4636" s="265"/>
      <c r="BV4636" s="265"/>
    </row>
    <row r="4637" spans="12:74">
      <c r="L4637" s="265"/>
      <c r="M4637" s="265"/>
      <c r="N4637" s="265"/>
      <c r="O4637" s="265"/>
      <c r="P4637" s="265"/>
      <c r="Q4637" s="265"/>
      <c r="BR4637" s="265"/>
      <c r="BS4637" s="265"/>
      <c r="BT4637" s="265"/>
      <c r="BU4637" s="265"/>
      <c r="BV4637" s="265"/>
    </row>
    <row r="4638" spans="12:74">
      <c r="L4638" s="265"/>
      <c r="M4638" s="265"/>
      <c r="N4638" s="265"/>
      <c r="O4638" s="265"/>
      <c r="P4638" s="265"/>
      <c r="Q4638" s="265"/>
      <c r="BR4638" s="265"/>
      <c r="BS4638" s="265"/>
      <c r="BT4638" s="265"/>
      <c r="BU4638" s="265"/>
      <c r="BV4638" s="265"/>
    </row>
    <row r="4639" spans="12:74">
      <c r="L4639" s="265"/>
      <c r="M4639" s="265"/>
      <c r="N4639" s="265"/>
      <c r="O4639" s="265"/>
      <c r="P4639" s="265"/>
      <c r="Q4639" s="265"/>
      <c r="BR4639" s="265"/>
      <c r="BS4639" s="265"/>
      <c r="BT4639" s="265"/>
      <c r="BU4639" s="265"/>
      <c r="BV4639" s="265"/>
    </row>
    <row r="4640" spans="12:74">
      <c r="L4640" s="265"/>
      <c r="M4640" s="265"/>
      <c r="N4640" s="265"/>
      <c r="O4640" s="265"/>
      <c r="P4640" s="265"/>
      <c r="Q4640" s="265"/>
      <c r="BR4640" s="265"/>
      <c r="BS4640" s="265"/>
      <c r="BT4640" s="265"/>
      <c r="BU4640" s="265"/>
      <c r="BV4640" s="265"/>
    </row>
    <row r="4641" spans="12:74">
      <c r="L4641" s="265"/>
      <c r="M4641" s="265"/>
      <c r="N4641" s="265"/>
      <c r="O4641" s="265"/>
      <c r="P4641" s="265"/>
      <c r="Q4641" s="265"/>
      <c r="BR4641" s="265"/>
      <c r="BS4641" s="265"/>
      <c r="BT4641" s="265"/>
      <c r="BU4641" s="265"/>
      <c r="BV4641" s="265"/>
    </row>
    <row r="4642" spans="12:74">
      <c r="L4642" s="265"/>
      <c r="M4642" s="265"/>
      <c r="N4642" s="265"/>
      <c r="O4642" s="265"/>
      <c r="P4642" s="265"/>
      <c r="Q4642" s="265"/>
      <c r="BR4642" s="265"/>
      <c r="BS4642" s="265"/>
      <c r="BT4642" s="265"/>
      <c r="BU4642" s="265"/>
      <c r="BV4642" s="265"/>
    </row>
    <row r="4643" spans="12:74">
      <c r="L4643" s="265"/>
      <c r="M4643" s="265"/>
      <c r="N4643" s="265"/>
      <c r="O4643" s="265"/>
      <c r="P4643" s="265"/>
      <c r="Q4643" s="265"/>
      <c r="BR4643" s="265"/>
      <c r="BS4643" s="265"/>
      <c r="BT4643" s="265"/>
      <c r="BU4643" s="265"/>
      <c r="BV4643" s="265"/>
    </row>
    <row r="4644" spans="12:74">
      <c r="L4644" s="265"/>
      <c r="M4644" s="265"/>
      <c r="N4644" s="265"/>
      <c r="O4644" s="265"/>
      <c r="P4644" s="265"/>
      <c r="Q4644" s="265"/>
      <c r="BR4644" s="265"/>
      <c r="BS4644" s="265"/>
      <c r="BT4644" s="265"/>
      <c r="BU4644" s="265"/>
      <c r="BV4644" s="265"/>
    </row>
    <row r="4645" spans="12:74">
      <c r="L4645" s="265"/>
      <c r="M4645" s="265"/>
      <c r="N4645" s="265"/>
      <c r="O4645" s="265"/>
      <c r="P4645" s="265"/>
      <c r="Q4645" s="265"/>
      <c r="BR4645" s="265"/>
      <c r="BS4645" s="265"/>
      <c r="BT4645" s="265"/>
      <c r="BU4645" s="265"/>
      <c r="BV4645" s="265"/>
    </row>
    <row r="4646" spans="12:74">
      <c r="L4646" s="265"/>
      <c r="M4646" s="265"/>
      <c r="N4646" s="265"/>
      <c r="O4646" s="265"/>
      <c r="P4646" s="265"/>
      <c r="Q4646" s="265"/>
      <c r="BR4646" s="265"/>
      <c r="BS4646" s="265"/>
      <c r="BT4646" s="265"/>
      <c r="BU4646" s="265"/>
      <c r="BV4646" s="265"/>
    </row>
    <row r="4647" spans="12:74">
      <c r="L4647" s="265"/>
      <c r="M4647" s="265"/>
      <c r="N4647" s="265"/>
      <c r="O4647" s="265"/>
      <c r="P4647" s="265"/>
      <c r="Q4647" s="265"/>
      <c r="BR4647" s="265"/>
      <c r="BS4647" s="265"/>
      <c r="BT4647" s="265"/>
      <c r="BU4647" s="265"/>
      <c r="BV4647" s="265"/>
    </row>
    <row r="4648" spans="12:74">
      <c r="L4648" s="265"/>
      <c r="M4648" s="265"/>
      <c r="N4648" s="265"/>
      <c r="O4648" s="265"/>
      <c r="P4648" s="265"/>
      <c r="Q4648" s="265"/>
      <c r="BR4648" s="265"/>
      <c r="BS4648" s="265"/>
      <c r="BT4648" s="265"/>
      <c r="BU4648" s="265"/>
      <c r="BV4648" s="265"/>
    </row>
    <row r="4649" spans="12:74">
      <c r="L4649" s="265"/>
      <c r="M4649" s="265"/>
      <c r="N4649" s="265"/>
      <c r="O4649" s="265"/>
      <c r="P4649" s="265"/>
      <c r="Q4649" s="265"/>
      <c r="BR4649" s="265"/>
      <c r="BS4649" s="265"/>
      <c r="BT4649" s="265"/>
      <c r="BU4649" s="265"/>
      <c r="BV4649" s="265"/>
    </row>
    <row r="4650" spans="12:74">
      <c r="L4650" s="265"/>
      <c r="M4650" s="265"/>
      <c r="N4650" s="265"/>
      <c r="O4650" s="265"/>
      <c r="P4650" s="265"/>
      <c r="Q4650" s="265"/>
      <c r="BR4650" s="265"/>
      <c r="BS4650" s="265"/>
      <c r="BT4650" s="265"/>
      <c r="BU4650" s="265"/>
      <c r="BV4650" s="265"/>
    </row>
    <row r="4651" spans="12:74">
      <c r="L4651" s="265"/>
      <c r="M4651" s="265"/>
      <c r="N4651" s="265"/>
      <c r="O4651" s="265"/>
      <c r="P4651" s="265"/>
      <c r="Q4651" s="265"/>
      <c r="BR4651" s="265"/>
      <c r="BS4651" s="265"/>
      <c r="BT4651" s="265"/>
      <c r="BU4651" s="265"/>
      <c r="BV4651" s="265"/>
    </row>
    <row r="4652" spans="12:74">
      <c r="L4652" s="265"/>
      <c r="M4652" s="265"/>
      <c r="N4652" s="265"/>
      <c r="O4652" s="265"/>
      <c r="P4652" s="265"/>
      <c r="Q4652" s="265"/>
      <c r="BR4652" s="265"/>
      <c r="BS4652" s="265"/>
      <c r="BT4652" s="265"/>
      <c r="BU4652" s="265"/>
      <c r="BV4652" s="265"/>
    </row>
    <row r="4653" spans="12:74">
      <c r="L4653" s="265"/>
      <c r="M4653" s="265"/>
      <c r="N4653" s="265"/>
      <c r="O4653" s="265"/>
      <c r="P4653" s="265"/>
      <c r="Q4653" s="265"/>
      <c r="BR4653" s="265"/>
      <c r="BS4653" s="265"/>
      <c r="BT4653" s="265"/>
      <c r="BU4653" s="265"/>
      <c r="BV4653" s="265"/>
    </row>
    <row r="4654" spans="12:74">
      <c r="L4654" s="265"/>
      <c r="M4654" s="265"/>
      <c r="N4654" s="265"/>
      <c r="O4654" s="265"/>
      <c r="P4654" s="265"/>
      <c r="Q4654" s="265"/>
      <c r="BR4654" s="265"/>
      <c r="BS4654" s="265"/>
      <c r="BT4654" s="265"/>
      <c r="BU4654" s="265"/>
      <c r="BV4654" s="265"/>
    </row>
    <row r="4655" spans="12:74">
      <c r="L4655" s="265"/>
      <c r="M4655" s="265"/>
      <c r="N4655" s="265"/>
      <c r="O4655" s="265"/>
      <c r="P4655" s="265"/>
      <c r="Q4655" s="265"/>
      <c r="BR4655" s="265"/>
      <c r="BS4655" s="265"/>
      <c r="BT4655" s="265"/>
      <c r="BU4655" s="265"/>
      <c r="BV4655" s="265"/>
    </row>
    <row r="4656" spans="12:74">
      <c r="L4656" s="265"/>
      <c r="M4656" s="265"/>
      <c r="N4656" s="265"/>
      <c r="O4656" s="265"/>
      <c r="P4656" s="265"/>
      <c r="Q4656" s="265"/>
      <c r="BR4656" s="265"/>
      <c r="BS4656" s="265"/>
      <c r="BT4656" s="265"/>
      <c r="BU4656" s="265"/>
      <c r="BV4656" s="265"/>
    </row>
    <row r="4657" spans="12:74">
      <c r="L4657" s="265"/>
      <c r="M4657" s="265"/>
      <c r="N4657" s="265"/>
      <c r="O4657" s="265"/>
      <c r="P4657" s="265"/>
      <c r="Q4657" s="265"/>
      <c r="BR4657" s="265"/>
      <c r="BS4657" s="265"/>
      <c r="BT4657" s="265"/>
      <c r="BU4657" s="265"/>
      <c r="BV4657" s="265"/>
    </row>
    <row r="4658" spans="12:74">
      <c r="L4658" s="265"/>
      <c r="M4658" s="265"/>
      <c r="N4658" s="265"/>
      <c r="O4658" s="265"/>
      <c r="P4658" s="265"/>
      <c r="Q4658" s="265"/>
      <c r="BR4658" s="265"/>
      <c r="BS4658" s="265"/>
      <c r="BT4658" s="265"/>
      <c r="BU4658" s="265"/>
      <c r="BV4658" s="265"/>
    </row>
    <row r="4659" spans="12:74">
      <c r="L4659" s="265"/>
      <c r="M4659" s="265"/>
      <c r="N4659" s="265"/>
      <c r="O4659" s="265"/>
      <c r="P4659" s="265"/>
      <c r="Q4659" s="265"/>
      <c r="BR4659" s="265"/>
      <c r="BS4659" s="265"/>
      <c r="BT4659" s="265"/>
      <c r="BU4659" s="265"/>
      <c r="BV4659" s="265"/>
    </row>
    <row r="4660" spans="12:74">
      <c r="L4660" s="265"/>
      <c r="M4660" s="265"/>
      <c r="N4660" s="265"/>
      <c r="O4660" s="265"/>
      <c r="P4660" s="265"/>
      <c r="Q4660" s="265"/>
      <c r="BR4660" s="265"/>
      <c r="BS4660" s="265"/>
      <c r="BT4660" s="265"/>
      <c r="BU4660" s="265"/>
      <c r="BV4660" s="265"/>
    </row>
    <row r="4661" spans="12:74">
      <c r="L4661" s="265"/>
      <c r="M4661" s="265"/>
      <c r="N4661" s="265"/>
      <c r="O4661" s="265"/>
      <c r="P4661" s="265"/>
      <c r="Q4661" s="265"/>
      <c r="BR4661" s="265"/>
      <c r="BS4661" s="265"/>
      <c r="BT4661" s="265"/>
      <c r="BU4661" s="265"/>
      <c r="BV4661" s="265"/>
    </row>
    <row r="4662" spans="12:74">
      <c r="L4662" s="265"/>
      <c r="M4662" s="265"/>
      <c r="N4662" s="265"/>
      <c r="O4662" s="265"/>
      <c r="P4662" s="265"/>
      <c r="Q4662" s="265"/>
      <c r="BR4662" s="265"/>
      <c r="BS4662" s="265"/>
      <c r="BT4662" s="265"/>
      <c r="BU4662" s="265"/>
      <c r="BV4662" s="265"/>
    </row>
    <row r="4663" spans="12:74">
      <c r="L4663" s="265"/>
      <c r="M4663" s="265"/>
      <c r="N4663" s="265"/>
      <c r="O4663" s="265"/>
      <c r="P4663" s="265"/>
      <c r="Q4663" s="265"/>
      <c r="BR4663" s="265"/>
      <c r="BS4663" s="265"/>
      <c r="BT4663" s="265"/>
      <c r="BU4663" s="265"/>
      <c r="BV4663" s="265"/>
    </row>
    <row r="4664" spans="12:74">
      <c r="L4664" s="265"/>
      <c r="M4664" s="265"/>
      <c r="N4664" s="265"/>
      <c r="O4664" s="265"/>
      <c r="P4664" s="265"/>
      <c r="Q4664" s="265"/>
      <c r="BR4664" s="265"/>
      <c r="BS4664" s="265"/>
      <c r="BT4664" s="265"/>
      <c r="BU4664" s="265"/>
      <c r="BV4664" s="265"/>
    </row>
    <row r="4665" spans="12:74">
      <c r="L4665" s="265"/>
      <c r="M4665" s="265"/>
      <c r="N4665" s="265"/>
      <c r="O4665" s="265"/>
      <c r="P4665" s="265"/>
      <c r="Q4665" s="265"/>
      <c r="BR4665" s="265"/>
      <c r="BS4665" s="265"/>
      <c r="BT4665" s="265"/>
      <c r="BU4665" s="265"/>
      <c r="BV4665" s="265"/>
    </row>
    <row r="4666" spans="12:74">
      <c r="L4666" s="265"/>
      <c r="M4666" s="265"/>
      <c r="N4666" s="265"/>
      <c r="O4666" s="265"/>
      <c r="P4666" s="265"/>
      <c r="Q4666" s="265"/>
      <c r="BR4666" s="265"/>
      <c r="BS4666" s="265"/>
      <c r="BT4666" s="265"/>
      <c r="BU4666" s="265"/>
      <c r="BV4666" s="265"/>
    </row>
    <row r="4667" spans="12:74">
      <c r="L4667" s="265"/>
      <c r="M4667" s="265"/>
      <c r="N4667" s="265"/>
      <c r="O4667" s="265"/>
      <c r="P4667" s="265"/>
      <c r="Q4667" s="265"/>
      <c r="BR4667" s="265"/>
      <c r="BS4667" s="265"/>
      <c r="BT4667" s="265"/>
      <c r="BU4667" s="265"/>
      <c r="BV4667" s="265"/>
    </row>
    <row r="4668" spans="12:74">
      <c r="L4668" s="265"/>
      <c r="M4668" s="265"/>
      <c r="N4668" s="265"/>
      <c r="O4668" s="265"/>
      <c r="P4668" s="265"/>
      <c r="Q4668" s="265"/>
      <c r="BR4668" s="265"/>
      <c r="BS4668" s="265"/>
      <c r="BT4668" s="265"/>
      <c r="BU4668" s="265"/>
      <c r="BV4668" s="265"/>
    </row>
    <row r="4669" spans="12:74">
      <c r="L4669" s="265"/>
      <c r="M4669" s="265"/>
      <c r="N4669" s="265"/>
      <c r="O4669" s="265"/>
      <c r="P4669" s="265"/>
      <c r="Q4669" s="265"/>
      <c r="BR4669" s="265"/>
      <c r="BS4669" s="265"/>
      <c r="BT4669" s="265"/>
      <c r="BU4669" s="265"/>
      <c r="BV4669" s="265"/>
    </row>
    <row r="4670" spans="12:74">
      <c r="L4670" s="265"/>
      <c r="M4670" s="265"/>
      <c r="N4670" s="265"/>
      <c r="O4670" s="265"/>
      <c r="P4670" s="265"/>
      <c r="Q4670" s="265"/>
      <c r="BR4670" s="265"/>
      <c r="BS4670" s="265"/>
      <c r="BT4670" s="265"/>
      <c r="BU4670" s="265"/>
      <c r="BV4670" s="265"/>
    </row>
    <row r="4671" spans="12:74">
      <c r="L4671" s="265"/>
      <c r="M4671" s="265"/>
      <c r="N4671" s="265"/>
      <c r="O4671" s="265"/>
      <c r="P4671" s="265"/>
      <c r="Q4671" s="265"/>
      <c r="BR4671" s="265"/>
      <c r="BS4671" s="265"/>
      <c r="BT4671" s="265"/>
      <c r="BU4671" s="265"/>
      <c r="BV4671" s="265"/>
    </row>
    <row r="4672" spans="12:74">
      <c r="L4672" s="265"/>
      <c r="M4672" s="265"/>
      <c r="N4672" s="265"/>
      <c r="O4672" s="265"/>
      <c r="P4672" s="265"/>
      <c r="Q4672" s="265"/>
      <c r="BR4672" s="265"/>
      <c r="BS4672" s="265"/>
      <c r="BT4672" s="265"/>
      <c r="BU4672" s="265"/>
      <c r="BV4672" s="265"/>
    </row>
    <row r="4673" spans="12:74">
      <c r="L4673" s="265"/>
      <c r="M4673" s="265"/>
      <c r="N4673" s="265"/>
      <c r="O4673" s="265"/>
      <c r="P4673" s="265"/>
      <c r="Q4673" s="265"/>
      <c r="BR4673" s="265"/>
      <c r="BS4673" s="265"/>
      <c r="BT4673" s="265"/>
      <c r="BU4673" s="265"/>
      <c r="BV4673" s="265"/>
    </row>
    <row r="4674" spans="12:74">
      <c r="L4674" s="265"/>
      <c r="M4674" s="265"/>
      <c r="N4674" s="265"/>
      <c r="O4674" s="265"/>
      <c r="P4674" s="265"/>
      <c r="Q4674" s="265"/>
      <c r="BR4674" s="265"/>
      <c r="BS4674" s="265"/>
      <c r="BT4674" s="265"/>
      <c r="BU4674" s="265"/>
      <c r="BV4674" s="265"/>
    </row>
    <row r="4675" spans="12:74">
      <c r="L4675" s="265"/>
      <c r="M4675" s="265"/>
      <c r="N4675" s="265"/>
      <c r="O4675" s="265"/>
      <c r="P4675" s="265"/>
      <c r="Q4675" s="265"/>
      <c r="BR4675" s="265"/>
      <c r="BS4675" s="265"/>
      <c r="BT4675" s="265"/>
      <c r="BU4675" s="265"/>
      <c r="BV4675" s="265"/>
    </row>
    <row r="4676" spans="12:74">
      <c r="L4676" s="265"/>
      <c r="M4676" s="265"/>
      <c r="N4676" s="265"/>
      <c r="O4676" s="265"/>
      <c r="P4676" s="265"/>
      <c r="Q4676" s="265"/>
      <c r="BR4676" s="265"/>
      <c r="BS4676" s="265"/>
      <c r="BT4676" s="265"/>
      <c r="BU4676" s="265"/>
      <c r="BV4676" s="265"/>
    </row>
    <row r="4677" spans="12:74">
      <c r="L4677" s="265"/>
      <c r="M4677" s="265"/>
      <c r="N4677" s="265"/>
      <c r="O4677" s="265"/>
      <c r="P4677" s="265"/>
      <c r="Q4677" s="265"/>
      <c r="BR4677" s="265"/>
      <c r="BS4677" s="265"/>
      <c r="BT4677" s="265"/>
      <c r="BU4677" s="265"/>
      <c r="BV4677" s="265"/>
    </row>
    <row r="4678" spans="12:74">
      <c r="L4678" s="265"/>
      <c r="M4678" s="265"/>
      <c r="N4678" s="265"/>
      <c r="O4678" s="265"/>
      <c r="P4678" s="265"/>
      <c r="Q4678" s="265"/>
      <c r="BR4678" s="265"/>
      <c r="BS4678" s="265"/>
      <c r="BT4678" s="265"/>
      <c r="BU4678" s="265"/>
      <c r="BV4678" s="265"/>
    </row>
    <row r="4679" spans="12:74">
      <c r="L4679" s="265"/>
      <c r="M4679" s="265"/>
      <c r="N4679" s="265"/>
      <c r="O4679" s="265"/>
      <c r="P4679" s="265"/>
      <c r="Q4679" s="265"/>
      <c r="BR4679" s="265"/>
      <c r="BS4679" s="265"/>
      <c r="BT4679" s="265"/>
      <c r="BU4679" s="265"/>
      <c r="BV4679" s="265"/>
    </row>
    <row r="4680" spans="12:74">
      <c r="L4680" s="265"/>
      <c r="M4680" s="265"/>
      <c r="N4680" s="265"/>
      <c r="O4680" s="265"/>
      <c r="P4680" s="265"/>
      <c r="Q4680" s="265"/>
      <c r="BR4680" s="265"/>
      <c r="BS4680" s="265"/>
      <c r="BT4680" s="265"/>
      <c r="BU4680" s="265"/>
      <c r="BV4680" s="265"/>
    </row>
    <row r="4681" spans="12:74">
      <c r="L4681" s="265"/>
      <c r="M4681" s="265"/>
      <c r="N4681" s="265"/>
      <c r="O4681" s="265"/>
      <c r="P4681" s="265"/>
      <c r="Q4681" s="265"/>
      <c r="BR4681" s="265"/>
      <c r="BS4681" s="265"/>
      <c r="BT4681" s="265"/>
      <c r="BU4681" s="265"/>
      <c r="BV4681" s="265"/>
    </row>
    <row r="4682" spans="12:74">
      <c r="L4682" s="265"/>
      <c r="M4682" s="265"/>
      <c r="N4682" s="265"/>
      <c r="O4682" s="265"/>
      <c r="P4682" s="265"/>
      <c r="Q4682" s="265"/>
      <c r="BR4682" s="265"/>
      <c r="BS4682" s="265"/>
      <c r="BT4682" s="265"/>
      <c r="BU4682" s="265"/>
      <c r="BV4682" s="265"/>
    </row>
    <row r="4683" spans="12:74">
      <c r="L4683" s="265"/>
      <c r="M4683" s="265"/>
      <c r="N4683" s="265"/>
      <c r="O4683" s="265"/>
      <c r="P4683" s="265"/>
      <c r="Q4683" s="265"/>
      <c r="BR4683" s="265"/>
      <c r="BS4683" s="265"/>
      <c r="BT4683" s="265"/>
      <c r="BU4683" s="265"/>
      <c r="BV4683" s="265"/>
    </row>
    <row r="4684" spans="12:74">
      <c r="L4684" s="265"/>
      <c r="M4684" s="265"/>
      <c r="N4684" s="265"/>
      <c r="O4684" s="265"/>
      <c r="P4684" s="265"/>
      <c r="Q4684" s="265"/>
      <c r="BR4684" s="265"/>
      <c r="BS4684" s="265"/>
      <c r="BT4684" s="265"/>
      <c r="BU4684" s="265"/>
      <c r="BV4684" s="265"/>
    </row>
    <row r="4685" spans="12:74">
      <c r="L4685" s="265"/>
      <c r="M4685" s="265"/>
      <c r="N4685" s="265"/>
      <c r="O4685" s="265"/>
      <c r="P4685" s="265"/>
      <c r="Q4685" s="265"/>
      <c r="BR4685" s="265"/>
      <c r="BS4685" s="265"/>
      <c r="BT4685" s="265"/>
      <c r="BU4685" s="265"/>
      <c r="BV4685" s="265"/>
    </row>
    <row r="4686" spans="12:74">
      <c r="L4686" s="265"/>
      <c r="M4686" s="265"/>
      <c r="N4686" s="265"/>
      <c r="O4686" s="265"/>
      <c r="P4686" s="265"/>
      <c r="Q4686" s="265"/>
      <c r="BR4686" s="265"/>
      <c r="BS4686" s="265"/>
      <c r="BT4686" s="265"/>
      <c r="BU4686" s="265"/>
      <c r="BV4686" s="265"/>
    </row>
    <row r="4687" spans="12:74">
      <c r="L4687" s="265"/>
      <c r="M4687" s="265"/>
      <c r="N4687" s="265"/>
      <c r="O4687" s="265"/>
      <c r="P4687" s="265"/>
      <c r="Q4687" s="265"/>
      <c r="BR4687" s="265"/>
      <c r="BS4687" s="265"/>
      <c r="BT4687" s="265"/>
      <c r="BU4687" s="265"/>
      <c r="BV4687" s="265"/>
    </row>
    <row r="4688" spans="12:74">
      <c r="L4688" s="265"/>
      <c r="M4688" s="265"/>
      <c r="N4688" s="265"/>
      <c r="O4688" s="265"/>
      <c r="P4688" s="265"/>
      <c r="Q4688" s="265"/>
      <c r="BR4688" s="265"/>
      <c r="BS4688" s="265"/>
      <c r="BT4688" s="265"/>
      <c r="BU4688" s="265"/>
      <c r="BV4688" s="265"/>
    </row>
    <row r="4689" spans="12:74">
      <c r="L4689" s="265"/>
      <c r="M4689" s="265"/>
      <c r="N4689" s="265"/>
      <c r="O4689" s="265"/>
      <c r="P4689" s="265"/>
      <c r="Q4689" s="265"/>
      <c r="BR4689" s="265"/>
      <c r="BS4689" s="265"/>
      <c r="BT4689" s="265"/>
      <c r="BU4689" s="265"/>
      <c r="BV4689" s="265"/>
    </row>
    <row r="4690" spans="12:74">
      <c r="L4690" s="265"/>
      <c r="M4690" s="265"/>
      <c r="N4690" s="265"/>
      <c r="O4690" s="265"/>
      <c r="P4690" s="265"/>
      <c r="Q4690" s="265"/>
      <c r="BR4690" s="265"/>
      <c r="BS4690" s="265"/>
      <c r="BT4690" s="265"/>
      <c r="BU4690" s="265"/>
      <c r="BV4690" s="265"/>
    </row>
    <row r="4691" spans="12:74">
      <c r="L4691" s="265"/>
      <c r="M4691" s="265"/>
      <c r="N4691" s="265"/>
      <c r="O4691" s="265"/>
      <c r="P4691" s="265"/>
      <c r="Q4691" s="265"/>
      <c r="BR4691" s="265"/>
      <c r="BS4691" s="265"/>
      <c r="BT4691" s="265"/>
      <c r="BU4691" s="265"/>
      <c r="BV4691" s="265"/>
    </row>
    <row r="4692" spans="12:74">
      <c r="L4692" s="265"/>
      <c r="M4692" s="265"/>
      <c r="N4692" s="265"/>
      <c r="O4692" s="265"/>
      <c r="P4692" s="265"/>
      <c r="Q4692" s="265"/>
      <c r="BR4692" s="265"/>
      <c r="BS4692" s="265"/>
      <c r="BT4692" s="265"/>
      <c r="BU4692" s="265"/>
      <c r="BV4692" s="265"/>
    </row>
    <row r="4693" spans="12:74">
      <c r="L4693" s="265"/>
      <c r="M4693" s="265"/>
      <c r="N4693" s="265"/>
      <c r="O4693" s="265"/>
      <c r="P4693" s="265"/>
      <c r="Q4693" s="265"/>
      <c r="BR4693" s="265"/>
      <c r="BS4693" s="265"/>
      <c r="BT4693" s="265"/>
      <c r="BU4693" s="265"/>
      <c r="BV4693" s="265"/>
    </row>
    <row r="4694" spans="12:74">
      <c r="L4694" s="265"/>
      <c r="M4694" s="265"/>
      <c r="N4694" s="265"/>
      <c r="O4694" s="265"/>
      <c r="P4694" s="265"/>
      <c r="Q4694" s="265"/>
      <c r="BR4694" s="265"/>
      <c r="BS4694" s="265"/>
      <c r="BT4694" s="265"/>
      <c r="BU4694" s="265"/>
      <c r="BV4694" s="265"/>
    </row>
  </sheetData>
  <phoneticPr fontId="298" type="noConversion"/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Plan6">
    <tabColor theme="0"/>
  </sheetPr>
  <dimension ref="A1:V84"/>
  <sheetViews>
    <sheetView showGridLines="0" zoomScale="95" zoomScaleNormal="95" workbookViewId="0">
      <selection activeCell="A28" sqref="A28:C34"/>
    </sheetView>
  </sheetViews>
  <sheetFormatPr defaultColWidth="9.140625" defaultRowHeight="14.25"/>
  <cols>
    <col min="1" max="1" width="16.7109375" style="68" customWidth="1"/>
    <col min="2" max="2" width="50.7109375" style="68" customWidth="1"/>
    <col min="3" max="3" width="42.7109375" style="124" customWidth="1"/>
    <col min="4" max="4" width="22.7109375" style="68" customWidth="1"/>
    <col min="5" max="5" width="26.85546875" style="68" customWidth="1"/>
    <col min="6" max="6" width="20.85546875" style="68" bestFit="1" customWidth="1"/>
    <col min="7" max="7" width="13.85546875" style="125" customWidth="1"/>
    <col min="8" max="8" width="34.85546875" style="68" bestFit="1" customWidth="1"/>
    <col min="9" max="9" width="16.28515625" style="68" customWidth="1"/>
    <col min="10" max="10" width="16.85546875" style="68" bestFit="1" customWidth="1"/>
    <col min="11" max="11" width="45.5703125" style="68" customWidth="1"/>
    <col min="12" max="12" width="21" style="68" bestFit="1" customWidth="1"/>
    <col min="13" max="13" width="30.7109375" style="68" customWidth="1"/>
    <col min="14" max="14" width="21.7109375" style="68" bestFit="1" customWidth="1"/>
    <col min="15" max="15" width="41.85546875" style="68" customWidth="1"/>
    <col min="16" max="29" width="17" style="68" customWidth="1"/>
    <col min="30" max="30" width="8.42578125" style="68" customWidth="1"/>
    <col min="31" max="31" width="13.85546875" style="68" customWidth="1"/>
    <col min="32" max="32" width="14.85546875" style="68" customWidth="1"/>
    <col min="33" max="33" width="18" style="68" customWidth="1"/>
    <col min="34" max="34" width="15.5703125" style="68" customWidth="1"/>
    <col min="35" max="35" width="10.85546875" style="68" customWidth="1"/>
    <col min="36" max="36" width="11.28515625" style="68" customWidth="1"/>
    <col min="37" max="37" width="15.5703125" style="68" bestFit="1" customWidth="1"/>
    <col min="38" max="16384" width="9.140625" style="68"/>
  </cols>
  <sheetData>
    <row r="1" spans="2:18" ht="37.5" customHeight="1">
      <c r="B1" s="1705" t="s">
        <v>1222</v>
      </c>
      <c r="C1" s="1706"/>
      <c r="D1" s="1020"/>
      <c r="E1" s="1020"/>
      <c r="F1" s="1224" t="s">
        <v>1007</v>
      </c>
      <c r="G1" s="1225">
        <f ca="1">LnkTXTIRTEco</f>
        <v>0.1605</v>
      </c>
    </row>
    <row r="2" spans="2:18" ht="23.25" customHeight="1">
      <c r="B2" s="138" t="str">
        <f>CAPA!C9</f>
        <v>Ceris</v>
      </c>
      <c r="C2" s="70"/>
      <c r="D2" s="70"/>
      <c r="E2" s="70"/>
      <c r="F2" s="121" t="s">
        <v>1011</v>
      </c>
      <c r="G2" s="122">
        <f ca="1">LnkTXTIRTTotal</f>
        <v>-6.0499999999999998E-2</v>
      </c>
    </row>
    <row r="3" spans="2:18" ht="16.5">
      <c r="B3" s="71" t="s">
        <v>817</v>
      </c>
      <c r="K3" s="71" t="s">
        <v>1223</v>
      </c>
      <c r="O3" s="9" t="s">
        <v>1224</v>
      </c>
    </row>
    <row r="4" spans="2:18">
      <c r="B4" s="1262" t="s">
        <v>905</v>
      </c>
      <c r="C4" s="1262" t="s">
        <v>829</v>
      </c>
      <c r="K4" s="1262" t="s">
        <v>1029</v>
      </c>
      <c r="L4" s="1262" t="s">
        <v>57</v>
      </c>
      <c r="O4" s="68" t="s">
        <v>1225</v>
      </c>
    </row>
    <row r="5" spans="2:18">
      <c r="B5" s="1263" t="s">
        <v>1226</v>
      </c>
      <c r="C5" s="1264">
        <f ca="1">SUM(C6,C9)</f>
        <v>19534.821867000002</v>
      </c>
      <c r="K5" s="68" t="s">
        <v>908</v>
      </c>
      <c r="L5" s="140">
        <f ca="1">FornecimentoE</f>
        <v>16377.068000000003</v>
      </c>
      <c r="O5" s="68" t="s">
        <v>1227</v>
      </c>
    </row>
    <row r="6" spans="2:18">
      <c r="B6" s="1265" t="s">
        <v>1228</v>
      </c>
      <c r="C6" s="1266">
        <f ca="1">SUM(C7:C8)</f>
        <v>16377.068000000003</v>
      </c>
      <c r="E6" s="1523">
        <f ca="1">C23/LnkTXTEV-1</f>
        <v>0.1928155801148288</v>
      </c>
      <c r="K6" s="68" t="s">
        <v>917</v>
      </c>
      <c r="L6" s="140">
        <f ca="1">DSUM(MercadoBase,"TUSD_E",INDIRECT("Mercado_Criterio"&amp;Calc_Mercado!B17))</f>
        <v>0</v>
      </c>
      <c r="O6" s="68" t="s">
        <v>1229</v>
      </c>
    </row>
    <row r="7" spans="2:18">
      <c r="B7" s="144" t="s">
        <v>908</v>
      </c>
      <c r="C7" s="145">
        <f ca="1">L5</f>
        <v>16377.068000000003</v>
      </c>
      <c r="K7" s="68" t="s">
        <v>1230</v>
      </c>
      <c r="L7" s="140">
        <f ca="1">LivreE</f>
        <v>0</v>
      </c>
      <c r="O7" s="68" t="s">
        <v>1231</v>
      </c>
    </row>
    <row r="8" spans="2:18">
      <c r="B8" s="144" t="s">
        <v>917</v>
      </c>
      <c r="C8" s="145">
        <f ca="1">L6</f>
        <v>0</v>
      </c>
      <c r="K8" s="68" t="s">
        <v>1012</v>
      </c>
      <c r="L8" s="140">
        <f ca="1">LivreE_A1</f>
        <v>0</v>
      </c>
      <c r="O8" s="68" t="s">
        <v>1232</v>
      </c>
    </row>
    <row r="9" spans="2:18">
      <c r="B9" s="1265" t="s">
        <v>1233</v>
      </c>
      <c r="C9" s="1266">
        <f ca="1">SUM(C10:C12)</f>
        <v>3157.7538669999999</v>
      </c>
      <c r="K9" s="812" t="s">
        <v>1234</v>
      </c>
      <c r="L9" s="1267">
        <f ca="1">FornecimentoE_BT</f>
        <v>15071.873000000003</v>
      </c>
      <c r="O9" s="68" t="s">
        <v>1235</v>
      </c>
    </row>
    <row r="10" spans="2:18">
      <c r="B10" s="144" t="s">
        <v>1236</v>
      </c>
      <c r="C10" s="145">
        <f ca="1">M16+M17</f>
        <v>3157.7538669999999</v>
      </c>
      <c r="J10" s="125"/>
      <c r="O10" s="79"/>
    </row>
    <row r="11" spans="2:18">
      <c r="B11" s="144" t="s">
        <v>1237</v>
      </c>
      <c r="C11" s="145">
        <f ca="1">M18</f>
        <v>0</v>
      </c>
      <c r="K11" s="71" t="s">
        <v>1238</v>
      </c>
      <c r="L11" s="126"/>
      <c r="O11" s="68" t="s">
        <v>1239</v>
      </c>
      <c r="P11" s="503">
        <f ca="1">L20/(C6+L20)</f>
        <v>0.20507167697726358</v>
      </c>
      <c r="Q11" s="69">
        <f ca="1">P11*($L$24+LnkTXTGPM)</f>
        <v>4224.8749999999964</v>
      </c>
    </row>
    <row r="12" spans="2:18">
      <c r="B12" s="144" t="s">
        <v>1240</v>
      </c>
      <c r="C12" s="145">
        <f ca="1">M19</f>
        <v>0</v>
      </c>
      <c r="D12" s="72"/>
      <c r="F12" s="72"/>
      <c r="G12" s="127"/>
      <c r="K12" s="146" t="s">
        <v>905</v>
      </c>
      <c r="L12" s="1268" t="s">
        <v>1241</v>
      </c>
      <c r="M12" s="1269" t="s">
        <v>27</v>
      </c>
      <c r="O12" s="68" t="s">
        <v>1242</v>
      </c>
      <c r="P12" s="397">
        <v>0.1389</v>
      </c>
      <c r="Q12" s="69"/>
      <c r="R12" s="141"/>
    </row>
    <row r="13" spans="2:18">
      <c r="B13" s="724" t="s">
        <v>1243</v>
      </c>
      <c r="C13" s="1602">
        <f ca="1">IFERROR(E23,0)</f>
        <v>117.14808864158792</v>
      </c>
      <c r="D13" s="92"/>
      <c r="E13" s="92"/>
      <c r="F13" s="92"/>
      <c r="G13" s="92"/>
      <c r="K13" s="68" t="s">
        <v>1244</v>
      </c>
      <c r="L13" s="397">
        <f>CAPA!H30</f>
        <v>0</v>
      </c>
      <c r="M13" s="475">
        <f ca="1">IFERROR(IF($L$21&lt;$L$20,L13,($L$20/$L$21)*L13),0)</f>
        <v>0</v>
      </c>
      <c r="O13" s="68" t="s">
        <v>1245</v>
      </c>
      <c r="P13" s="503">
        <f ca="1">IF(P11&lt;P12,P11,(IF(P11=0,0,P11*0.75+P12*0.25)))</f>
        <v>0.18852875773294769</v>
      </c>
      <c r="Q13" s="69">
        <f ca="1">($L$5+$L$6-$L$8)*P13/(1-P13)</f>
        <v>3804.8770240115418</v>
      </c>
    </row>
    <row r="14" spans="2:18">
      <c r="B14" s="1270" t="s">
        <v>1246</v>
      </c>
      <c r="C14" s="1271">
        <f ca="1">C13*C5</f>
        <v>2288467.0436729463</v>
      </c>
      <c r="D14" s="128"/>
      <c r="E14" s="128"/>
      <c r="F14" s="128"/>
      <c r="G14" s="129"/>
      <c r="K14" s="68" t="s">
        <v>1247</v>
      </c>
      <c r="L14" s="397">
        <f>IF(CAPA!P1="verdadeiro",IF(CAPA!H29=0,CAPA!K34,CAPA!H29),CAPA!H41)</f>
        <v>0.193</v>
      </c>
      <c r="M14" s="397">
        <f ca="1">IFERROR(M17/((L5+L6-L8+M16)+M17),0)</f>
        <v>0.16164743597351994</v>
      </c>
      <c r="O14" s="68" t="s">
        <v>1248</v>
      </c>
      <c r="P14" s="503">
        <f ca="1">(L17+L16)/(L16+L17+L5+L6)</f>
        <v>0.16164743597351994</v>
      </c>
      <c r="Q14" s="69">
        <f ca="1">IF(CAPA!H33="",(L5+L6-L8)/(1-L14)*L14,CAPA!H33)+IF(CAPA!H34="",L13*L9,CAPA!H34)</f>
        <v>3157.7538669999999</v>
      </c>
    </row>
    <row r="15" spans="2:18">
      <c r="E15" s="79"/>
      <c r="F15" s="72"/>
      <c r="G15" s="127"/>
      <c r="K15" s="812" t="s">
        <v>1249</v>
      </c>
      <c r="L15" s="1532">
        <f>IF(CAPA!H31=0,0,CAPA!H31)</f>
        <v>0</v>
      </c>
      <c r="M15" s="1533">
        <f ca="1">IFERROR(L22/(LnkTXTEV+M17+M16),0)</f>
        <v>0</v>
      </c>
      <c r="O15" s="68" t="s">
        <v>1250</v>
      </c>
      <c r="P15" s="79">
        <f ca="1">IF(P14&lt;P13,P14,P13)</f>
        <v>0.16164743597351994</v>
      </c>
      <c r="Q15" s="69">
        <f ca="1">IF(Q14&lt;Q13,Q14,Q13)</f>
        <v>3157.7538669999999</v>
      </c>
      <c r="R15" s="79">
        <f ca="1">Q15/(L5+Q15)</f>
        <v>0.16164743597351994</v>
      </c>
    </row>
    <row r="16" spans="2:18">
      <c r="B16" s="130" t="s">
        <v>1251</v>
      </c>
      <c r="C16" s="131"/>
      <c r="D16" s="132"/>
      <c r="E16" s="132"/>
      <c r="F16" s="132"/>
      <c r="K16" s="1603" t="s">
        <v>1252</v>
      </c>
      <c r="L16" s="1603">
        <f ca="1">IF(CAPA!H34="",L13*L9,CAPA!H34)</f>
        <v>0</v>
      </c>
      <c r="M16" s="476">
        <f ca="1">IF(CAPA!P1="verdadeiro",IF($L$21&lt;$L$20,L16,($L$20/$L$21)*L16),L16)</f>
        <v>0</v>
      </c>
      <c r="O16" s="141" t="s">
        <v>1253</v>
      </c>
      <c r="P16" s="79">
        <f ca="1">IF(P15&gt;P12,P12,P15)</f>
        <v>0.1389</v>
      </c>
      <c r="Q16" s="69">
        <f ca="1">($L$5+$L$6-$L$8+Q15)*P16</f>
        <v>2713.3867573263001</v>
      </c>
    </row>
    <row r="17" spans="1:22">
      <c r="B17" s="1262" t="s">
        <v>1254</v>
      </c>
      <c r="C17" s="1262" t="s">
        <v>1255</v>
      </c>
      <c r="D17" s="1262"/>
      <c r="E17" s="1262" t="s">
        <v>1256</v>
      </c>
      <c r="F17" s="1262" t="s">
        <v>1257</v>
      </c>
      <c r="K17" s="140" t="s">
        <v>1258</v>
      </c>
      <c r="L17" s="140">
        <f>IF(CAPA!H33="",(L5+L6-L8+L16)/(1-L14)*L14,CAPA!H33)</f>
        <v>3157.7538669999999</v>
      </c>
      <c r="M17" s="476">
        <f ca="1">IF(CAPA!P1="verdadeiro",IF($L$21&lt;$L$20,L17,($L$20/$L$21)*L17),L17)+L23</f>
        <v>3157.7538669999999</v>
      </c>
      <c r="N17" s="141"/>
      <c r="O17" s="68" t="s">
        <v>1259</v>
      </c>
      <c r="P17" s="397">
        <f ca="1">P15-P16</f>
        <v>2.2747435973519942E-2</v>
      </c>
      <c r="Q17" s="69">
        <f ca="1">Q15-Q16</f>
        <v>444.36710967369982</v>
      </c>
    </row>
    <row r="18" spans="1:22">
      <c r="B18" s="78" t="s">
        <v>311</v>
      </c>
      <c r="C18" s="786">
        <f ca="1">IFERROR(C70*N30,0)</f>
        <v>0</v>
      </c>
      <c r="D18" s="123"/>
      <c r="E18" s="123">
        <f>CAPA!E58</f>
        <v>0</v>
      </c>
      <c r="F18" s="77">
        <f ca="1">C18*E18</f>
        <v>0</v>
      </c>
      <c r="G18" s="787"/>
      <c r="H18" s="789"/>
      <c r="I18" s="134"/>
      <c r="K18" s="140" t="s">
        <v>1237</v>
      </c>
      <c r="L18" s="476"/>
      <c r="M18" s="1574">
        <f ca="1">(M16+M17)*M15</f>
        <v>0</v>
      </c>
      <c r="O18" s="68" t="s">
        <v>1260</v>
      </c>
      <c r="P18" s="79">
        <f ca="1">Q17/L9</f>
        <v>2.9483204222441346E-2</v>
      </c>
    </row>
    <row r="19" spans="1:22">
      <c r="B19" s="78" t="s">
        <v>52</v>
      </c>
      <c r="C19" s="255" cm="1">
        <f t="array" ref="C19">TabEnergiaProinfa[MWh]</f>
        <v>293.256159697513</v>
      </c>
      <c r="D19" s="89"/>
      <c r="E19" s="89">
        <v>0</v>
      </c>
      <c r="F19" s="77">
        <v>0</v>
      </c>
      <c r="G19" s="788"/>
      <c r="H19" s="789"/>
      <c r="K19" s="1267" t="s">
        <v>1240</v>
      </c>
      <c r="L19" s="1534"/>
      <c r="M19" s="1575">
        <f ca="1">(L5+L6)*M15</f>
        <v>0</v>
      </c>
      <c r="P19" s="141"/>
    </row>
    <row r="20" spans="1:22">
      <c r="B20" s="78" t="str">
        <f>B63</f>
        <v>Angra</v>
      </c>
      <c r="C20" s="255">
        <f ca="1">C63*N30</f>
        <v>0</v>
      </c>
      <c r="D20" s="89"/>
      <c r="E20" s="89">
        <f>E63</f>
        <v>0</v>
      </c>
      <c r="F20" s="77">
        <f ca="1">E20*C20</f>
        <v>0</v>
      </c>
      <c r="G20" s="788"/>
      <c r="H20" s="789"/>
      <c r="J20" s="134"/>
      <c r="K20" s="140" t="s">
        <v>1261</v>
      </c>
      <c r="L20" s="140">
        <f ca="1">IF(L25-LnkTXTEV+LnkTXTGPM&lt;0,0,L25-LnkTXTEV+LnkTXTGPM)</f>
        <v>4224.8749999999964</v>
      </c>
      <c r="M20" s="398"/>
      <c r="N20" s="141"/>
    </row>
    <row r="21" spans="1:22">
      <c r="B21" s="78" t="str">
        <f>B64</f>
        <v>CCGF</v>
      </c>
      <c r="C21" s="255">
        <f ca="1">(C64+C65)*N30</f>
        <v>0</v>
      </c>
      <c r="D21" s="89"/>
      <c r="E21" s="89">
        <f>E64</f>
        <v>0</v>
      </c>
      <c r="F21" s="77">
        <f ca="1">E21*C21</f>
        <v>0</v>
      </c>
      <c r="G21" s="788"/>
      <c r="H21" s="789"/>
      <c r="K21" s="1267" t="s">
        <v>1262</v>
      </c>
      <c r="L21" s="1267">
        <f ca="1">L16+L17</f>
        <v>3157.7538669999999</v>
      </c>
      <c r="M21" s="1272"/>
    </row>
    <row r="22" spans="1:22">
      <c r="B22" s="78" t="s">
        <v>1263</v>
      </c>
      <c r="C22" s="255">
        <f ca="1">IF(J60=0,E35,(J48+J60))*N30</f>
        <v>19241.565707302489</v>
      </c>
      <c r="D22" s="89"/>
      <c r="E22" s="89">
        <f ca="1">IF(K60=0,H35,(N48+N60)/(M48+M60))</f>
        <v>118.933515</v>
      </c>
      <c r="F22" s="77">
        <f ca="1">E22*C22</f>
        <v>2288467.0436729463</v>
      </c>
      <c r="G22" s="788"/>
      <c r="H22" s="789"/>
      <c r="K22" s="68" t="s">
        <v>1264</v>
      </c>
      <c r="L22" s="1531">
        <f>SUMIFS(TabPerdaDIT[Valor],TabPerdaDIT[Dados de perda],"Perdas RB")</f>
        <v>0</v>
      </c>
    </row>
    <row r="23" spans="1:22">
      <c r="B23" s="1273" t="s">
        <v>1265</v>
      </c>
      <c r="C23" s="1274">
        <f ca="1">SUM(C18:C22)</f>
        <v>19534.821867000002</v>
      </c>
      <c r="D23" s="1275"/>
      <c r="E23" s="1275">
        <f ca="1">IF(SUM(C18:C22)=0,0,SUM(F18:F22)/SUM(C18:C22))</f>
        <v>117.14808864158792</v>
      </c>
      <c r="F23" s="1276">
        <f ca="1">SUM(F18:F22)</f>
        <v>2288467.0436729463</v>
      </c>
      <c r="G23" s="788"/>
      <c r="H23" s="789"/>
      <c r="K23" s="68" t="s">
        <v>1266</v>
      </c>
      <c r="L23" s="1531">
        <f>SUMIFS(TabPerdaDIT[Valor],TabPerdaDIT[Dados de perda],"Perdas DITs")</f>
        <v>0</v>
      </c>
    </row>
    <row r="24" spans="1:22" ht="27.75" customHeight="1">
      <c r="F24" s="135"/>
      <c r="G24" s="788"/>
      <c r="H24" s="835"/>
      <c r="J24" s="72"/>
      <c r="K24" s="1604" t="s">
        <v>1267</v>
      </c>
      <c r="L24" s="1605">
        <f ca="1">SUMIF(CUSD!F6:F30,"Energia",CUSD!G6:G30)/1000-L7</f>
        <v>20601.942999999999</v>
      </c>
      <c r="M24" s="68">
        <f ca="1">LnkTXTEV</f>
        <v>16377.068000000003</v>
      </c>
    </row>
    <row r="25" spans="1:22">
      <c r="E25" s="93"/>
      <c r="F25" s="135"/>
      <c r="G25" s="127"/>
      <c r="H25" s="72"/>
      <c r="I25" s="72"/>
      <c r="J25" s="72"/>
      <c r="K25" s="1604" t="s">
        <v>929</v>
      </c>
      <c r="L25" s="1606">
        <f>E35+L26+C70</f>
        <v>20601.942999999999</v>
      </c>
      <c r="M25" s="771">
        <f ca="1">L24/L25-1</f>
        <v>0</v>
      </c>
    </row>
    <row r="26" spans="1:22">
      <c r="A26" s="74"/>
      <c r="B26" s="883" t="s">
        <v>1268</v>
      </c>
      <c r="D26" s="72"/>
      <c r="F26" s="91"/>
      <c r="G26" s="72"/>
      <c r="H26" s="72"/>
      <c r="I26" s="72"/>
      <c r="K26" s="1604" t="s">
        <v>1269</v>
      </c>
      <c r="L26" s="1607">
        <f>SUMIFS(Faturas!V:V,Faturas!U:U,"Proinfa*")/1000</f>
        <v>301.45800000000003</v>
      </c>
    </row>
    <row r="27" spans="1:22" ht="24" customHeight="1">
      <c r="B27" s="1608" t="s">
        <v>25</v>
      </c>
      <c r="C27" s="1608" t="s">
        <v>1009</v>
      </c>
      <c r="D27" s="1608" t="s">
        <v>1270</v>
      </c>
      <c r="E27" s="1608" t="s">
        <v>57</v>
      </c>
      <c r="F27" s="1608" t="s">
        <v>1271</v>
      </c>
      <c r="G27" s="1277" t="s">
        <v>1272</v>
      </c>
      <c r="H27" s="1277" t="s">
        <v>1273</v>
      </c>
      <c r="I27" s="1277" t="s">
        <v>1274</v>
      </c>
      <c r="K27" s="130"/>
      <c r="L27" s="831"/>
      <c r="M27" s="101"/>
      <c r="N27" s="101"/>
    </row>
    <row r="28" spans="1:22">
      <c r="A28" s="74" t="s">
        <v>2294</v>
      </c>
      <c r="B28" s="521" t="s">
        <v>2295</v>
      </c>
      <c r="C28" s="521" t="s">
        <v>259</v>
      </c>
      <c r="D28" s="521">
        <f>IF(B28="","",SUMIFS(Faturas!V:V,Faturas!U:U,"Consumo*",Faturas!S:S,Energia!C28,Faturas!R:R,Energia!B28))</f>
        <v>20300485</v>
      </c>
      <c r="E28" s="521">
        <f>IF(B28="","",D28/1000)</f>
        <v>20300.485000000001</v>
      </c>
      <c r="F28" s="613">
        <f>I28</f>
        <v>0.58150000000000002</v>
      </c>
      <c r="G28" s="522">
        <f>IFERROR(VLOOKUP(CONCATENATE(A28,A78),BD!$H$43:$S$59,12,FALSE),"")</f>
        <v>284.19</v>
      </c>
      <c r="H28" s="522">
        <f>IF(B28="","",IFERROR(G28*(1-F28),0))</f>
        <v>118.933515</v>
      </c>
      <c r="I28" s="520">
        <f>IF(A78="","",_xlfn.IFNA(VLOOKUP(CONCATENATE($B$2,A28,A78),DescontosTE[[#All],[chave]:[2021]],8,FALSE),0))</f>
        <v>0.58150000000000002</v>
      </c>
      <c r="K28" s="71" t="s">
        <v>1275</v>
      </c>
      <c r="P28" s="68" t="s">
        <v>57</v>
      </c>
      <c r="Q28" s="68" t="s">
        <v>1271</v>
      </c>
      <c r="R28" s="68" t="s">
        <v>1272</v>
      </c>
      <c r="S28" s="68" t="s">
        <v>1273</v>
      </c>
      <c r="T28" s="68" t="s">
        <v>1274</v>
      </c>
    </row>
    <row r="29" spans="1:22" ht="16.5">
      <c r="A29" s="74"/>
      <c r="B29" s="521"/>
      <c r="C29" s="521"/>
      <c r="D29" s="521" t="str">
        <f>IF(B29="","",SUMIFS(Faturas!V:V,Faturas!U:U,"Consumo*",Faturas!S:S,Energia!C29,Faturas!R:R,Energia!B29))</f>
        <v/>
      </c>
      <c r="E29" s="521" t="str">
        <f>IF(B29="","",D29/1000)</f>
        <v/>
      </c>
      <c r="F29" s="613"/>
      <c r="G29" s="522"/>
      <c r="H29" s="522" t="str">
        <f t="shared" ref="H29:H34" si="0">IF(B29="","",IFERROR(G29*(1-F29),0))</f>
        <v/>
      </c>
      <c r="I29" s="520" t="str">
        <f>IF(A79="","",_xlfn.IFNA(VLOOKUP(CONCATENATE($B$2,A29,A79),DescontosTE[[#All],[chave]:[2021]],8,FALSE),0))</f>
        <v/>
      </c>
      <c r="K29" s="1278" t="s">
        <v>20</v>
      </c>
      <c r="L29" s="1609" t="s">
        <v>1276</v>
      </c>
      <c r="M29" s="1609" t="s">
        <v>1277</v>
      </c>
      <c r="N29" s="1279" t="s">
        <v>1278</v>
      </c>
      <c r="O29" s="130"/>
      <c r="P29" s="68">
        <v>88939.902920000008</v>
      </c>
      <c r="Q29" s="68">
        <f>Q30</f>
        <v>0.63819999999999999</v>
      </c>
      <c r="R29" s="68">
        <v>273.60000000000002</v>
      </c>
      <c r="S29" s="522">
        <f ca="1">IF(M30="","",IFERROR(R29*(1-Q29),0))</f>
        <v>98.98848000000001</v>
      </c>
      <c r="T29" s="141">
        <f ca="1">S29*P29</f>
        <v>8804025.801398363</v>
      </c>
      <c r="U29" s="68">
        <f>R29*P29</f>
        <v>24333957.438912004</v>
      </c>
      <c r="V29" s="141">
        <f ca="1">U29-T29</f>
        <v>15529931.637513641</v>
      </c>
    </row>
    <row r="30" spans="1:22">
      <c r="A30" s="74"/>
      <c r="B30" s="521"/>
      <c r="C30" s="521"/>
      <c r="D30" s="521" t="str">
        <f>IF(B30="","",SUMIFS(Faturas!V:V,Faturas!U:U,"Consumo*",Faturas!S:S,Energia!C30,Faturas!R:R,Energia!B30))</f>
        <v/>
      </c>
      <c r="E30" s="521" t="str">
        <f>IF(B30="","",D30/1000)</f>
        <v/>
      </c>
      <c r="F30" s="613" t="str">
        <f>I30</f>
        <v/>
      </c>
      <c r="G30" s="522" t="str">
        <f>IFERROR(VLOOKUP(CONCATENATE(A30,A80),BD!$H$43:$S$59,12,FALSE),"")</f>
        <v/>
      </c>
      <c r="H30" s="522" t="str">
        <f t="shared" si="0"/>
        <v/>
      </c>
      <c r="I30" s="520" t="str">
        <f>IF(A80="","",_xlfn.IFNA(VLOOKUP(CONCATENATE($B$2,A30,A80),DescontosTE[[#All],[chave]:[2021]],8,FALSE),0))</f>
        <v/>
      </c>
      <c r="K30" s="68" t="s">
        <v>1279</v>
      </c>
      <c r="L30" s="141">
        <f>IF(J60=0,E35,(J48+J60))+C63+C64+C65+C70</f>
        <v>20300.485000000001</v>
      </c>
      <c r="M30" s="93">
        <f ca="1">LnkTXTER-LnkTXTProinfa</f>
        <v>19241.565707302489</v>
      </c>
      <c r="N30" s="211">
        <f ca="1">M30/L30</f>
        <v>0.94783773428578122</v>
      </c>
      <c r="O30" s="130"/>
      <c r="P30" s="68">
        <v>121096.97702999999</v>
      </c>
      <c r="Q30" s="68">
        <v>0.63819999999999999</v>
      </c>
      <c r="R30" s="68">
        <v>273.60000000000002</v>
      </c>
      <c r="S30" s="522" t="str">
        <f>IF(J28="","",IFERROR(R30*(1-Q30),0))</f>
        <v/>
      </c>
      <c r="T30" s="141" t="e">
        <f t="shared" ref="T30" si="1">S30*P30</f>
        <v>#VALUE!</v>
      </c>
      <c r="U30" s="68">
        <f t="shared" ref="U30" si="2">R30*P30</f>
        <v>33132132.915408</v>
      </c>
      <c r="V30" s="141" t="e">
        <f t="shared" ref="V30:V31" si="3">U30-T30</f>
        <v>#VALUE!</v>
      </c>
    </row>
    <row r="31" spans="1:22" ht="15.75">
      <c r="A31" s="74"/>
      <c r="B31" s="521"/>
      <c r="C31" s="521"/>
      <c r="D31" s="521" t="str">
        <f>IF(B31="","",SUMIFS(Faturas!V:V,Faturas!U:U,"Consumo*",Faturas!S:S,Energia!C31,Faturas!R:R,Energia!B31))</f>
        <v/>
      </c>
      <c r="E31" s="521" t="str">
        <f t="shared" ref="E31:E34" si="4">IF(B31="","",D31/1000)</f>
        <v/>
      </c>
      <c r="F31" s="613" t="str">
        <f t="shared" ref="F31:F32" si="5">I31</f>
        <v/>
      </c>
      <c r="G31" s="522" t="str">
        <f>IFERROR(VLOOKUP(CONCATENATE(A31,A81),BD!$H$43:$S$59,12,FALSE),"")</f>
        <v/>
      </c>
      <c r="H31" s="522" t="str">
        <f t="shared" si="0"/>
        <v/>
      </c>
      <c r="I31" s="520" t="str">
        <f>IF(A81="","",_xlfn.IFNA(VLOOKUP(CONCATENATE($B$2,A31,A81),DescontosTE[[#All],[chave]:[2021]],8,FALSE),0))</f>
        <v/>
      </c>
      <c r="K31" s="819"/>
      <c r="L31" s="821"/>
      <c r="M31" s="820"/>
      <c r="N31" s="822"/>
      <c r="O31" s="130"/>
      <c r="P31" s="68">
        <v>252593.90320000003</v>
      </c>
      <c r="Q31" s="68">
        <v>0.53600000000000003</v>
      </c>
      <c r="R31" s="68">
        <v>273.60000000000002</v>
      </c>
      <c r="S31" s="522" t="str">
        <f>IF(J29="","",IFERROR(R31*(1-Q31),0))</f>
        <v/>
      </c>
      <c r="T31" s="141" t="e">
        <f>S31*P31</f>
        <v>#VALUE!</v>
      </c>
      <c r="U31" s="68">
        <f>R31*P31</f>
        <v>69109691.915520012</v>
      </c>
      <c r="V31" s="141" t="e">
        <f t="shared" si="3"/>
        <v>#VALUE!</v>
      </c>
    </row>
    <row r="32" spans="1:22" ht="15.75">
      <c r="A32" s="74"/>
      <c r="B32" s="521"/>
      <c r="C32" s="521"/>
      <c r="D32" s="521" t="str">
        <f>IF(B32="","",SUMIFS(Faturas!V:V,Faturas!U:U,"Consumo*",Faturas!S:S,Energia!C32,Faturas!R:R,Energia!B32))</f>
        <v/>
      </c>
      <c r="E32" s="521" t="str">
        <f t="shared" si="4"/>
        <v/>
      </c>
      <c r="F32" s="613" t="str">
        <f t="shared" si="5"/>
        <v/>
      </c>
      <c r="G32" s="522" t="str">
        <f>IFERROR(VLOOKUP(CONCATENATE(A32,A82),BD!$H$43:$S$59,12,FALSE),"")</f>
        <v/>
      </c>
      <c r="H32" s="522" t="str">
        <f t="shared" si="0"/>
        <v/>
      </c>
      <c r="I32" s="520" t="str">
        <f>IF(A82="","",_xlfn.IFNA(VLOOKUP(CONCATENATE($B$2,A32,A82),DescontosTE[[#All],[chave]:[2021]],8,FALSE),0))</f>
        <v/>
      </c>
      <c r="K32" s="1752"/>
      <c r="L32" s="1752"/>
      <c r="M32" s="823"/>
      <c r="N32" s="823"/>
      <c r="P32" s="68" t="s">
        <v>175</v>
      </c>
      <c r="Q32" s="68" t="s">
        <v>175</v>
      </c>
      <c r="R32" s="68" t="s">
        <v>175</v>
      </c>
      <c r="S32" s="68" t="s">
        <v>175</v>
      </c>
      <c r="T32" s="141" t="e">
        <f ca="1">SUM(T29:T31)</f>
        <v>#VALUE!</v>
      </c>
      <c r="V32" s="141" t="e">
        <f ca="1">SUM(V29:V31)</f>
        <v>#VALUE!</v>
      </c>
    </row>
    <row r="33" spans="1:22" ht="16.5" customHeight="1">
      <c r="A33" s="74"/>
      <c r="B33" s="521"/>
      <c r="C33" s="521"/>
      <c r="D33" s="521"/>
      <c r="E33" s="521" t="str">
        <f t="shared" si="4"/>
        <v/>
      </c>
      <c r="F33" s="613" t="str">
        <f t="shared" ref="F33:F34" si="6">IF(B33="","",I33)</f>
        <v/>
      </c>
      <c r="G33" s="522" t="str">
        <f>IFERROR(VLOOKUP(CONCATENATE(A33,A83),BD!$H$43:$S$59,12,FALSE),"")</f>
        <v/>
      </c>
      <c r="H33" s="522" t="str">
        <f t="shared" si="0"/>
        <v/>
      </c>
      <c r="I33" s="520" t="str">
        <f>IF(A83="","",_xlfn.IFNA(VLOOKUP(CONCATENATE($B$2,A33,A83),DescontosTE[[#All],[chave]:[2021]],8,FALSE),0))</f>
        <v/>
      </c>
      <c r="K33" s="824"/>
      <c r="L33" s="825"/>
      <c r="M33" s="823"/>
      <c r="N33" s="821"/>
      <c r="O33" s="130"/>
      <c r="P33" s="68" t="s">
        <v>175</v>
      </c>
      <c r="Q33" s="68" t="s">
        <v>175</v>
      </c>
      <c r="R33" s="68" t="s">
        <v>175</v>
      </c>
      <c r="S33" s="68" t="s">
        <v>175</v>
      </c>
      <c r="T33" s="68">
        <v>20662164.890662618</v>
      </c>
      <c r="U33" s="68">
        <v>25993414.128396805</v>
      </c>
      <c r="V33" s="68">
        <f>U33-T33</f>
        <v>5331249.2377341874</v>
      </c>
    </row>
    <row r="34" spans="1:22" ht="18" customHeight="1">
      <c r="A34" s="74"/>
      <c r="B34" s="521"/>
      <c r="C34" s="521"/>
      <c r="D34" s="521" t="str">
        <f>IF(B34="","",SUMIFS(Faturas!V:V,Faturas!U:U,"Consumo*",Faturas!S:S,Energia!C34,Faturas!R:R,Energia!B34))</f>
        <v/>
      </c>
      <c r="E34" s="521" t="str">
        <f t="shared" si="4"/>
        <v/>
      </c>
      <c r="F34" s="613" t="str">
        <f t="shared" si="6"/>
        <v/>
      </c>
      <c r="G34" s="522" t="str">
        <f>IFERROR(VLOOKUP(CONCATENATE(A34,A84),BD!$H$43:$S$59,12,FALSE),"")</f>
        <v/>
      </c>
      <c r="H34" s="522" t="str">
        <f t="shared" si="0"/>
        <v/>
      </c>
      <c r="I34" s="520" t="str">
        <f>IF(A84="","",_xlfn.IFNA(VLOOKUP(CONCATENATE($B$2,A34,A84),DescontosTE[[#All],[chave]:[2021]],8,FALSE),0))</f>
        <v/>
      </c>
      <c r="K34" s="994"/>
      <c r="L34" s="994"/>
      <c r="M34" s="769"/>
      <c r="N34" s="101"/>
      <c r="O34" s="130"/>
      <c r="V34" s="141" t="e">
        <f ca="1">V32+V33</f>
        <v>#VALUE!</v>
      </c>
    </row>
    <row r="35" spans="1:22" ht="14.25" customHeight="1">
      <c r="A35" s="74"/>
      <c r="B35" s="750"/>
      <c r="C35" s="751"/>
      <c r="D35" s="752">
        <f>SUM(D28:D34)</f>
        <v>20300485</v>
      </c>
      <c r="E35" s="752">
        <f>SUM(E28:E34)</f>
        <v>20300.485000000001</v>
      </c>
      <c r="F35" s="749"/>
      <c r="G35" s="745">
        <f>IFERROR(SUMPRODUCT(G28:G34,E28:E34)/SUM(E28:E34),0)</f>
        <v>284.19</v>
      </c>
      <c r="H35" s="746">
        <f>IFERROR(SUMPRODUCT(H28:H34,E28:E34)/SUM(E28:E34),0)</f>
        <v>118.933515</v>
      </c>
      <c r="I35" s="745"/>
      <c r="K35" s="101"/>
      <c r="L35" s="769"/>
      <c r="M35" s="769"/>
      <c r="N35" s="770"/>
      <c r="O35" s="130"/>
      <c r="P35" s="68" t="s">
        <v>175</v>
      </c>
      <c r="Q35" s="68" t="s">
        <v>175</v>
      </c>
      <c r="R35" s="68" t="s">
        <v>175</v>
      </c>
      <c r="S35" s="68" t="s">
        <v>175</v>
      </c>
      <c r="T35" s="68" t="s">
        <v>175</v>
      </c>
    </row>
    <row r="36" spans="1:22" ht="24" customHeight="1">
      <c r="A36" s="74"/>
      <c r="C36" s="68"/>
      <c r="J36" s="74"/>
      <c r="O36" s="130"/>
    </row>
    <row r="37" spans="1:22" ht="24" customHeight="1">
      <c r="A37" s="74"/>
      <c r="B37" s="883" t="s">
        <v>1280</v>
      </c>
      <c r="C37" s="68"/>
      <c r="J37" s="74"/>
      <c r="O37" s="130"/>
    </row>
    <row r="38" spans="1:22" ht="24" customHeight="1">
      <c r="A38" s="74"/>
      <c r="C38" s="68"/>
      <c r="J38" s="74"/>
      <c r="O38" s="130"/>
    </row>
    <row r="39" spans="1:22" ht="24" customHeight="1">
      <c r="A39" s="74"/>
      <c r="B39" s="883" t="s">
        <v>1281</v>
      </c>
      <c r="C39" s="69"/>
      <c r="G39" s="137"/>
      <c r="J39" s="1754" t="s">
        <v>2331</v>
      </c>
      <c r="K39" s="1754"/>
      <c r="L39" s="72"/>
      <c r="O39" s="130"/>
    </row>
    <row r="40" spans="1:22" ht="24" customHeight="1">
      <c r="A40" s="74"/>
      <c r="B40" s="1280" t="s">
        <v>905</v>
      </c>
      <c r="C40" s="1281" t="s">
        <v>1282</v>
      </c>
      <c r="D40" s="1282"/>
      <c r="E40" s="1281" t="s">
        <v>70</v>
      </c>
      <c r="F40" s="1281" t="s">
        <v>69</v>
      </c>
      <c r="G40" s="1281" t="s">
        <v>1283</v>
      </c>
      <c r="H40" s="1281" t="s">
        <v>1284</v>
      </c>
      <c r="I40" s="1281" t="s">
        <v>1285</v>
      </c>
      <c r="J40" s="1281" t="s">
        <v>57</v>
      </c>
      <c r="K40" s="1281" t="s">
        <v>1286</v>
      </c>
      <c r="L40" s="1281" t="s">
        <v>1287</v>
      </c>
      <c r="M40" s="1281" t="s">
        <v>1288</v>
      </c>
      <c r="N40" s="1281" t="s">
        <v>1289</v>
      </c>
      <c r="O40" s="130"/>
    </row>
    <row r="41" spans="1:22" ht="24" customHeight="1">
      <c r="A41" s="74"/>
      <c r="B41" s="1524" t="s">
        <v>202</v>
      </c>
      <c r="C41" s="1524" t="s">
        <v>2322</v>
      </c>
      <c r="D41" s="1524" t="s">
        <v>2330</v>
      </c>
      <c r="E41" s="1525"/>
      <c r="F41" s="1526"/>
      <c r="G41" s="1527"/>
      <c r="H41" s="1528"/>
      <c r="I41" s="1525"/>
      <c r="J41" s="1524">
        <v>19200</v>
      </c>
      <c r="K41" s="1529">
        <f>H28</f>
        <v>118.933515</v>
      </c>
      <c r="L41" s="817">
        <f>IFERROR(J41*K41,0)</f>
        <v>2283523.4879999999</v>
      </c>
      <c r="M41" s="826">
        <f t="shared" ref="M41:M47" ca="1" si="7">IFERROR(J41*$N$30,0)</f>
        <v>18198.484498286998</v>
      </c>
      <c r="N41" s="817">
        <f ca="1">IFERROR(K41*M41,0)</f>
        <v>2164409.7290542843</v>
      </c>
      <c r="O41" s="130"/>
    </row>
    <row r="42" spans="1:22" ht="24" customHeight="1">
      <c r="A42" s="74"/>
      <c r="B42" s="1524"/>
      <c r="C42" s="1524"/>
      <c r="D42" s="1524"/>
      <c r="E42" s="1525"/>
      <c r="F42" s="1526"/>
      <c r="G42" s="1527"/>
      <c r="H42" s="1528"/>
      <c r="I42" s="1530"/>
      <c r="J42" s="1524"/>
      <c r="K42" s="1529">
        <f>H8</f>
        <v>0</v>
      </c>
      <c r="L42" s="817">
        <f>IFERROR(J42*K42,0)</f>
        <v>0</v>
      </c>
      <c r="M42" s="826">
        <f t="shared" ca="1" si="7"/>
        <v>0</v>
      </c>
      <c r="N42" s="817">
        <f ca="1">IFERROR(K42*M42,0)</f>
        <v>0</v>
      </c>
      <c r="O42" s="130"/>
    </row>
    <row r="43" spans="1:22" ht="24" customHeight="1">
      <c r="A43" s="74"/>
      <c r="B43" s="1524"/>
      <c r="C43" s="1524"/>
      <c r="D43" s="1524" t="s">
        <v>175</v>
      </c>
      <c r="E43" s="1525" t="str">
        <f t="shared" ref="E43:E47" si="8">IF(B43="","",D43/1000)</f>
        <v/>
      </c>
      <c r="F43" s="1526" t="str">
        <f>IF(B43="","",I43)</f>
        <v/>
      </c>
      <c r="G43" s="1527" t="s">
        <v>175</v>
      </c>
      <c r="H43" s="1528">
        <v>0</v>
      </c>
      <c r="I43" s="1525">
        <v>0</v>
      </c>
      <c r="J43" s="1524"/>
      <c r="K43" s="1529">
        <f>IFERROR(E43*(VLOOKUP(EDATE(G43,-1),Índices!#REF!,3,FALSE)/VLOOKUP(EDATE(F43,-1),Índices!#REF!,3,FALSE)),0)</f>
        <v>0</v>
      </c>
      <c r="L43" s="817">
        <f t="shared" ref="L43:L47" si="9">J43*K43</f>
        <v>0</v>
      </c>
      <c r="M43" s="826">
        <f t="shared" ca="1" si="7"/>
        <v>0</v>
      </c>
      <c r="N43" s="817">
        <f t="shared" ref="N43:N47" ca="1" si="10">K43*M43</f>
        <v>0</v>
      </c>
      <c r="O43" s="130"/>
    </row>
    <row r="44" spans="1:22" ht="24" customHeight="1">
      <c r="A44" s="74"/>
      <c r="B44" s="1524"/>
      <c r="C44" s="1524"/>
      <c r="D44" s="1524" t="s">
        <v>175</v>
      </c>
      <c r="E44" s="1525" t="str">
        <f t="shared" si="8"/>
        <v/>
      </c>
      <c r="F44" s="1526" t="str">
        <f>IF(B44="","",I44)</f>
        <v/>
      </c>
      <c r="G44" s="1527" t="s">
        <v>175</v>
      </c>
      <c r="H44" s="1528">
        <v>0</v>
      </c>
      <c r="I44" s="1525">
        <v>0</v>
      </c>
      <c r="J44" s="1524"/>
      <c r="K44" s="1529">
        <f>IFERROR(E44*(VLOOKUP(EDATE(G44,-1),Índices!#REF!,3,FALSE)/VLOOKUP(EDATE(F44,-1),Índices!#REF!,3,FALSE)),0)</f>
        <v>0</v>
      </c>
      <c r="L44" s="817">
        <f t="shared" si="9"/>
        <v>0</v>
      </c>
      <c r="M44" s="826">
        <f t="shared" ca="1" si="7"/>
        <v>0</v>
      </c>
      <c r="N44" s="817">
        <f ca="1">K44*M44</f>
        <v>0</v>
      </c>
      <c r="O44" s="130"/>
    </row>
    <row r="45" spans="1:22" ht="24" customHeight="1">
      <c r="A45" s="74"/>
      <c r="B45" s="1524"/>
      <c r="C45" s="1524"/>
      <c r="D45" s="1524" t="s">
        <v>175</v>
      </c>
      <c r="E45" s="1525" t="str">
        <f t="shared" si="8"/>
        <v/>
      </c>
      <c r="F45" s="1526" t="str">
        <f>IF(B45="","",I45)</f>
        <v/>
      </c>
      <c r="G45" s="1527" t="s">
        <v>175</v>
      </c>
      <c r="H45" s="1528">
        <v>0</v>
      </c>
      <c r="I45" s="1525">
        <v>0</v>
      </c>
      <c r="J45" s="1524"/>
      <c r="K45" s="1529">
        <f>IFERROR(E45*(VLOOKUP(EDATE(G45,-1),Índices!#REF!,3,FALSE)/VLOOKUP(EDATE(F45,-1),Índices!#REF!,3,FALSE)),0)</f>
        <v>0</v>
      </c>
      <c r="L45" s="817">
        <f t="shared" si="9"/>
        <v>0</v>
      </c>
      <c r="M45" s="826">
        <f t="shared" ca="1" si="7"/>
        <v>0</v>
      </c>
      <c r="N45" s="817">
        <f t="shared" ca="1" si="10"/>
        <v>0</v>
      </c>
      <c r="O45" s="130"/>
    </row>
    <row r="46" spans="1:22" ht="24" customHeight="1">
      <c r="A46" s="74"/>
      <c r="B46" s="1524"/>
      <c r="C46" s="1524"/>
      <c r="D46" s="1524" t="s">
        <v>175</v>
      </c>
      <c r="E46" s="1525" t="str">
        <f t="shared" si="8"/>
        <v/>
      </c>
      <c r="F46" s="1526" t="str">
        <f>IF(B46="","",I46)</f>
        <v/>
      </c>
      <c r="G46" s="1527" t="s">
        <v>175</v>
      </c>
      <c r="H46" s="1528">
        <v>0</v>
      </c>
      <c r="I46" s="1525">
        <v>0</v>
      </c>
      <c r="J46" s="1524"/>
      <c r="K46" s="1529">
        <f>IFERROR(E46*(VLOOKUP(EDATE(G46,-1),Índices!#REF!,3,FALSE)/VLOOKUP(EDATE(F46,-1),Índices!#REF!,3,FALSE)),0)</f>
        <v>0</v>
      </c>
      <c r="L46" s="817">
        <f t="shared" si="9"/>
        <v>0</v>
      </c>
      <c r="M46" s="826">
        <f t="shared" ca="1" si="7"/>
        <v>0</v>
      </c>
      <c r="N46" s="817">
        <f t="shared" ca="1" si="10"/>
        <v>0</v>
      </c>
      <c r="O46" s="130"/>
    </row>
    <row r="47" spans="1:22" ht="24" customHeight="1">
      <c r="A47" s="74"/>
      <c r="B47" s="1524"/>
      <c r="C47" s="1524"/>
      <c r="D47" s="1524" t="s">
        <v>175</v>
      </c>
      <c r="E47" s="1525" t="str">
        <f t="shared" si="8"/>
        <v/>
      </c>
      <c r="F47" s="1526" t="str">
        <f>IF(B47="","",I47)</f>
        <v/>
      </c>
      <c r="G47" s="1527" t="s">
        <v>175</v>
      </c>
      <c r="H47" s="1528">
        <v>0</v>
      </c>
      <c r="I47" s="1525">
        <v>0</v>
      </c>
      <c r="J47" s="1524"/>
      <c r="K47" s="1529">
        <f>IFERROR(E47*(VLOOKUP(EDATE(G47,-1),Índices!#REF!,3,FALSE)/VLOOKUP(EDATE(F47,-1),Índices!#REF!,3,FALSE)),0)</f>
        <v>0</v>
      </c>
      <c r="L47" s="817">
        <f t="shared" si="9"/>
        <v>0</v>
      </c>
      <c r="M47" s="826">
        <f t="shared" ca="1" si="7"/>
        <v>0</v>
      </c>
      <c r="N47" s="817">
        <f t="shared" ca="1" si="10"/>
        <v>0</v>
      </c>
      <c r="O47" s="130"/>
    </row>
    <row r="48" spans="1:22" ht="24" customHeight="1">
      <c r="A48" s="74"/>
      <c r="B48" s="1283" t="s">
        <v>896</v>
      </c>
      <c r="C48" s="1284"/>
      <c r="D48" s="1284"/>
      <c r="E48" s="1283"/>
      <c r="F48" s="1283"/>
      <c r="G48" s="1285"/>
      <c r="H48" s="1283"/>
      <c r="I48" s="1283"/>
      <c r="J48" s="1286">
        <f>SUM(J41:J47)</f>
        <v>19200</v>
      </c>
      <c r="K48" s="1287">
        <f ca="1">IFERROR(SUMPRODUCT(K41:K47,M41:M47)/SUM(M41:M47),0)</f>
        <v>118.933515</v>
      </c>
      <c r="L48" s="1283"/>
      <c r="M48" s="1288">
        <f ca="1">SUM(M41:M47)</f>
        <v>18198.484498286998</v>
      </c>
      <c r="N48" s="1288">
        <f ca="1">SUM(N41:N47)</f>
        <v>2164409.7290542843</v>
      </c>
      <c r="O48" s="130"/>
    </row>
    <row r="49" spans="1:22" ht="24" customHeight="1">
      <c r="A49" s="74"/>
      <c r="C49" s="68"/>
      <c r="J49" s="74"/>
      <c r="O49" s="130"/>
    </row>
    <row r="50" spans="1:22" ht="24" customHeight="1">
      <c r="A50" s="74"/>
      <c r="C50" s="68"/>
      <c r="J50" s="74"/>
      <c r="O50" s="130"/>
    </row>
    <row r="51" spans="1:22" ht="18" customHeight="1">
      <c r="A51" s="74"/>
      <c r="B51" s="883" t="s">
        <v>1290</v>
      </c>
      <c r="C51" s="69"/>
      <c r="G51" s="137"/>
      <c r="O51" s="130"/>
      <c r="V51" s="68">
        <v>59464827.420289896</v>
      </c>
    </row>
    <row r="52" spans="1:22" ht="14.25" customHeight="1">
      <c r="A52" s="74"/>
      <c r="B52" s="1280" t="s">
        <v>905</v>
      </c>
      <c r="C52" s="1281" t="s">
        <v>1282</v>
      </c>
      <c r="D52" s="1282"/>
      <c r="E52" s="1281" t="s">
        <v>70</v>
      </c>
      <c r="F52" s="1281" t="s">
        <v>69</v>
      </c>
      <c r="G52" s="1281" t="s">
        <v>1283</v>
      </c>
      <c r="H52" s="1281" t="s">
        <v>1284</v>
      </c>
      <c r="I52" s="1281" t="s">
        <v>1285</v>
      </c>
      <c r="J52" s="1281" t="s">
        <v>57</v>
      </c>
      <c r="K52" s="1281" t="s">
        <v>1286</v>
      </c>
      <c r="L52" s="1281" t="s">
        <v>1287</v>
      </c>
      <c r="M52" s="1281" t="s">
        <v>1288</v>
      </c>
      <c r="N52" s="1281" t="s">
        <v>1289</v>
      </c>
      <c r="O52" s="130"/>
      <c r="V52" s="141" t="e">
        <f ca="1">V34-V51</f>
        <v>#VALUE!</v>
      </c>
    </row>
    <row r="53" spans="1:22" ht="18" customHeight="1">
      <c r="A53" s="74"/>
      <c r="B53" s="1524"/>
      <c r="C53" s="1524"/>
      <c r="D53" s="1524"/>
      <c r="E53" s="1525"/>
      <c r="F53" s="1526"/>
      <c r="G53" s="1527"/>
      <c r="H53" s="1528"/>
      <c r="I53" s="1525"/>
      <c r="J53" s="1524"/>
      <c r="K53" s="1529">
        <f>H28</f>
        <v>118.933515</v>
      </c>
      <c r="L53" s="817">
        <f>IFERROR(J53*K53,0)</f>
        <v>0</v>
      </c>
      <c r="M53" s="826">
        <f t="shared" ref="M53:M59" ca="1" si="11">IFERROR(J53*$N$30,0)</f>
        <v>0</v>
      </c>
      <c r="N53" s="817">
        <f ca="1">IFERROR(K53*M53,0)</f>
        <v>0</v>
      </c>
      <c r="O53" s="136"/>
    </row>
    <row r="54" spans="1:22">
      <c r="B54" s="1524"/>
      <c r="C54" s="1524"/>
      <c r="D54" s="1524"/>
      <c r="E54" s="1525"/>
      <c r="F54" s="1526"/>
      <c r="G54" s="1527"/>
      <c r="H54" s="1528"/>
      <c r="I54" s="1530"/>
      <c r="J54" s="1524"/>
      <c r="K54" s="1529" t="str">
        <f>H29</f>
        <v/>
      </c>
      <c r="L54" s="817">
        <f>IFERROR(J54*K54,0)</f>
        <v>0</v>
      </c>
      <c r="M54" s="826">
        <f t="shared" ca="1" si="11"/>
        <v>0</v>
      </c>
      <c r="N54" s="817">
        <f ca="1">IFERROR(K54*M54,0)</f>
        <v>0</v>
      </c>
      <c r="V54" s="68">
        <v>7728827.6146981604</v>
      </c>
    </row>
    <row r="55" spans="1:22">
      <c r="B55" s="1524"/>
      <c r="C55" s="1524"/>
      <c r="D55" s="1524" t="s">
        <v>175</v>
      </c>
      <c r="E55" s="1525" t="str">
        <f t="shared" ref="E55:E59" si="12">IF(B55="","",D55/1000)</f>
        <v/>
      </c>
      <c r="F55" s="1526" t="str">
        <f>IF(B55="","",I55)</f>
        <v/>
      </c>
      <c r="G55" s="1527" t="s">
        <v>175</v>
      </c>
      <c r="H55" s="1528">
        <v>0</v>
      </c>
      <c r="I55" s="1525">
        <v>0</v>
      </c>
      <c r="J55" s="1524"/>
      <c r="K55" s="1529">
        <f>IFERROR(E55*(VLOOKUP(EDATE(G55,-1),Índices!B7:D501,3,FALSE)/VLOOKUP(EDATE(F55,-1),Índices!B7:D501,3,FALSE)),0)</f>
        <v>0</v>
      </c>
      <c r="L55" s="817">
        <f t="shared" ref="L55:L59" si="13">J55*K55</f>
        <v>0</v>
      </c>
      <c r="M55" s="826">
        <f t="shared" ca="1" si="11"/>
        <v>0</v>
      </c>
      <c r="N55" s="817">
        <f t="shared" ref="N55:N59" ca="1" si="14">K55*M55</f>
        <v>0</v>
      </c>
    </row>
    <row r="56" spans="1:22">
      <c r="B56" s="1524"/>
      <c r="C56" s="1524"/>
      <c r="D56" s="1524" t="s">
        <v>175</v>
      </c>
      <c r="E56" s="1525" t="str">
        <f t="shared" si="12"/>
        <v/>
      </c>
      <c r="F56" s="1526" t="str">
        <f>IF(B56="","",I56)</f>
        <v/>
      </c>
      <c r="G56" s="1527" t="s">
        <v>175</v>
      </c>
      <c r="H56" s="1528">
        <v>0</v>
      </c>
      <c r="I56" s="1525">
        <v>0</v>
      </c>
      <c r="J56" s="1524"/>
      <c r="K56" s="1529">
        <f>IFERROR(E56*(VLOOKUP(EDATE(G56,-1),Índices!B8:D502,3,FALSE)/VLOOKUP(EDATE(F56,-1),Índices!B8:D502,3,FALSE)),0)</f>
        <v>0</v>
      </c>
      <c r="L56" s="817">
        <f t="shared" si="13"/>
        <v>0</v>
      </c>
      <c r="M56" s="826">
        <f t="shared" ca="1" si="11"/>
        <v>0</v>
      </c>
      <c r="N56" s="817">
        <f t="shared" ca="1" si="14"/>
        <v>0</v>
      </c>
      <c r="V56" s="141" t="e">
        <f ca="1">V52+V54</f>
        <v>#VALUE!</v>
      </c>
    </row>
    <row r="57" spans="1:22">
      <c r="B57" s="1524"/>
      <c r="C57" s="1524"/>
      <c r="D57" s="1524" t="s">
        <v>175</v>
      </c>
      <c r="E57" s="1525" t="str">
        <f t="shared" si="12"/>
        <v/>
      </c>
      <c r="F57" s="1526" t="str">
        <f>IF(B57="","",I57)</f>
        <v/>
      </c>
      <c r="G57" s="1527" t="s">
        <v>175</v>
      </c>
      <c r="H57" s="1528">
        <v>0</v>
      </c>
      <c r="I57" s="1525">
        <v>0</v>
      </c>
      <c r="J57" s="1524"/>
      <c r="K57" s="1529">
        <f>IFERROR(E57*(VLOOKUP(EDATE(G57,-1),Índices!B9:D503,3,FALSE)/VLOOKUP(EDATE(F57,-1),Índices!B9:D503,3,FALSE)),0)</f>
        <v>0</v>
      </c>
      <c r="L57" s="817">
        <f t="shared" si="13"/>
        <v>0</v>
      </c>
      <c r="M57" s="826">
        <f t="shared" ca="1" si="11"/>
        <v>0</v>
      </c>
      <c r="N57" s="817">
        <f t="shared" ca="1" si="14"/>
        <v>0</v>
      </c>
    </row>
    <row r="58" spans="1:22">
      <c r="B58" s="1524"/>
      <c r="C58" s="1524"/>
      <c r="D58" s="1524" t="s">
        <v>175</v>
      </c>
      <c r="E58" s="1525" t="str">
        <f t="shared" si="12"/>
        <v/>
      </c>
      <c r="F58" s="1526" t="str">
        <f>IF(B58="","",I58)</f>
        <v/>
      </c>
      <c r="G58" s="1527" t="s">
        <v>175</v>
      </c>
      <c r="H58" s="1528">
        <v>0</v>
      </c>
      <c r="I58" s="1525">
        <v>0</v>
      </c>
      <c r="J58" s="1524"/>
      <c r="K58" s="1529">
        <f>IFERROR(E58*(VLOOKUP(EDATE(G58,-1),Índices!B10:D504,3,FALSE)/VLOOKUP(EDATE(F58,-1),Índices!B10:D504,3,FALSE)),0)</f>
        <v>0</v>
      </c>
      <c r="L58" s="817">
        <f t="shared" si="13"/>
        <v>0</v>
      </c>
      <c r="M58" s="826">
        <f t="shared" ca="1" si="11"/>
        <v>0</v>
      </c>
      <c r="N58" s="817">
        <f t="shared" ca="1" si="14"/>
        <v>0</v>
      </c>
    </row>
    <row r="59" spans="1:22">
      <c r="B59" s="1524"/>
      <c r="C59" s="1524"/>
      <c r="D59" s="1524" t="s">
        <v>175</v>
      </c>
      <c r="E59" s="1525" t="str">
        <f t="shared" si="12"/>
        <v/>
      </c>
      <c r="F59" s="1526" t="str">
        <f>IF(B59="","",I59)</f>
        <v/>
      </c>
      <c r="G59" s="1527" t="s">
        <v>175</v>
      </c>
      <c r="H59" s="1528">
        <v>0</v>
      </c>
      <c r="I59" s="1525">
        <v>0</v>
      </c>
      <c r="J59" s="1524"/>
      <c r="K59" s="1529">
        <f>IFERROR(E59*(VLOOKUP(EDATE(G59,-1),Índices!B11:D505,3,FALSE)/VLOOKUP(EDATE(F59,-1),Índices!B11:D505,3,FALSE)),0)</f>
        <v>0</v>
      </c>
      <c r="L59" s="817">
        <f t="shared" si="13"/>
        <v>0</v>
      </c>
      <c r="M59" s="826">
        <f t="shared" ca="1" si="11"/>
        <v>0</v>
      </c>
      <c r="N59" s="817">
        <f t="shared" ca="1" si="14"/>
        <v>0</v>
      </c>
    </row>
    <row r="60" spans="1:22">
      <c r="B60" s="1283" t="s">
        <v>896</v>
      </c>
      <c r="C60" s="1284"/>
      <c r="D60" s="1284"/>
      <c r="E60" s="1283"/>
      <c r="F60" s="1283"/>
      <c r="G60" s="1285"/>
      <c r="H60" s="1283"/>
      <c r="I60" s="1283"/>
      <c r="J60" s="1286">
        <f>SUM(J53:J59)</f>
        <v>0</v>
      </c>
      <c r="K60" s="1287">
        <f ca="1">IFERROR(SUMPRODUCT(K53:K59,M53:M59)/SUM(M53:M59),0)</f>
        <v>0</v>
      </c>
      <c r="L60" s="1283"/>
      <c r="M60" s="1288">
        <f ca="1">SUM(M53:M59)</f>
        <v>0</v>
      </c>
      <c r="N60" s="1288">
        <f ca="1">SUM(N53:N59)</f>
        <v>0</v>
      </c>
    </row>
    <row r="61" spans="1:22">
      <c r="C61" s="423"/>
      <c r="D61" s="423"/>
      <c r="E61" s="423"/>
      <c r="K61" s="68" t="s">
        <v>1291</v>
      </c>
    </row>
    <row r="62" spans="1:22" ht="15.75">
      <c r="B62" s="1289" t="s">
        <v>1292</v>
      </c>
      <c r="C62" s="1290" t="s">
        <v>1293</v>
      </c>
      <c r="D62" s="1291"/>
      <c r="E62" s="1292" t="s">
        <v>1294</v>
      </c>
      <c r="F62" s="1292" t="s">
        <v>1295</v>
      </c>
      <c r="H62" s="1293" t="s">
        <v>1296</v>
      </c>
      <c r="I62" s="1610" t="s">
        <v>47</v>
      </c>
      <c r="J62" s="1611" t="s">
        <v>48</v>
      </c>
      <c r="K62" s="1294" t="s">
        <v>1257</v>
      </c>
    </row>
    <row r="63" spans="1:22" ht="15.75">
      <c r="B63" s="78" t="s">
        <v>1297</v>
      </c>
      <c r="C63" s="832">
        <f>IF(ISERROR(VLOOKUP("Angra",AngraCota[],5,FALSE)),0,VLOOKUP("Angra",AngraCota[],5,FALSE))</f>
        <v>0</v>
      </c>
      <c r="D63" s="833">
        <f t="shared" ref="D63:D65" si="15">E63</f>
        <v>0</v>
      </c>
      <c r="E63" s="816">
        <f>IFERROR(VLOOKUP("Angra",AngraCota[],4,FALSE),0)</f>
        <v>0</v>
      </c>
      <c r="F63" s="108">
        <f>C63*E63</f>
        <v>0</v>
      </c>
      <c r="H63" s="1295" t="s">
        <v>1298</v>
      </c>
      <c r="I63" s="1612">
        <v>0.88500000000000001</v>
      </c>
      <c r="J63" s="1613">
        <v>195.04</v>
      </c>
      <c r="K63" s="1296">
        <f>(J63*(1-I63)*(C64+C65))</f>
        <v>0</v>
      </c>
    </row>
    <row r="64" spans="1:22" ht="15.75">
      <c r="B64" s="78" t="s">
        <v>1298</v>
      </c>
      <c r="C64" s="832">
        <f>BD!AE22</f>
        <v>0</v>
      </c>
      <c r="D64" s="833">
        <f t="shared" si="15"/>
        <v>0</v>
      </c>
      <c r="E64" s="816">
        <f>BD!AG22</f>
        <v>0</v>
      </c>
      <c r="F64" s="108">
        <f>C64*E64</f>
        <v>0</v>
      </c>
      <c r="H64" s="827" t="s">
        <v>1299</v>
      </c>
      <c r="I64" s="828">
        <f>I63</f>
        <v>0.88500000000000001</v>
      </c>
      <c r="J64" s="829">
        <f>J63</f>
        <v>195.04</v>
      </c>
      <c r="K64" s="830"/>
    </row>
    <row r="65" spans="1:11" ht="15.75">
      <c r="B65" s="78" t="s">
        <v>1298</v>
      </c>
      <c r="C65" s="832">
        <f>BD!AE23</f>
        <v>0</v>
      </c>
      <c r="D65" s="833">
        <f t="shared" si="15"/>
        <v>0</v>
      </c>
      <c r="E65" s="816">
        <f>BD!AG23</f>
        <v>0</v>
      </c>
      <c r="F65" s="108">
        <f>C65*E65</f>
        <v>0</v>
      </c>
      <c r="H65" s="1656" t="s">
        <v>1300</v>
      </c>
      <c r="I65" s="828">
        <f>I64</f>
        <v>0.88500000000000001</v>
      </c>
      <c r="J65" s="829">
        <f>J64</f>
        <v>195.04</v>
      </c>
      <c r="K65" s="830">
        <f>(J65*(1-I65)*I68*K68*365*24)</f>
        <v>0</v>
      </c>
    </row>
    <row r="66" spans="1:11" ht="15.75">
      <c r="B66" s="818"/>
      <c r="C66" s="818">
        <f>SUM(C63:C65)</f>
        <v>0</v>
      </c>
      <c r="D66" s="818"/>
      <c r="E66" s="818"/>
      <c r="F66" s="818">
        <f>SUM(F63:F65)</f>
        <v>0</v>
      </c>
      <c r="H66" s="1657" t="s">
        <v>1301</v>
      </c>
      <c r="I66" s="1297"/>
      <c r="J66" s="1298"/>
      <c r="K66" s="1299">
        <f>SUM(K63:K65)</f>
        <v>0</v>
      </c>
    </row>
    <row r="67" spans="1:11" ht="15.75">
      <c r="H67" s="1753" t="s">
        <v>50</v>
      </c>
      <c r="I67" s="1753"/>
      <c r="J67" s="1614"/>
      <c r="K67" s="1614" t="s">
        <v>49</v>
      </c>
    </row>
    <row r="68" spans="1:11" ht="15.75">
      <c r="C68" s="124">
        <f ca="1">+C64*N30</f>
        <v>0</v>
      </c>
      <c r="H68" s="813" t="str">
        <f>CAPA!C9</f>
        <v>Ceris</v>
      </c>
      <c r="I68" s="834" cm="1">
        <f t="array" ref="I68">GSFRH[Fator de rateio]</f>
        <v>0</v>
      </c>
      <c r="J68" s="974">
        <f>J63</f>
        <v>195.04</v>
      </c>
      <c r="K68" s="814" cm="1">
        <f t="array" ref="K68">GSFRH[MWm repactuado]</f>
        <v>14739.74</v>
      </c>
    </row>
    <row r="69" spans="1:11" ht="15">
      <c r="B69" s="1289" t="s">
        <v>1302</v>
      </c>
      <c r="C69" s="1290" t="s">
        <v>1293</v>
      </c>
      <c r="D69" s="1291"/>
      <c r="E69" s="1292" t="s">
        <v>1294</v>
      </c>
      <c r="F69" s="1292" t="s">
        <v>1295</v>
      </c>
    </row>
    <row r="70" spans="1:11">
      <c r="B70" s="78" t="s">
        <v>1303</v>
      </c>
      <c r="C70" s="832">
        <f>CAPA!D58</f>
        <v>0</v>
      </c>
      <c r="D70" s="833">
        <f t="shared" ref="D70" si="16">E70</f>
        <v>0</v>
      </c>
      <c r="E70" s="816">
        <v>0</v>
      </c>
      <c r="F70" s="108">
        <f>C70*E70</f>
        <v>0</v>
      </c>
    </row>
    <row r="71" spans="1:11">
      <c r="B71" s="78"/>
      <c r="C71" s="832"/>
      <c r="D71" s="833"/>
      <c r="E71" s="816"/>
      <c r="F71" s="108"/>
      <c r="J71" s="141"/>
    </row>
    <row r="72" spans="1:11">
      <c r="B72" s="818"/>
      <c r="C72" s="818">
        <f>SUM(C70:C71)</f>
        <v>0</v>
      </c>
      <c r="D72" s="818"/>
      <c r="E72" s="818"/>
      <c r="F72" s="818">
        <f>SUM(F70:F71)</f>
        <v>0</v>
      </c>
      <c r="J72" s="141"/>
    </row>
    <row r="77" spans="1:11">
      <c r="A77" s="68" t="s">
        <v>1304</v>
      </c>
    </row>
    <row r="78" spans="1:11">
      <c r="A78" s="68" t="str">
        <f>TRIM(LEFT(C28,3))</f>
        <v>A4</v>
      </c>
    </row>
    <row r="79" spans="1:11">
      <c r="A79" s="68" t="str">
        <f t="shared" ref="A79:A84" si="17">TRIM(LEFT(C29,3))</f>
        <v/>
      </c>
    </row>
    <row r="80" spans="1:11">
      <c r="A80" s="68" t="str">
        <f t="shared" si="17"/>
        <v/>
      </c>
    </row>
    <row r="81" spans="1:1">
      <c r="A81" s="68" t="str">
        <f t="shared" si="17"/>
        <v/>
      </c>
    </row>
    <row r="82" spans="1:1">
      <c r="A82" s="68" t="str">
        <f t="shared" si="17"/>
        <v/>
      </c>
    </row>
    <row r="83" spans="1:1">
      <c r="A83" s="68" t="str">
        <f t="shared" si="17"/>
        <v/>
      </c>
    </row>
    <row r="84" spans="1:1">
      <c r="A84" s="68" t="str">
        <f t="shared" si="17"/>
        <v/>
      </c>
    </row>
  </sheetData>
  <mergeCells count="3">
    <mergeCell ref="K32:L32"/>
    <mergeCell ref="H67:I67"/>
    <mergeCell ref="J39:K39"/>
  </mergeCells>
  <conditionalFormatting sqref="K13:M21">
    <cfRule type="cellIs" dxfId="50" priority="15" operator="lessThan">
      <formula>0</formula>
    </cfRule>
  </conditionalFormatting>
  <conditionalFormatting sqref="I62">
    <cfRule type="colorScale" priority="7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I62:K62">
    <cfRule type="colorScale" priority="8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I62:J62">
    <cfRule type="colorScale" priority="9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N28">
    <cfRule type="colorScale" priority="1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N28">
    <cfRule type="colorScale" priority="2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N28">
    <cfRule type="colorScale" priority="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N28">
    <cfRule type="colorScale" priority="4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N28">
    <cfRule type="colorScale" priority="5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N28">
    <cfRule type="colorScale" priority="6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N62:N1048576 L27">
    <cfRule type="colorScale" priority="527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L27:N27 O62:O87 S19 T4:U6 T2:AC3 V4:AC11 S20:AB20 T12:AA19 O88:AC1048576 P32:AC33 P34:U34 W34:AC34 P35:AC87 P22:AA28 O23:O29 S21:Z21 N62:N1048576 T29:AA29 P29:R31 T30:AC31">
    <cfRule type="colorScale" priority="53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L27:M27 O63:O1048576 N62:N1048576">
    <cfRule type="colorScale" priority="545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L27:N27 O62:O87 T12:AA19 V4:AC11 T4:U6 S19 S20:AB20 T2:AC3 O88:AC1048576 P32:AC33 P34:U34 W34:AC34 P35:AC87 P22:AA28 O23:O29 S21:Z21 N62:N1048576 T29:AA29 P29:R31 T30:AC31">
    <cfRule type="colorScale" priority="549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L27:N27 O62:O87 S20:AB20 T2:AC11 O88:AC1048576 P32:AC33 P34:U34 W34:AC34 P35:AC87 P22:AA28 O23:O29 S15:AA19 S21:Z21 T12:AA14 N62:N1048576 T29:AA29 P29:R31 T30:AC31">
    <cfRule type="colorScale" priority="564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L27:N27 O62:O87 S15:AA19 T2:AC11 O88:AC1048576 P32:AC33 P34:U34 W34:AC34 P35:AC87 P22:AA28 O23:O29 S21:Z21 S20:AB20 T12:AA14 N62:N1048576 T29:AA29 P29:R31 T30:AC31">
    <cfRule type="colorScale" priority="577">
      <colorScale>
        <cfvo type="min"/>
        <cfvo type="percentile" val="50"/>
        <cfvo type="max"/>
        <color rgb="FFF8696B"/>
        <color rgb="FFFFEB84"/>
        <color rgb="FF5A8AC6"/>
      </colorScale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Plan27">
    <tabColor theme="3" tint="0.39997558519241921"/>
    <outlinePr summaryRight="0"/>
  </sheetPr>
  <dimension ref="B1:AY222"/>
  <sheetViews>
    <sheetView showGridLines="0" zoomScale="90" zoomScaleNormal="90" workbookViewId="0">
      <selection activeCell="D13" sqref="D13"/>
    </sheetView>
  </sheetViews>
  <sheetFormatPr defaultColWidth="9.140625" defaultRowHeight="14.25"/>
  <cols>
    <col min="1" max="1" width="3.5703125" style="150" customWidth="1"/>
    <col min="2" max="2" width="25.42578125" style="150" customWidth="1"/>
    <col min="3" max="3" width="28" style="150" bestFit="1" customWidth="1"/>
    <col min="4" max="4" width="16.85546875" style="150" customWidth="1"/>
    <col min="5" max="5" width="15.28515625" style="150" customWidth="1"/>
    <col min="6" max="7" width="15.28515625" style="153" customWidth="1"/>
    <col min="8" max="8" width="15.28515625" style="150" customWidth="1"/>
    <col min="9" max="9" width="17.85546875" style="150" customWidth="1"/>
    <col min="10" max="25" width="15.28515625" style="150" customWidth="1"/>
    <col min="26" max="26" width="3.42578125" style="150" customWidth="1"/>
    <col min="27" max="27" width="6.85546875" style="150" customWidth="1"/>
    <col min="28" max="16384" width="9.140625" style="150"/>
  </cols>
  <sheetData>
    <row r="1" spans="2:27" ht="30.75" customHeight="1">
      <c r="B1" s="1300" t="s">
        <v>761</v>
      </c>
      <c r="C1" s="1115">
        <f>Resultado!C1</f>
        <v>0</v>
      </c>
      <c r="D1" s="1301"/>
      <c r="E1" s="1302"/>
      <c r="F1" s="1303"/>
      <c r="G1" s="1224" t="s">
        <v>1007</v>
      </c>
      <c r="H1" s="1304">
        <f ca="1">LnkTXTIRTEco</f>
        <v>0.1605</v>
      </c>
    </row>
    <row r="2" spans="2:27">
      <c r="B2" s="138" t="str">
        <f>CAPA!C9</f>
        <v>Ceris</v>
      </c>
      <c r="C2" s="70"/>
      <c r="D2" s="70"/>
      <c r="G2" s="121" t="s">
        <v>1011</v>
      </c>
      <c r="H2" s="147">
        <f ca="1">LnkTXTIRTTotal</f>
        <v>-6.0499999999999998E-2</v>
      </c>
    </row>
    <row r="3" spans="2:27">
      <c r="D3" s="152"/>
      <c r="G3" s="151"/>
      <c r="H3" s="151"/>
    </row>
    <row r="4" spans="2:27">
      <c r="D4" s="152"/>
      <c r="G4" s="151"/>
      <c r="H4" s="151"/>
    </row>
    <row r="5" spans="2:27">
      <c r="D5" s="152"/>
      <c r="F5" s="154"/>
      <c r="G5" s="151"/>
      <c r="H5" s="151"/>
    </row>
    <row r="6" spans="2:27">
      <c r="B6" s="1305" t="s">
        <v>1305</v>
      </c>
      <c r="C6" s="1305"/>
      <c r="D6" s="1305"/>
      <c r="E6" s="1305"/>
      <c r="F6" s="1305"/>
      <c r="G6" s="1305"/>
      <c r="H6" s="1305"/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4"/>
      <c r="U6" s="154"/>
      <c r="V6" s="154"/>
      <c r="W6" s="154"/>
      <c r="X6" s="154"/>
      <c r="Y6" s="154"/>
      <c r="Z6" s="154"/>
    </row>
    <row r="7" spans="2:27">
      <c r="D7" s="152"/>
      <c r="G7" s="151"/>
      <c r="H7" s="151"/>
    </row>
    <row r="8" spans="2:27" ht="28.5">
      <c r="B8" s="1306" t="s">
        <v>905</v>
      </c>
      <c r="C8" s="1306" t="s">
        <v>1306</v>
      </c>
      <c r="D8" s="1306" t="s">
        <v>1307</v>
      </c>
      <c r="E8" s="1306" t="s">
        <v>1308</v>
      </c>
      <c r="H8" s="151"/>
    </row>
    <row r="9" spans="2:27">
      <c r="B9" s="157" t="s">
        <v>1027</v>
      </c>
      <c r="C9" s="180">
        <f>SUMIFS($M$18:$M$63,$D$18:$D$63,"Ponta")</f>
        <v>0</v>
      </c>
      <c r="D9" s="180">
        <f>SUMIFS($J$18:$J$63,$D$18:$D$63,"Ponta")</f>
        <v>0</v>
      </c>
      <c r="E9" s="180">
        <f>SUMIFS($L$18:$L$63,$D$18:$D$63,"Ponta")</f>
        <v>0</v>
      </c>
    </row>
    <row r="10" spans="2:27">
      <c r="B10" s="1307" t="s">
        <v>1309</v>
      </c>
      <c r="C10" s="1308">
        <f>SUMIFS($M$18:$M$63,$D$18:$D$63,"Fora Ponta")</f>
        <v>0</v>
      </c>
      <c r="D10" s="1308">
        <f>SUMIFS($J$18:$J$63,$D$18:$D$63,"Fora Ponta")</f>
        <v>0</v>
      </c>
      <c r="E10" s="1308">
        <f>SUMIFS($L$18:$L$63,$D$18:$D$63,"Fora Ponta")</f>
        <v>0</v>
      </c>
    </row>
    <row r="11" spans="2:27">
      <c r="D11" s="68"/>
      <c r="E11" s="68"/>
      <c r="G11" s="150"/>
    </row>
    <row r="12" spans="2:27">
      <c r="B12" s="155"/>
      <c r="C12" s="155"/>
      <c r="D12" s="155"/>
      <c r="E12" s="155"/>
      <c r="F12" s="155"/>
      <c r="G12" s="155"/>
      <c r="H12" s="155"/>
    </row>
    <row r="13" spans="2:27">
      <c r="B13" s="156"/>
    </row>
    <row r="14" spans="2:27">
      <c r="B14" s="157"/>
      <c r="F14" s="1309" t="s">
        <v>1310</v>
      </c>
      <c r="G14" s="1310"/>
      <c r="H14" s="1310"/>
      <c r="I14" s="1310"/>
      <c r="J14" s="1310"/>
      <c r="K14" s="1310"/>
      <c r="L14" s="1310"/>
      <c r="M14" s="1310"/>
      <c r="N14" s="1310"/>
      <c r="O14" s="1310"/>
      <c r="P14" s="1310"/>
      <c r="Q14" s="1310"/>
      <c r="R14" s="1311"/>
    </row>
    <row r="15" spans="2:27">
      <c r="B15" s="1760" t="s">
        <v>1311</v>
      </c>
      <c r="C15" s="1761" t="s">
        <v>1312</v>
      </c>
      <c r="D15" s="1762" t="s">
        <v>117</v>
      </c>
      <c r="E15" s="1763" t="s">
        <v>1313</v>
      </c>
      <c r="F15" s="1763"/>
      <c r="G15" s="1763"/>
      <c r="H15" s="1764"/>
      <c r="I15" s="1765" t="s">
        <v>1314</v>
      </c>
      <c r="J15" s="1766"/>
      <c r="K15" s="1766"/>
      <c r="L15" s="1766"/>
      <c r="M15" s="1767" t="s">
        <v>1315</v>
      </c>
      <c r="N15" s="1768"/>
      <c r="O15" s="1768"/>
      <c r="P15" s="1768"/>
      <c r="Q15" s="1768"/>
      <c r="R15" s="1768"/>
      <c r="S15" s="1768"/>
      <c r="T15" s="1768"/>
      <c r="U15" s="1768"/>
      <c r="V15" s="1768"/>
      <c r="W15" s="1768"/>
      <c r="X15" s="1768"/>
      <c r="Y15" s="1768"/>
      <c r="Z15" s="65"/>
      <c r="AA15" s="386"/>
    </row>
    <row r="16" spans="2:27">
      <c r="B16" s="1760"/>
      <c r="C16" s="1761"/>
      <c r="D16" s="1762"/>
      <c r="E16" s="1771" t="s">
        <v>160</v>
      </c>
      <c r="F16" s="1772"/>
      <c r="G16" s="1772" t="s">
        <v>1316</v>
      </c>
      <c r="H16" s="1773"/>
      <c r="I16" s="1774" t="s">
        <v>160</v>
      </c>
      <c r="J16" s="1775"/>
      <c r="K16" s="1775" t="s">
        <v>1316</v>
      </c>
      <c r="L16" s="1776"/>
      <c r="M16" s="1769"/>
      <c r="N16" s="1770"/>
      <c r="O16" s="1770"/>
      <c r="P16" s="1770"/>
      <c r="Q16" s="1770"/>
      <c r="R16" s="1770"/>
      <c r="S16" s="1770"/>
      <c r="T16" s="1770"/>
      <c r="U16" s="1770"/>
      <c r="V16" s="1770"/>
      <c r="W16" s="1770"/>
      <c r="X16" s="1770"/>
      <c r="Y16" s="1770"/>
      <c r="Z16" s="65"/>
      <c r="AA16" s="386"/>
    </row>
    <row r="17" spans="2:27">
      <c r="B17" s="1760"/>
      <c r="C17" s="1761"/>
      <c r="D17" s="1762"/>
      <c r="E17" s="387" t="s">
        <v>832</v>
      </c>
      <c r="F17" s="388" t="s">
        <v>829</v>
      </c>
      <c r="G17" s="388" t="s">
        <v>832</v>
      </c>
      <c r="H17" s="389" t="s">
        <v>829</v>
      </c>
      <c r="I17" s="390" t="s">
        <v>832</v>
      </c>
      <c r="J17" s="391" t="s">
        <v>829</v>
      </c>
      <c r="K17" s="391" t="s">
        <v>832</v>
      </c>
      <c r="L17" s="391" t="s">
        <v>829</v>
      </c>
      <c r="M17" s="392" t="s">
        <v>896</v>
      </c>
      <c r="N17" s="392">
        <f>SAS_RA0_DataInicio</f>
        <v>44378</v>
      </c>
      <c r="O17" s="392">
        <f>EDATE(N17,1)</f>
        <v>44409</v>
      </c>
      <c r="P17" s="392">
        <f t="shared" ref="P17:Y17" si="0">EDATE(O17,1)</f>
        <v>44440</v>
      </c>
      <c r="Q17" s="392">
        <f t="shared" si="0"/>
        <v>44470</v>
      </c>
      <c r="R17" s="392">
        <f t="shared" si="0"/>
        <v>44501</v>
      </c>
      <c r="S17" s="392">
        <f t="shared" si="0"/>
        <v>44531</v>
      </c>
      <c r="T17" s="392">
        <f t="shared" si="0"/>
        <v>44562</v>
      </c>
      <c r="U17" s="392">
        <f t="shared" si="0"/>
        <v>44593</v>
      </c>
      <c r="V17" s="392">
        <f t="shared" si="0"/>
        <v>44621</v>
      </c>
      <c r="W17" s="392">
        <f t="shared" si="0"/>
        <v>44652</v>
      </c>
      <c r="X17" s="392">
        <f t="shared" si="0"/>
        <v>44682</v>
      </c>
      <c r="Y17" s="392">
        <f t="shared" si="0"/>
        <v>44713</v>
      </c>
      <c r="Z17" s="65"/>
      <c r="AA17" s="328" t="s">
        <v>909</v>
      </c>
    </row>
    <row r="18" spans="2:27" hidden="1">
      <c r="B18" s="1658">
        <f>RBBD!B3</f>
        <v>0</v>
      </c>
      <c r="C18" s="1658">
        <f>RBBD!C3</f>
        <v>0</v>
      </c>
      <c r="D18" s="1658">
        <f>RBBD!D3</f>
        <v>0</v>
      </c>
      <c r="E18" s="1658">
        <f>RBBD!E3</f>
        <v>0</v>
      </c>
      <c r="F18" s="1658">
        <f>RBBD!F3</f>
        <v>0</v>
      </c>
      <c r="G18" s="1658">
        <f>RBBD!G3</f>
        <v>0</v>
      </c>
      <c r="H18" s="1658">
        <f>RBBD!H3</f>
        <v>0</v>
      </c>
      <c r="I18" s="1658">
        <f>E18*$M18</f>
        <v>0</v>
      </c>
      <c r="J18" s="1658">
        <f>F18*$M18</f>
        <v>0</v>
      </c>
      <c r="K18" s="1658">
        <f>G18*$M18</f>
        <v>0</v>
      </c>
      <c r="L18" s="1658">
        <f>H18*$M18</f>
        <v>0</v>
      </c>
      <c r="M18" s="1658">
        <f>SUM(N18:Y18)</f>
        <v>0</v>
      </c>
      <c r="N18" s="1658">
        <f>RBBD!I3</f>
        <v>0</v>
      </c>
      <c r="O18" s="1658">
        <f>RBBD!J3</f>
        <v>0</v>
      </c>
      <c r="P18" s="1658">
        <f>RBBD!K3</f>
        <v>0</v>
      </c>
      <c r="Q18" s="1658">
        <f>RBBD!L3</f>
        <v>0</v>
      </c>
      <c r="R18" s="1658">
        <f>RBBD!M3</f>
        <v>0</v>
      </c>
      <c r="S18" s="1658">
        <f>RBBD!N3</f>
        <v>0</v>
      </c>
      <c r="T18" s="1658">
        <f>RBBD!O3</f>
        <v>0</v>
      </c>
      <c r="U18" s="1658">
        <f>RBBD!P3</f>
        <v>0</v>
      </c>
      <c r="V18" s="1658">
        <f>RBBD!Q3</f>
        <v>0</v>
      </c>
      <c r="W18" s="1658">
        <f>RBBD!R3</f>
        <v>0</v>
      </c>
      <c r="X18" s="1658">
        <f>RBBD!S3</f>
        <v>0</v>
      </c>
      <c r="Y18" s="1658">
        <f>RBBD!T3</f>
        <v>0</v>
      </c>
      <c r="Z18" s="65"/>
      <c r="AA18" s="328">
        <f t="shared" ref="AA18:AA23" si="1">IF(B18=0,0,1)</f>
        <v>0</v>
      </c>
    </row>
    <row r="19" spans="2:27" hidden="1">
      <c r="B19" s="1658">
        <f>RBBD!B4</f>
        <v>0</v>
      </c>
      <c r="C19" s="1658">
        <f>RBBD!C4</f>
        <v>0</v>
      </c>
      <c r="D19" s="1658">
        <f>RBBD!D4</f>
        <v>0</v>
      </c>
      <c r="E19" s="1658">
        <f>RBBD!E4</f>
        <v>0</v>
      </c>
      <c r="F19" s="1658">
        <f>RBBD!F4</f>
        <v>0</v>
      </c>
      <c r="G19" s="1658">
        <f>RBBD!G4</f>
        <v>0</v>
      </c>
      <c r="H19" s="1658">
        <f>RBBD!H4</f>
        <v>0</v>
      </c>
      <c r="I19" s="1658">
        <f t="shared" ref="I19:L60" si="2">E19*$M19</f>
        <v>0</v>
      </c>
      <c r="J19" s="1658">
        <f t="shared" si="2"/>
        <v>0</v>
      </c>
      <c r="K19" s="1658">
        <f t="shared" si="2"/>
        <v>0</v>
      </c>
      <c r="L19" s="1658">
        <f t="shared" si="2"/>
        <v>0</v>
      </c>
      <c r="M19" s="1658">
        <f t="shared" ref="M19:M60" si="3">SUM(N19:Y19)</f>
        <v>0</v>
      </c>
      <c r="N19" s="1658">
        <f>RBBD!I4</f>
        <v>0</v>
      </c>
      <c r="O19" s="1658">
        <f>RBBD!J4</f>
        <v>0</v>
      </c>
      <c r="P19" s="1658">
        <f>RBBD!K4</f>
        <v>0</v>
      </c>
      <c r="Q19" s="1658">
        <f>RBBD!L4</f>
        <v>0</v>
      </c>
      <c r="R19" s="1658">
        <f>RBBD!M4</f>
        <v>0</v>
      </c>
      <c r="S19" s="1658">
        <f>RBBD!N4</f>
        <v>0</v>
      </c>
      <c r="T19" s="1658">
        <f>RBBD!O4</f>
        <v>0</v>
      </c>
      <c r="U19" s="1658">
        <f>RBBD!P4</f>
        <v>0</v>
      </c>
      <c r="V19" s="1658">
        <f>RBBD!Q4</f>
        <v>0</v>
      </c>
      <c r="W19" s="1658">
        <f>RBBD!R4</f>
        <v>0</v>
      </c>
      <c r="X19" s="1658">
        <f>RBBD!S4</f>
        <v>0</v>
      </c>
      <c r="Y19" s="1658">
        <f>RBBD!T4</f>
        <v>0</v>
      </c>
      <c r="Z19" s="65"/>
      <c r="AA19" s="328">
        <f t="shared" si="1"/>
        <v>0</v>
      </c>
    </row>
    <row r="20" spans="2:27" hidden="1">
      <c r="B20" s="1658">
        <f>RBBD!B5</f>
        <v>0</v>
      </c>
      <c r="C20" s="1658">
        <f>RBBD!C5</f>
        <v>0</v>
      </c>
      <c r="D20" s="1658">
        <f>RBBD!D5</f>
        <v>0</v>
      </c>
      <c r="E20" s="1658">
        <f>RBBD!E5</f>
        <v>0</v>
      </c>
      <c r="F20" s="1658">
        <f>RBBD!F5</f>
        <v>0</v>
      </c>
      <c r="G20" s="1658">
        <f>RBBD!G5</f>
        <v>0</v>
      </c>
      <c r="H20" s="1658">
        <f>RBBD!H5</f>
        <v>0</v>
      </c>
      <c r="I20" s="1658">
        <f t="shared" si="2"/>
        <v>0</v>
      </c>
      <c r="J20" s="1658">
        <f t="shared" si="2"/>
        <v>0</v>
      </c>
      <c r="K20" s="1658">
        <f t="shared" si="2"/>
        <v>0</v>
      </c>
      <c r="L20" s="1658">
        <f t="shared" si="2"/>
        <v>0</v>
      </c>
      <c r="M20" s="1658">
        <f t="shared" si="3"/>
        <v>0</v>
      </c>
      <c r="N20" s="1658">
        <f>RBBD!I5</f>
        <v>0</v>
      </c>
      <c r="O20" s="1658">
        <f>RBBD!J5</f>
        <v>0</v>
      </c>
      <c r="P20" s="1658">
        <f>RBBD!K5</f>
        <v>0</v>
      </c>
      <c r="Q20" s="1658">
        <f>RBBD!L5</f>
        <v>0</v>
      </c>
      <c r="R20" s="1658">
        <f>RBBD!M5</f>
        <v>0</v>
      </c>
      <c r="S20" s="1658">
        <f>RBBD!N5</f>
        <v>0</v>
      </c>
      <c r="T20" s="1658">
        <f>RBBD!O5</f>
        <v>0</v>
      </c>
      <c r="U20" s="1658">
        <f>RBBD!P5</f>
        <v>0</v>
      </c>
      <c r="V20" s="1658">
        <f>RBBD!Q5</f>
        <v>0</v>
      </c>
      <c r="W20" s="1658">
        <f>RBBD!R5</f>
        <v>0</v>
      </c>
      <c r="X20" s="1658">
        <f>RBBD!S5</f>
        <v>0</v>
      </c>
      <c r="Y20" s="1658">
        <f>RBBD!T5</f>
        <v>0</v>
      </c>
      <c r="Z20" s="65"/>
      <c r="AA20" s="328">
        <f t="shared" si="1"/>
        <v>0</v>
      </c>
    </row>
    <row r="21" spans="2:27" hidden="1">
      <c r="B21" s="1658">
        <f>RBBD!B6</f>
        <v>0</v>
      </c>
      <c r="C21" s="1658">
        <f>RBBD!C6</f>
        <v>0</v>
      </c>
      <c r="D21" s="1658">
        <f>RBBD!D6</f>
        <v>0</v>
      </c>
      <c r="E21" s="1658">
        <f>RBBD!E6</f>
        <v>0</v>
      </c>
      <c r="F21" s="1658">
        <f>RBBD!F6</f>
        <v>0</v>
      </c>
      <c r="G21" s="1658">
        <f>RBBD!G6</f>
        <v>0</v>
      </c>
      <c r="H21" s="1658">
        <f>RBBD!H6</f>
        <v>0</v>
      </c>
      <c r="I21" s="1658">
        <f t="shared" si="2"/>
        <v>0</v>
      </c>
      <c r="J21" s="1658">
        <f t="shared" si="2"/>
        <v>0</v>
      </c>
      <c r="K21" s="1658">
        <f t="shared" si="2"/>
        <v>0</v>
      </c>
      <c r="L21" s="1658">
        <f t="shared" si="2"/>
        <v>0</v>
      </c>
      <c r="M21" s="1658">
        <f t="shared" si="3"/>
        <v>0</v>
      </c>
      <c r="N21" s="1658">
        <f>RBBD!I6</f>
        <v>0</v>
      </c>
      <c r="O21" s="1658">
        <f>RBBD!J6</f>
        <v>0</v>
      </c>
      <c r="P21" s="1658">
        <f>RBBD!K6</f>
        <v>0</v>
      </c>
      <c r="Q21" s="1658">
        <f>RBBD!L6</f>
        <v>0</v>
      </c>
      <c r="R21" s="1658">
        <f>RBBD!M6</f>
        <v>0</v>
      </c>
      <c r="S21" s="1658">
        <f>RBBD!N6</f>
        <v>0</v>
      </c>
      <c r="T21" s="1658">
        <f>RBBD!O6</f>
        <v>0</v>
      </c>
      <c r="U21" s="1658">
        <f>RBBD!P6</f>
        <v>0</v>
      </c>
      <c r="V21" s="1658">
        <f>RBBD!Q6</f>
        <v>0</v>
      </c>
      <c r="W21" s="1658">
        <f>RBBD!R6</f>
        <v>0</v>
      </c>
      <c r="X21" s="1658">
        <f>RBBD!S6</f>
        <v>0</v>
      </c>
      <c r="Y21" s="1658">
        <f>RBBD!T6</f>
        <v>0</v>
      </c>
      <c r="Z21" s="65"/>
      <c r="AA21" s="328">
        <f t="shared" si="1"/>
        <v>0</v>
      </c>
    </row>
    <row r="22" spans="2:27" hidden="1">
      <c r="B22" s="1658">
        <f>RBBD!B7</f>
        <v>0</v>
      </c>
      <c r="C22" s="1658">
        <f>RBBD!C7</f>
        <v>0</v>
      </c>
      <c r="D22" s="1658">
        <f>RBBD!D7</f>
        <v>0</v>
      </c>
      <c r="E22" s="1658">
        <f>RBBD!E7</f>
        <v>0</v>
      </c>
      <c r="F22" s="1658">
        <f>RBBD!F7</f>
        <v>0</v>
      </c>
      <c r="G22" s="1658">
        <f>RBBD!G7</f>
        <v>0</v>
      </c>
      <c r="H22" s="1658">
        <f>RBBD!H7</f>
        <v>0</v>
      </c>
      <c r="I22" s="1658">
        <f t="shared" si="2"/>
        <v>0</v>
      </c>
      <c r="J22" s="1658">
        <f t="shared" si="2"/>
        <v>0</v>
      </c>
      <c r="K22" s="1658">
        <f t="shared" si="2"/>
        <v>0</v>
      </c>
      <c r="L22" s="1658">
        <f t="shared" si="2"/>
        <v>0</v>
      </c>
      <c r="M22" s="1658">
        <f t="shared" si="3"/>
        <v>0</v>
      </c>
      <c r="N22" s="1658">
        <f>RBBD!I7</f>
        <v>0</v>
      </c>
      <c r="O22" s="1658">
        <f>RBBD!J7</f>
        <v>0</v>
      </c>
      <c r="P22" s="1658">
        <f>RBBD!K7</f>
        <v>0</v>
      </c>
      <c r="Q22" s="1658">
        <f>RBBD!L7</f>
        <v>0</v>
      </c>
      <c r="R22" s="1658">
        <f>RBBD!M7</f>
        <v>0</v>
      </c>
      <c r="S22" s="1658">
        <f>RBBD!N7</f>
        <v>0</v>
      </c>
      <c r="T22" s="1658">
        <f>RBBD!O7</f>
        <v>0</v>
      </c>
      <c r="U22" s="1658">
        <f>RBBD!P7</f>
        <v>0</v>
      </c>
      <c r="V22" s="1658">
        <f>RBBD!Q7</f>
        <v>0</v>
      </c>
      <c r="W22" s="1658">
        <f>RBBD!R7</f>
        <v>0</v>
      </c>
      <c r="X22" s="1658">
        <f>RBBD!S7</f>
        <v>0</v>
      </c>
      <c r="Y22" s="1658">
        <f>RBBD!T7</f>
        <v>0</v>
      </c>
      <c r="Z22" s="65"/>
      <c r="AA22" s="328">
        <f t="shared" si="1"/>
        <v>0</v>
      </c>
    </row>
    <row r="23" spans="2:27" hidden="1">
      <c r="B23" s="1658">
        <f>RBBD!B8</f>
        <v>0</v>
      </c>
      <c r="C23" s="1658">
        <f>RBBD!C8</f>
        <v>0</v>
      </c>
      <c r="D23" s="1658">
        <f>RBBD!D8</f>
        <v>0</v>
      </c>
      <c r="E23" s="1658">
        <f>RBBD!E8</f>
        <v>0</v>
      </c>
      <c r="F23" s="1658">
        <f>RBBD!F8</f>
        <v>0</v>
      </c>
      <c r="G23" s="1658">
        <f>RBBD!G8</f>
        <v>0</v>
      </c>
      <c r="H23" s="1658">
        <f>RBBD!H8</f>
        <v>0</v>
      </c>
      <c r="I23" s="1658">
        <f t="shared" si="2"/>
        <v>0</v>
      </c>
      <c r="J23" s="1658">
        <f t="shared" si="2"/>
        <v>0</v>
      </c>
      <c r="K23" s="1658">
        <f t="shared" si="2"/>
        <v>0</v>
      </c>
      <c r="L23" s="1658">
        <f t="shared" si="2"/>
        <v>0</v>
      </c>
      <c r="M23" s="1658">
        <f t="shared" si="3"/>
        <v>0</v>
      </c>
      <c r="N23" s="1658">
        <f>RBBD!I8</f>
        <v>0</v>
      </c>
      <c r="O23" s="1658">
        <f>RBBD!J8</f>
        <v>0</v>
      </c>
      <c r="P23" s="1658">
        <f>RBBD!K8</f>
        <v>0</v>
      </c>
      <c r="Q23" s="1658">
        <f>RBBD!L8</f>
        <v>0</v>
      </c>
      <c r="R23" s="1658">
        <f>RBBD!M8</f>
        <v>0</v>
      </c>
      <c r="S23" s="1658">
        <f>RBBD!N8</f>
        <v>0</v>
      </c>
      <c r="T23" s="1658">
        <f>RBBD!O8</f>
        <v>0</v>
      </c>
      <c r="U23" s="1658">
        <f>RBBD!P8</f>
        <v>0</v>
      </c>
      <c r="V23" s="1658">
        <f>RBBD!Q8</f>
        <v>0</v>
      </c>
      <c r="W23" s="1658">
        <f>RBBD!R8</f>
        <v>0</v>
      </c>
      <c r="X23" s="1658">
        <f>RBBD!S8</f>
        <v>0</v>
      </c>
      <c r="Y23" s="1658">
        <f>RBBD!T8</f>
        <v>0</v>
      </c>
      <c r="Z23" s="65"/>
      <c r="AA23" s="328">
        <f t="shared" si="1"/>
        <v>0</v>
      </c>
    </row>
    <row r="24" spans="2:27" hidden="1">
      <c r="B24" s="1658">
        <f>RBBD!B9</f>
        <v>0</v>
      </c>
      <c r="C24" s="1658">
        <f>RBBD!C9</f>
        <v>0</v>
      </c>
      <c r="D24" s="1658">
        <f>RBBD!D9</f>
        <v>0</v>
      </c>
      <c r="E24" s="1658">
        <f>RBBD!E9</f>
        <v>0</v>
      </c>
      <c r="F24" s="1658">
        <f>RBBD!F9</f>
        <v>0</v>
      </c>
      <c r="G24" s="1658">
        <f>RBBD!G9</f>
        <v>0</v>
      </c>
      <c r="H24" s="1658">
        <f>RBBD!H9</f>
        <v>0</v>
      </c>
      <c r="I24" s="1658">
        <f t="shared" si="2"/>
        <v>0</v>
      </c>
      <c r="J24" s="1658">
        <f t="shared" si="2"/>
        <v>0</v>
      </c>
      <c r="K24" s="1658">
        <f t="shared" si="2"/>
        <v>0</v>
      </c>
      <c r="L24" s="1658">
        <f t="shared" si="2"/>
        <v>0</v>
      </c>
      <c r="M24" s="1658">
        <f t="shared" si="3"/>
        <v>0</v>
      </c>
      <c r="N24" s="1658">
        <f>RBBD!I9</f>
        <v>0</v>
      </c>
      <c r="O24" s="1658">
        <f>RBBD!J9</f>
        <v>0</v>
      </c>
      <c r="P24" s="1658">
        <f>RBBD!K9</f>
        <v>0</v>
      </c>
      <c r="Q24" s="1658">
        <f>RBBD!L9</f>
        <v>0</v>
      </c>
      <c r="R24" s="1658">
        <f>RBBD!M9</f>
        <v>0</v>
      </c>
      <c r="S24" s="1658">
        <f>RBBD!N9</f>
        <v>0</v>
      </c>
      <c r="T24" s="1658">
        <f>RBBD!O9</f>
        <v>0</v>
      </c>
      <c r="U24" s="1658">
        <f>RBBD!P9</f>
        <v>0</v>
      </c>
      <c r="V24" s="1658">
        <f>RBBD!Q9</f>
        <v>0</v>
      </c>
      <c r="W24" s="1658">
        <f>RBBD!R9</f>
        <v>0</v>
      </c>
      <c r="X24" s="1658">
        <f>RBBD!S9</f>
        <v>0</v>
      </c>
      <c r="Y24" s="1658">
        <f>RBBD!T9</f>
        <v>0</v>
      </c>
      <c r="Z24" s="65"/>
      <c r="AA24" s="328">
        <f t="shared" ref="AA24:AA38" si="4">IF(B24=0,0,1)</f>
        <v>0</v>
      </c>
    </row>
    <row r="25" spans="2:27" hidden="1">
      <c r="B25" s="1658">
        <f>RBBD!B10</f>
        <v>0</v>
      </c>
      <c r="C25" s="1658">
        <f>RBBD!C10</f>
        <v>0</v>
      </c>
      <c r="D25" s="1658">
        <f>RBBD!D10</f>
        <v>0</v>
      </c>
      <c r="E25" s="1658">
        <f>RBBD!E10</f>
        <v>0</v>
      </c>
      <c r="F25" s="1658">
        <f>RBBD!F10</f>
        <v>0</v>
      </c>
      <c r="G25" s="1658">
        <f>RBBD!G10</f>
        <v>0</v>
      </c>
      <c r="H25" s="1658">
        <f>RBBD!H10</f>
        <v>0</v>
      </c>
      <c r="I25" s="1658">
        <f t="shared" si="2"/>
        <v>0</v>
      </c>
      <c r="J25" s="1658">
        <f t="shared" si="2"/>
        <v>0</v>
      </c>
      <c r="K25" s="1658">
        <f t="shared" si="2"/>
        <v>0</v>
      </c>
      <c r="L25" s="1658">
        <f t="shared" si="2"/>
        <v>0</v>
      </c>
      <c r="M25" s="1658">
        <f t="shared" si="3"/>
        <v>0</v>
      </c>
      <c r="N25" s="1658">
        <f>RBBD!I10</f>
        <v>0</v>
      </c>
      <c r="O25" s="1658">
        <f>RBBD!J10</f>
        <v>0</v>
      </c>
      <c r="P25" s="1658">
        <f>RBBD!K10</f>
        <v>0</v>
      </c>
      <c r="Q25" s="1658">
        <f>RBBD!L10</f>
        <v>0</v>
      </c>
      <c r="R25" s="1658">
        <f>RBBD!M10</f>
        <v>0</v>
      </c>
      <c r="S25" s="1658">
        <f>RBBD!N10</f>
        <v>0</v>
      </c>
      <c r="T25" s="1658">
        <f>RBBD!O10</f>
        <v>0</v>
      </c>
      <c r="U25" s="1658">
        <f>RBBD!P10</f>
        <v>0</v>
      </c>
      <c r="V25" s="1658">
        <f>RBBD!Q10</f>
        <v>0</v>
      </c>
      <c r="W25" s="1658">
        <f>RBBD!R10</f>
        <v>0</v>
      </c>
      <c r="X25" s="1658">
        <f>RBBD!S10</f>
        <v>0</v>
      </c>
      <c r="Y25" s="1658">
        <f>RBBD!T10</f>
        <v>0</v>
      </c>
      <c r="Z25" s="65"/>
      <c r="AA25" s="328">
        <f t="shared" si="4"/>
        <v>0</v>
      </c>
    </row>
    <row r="26" spans="2:27" hidden="1">
      <c r="B26" s="1658">
        <f>RBBD!B11</f>
        <v>0</v>
      </c>
      <c r="C26" s="1658">
        <f>RBBD!C11</f>
        <v>0</v>
      </c>
      <c r="D26" s="1658">
        <f>RBBD!D11</f>
        <v>0</v>
      </c>
      <c r="E26" s="1658">
        <f>RBBD!E11</f>
        <v>0</v>
      </c>
      <c r="F26" s="1658">
        <f>RBBD!F11</f>
        <v>0</v>
      </c>
      <c r="G26" s="1658">
        <f>RBBD!G11</f>
        <v>0</v>
      </c>
      <c r="H26" s="1658">
        <f>RBBD!H11</f>
        <v>0</v>
      </c>
      <c r="I26" s="1658">
        <f t="shared" si="2"/>
        <v>0</v>
      </c>
      <c r="J26" s="1658">
        <f t="shared" si="2"/>
        <v>0</v>
      </c>
      <c r="K26" s="1658">
        <f t="shared" si="2"/>
        <v>0</v>
      </c>
      <c r="L26" s="1658">
        <f t="shared" si="2"/>
        <v>0</v>
      </c>
      <c r="M26" s="1658">
        <f t="shared" si="3"/>
        <v>0</v>
      </c>
      <c r="N26" s="1658">
        <f>RBBD!I11</f>
        <v>0</v>
      </c>
      <c r="O26" s="1658">
        <f>RBBD!J11</f>
        <v>0</v>
      </c>
      <c r="P26" s="1658">
        <f>RBBD!K11</f>
        <v>0</v>
      </c>
      <c r="Q26" s="1658">
        <f>RBBD!L11</f>
        <v>0</v>
      </c>
      <c r="R26" s="1658">
        <f>RBBD!M11</f>
        <v>0</v>
      </c>
      <c r="S26" s="1658">
        <f>RBBD!N11</f>
        <v>0</v>
      </c>
      <c r="T26" s="1658">
        <f>RBBD!O11</f>
        <v>0</v>
      </c>
      <c r="U26" s="1658">
        <f>RBBD!P11</f>
        <v>0</v>
      </c>
      <c r="V26" s="1658">
        <f>RBBD!Q11</f>
        <v>0</v>
      </c>
      <c r="W26" s="1658">
        <f>RBBD!R11</f>
        <v>0</v>
      </c>
      <c r="X26" s="1658">
        <f>RBBD!S11</f>
        <v>0</v>
      </c>
      <c r="Y26" s="1658">
        <f>RBBD!T11</f>
        <v>0</v>
      </c>
      <c r="Z26" s="65"/>
      <c r="AA26" s="328">
        <f t="shared" si="4"/>
        <v>0</v>
      </c>
    </row>
    <row r="27" spans="2:27" hidden="1">
      <c r="B27" s="1658">
        <f>RBBD!B12</f>
        <v>0</v>
      </c>
      <c r="C27" s="1658">
        <f>RBBD!C12</f>
        <v>0</v>
      </c>
      <c r="D27" s="1658">
        <f>RBBD!D12</f>
        <v>0</v>
      </c>
      <c r="E27" s="1658">
        <f>RBBD!E12</f>
        <v>0</v>
      </c>
      <c r="F27" s="1658">
        <f>RBBD!F12</f>
        <v>0</v>
      </c>
      <c r="G27" s="1658">
        <f>RBBD!G12</f>
        <v>0</v>
      </c>
      <c r="H27" s="1658">
        <f>RBBD!H12</f>
        <v>0</v>
      </c>
      <c r="I27" s="1658">
        <f t="shared" si="2"/>
        <v>0</v>
      </c>
      <c r="J27" s="1658">
        <f t="shared" si="2"/>
        <v>0</v>
      </c>
      <c r="K27" s="1658">
        <f t="shared" si="2"/>
        <v>0</v>
      </c>
      <c r="L27" s="1658">
        <f t="shared" si="2"/>
        <v>0</v>
      </c>
      <c r="M27" s="1658">
        <f t="shared" si="3"/>
        <v>0</v>
      </c>
      <c r="N27" s="1658">
        <f>RBBD!I12</f>
        <v>0</v>
      </c>
      <c r="O27" s="1658">
        <f>RBBD!J12</f>
        <v>0</v>
      </c>
      <c r="P27" s="1658">
        <f>RBBD!K12</f>
        <v>0</v>
      </c>
      <c r="Q27" s="1658">
        <f>RBBD!L12</f>
        <v>0</v>
      </c>
      <c r="R27" s="1658">
        <f>RBBD!M12</f>
        <v>0</v>
      </c>
      <c r="S27" s="1658">
        <f>RBBD!N12</f>
        <v>0</v>
      </c>
      <c r="T27" s="1658">
        <f>RBBD!O12</f>
        <v>0</v>
      </c>
      <c r="U27" s="1658">
        <f>RBBD!P12</f>
        <v>0</v>
      </c>
      <c r="V27" s="1658">
        <f>RBBD!Q12</f>
        <v>0</v>
      </c>
      <c r="W27" s="1658">
        <f>RBBD!R12</f>
        <v>0</v>
      </c>
      <c r="X27" s="1658">
        <f>RBBD!S12</f>
        <v>0</v>
      </c>
      <c r="Y27" s="1658">
        <f>RBBD!T12</f>
        <v>0</v>
      </c>
      <c r="Z27" s="65"/>
      <c r="AA27" s="328">
        <f t="shared" si="4"/>
        <v>0</v>
      </c>
    </row>
    <row r="28" spans="2:27" hidden="1">
      <c r="B28" s="1658">
        <f>RBBD!B13</f>
        <v>0</v>
      </c>
      <c r="C28" s="1658">
        <f>RBBD!C13</f>
        <v>0</v>
      </c>
      <c r="D28" s="1658">
        <f>RBBD!D13</f>
        <v>0</v>
      </c>
      <c r="E28" s="1658">
        <f>RBBD!G13</f>
        <v>0</v>
      </c>
      <c r="F28" s="1658">
        <f>RBBD!H13</f>
        <v>0</v>
      </c>
      <c r="G28" s="1658">
        <f>RBBD!E13</f>
        <v>0</v>
      </c>
      <c r="H28" s="1658">
        <f>RBBD!F13</f>
        <v>0</v>
      </c>
      <c r="I28" s="1658">
        <f t="shared" si="2"/>
        <v>0</v>
      </c>
      <c r="J28" s="1658">
        <f t="shared" si="2"/>
        <v>0</v>
      </c>
      <c r="K28" s="1658">
        <f t="shared" si="2"/>
        <v>0</v>
      </c>
      <c r="L28" s="1658">
        <f t="shared" si="2"/>
        <v>0</v>
      </c>
      <c r="M28" s="1658">
        <f t="shared" si="3"/>
        <v>0</v>
      </c>
      <c r="N28" s="1658">
        <f>RBBD!I13</f>
        <v>0</v>
      </c>
      <c r="O28" s="1658">
        <f>RBBD!J13</f>
        <v>0</v>
      </c>
      <c r="P28" s="1658">
        <f>RBBD!K13</f>
        <v>0</v>
      </c>
      <c r="Q28" s="1658">
        <f>RBBD!L13</f>
        <v>0</v>
      </c>
      <c r="R28" s="1658">
        <f>RBBD!M13</f>
        <v>0</v>
      </c>
      <c r="S28" s="1658">
        <f>RBBD!N13</f>
        <v>0</v>
      </c>
      <c r="T28" s="1658">
        <f>RBBD!O13</f>
        <v>0</v>
      </c>
      <c r="U28" s="1658">
        <f>RBBD!P13</f>
        <v>0</v>
      </c>
      <c r="V28" s="1658">
        <f>RBBD!Q13</f>
        <v>0</v>
      </c>
      <c r="W28" s="1658">
        <f>RBBD!R13</f>
        <v>0</v>
      </c>
      <c r="X28" s="1658">
        <f>RBBD!S13</f>
        <v>0</v>
      </c>
      <c r="Y28" s="1658">
        <f>RBBD!T13</f>
        <v>0</v>
      </c>
      <c r="Z28" s="65"/>
      <c r="AA28" s="328">
        <f t="shared" si="4"/>
        <v>0</v>
      </c>
    </row>
    <row r="29" spans="2:27" hidden="1">
      <c r="B29" s="1658">
        <f>RBBD!B14</f>
        <v>0</v>
      </c>
      <c r="C29" s="1658">
        <f>RBBD!C14</f>
        <v>0</v>
      </c>
      <c r="D29" s="1658">
        <f>RBBD!D14</f>
        <v>0</v>
      </c>
      <c r="E29" s="1658">
        <f>RBBD!G14</f>
        <v>0</v>
      </c>
      <c r="F29" s="1658">
        <f>RBBD!H14</f>
        <v>0</v>
      </c>
      <c r="G29" s="1658">
        <f>RBBD!E14</f>
        <v>0</v>
      </c>
      <c r="H29" s="1658">
        <f>RBBD!F14</f>
        <v>0</v>
      </c>
      <c r="I29" s="1658">
        <f t="shared" si="2"/>
        <v>0</v>
      </c>
      <c r="J29" s="1658">
        <f t="shared" si="2"/>
        <v>0</v>
      </c>
      <c r="K29" s="1658">
        <f t="shared" si="2"/>
        <v>0</v>
      </c>
      <c r="L29" s="1658">
        <f t="shared" si="2"/>
        <v>0</v>
      </c>
      <c r="M29" s="1658">
        <f t="shared" si="3"/>
        <v>0</v>
      </c>
      <c r="N29" s="1658">
        <f>RBBD!I14</f>
        <v>0</v>
      </c>
      <c r="O29" s="1658">
        <f>RBBD!J14</f>
        <v>0</v>
      </c>
      <c r="P29" s="1658">
        <f>RBBD!K14</f>
        <v>0</v>
      </c>
      <c r="Q29" s="1658">
        <f>RBBD!L14</f>
        <v>0</v>
      </c>
      <c r="R29" s="1658">
        <f>RBBD!M14</f>
        <v>0</v>
      </c>
      <c r="S29" s="1658">
        <f>RBBD!N14</f>
        <v>0</v>
      </c>
      <c r="T29" s="1658">
        <f>RBBD!O14</f>
        <v>0</v>
      </c>
      <c r="U29" s="1658">
        <f>RBBD!P14</f>
        <v>0</v>
      </c>
      <c r="V29" s="1658">
        <f>RBBD!Q14</f>
        <v>0</v>
      </c>
      <c r="W29" s="1658">
        <f>RBBD!R14</f>
        <v>0</v>
      </c>
      <c r="X29" s="1658">
        <f>RBBD!S14</f>
        <v>0</v>
      </c>
      <c r="Y29" s="1658">
        <f>RBBD!T14</f>
        <v>0</v>
      </c>
      <c r="Z29" s="65"/>
      <c r="AA29" s="328">
        <f t="shared" si="4"/>
        <v>0</v>
      </c>
    </row>
    <row r="30" spans="2:27" hidden="1">
      <c r="B30" s="1658">
        <f>RBBD!B15</f>
        <v>0</v>
      </c>
      <c r="C30" s="1658">
        <f>RBBD!C15</f>
        <v>0</v>
      </c>
      <c r="D30" s="1658">
        <f>RBBD!D15</f>
        <v>0</v>
      </c>
      <c r="E30" s="1658">
        <f>RBBD!G15</f>
        <v>0</v>
      </c>
      <c r="F30" s="1658">
        <f>RBBD!H15</f>
        <v>0</v>
      </c>
      <c r="G30" s="1658">
        <f>RBBD!E15</f>
        <v>0</v>
      </c>
      <c r="H30" s="1658">
        <f>RBBD!F15</f>
        <v>0</v>
      </c>
      <c r="I30" s="1658">
        <f t="shared" si="2"/>
        <v>0</v>
      </c>
      <c r="J30" s="1658">
        <f t="shared" si="2"/>
        <v>0</v>
      </c>
      <c r="K30" s="1658">
        <f t="shared" si="2"/>
        <v>0</v>
      </c>
      <c r="L30" s="1658">
        <f t="shared" si="2"/>
        <v>0</v>
      </c>
      <c r="M30" s="1658">
        <f t="shared" si="3"/>
        <v>0</v>
      </c>
      <c r="N30" s="1658">
        <f>RBBD!I15</f>
        <v>0</v>
      </c>
      <c r="O30" s="1658">
        <f>RBBD!J15</f>
        <v>0</v>
      </c>
      <c r="P30" s="1658">
        <f>RBBD!K15</f>
        <v>0</v>
      </c>
      <c r="Q30" s="1658">
        <f>RBBD!L15</f>
        <v>0</v>
      </c>
      <c r="R30" s="1658">
        <f>RBBD!M15</f>
        <v>0</v>
      </c>
      <c r="S30" s="1658">
        <f>RBBD!N15</f>
        <v>0</v>
      </c>
      <c r="T30" s="1658">
        <f>RBBD!O15</f>
        <v>0</v>
      </c>
      <c r="U30" s="1658">
        <f>RBBD!P15</f>
        <v>0</v>
      </c>
      <c r="V30" s="1658">
        <f>RBBD!Q15</f>
        <v>0</v>
      </c>
      <c r="W30" s="1658">
        <f>RBBD!R15</f>
        <v>0</v>
      </c>
      <c r="X30" s="1658">
        <f>RBBD!S15</f>
        <v>0</v>
      </c>
      <c r="Y30" s="1658">
        <f>RBBD!T15</f>
        <v>0</v>
      </c>
      <c r="Z30" s="65"/>
      <c r="AA30" s="328">
        <f t="shared" si="4"/>
        <v>0</v>
      </c>
    </row>
    <row r="31" spans="2:27" hidden="1">
      <c r="B31" s="1658">
        <f>RBBD!B16</f>
        <v>0</v>
      </c>
      <c r="C31" s="1658">
        <f>RBBD!C16</f>
        <v>0</v>
      </c>
      <c r="D31" s="1658">
        <f>RBBD!D16</f>
        <v>0</v>
      </c>
      <c r="E31" s="1658">
        <f>RBBD!G16</f>
        <v>0</v>
      </c>
      <c r="F31" s="1658">
        <f>RBBD!H16</f>
        <v>0</v>
      </c>
      <c r="G31" s="1658">
        <f>RBBD!E16</f>
        <v>0</v>
      </c>
      <c r="H31" s="1658">
        <f>RBBD!F16</f>
        <v>0</v>
      </c>
      <c r="I31" s="1658">
        <f t="shared" si="2"/>
        <v>0</v>
      </c>
      <c r="J31" s="1658">
        <f t="shared" si="2"/>
        <v>0</v>
      </c>
      <c r="K31" s="1658">
        <f t="shared" si="2"/>
        <v>0</v>
      </c>
      <c r="L31" s="1658">
        <f t="shared" si="2"/>
        <v>0</v>
      </c>
      <c r="M31" s="1658">
        <f t="shared" si="3"/>
        <v>0</v>
      </c>
      <c r="N31" s="1658">
        <f>RBBD!I16</f>
        <v>0</v>
      </c>
      <c r="O31" s="1658">
        <f>RBBD!J16</f>
        <v>0</v>
      </c>
      <c r="P31" s="1658">
        <f>RBBD!K16</f>
        <v>0</v>
      </c>
      <c r="Q31" s="1658">
        <f>RBBD!L16</f>
        <v>0</v>
      </c>
      <c r="R31" s="1658">
        <f>RBBD!M16</f>
        <v>0</v>
      </c>
      <c r="S31" s="1658">
        <f>RBBD!N16</f>
        <v>0</v>
      </c>
      <c r="T31" s="1658">
        <f>RBBD!O16</f>
        <v>0</v>
      </c>
      <c r="U31" s="1658">
        <f>RBBD!P16</f>
        <v>0</v>
      </c>
      <c r="V31" s="1658">
        <f>RBBD!Q16</f>
        <v>0</v>
      </c>
      <c r="W31" s="1658">
        <f>RBBD!R16</f>
        <v>0</v>
      </c>
      <c r="X31" s="1658">
        <f>RBBD!S16</f>
        <v>0</v>
      </c>
      <c r="Y31" s="1658">
        <f>RBBD!T16</f>
        <v>0</v>
      </c>
      <c r="Z31" s="65"/>
      <c r="AA31" s="328">
        <f t="shared" si="4"/>
        <v>0</v>
      </c>
    </row>
    <row r="32" spans="2:27" hidden="1">
      <c r="B32" s="1658">
        <f>RBBD!B17</f>
        <v>0</v>
      </c>
      <c r="C32" s="1658">
        <f>RBBD!C17</f>
        <v>0</v>
      </c>
      <c r="D32" s="1658">
        <f>RBBD!D17</f>
        <v>0</v>
      </c>
      <c r="E32" s="1658">
        <f>RBBD!G17</f>
        <v>0</v>
      </c>
      <c r="F32" s="1658">
        <f>RBBD!H17</f>
        <v>0</v>
      </c>
      <c r="G32" s="1658">
        <f>RBBD!E17</f>
        <v>0</v>
      </c>
      <c r="H32" s="1658">
        <f>RBBD!F17</f>
        <v>0</v>
      </c>
      <c r="I32" s="1658">
        <f t="shared" si="2"/>
        <v>0</v>
      </c>
      <c r="J32" s="1658">
        <f t="shared" si="2"/>
        <v>0</v>
      </c>
      <c r="K32" s="1658">
        <f t="shared" si="2"/>
        <v>0</v>
      </c>
      <c r="L32" s="1658">
        <f t="shared" si="2"/>
        <v>0</v>
      </c>
      <c r="M32" s="1658">
        <f t="shared" si="3"/>
        <v>0</v>
      </c>
      <c r="N32" s="1658">
        <f>RBBD!I17</f>
        <v>0</v>
      </c>
      <c r="O32" s="1658">
        <f>RBBD!J17</f>
        <v>0</v>
      </c>
      <c r="P32" s="1658">
        <f>RBBD!K17</f>
        <v>0</v>
      </c>
      <c r="Q32" s="1658">
        <f>RBBD!L17</f>
        <v>0</v>
      </c>
      <c r="R32" s="1658">
        <f>RBBD!M17</f>
        <v>0</v>
      </c>
      <c r="S32" s="1658">
        <f>RBBD!N17</f>
        <v>0</v>
      </c>
      <c r="T32" s="1658">
        <f>RBBD!O17</f>
        <v>0</v>
      </c>
      <c r="U32" s="1658">
        <f>RBBD!P17</f>
        <v>0</v>
      </c>
      <c r="V32" s="1658">
        <f>RBBD!Q17</f>
        <v>0</v>
      </c>
      <c r="W32" s="1658">
        <f>RBBD!R17</f>
        <v>0</v>
      </c>
      <c r="X32" s="1658">
        <f>RBBD!S17</f>
        <v>0</v>
      </c>
      <c r="Y32" s="1658">
        <f>RBBD!T17</f>
        <v>0</v>
      </c>
      <c r="Z32" s="65"/>
      <c r="AA32" s="328">
        <f t="shared" si="4"/>
        <v>0</v>
      </c>
    </row>
    <row r="33" spans="2:27" hidden="1">
      <c r="B33" s="1658">
        <f>RBBD!B18</f>
        <v>0</v>
      </c>
      <c r="C33" s="1658">
        <f>RBBD!C18</f>
        <v>0</v>
      </c>
      <c r="D33" s="1658">
        <f>RBBD!D18</f>
        <v>0</v>
      </c>
      <c r="E33" s="1658">
        <f>RBBD!G18</f>
        <v>0</v>
      </c>
      <c r="F33" s="1658">
        <f>RBBD!H18</f>
        <v>0</v>
      </c>
      <c r="G33" s="1658">
        <f>RBBD!E18</f>
        <v>0</v>
      </c>
      <c r="H33" s="1658">
        <f>RBBD!F18</f>
        <v>0</v>
      </c>
      <c r="I33" s="1658">
        <f t="shared" si="2"/>
        <v>0</v>
      </c>
      <c r="J33" s="1658">
        <f t="shared" si="2"/>
        <v>0</v>
      </c>
      <c r="K33" s="1658">
        <f t="shared" si="2"/>
        <v>0</v>
      </c>
      <c r="L33" s="1658">
        <f t="shared" si="2"/>
        <v>0</v>
      </c>
      <c r="M33" s="1658">
        <f t="shared" si="3"/>
        <v>0</v>
      </c>
      <c r="N33" s="1658">
        <f>RBBD!I18</f>
        <v>0</v>
      </c>
      <c r="O33" s="1658">
        <f>RBBD!J18</f>
        <v>0</v>
      </c>
      <c r="P33" s="1658">
        <f>RBBD!K18</f>
        <v>0</v>
      </c>
      <c r="Q33" s="1658">
        <f>RBBD!L18</f>
        <v>0</v>
      </c>
      <c r="R33" s="1658">
        <f>RBBD!M18</f>
        <v>0</v>
      </c>
      <c r="S33" s="1658">
        <f>RBBD!N18</f>
        <v>0</v>
      </c>
      <c r="T33" s="1658">
        <f>RBBD!O18</f>
        <v>0</v>
      </c>
      <c r="U33" s="1658">
        <f>RBBD!P18</f>
        <v>0</v>
      </c>
      <c r="V33" s="1658">
        <f>RBBD!Q18</f>
        <v>0</v>
      </c>
      <c r="W33" s="1658">
        <f>RBBD!R18</f>
        <v>0</v>
      </c>
      <c r="X33" s="1658">
        <f>RBBD!S18</f>
        <v>0</v>
      </c>
      <c r="Y33" s="1658">
        <f>RBBD!T18</f>
        <v>0</v>
      </c>
      <c r="Z33" s="65"/>
      <c r="AA33" s="328">
        <f t="shared" si="4"/>
        <v>0</v>
      </c>
    </row>
    <row r="34" spans="2:27" hidden="1">
      <c r="B34" s="1658">
        <f>RBBD!B19</f>
        <v>0</v>
      </c>
      <c r="C34" s="1658">
        <f>RBBD!C19</f>
        <v>0</v>
      </c>
      <c r="D34" s="1658">
        <f>RBBD!D19</f>
        <v>0</v>
      </c>
      <c r="E34" s="1658">
        <f>RBBD!G19</f>
        <v>0</v>
      </c>
      <c r="F34" s="1658">
        <f>RBBD!H19</f>
        <v>0</v>
      </c>
      <c r="G34" s="1658">
        <f>RBBD!E19</f>
        <v>0</v>
      </c>
      <c r="H34" s="1658">
        <f>RBBD!F19</f>
        <v>0</v>
      </c>
      <c r="I34" s="1658">
        <f t="shared" si="2"/>
        <v>0</v>
      </c>
      <c r="J34" s="1658">
        <f t="shared" si="2"/>
        <v>0</v>
      </c>
      <c r="K34" s="1658">
        <f t="shared" si="2"/>
        <v>0</v>
      </c>
      <c r="L34" s="1658">
        <f t="shared" si="2"/>
        <v>0</v>
      </c>
      <c r="M34" s="1658">
        <f t="shared" si="3"/>
        <v>0</v>
      </c>
      <c r="N34" s="1658">
        <f>RBBD!I19</f>
        <v>0</v>
      </c>
      <c r="O34" s="1658">
        <f>RBBD!J19</f>
        <v>0</v>
      </c>
      <c r="P34" s="1658">
        <f>RBBD!K19</f>
        <v>0</v>
      </c>
      <c r="Q34" s="1658">
        <f>RBBD!L19</f>
        <v>0</v>
      </c>
      <c r="R34" s="1658">
        <f>RBBD!M19</f>
        <v>0</v>
      </c>
      <c r="S34" s="1658">
        <f>RBBD!N19</f>
        <v>0</v>
      </c>
      <c r="T34" s="1658">
        <f>RBBD!O19</f>
        <v>0</v>
      </c>
      <c r="U34" s="1658">
        <f>RBBD!P19</f>
        <v>0</v>
      </c>
      <c r="V34" s="1658">
        <f>RBBD!Q19</f>
        <v>0</v>
      </c>
      <c r="W34" s="1658">
        <f>RBBD!R19</f>
        <v>0</v>
      </c>
      <c r="X34" s="1658">
        <f>RBBD!S19</f>
        <v>0</v>
      </c>
      <c r="Y34" s="1658">
        <f>RBBD!T19</f>
        <v>0</v>
      </c>
      <c r="Z34" s="65"/>
      <c r="AA34" s="328">
        <f t="shared" si="4"/>
        <v>0</v>
      </c>
    </row>
    <row r="35" spans="2:27" hidden="1">
      <c r="B35" s="1658">
        <f>RBBD!B20</f>
        <v>0</v>
      </c>
      <c r="C35" s="1658">
        <f>RBBD!C20</f>
        <v>0</v>
      </c>
      <c r="D35" s="1658">
        <f>RBBD!D20</f>
        <v>0</v>
      </c>
      <c r="E35" s="1658">
        <f>RBBD!G20</f>
        <v>0</v>
      </c>
      <c r="F35" s="1658">
        <f>RBBD!H20</f>
        <v>0</v>
      </c>
      <c r="G35" s="1658">
        <f>RBBD!E20</f>
        <v>0</v>
      </c>
      <c r="H35" s="1658">
        <f>RBBD!F20</f>
        <v>0</v>
      </c>
      <c r="I35" s="1658">
        <f t="shared" si="2"/>
        <v>0</v>
      </c>
      <c r="J35" s="1658">
        <f t="shared" si="2"/>
        <v>0</v>
      </c>
      <c r="K35" s="1658">
        <f t="shared" si="2"/>
        <v>0</v>
      </c>
      <c r="L35" s="1658">
        <f t="shared" si="2"/>
        <v>0</v>
      </c>
      <c r="M35" s="1658">
        <f t="shared" si="3"/>
        <v>0</v>
      </c>
      <c r="N35" s="1658">
        <f>RBBD!I20</f>
        <v>0</v>
      </c>
      <c r="O35" s="1658">
        <f>RBBD!J20</f>
        <v>0</v>
      </c>
      <c r="P35" s="1658">
        <f>RBBD!K20</f>
        <v>0</v>
      </c>
      <c r="Q35" s="1658">
        <f>RBBD!L20</f>
        <v>0</v>
      </c>
      <c r="R35" s="1658">
        <f>RBBD!M20</f>
        <v>0</v>
      </c>
      <c r="S35" s="1658">
        <f>RBBD!N20</f>
        <v>0</v>
      </c>
      <c r="T35" s="1658">
        <f>RBBD!O20</f>
        <v>0</v>
      </c>
      <c r="U35" s="1658">
        <f>RBBD!P20</f>
        <v>0</v>
      </c>
      <c r="V35" s="1658">
        <f>RBBD!Q20</f>
        <v>0</v>
      </c>
      <c r="W35" s="1658">
        <f>RBBD!R20</f>
        <v>0</v>
      </c>
      <c r="X35" s="1658">
        <f>RBBD!S20</f>
        <v>0</v>
      </c>
      <c r="Y35" s="1658">
        <f>RBBD!T20</f>
        <v>0</v>
      </c>
      <c r="Z35" s="65"/>
      <c r="AA35" s="328">
        <f t="shared" si="4"/>
        <v>0</v>
      </c>
    </row>
    <row r="36" spans="2:27" hidden="1">
      <c r="B36" s="1658">
        <f>RBBD!B21</f>
        <v>0</v>
      </c>
      <c r="C36" s="1658">
        <f>RBBD!C21</f>
        <v>0</v>
      </c>
      <c r="D36" s="1658">
        <f>RBBD!D21</f>
        <v>0</v>
      </c>
      <c r="E36" s="1658">
        <f>RBBD!G21</f>
        <v>0</v>
      </c>
      <c r="F36" s="1658">
        <f>RBBD!H21</f>
        <v>0</v>
      </c>
      <c r="G36" s="1658">
        <f>RBBD!E21</f>
        <v>0</v>
      </c>
      <c r="H36" s="1658">
        <f>RBBD!F21</f>
        <v>0</v>
      </c>
      <c r="I36" s="1658">
        <f t="shared" si="2"/>
        <v>0</v>
      </c>
      <c r="J36" s="1658">
        <f t="shared" si="2"/>
        <v>0</v>
      </c>
      <c r="K36" s="1658">
        <f t="shared" si="2"/>
        <v>0</v>
      </c>
      <c r="L36" s="1658">
        <f t="shared" si="2"/>
        <v>0</v>
      </c>
      <c r="M36" s="1658">
        <f t="shared" si="3"/>
        <v>0</v>
      </c>
      <c r="N36" s="1658">
        <f>RBBD!I21</f>
        <v>0</v>
      </c>
      <c r="O36" s="1658">
        <f>RBBD!J21</f>
        <v>0</v>
      </c>
      <c r="P36" s="1658">
        <f>RBBD!K21</f>
        <v>0</v>
      </c>
      <c r="Q36" s="1658">
        <f>RBBD!L21</f>
        <v>0</v>
      </c>
      <c r="R36" s="1658">
        <f>RBBD!M21</f>
        <v>0</v>
      </c>
      <c r="S36" s="1658">
        <f>RBBD!N21</f>
        <v>0</v>
      </c>
      <c r="T36" s="1658">
        <f>RBBD!O21</f>
        <v>0</v>
      </c>
      <c r="U36" s="1658">
        <f>RBBD!P21</f>
        <v>0</v>
      </c>
      <c r="V36" s="1658">
        <f>RBBD!Q21</f>
        <v>0</v>
      </c>
      <c r="W36" s="1658">
        <f>RBBD!R21</f>
        <v>0</v>
      </c>
      <c r="X36" s="1658">
        <f>RBBD!S21</f>
        <v>0</v>
      </c>
      <c r="Y36" s="1658">
        <f>RBBD!T21</f>
        <v>0</v>
      </c>
      <c r="Z36" s="65"/>
      <c r="AA36" s="328">
        <f t="shared" si="4"/>
        <v>0</v>
      </c>
    </row>
    <row r="37" spans="2:27" hidden="1">
      <c r="B37" s="1658">
        <f>RBBD!B22</f>
        <v>0</v>
      </c>
      <c r="C37" s="1658">
        <f>RBBD!C22</f>
        <v>0</v>
      </c>
      <c r="D37" s="1658">
        <f>RBBD!D22</f>
        <v>0</v>
      </c>
      <c r="E37" s="1658">
        <f>RBBD!G22</f>
        <v>0</v>
      </c>
      <c r="F37" s="1658">
        <f>RBBD!H22</f>
        <v>0</v>
      </c>
      <c r="G37" s="1658">
        <f>RBBD!E22</f>
        <v>0</v>
      </c>
      <c r="H37" s="1658">
        <f>RBBD!F22</f>
        <v>0</v>
      </c>
      <c r="I37" s="1658">
        <f t="shared" si="2"/>
        <v>0</v>
      </c>
      <c r="J37" s="1658">
        <f t="shared" si="2"/>
        <v>0</v>
      </c>
      <c r="K37" s="1658">
        <f t="shared" si="2"/>
        <v>0</v>
      </c>
      <c r="L37" s="1658">
        <f t="shared" si="2"/>
        <v>0</v>
      </c>
      <c r="M37" s="1658">
        <f t="shared" si="3"/>
        <v>0</v>
      </c>
      <c r="N37" s="1658">
        <f>RBBD!I22</f>
        <v>0</v>
      </c>
      <c r="O37" s="1658">
        <f>RBBD!J22</f>
        <v>0</v>
      </c>
      <c r="P37" s="1658">
        <f>RBBD!K22</f>
        <v>0</v>
      </c>
      <c r="Q37" s="1658">
        <f>RBBD!L22</f>
        <v>0</v>
      </c>
      <c r="R37" s="1658">
        <f>RBBD!M22</f>
        <v>0</v>
      </c>
      <c r="S37" s="1658">
        <f>RBBD!N22</f>
        <v>0</v>
      </c>
      <c r="T37" s="1658">
        <f>RBBD!O22</f>
        <v>0</v>
      </c>
      <c r="U37" s="1658">
        <f>RBBD!P22</f>
        <v>0</v>
      </c>
      <c r="V37" s="1658">
        <f>RBBD!Q22</f>
        <v>0</v>
      </c>
      <c r="W37" s="1658">
        <f>RBBD!R22</f>
        <v>0</v>
      </c>
      <c r="X37" s="1658">
        <f>RBBD!S22</f>
        <v>0</v>
      </c>
      <c r="Y37" s="1658">
        <f>RBBD!T22</f>
        <v>0</v>
      </c>
      <c r="Z37" s="65"/>
      <c r="AA37" s="328">
        <f t="shared" si="4"/>
        <v>0</v>
      </c>
    </row>
    <row r="38" spans="2:27" hidden="1">
      <c r="B38" s="1658">
        <f>RBBD!B23</f>
        <v>0</v>
      </c>
      <c r="C38" s="1658">
        <f>RBBD!C23</f>
        <v>0</v>
      </c>
      <c r="D38" s="1658">
        <f>RBBD!D23</f>
        <v>0</v>
      </c>
      <c r="E38" s="1658">
        <f>RBBD!G23</f>
        <v>0</v>
      </c>
      <c r="F38" s="1658">
        <f>RBBD!H23</f>
        <v>0</v>
      </c>
      <c r="G38" s="1658">
        <f>RBBD!E23</f>
        <v>0</v>
      </c>
      <c r="H38" s="1658">
        <f>RBBD!F23</f>
        <v>0</v>
      </c>
      <c r="I38" s="1658">
        <f t="shared" si="2"/>
        <v>0</v>
      </c>
      <c r="J38" s="1658">
        <f t="shared" si="2"/>
        <v>0</v>
      </c>
      <c r="K38" s="1658">
        <f t="shared" si="2"/>
        <v>0</v>
      </c>
      <c r="L38" s="1658">
        <f t="shared" si="2"/>
        <v>0</v>
      </c>
      <c r="M38" s="1658">
        <f t="shared" si="3"/>
        <v>0</v>
      </c>
      <c r="N38" s="1658">
        <f>RBBD!I23</f>
        <v>0</v>
      </c>
      <c r="O38" s="1658">
        <f>RBBD!J23</f>
        <v>0</v>
      </c>
      <c r="P38" s="1658">
        <f>RBBD!K23</f>
        <v>0</v>
      </c>
      <c r="Q38" s="1658">
        <f>RBBD!L23</f>
        <v>0</v>
      </c>
      <c r="R38" s="1658">
        <f>RBBD!M23</f>
        <v>0</v>
      </c>
      <c r="S38" s="1658">
        <f>RBBD!N23</f>
        <v>0</v>
      </c>
      <c r="T38" s="1658">
        <f>RBBD!O23</f>
        <v>0</v>
      </c>
      <c r="U38" s="1658">
        <f>RBBD!P23</f>
        <v>0</v>
      </c>
      <c r="V38" s="1658">
        <f>RBBD!Q23</f>
        <v>0</v>
      </c>
      <c r="W38" s="1658">
        <f>RBBD!R23</f>
        <v>0</v>
      </c>
      <c r="X38" s="1658">
        <f>RBBD!S23</f>
        <v>0</v>
      </c>
      <c r="Y38" s="1658">
        <f>RBBD!T23</f>
        <v>0</v>
      </c>
      <c r="Z38" s="65"/>
      <c r="AA38" s="328">
        <f t="shared" si="4"/>
        <v>0</v>
      </c>
    </row>
    <row r="39" spans="2:27" hidden="1">
      <c r="B39" s="1658">
        <f>RBBD!B24</f>
        <v>0</v>
      </c>
      <c r="C39" s="1658">
        <f>RBBD!C24</f>
        <v>0</v>
      </c>
      <c r="D39" s="1658">
        <f>RBBD!D24</f>
        <v>0</v>
      </c>
      <c r="E39" s="1658">
        <f>RBBD!G24</f>
        <v>0</v>
      </c>
      <c r="F39" s="1658">
        <f>RBBD!H24</f>
        <v>0</v>
      </c>
      <c r="G39" s="1658">
        <f>RBBD!E24</f>
        <v>0</v>
      </c>
      <c r="H39" s="1658">
        <f>RBBD!F24</f>
        <v>0</v>
      </c>
      <c r="I39" s="1658">
        <f t="shared" si="2"/>
        <v>0</v>
      </c>
      <c r="J39" s="1658">
        <f t="shared" si="2"/>
        <v>0</v>
      </c>
      <c r="K39" s="1658">
        <f t="shared" si="2"/>
        <v>0</v>
      </c>
      <c r="L39" s="1658">
        <f t="shared" si="2"/>
        <v>0</v>
      </c>
      <c r="M39" s="1658">
        <f t="shared" si="3"/>
        <v>0</v>
      </c>
      <c r="N39" s="1658">
        <f>RBBD!I24</f>
        <v>0</v>
      </c>
      <c r="O39" s="1658">
        <f>RBBD!J24</f>
        <v>0</v>
      </c>
      <c r="P39" s="1658">
        <f>RBBD!K24</f>
        <v>0</v>
      </c>
      <c r="Q39" s="1658">
        <f>RBBD!L24</f>
        <v>0</v>
      </c>
      <c r="R39" s="1658">
        <f>RBBD!M24</f>
        <v>0</v>
      </c>
      <c r="S39" s="1658">
        <f>RBBD!N24</f>
        <v>0</v>
      </c>
      <c r="T39" s="1658">
        <f>RBBD!O24</f>
        <v>0</v>
      </c>
      <c r="U39" s="1658">
        <f>RBBD!P24</f>
        <v>0</v>
      </c>
      <c r="V39" s="1658">
        <f>RBBD!Q24</f>
        <v>0</v>
      </c>
      <c r="W39" s="1658">
        <f>RBBD!R24</f>
        <v>0</v>
      </c>
      <c r="X39" s="1658">
        <f>RBBD!S24</f>
        <v>0</v>
      </c>
      <c r="Y39" s="1658">
        <f>RBBD!T24</f>
        <v>0</v>
      </c>
      <c r="Z39" s="65"/>
      <c r="AA39" s="328">
        <f t="shared" ref="AA39:AA60" si="5">IF(B39=0,0,1)</f>
        <v>0</v>
      </c>
    </row>
    <row r="40" spans="2:27" hidden="1">
      <c r="B40" s="1658">
        <f>RBBD!B25</f>
        <v>0</v>
      </c>
      <c r="C40" s="1658">
        <f>RBBD!C25</f>
        <v>0</v>
      </c>
      <c r="D40" s="1658">
        <f>RBBD!D25</f>
        <v>0</v>
      </c>
      <c r="E40" s="1658">
        <f>RBBD!G25</f>
        <v>0</v>
      </c>
      <c r="F40" s="1658">
        <f>RBBD!H25</f>
        <v>0</v>
      </c>
      <c r="G40" s="1658">
        <f>RBBD!E25</f>
        <v>0</v>
      </c>
      <c r="H40" s="1658">
        <f>RBBD!F25</f>
        <v>0</v>
      </c>
      <c r="I40" s="1658">
        <f t="shared" si="2"/>
        <v>0</v>
      </c>
      <c r="J40" s="1658">
        <f t="shared" si="2"/>
        <v>0</v>
      </c>
      <c r="K40" s="1658">
        <f t="shared" si="2"/>
        <v>0</v>
      </c>
      <c r="L40" s="1658">
        <f t="shared" si="2"/>
        <v>0</v>
      </c>
      <c r="M40" s="1658">
        <f t="shared" si="3"/>
        <v>0</v>
      </c>
      <c r="N40" s="1658">
        <f>RBBD!I25</f>
        <v>0</v>
      </c>
      <c r="O40" s="1658">
        <f>RBBD!J25</f>
        <v>0</v>
      </c>
      <c r="P40" s="1658">
        <f>RBBD!K25</f>
        <v>0</v>
      </c>
      <c r="Q40" s="1658">
        <f>RBBD!L25</f>
        <v>0</v>
      </c>
      <c r="R40" s="1658">
        <f>RBBD!M25</f>
        <v>0</v>
      </c>
      <c r="S40" s="1658">
        <f>RBBD!N25</f>
        <v>0</v>
      </c>
      <c r="T40" s="1658">
        <f>RBBD!O25</f>
        <v>0</v>
      </c>
      <c r="U40" s="1658">
        <f>RBBD!P25</f>
        <v>0</v>
      </c>
      <c r="V40" s="1658">
        <f>RBBD!Q25</f>
        <v>0</v>
      </c>
      <c r="W40" s="1658">
        <f>RBBD!R25</f>
        <v>0</v>
      </c>
      <c r="X40" s="1658">
        <f>RBBD!S25</f>
        <v>0</v>
      </c>
      <c r="Y40" s="1658">
        <f>RBBD!T25</f>
        <v>0</v>
      </c>
      <c r="Z40" s="65"/>
      <c r="AA40" s="328">
        <f t="shared" si="5"/>
        <v>0</v>
      </c>
    </row>
    <row r="41" spans="2:27" hidden="1">
      <c r="B41" s="1658">
        <f>RBBD!B26</f>
        <v>0</v>
      </c>
      <c r="C41" s="1658">
        <f>RBBD!C26</f>
        <v>0</v>
      </c>
      <c r="D41" s="1658">
        <f>RBBD!D26</f>
        <v>0</v>
      </c>
      <c r="E41" s="1658">
        <f>RBBD!G26</f>
        <v>0</v>
      </c>
      <c r="F41" s="1658">
        <f>RBBD!H26</f>
        <v>0</v>
      </c>
      <c r="G41" s="1658">
        <f>RBBD!E26</f>
        <v>0</v>
      </c>
      <c r="H41" s="1658">
        <f>RBBD!F26</f>
        <v>0</v>
      </c>
      <c r="I41" s="1658">
        <f t="shared" si="2"/>
        <v>0</v>
      </c>
      <c r="J41" s="1658">
        <f t="shared" si="2"/>
        <v>0</v>
      </c>
      <c r="K41" s="1658">
        <f t="shared" si="2"/>
        <v>0</v>
      </c>
      <c r="L41" s="1658">
        <f t="shared" si="2"/>
        <v>0</v>
      </c>
      <c r="M41" s="1658">
        <f t="shared" si="3"/>
        <v>0</v>
      </c>
      <c r="N41" s="1658">
        <f>RBBD!I26</f>
        <v>0</v>
      </c>
      <c r="O41" s="1658">
        <f>RBBD!J26</f>
        <v>0</v>
      </c>
      <c r="P41" s="1658">
        <f>RBBD!K26</f>
        <v>0</v>
      </c>
      <c r="Q41" s="1658">
        <f>RBBD!L26</f>
        <v>0</v>
      </c>
      <c r="R41" s="1658">
        <f>RBBD!M26</f>
        <v>0</v>
      </c>
      <c r="S41" s="1658">
        <f>RBBD!N26</f>
        <v>0</v>
      </c>
      <c r="T41" s="1658">
        <f>RBBD!O26</f>
        <v>0</v>
      </c>
      <c r="U41" s="1658">
        <f>RBBD!P26</f>
        <v>0</v>
      </c>
      <c r="V41" s="1658">
        <f>RBBD!Q26</f>
        <v>0</v>
      </c>
      <c r="W41" s="1658">
        <f>RBBD!R26</f>
        <v>0</v>
      </c>
      <c r="X41" s="1658">
        <f>RBBD!S26</f>
        <v>0</v>
      </c>
      <c r="Y41" s="1658">
        <f>RBBD!T26</f>
        <v>0</v>
      </c>
      <c r="Z41" s="65"/>
      <c r="AA41" s="328">
        <f t="shared" si="5"/>
        <v>0</v>
      </c>
    </row>
    <row r="42" spans="2:27" hidden="1">
      <c r="B42" s="1658">
        <f>RBBD!B27</f>
        <v>0</v>
      </c>
      <c r="C42" s="1658">
        <f>RBBD!C27</f>
        <v>0</v>
      </c>
      <c r="D42" s="1658">
        <f>RBBD!D27</f>
        <v>0</v>
      </c>
      <c r="E42" s="1658">
        <f>RBBD!G27</f>
        <v>0</v>
      </c>
      <c r="F42" s="1658">
        <f>RBBD!H27</f>
        <v>0</v>
      </c>
      <c r="G42" s="1658">
        <f>RBBD!E27</f>
        <v>0</v>
      </c>
      <c r="H42" s="1658">
        <f>RBBD!F27</f>
        <v>0</v>
      </c>
      <c r="I42" s="1658">
        <f t="shared" si="2"/>
        <v>0</v>
      </c>
      <c r="J42" s="1658">
        <f t="shared" si="2"/>
        <v>0</v>
      </c>
      <c r="K42" s="1658">
        <f t="shared" si="2"/>
        <v>0</v>
      </c>
      <c r="L42" s="1658">
        <f t="shared" si="2"/>
        <v>0</v>
      </c>
      <c r="M42" s="1658">
        <f t="shared" si="3"/>
        <v>0</v>
      </c>
      <c r="N42" s="1658">
        <f>RBBD!I27</f>
        <v>0</v>
      </c>
      <c r="O42" s="1658">
        <f>RBBD!J27</f>
        <v>0</v>
      </c>
      <c r="P42" s="1658">
        <f>RBBD!K27</f>
        <v>0</v>
      </c>
      <c r="Q42" s="1658">
        <f>RBBD!L27</f>
        <v>0</v>
      </c>
      <c r="R42" s="1658">
        <f>RBBD!M27</f>
        <v>0</v>
      </c>
      <c r="S42" s="1658">
        <f>RBBD!N27</f>
        <v>0</v>
      </c>
      <c r="T42" s="1658">
        <f>RBBD!O27</f>
        <v>0</v>
      </c>
      <c r="U42" s="1658">
        <f>RBBD!P27</f>
        <v>0</v>
      </c>
      <c r="V42" s="1658">
        <f>RBBD!Q27</f>
        <v>0</v>
      </c>
      <c r="W42" s="1658">
        <f>RBBD!R27</f>
        <v>0</v>
      </c>
      <c r="X42" s="1658">
        <f>RBBD!S27</f>
        <v>0</v>
      </c>
      <c r="Y42" s="1658">
        <f>RBBD!T27</f>
        <v>0</v>
      </c>
      <c r="Z42" s="65"/>
      <c r="AA42" s="328">
        <f t="shared" si="5"/>
        <v>0</v>
      </c>
    </row>
    <row r="43" spans="2:27" hidden="1">
      <c r="B43" s="1658">
        <f>RBBD!B28</f>
        <v>0</v>
      </c>
      <c r="C43" s="1658">
        <f>RBBD!C28</f>
        <v>0</v>
      </c>
      <c r="D43" s="1658">
        <f>RBBD!D28</f>
        <v>0</v>
      </c>
      <c r="E43" s="1658">
        <f>RBBD!G28</f>
        <v>0</v>
      </c>
      <c r="F43" s="1658">
        <f>RBBD!H28</f>
        <v>0</v>
      </c>
      <c r="G43" s="1658">
        <f>RBBD!E28</f>
        <v>0</v>
      </c>
      <c r="H43" s="1658">
        <f>RBBD!F28</f>
        <v>0</v>
      </c>
      <c r="I43" s="1658">
        <f t="shared" si="2"/>
        <v>0</v>
      </c>
      <c r="J43" s="1658">
        <f t="shared" si="2"/>
        <v>0</v>
      </c>
      <c r="K43" s="1658">
        <f t="shared" si="2"/>
        <v>0</v>
      </c>
      <c r="L43" s="1658">
        <f t="shared" si="2"/>
        <v>0</v>
      </c>
      <c r="M43" s="1658">
        <f t="shared" si="3"/>
        <v>0</v>
      </c>
      <c r="N43" s="1658">
        <f>RBBD!I28</f>
        <v>0</v>
      </c>
      <c r="O43" s="1658">
        <f>RBBD!J28</f>
        <v>0</v>
      </c>
      <c r="P43" s="1658">
        <f>RBBD!K28</f>
        <v>0</v>
      </c>
      <c r="Q43" s="1658">
        <f>RBBD!L28</f>
        <v>0</v>
      </c>
      <c r="R43" s="1658">
        <f>RBBD!M28</f>
        <v>0</v>
      </c>
      <c r="S43" s="1658">
        <f>RBBD!N28</f>
        <v>0</v>
      </c>
      <c r="T43" s="1658">
        <f>RBBD!O28</f>
        <v>0</v>
      </c>
      <c r="U43" s="1658">
        <f>RBBD!P28</f>
        <v>0</v>
      </c>
      <c r="V43" s="1658">
        <f>RBBD!Q28</f>
        <v>0</v>
      </c>
      <c r="W43" s="1658">
        <f>RBBD!R28</f>
        <v>0</v>
      </c>
      <c r="X43" s="1658">
        <f>RBBD!S28</f>
        <v>0</v>
      </c>
      <c r="Y43" s="1658">
        <f>RBBD!T28</f>
        <v>0</v>
      </c>
      <c r="Z43" s="65"/>
      <c r="AA43" s="328">
        <f t="shared" si="5"/>
        <v>0</v>
      </c>
    </row>
    <row r="44" spans="2:27" hidden="1">
      <c r="B44" s="1658">
        <f>RBBD!B29</f>
        <v>0</v>
      </c>
      <c r="C44" s="1658">
        <f>RBBD!C29</f>
        <v>0</v>
      </c>
      <c r="D44" s="1658">
        <f>RBBD!D29</f>
        <v>0</v>
      </c>
      <c r="E44" s="1658">
        <f>RBBD!G29</f>
        <v>0</v>
      </c>
      <c r="F44" s="1658">
        <f>RBBD!H29</f>
        <v>0</v>
      </c>
      <c r="G44" s="1658">
        <f>RBBD!E29</f>
        <v>0</v>
      </c>
      <c r="H44" s="1658">
        <f>RBBD!F29</f>
        <v>0</v>
      </c>
      <c r="I44" s="1658">
        <f t="shared" si="2"/>
        <v>0</v>
      </c>
      <c r="J44" s="1658">
        <f t="shared" si="2"/>
        <v>0</v>
      </c>
      <c r="K44" s="1658">
        <f t="shared" si="2"/>
        <v>0</v>
      </c>
      <c r="L44" s="1658">
        <f t="shared" si="2"/>
        <v>0</v>
      </c>
      <c r="M44" s="1658">
        <f t="shared" si="3"/>
        <v>0</v>
      </c>
      <c r="N44" s="1658">
        <f>RBBD!I29</f>
        <v>0</v>
      </c>
      <c r="O44" s="1658">
        <f>RBBD!J29</f>
        <v>0</v>
      </c>
      <c r="P44" s="1658">
        <f>RBBD!K29</f>
        <v>0</v>
      </c>
      <c r="Q44" s="1658">
        <f>RBBD!L29</f>
        <v>0</v>
      </c>
      <c r="R44" s="1658">
        <f>RBBD!M29</f>
        <v>0</v>
      </c>
      <c r="S44" s="1658">
        <f>RBBD!N29</f>
        <v>0</v>
      </c>
      <c r="T44" s="1658">
        <f>RBBD!O29</f>
        <v>0</v>
      </c>
      <c r="U44" s="1658">
        <f>RBBD!P29</f>
        <v>0</v>
      </c>
      <c r="V44" s="1658">
        <f>RBBD!Q29</f>
        <v>0</v>
      </c>
      <c r="W44" s="1658">
        <f>RBBD!R29</f>
        <v>0</v>
      </c>
      <c r="X44" s="1658">
        <f>RBBD!S29</f>
        <v>0</v>
      </c>
      <c r="Y44" s="1658">
        <f>RBBD!T29</f>
        <v>0</v>
      </c>
      <c r="Z44" s="65"/>
      <c r="AA44" s="328">
        <f t="shared" si="5"/>
        <v>0</v>
      </c>
    </row>
    <row r="45" spans="2:27" hidden="1">
      <c r="B45" s="1658">
        <f>RBBD!B30</f>
        <v>0</v>
      </c>
      <c r="C45" s="1658">
        <f>RBBD!C30</f>
        <v>0</v>
      </c>
      <c r="D45" s="1658">
        <f>RBBD!D30</f>
        <v>0</v>
      </c>
      <c r="E45" s="1658">
        <f>RBBD!G30</f>
        <v>0</v>
      </c>
      <c r="F45" s="1658">
        <f>RBBD!H30</f>
        <v>0</v>
      </c>
      <c r="G45" s="1658">
        <f>RBBD!E30</f>
        <v>0</v>
      </c>
      <c r="H45" s="1658">
        <f>RBBD!F30</f>
        <v>0</v>
      </c>
      <c r="I45" s="1658">
        <f t="shared" si="2"/>
        <v>0</v>
      </c>
      <c r="J45" s="1658">
        <f t="shared" si="2"/>
        <v>0</v>
      </c>
      <c r="K45" s="1658">
        <f t="shared" si="2"/>
        <v>0</v>
      </c>
      <c r="L45" s="1658">
        <f t="shared" si="2"/>
        <v>0</v>
      </c>
      <c r="M45" s="1658">
        <f t="shared" si="3"/>
        <v>0</v>
      </c>
      <c r="N45" s="1658">
        <f>RBBD!I30</f>
        <v>0</v>
      </c>
      <c r="O45" s="1658">
        <f>RBBD!J30</f>
        <v>0</v>
      </c>
      <c r="P45" s="1658">
        <f>RBBD!K30</f>
        <v>0</v>
      </c>
      <c r="Q45" s="1658">
        <f>RBBD!L30</f>
        <v>0</v>
      </c>
      <c r="R45" s="1658">
        <f>RBBD!M30</f>
        <v>0</v>
      </c>
      <c r="S45" s="1658">
        <f>RBBD!N30</f>
        <v>0</v>
      </c>
      <c r="T45" s="1658">
        <f>RBBD!O30</f>
        <v>0</v>
      </c>
      <c r="U45" s="1658">
        <f>RBBD!P30</f>
        <v>0</v>
      </c>
      <c r="V45" s="1658">
        <f>RBBD!Q30</f>
        <v>0</v>
      </c>
      <c r="W45" s="1658">
        <f>RBBD!R30</f>
        <v>0</v>
      </c>
      <c r="X45" s="1658">
        <f>RBBD!S30</f>
        <v>0</v>
      </c>
      <c r="Y45" s="1658">
        <f>RBBD!T30</f>
        <v>0</v>
      </c>
      <c r="Z45" s="65"/>
      <c r="AA45" s="328">
        <f t="shared" si="5"/>
        <v>0</v>
      </c>
    </row>
    <row r="46" spans="2:27" hidden="1">
      <c r="B46" s="1658">
        <f>RBBD!B31</f>
        <v>0</v>
      </c>
      <c r="C46" s="1658">
        <f>RBBD!C31</f>
        <v>0</v>
      </c>
      <c r="D46" s="1658">
        <f>RBBD!D31</f>
        <v>0</v>
      </c>
      <c r="E46" s="1658">
        <f>RBBD!G31</f>
        <v>0</v>
      </c>
      <c r="F46" s="1658">
        <f>RBBD!H31</f>
        <v>0</v>
      </c>
      <c r="G46" s="1658">
        <f>RBBD!E31</f>
        <v>0</v>
      </c>
      <c r="H46" s="1658">
        <f>RBBD!F31</f>
        <v>0</v>
      </c>
      <c r="I46" s="1658">
        <f t="shared" si="2"/>
        <v>0</v>
      </c>
      <c r="J46" s="1658">
        <f t="shared" si="2"/>
        <v>0</v>
      </c>
      <c r="K46" s="1658">
        <f t="shared" si="2"/>
        <v>0</v>
      </c>
      <c r="L46" s="1658">
        <f t="shared" si="2"/>
        <v>0</v>
      </c>
      <c r="M46" s="1658">
        <f t="shared" si="3"/>
        <v>0</v>
      </c>
      <c r="N46" s="1658">
        <f>RBBD!I31</f>
        <v>0</v>
      </c>
      <c r="O46" s="1658">
        <f>RBBD!J31</f>
        <v>0</v>
      </c>
      <c r="P46" s="1658">
        <f>RBBD!K31</f>
        <v>0</v>
      </c>
      <c r="Q46" s="1658">
        <f>RBBD!L31</f>
        <v>0</v>
      </c>
      <c r="R46" s="1658">
        <f>RBBD!M31</f>
        <v>0</v>
      </c>
      <c r="S46" s="1658">
        <f>RBBD!N31</f>
        <v>0</v>
      </c>
      <c r="T46" s="1658">
        <f>RBBD!O31</f>
        <v>0</v>
      </c>
      <c r="U46" s="1658">
        <f>RBBD!P31</f>
        <v>0</v>
      </c>
      <c r="V46" s="1658">
        <f>RBBD!Q31</f>
        <v>0</v>
      </c>
      <c r="W46" s="1658">
        <f>RBBD!R31</f>
        <v>0</v>
      </c>
      <c r="X46" s="1658">
        <f>RBBD!S31</f>
        <v>0</v>
      </c>
      <c r="Y46" s="1658">
        <f>RBBD!T31</f>
        <v>0</v>
      </c>
      <c r="Z46" s="65"/>
      <c r="AA46" s="328">
        <f t="shared" si="5"/>
        <v>0</v>
      </c>
    </row>
    <row r="47" spans="2:27" hidden="1">
      <c r="B47" s="1658">
        <f>RBBD!B32</f>
        <v>0</v>
      </c>
      <c r="C47" s="1658">
        <f>RBBD!C32</f>
        <v>0</v>
      </c>
      <c r="D47" s="1658">
        <f>RBBD!D32</f>
        <v>0</v>
      </c>
      <c r="E47" s="1658">
        <f>RBBD!G32</f>
        <v>0</v>
      </c>
      <c r="F47" s="1658">
        <f>RBBD!H32</f>
        <v>0</v>
      </c>
      <c r="G47" s="1658">
        <f>RBBD!E32</f>
        <v>0</v>
      </c>
      <c r="H47" s="1658">
        <f>RBBD!F32</f>
        <v>0</v>
      </c>
      <c r="I47" s="1658">
        <f t="shared" si="2"/>
        <v>0</v>
      </c>
      <c r="J47" s="1658">
        <f t="shared" si="2"/>
        <v>0</v>
      </c>
      <c r="K47" s="1658">
        <f t="shared" si="2"/>
        <v>0</v>
      </c>
      <c r="L47" s="1658">
        <f t="shared" si="2"/>
        <v>0</v>
      </c>
      <c r="M47" s="1658">
        <f t="shared" si="3"/>
        <v>0</v>
      </c>
      <c r="N47" s="1658">
        <f>RBBD!I32</f>
        <v>0</v>
      </c>
      <c r="O47" s="1658">
        <f>RBBD!J32</f>
        <v>0</v>
      </c>
      <c r="P47" s="1658">
        <f>RBBD!K32</f>
        <v>0</v>
      </c>
      <c r="Q47" s="1658">
        <f>RBBD!L32</f>
        <v>0</v>
      </c>
      <c r="R47" s="1658">
        <f>RBBD!M32</f>
        <v>0</v>
      </c>
      <c r="S47" s="1658">
        <f>RBBD!N32</f>
        <v>0</v>
      </c>
      <c r="T47" s="1658">
        <f>RBBD!O32</f>
        <v>0</v>
      </c>
      <c r="U47" s="1658">
        <f>RBBD!P32</f>
        <v>0</v>
      </c>
      <c r="V47" s="1658">
        <f>RBBD!Q32</f>
        <v>0</v>
      </c>
      <c r="W47" s="1658">
        <f>RBBD!R32</f>
        <v>0</v>
      </c>
      <c r="X47" s="1658">
        <f>RBBD!S32</f>
        <v>0</v>
      </c>
      <c r="Y47" s="1658">
        <f>RBBD!T32</f>
        <v>0</v>
      </c>
      <c r="Z47" s="65"/>
      <c r="AA47" s="328">
        <f t="shared" si="5"/>
        <v>0</v>
      </c>
    </row>
    <row r="48" spans="2:27" hidden="1">
      <c r="B48" s="1658">
        <f>RBBD!B33</f>
        <v>0</v>
      </c>
      <c r="C48" s="1658">
        <f>RBBD!C33</f>
        <v>0</v>
      </c>
      <c r="D48" s="1658">
        <f>RBBD!D33</f>
        <v>0</v>
      </c>
      <c r="E48" s="1658">
        <f>RBBD!G33</f>
        <v>0</v>
      </c>
      <c r="F48" s="1658">
        <f>RBBD!H33</f>
        <v>0</v>
      </c>
      <c r="G48" s="1658">
        <f>RBBD!E33</f>
        <v>0</v>
      </c>
      <c r="H48" s="1658">
        <f>RBBD!F33</f>
        <v>0</v>
      </c>
      <c r="I48" s="1658">
        <f t="shared" si="2"/>
        <v>0</v>
      </c>
      <c r="J48" s="1658">
        <f t="shared" si="2"/>
        <v>0</v>
      </c>
      <c r="K48" s="1658">
        <f t="shared" si="2"/>
        <v>0</v>
      </c>
      <c r="L48" s="1658">
        <f t="shared" si="2"/>
        <v>0</v>
      </c>
      <c r="M48" s="1658">
        <f t="shared" si="3"/>
        <v>0</v>
      </c>
      <c r="N48" s="1658">
        <f>RBBD!I33</f>
        <v>0</v>
      </c>
      <c r="O48" s="1658">
        <f>RBBD!J33</f>
        <v>0</v>
      </c>
      <c r="P48" s="1658">
        <f>RBBD!K33</f>
        <v>0</v>
      </c>
      <c r="Q48" s="1658">
        <f>RBBD!L33</f>
        <v>0</v>
      </c>
      <c r="R48" s="1658">
        <f>RBBD!M33</f>
        <v>0</v>
      </c>
      <c r="S48" s="1658">
        <f>RBBD!N33</f>
        <v>0</v>
      </c>
      <c r="T48" s="1658">
        <f>RBBD!O33</f>
        <v>0</v>
      </c>
      <c r="U48" s="1658">
        <f>RBBD!P33</f>
        <v>0</v>
      </c>
      <c r="V48" s="1658">
        <f>RBBD!Q33</f>
        <v>0</v>
      </c>
      <c r="W48" s="1658">
        <f>RBBD!R33</f>
        <v>0</v>
      </c>
      <c r="X48" s="1658">
        <f>RBBD!S33</f>
        <v>0</v>
      </c>
      <c r="Y48" s="1658">
        <f>RBBD!T33</f>
        <v>0</v>
      </c>
      <c r="Z48" s="65"/>
      <c r="AA48" s="328">
        <f t="shared" si="5"/>
        <v>0</v>
      </c>
    </row>
    <row r="49" spans="2:27" hidden="1">
      <c r="B49" s="1658">
        <f>RBBD!B34</f>
        <v>0</v>
      </c>
      <c r="C49" s="1658">
        <f>RBBD!C34</f>
        <v>0</v>
      </c>
      <c r="D49" s="1658">
        <f>RBBD!D34</f>
        <v>0</v>
      </c>
      <c r="E49" s="1658">
        <f>RBBD!G34</f>
        <v>0</v>
      </c>
      <c r="F49" s="1658">
        <f>RBBD!H34</f>
        <v>0</v>
      </c>
      <c r="G49" s="1658">
        <f>RBBD!E34</f>
        <v>0</v>
      </c>
      <c r="H49" s="1658">
        <f>RBBD!F34</f>
        <v>0</v>
      </c>
      <c r="I49" s="1658">
        <f t="shared" si="2"/>
        <v>0</v>
      </c>
      <c r="J49" s="1658">
        <f t="shared" si="2"/>
        <v>0</v>
      </c>
      <c r="K49" s="1658">
        <f t="shared" si="2"/>
        <v>0</v>
      </c>
      <c r="L49" s="1658">
        <f t="shared" si="2"/>
        <v>0</v>
      </c>
      <c r="M49" s="1658">
        <f t="shared" si="3"/>
        <v>0</v>
      </c>
      <c r="N49" s="1658">
        <f>RBBD!I34</f>
        <v>0</v>
      </c>
      <c r="O49" s="1658">
        <f>RBBD!J34</f>
        <v>0</v>
      </c>
      <c r="P49" s="1658">
        <f>RBBD!K34</f>
        <v>0</v>
      </c>
      <c r="Q49" s="1658">
        <f>RBBD!L34</f>
        <v>0</v>
      </c>
      <c r="R49" s="1658">
        <f>RBBD!M34</f>
        <v>0</v>
      </c>
      <c r="S49" s="1658">
        <f>RBBD!N34</f>
        <v>0</v>
      </c>
      <c r="T49" s="1658">
        <f>RBBD!O34</f>
        <v>0</v>
      </c>
      <c r="U49" s="1658">
        <f>RBBD!P34</f>
        <v>0</v>
      </c>
      <c r="V49" s="1658">
        <f>RBBD!Q34</f>
        <v>0</v>
      </c>
      <c r="W49" s="1658">
        <f>RBBD!R34</f>
        <v>0</v>
      </c>
      <c r="X49" s="1658">
        <f>RBBD!S34</f>
        <v>0</v>
      </c>
      <c r="Y49" s="1658">
        <f>RBBD!T34</f>
        <v>0</v>
      </c>
      <c r="Z49" s="65"/>
      <c r="AA49" s="328">
        <f t="shared" si="5"/>
        <v>0</v>
      </c>
    </row>
    <row r="50" spans="2:27" hidden="1">
      <c r="B50" s="1658">
        <f>RBBD!B35</f>
        <v>0</v>
      </c>
      <c r="C50" s="1658">
        <f>RBBD!C35</f>
        <v>0</v>
      </c>
      <c r="D50" s="1658">
        <f>RBBD!D35</f>
        <v>0</v>
      </c>
      <c r="E50" s="1658">
        <f>RBBD!G35</f>
        <v>0</v>
      </c>
      <c r="F50" s="1658">
        <f>RBBD!H35</f>
        <v>0</v>
      </c>
      <c r="G50" s="1658">
        <f>RBBD!E35</f>
        <v>0</v>
      </c>
      <c r="H50" s="1658">
        <f>RBBD!F35</f>
        <v>0</v>
      </c>
      <c r="I50" s="1658">
        <f t="shared" si="2"/>
        <v>0</v>
      </c>
      <c r="J50" s="1658">
        <f t="shared" si="2"/>
        <v>0</v>
      </c>
      <c r="K50" s="1658">
        <f t="shared" si="2"/>
        <v>0</v>
      </c>
      <c r="L50" s="1658">
        <f t="shared" si="2"/>
        <v>0</v>
      </c>
      <c r="M50" s="1658">
        <f t="shared" si="3"/>
        <v>0</v>
      </c>
      <c r="N50" s="1658">
        <f>RBBD!I35</f>
        <v>0</v>
      </c>
      <c r="O50" s="1658">
        <f>RBBD!J35</f>
        <v>0</v>
      </c>
      <c r="P50" s="1658">
        <f>RBBD!K35</f>
        <v>0</v>
      </c>
      <c r="Q50" s="1658">
        <f>RBBD!L35</f>
        <v>0</v>
      </c>
      <c r="R50" s="1658">
        <f>RBBD!M35</f>
        <v>0</v>
      </c>
      <c r="S50" s="1658">
        <f>RBBD!N35</f>
        <v>0</v>
      </c>
      <c r="T50" s="1658">
        <f>RBBD!O35</f>
        <v>0</v>
      </c>
      <c r="U50" s="1658">
        <f>RBBD!P35</f>
        <v>0</v>
      </c>
      <c r="V50" s="1658">
        <f>RBBD!Q35</f>
        <v>0</v>
      </c>
      <c r="W50" s="1658">
        <f>RBBD!R35</f>
        <v>0</v>
      </c>
      <c r="X50" s="1658">
        <f>RBBD!S35</f>
        <v>0</v>
      </c>
      <c r="Y50" s="1658">
        <f>RBBD!T35</f>
        <v>0</v>
      </c>
      <c r="Z50" s="65"/>
      <c r="AA50" s="328">
        <f t="shared" si="5"/>
        <v>0</v>
      </c>
    </row>
    <row r="51" spans="2:27" hidden="1">
      <c r="B51" s="1658">
        <f>RBBD!B36</f>
        <v>0</v>
      </c>
      <c r="C51" s="1658">
        <f>RBBD!C36</f>
        <v>0</v>
      </c>
      <c r="D51" s="1658">
        <f>RBBD!D36</f>
        <v>0</v>
      </c>
      <c r="E51" s="1658">
        <f>RBBD!G36</f>
        <v>0</v>
      </c>
      <c r="F51" s="1658">
        <f>RBBD!H36</f>
        <v>0</v>
      </c>
      <c r="G51" s="1658">
        <f>RBBD!E36</f>
        <v>0</v>
      </c>
      <c r="H51" s="1658">
        <f>RBBD!F36</f>
        <v>0</v>
      </c>
      <c r="I51" s="1658">
        <f t="shared" si="2"/>
        <v>0</v>
      </c>
      <c r="J51" s="1658">
        <f t="shared" si="2"/>
        <v>0</v>
      </c>
      <c r="K51" s="1658">
        <f t="shared" si="2"/>
        <v>0</v>
      </c>
      <c r="L51" s="1658">
        <f t="shared" si="2"/>
        <v>0</v>
      </c>
      <c r="M51" s="1658">
        <f t="shared" si="3"/>
        <v>0</v>
      </c>
      <c r="N51" s="1658">
        <f>RBBD!I36</f>
        <v>0</v>
      </c>
      <c r="O51" s="1658">
        <f>RBBD!J36</f>
        <v>0</v>
      </c>
      <c r="P51" s="1658">
        <f>RBBD!K36</f>
        <v>0</v>
      </c>
      <c r="Q51" s="1658">
        <f>RBBD!L36</f>
        <v>0</v>
      </c>
      <c r="R51" s="1658">
        <f>RBBD!M36</f>
        <v>0</v>
      </c>
      <c r="S51" s="1658">
        <f>RBBD!N36</f>
        <v>0</v>
      </c>
      <c r="T51" s="1658">
        <f>RBBD!O36</f>
        <v>0</v>
      </c>
      <c r="U51" s="1658">
        <f>RBBD!P36</f>
        <v>0</v>
      </c>
      <c r="V51" s="1658">
        <f>RBBD!Q36</f>
        <v>0</v>
      </c>
      <c r="W51" s="1658">
        <f>RBBD!R36</f>
        <v>0</v>
      </c>
      <c r="X51" s="1658">
        <f>RBBD!S36</f>
        <v>0</v>
      </c>
      <c r="Y51" s="1658">
        <f>RBBD!T36</f>
        <v>0</v>
      </c>
      <c r="Z51" s="65"/>
      <c r="AA51" s="328">
        <f t="shared" si="5"/>
        <v>0</v>
      </c>
    </row>
    <row r="52" spans="2:27" hidden="1">
      <c r="B52" s="1658">
        <f>RBBD!B37</f>
        <v>0</v>
      </c>
      <c r="C52" s="1658">
        <f>RBBD!C37</f>
        <v>0</v>
      </c>
      <c r="D52" s="1658">
        <f>RBBD!D37</f>
        <v>0</v>
      </c>
      <c r="E52" s="1658">
        <f>RBBD!G37</f>
        <v>0</v>
      </c>
      <c r="F52" s="1658">
        <f>RBBD!H37</f>
        <v>0</v>
      </c>
      <c r="G52" s="1658">
        <f>RBBD!E37</f>
        <v>0</v>
      </c>
      <c r="H52" s="1658">
        <f>RBBD!F37</f>
        <v>0</v>
      </c>
      <c r="I52" s="1658">
        <f t="shared" si="2"/>
        <v>0</v>
      </c>
      <c r="J52" s="1658">
        <f t="shared" si="2"/>
        <v>0</v>
      </c>
      <c r="K52" s="1658">
        <f t="shared" si="2"/>
        <v>0</v>
      </c>
      <c r="L52" s="1658">
        <f t="shared" si="2"/>
        <v>0</v>
      </c>
      <c r="M52" s="1658">
        <f t="shared" si="3"/>
        <v>0</v>
      </c>
      <c r="N52" s="1658">
        <f>RBBD!I37</f>
        <v>0</v>
      </c>
      <c r="O52" s="1658">
        <f>RBBD!J37</f>
        <v>0</v>
      </c>
      <c r="P52" s="1658">
        <f>RBBD!K37</f>
        <v>0</v>
      </c>
      <c r="Q52" s="1658">
        <f>RBBD!L37</f>
        <v>0</v>
      </c>
      <c r="R52" s="1658">
        <f>RBBD!M37</f>
        <v>0</v>
      </c>
      <c r="S52" s="1658">
        <f>RBBD!N37</f>
        <v>0</v>
      </c>
      <c r="T52" s="1658">
        <f>RBBD!O37</f>
        <v>0</v>
      </c>
      <c r="U52" s="1658">
        <f>RBBD!P37</f>
        <v>0</v>
      </c>
      <c r="V52" s="1658">
        <f>RBBD!Q37</f>
        <v>0</v>
      </c>
      <c r="W52" s="1658">
        <f>RBBD!R37</f>
        <v>0</v>
      </c>
      <c r="X52" s="1658">
        <f>RBBD!S37</f>
        <v>0</v>
      </c>
      <c r="Y52" s="1658">
        <f>RBBD!T37</f>
        <v>0</v>
      </c>
      <c r="Z52" s="65"/>
      <c r="AA52" s="328">
        <f t="shared" si="5"/>
        <v>0</v>
      </c>
    </row>
    <row r="53" spans="2:27" hidden="1">
      <c r="B53" s="1658">
        <f>RBBD!B38</f>
        <v>0</v>
      </c>
      <c r="C53" s="1658">
        <f>RBBD!C38</f>
        <v>0</v>
      </c>
      <c r="D53" s="1658">
        <f>RBBD!D38</f>
        <v>0</v>
      </c>
      <c r="E53" s="1658">
        <f>RBBD!G38</f>
        <v>0</v>
      </c>
      <c r="F53" s="1658">
        <f>RBBD!H38</f>
        <v>0</v>
      </c>
      <c r="G53" s="1658">
        <f>RBBD!E38</f>
        <v>0</v>
      </c>
      <c r="H53" s="1658">
        <f>RBBD!F38</f>
        <v>0</v>
      </c>
      <c r="I53" s="1658">
        <f t="shared" si="2"/>
        <v>0</v>
      </c>
      <c r="J53" s="1658">
        <f t="shared" si="2"/>
        <v>0</v>
      </c>
      <c r="K53" s="1658">
        <f t="shared" si="2"/>
        <v>0</v>
      </c>
      <c r="L53" s="1658">
        <f t="shared" si="2"/>
        <v>0</v>
      </c>
      <c r="M53" s="1658">
        <f t="shared" si="3"/>
        <v>0</v>
      </c>
      <c r="N53" s="1658">
        <f>RBBD!I38</f>
        <v>0</v>
      </c>
      <c r="O53" s="1658">
        <f>RBBD!J38</f>
        <v>0</v>
      </c>
      <c r="P53" s="1658">
        <f>RBBD!K38</f>
        <v>0</v>
      </c>
      <c r="Q53" s="1658">
        <f>RBBD!L38</f>
        <v>0</v>
      </c>
      <c r="R53" s="1658">
        <f>RBBD!M38</f>
        <v>0</v>
      </c>
      <c r="S53" s="1658">
        <f>RBBD!N38</f>
        <v>0</v>
      </c>
      <c r="T53" s="1658">
        <f>RBBD!O38</f>
        <v>0</v>
      </c>
      <c r="U53" s="1658">
        <f>RBBD!P38</f>
        <v>0</v>
      </c>
      <c r="V53" s="1658">
        <f>RBBD!Q38</f>
        <v>0</v>
      </c>
      <c r="W53" s="1658">
        <f>RBBD!R38</f>
        <v>0</v>
      </c>
      <c r="X53" s="1658">
        <f>RBBD!S38</f>
        <v>0</v>
      </c>
      <c r="Y53" s="1658">
        <f>RBBD!T38</f>
        <v>0</v>
      </c>
      <c r="Z53" s="65"/>
      <c r="AA53" s="328">
        <f t="shared" si="5"/>
        <v>0</v>
      </c>
    </row>
    <row r="54" spans="2:27" hidden="1">
      <c r="B54" s="1658">
        <f>RBBD!B39</f>
        <v>0</v>
      </c>
      <c r="C54" s="1658">
        <f>RBBD!C39</f>
        <v>0</v>
      </c>
      <c r="D54" s="1658">
        <f>RBBD!D39</f>
        <v>0</v>
      </c>
      <c r="E54" s="1658">
        <f>RBBD!G39</f>
        <v>0</v>
      </c>
      <c r="F54" s="1658">
        <f>RBBD!H39</f>
        <v>0</v>
      </c>
      <c r="G54" s="1658">
        <f>RBBD!E39</f>
        <v>0</v>
      </c>
      <c r="H54" s="1658">
        <f>RBBD!F39</f>
        <v>0</v>
      </c>
      <c r="I54" s="1658">
        <f t="shared" si="2"/>
        <v>0</v>
      </c>
      <c r="J54" s="1658">
        <f t="shared" si="2"/>
        <v>0</v>
      </c>
      <c r="K54" s="1658">
        <f t="shared" si="2"/>
        <v>0</v>
      </c>
      <c r="L54" s="1658">
        <f t="shared" si="2"/>
        <v>0</v>
      </c>
      <c r="M54" s="1658">
        <f t="shared" si="3"/>
        <v>0</v>
      </c>
      <c r="N54" s="1658">
        <f>RBBD!I39</f>
        <v>0</v>
      </c>
      <c r="O54" s="1658">
        <f>RBBD!J39</f>
        <v>0</v>
      </c>
      <c r="P54" s="1658">
        <f>RBBD!K39</f>
        <v>0</v>
      </c>
      <c r="Q54" s="1658">
        <f>RBBD!L39</f>
        <v>0</v>
      </c>
      <c r="R54" s="1658">
        <f>RBBD!M39</f>
        <v>0</v>
      </c>
      <c r="S54" s="1658">
        <f>RBBD!N39</f>
        <v>0</v>
      </c>
      <c r="T54" s="1658">
        <f>RBBD!O39</f>
        <v>0</v>
      </c>
      <c r="U54" s="1658">
        <f>RBBD!P39</f>
        <v>0</v>
      </c>
      <c r="V54" s="1658">
        <f>RBBD!Q39</f>
        <v>0</v>
      </c>
      <c r="W54" s="1658">
        <f>RBBD!R39</f>
        <v>0</v>
      </c>
      <c r="X54" s="1658">
        <f>RBBD!S39</f>
        <v>0</v>
      </c>
      <c r="Y54" s="1658">
        <f>RBBD!T39</f>
        <v>0</v>
      </c>
      <c r="Z54" s="65"/>
      <c r="AA54" s="328">
        <f t="shared" si="5"/>
        <v>0</v>
      </c>
    </row>
    <row r="55" spans="2:27" hidden="1">
      <c r="B55" s="1658">
        <f>RBBD!B40</f>
        <v>0</v>
      </c>
      <c r="C55" s="1658">
        <f>RBBD!C40</f>
        <v>0</v>
      </c>
      <c r="D55" s="1658">
        <f>RBBD!D40</f>
        <v>0</v>
      </c>
      <c r="E55" s="1658">
        <f>RBBD!G40</f>
        <v>0</v>
      </c>
      <c r="F55" s="1658">
        <f>RBBD!H40</f>
        <v>0</v>
      </c>
      <c r="G55" s="1658">
        <f>RBBD!E40</f>
        <v>0</v>
      </c>
      <c r="H55" s="1658">
        <f>RBBD!F40</f>
        <v>0</v>
      </c>
      <c r="I55" s="1658">
        <f t="shared" si="2"/>
        <v>0</v>
      </c>
      <c r="J55" s="1658">
        <f t="shared" si="2"/>
        <v>0</v>
      </c>
      <c r="K55" s="1658">
        <f t="shared" si="2"/>
        <v>0</v>
      </c>
      <c r="L55" s="1658">
        <f t="shared" si="2"/>
        <v>0</v>
      </c>
      <c r="M55" s="1658">
        <f t="shared" si="3"/>
        <v>0</v>
      </c>
      <c r="N55" s="1658">
        <f>RBBD!I40</f>
        <v>0</v>
      </c>
      <c r="O55" s="1658">
        <f>RBBD!J40</f>
        <v>0</v>
      </c>
      <c r="P55" s="1658">
        <f>RBBD!K40</f>
        <v>0</v>
      </c>
      <c r="Q55" s="1658">
        <f>RBBD!L40</f>
        <v>0</v>
      </c>
      <c r="R55" s="1658">
        <f>RBBD!M40</f>
        <v>0</v>
      </c>
      <c r="S55" s="1658">
        <f>RBBD!N40</f>
        <v>0</v>
      </c>
      <c r="T55" s="1658">
        <f>RBBD!O40</f>
        <v>0</v>
      </c>
      <c r="U55" s="1658">
        <f>RBBD!P40</f>
        <v>0</v>
      </c>
      <c r="V55" s="1658">
        <f>RBBD!Q40</f>
        <v>0</v>
      </c>
      <c r="W55" s="1658">
        <f>RBBD!R40</f>
        <v>0</v>
      </c>
      <c r="X55" s="1658">
        <f>RBBD!S40</f>
        <v>0</v>
      </c>
      <c r="Y55" s="1658">
        <f>RBBD!T40</f>
        <v>0</v>
      </c>
      <c r="Z55" s="65"/>
      <c r="AA55" s="328">
        <f t="shared" si="5"/>
        <v>0</v>
      </c>
    </row>
    <row r="56" spans="2:27" hidden="1">
      <c r="B56" s="1658">
        <f>RBBD!B41</f>
        <v>0</v>
      </c>
      <c r="C56" s="1658">
        <f>RBBD!C41</f>
        <v>0</v>
      </c>
      <c r="D56" s="1658">
        <f>RBBD!D41</f>
        <v>0</v>
      </c>
      <c r="E56" s="1658">
        <f>RBBD!G41</f>
        <v>0</v>
      </c>
      <c r="F56" s="1658">
        <f>RBBD!H41</f>
        <v>0</v>
      </c>
      <c r="G56" s="1658">
        <f>RBBD!E41</f>
        <v>0</v>
      </c>
      <c r="H56" s="1658">
        <f>RBBD!F41</f>
        <v>0</v>
      </c>
      <c r="I56" s="1658">
        <f t="shared" si="2"/>
        <v>0</v>
      </c>
      <c r="J56" s="1658">
        <f t="shared" si="2"/>
        <v>0</v>
      </c>
      <c r="K56" s="1658">
        <f t="shared" si="2"/>
        <v>0</v>
      </c>
      <c r="L56" s="1658">
        <f t="shared" si="2"/>
        <v>0</v>
      </c>
      <c r="M56" s="1658">
        <f t="shared" si="3"/>
        <v>0</v>
      </c>
      <c r="N56" s="1658">
        <f>RBBD!I41</f>
        <v>0</v>
      </c>
      <c r="O56" s="1658">
        <f>RBBD!J41</f>
        <v>0</v>
      </c>
      <c r="P56" s="1658">
        <f>RBBD!K41</f>
        <v>0</v>
      </c>
      <c r="Q56" s="1658">
        <f>RBBD!L41</f>
        <v>0</v>
      </c>
      <c r="R56" s="1658">
        <f>RBBD!M41</f>
        <v>0</v>
      </c>
      <c r="S56" s="1658">
        <f>RBBD!N41</f>
        <v>0</v>
      </c>
      <c r="T56" s="1658">
        <f>RBBD!O41</f>
        <v>0</v>
      </c>
      <c r="U56" s="1658">
        <f>RBBD!P41</f>
        <v>0</v>
      </c>
      <c r="V56" s="1658">
        <f>RBBD!Q41</f>
        <v>0</v>
      </c>
      <c r="W56" s="1658">
        <f>RBBD!R41</f>
        <v>0</v>
      </c>
      <c r="X56" s="1658">
        <f>RBBD!S41</f>
        <v>0</v>
      </c>
      <c r="Y56" s="1658">
        <f>RBBD!T41</f>
        <v>0</v>
      </c>
      <c r="Z56" s="65"/>
      <c r="AA56" s="328">
        <f t="shared" si="5"/>
        <v>0</v>
      </c>
    </row>
    <row r="57" spans="2:27" hidden="1">
      <c r="B57" s="1658">
        <f>RBBD!B42</f>
        <v>0</v>
      </c>
      <c r="C57" s="1658">
        <f>RBBD!C42</f>
        <v>0</v>
      </c>
      <c r="D57" s="1658">
        <f>RBBD!D42</f>
        <v>0</v>
      </c>
      <c r="E57" s="1658">
        <f>RBBD!G42</f>
        <v>0</v>
      </c>
      <c r="F57" s="1658">
        <f>RBBD!H42</f>
        <v>0</v>
      </c>
      <c r="G57" s="1658">
        <f>RBBD!E42</f>
        <v>0</v>
      </c>
      <c r="H57" s="1658">
        <f>RBBD!F42</f>
        <v>0</v>
      </c>
      <c r="I57" s="1658">
        <f t="shared" si="2"/>
        <v>0</v>
      </c>
      <c r="J57" s="1658">
        <f t="shared" si="2"/>
        <v>0</v>
      </c>
      <c r="K57" s="1658">
        <f t="shared" si="2"/>
        <v>0</v>
      </c>
      <c r="L57" s="1658">
        <f t="shared" si="2"/>
        <v>0</v>
      </c>
      <c r="M57" s="1658">
        <f t="shared" si="3"/>
        <v>0</v>
      </c>
      <c r="N57" s="1658">
        <f>RBBD!I42</f>
        <v>0</v>
      </c>
      <c r="O57" s="1658">
        <f>RBBD!J42</f>
        <v>0</v>
      </c>
      <c r="P57" s="1658">
        <f>RBBD!K42</f>
        <v>0</v>
      </c>
      <c r="Q57" s="1658">
        <f>RBBD!L42</f>
        <v>0</v>
      </c>
      <c r="R57" s="1658">
        <f>RBBD!M42</f>
        <v>0</v>
      </c>
      <c r="S57" s="1658">
        <f>RBBD!N42</f>
        <v>0</v>
      </c>
      <c r="T57" s="1658">
        <f>RBBD!O42</f>
        <v>0</v>
      </c>
      <c r="U57" s="1658">
        <f>RBBD!P42</f>
        <v>0</v>
      </c>
      <c r="V57" s="1658">
        <f>RBBD!Q42</f>
        <v>0</v>
      </c>
      <c r="W57" s="1658">
        <f>RBBD!R42</f>
        <v>0</v>
      </c>
      <c r="X57" s="1658">
        <f>RBBD!S42</f>
        <v>0</v>
      </c>
      <c r="Y57" s="1658">
        <f>RBBD!T42</f>
        <v>0</v>
      </c>
      <c r="Z57" s="65"/>
      <c r="AA57" s="328">
        <f t="shared" si="5"/>
        <v>0</v>
      </c>
    </row>
    <row r="58" spans="2:27" hidden="1">
      <c r="B58" s="1658">
        <f>RBBD!B43</f>
        <v>0</v>
      </c>
      <c r="C58" s="1658">
        <f>RBBD!C43</f>
        <v>0</v>
      </c>
      <c r="D58" s="1658">
        <f>RBBD!D43</f>
        <v>0</v>
      </c>
      <c r="E58" s="1658">
        <f>RBBD!G43</f>
        <v>0</v>
      </c>
      <c r="F58" s="1658">
        <f>RBBD!H43</f>
        <v>0</v>
      </c>
      <c r="G58" s="1658">
        <f>RBBD!E43</f>
        <v>0</v>
      </c>
      <c r="H58" s="1658">
        <f>RBBD!F43</f>
        <v>0</v>
      </c>
      <c r="I58" s="1658">
        <f t="shared" si="2"/>
        <v>0</v>
      </c>
      <c r="J58" s="1658">
        <f t="shared" si="2"/>
        <v>0</v>
      </c>
      <c r="K58" s="1658">
        <f t="shared" si="2"/>
        <v>0</v>
      </c>
      <c r="L58" s="1658">
        <f t="shared" si="2"/>
        <v>0</v>
      </c>
      <c r="M58" s="1658">
        <f t="shared" si="3"/>
        <v>0</v>
      </c>
      <c r="N58" s="1658">
        <f>RBBD!I43</f>
        <v>0</v>
      </c>
      <c r="O58" s="1658">
        <f>RBBD!J43</f>
        <v>0</v>
      </c>
      <c r="P58" s="1658">
        <f>RBBD!K43</f>
        <v>0</v>
      </c>
      <c r="Q58" s="1658">
        <f>RBBD!L43</f>
        <v>0</v>
      </c>
      <c r="R58" s="1658">
        <f>RBBD!M43</f>
        <v>0</v>
      </c>
      <c r="S58" s="1658">
        <f>RBBD!N43</f>
        <v>0</v>
      </c>
      <c r="T58" s="1658">
        <f>RBBD!O43</f>
        <v>0</v>
      </c>
      <c r="U58" s="1658">
        <f>RBBD!P43</f>
        <v>0</v>
      </c>
      <c r="V58" s="1658">
        <f>RBBD!Q43</f>
        <v>0</v>
      </c>
      <c r="W58" s="1658">
        <f>RBBD!R43</f>
        <v>0</v>
      </c>
      <c r="X58" s="1658">
        <f>RBBD!S43</f>
        <v>0</v>
      </c>
      <c r="Y58" s="1658">
        <f>RBBD!T43</f>
        <v>0</v>
      </c>
      <c r="Z58" s="65"/>
      <c r="AA58" s="328">
        <f t="shared" si="5"/>
        <v>0</v>
      </c>
    </row>
    <row r="59" spans="2:27" hidden="1">
      <c r="B59" s="1658">
        <f>RBBD!B44</f>
        <v>0</v>
      </c>
      <c r="C59" s="1658">
        <f>RBBD!C44</f>
        <v>0</v>
      </c>
      <c r="D59" s="1658">
        <f>RBBD!D44</f>
        <v>0</v>
      </c>
      <c r="E59" s="1658">
        <f>RBBD!G44</f>
        <v>0</v>
      </c>
      <c r="F59" s="1658">
        <f>RBBD!H44</f>
        <v>0</v>
      </c>
      <c r="G59" s="1658">
        <f>RBBD!E44</f>
        <v>0</v>
      </c>
      <c r="H59" s="1658">
        <f>RBBD!F44</f>
        <v>0</v>
      </c>
      <c r="I59" s="1658">
        <f t="shared" si="2"/>
        <v>0</v>
      </c>
      <c r="J59" s="1658">
        <f t="shared" si="2"/>
        <v>0</v>
      </c>
      <c r="K59" s="1658">
        <f t="shared" si="2"/>
        <v>0</v>
      </c>
      <c r="L59" s="1658">
        <f t="shared" si="2"/>
        <v>0</v>
      </c>
      <c r="M59" s="1658">
        <f t="shared" si="3"/>
        <v>0</v>
      </c>
      <c r="N59" s="1658">
        <f>RBBD!I44</f>
        <v>0</v>
      </c>
      <c r="O59" s="1658">
        <f>RBBD!J44</f>
        <v>0</v>
      </c>
      <c r="P59" s="1658">
        <f>RBBD!K44</f>
        <v>0</v>
      </c>
      <c r="Q59" s="1658">
        <f>RBBD!L44</f>
        <v>0</v>
      </c>
      <c r="R59" s="1658">
        <f>RBBD!M44</f>
        <v>0</v>
      </c>
      <c r="S59" s="1658">
        <f>RBBD!N44</f>
        <v>0</v>
      </c>
      <c r="T59" s="1658">
        <f>RBBD!O44</f>
        <v>0</v>
      </c>
      <c r="U59" s="1658">
        <f>RBBD!P44</f>
        <v>0</v>
      </c>
      <c r="V59" s="1658">
        <f>RBBD!Q44</f>
        <v>0</v>
      </c>
      <c r="W59" s="1658">
        <f>RBBD!R44</f>
        <v>0</v>
      </c>
      <c r="X59" s="1658">
        <f>RBBD!S44</f>
        <v>0</v>
      </c>
      <c r="Y59" s="1658">
        <f>RBBD!T44</f>
        <v>0</v>
      </c>
      <c r="Z59" s="65"/>
      <c r="AA59" s="328">
        <f t="shared" si="5"/>
        <v>0</v>
      </c>
    </row>
    <row r="60" spans="2:27" hidden="1">
      <c r="B60" s="1658">
        <f>RBBD!B45</f>
        <v>0</v>
      </c>
      <c r="C60" s="1658">
        <f>RBBD!C45</f>
        <v>0</v>
      </c>
      <c r="D60" s="1658">
        <f>RBBD!D45</f>
        <v>0</v>
      </c>
      <c r="E60" s="1658">
        <f>RBBD!G45</f>
        <v>0</v>
      </c>
      <c r="F60" s="1658">
        <f>RBBD!H45</f>
        <v>0</v>
      </c>
      <c r="G60" s="1658">
        <f>RBBD!E45</f>
        <v>0</v>
      </c>
      <c r="H60" s="1658">
        <f>RBBD!F45</f>
        <v>0</v>
      </c>
      <c r="I60" s="1658">
        <f t="shared" si="2"/>
        <v>0</v>
      </c>
      <c r="J60" s="1658">
        <f t="shared" si="2"/>
        <v>0</v>
      </c>
      <c r="K60" s="1658">
        <f t="shared" si="2"/>
        <v>0</v>
      </c>
      <c r="L60" s="1658">
        <f t="shared" si="2"/>
        <v>0</v>
      </c>
      <c r="M60" s="1658">
        <f t="shared" si="3"/>
        <v>0</v>
      </c>
      <c r="N60" s="1658">
        <f>RBBD!I45</f>
        <v>0</v>
      </c>
      <c r="O60" s="1658">
        <f>RBBD!J45</f>
        <v>0</v>
      </c>
      <c r="P60" s="1658">
        <f>RBBD!K45</f>
        <v>0</v>
      </c>
      <c r="Q60" s="1658">
        <f>RBBD!L45</f>
        <v>0</v>
      </c>
      <c r="R60" s="1658">
        <f>RBBD!M45</f>
        <v>0</v>
      </c>
      <c r="S60" s="1658">
        <f>RBBD!N45</f>
        <v>0</v>
      </c>
      <c r="T60" s="1658">
        <f>RBBD!O45</f>
        <v>0</v>
      </c>
      <c r="U60" s="1658">
        <f>RBBD!P45</f>
        <v>0</v>
      </c>
      <c r="V60" s="1658">
        <f>RBBD!Q45</f>
        <v>0</v>
      </c>
      <c r="W60" s="1658">
        <f>RBBD!R45</f>
        <v>0</v>
      </c>
      <c r="X60" s="1658">
        <f>RBBD!S45</f>
        <v>0</v>
      </c>
      <c r="Y60" s="1658">
        <f>RBBD!T45</f>
        <v>0</v>
      </c>
      <c r="Z60" s="65"/>
      <c r="AA60" s="328">
        <f t="shared" si="5"/>
        <v>0</v>
      </c>
    </row>
    <row r="61" spans="2:27">
      <c r="T61" s="68"/>
      <c r="U61" s="68"/>
      <c r="V61" s="68"/>
      <c r="W61" s="68"/>
    </row>
    <row r="62" spans="2:27">
      <c r="C62" s="1312" t="s">
        <v>1317</v>
      </c>
      <c r="D62" s="1313"/>
      <c r="E62" s="1313" t="e">
        <f>SUM(I18:I61)/SUM(M18:M61)</f>
        <v>#DIV/0!</v>
      </c>
      <c r="F62" s="1313" t="e">
        <f>SUM(J18:J61)/SUM(M18:M61)</f>
        <v>#DIV/0!</v>
      </c>
      <c r="G62" s="1313" t="e">
        <f>SUM(K18:K61)/SUM(M18:M61)</f>
        <v>#DIV/0!</v>
      </c>
      <c r="H62" s="1313" t="e">
        <f>SUM(L18:L61)/SUM(M18:M61)</f>
        <v>#DIV/0!</v>
      </c>
      <c r="I62" s="1314">
        <f>SUM(I16:I61)</f>
        <v>0</v>
      </c>
      <c r="J62" s="1314">
        <f>SUM(J16:J61)</f>
        <v>0</v>
      </c>
      <c r="K62" s="1314">
        <f>SUM(K16:K61)</f>
        <v>0</v>
      </c>
      <c r="L62" s="1314">
        <f>SUM(L16:L61)</f>
        <v>0</v>
      </c>
      <c r="M62" s="1314">
        <f>SUM(M17:M61)</f>
        <v>0</v>
      </c>
      <c r="N62" s="1314">
        <f>SUM(N18:N61)</f>
        <v>0</v>
      </c>
      <c r="O62" s="1314">
        <f t="shared" ref="O62:Y62" si="6">SUM(O18:O61)</f>
        <v>0</v>
      </c>
      <c r="P62" s="1314">
        <f t="shared" si="6"/>
        <v>0</v>
      </c>
      <c r="Q62" s="1314">
        <f t="shared" si="6"/>
        <v>0</v>
      </c>
      <c r="R62" s="1314">
        <f t="shared" si="6"/>
        <v>0</v>
      </c>
      <c r="S62" s="1314">
        <f t="shared" si="6"/>
        <v>0</v>
      </c>
      <c r="T62" s="1314">
        <f t="shared" si="6"/>
        <v>0</v>
      </c>
      <c r="U62" s="1314">
        <f t="shared" si="6"/>
        <v>0</v>
      </c>
      <c r="V62" s="1314">
        <f t="shared" si="6"/>
        <v>0</v>
      </c>
      <c r="W62" s="1314">
        <f t="shared" si="6"/>
        <v>0</v>
      </c>
      <c r="X62" s="1314">
        <f t="shared" si="6"/>
        <v>0</v>
      </c>
      <c r="Y62" s="1314">
        <f t="shared" si="6"/>
        <v>0</v>
      </c>
    </row>
    <row r="63" spans="2:27">
      <c r="C63" s="158"/>
      <c r="D63" s="159"/>
      <c r="E63" s="159"/>
      <c r="F63" s="160"/>
      <c r="G63" s="160"/>
      <c r="H63" s="161"/>
      <c r="T63" s="68"/>
      <c r="U63" s="68"/>
      <c r="V63" s="68"/>
      <c r="W63" s="68"/>
    </row>
    <row r="64" spans="2:27">
      <c r="C64" s="162"/>
      <c r="T64" s="68"/>
      <c r="U64" s="68"/>
      <c r="V64" s="68"/>
      <c r="W64" s="68"/>
    </row>
    <row r="65" spans="2:51">
      <c r="C65" s="158"/>
      <c r="D65" s="159"/>
      <c r="E65" s="159"/>
      <c r="F65" s="160"/>
      <c r="G65" s="160"/>
      <c r="H65" s="161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AG65" s="157"/>
      <c r="AH65" s="157"/>
      <c r="AI65" s="157"/>
      <c r="AJ65" s="157"/>
      <c r="AK65" s="157"/>
      <c r="AL65" s="284"/>
      <c r="AM65" s="285"/>
      <c r="AN65" s="284"/>
      <c r="AO65" s="157"/>
      <c r="AP65" s="157"/>
      <c r="AQ65" s="157"/>
      <c r="AR65" s="157"/>
      <c r="AS65" s="157"/>
      <c r="AT65" s="157"/>
      <c r="AU65" s="157"/>
      <c r="AV65" s="157"/>
      <c r="AW65" s="157"/>
      <c r="AX65" s="157"/>
      <c r="AY65" s="157"/>
    </row>
    <row r="66" spans="2:51">
      <c r="B66" s="163"/>
      <c r="C66" s="163"/>
      <c r="D66" s="163"/>
      <c r="E66" s="163"/>
      <c r="F66" s="163"/>
      <c r="G66" s="163"/>
      <c r="H66" s="163"/>
      <c r="I66" s="154"/>
      <c r="J66" s="154"/>
      <c r="K66" s="154"/>
      <c r="L66" s="154"/>
      <c r="M66" s="154"/>
      <c r="N66" s="154"/>
      <c r="O66" s="154"/>
      <c r="P66" s="154"/>
      <c r="Q66" s="154"/>
      <c r="R66" s="154"/>
      <c r="S66" s="154"/>
      <c r="T66" s="154"/>
      <c r="U66" s="68"/>
      <c r="V66" s="68"/>
      <c r="W66" s="68"/>
      <c r="X66" s="68"/>
      <c r="Y66" s="68"/>
      <c r="AG66" s="157"/>
      <c r="AH66" s="157"/>
      <c r="AI66" s="157"/>
      <c r="AJ66" s="157"/>
      <c r="AK66" s="157"/>
      <c r="AL66" s="284"/>
      <c r="AM66" s="285"/>
      <c r="AN66" s="284"/>
      <c r="AO66" s="157"/>
      <c r="AP66" s="157"/>
      <c r="AQ66" s="157"/>
      <c r="AR66" s="157"/>
      <c r="AS66" s="157"/>
      <c r="AT66" s="157"/>
      <c r="AU66" s="157"/>
      <c r="AV66" s="157"/>
      <c r="AW66" s="157"/>
      <c r="AX66" s="157"/>
      <c r="AY66" s="157"/>
    </row>
    <row r="67" spans="2:51">
      <c r="B67" s="1305" t="s">
        <v>1318</v>
      </c>
      <c r="C67" s="1305"/>
      <c r="D67" s="1305"/>
      <c r="E67" s="1305"/>
      <c r="F67" s="1305"/>
      <c r="G67" s="1305"/>
      <c r="H67" s="1305"/>
      <c r="I67" s="1305"/>
      <c r="T67" s="68"/>
      <c r="U67" s="68"/>
      <c r="V67" s="68"/>
      <c r="W67" s="68"/>
      <c r="X67" s="68"/>
      <c r="Y67" s="68"/>
      <c r="AG67" s="157"/>
      <c r="AH67" s="157"/>
      <c r="AI67" s="157"/>
      <c r="AJ67" s="157"/>
      <c r="AK67" s="157"/>
      <c r="AL67" s="284"/>
      <c r="AM67" s="285"/>
      <c r="AN67" s="284"/>
      <c r="AO67" s="157"/>
      <c r="AP67" s="157"/>
      <c r="AQ67" s="157"/>
      <c r="AR67" s="157"/>
      <c r="AS67" s="157"/>
      <c r="AT67" s="157"/>
      <c r="AU67" s="157"/>
      <c r="AV67" s="157"/>
      <c r="AW67" s="157"/>
      <c r="AX67" s="157"/>
      <c r="AY67" s="157"/>
    </row>
    <row r="68" spans="2:51">
      <c r="B68" s="157"/>
      <c r="C68" s="155"/>
      <c r="D68" s="163"/>
      <c r="E68" s="163"/>
      <c r="F68" s="163"/>
      <c r="G68" s="163"/>
      <c r="H68" s="163"/>
      <c r="I68" s="163"/>
      <c r="J68" s="157"/>
      <c r="K68" s="157"/>
      <c r="L68" s="157"/>
      <c r="M68" s="157"/>
      <c r="N68" s="157"/>
      <c r="O68" s="157"/>
      <c r="P68" s="157"/>
      <c r="Q68" s="157"/>
      <c r="T68" s="68"/>
      <c r="U68" s="68"/>
      <c r="V68" s="68"/>
      <c r="W68" s="68"/>
      <c r="X68" s="68"/>
      <c r="Y68" s="68"/>
      <c r="AG68" s="157"/>
      <c r="AH68" s="157"/>
      <c r="AI68" s="157"/>
      <c r="AJ68" s="157"/>
      <c r="AK68" s="157"/>
      <c r="AL68" s="284"/>
      <c r="AM68" s="285"/>
      <c r="AN68" s="284"/>
      <c r="AO68" s="157"/>
      <c r="AP68" s="157"/>
      <c r="AQ68" s="157"/>
      <c r="AR68" s="157"/>
      <c r="AS68" s="157"/>
      <c r="AT68" s="157"/>
      <c r="AU68" s="157"/>
      <c r="AV68" s="157"/>
      <c r="AW68" s="157"/>
      <c r="AX68" s="157"/>
      <c r="AY68" s="157"/>
    </row>
    <row r="69" spans="2:51">
      <c r="B69" s="157"/>
      <c r="D69" s="727"/>
      <c r="E69" s="1315">
        <f>IF(MONTH(E70)=7,E70,0)</f>
        <v>44378</v>
      </c>
      <c r="F69" s="1315">
        <f t="shared" ref="F69:P69" si="7">IF(MONTH(F70)=7,F70,0)</f>
        <v>0</v>
      </c>
      <c r="G69" s="1315">
        <f t="shared" si="7"/>
        <v>0</v>
      </c>
      <c r="H69" s="1315">
        <f t="shared" si="7"/>
        <v>0</v>
      </c>
      <c r="I69" s="1315">
        <f t="shared" si="7"/>
        <v>0</v>
      </c>
      <c r="J69" s="1315">
        <f t="shared" si="7"/>
        <v>0</v>
      </c>
      <c r="K69" s="1315">
        <f t="shared" si="7"/>
        <v>0</v>
      </c>
      <c r="L69" s="1315">
        <f t="shared" si="7"/>
        <v>0</v>
      </c>
      <c r="M69" s="1315">
        <f t="shared" si="7"/>
        <v>0</v>
      </c>
      <c r="N69" s="1315">
        <f t="shared" si="7"/>
        <v>0</v>
      </c>
      <c r="O69" s="1315">
        <f t="shared" si="7"/>
        <v>0</v>
      </c>
      <c r="P69" s="1315">
        <f t="shared" si="7"/>
        <v>0</v>
      </c>
      <c r="Q69" s="795">
        <f>SUM(E69:P69)</f>
        <v>44378</v>
      </c>
      <c r="T69" s="68"/>
      <c r="U69" s="68"/>
      <c r="V69" s="68"/>
      <c r="W69" s="68"/>
      <c r="X69" s="68"/>
      <c r="Y69" s="68"/>
      <c r="AG69" s="157"/>
      <c r="AH69" s="157"/>
      <c r="AI69" s="157"/>
      <c r="AJ69" s="157"/>
      <c r="AK69" s="157"/>
      <c r="AL69" s="284"/>
      <c r="AM69" s="285"/>
      <c r="AN69" s="284"/>
      <c r="AO69" s="157"/>
      <c r="AP69" s="157"/>
      <c r="AQ69" s="157"/>
      <c r="AR69" s="157"/>
      <c r="AS69" s="157"/>
      <c r="AT69" s="157"/>
      <c r="AU69" s="157"/>
      <c r="AV69" s="157"/>
      <c r="AW69" s="157"/>
      <c r="AX69" s="157"/>
      <c r="AY69" s="157"/>
    </row>
    <row r="70" spans="2:51">
      <c r="B70" s="157"/>
      <c r="D70" s="298" t="s">
        <v>1319</v>
      </c>
      <c r="E70" s="1316">
        <f>G76</f>
        <v>44378</v>
      </c>
      <c r="F70" s="1316">
        <f>G77</f>
        <v>44409</v>
      </c>
      <c r="G70" s="1316">
        <f>G78</f>
        <v>44440</v>
      </c>
      <c r="H70" s="1316">
        <f>G79</f>
        <v>44470</v>
      </c>
      <c r="I70" s="1316">
        <f>G80</f>
        <v>44501</v>
      </c>
      <c r="J70" s="1316">
        <f>G81</f>
        <v>44531</v>
      </c>
      <c r="K70" s="1316">
        <f>G82</f>
        <v>44562</v>
      </c>
      <c r="L70" s="1316">
        <f>G83</f>
        <v>44593</v>
      </c>
      <c r="M70" s="1316">
        <f>G84</f>
        <v>44621</v>
      </c>
      <c r="N70" s="1316">
        <f>G85</f>
        <v>44652</v>
      </c>
      <c r="O70" s="1316">
        <f>G86</f>
        <v>44682</v>
      </c>
      <c r="P70" s="1316">
        <f>G87</f>
        <v>44713</v>
      </c>
      <c r="T70" s="68"/>
      <c r="U70" s="68"/>
      <c r="V70" s="68"/>
      <c r="W70" s="68"/>
      <c r="X70" s="68"/>
      <c r="Y70" s="68"/>
      <c r="AG70" s="157"/>
      <c r="AH70" s="157"/>
      <c r="AI70" s="157"/>
      <c r="AJ70" s="157"/>
      <c r="AK70" s="157"/>
      <c r="AL70" s="284"/>
      <c r="AM70" s="285"/>
      <c r="AN70" s="284"/>
      <c r="AO70" s="157"/>
      <c r="AP70" s="157"/>
      <c r="AQ70" s="157"/>
      <c r="AR70" s="157"/>
      <c r="AS70" s="157"/>
      <c r="AT70" s="157"/>
      <c r="AU70" s="157"/>
      <c r="AV70" s="157"/>
      <c r="AW70" s="157"/>
      <c r="AX70" s="157"/>
      <c r="AY70" s="157"/>
    </row>
    <row r="71" spans="2:51">
      <c r="B71" s="157"/>
      <c r="C71" s="1317" t="s">
        <v>1320</v>
      </c>
      <c r="D71" s="1318">
        <f>SUM(E71:P71)</f>
        <v>0</v>
      </c>
      <c r="E71" s="1319">
        <f>SUMIF($G$76:$G$420,E70,$N$76:$N$420)</f>
        <v>0</v>
      </c>
      <c r="F71" s="1319">
        <f t="shared" ref="F71:P71" si="8">SUMIF($G$76:$G$420,F70,$N$76:$N$420)</f>
        <v>0</v>
      </c>
      <c r="G71" s="1319">
        <f t="shared" si="8"/>
        <v>0</v>
      </c>
      <c r="H71" s="1319">
        <f t="shared" si="8"/>
        <v>0</v>
      </c>
      <c r="I71" s="1319">
        <f t="shared" si="8"/>
        <v>0</v>
      </c>
      <c r="J71" s="1319">
        <f t="shared" si="8"/>
        <v>0</v>
      </c>
      <c r="K71" s="1319">
        <f t="shared" si="8"/>
        <v>0</v>
      </c>
      <c r="L71" s="1319">
        <f t="shared" si="8"/>
        <v>0</v>
      </c>
      <c r="M71" s="1319">
        <f t="shared" si="8"/>
        <v>0</v>
      </c>
      <c r="N71" s="1319">
        <f t="shared" si="8"/>
        <v>0</v>
      </c>
      <c r="O71" s="1319">
        <f t="shared" si="8"/>
        <v>0</v>
      </c>
      <c r="P71" s="1319">
        <f t="shared" si="8"/>
        <v>0</v>
      </c>
      <c r="T71" s="68"/>
      <c r="U71" s="68"/>
      <c r="V71" s="68"/>
      <c r="W71" s="68"/>
      <c r="X71" s="68"/>
      <c r="Y71" s="68"/>
      <c r="AG71" s="157"/>
      <c r="AH71" s="157"/>
      <c r="AI71" s="157"/>
      <c r="AJ71" s="157"/>
      <c r="AK71" s="157"/>
      <c r="AL71" s="284"/>
      <c r="AM71" s="285"/>
      <c r="AN71" s="284"/>
      <c r="AO71" s="157"/>
      <c r="AP71" s="157"/>
      <c r="AQ71" s="157"/>
      <c r="AR71" s="157"/>
      <c r="AS71" s="157"/>
      <c r="AT71" s="157"/>
      <c r="AU71" s="157"/>
      <c r="AV71" s="157"/>
      <c r="AW71" s="157"/>
      <c r="AX71" s="157"/>
      <c r="AY71" s="157"/>
    </row>
    <row r="72" spans="2:51">
      <c r="B72" s="157"/>
      <c r="C72" s="1317" t="s">
        <v>1321</v>
      </c>
      <c r="D72" s="1318">
        <f>SUM(E72:P72)</f>
        <v>0</v>
      </c>
      <c r="E72" s="1319">
        <f>SUMIF(Indexador!$B$25:$B$48,'Rede Básica + Ajuste'!E70,Indexador!$J$25:$J$48)</f>
        <v>0</v>
      </c>
      <c r="F72" s="1319">
        <f>SUMIF(Indexador!$B$25:$B$48,'Rede Básica + Ajuste'!F70,Indexador!$J$25:$J$48)</f>
        <v>0</v>
      </c>
      <c r="G72" s="1319">
        <f>SUMIF(Indexador!$B$25:$B$48,'Rede Básica + Ajuste'!G70,Indexador!$J$25:$J$48)</f>
        <v>0</v>
      </c>
      <c r="H72" s="1319">
        <f>SUMIF(Indexador!$B$25:$B$48,'Rede Básica + Ajuste'!H70,Indexador!$J$25:$J$48)</f>
        <v>0</v>
      </c>
      <c r="I72" s="1319">
        <f>SUMIF(Indexador!$B$25:$B$48,'Rede Básica + Ajuste'!I70,Indexador!$J$25:$J$48)</f>
        <v>0</v>
      </c>
      <c r="J72" s="1319">
        <f>SUMIF(Indexador!$B$25:$B$48,'Rede Básica + Ajuste'!J70,Indexador!$J$25:$J$48)</f>
        <v>0</v>
      </c>
      <c r="K72" s="1319">
        <f>SUMIF(Indexador!$B$25:$B$48,'Rede Básica + Ajuste'!K70,Indexador!$J$25:$J$48)</f>
        <v>0</v>
      </c>
      <c r="L72" s="1319">
        <f>SUMIF(Indexador!$B$25:$B$48,'Rede Básica + Ajuste'!L70,Indexador!$J$25:$J$48)</f>
        <v>0</v>
      </c>
      <c r="M72" s="1319">
        <f>SUMIF(Indexador!$B$25:$B$48,'Rede Básica + Ajuste'!M70,Indexador!$J$25:$J$48)</f>
        <v>0</v>
      </c>
      <c r="N72" s="1319">
        <f>SUMIF(Indexador!$B$25:$B$48,'Rede Básica + Ajuste'!N70,Indexador!$J$25:$J$48)</f>
        <v>0</v>
      </c>
      <c r="O72" s="1319">
        <f>SUMIF(Indexador!$B$25:$B$48,'Rede Básica + Ajuste'!O70,Indexador!$J$25:$J$48)</f>
        <v>0</v>
      </c>
      <c r="P72" s="1319">
        <f>SUMIF(Indexador!$B$25:$B$48,'Rede Básica + Ajuste'!P70,Indexador!$J$25:$J$48)</f>
        <v>0</v>
      </c>
      <c r="T72" s="68"/>
      <c r="U72" s="68"/>
      <c r="V72" s="68"/>
      <c r="W72" s="68"/>
      <c r="X72" s="68"/>
      <c r="Y72" s="68"/>
      <c r="AG72" s="157"/>
      <c r="AH72" s="157"/>
      <c r="AI72" s="157"/>
      <c r="AJ72" s="157"/>
      <c r="AK72" s="157"/>
      <c r="AL72" s="284"/>
      <c r="AM72" s="285"/>
      <c r="AN72" s="284"/>
      <c r="AO72" s="157"/>
      <c r="AP72" s="157"/>
      <c r="AQ72" s="157"/>
      <c r="AR72" s="157"/>
      <c r="AS72" s="157"/>
      <c r="AT72" s="157"/>
      <c r="AU72" s="157"/>
      <c r="AV72" s="157"/>
      <c r="AW72" s="157"/>
      <c r="AX72" s="157"/>
      <c r="AY72" s="157"/>
    </row>
    <row r="73" spans="2:51">
      <c r="B73" s="157"/>
      <c r="G73" s="150"/>
      <c r="M73" s="95"/>
      <c r="S73" s="68"/>
      <c r="T73" s="68"/>
      <c r="U73" s="68"/>
      <c r="V73" s="68"/>
      <c r="W73" s="68"/>
      <c r="X73" s="68"/>
      <c r="AF73" s="157"/>
      <c r="AG73" s="157"/>
      <c r="AH73" s="157"/>
      <c r="AI73" s="157"/>
      <c r="AJ73" s="157"/>
      <c r="AK73" s="284"/>
      <c r="AL73" s="285"/>
      <c r="AM73" s="284"/>
      <c r="AN73" s="157"/>
      <c r="AO73" s="157"/>
      <c r="AP73" s="157"/>
      <c r="AQ73" s="157"/>
      <c r="AR73" s="157"/>
      <c r="AS73" s="157"/>
      <c r="AT73" s="157"/>
      <c r="AU73" s="157"/>
      <c r="AV73" s="157"/>
      <c r="AW73" s="157"/>
      <c r="AX73" s="157"/>
    </row>
    <row r="74" spans="2:51" ht="15.75">
      <c r="B74" s="157"/>
      <c r="C74" s="274"/>
      <c r="D74" s="274"/>
      <c r="E74" s="274"/>
      <c r="F74" s="274"/>
      <c r="G74" s="274"/>
      <c r="H74" s="274"/>
      <c r="I74" s="274"/>
      <c r="J74" s="1756" t="s">
        <v>1322</v>
      </c>
      <c r="K74" s="1757"/>
      <c r="L74" s="1755" t="s">
        <v>1323</v>
      </c>
      <c r="M74" s="1755"/>
      <c r="N74" s="282"/>
      <c r="O74" s="274"/>
      <c r="AF74" s="157"/>
      <c r="AG74" s="157"/>
      <c r="AH74" s="157"/>
      <c r="AI74" s="284"/>
      <c r="AJ74" s="285"/>
      <c r="AK74" s="284"/>
      <c r="AL74" s="157"/>
      <c r="AM74" s="157"/>
      <c r="AN74" s="157"/>
      <c r="AO74" s="157"/>
      <c r="AP74" s="157"/>
      <c r="AQ74" s="157"/>
      <c r="AR74" s="157"/>
      <c r="AS74" s="157"/>
      <c r="AT74" s="157"/>
      <c r="AU74" s="157"/>
      <c r="AV74" s="157"/>
      <c r="AW74" s="157"/>
      <c r="AX74" s="157"/>
    </row>
    <row r="75" spans="2:51" ht="15.75">
      <c r="B75" s="157"/>
      <c r="C75" s="1758" t="s">
        <v>1305</v>
      </c>
      <c r="D75" s="1759"/>
      <c r="F75" s="274"/>
      <c r="G75" s="1320" t="s">
        <v>772</v>
      </c>
      <c r="H75" s="1321" t="s">
        <v>1324</v>
      </c>
      <c r="I75" s="1321" t="s">
        <v>1325</v>
      </c>
      <c r="J75" s="1659" t="s">
        <v>1326</v>
      </c>
      <c r="K75" s="1659" t="s">
        <v>1327</v>
      </c>
      <c r="L75" s="1659" t="s">
        <v>1326</v>
      </c>
      <c r="M75" s="1659" t="s">
        <v>1327</v>
      </c>
      <c r="N75" s="281" t="s">
        <v>1328</v>
      </c>
      <c r="AF75" s="157"/>
      <c r="AG75" s="157"/>
      <c r="AH75" s="284"/>
      <c r="AI75" s="285"/>
      <c r="AJ75" s="284"/>
      <c r="AK75" s="157"/>
      <c r="AL75" s="157"/>
      <c r="AM75" s="157"/>
      <c r="AN75" s="157"/>
      <c r="AO75" s="157"/>
      <c r="AP75" s="157"/>
      <c r="AQ75" s="157"/>
      <c r="AR75" s="157"/>
      <c r="AS75" s="157"/>
      <c r="AT75" s="157"/>
      <c r="AU75" s="157"/>
      <c r="AV75" s="157"/>
      <c r="AW75" s="157"/>
      <c r="AX75" s="157"/>
    </row>
    <row r="76" spans="2:51" ht="15.75">
      <c r="B76" s="157"/>
      <c r="C76" s="1317" t="s">
        <v>1329</v>
      </c>
      <c r="D76" s="1322">
        <f>IF(D18="Ponta",B18,0)</f>
        <v>0</v>
      </c>
      <c r="E76" s="18"/>
      <c r="F76" s="274"/>
      <c r="G76" s="1323">
        <f>DATE(YEAR(CAPA!C14),MONTH(CAPA!C14),1)</f>
        <v>44378</v>
      </c>
      <c r="H76" s="276">
        <f>SUMIFS($N$18:$N$60,$B$18:$B$60,$D$76,$D$18:$D$60,"Ponta")</f>
        <v>0</v>
      </c>
      <c r="I76" s="276">
        <f>SUMIFS($N$18:$N$60,$B$18:$B$60,$D$76,$D$18:$D$60,"Fora Ponta")</f>
        <v>0</v>
      </c>
      <c r="J76" s="276">
        <f>SUMIFS($E$18:$E$60,$B$18:$B$60,$D$76,$D$18:$D$60,"Ponta")</f>
        <v>0</v>
      </c>
      <c r="K76" s="276">
        <f>SUMIFS($E$18:$E$60,$B$18:$B$60,$D$76,$D$18:$D$60,"Fora Ponta")</f>
        <v>0</v>
      </c>
      <c r="L76" s="1324">
        <f>IF(MONTH(DataRevRea)=7,'Rede Básica + Ajuste'!J76,IF(G76&lt;$Q$69,(SUMIFS($E$18:$E$60,$B$18:$B$60,$D$76,$D$18:$D$60,"Ponta")),(SUMIFS($F$18:$F$60,$B$18:$B$60,$D$76,$D$18:$D$60,"Ponta"))))</f>
        <v>0</v>
      </c>
      <c r="M76" s="1324">
        <f>IF(MONTH(DataRevRea)=7,'Rede Básica + Ajuste'!K76,IF(G76&lt;$Q$69,(SUMIFS($E$18:$E$60,$B$18:$B$60,$D$76,$D$18:$D$60,"Fora Ponta")),(SUMIFS($F$18:$F$60,$B$18:$B$60,$D$76,$D$18:$D$60,"Fora Ponta"))))</f>
        <v>0</v>
      </c>
      <c r="N76" s="1325">
        <f>+(H76*(L76-J76))+(I76*(M76-K76))</f>
        <v>0</v>
      </c>
      <c r="AF76" s="157"/>
      <c r="AG76" s="157"/>
      <c r="AH76" s="284"/>
      <c r="AI76" s="285"/>
      <c r="AJ76" s="284"/>
      <c r="AK76" s="157"/>
      <c r="AL76" s="157"/>
      <c r="AM76" s="157"/>
      <c r="AN76" s="157"/>
      <c r="AO76" s="157"/>
      <c r="AP76" s="157"/>
      <c r="AQ76" s="157"/>
      <c r="AR76" s="157"/>
      <c r="AS76" s="157"/>
      <c r="AT76" s="157"/>
      <c r="AU76" s="157"/>
      <c r="AV76" s="157"/>
      <c r="AW76" s="157"/>
      <c r="AX76" s="157"/>
    </row>
    <row r="77" spans="2:51" ht="15.75">
      <c r="B77" s="157"/>
      <c r="C77" s="274"/>
      <c r="D77" s="274"/>
      <c r="E77" s="274"/>
      <c r="F77" s="274"/>
      <c r="G77" s="275">
        <f>DATE(YEAR(G76),MONTH(G76)+1,1)</f>
        <v>44409</v>
      </c>
      <c r="H77" s="276">
        <f>SUMIFS($O$18:$O$60,$B$18:$B$60,$D$76,$D$18:$D$60,"Ponta")</f>
        <v>0</v>
      </c>
      <c r="I77" s="276">
        <f>SUMIFS($O$18:$O$60,$B$18:$B$60,$D$76,$D$18:$D$60,"Fora Ponta")</f>
        <v>0</v>
      </c>
      <c r="J77" s="276">
        <f t="shared" ref="J77:J87" si="9">SUMIFS($E$18:$E$60,$B$18:$B$60,$D$76,$D$18:$D$60,"Ponta")</f>
        <v>0</v>
      </c>
      <c r="K77" s="276">
        <f t="shared" ref="K77:K87" si="10">SUMIFS($E$18:$E$60,$B$18:$B$60,$D$76,$D$18:$D$60,"Fora Ponta")</f>
        <v>0</v>
      </c>
      <c r="L77" s="276">
        <f>IF(MONTH(DataRevRea)=7,'Rede Básica + Ajuste'!J77,IF(G77&lt;$Q$69,(SUMIFS($E$18:$E$60,$B$18:$B$60,$D$76,$D$18:$D$60,"Ponta")),(SUMIFS($F$18:$F$60,$B$18:$B$60,$D$76,$D$18:$D$60,"Ponta"))))</f>
        <v>0</v>
      </c>
      <c r="M77" s="276">
        <f>IF(MONTH(DataRevRea)=7,'Rede Básica + Ajuste'!K77,IF(G77&lt;$Q$69,(SUMIFS($E$18:$E$60,$B$18:$B$60,$D$76,$D$18:$D$60,"Fora Ponta")),(SUMIFS($F$18:$F$60,$B$18:$B$60,$D$76,$D$18:$D$60,"Fora Ponta"))))</f>
        <v>0</v>
      </c>
      <c r="N77" s="283">
        <f t="shared" ref="N77:N87" si="11">+(H77*(L77-J77))+(I77*(M77-K77))</f>
        <v>0</v>
      </c>
      <c r="AF77" s="157"/>
      <c r="AG77" s="157"/>
      <c r="AH77" s="284"/>
      <c r="AI77" s="285"/>
      <c r="AJ77" s="284"/>
      <c r="AK77" s="157"/>
      <c r="AL77" s="157"/>
      <c r="AM77" s="157"/>
      <c r="AN77" s="157"/>
      <c r="AO77" s="157"/>
      <c r="AP77" s="157"/>
      <c r="AQ77" s="157"/>
      <c r="AR77" s="157"/>
      <c r="AS77" s="157"/>
      <c r="AT77" s="157"/>
      <c r="AU77" s="157"/>
      <c r="AV77" s="157"/>
      <c r="AW77" s="157"/>
      <c r="AX77" s="157"/>
    </row>
    <row r="78" spans="2:51" ht="15.75">
      <c r="B78" s="157"/>
      <c r="C78" s="277"/>
      <c r="D78" s="1326" t="s">
        <v>1330</v>
      </c>
      <c r="E78" s="1327" t="s">
        <v>1331</v>
      </c>
      <c r="F78" s="274"/>
      <c r="G78" s="275">
        <f t="shared" ref="G78:G87" si="12">DATE(YEAR(G77),MONTH(G77)+1,1)</f>
        <v>44440</v>
      </c>
      <c r="H78" s="276">
        <f>SUMIFS($P$18:$P$60,$B$18:$B$60,$D$76,$D$18:$D$60,"Ponta")</f>
        <v>0</v>
      </c>
      <c r="I78" s="276">
        <f>SUMIFS($P$18:$P$60,$B$18:$B$60,$D$76,$D$18:$D$60,"Fora Ponta")</f>
        <v>0</v>
      </c>
      <c r="J78" s="276">
        <f t="shared" si="9"/>
        <v>0</v>
      </c>
      <c r="K78" s="276">
        <f t="shared" si="10"/>
        <v>0</v>
      </c>
      <c r="L78" s="276">
        <f>IF(MONTH(DataRevRea)=7,'Rede Básica + Ajuste'!J78,IF(G78&lt;$Q$69,(SUMIFS($E$18:$E$60,$B$18:$B$60,$D$76,$D$18:$D$60,"Ponta")),(SUMIFS($F$18:$F$60,$B$18:$B$60,$D$76,$D$18:$D$60,"Ponta"))))</f>
        <v>0</v>
      </c>
      <c r="M78" s="276">
        <f>IF(MONTH(DataRevRea)=7,'Rede Básica + Ajuste'!K78,IF(G78&lt;$Q$69,(SUMIFS($E$18:$E$60,$B$18:$B$60,$D$76,$D$18:$D$60,"Fora Ponta")),(SUMIFS($F$18:$F$60,$B$18:$B$60,$D$76,$D$18:$D$60,"Fora Ponta"))))</f>
        <v>0</v>
      </c>
      <c r="N78" s="283">
        <f t="shared" si="11"/>
        <v>0</v>
      </c>
      <c r="AF78" s="157"/>
      <c r="AG78" s="157"/>
      <c r="AH78" s="284"/>
      <c r="AI78" s="285"/>
      <c r="AJ78" s="284"/>
      <c r="AK78" s="157"/>
      <c r="AL78" s="157"/>
      <c r="AM78" s="157"/>
      <c r="AN78" s="157"/>
      <c r="AO78" s="157"/>
      <c r="AP78" s="157"/>
      <c r="AQ78" s="157"/>
      <c r="AR78" s="157"/>
      <c r="AS78" s="157"/>
      <c r="AT78" s="157"/>
      <c r="AU78" s="157"/>
      <c r="AV78" s="157"/>
      <c r="AW78" s="157"/>
      <c r="AX78" s="157"/>
    </row>
    <row r="79" spans="2:51" ht="15.75">
      <c r="B79" s="157"/>
      <c r="C79" s="1328" t="str">
        <f>"Cobertura "&amp;YEAR(CAPA!C14)</f>
        <v>Cobertura 2021</v>
      </c>
      <c r="D79" s="1329">
        <f>SUMPRODUCT(H76:H87,J76:J87)</f>
        <v>0</v>
      </c>
      <c r="E79" s="1329">
        <f>SUMPRODUCT(I76:I87,K76:K87)</f>
        <v>0</v>
      </c>
      <c r="F79" s="274"/>
      <c r="G79" s="275">
        <f t="shared" si="12"/>
        <v>44470</v>
      </c>
      <c r="H79" s="276">
        <f>SUMIFS($Q$18:$Q$60,$B$18:$B$60,$D$76,$D$18:$D$60,"Ponta")</f>
        <v>0</v>
      </c>
      <c r="I79" s="276">
        <f>SUMIFS($Q$18:$Q$60,$B$18:$B$60,$D$76,$D$18:$D$60,"Fora Ponta")</f>
        <v>0</v>
      </c>
      <c r="J79" s="276">
        <f t="shared" si="9"/>
        <v>0</v>
      </c>
      <c r="K79" s="276">
        <f t="shared" si="10"/>
        <v>0</v>
      </c>
      <c r="L79" s="276">
        <f>IF(MONTH(DataRevRea)=7,'Rede Básica + Ajuste'!J79,IF(G79&lt;$Q$69,(SUMIFS($E$18:$E$60,$B$18:$B$60,$D$76,$D$18:$D$60,"Ponta")),(SUMIFS($F$18:$F$60,$B$18:$B$60,$D$76,$D$18:$D$60,"Ponta"))))</f>
        <v>0</v>
      </c>
      <c r="M79" s="276">
        <f>IF(MONTH(DataRevRea)=7,'Rede Básica + Ajuste'!K79,IF(G79&lt;$Q$69,(SUMIFS($E$18:$E$60,$B$18:$B$60,$D$76,$D$18:$D$60,"Fora Ponta")),(SUMIFS($F$18:$F$60,$B$18:$B$60,$D$76,$D$18:$D$60,"Fora Ponta"))))</f>
        <v>0</v>
      </c>
      <c r="N79" s="283">
        <f t="shared" si="11"/>
        <v>0</v>
      </c>
      <c r="AF79" s="157"/>
      <c r="AG79" s="157"/>
      <c r="AH79" s="284"/>
      <c r="AI79" s="285"/>
      <c r="AJ79" s="284"/>
      <c r="AK79" s="157"/>
      <c r="AL79" s="157"/>
      <c r="AM79" s="157"/>
      <c r="AN79" s="157"/>
      <c r="AO79" s="157"/>
      <c r="AP79" s="157"/>
      <c r="AQ79" s="157"/>
      <c r="AR79" s="157"/>
      <c r="AS79" s="157"/>
      <c r="AT79" s="157"/>
      <c r="AU79" s="157"/>
      <c r="AV79" s="157"/>
      <c r="AW79" s="157"/>
      <c r="AX79" s="157"/>
    </row>
    <row r="80" spans="2:51" ht="15.75">
      <c r="B80" s="157"/>
      <c r="C80" s="1328" t="s">
        <v>1332</v>
      </c>
      <c r="D80" s="1329">
        <f>SUMPRODUCT(H76:H87,L76:L87)</f>
        <v>0</v>
      </c>
      <c r="E80" s="1329">
        <f>SUMPRODUCT(I76:I87,M76:M87)</f>
        <v>0</v>
      </c>
      <c r="F80" s="274"/>
      <c r="G80" s="275">
        <f t="shared" si="12"/>
        <v>44501</v>
      </c>
      <c r="H80" s="276">
        <f>SUMIFS($R$18:$R$60,$B$18:$B$60,$D$76,$D$18:$D$60,"Ponta")</f>
        <v>0</v>
      </c>
      <c r="I80" s="276">
        <f>SUMIFS($R$18:$R$60,$B$18:$B$60,$D$76,$D$18:$D$60,"Fora Ponta")</f>
        <v>0</v>
      </c>
      <c r="J80" s="276">
        <f t="shared" si="9"/>
        <v>0</v>
      </c>
      <c r="K80" s="276">
        <f t="shared" si="10"/>
        <v>0</v>
      </c>
      <c r="L80" s="276">
        <f>IF(MONTH(DataRevRea)=7,'Rede Básica + Ajuste'!J80,IF(G80&lt;$Q$69,(SUMIFS($E$18:$E$60,$B$18:$B$60,$D$76,$D$18:$D$60,"Ponta")),(SUMIFS($F$18:$F$60,$B$18:$B$60,$D$76,$D$18:$D$60,"Ponta"))))</f>
        <v>0</v>
      </c>
      <c r="M80" s="276">
        <f>IF(MONTH(DataRevRea)=7,'Rede Básica + Ajuste'!K80,IF(G80&lt;$Q$69,(SUMIFS($E$18:$E$60,$B$18:$B$60,$D$76,$D$18:$D$60,"Fora Ponta")),(SUMIFS($F$18:$F$60,$B$18:$B$60,$D$76,$D$18:$D$60,"Fora Ponta"))))</f>
        <v>0</v>
      </c>
      <c r="N80" s="283">
        <f t="shared" si="11"/>
        <v>0</v>
      </c>
      <c r="AF80" s="157"/>
      <c r="AG80" s="157"/>
      <c r="AH80" s="284"/>
      <c r="AI80" s="285"/>
      <c r="AJ80" s="284"/>
      <c r="AK80" s="157"/>
      <c r="AL80" s="157"/>
      <c r="AM80" s="157"/>
      <c r="AN80" s="157"/>
      <c r="AO80" s="157"/>
      <c r="AP80" s="157"/>
      <c r="AQ80" s="157"/>
      <c r="AR80" s="157"/>
      <c r="AS80" s="157"/>
      <c r="AT80" s="157"/>
      <c r="AU80" s="157"/>
      <c r="AV80" s="157"/>
      <c r="AW80" s="157"/>
      <c r="AX80" s="157"/>
    </row>
    <row r="81" spans="2:50" ht="15.75">
      <c r="B81" s="157"/>
      <c r="C81" s="274"/>
      <c r="D81" s="274"/>
      <c r="E81" s="274"/>
      <c r="F81" s="274"/>
      <c r="G81" s="275">
        <f t="shared" si="12"/>
        <v>44531</v>
      </c>
      <c r="H81" s="276">
        <f>SUMIFS($S$18:$S$60,$B$18:$B$60,$D$76,$D$18:$D$60,"Ponta")</f>
        <v>0</v>
      </c>
      <c r="I81" s="276">
        <f>SUMIFS($S$18:$S$60,$B$18:$B$60,$D$76,$D$18:$D$60,"Fora Ponta")</f>
        <v>0</v>
      </c>
      <c r="J81" s="276">
        <f t="shared" si="9"/>
        <v>0</v>
      </c>
      <c r="K81" s="276">
        <f t="shared" si="10"/>
        <v>0</v>
      </c>
      <c r="L81" s="276">
        <f>IF(MONTH(DataRevRea)=7,'Rede Básica + Ajuste'!J81,IF(G81&lt;$Q$69,(SUMIFS($E$18:$E$60,$B$18:$B$60,$D$76,$D$18:$D$60,"Ponta")),(SUMIFS($F$18:$F$60,$B$18:$B$60,$D$76,$D$18:$D$60,"Ponta"))))</f>
        <v>0</v>
      </c>
      <c r="M81" s="276">
        <f>IF(MONTH(DataRevRea)=7,'Rede Básica + Ajuste'!K81,IF(G81&lt;$Q$69,(SUMIFS($E$18:$E$60,$B$18:$B$60,$D$76,$D$18:$D$60,"Fora Ponta")),(SUMIFS($F$18:$F$60,$B$18:$B$60,$D$76,$D$18:$D$60,"Fora Ponta"))))</f>
        <v>0</v>
      </c>
      <c r="N81" s="283">
        <f t="shared" si="11"/>
        <v>0</v>
      </c>
      <c r="AF81" s="157"/>
      <c r="AG81" s="157"/>
      <c r="AH81" s="284"/>
      <c r="AI81" s="285"/>
      <c r="AJ81" s="284"/>
      <c r="AK81" s="157"/>
      <c r="AL81" s="157"/>
      <c r="AM81" s="157"/>
      <c r="AN81" s="157"/>
      <c r="AO81" s="157"/>
      <c r="AP81" s="157"/>
      <c r="AQ81" s="157"/>
      <c r="AR81" s="157"/>
      <c r="AS81" s="157"/>
      <c r="AT81" s="157"/>
      <c r="AU81" s="157"/>
      <c r="AV81" s="157"/>
      <c r="AW81" s="157"/>
      <c r="AX81" s="157"/>
    </row>
    <row r="82" spans="2:50" ht="15.75">
      <c r="B82" s="157"/>
      <c r="C82" s="286"/>
      <c r="D82" s="286"/>
      <c r="E82" s="286"/>
      <c r="F82" s="274"/>
      <c r="G82" s="275">
        <f t="shared" si="12"/>
        <v>44562</v>
      </c>
      <c r="H82" s="276">
        <f>SUMIFS($T$18:$T$60,$B$18:$B$60,$D$76,$D$18:$D$60,"Ponta")</f>
        <v>0</v>
      </c>
      <c r="I82" s="276">
        <f>SUMIFS($T$18:$T$60,$B$18:$B$60,$D$76,$D$18:$D$60,"Fora Ponta")</f>
        <v>0</v>
      </c>
      <c r="J82" s="276">
        <f t="shared" si="9"/>
        <v>0</v>
      </c>
      <c r="K82" s="276">
        <f t="shared" si="10"/>
        <v>0</v>
      </c>
      <c r="L82" s="276">
        <f>IF(MONTH(DataRevRea)=7,'Rede Básica + Ajuste'!J82,IF(G82&lt;$Q$69,(SUMIFS($E$18:$E$60,$B$18:$B$60,$D$76,$D$18:$D$60,"Ponta")),(SUMIFS($F$18:$F$60,$B$18:$B$60,$D$76,$D$18:$D$60,"Ponta"))))</f>
        <v>0</v>
      </c>
      <c r="M82" s="276">
        <f>IF(MONTH(DataRevRea)=7,'Rede Básica + Ajuste'!K82,IF(G82&lt;$Q$69,(SUMIFS($E$18:$E$60,$B$18:$B$60,$D$76,$D$18:$D$60,"Fora Ponta")),(SUMIFS($F$18:$F$60,$B$18:$B$60,$D$76,$D$18:$D$60,"Fora Ponta"))))</f>
        <v>0</v>
      </c>
      <c r="N82" s="283">
        <f t="shared" si="11"/>
        <v>0</v>
      </c>
      <c r="AF82" s="157"/>
      <c r="AG82" s="157"/>
      <c r="AH82" s="284"/>
      <c r="AI82" s="285"/>
      <c r="AJ82" s="284"/>
      <c r="AK82" s="157"/>
      <c r="AL82" s="157"/>
      <c r="AM82" s="157"/>
      <c r="AN82" s="157"/>
      <c r="AO82" s="157"/>
      <c r="AP82" s="157"/>
      <c r="AQ82" s="157"/>
      <c r="AR82" s="157"/>
      <c r="AS82" s="157"/>
      <c r="AT82" s="157"/>
      <c r="AU82" s="157"/>
      <c r="AV82" s="157"/>
      <c r="AW82" s="157"/>
      <c r="AX82" s="157"/>
    </row>
    <row r="83" spans="2:50" ht="15.75">
      <c r="B83" s="157"/>
      <c r="C83" s="278"/>
      <c r="D83" s="278"/>
      <c r="E83" s="287"/>
      <c r="F83" s="274"/>
      <c r="G83" s="275">
        <f t="shared" si="12"/>
        <v>44593</v>
      </c>
      <c r="H83" s="276">
        <f>SUMIFS($U$18:$U$60,$B$18:$B$60,$D$76,$D$18:$D$60,"Ponta")</f>
        <v>0</v>
      </c>
      <c r="I83" s="276">
        <f>SUMIFS($U$18:$U$60,$B$18:$B$60,$D$76,$D$18:$D$60,"Fora Ponta")</f>
        <v>0</v>
      </c>
      <c r="J83" s="276">
        <f t="shared" si="9"/>
        <v>0</v>
      </c>
      <c r="K83" s="276">
        <f t="shared" si="10"/>
        <v>0</v>
      </c>
      <c r="L83" s="276">
        <f>IF(MONTH(DataRevRea)=7,'Rede Básica + Ajuste'!J83,IF(G83&lt;$Q$69,(SUMIFS($E$18:$E$60,$B$18:$B$60,$D$76,$D$18:$D$60,"Ponta")),(SUMIFS($F$18:$F$60,$B$18:$B$60,$D$76,$D$18:$D$60,"Ponta"))))</f>
        <v>0</v>
      </c>
      <c r="M83" s="276">
        <f>IF(MONTH(DataRevRea)=7,'Rede Básica + Ajuste'!K83,IF(G83&lt;$Q$69,(SUMIFS($E$18:$E$60,$B$18:$B$60,$D$76,$D$18:$D$60,"Fora Ponta")),(SUMIFS($F$18:$F$60,$B$18:$B$60,$D$76,$D$18:$D$60,"Fora Ponta"))))</f>
        <v>0</v>
      </c>
      <c r="N83" s="283">
        <f t="shared" si="11"/>
        <v>0</v>
      </c>
      <c r="AF83" s="157"/>
      <c r="AG83" s="157"/>
      <c r="AH83" s="284"/>
      <c r="AI83" s="285"/>
      <c r="AJ83" s="284"/>
      <c r="AK83" s="157"/>
      <c r="AL83" s="157"/>
      <c r="AM83" s="157"/>
      <c r="AN83" s="157"/>
      <c r="AO83" s="157"/>
      <c r="AP83" s="157"/>
      <c r="AQ83" s="157"/>
      <c r="AR83" s="157"/>
      <c r="AS83" s="157"/>
      <c r="AT83" s="157"/>
      <c r="AU83" s="157"/>
      <c r="AV83" s="157"/>
      <c r="AW83" s="157"/>
      <c r="AX83" s="157"/>
    </row>
    <row r="84" spans="2:50" ht="15.75">
      <c r="B84" s="157"/>
      <c r="C84" s="288"/>
      <c r="D84" s="278"/>
      <c r="E84" s="287"/>
      <c r="F84" s="274"/>
      <c r="G84" s="275">
        <f t="shared" si="12"/>
        <v>44621</v>
      </c>
      <c r="H84" s="276">
        <f>SUMIFS($V$18:$V$60,$B$18:$B$60,$D$76,$D$18:$D$60,"Ponta")</f>
        <v>0</v>
      </c>
      <c r="I84" s="276">
        <f>SUMIFS($V$18:$V$60,$B$18:$B$60,$D$76,$D$18:$D$60,"Fora Ponta")</f>
        <v>0</v>
      </c>
      <c r="J84" s="276">
        <f t="shared" si="9"/>
        <v>0</v>
      </c>
      <c r="K84" s="276">
        <f t="shared" si="10"/>
        <v>0</v>
      </c>
      <c r="L84" s="276">
        <f>IF(MONTH(DataRevRea)=7,'Rede Básica + Ajuste'!J84,IF(G84&lt;$Q$69,(SUMIFS($E$18:$E$60,$B$18:$B$60,$D$76,$D$18:$D$60,"Ponta")),(SUMIFS($F$18:$F$60,$B$18:$B$60,$D$76,$D$18:$D$60,"Ponta"))))</f>
        <v>0</v>
      </c>
      <c r="M84" s="276">
        <f>IF(MONTH(DataRevRea)=7,'Rede Básica + Ajuste'!K84,IF(G84&lt;$Q$69,(SUMIFS($E$18:$E$60,$B$18:$B$60,$D$76,$D$18:$D$60,"Fora Ponta")),(SUMIFS($F$18:$F$60,$B$18:$B$60,$D$76,$D$18:$D$60,"Fora Ponta"))))</f>
        <v>0</v>
      </c>
      <c r="N84" s="283">
        <f t="shared" si="11"/>
        <v>0</v>
      </c>
      <c r="AF84" s="157"/>
      <c r="AG84" s="157"/>
      <c r="AH84" s="284"/>
      <c r="AI84" s="285"/>
      <c r="AJ84" s="284"/>
      <c r="AK84" s="157"/>
      <c r="AL84" s="157"/>
      <c r="AM84" s="157"/>
      <c r="AN84" s="157"/>
      <c r="AO84" s="157"/>
      <c r="AP84" s="157"/>
      <c r="AQ84" s="157"/>
      <c r="AR84" s="157"/>
      <c r="AS84" s="157"/>
      <c r="AT84" s="157"/>
      <c r="AU84" s="157"/>
      <c r="AV84" s="157"/>
      <c r="AW84" s="157"/>
      <c r="AX84" s="157"/>
    </row>
    <row r="85" spans="2:50" ht="15.75">
      <c r="B85" s="157"/>
      <c r="C85" s="274"/>
      <c r="D85" s="274"/>
      <c r="E85" s="274"/>
      <c r="F85" s="274"/>
      <c r="G85" s="275">
        <f t="shared" si="12"/>
        <v>44652</v>
      </c>
      <c r="H85" s="276">
        <f>SUMIFS($W$18:$W$60,$B$18:$B$60,$D$76,$D$18:$D$60,"Ponta")</f>
        <v>0</v>
      </c>
      <c r="I85" s="276">
        <f>SUMIFS($W$18:$W$60,$B$18:$B$60,$D$76,$D$18:$D$60,"Fora Ponta")</f>
        <v>0</v>
      </c>
      <c r="J85" s="276">
        <f t="shared" si="9"/>
        <v>0</v>
      </c>
      <c r="K85" s="276">
        <f t="shared" si="10"/>
        <v>0</v>
      </c>
      <c r="L85" s="276">
        <f>IF(MONTH(DataRevRea)=7,'Rede Básica + Ajuste'!J85,IF(G85&lt;$Q$69,(SUMIFS($E$18:$E$60,$B$18:$B$60,$D$76,$D$18:$D$60,"Ponta")),(SUMIFS($F$18:$F$60,$B$18:$B$60,$D$76,$D$18:$D$60,"Ponta"))))</f>
        <v>0</v>
      </c>
      <c r="M85" s="276">
        <f>IF(MONTH(DataRevRea)=7,'Rede Básica + Ajuste'!K85,IF(G85&lt;$Q$69,(SUMIFS($E$18:$E$60,$B$18:$B$60,$D$76,$D$18:$D$60,"Fora Ponta")),(SUMIFS($F$18:$F$60,$B$18:$B$60,$D$76,$D$18:$D$60,"Fora Ponta"))))</f>
        <v>0</v>
      </c>
      <c r="N85" s="283">
        <f t="shared" si="11"/>
        <v>0</v>
      </c>
      <c r="AF85" s="157"/>
      <c r="AG85" s="157"/>
      <c r="AH85" s="284"/>
      <c r="AI85" s="285"/>
      <c r="AJ85" s="284"/>
      <c r="AK85" s="157"/>
      <c r="AL85" s="157"/>
      <c r="AM85" s="157"/>
      <c r="AN85" s="157"/>
      <c r="AO85" s="157"/>
      <c r="AP85" s="157"/>
      <c r="AQ85" s="157"/>
      <c r="AR85" s="157"/>
      <c r="AS85" s="157"/>
      <c r="AT85" s="157"/>
      <c r="AU85" s="157"/>
      <c r="AV85" s="157"/>
      <c r="AW85" s="157"/>
      <c r="AX85" s="157"/>
    </row>
    <row r="86" spans="2:50" ht="15.75">
      <c r="B86" s="157"/>
      <c r="C86" s="280"/>
      <c r="D86" s="280"/>
      <c r="E86" s="280"/>
      <c r="F86" s="274"/>
      <c r="G86" s="275">
        <f t="shared" si="12"/>
        <v>44682</v>
      </c>
      <c r="H86" s="276">
        <f>SUMIFS($X$18:$X$60,$B$18:$B$60,$D$76,$D$18:$D$60,"Ponta")</f>
        <v>0</v>
      </c>
      <c r="I86" s="276">
        <f>SUMIFS($X$18:$X$60,$B$18:$B$60,$D$76,$D$18:$D$60,"Fora Ponta")</f>
        <v>0</v>
      </c>
      <c r="J86" s="276">
        <f t="shared" si="9"/>
        <v>0</v>
      </c>
      <c r="K86" s="276">
        <f t="shared" si="10"/>
        <v>0</v>
      </c>
      <c r="L86" s="276">
        <f>IF(MONTH(DataRevRea)=7,'Rede Básica + Ajuste'!J86,IF(G86&lt;$Q$69,(SUMIFS($E$18:$E$60,$B$18:$B$60,$D$76,$D$18:$D$60,"Ponta")),(SUMIFS($F$18:$F$60,$B$18:$B$60,$D$76,$D$18:$D$60,"Ponta"))))</f>
        <v>0</v>
      </c>
      <c r="M86" s="276">
        <f>IF(MONTH(DataRevRea)=7,'Rede Básica + Ajuste'!K86,IF(G86&lt;$Q$69,(SUMIFS($E$18:$E$60,$B$18:$B$60,$D$76,$D$18:$D$60,"Fora Ponta")),(SUMIFS($F$18:$F$60,$B$18:$B$60,$D$76,$D$18:$D$60,"Fora Ponta"))))</f>
        <v>0</v>
      </c>
      <c r="N86" s="283">
        <f t="shared" si="11"/>
        <v>0</v>
      </c>
      <c r="AF86" s="157"/>
      <c r="AG86" s="157"/>
      <c r="AH86" s="284"/>
      <c r="AI86" s="285"/>
      <c r="AJ86" s="284"/>
      <c r="AK86" s="157"/>
      <c r="AL86" s="157"/>
      <c r="AM86" s="157"/>
      <c r="AN86" s="157"/>
      <c r="AO86" s="157"/>
      <c r="AP86" s="157"/>
      <c r="AQ86" s="157"/>
      <c r="AR86" s="157"/>
      <c r="AS86" s="157"/>
      <c r="AT86" s="157"/>
      <c r="AU86" s="157"/>
      <c r="AV86" s="157"/>
      <c r="AW86" s="157"/>
      <c r="AX86" s="157"/>
    </row>
    <row r="87" spans="2:50" ht="15.75">
      <c r="B87" s="157"/>
      <c r="C87" s="278"/>
      <c r="D87" s="279"/>
      <c r="E87" s="278"/>
      <c r="F87" s="274"/>
      <c r="G87" s="1660">
        <f t="shared" si="12"/>
        <v>44713</v>
      </c>
      <c r="H87" s="1661">
        <f>SUMIFS($Y$18:$Y$60,$B$18:$B$60,$D$76,$D$18:$D$60,"Ponta")</f>
        <v>0</v>
      </c>
      <c r="I87" s="1661">
        <f>SUMIFS($Y$18:$Y$60,$B$18:$B$60,$D$76,$D$18:$D$60,"Fora Ponta")</f>
        <v>0</v>
      </c>
      <c r="J87" s="1661">
        <f t="shared" si="9"/>
        <v>0</v>
      </c>
      <c r="K87" s="1661">
        <f t="shared" si="10"/>
        <v>0</v>
      </c>
      <c r="L87" s="1661">
        <f>IF(MONTH(DataRevRea)=7,'Rede Básica + Ajuste'!J87,IF(G87&lt;$Q$69,(SUMIFS($E$18:$E$60,$B$18:$B$60,$D$76,$D$18:$D$60,"Ponta")),(SUMIFS($F$18:$F$60,$B$18:$B$60,$D$76,$D$18:$D$60,"Ponta"))))</f>
        <v>0</v>
      </c>
      <c r="M87" s="1661">
        <f>IF(MONTH(DataRevRea)=7,'Rede Básica + Ajuste'!K87,IF(G87&lt;$Q$69,(SUMIFS($E$18:$E$60,$B$18:$B$60,$D$76,$D$18:$D$60,"Fora Ponta")),(SUMIFS($F$18:$F$60,$B$18:$B$60,$D$76,$D$18:$D$60,"Fora Ponta"))))</f>
        <v>0</v>
      </c>
      <c r="N87" s="1662">
        <f t="shared" si="11"/>
        <v>0</v>
      </c>
      <c r="AF87" s="157"/>
      <c r="AG87" s="157"/>
      <c r="AH87" s="284"/>
      <c r="AI87" s="285"/>
      <c r="AJ87" s="284"/>
      <c r="AK87" s="157"/>
      <c r="AL87" s="157"/>
      <c r="AM87" s="157"/>
      <c r="AN87" s="157"/>
      <c r="AO87" s="157"/>
      <c r="AP87" s="157"/>
      <c r="AQ87" s="157"/>
      <c r="AR87" s="157"/>
      <c r="AS87" s="157"/>
      <c r="AT87" s="157"/>
      <c r="AU87" s="157"/>
      <c r="AV87" s="157"/>
      <c r="AW87" s="157"/>
      <c r="AX87" s="157"/>
    </row>
    <row r="88" spans="2:50">
      <c r="G88" s="150"/>
      <c r="AF88" s="157"/>
      <c r="AG88" s="157"/>
      <c r="AH88" s="157"/>
      <c r="AI88" s="157"/>
      <c r="AJ88" s="157"/>
      <c r="AK88" s="157"/>
      <c r="AL88" s="157"/>
      <c r="AM88" s="157"/>
      <c r="AN88" s="157"/>
      <c r="AO88" s="157"/>
      <c r="AP88" s="157"/>
      <c r="AQ88" s="157"/>
      <c r="AR88" s="157"/>
      <c r="AS88" s="157"/>
      <c r="AT88" s="157"/>
      <c r="AU88" s="157"/>
      <c r="AV88" s="157"/>
      <c r="AW88" s="157"/>
      <c r="AX88" s="157"/>
    </row>
    <row r="89" spans="2:50" ht="15.75">
      <c r="C89" s="274"/>
      <c r="D89" s="274"/>
      <c r="E89" s="274"/>
      <c r="F89" s="274"/>
      <c r="G89" s="274"/>
      <c r="H89" s="274"/>
      <c r="I89" s="274"/>
      <c r="J89" s="1756" t="s">
        <v>1322</v>
      </c>
      <c r="K89" s="1757"/>
      <c r="L89" s="1755" t="s">
        <v>1323</v>
      </c>
      <c r="M89" s="1755"/>
      <c r="N89" s="282"/>
    </row>
    <row r="90" spans="2:50" ht="15.75">
      <c r="C90" s="1758" t="s">
        <v>1333</v>
      </c>
      <c r="D90" s="1759"/>
      <c r="F90" s="274"/>
      <c r="G90" s="1320" t="s">
        <v>772</v>
      </c>
      <c r="H90" s="1321" t="s">
        <v>1324</v>
      </c>
      <c r="I90" s="1321" t="s">
        <v>1325</v>
      </c>
      <c r="J90" s="1659" t="s">
        <v>1326</v>
      </c>
      <c r="K90" s="1659" t="s">
        <v>1327</v>
      </c>
      <c r="L90" s="1659" t="s">
        <v>1326</v>
      </c>
      <c r="M90" s="1659" t="s">
        <v>1327</v>
      </c>
      <c r="N90" s="281" t="s">
        <v>1328</v>
      </c>
    </row>
    <row r="91" spans="2:50" ht="15.75">
      <c r="C91" s="1317" t="s">
        <v>1329</v>
      </c>
      <c r="D91" s="1322">
        <f>IF(D18="Ponta",B18,0)</f>
        <v>0</v>
      </c>
      <c r="E91" s="18"/>
      <c r="F91" s="274"/>
      <c r="G91" s="1323">
        <f>G76</f>
        <v>44378</v>
      </c>
      <c r="H91" s="276">
        <f>H76</f>
        <v>0</v>
      </c>
      <c r="I91" s="276">
        <f>I76</f>
        <v>0</v>
      </c>
      <c r="J91" s="276">
        <f>SUMIFS($G$18:$G$60,$B$18:$B$60,$D$76,$D$18:$D$60,"Ponta")</f>
        <v>0</v>
      </c>
      <c r="K91" s="276">
        <f>SUMIFS($G$18:$G$60,$B$18:$B$60,$D$76,$D$18:$D$60,"Fora Ponta")</f>
        <v>0</v>
      </c>
      <c r="L91" s="1324">
        <f>IF(MONTH(DataRevRea)=7,'Rede Básica + Ajuste'!J91,IF(G91&lt;$Q$69,(SUMIFS($G$18:$G$60,$B$18:$B$60,$D$91,$D$18:$D$60,"Ponta")),(SUMIFS($H$18:$H$60,$B$18:$B$60,$D$91,$D$18:$D$60,"Ponta"))))</f>
        <v>0</v>
      </c>
      <c r="M91" s="1324">
        <f>IF(MONTH(DataRevRea)=7,'Rede Básica + Ajuste'!K91,IF(G91&lt;$Q$69,(SUMIFS($G$18:$G$60,$B$18:$B$60,$D$91,$D$18:$D$60,"Fora Ponta")),(SUMIFS($H$18:$H$60,$B$18:$B$60,$D$91,$D$18:$D$60,"Fora Ponta"))))</f>
        <v>0</v>
      </c>
      <c r="N91" s="1325">
        <f>+(H91*(L91-J91))+(I91*(M91-K91))</f>
        <v>0</v>
      </c>
    </row>
    <row r="92" spans="2:50" ht="15.75">
      <c r="C92" s="274"/>
      <c r="D92" s="274"/>
      <c r="E92" s="274"/>
      <c r="F92" s="274"/>
      <c r="G92" s="275">
        <f t="shared" ref="G92:I102" si="13">G77</f>
        <v>44409</v>
      </c>
      <c r="H92" s="276">
        <f t="shared" si="13"/>
        <v>0</v>
      </c>
      <c r="I92" s="276">
        <f t="shared" si="13"/>
        <v>0</v>
      </c>
      <c r="J92" s="276">
        <f t="shared" ref="J92:J102" si="14">SUMIFS($G$18:$G$60,$B$18:$B$60,$D$76,$D$18:$D$60,"Ponta")</f>
        <v>0</v>
      </c>
      <c r="K92" s="276">
        <f t="shared" ref="K92:K102" si="15">SUMIFS($G$18:$G$60,$B$18:$B$60,$D$76,$D$18:$D$60,"Fora Ponta")</f>
        <v>0</v>
      </c>
      <c r="L92" s="276">
        <f>IF(MONTH(DataRevRea)=7,'Rede Básica + Ajuste'!J92,IF(G92&lt;$Q$69,(SUMIFS($G$18:$G$60,$B$18:$B$60,$D$91,$D$18:$D$60,"Ponta")),(SUMIFS($H$18:$H$60,$B$18:$B$60,$D$91,$D$18:$D$60,"Ponta"))))</f>
        <v>0</v>
      </c>
      <c r="M92" s="276">
        <f>IF(MONTH(DataRevRea)=7,'Rede Básica + Ajuste'!K92,IF(G92&lt;$Q$69,(SUMIFS($G$18:$G$60,$B$18:$B$60,$D$91,$D$18:$D$60,"Fora Ponta")),(SUMIFS($H$18:$H$60,$B$18:$B$60,$D$91,$D$18:$D$60,"Fora Ponta"))))</f>
        <v>0</v>
      </c>
      <c r="N92" s="283">
        <f t="shared" ref="N92:N102" si="16">+(H92*(L92-J92))+(I92*(M92-K92))</f>
        <v>0</v>
      </c>
    </row>
    <row r="93" spans="2:50" ht="15.75">
      <c r="C93" s="277"/>
      <c r="D93" s="1326" t="s">
        <v>1330</v>
      </c>
      <c r="E93" s="1327" t="s">
        <v>1331</v>
      </c>
      <c r="F93" s="274"/>
      <c r="G93" s="275">
        <f t="shared" si="13"/>
        <v>44440</v>
      </c>
      <c r="H93" s="276">
        <f t="shared" si="13"/>
        <v>0</v>
      </c>
      <c r="I93" s="276">
        <f t="shared" si="13"/>
        <v>0</v>
      </c>
      <c r="J93" s="276">
        <f t="shared" si="14"/>
        <v>0</v>
      </c>
      <c r="K93" s="276">
        <f t="shared" si="15"/>
        <v>0</v>
      </c>
      <c r="L93" s="276">
        <f>IF(MONTH(DataRevRea)=7,'Rede Básica + Ajuste'!J93,IF(G93&lt;$Q$69,(SUMIFS($G$18:$G$60,$B$18:$B$60,$D$91,$D$18:$D$60,"Ponta")),(SUMIFS($H$18:$H$60,$B$18:$B$60,$D$91,$D$18:$D$60,"Ponta"))))</f>
        <v>0</v>
      </c>
      <c r="M93" s="276">
        <f>IF(MONTH(DataRevRea)=7,'Rede Básica + Ajuste'!K93,IF(G93&lt;$Q$69,(SUMIFS($G$18:$G$60,$B$18:$B$60,$D$91,$D$18:$D$60,"Fora Ponta")),(SUMIFS($H$18:$H$60,$B$18:$B$60,$D$91,$D$18:$D$60,"Fora Ponta"))))</f>
        <v>0</v>
      </c>
      <c r="N93" s="283">
        <f t="shared" si="16"/>
        <v>0</v>
      </c>
    </row>
    <row r="94" spans="2:50" ht="15.75">
      <c r="C94" s="1328" t="str">
        <f>C79</f>
        <v>Cobertura 2021</v>
      </c>
      <c r="D94" s="1329">
        <f>SUMPRODUCT(H91:H102,J91:J102)</f>
        <v>0</v>
      </c>
      <c r="E94" s="1329">
        <f>SUMPRODUCT(I91:I102,K91:K102)</f>
        <v>0</v>
      </c>
      <c r="F94" s="274"/>
      <c r="G94" s="275">
        <f t="shared" si="13"/>
        <v>44470</v>
      </c>
      <c r="H94" s="276">
        <f t="shared" si="13"/>
        <v>0</v>
      </c>
      <c r="I94" s="276">
        <f t="shared" si="13"/>
        <v>0</v>
      </c>
      <c r="J94" s="276">
        <f t="shared" si="14"/>
        <v>0</v>
      </c>
      <c r="K94" s="276">
        <f t="shared" si="15"/>
        <v>0</v>
      </c>
      <c r="L94" s="276">
        <f>IF(MONTH(DataRevRea)=7,'Rede Básica + Ajuste'!J94,IF(G94&lt;$Q$69,(SUMIFS($G$18:$G$60,$B$18:$B$60,$D$91,$D$18:$D$60,"Ponta")),(SUMIFS($H$18:$H$60,$B$18:$B$60,$D$91,$D$18:$D$60,"Ponta"))))</f>
        <v>0</v>
      </c>
      <c r="M94" s="276">
        <f>IF(MONTH(DataRevRea)=7,'Rede Básica + Ajuste'!K94,IF(G94&lt;$Q$69,(SUMIFS($G$18:$G$60,$B$18:$B$60,$D$91,$D$18:$D$60,"Fora Ponta")),(SUMIFS($H$18:$H$60,$B$18:$B$60,$D$91,$D$18:$D$60,"Fora Ponta"))))</f>
        <v>0</v>
      </c>
      <c r="N94" s="283">
        <f t="shared" si="16"/>
        <v>0</v>
      </c>
    </row>
    <row r="95" spans="2:50" ht="15.75">
      <c r="C95" s="1328" t="s">
        <v>1332</v>
      </c>
      <c r="D95" s="1329">
        <f>SUMPRODUCT(H91:H102,L91:L102)</f>
        <v>0</v>
      </c>
      <c r="E95" s="1329">
        <f>SUMPRODUCT(I91:I102,M91:M102)</f>
        <v>0</v>
      </c>
      <c r="F95" s="274"/>
      <c r="G95" s="275">
        <f t="shared" si="13"/>
        <v>44501</v>
      </c>
      <c r="H95" s="276">
        <f t="shared" si="13"/>
        <v>0</v>
      </c>
      <c r="I95" s="276">
        <f t="shared" si="13"/>
        <v>0</v>
      </c>
      <c r="J95" s="276">
        <f t="shared" si="14"/>
        <v>0</v>
      </c>
      <c r="K95" s="276">
        <f t="shared" si="15"/>
        <v>0</v>
      </c>
      <c r="L95" s="276">
        <f>IF(MONTH(DataRevRea)=7,'Rede Básica + Ajuste'!J95,IF(G95&lt;$Q$69,(SUMIFS($G$18:$G$60,$B$18:$B$60,$D$91,$D$18:$D$60,"Ponta")),(SUMIFS($H$18:$H$60,$B$18:$B$60,$D$91,$D$18:$D$60,"Ponta"))))</f>
        <v>0</v>
      </c>
      <c r="M95" s="276">
        <f>IF(MONTH(DataRevRea)=7,'Rede Básica + Ajuste'!K95,IF(G95&lt;$Q$69,(SUMIFS($G$18:$G$60,$B$18:$B$60,$D$91,$D$18:$D$60,"Fora Ponta")),(SUMIFS($H$18:$H$60,$B$18:$B$60,$D$91,$D$18:$D$60,"Fora Ponta"))))</f>
        <v>0</v>
      </c>
      <c r="N95" s="283">
        <f t="shared" si="16"/>
        <v>0</v>
      </c>
    </row>
    <row r="96" spans="2:50" ht="15.75">
      <c r="C96" s="274"/>
      <c r="D96" s="274"/>
      <c r="E96" s="274"/>
      <c r="F96" s="274"/>
      <c r="G96" s="275">
        <f t="shared" si="13"/>
        <v>44531</v>
      </c>
      <c r="H96" s="276">
        <f t="shared" si="13"/>
        <v>0</v>
      </c>
      <c r="I96" s="276">
        <f t="shared" si="13"/>
        <v>0</v>
      </c>
      <c r="J96" s="276">
        <f t="shared" si="14"/>
        <v>0</v>
      </c>
      <c r="K96" s="276">
        <f t="shared" si="15"/>
        <v>0</v>
      </c>
      <c r="L96" s="276">
        <f>IF(MONTH(DataRevRea)=7,'Rede Básica + Ajuste'!J96,IF(G96&lt;$Q$69,(SUMIFS($G$18:$G$60,$B$18:$B$60,$D$91,$D$18:$D$60,"Ponta")),(SUMIFS($H$18:$H$60,$B$18:$B$60,$D$91,$D$18:$D$60,"Ponta"))))</f>
        <v>0</v>
      </c>
      <c r="M96" s="276">
        <f>IF(MONTH(DataRevRea)=7,'Rede Básica + Ajuste'!K96,IF(G96&lt;$Q$69,(SUMIFS($G$18:$G$60,$B$18:$B$60,$D$91,$D$18:$D$60,"Fora Ponta")),(SUMIFS($H$18:$H$60,$B$18:$B$60,$D$91,$D$18:$D$60,"Fora Ponta"))))</f>
        <v>0</v>
      </c>
      <c r="N96" s="283">
        <f t="shared" si="16"/>
        <v>0</v>
      </c>
    </row>
    <row r="97" spans="3:14" ht="15.75">
      <c r="C97" s="286"/>
      <c r="D97" s="286"/>
      <c r="E97" s="286"/>
      <c r="F97" s="274"/>
      <c r="G97" s="275">
        <f t="shared" si="13"/>
        <v>44562</v>
      </c>
      <c r="H97" s="276">
        <f t="shared" si="13"/>
        <v>0</v>
      </c>
      <c r="I97" s="276">
        <f t="shared" si="13"/>
        <v>0</v>
      </c>
      <c r="J97" s="276">
        <f t="shared" si="14"/>
        <v>0</v>
      </c>
      <c r="K97" s="276">
        <f t="shared" si="15"/>
        <v>0</v>
      </c>
      <c r="L97" s="276">
        <f>IF(MONTH(DataRevRea)=7,'Rede Básica + Ajuste'!J97,IF(G97&lt;$Q$69,(SUMIFS($G$18:$G$60,$B$18:$B$60,$D$91,$D$18:$D$60,"Ponta")),(SUMIFS($H$18:$H$60,$B$18:$B$60,$D$91,$D$18:$D$60,"Ponta"))))</f>
        <v>0</v>
      </c>
      <c r="M97" s="276">
        <f>IF(MONTH(DataRevRea)=7,'Rede Básica + Ajuste'!K97,IF(G97&lt;$Q$69,(SUMIFS($G$18:$G$60,$B$18:$B$60,$D$91,$D$18:$D$60,"Fora Ponta")),(SUMIFS($H$18:$H$60,$B$18:$B$60,$D$91,$D$18:$D$60,"Fora Ponta"))))</f>
        <v>0</v>
      </c>
      <c r="N97" s="283">
        <f t="shared" si="16"/>
        <v>0</v>
      </c>
    </row>
    <row r="98" spans="3:14" ht="15.75">
      <c r="C98" s="278"/>
      <c r="D98" s="278"/>
      <c r="E98" s="287"/>
      <c r="F98" s="274"/>
      <c r="G98" s="275">
        <f t="shared" si="13"/>
        <v>44593</v>
      </c>
      <c r="H98" s="276">
        <f t="shared" si="13"/>
        <v>0</v>
      </c>
      <c r="I98" s="276">
        <f t="shared" si="13"/>
        <v>0</v>
      </c>
      <c r="J98" s="276">
        <f t="shared" si="14"/>
        <v>0</v>
      </c>
      <c r="K98" s="276">
        <f t="shared" si="15"/>
        <v>0</v>
      </c>
      <c r="L98" s="276">
        <f>IF(MONTH(DataRevRea)=7,'Rede Básica + Ajuste'!J98,IF(G98&lt;$Q$69,(SUMIFS($G$18:$G$60,$B$18:$B$60,$D$91,$D$18:$D$60,"Ponta")),(SUMIFS($H$18:$H$60,$B$18:$B$60,$D$91,$D$18:$D$60,"Ponta"))))</f>
        <v>0</v>
      </c>
      <c r="M98" s="276">
        <f>IF(MONTH(DataRevRea)=7,'Rede Básica + Ajuste'!K98,IF(G98&lt;$Q$69,(SUMIFS($G$18:$G$60,$B$18:$B$60,$D$91,$D$18:$D$60,"Fora Ponta")),(SUMIFS($H$18:$H$60,$B$18:$B$60,$D$91,$D$18:$D$60,"Fora Ponta"))))</f>
        <v>0</v>
      </c>
      <c r="N98" s="283">
        <f t="shared" si="16"/>
        <v>0</v>
      </c>
    </row>
    <row r="99" spans="3:14" ht="15.75">
      <c r="C99" s="288"/>
      <c r="D99" s="278"/>
      <c r="E99" s="287"/>
      <c r="F99" s="274"/>
      <c r="G99" s="275">
        <f t="shared" si="13"/>
        <v>44621</v>
      </c>
      <c r="H99" s="276">
        <f t="shared" si="13"/>
        <v>0</v>
      </c>
      <c r="I99" s="276">
        <f t="shared" si="13"/>
        <v>0</v>
      </c>
      <c r="J99" s="276">
        <f t="shared" si="14"/>
        <v>0</v>
      </c>
      <c r="K99" s="276">
        <f t="shared" si="15"/>
        <v>0</v>
      </c>
      <c r="L99" s="276">
        <f>IF(MONTH(DataRevRea)=7,'Rede Básica + Ajuste'!J99,IF(G99&lt;$Q$69,(SUMIFS($G$18:$G$60,$B$18:$B$60,$D$91,$D$18:$D$60,"Ponta")),(SUMIFS($H$18:$H$60,$B$18:$B$60,$D$91,$D$18:$D$60,"Ponta"))))</f>
        <v>0</v>
      </c>
      <c r="M99" s="276">
        <f>IF(MONTH(DataRevRea)=7,'Rede Básica + Ajuste'!K99,IF(G99&lt;$Q$69,(SUMIFS($G$18:$G$60,$B$18:$B$60,$D$91,$D$18:$D$60,"Fora Ponta")),(SUMIFS($H$18:$H$60,$B$18:$B$60,$D$91,$D$18:$D$60,"Fora Ponta"))))</f>
        <v>0</v>
      </c>
      <c r="N99" s="283">
        <f t="shared" si="16"/>
        <v>0</v>
      </c>
    </row>
    <row r="100" spans="3:14" ht="15.75">
      <c r="C100" s="274"/>
      <c r="D100" s="274"/>
      <c r="E100" s="274"/>
      <c r="F100" s="274"/>
      <c r="G100" s="275">
        <f t="shared" si="13"/>
        <v>44652</v>
      </c>
      <c r="H100" s="276">
        <f t="shared" si="13"/>
        <v>0</v>
      </c>
      <c r="I100" s="276">
        <f t="shared" si="13"/>
        <v>0</v>
      </c>
      <c r="J100" s="276">
        <f t="shared" si="14"/>
        <v>0</v>
      </c>
      <c r="K100" s="276">
        <f t="shared" si="15"/>
        <v>0</v>
      </c>
      <c r="L100" s="276">
        <f>IF(MONTH(DataRevRea)=7,'Rede Básica + Ajuste'!J100,IF(G100&lt;$Q$69,(SUMIFS($G$18:$G$60,$B$18:$B$60,$D$91,$D$18:$D$60,"Ponta")),(SUMIFS($H$18:$H$60,$B$18:$B$60,$D$91,$D$18:$D$60,"Ponta"))))</f>
        <v>0</v>
      </c>
      <c r="M100" s="276">
        <f>IF(MONTH(DataRevRea)=7,'Rede Básica + Ajuste'!K100,IF(G100&lt;$Q$69,(SUMIFS($G$18:$G$60,$B$18:$B$60,$D$91,$D$18:$D$60,"Fora Ponta")),(SUMIFS($H$18:$H$60,$B$18:$B$60,$D$91,$D$18:$D$60,"Fora Ponta"))))</f>
        <v>0</v>
      </c>
      <c r="N100" s="283">
        <f t="shared" si="16"/>
        <v>0</v>
      </c>
    </row>
    <row r="101" spans="3:14" ht="15.75">
      <c r="C101" s="280"/>
      <c r="D101" s="280"/>
      <c r="E101" s="280"/>
      <c r="F101" s="274"/>
      <c r="G101" s="275">
        <f t="shared" si="13"/>
        <v>44682</v>
      </c>
      <c r="H101" s="276">
        <f t="shared" si="13"/>
        <v>0</v>
      </c>
      <c r="I101" s="276">
        <f t="shared" si="13"/>
        <v>0</v>
      </c>
      <c r="J101" s="276">
        <f t="shared" si="14"/>
        <v>0</v>
      </c>
      <c r="K101" s="276">
        <f t="shared" si="15"/>
        <v>0</v>
      </c>
      <c r="L101" s="276">
        <f>IF(MONTH(DataRevRea)=7,'Rede Básica + Ajuste'!J101,IF(G101&lt;$Q$69,(SUMIFS($G$18:$G$60,$B$18:$B$60,$D$91,$D$18:$D$60,"Ponta")),(SUMIFS($H$18:$H$60,$B$18:$B$60,$D$91,$D$18:$D$60,"Ponta"))))</f>
        <v>0</v>
      </c>
      <c r="M101" s="276">
        <f>IF(MONTH(DataRevRea)=7,'Rede Básica + Ajuste'!K101,IF(G101&lt;$Q$69,(SUMIFS($G$18:$G$60,$B$18:$B$60,$D$91,$D$18:$D$60,"Fora Ponta")),(SUMIFS($H$18:$H$60,$B$18:$B$60,$D$91,$D$18:$D$60,"Fora Ponta"))))</f>
        <v>0</v>
      </c>
      <c r="N101" s="283">
        <f t="shared" si="16"/>
        <v>0</v>
      </c>
    </row>
    <row r="102" spans="3:14" ht="15.75">
      <c r="C102" s="278"/>
      <c r="D102" s="279"/>
      <c r="E102" s="278"/>
      <c r="F102" s="274"/>
      <c r="G102" s="1660">
        <f t="shared" si="13"/>
        <v>44713</v>
      </c>
      <c r="H102" s="1661">
        <f t="shared" si="13"/>
        <v>0</v>
      </c>
      <c r="I102" s="1661">
        <f t="shared" si="13"/>
        <v>0</v>
      </c>
      <c r="J102" s="1661">
        <f t="shared" si="14"/>
        <v>0</v>
      </c>
      <c r="K102" s="1661">
        <f t="shared" si="15"/>
        <v>0</v>
      </c>
      <c r="L102" s="1661">
        <f>IF(MONTH(DataRevRea)=7,'Rede Básica + Ajuste'!J102,IF(G102&lt;$Q$69,(SUMIFS($G$18:$G$60,$B$18:$B$60,$D$91,$D$18:$D$60,"Ponta")),(SUMIFS($H$18:$H$60,$B$18:$B$60,$D$91,$D$18:$D$60,"Ponta"))))</f>
        <v>0</v>
      </c>
      <c r="M102" s="1661">
        <f>IF(MONTH(DataRevRea)=7,'Rede Básica + Ajuste'!K102,IF(G102&lt;$Q$69,(SUMIFS($G$18:$G$60,$B$18:$B$60,$D$91,$D$18:$D$60,"Fora Ponta")),(SUMIFS($H$18:$H$60,$B$18:$B$60,$D$91,$D$18:$D$60,"Fora Ponta"))))</f>
        <v>0</v>
      </c>
      <c r="N102" s="1662">
        <f t="shared" si="16"/>
        <v>0</v>
      </c>
    </row>
    <row r="103" spans="3:14">
      <c r="G103" s="150"/>
    </row>
    <row r="104" spans="3:14" ht="15.75">
      <c r="C104" s="274"/>
      <c r="D104" s="274"/>
      <c r="E104" s="274"/>
      <c r="F104" s="274"/>
      <c r="G104" s="274"/>
      <c r="H104" s="274"/>
      <c r="I104" s="274"/>
      <c r="J104" s="1756" t="s">
        <v>1322</v>
      </c>
      <c r="K104" s="1757"/>
      <c r="L104" s="1755" t="s">
        <v>1323</v>
      </c>
      <c r="M104" s="1755"/>
      <c r="N104" s="282"/>
    </row>
    <row r="105" spans="3:14" ht="15.75">
      <c r="C105" s="1758" t="s">
        <v>1305</v>
      </c>
      <c r="D105" s="1759"/>
      <c r="F105" s="274"/>
      <c r="G105" s="1320" t="s">
        <v>772</v>
      </c>
      <c r="H105" s="1321" t="s">
        <v>1324</v>
      </c>
      <c r="I105" s="1321" t="s">
        <v>1325</v>
      </c>
      <c r="J105" s="1659" t="s">
        <v>1326</v>
      </c>
      <c r="K105" s="1659" t="s">
        <v>1327</v>
      </c>
      <c r="L105" s="1659" t="s">
        <v>1326</v>
      </c>
      <c r="M105" s="1659" t="s">
        <v>1327</v>
      </c>
      <c r="N105" s="281" t="s">
        <v>1328</v>
      </c>
    </row>
    <row r="106" spans="3:14" ht="15.75">
      <c r="C106" s="1317" t="s">
        <v>1329</v>
      </c>
      <c r="D106" s="1330">
        <f>IF(D19="Ponta",B19,0)</f>
        <v>0</v>
      </c>
      <c r="E106" s="18"/>
      <c r="F106" s="274"/>
      <c r="G106" s="1323">
        <f>G91</f>
        <v>44378</v>
      </c>
      <c r="H106" s="276">
        <f>SUMIFS($N$18:$N$60,$B$18:$B$60,$D$106,$D$18:$D$60,"Ponta")</f>
        <v>0</v>
      </c>
      <c r="I106" s="276">
        <f>SUMIFS($N$18:$N$60,$B$18:$B$60,$D$106,$D$18:$D$60,"Fora Ponta")</f>
        <v>0</v>
      </c>
      <c r="J106" s="276">
        <f>SUMIFS($E$18:$E$60,$B$18:$B$60,$D$106,$D$18:$D$60,"Ponta")</f>
        <v>0</v>
      </c>
      <c r="K106" s="276">
        <f>SUMIFS($E$18:$E$60,$B$18:$B$60,$D$106,$D$18:$D$60,"Fora Ponta")</f>
        <v>0</v>
      </c>
      <c r="L106" s="1324">
        <f>IF(MONTH(DataRevRea)=7,'Rede Básica + Ajuste'!J106,IF(G106&lt;$Q$69,(SUMIFS($E$18:$E$60,$B$18:$B$60,$D$106,$D$18:$D$60,"Ponta")),(SUMIFS($F$18:$F$60,$B$18:$B$60,$D$106,$D$18:$D$60,"Ponta"))))</f>
        <v>0</v>
      </c>
      <c r="M106" s="1324">
        <f>IF(MONTH(DataRevRea)=7,'Rede Básica + Ajuste'!K106,IF(G106&lt;$Q$69,(SUMIFS($E$18:$E$60,$B$18:$B$60,$D$106,$D$18:$D$60,"Fora Ponta")),(SUMIFS($F$18:$F$60,$B$18:$B$60,$D$106,$D$18:$D$60,"Fora Ponta"))))</f>
        <v>0</v>
      </c>
      <c r="N106" s="1325">
        <f>+(H106*(L106-J106))+(I106*(M106-K106))</f>
        <v>0</v>
      </c>
    </row>
    <row r="107" spans="3:14" ht="15.75">
      <c r="C107" s="274"/>
      <c r="D107" s="274"/>
      <c r="E107" s="274"/>
      <c r="F107" s="274"/>
      <c r="G107" s="275">
        <f t="shared" ref="G107:G117" si="17">G92</f>
        <v>44409</v>
      </c>
      <c r="H107" s="276">
        <f>SUMIFS($O$18:$O$60,$B$18:$B$60,$D$106,$D$18:$D$60,"Ponta")</f>
        <v>0</v>
      </c>
      <c r="I107" s="276">
        <f>SUMIFS($O$18:$O$60,$B$18:$B$60,$D$106,$D$18:$D$60,"Fora Ponta")</f>
        <v>0</v>
      </c>
      <c r="J107" s="276">
        <f t="shared" ref="J107:J117" si="18">SUMIFS($E$18:$E$60,$B$18:$B$60,$D$106,$D$18:$D$60,"Ponta")</f>
        <v>0</v>
      </c>
      <c r="K107" s="276">
        <f t="shared" ref="K107:K117" si="19">SUMIFS($E$18:$E$60,$B$18:$B$60,$D$106,$D$18:$D$60,"Fora Ponta")</f>
        <v>0</v>
      </c>
      <c r="L107" s="276">
        <f>IF(MONTH(DataRevRea)=7,'Rede Básica + Ajuste'!J107,IF(G107&lt;$Q$69,(SUMIFS($E$18:$E$60,$B$18:$B$60,$D$106,$D$18:$D$60,"Ponta")),(SUMIFS($F$18:$F$60,$B$18:$B$60,$D$106,$D$18:$D$60,"Ponta"))))</f>
        <v>0</v>
      </c>
      <c r="M107" s="276">
        <f>IF(MONTH(DataRevRea)=7,'Rede Básica + Ajuste'!K107,IF(G107&lt;$Q$69,(SUMIFS($E$18:$E$60,$B$18:$B$60,$D$106,$D$18:$D$60,"Fora Ponta")),(SUMIFS($F$18:$F$60,$B$18:$B$60,$D$106,$D$18:$D$60,"Fora Ponta"))))</f>
        <v>0</v>
      </c>
      <c r="N107" s="283">
        <f t="shared" ref="N107:N117" si="20">+(H107*(L107-J107))+(I107*(M107-K107))</f>
        <v>0</v>
      </c>
    </row>
    <row r="108" spans="3:14" ht="15.75">
      <c r="C108" s="277"/>
      <c r="D108" s="1326" t="s">
        <v>1330</v>
      </c>
      <c r="E108" s="1327" t="s">
        <v>1331</v>
      </c>
      <c r="F108" s="274"/>
      <c r="G108" s="275">
        <f t="shared" si="17"/>
        <v>44440</v>
      </c>
      <c r="H108" s="276">
        <f>SUMIFS($P$18:$P$60,$B$18:$B$60,$D$106,$D$18:$D$60,"Ponta")</f>
        <v>0</v>
      </c>
      <c r="I108" s="276">
        <f>SUMIFS($P$18:$P$60,$B$18:$B$60,$D$106,$D$18:$D$60,"Fora Ponta")</f>
        <v>0</v>
      </c>
      <c r="J108" s="276">
        <f t="shared" si="18"/>
        <v>0</v>
      </c>
      <c r="K108" s="276">
        <f t="shared" si="19"/>
        <v>0</v>
      </c>
      <c r="L108" s="276">
        <f>IF(MONTH(DataRevRea)=7,'Rede Básica + Ajuste'!J108,IF(G108&lt;$Q$69,(SUMIFS($E$18:$E$60,$B$18:$B$60,$D$106,$D$18:$D$60,"Ponta")),(SUMIFS($F$18:$F$60,$B$18:$B$60,$D$106,$D$18:$D$60,"Ponta"))))</f>
        <v>0</v>
      </c>
      <c r="M108" s="276">
        <f>IF(MONTH(DataRevRea)=7,'Rede Básica + Ajuste'!K108,IF(G108&lt;$Q$69,(SUMIFS($E$18:$E$60,$B$18:$B$60,$D$106,$D$18:$D$60,"Fora Ponta")),(SUMIFS($F$18:$F$60,$B$18:$B$60,$D$106,$D$18:$D$60,"Fora Ponta"))))</f>
        <v>0</v>
      </c>
      <c r="N108" s="283">
        <f t="shared" si="20"/>
        <v>0</v>
      </c>
    </row>
    <row r="109" spans="3:14" ht="15.75">
      <c r="C109" s="1328" t="str">
        <f>C94</f>
        <v>Cobertura 2021</v>
      </c>
      <c r="D109" s="1329">
        <f>SUMPRODUCT(H106:H117,J106:J117)</f>
        <v>0</v>
      </c>
      <c r="E109" s="1329">
        <f>SUMPRODUCT(I106:I117,K106:K117)</f>
        <v>0</v>
      </c>
      <c r="F109" s="274"/>
      <c r="G109" s="275">
        <f t="shared" si="17"/>
        <v>44470</v>
      </c>
      <c r="H109" s="276">
        <f>SUMIFS($Q$18:$Q$60,$B$18:$B$60,$D$106,$D$18:$D$60,"Ponta")</f>
        <v>0</v>
      </c>
      <c r="I109" s="276">
        <f>SUMIFS($Q$18:$Q$60,$B$18:$B$60,$D$106,$D$18:$D$60,"Fora Ponta")</f>
        <v>0</v>
      </c>
      <c r="J109" s="276">
        <f t="shared" si="18"/>
        <v>0</v>
      </c>
      <c r="K109" s="276">
        <f t="shared" si="19"/>
        <v>0</v>
      </c>
      <c r="L109" s="276">
        <f>IF(MONTH(DataRevRea)=7,'Rede Básica + Ajuste'!J109,IF(G109&lt;$Q$69,(SUMIFS($E$18:$E$60,$B$18:$B$60,$D$106,$D$18:$D$60,"Ponta")),(SUMIFS($F$18:$F$60,$B$18:$B$60,$D$106,$D$18:$D$60,"Ponta"))))</f>
        <v>0</v>
      </c>
      <c r="M109" s="276">
        <f>IF(MONTH(DataRevRea)=7,'Rede Básica + Ajuste'!K109,IF(G109&lt;$Q$69,(SUMIFS($E$18:$E$60,$B$18:$B$60,$D$106,$D$18:$D$60,"Fora Ponta")),(SUMIFS($F$18:$F$60,$B$18:$B$60,$D$106,$D$18:$D$60,"Fora Ponta"))))</f>
        <v>0</v>
      </c>
      <c r="N109" s="283">
        <f t="shared" si="20"/>
        <v>0</v>
      </c>
    </row>
    <row r="110" spans="3:14" ht="15.75">
      <c r="C110" s="1328" t="s">
        <v>1332</v>
      </c>
      <c r="D110" s="1329">
        <f>SUMPRODUCT(H106:H117,L106:L117)</f>
        <v>0</v>
      </c>
      <c r="E110" s="1329">
        <f>SUMPRODUCT(I106:I117,M106:M117)</f>
        <v>0</v>
      </c>
      <c r="F110" s="274"/>
      <c r="G110" s="275">
        <f t="shared" si="17"/>
        <v>44501</v>
      </c>
      <c r="H110" s="276">
        <f>SUMIFS($R$18:$R$60,$B$18:$B$60,$D$106,$D$18:$D$60,"Ponta")</f>
        <v>0</v>
      </c>
      <c r="I110" s="276">
        <f>SUMIFS($R$18:$R$60,$B$18:$B$60,$D$106,$D$18:$D$60,"Fora Ponta")</f>
        <v>0</v>
      </c>
      <c r="J110" s="276">
        <f t="shared" si="18"/>
        <v>0</v>
      </c>
      <c r="K110" s="276">
        <f t="shared" si="19"/>
        <v>0</v>
      </c>
      <c r="L110" s="276">
        <f>IF(MONTH(DataRevRea)=7,'Rede Básica + Ajuste'!J110,IF(G110&lt;$Q$69,(SUMIFS($E$18:$E$60,$B$18:$B$60,$D$106,$D$18:$D$60,"Ponta")),(SUMIFS($F$18:$F$60,$B$18:$B$60,$D$106,$D$18:$D$60,"Ponta"))))</f>
        <v>0</v>
      </c>
      <c r="M110" s="276">
        <f>IF(MONTH(DataRevRea)=7,'Rede Básica + Ajuste'!K110,IF(G110&lt;$Q$69,(SUMIFS($E$18:$E$60,$B$18:$B$60,$D$106,$D$18:$D$60,"Fora Ponta")),(SUMIFS($F$18:$F$60,$B$18:$B$60,$D$106,$D$18:$D$60,"Fora Ponta"))))</f>
        <v>0</v>
      </c>
      <c r="N110" s="283">
        <f t="shared" si="20"/>
        <v>0</v>
      </c>
    </row>
    <row r="111" spans="3:14" ht="15.75">
      <c r="C111" s="274"/>
      <c r="D111" s="274"/>
      <c r="E111" s="274"/>
      <c r="F111" s="274"/>
      <c r="G111" s="275">
        <f t="shared" si="17"/>
        <v>44531</v>
      </c>
      <c r="H111" s="276">
        <f>SUMIFS($S$18:$S$60,$B$18:$B$60,$D$106,$D$18:$D$60,"Ponta")</f>
        <v>0</v>
      </c>
      <c r="I111" s="276">
        <f>SUMIFS($S$18:$S$60,$B$18:$B$60,$D$106,$D$18:$D$60,"Fora Ponta")</f>
        <v>0</v>
      </c>
      <c r="J111" s="276">
        <f t="shared" si="18"/>
        <v>0</v>
      </c>
      <c r="K111" s="276">
        <f t="shared" si="19"/>
        <v>0</v>
      </c>
      <c r="L111" s="276">
        <f>IF(MONTH(DataRevRea)=7,'Rede Básica + Ajuste'!J111,IF(G111&lt;$Q$69,(SUMIFS($E$18:$E$60,$B$18:$B$60,$D$106,$D$18:$D$60,"Ponta")),(SUMIFS($F$18:$F$60,$B$18:$B$60,$D$106,$D$18:$D$60,"Ponta"))))</f>
        <v>0</v>
      </c>
      <c r="M111" s="276">
        <f>IF(MONTH(DataRevRea)=7,'Rede Básica + Ajuste'!K111,IF(G111&lt;$Q$69,(SUMIFS($E$18:$E$60,$B$18:$B$60,$D$106,$D$18:$D$60,"Fora Ponta")),(SUMIFS($F$18:$F$60,$B$18:$B$60,$D$106,$D$18:$D$60,"Fora Ponta"))))</f>
        <v>0</v>
      </c>
      <c r="N111" s="283">
        <f t="shared" si="20"/>
        <v>0</v>
      </c>
    </row>
    <row r="112" spans="3:14" ht="15.75">
      <c r="C112" s="286"/>
      <c r="D112" s="286"/>
      <c r="E112" s="286"/>
      <c r="F112" s="274"/>
      <c r="G112" s="275">
        <f t="shared" si="17"/>
        <v>44562</v>
      </c>
      <c r="H112" s="276">
        <f>SUMIFS($T$18:$T$60,$B$18:$B$60,$D$106,$D$18:$D$60,"Ponta")</f>
        <v>0</v>
      </c>
      <c r="I112" s="276">
        <f>SUMIFS($T$18:$T$60,$B$18:$B$60,$D$106,$D$18:$D$60,"Fora Ponta")</f>
        <v>0</v>
      </c>
      <c r="J112" s="276">
        <f t="shared" si="18"/>
        <v>0</v>
      </c>
      <c r="K112" s="276">
        <f t="shared" si="19"/>
        <v>0</v>
      </c>
      <c r="L112" s="276">
        <f>IF(MONTH(DataRevRea)=7,'Rede Básica + Ajuste'!J112,IF(G112&lt;$Q$69,(SUMIFS($E$18:$E$60,$B$18:$B$60,$D$106,$D$18:$D$60,"Ponta")),(SUMIFS($F$18:$F$60,$B$18:$B$60,$D$106,$D$18:$D$60,"Ponta"))))</f>
        <v>0</v>
      </c>
      <c r="M112" s="276">
        <f>IF(MONTH(DataRevRea)=7,'Rede Básica + Ajuste'!K112,IF(G112&lt;$Q$69,(SUMIFS($E$18:$E$60,$B$18:$B$60,$D$106,$D$18:$D$60,"Fora Ponta")),(SUMIFS($F$18:$F$60,$B$18:$B$60,$D$106,$D$18:$D$60,"Fora Ponta"))))</f>
        <v>0</v>
      </c>
      <c r="N112" s="283">
        <f t="shared" si="20"/>
        <v>0</v>
      </c>
    </row>
    <row r="113" spans="3:14" ht="15.75">
      <c r="C113" s="278"/>
      <c r="D113" s="278"/>
      <c r="E113" s="287"/>
      <c r="F113" s="274"/>
      <c r="G113" s="275">
        <f t="shared" si="17"/>
        <v>44593</v>
      </c>
      <c r="H113" s="276">
        <f>SUMIFS($U$18:$U$60,$B$18:$B$60,$D$106,$D$18:$D$60,"Ponta")</f>
        <v>0</v>
      </c>
      <c r="I113" s="276">
        <f>SUMIFS($U$18:$U$60,$B$18:$B$60,$D$106,$D$18:$D$60,"Fora Ponta")</f>
        <v>0</v>
      </c>
      <c r="J113" s="276">
        <f t="shared" si="18"/>
        <v>0</v>
      </c>
      <c r="K113" s="276">
        <f t="shared" si="19"/>
        <v>0</v>
      </c>
      <c r="L113" s="276">
        <f>IF(MONTH(DataRevRea)=7,'Rede Básica + Ajuste'!J113,IF(G113&lt;$Q$69,(SUMIFS($E$18:$E$60,$B$18:$B$60,$D$106,$D$18:$D$60,"Ponta")),(SUMIFS($F$18:$F$60,$B$18:$B$60,$D$106,$D$18:$D$60,"Ponta"))))</f>
        <v>0</v>
      </c>
      <c r="M113" s="276">
        <f>IF(MONTH(DataRevRea)=7,'Rede Básica + Ajuste'!K113,IF(G113&lt;$Q$69,(SUMIFS($E$18:$E$60,$B$18:$B$60,$D$106,$D$18:$D$60,"Fora Ponta")),(SUMIFS($F$18:$F$60,$B$18:$B$60,$D$106,$D$18:$D$60,"Fora Ponta"))))</f>
        <v>0</v>
      </c>
      <c r="N113" s="283">
        <f t="shared" si="20"/>
        <v>0</v>
      </c>
    </row>
    <row r="114" spans="3:14" ht="15.75">
      <c r="C114" s="288"/>
      <c r="D114" s="278"/>
      <c r="E114" s="287"/>
      <c r="F114" s="274"/>
      <c r="G114" s="275">
        <f t="shared" si="17"/>
        <v>44621</v>
      </c>
      <c r="H114" s="276">
        <f>SUMIFS($V$18:$V$60,$B$18:$B$60,$D$106,$D$18:$D$60,"Ponta")</f>
        <v>0</v>
      </c>
      <c r="I114" s="276">
        <f>SUMIFS($V$18:$V$60,$B$18:$B$60,$D$106,$D$18:$D$60,"Fora Ponta")</f>
        <v>0</v>
      </c>
      <c r="J114" s="276">
        <f t="shared" si="18"/>
        <v>0</v>
      </c>
      <c r="K114" s="276">
        <f t="shared" si="19"/>
        <v>0</v>
      </c>
      <c r="L114" s="276">
        <f>IF(MONTH(DataRevRea)=7,'Rede Básica + Ajuste'!J114,IF(G114&lt;$Q$69,(SUMIFS($E$18:$E$60,$B$18:$B$60,$D$106,$D$18:$D$60,"Ponta")),(SUMIFS($F$18:$F$60,$B$18:$B$60,$D$106,$D$18:$D$60,"Ponta"))))</f>
        <v>0</v>
      </c>
      <c r="M114" s="276">
        <f>IF(MONTH(DataRevRea)=7,'Rede Básica + Ajuste'!K114,IF(G114&lt;$Q$69,(SUMIFS($E$18:$E$60,$B$18:$B$60,$D$106,$D$18:$D$60,"Fora Ponta")),(SUMIFS($F$18:$F$60,$B$18:$B$60,$D$106,$D$18:$D$60,"Fora Ponta"))))</f>
        <v>0</v>
      </c>
      <c r="N114" s="283">
        <f t="shared" si="20"/>
        <v>0</v>
      </c>
    </row>
    <row r="115" spans="3:14" ht="15.75">
      <c r="C115" s="274"/>
      <c r="D115" s="274"/>
      <c r="E115" s="274"/>
      <c r="F115" s="274"/>
      <c r="G115" s="275">
        <f t="shared" si="17"/>
        <v>44652</v>
      </c>
      <c r="H115" s="276">
        <f>SUMIFS($W$18:$W$60,$B$18:$B$60,$D$106,$D$18:$D$60,"Ponta")</f>
        <v>0</v>
      </c>
      <c r="I115" s="276">
        <f>SUMIFS($W$18:$W$60,$B$18:$B$60,$D$106,$D$18:$D$60,"Fora Ponta")</f>
        <v>0</v>
      </c>
      <c r="J115" s="276">
        <f t="shared" si="18"/>
        <v>0</v>
      </c>
      <c r="K115" s="276">
        <f t="shared" si="19"/>
        <v>0</v>
      </c>
      <c r="L115" s="276">
        <f>IF(MONTH(DataRevRea)=7,'Rede Básica + Ajuste'!J115,IF(G115&lt;$Q$69,(SUMIFS($E$18:$E$60,$B$18:$B$60,$D$106,$D$18:$D$60,"Ponta")),(SUMIFS($F$18:$F$60,$B$18:$B$60,$D$106,$D$18:$D$60,"Ponta"))))</f>
        <v>0</v>
      </c>
      <c r="M115" s="276">
        <f>IF(MONTH(DataRevRea)=7,'Rede Básica + Ajuste'!K115,IF(G115&lt;$Q$69,(SUMIFS($E$18:$E$60,$B$18:$B$60,$D$106,$D$18:$D$60,"Fora Ponta")),(SUMIFS($F$18:$F$60,$B$18:$B$60,$D$106,$D$18:$D$60,"Fora Ponta"))))</f>
        <v>0</v>
      </c>
      <c r="N115" s="283">
        <f t="shared" si="20"/>
        <v>0</v>
      </c>
    </row>
    <row r="116" spans="3:14" ht="15.75">
      <c r="C116" s="280"/>
      <c r="D116" s="280"/>
      <c r="E116" s="280"/>
      <c r="F116" s="274"/>
      <c r="G116" s="275">
        <f t="shared" si="17"/>
        <v>44682</v>
      </c>
      <c r="H116" s="276">
        <f>SUMIFS($X$18:$X$60,$B$18:$B$60,$D$106,$D$18:$D$60,"Ponta")</f>
        <v>0</v>
      </c>
      <c r="I116" s="276">
        <f>SUMIFS($X$18:$X$60,$B$18:$B$60,$D$106,$D$18:$D$60,"Fora Ponta")</f>
        <v>0</v>
      </c>
      <c r="J116" s="276">
        <f t="shared" si="18"/>
        <v>0</v>
      </c>
      <c r="K116" s="276">
        <f t="shared" si="19"/>
        <v>0</v>
      </c>
      <c r="L116" s="276">
        <f>IF(MONTH(DataRevRea)=7,'Rede Básica + Ajuste'!J116,IF(G116&lt;$Q$69,(SUMIFS($E$18:$E$60,$B$18:$B$60,$D$106,$D$18:$D$60,"Ponta")),(SUMIFS($F$18:$F$60,$B$18:$B$60,$D$106,$D$18:$D$60,"Ponta"))))</f>
        <v>0</v>
      </c>
      <c r="M116" s="276">
        <f>IF(MONTH(DataRevRea)=7,'Rede Básica + Ajuste'!K116,IF(G116&lt;$Q$69,(SUMIFS($E$18:$E$60,$B$18:$B$60,$D$106,$D$18:$D$60,"Fora Ponta")),(SUMIFS($F$18:$F$60,$B$18:$B$60,$D$106,$D$18:$D$60,"Fora Ponta"))))</f>
        <v>0</v>
      </c>
      <c r="N116" s="283">
        <f t="shared" si="20"/>
        <v>0</v>
      </c>
    </row>
    <row r="117" spans="3:14" ht="15.75">
      <c r="C117" s="278"/>
      <c r="D117" s="279"/>
      <c r="E117" s="278"/>
      <c r="F117" s="274"/>
      <c r="G117" s="1660">
        <f t="shared" si="17"/>
        <v>44713</v>
      </c>
      <c r="H117" s="1661">
        <f>SUMIFS($Y$18:$Y$60,$B$18:$B$60,$D$106,$D$18:$D$60,"Ponta")</f>
        <v>0</v>
      </c>
      <c r="I117" s="1661">
        <f>SUMIFS($Y$18:$Y$60,$B$18:$B$60,$D$106,$D$18:$D$60,"Fora Ponta")</f>
        <v>0</v>
      </c>
      <c r="J117" s="1661">
        <f t="shared" si="18"/>
        <v>0</v>
      </c>
      <c r="K117" s="1661">
        <f t="shared" si="19"/>
        <v>0</v>
      </c>
      <c r="L117" s="1661">
        <f>IF(MONTH(DataRevRea)=7,'Rede Básica + Ajuste'!J117,IF(G117&lt;$Q$69,(SUMIFS($E$18:$E$60,$B$18:$B$60,$D$106,$D$18:$D$60,"Ponta")),(SUMIFS($F$18:$F$60,$B$18:$B$60,$D$106,$D$18:$D$60,"Ponta"))))</f>
        <v>0</v>
      </c>
      <c r="M117" s="1661">
        <f>IF(MONTH(DataRevRea)=7,'Rede Básica + Ajuste'!K117,IF(G117&lt;$Q$69,(SUMIFS($E$18:$E$60,$B$18:$B$60,$D$106,$D$18:$D$60,"Fora Ponta")),(SUMIFS($F$18:$F$60,$B$18:$B$60,$D$106,$D$18:$D$60,"Fora Ponta"))))</f>
        <v>0</v>
      </c>
      <c r="N117" s="1662">
        <f t="shared" si="20"/>
        <v>0</v>
      </c>
    </row>
    <row r="118" spans="3:14">
      <c r="G118" s="150"/>
    </row>
    <row r="119" spans="3:14" ht="15.75">
      <c r="C119" s="274"/>
      <c r="D119" s="274"/>
      <c r="E119" s="274"/>
      <c r="F119" s="274"/>
      <c r="G119" s="274"/>
      <c r="H119" s="274"/>
      <c r="I119" s="274"/>
      <c r="J119" s="1756" t="s">
        <v>1322</v>
      </c>
      <c r="K119" s="1757"/>
      <c r="L119" s="1755" t="s">
        <v>1323</v>
      </c>
      <c r="M119" s="1755"/>
      <c r="N119" s="282"/>
    </row>
    <row r="120" spans="3:14" ht="15.75">
      <c r="C120" s="1758" t="s">
        <v>1333</v>
      </c>
      <c r="D120" s="1759"/>
      <c r="F120" s="274"/>
      <c r="G120" s="1320" t="s">
        <v>772</v>
      </c>
      <c r="H120" s="1321" t="s">
        <v>1324</v>
      </c>
      <c r="I120" s="1321" t="s">
        <v>1325</v>
      </c>
      <c r="J120" s="1659" t="s">
        <v>1326</v>
      </c>
      <c r="K120" s="1659" t="s">
        <v>1327</v>
      </c>
      <c r="L120" s="1659" t="s">
        <v>1326</v>
      </c>
      <c r="M120" s="1659" t="s">
        <v>1327</v>
      </c>
      <c r="N120" s="281" t="s">
        <v>1328</v>
      </c>
    </row>
    <row r="121" spans="3:14" ht="15.75">
      <c r="C121" s="1317" t="s">
        <v>1329</v>
      </c>
      <c r="D121" s="1330">
        <f>IF(D19="Ponta",B19,0)</f>
        <v>0</v>
      </c>
      <c r="E121" s="18"/>
      <c r="F121" s="274"/>
      <c r="G121" s="1323">
        <f>G106</f>
        <v>44378</v>
      </c>
      <c r="H121" s="276">
        <f>H106</f>
        <v>0</v>
      </c>
      <c r="I121" s="276">
        <f>I106</f>
        <v>0</v>
      </c>
      <c r="J121" s="276">
        <f>SUMIFS($G$18:$G$60,$B$18:$B$60,$D$121,$D$18:$D$60,"Ponta")</f>
        <v>0</v>
      </c>
      <c r="K121" s="276">
        <f>SUMIFS($G$18:$G$60,$B$18:$B$60,$D$121,$D$18:$D$60,"Fora Ponta")</f>
        <v>0</v>
      </c>
      <c r="L121" s="1324">
        <f>IF(MONTH(DataRevRea)=7,'Rede Básica + Ajuste'!J121,IF(G121&lt;$Q$69,(SUMIFS($G$18:$G$60,$B$18:$B$60,$D$121,$D$18:$D$60,"Ponta")),(SUMIFS($H$18:$H$60,$B$18:$B$60,$D$121,$D$18:$D$60,"Ponta"))))</f>
        <v>0</v>
      </c>
      <c r="M121" s="1324">
        <f>IF(MONTH(DataRevRea)=7,'Rede Básica + Ajuste'!K121,IF(G121&lt;$Q$69,(SUMIFS($G$18:$G$60,$B$18:$B$60,$D$121,$D$18:$D$60,"Fora Ponta")),(SUMIFS($H$18:$H$60,$B$18:$B$60,$D$121,$D$18:$D$60,"Fora Ponta"))))</f>
        <v>0</v>
      </c>
      <c r="N121" s="1325">
        <f>+(H121*(L121-J121))+(I121*(M121-K121))</f>
        <v>0</v>
      </c>
    </row>
    <row r="122" spans="3:14" ht="15.75">
      <c r="C122" s="274"/>
      <c r="D122" s="274"/>
      <c r="E122" s="274"/>
      <c r="F122" s="274"/>
      <c r="G122" s="275">
        <f t="shared" ref="G122:I132" si="21">G107</f>
        <v>44409</v>
      </c>
      <c r="H122" s="276">
        <f t="shared" si="21"/>
        <v>0</v>
      </c>
      <c r="I122" s="276">
        <f t="shared" si="21"/>
        <v>0</v>
      </c>
      <c r="J122" s="276">
        <f t="shared" ref="J122:J132" si="22">SUMIFS($G$18:$G$60,$B$18:$B$60,$D$121,$D$18:$D$60,"Ponta")</f>
        <v>0</v>
      </c>
      <c r="K122" s="276">
        <f t="shared" ref="K122:K132" si="23">SUMIFS($G$18:$G$60,$B$18:$B$60,$D$121,$D$18:$D$60,"Fora Ponta")</f>
        <v>0</v>
      </c>
      <c r="L122" s="276">
        <f>IF(MONTH(DataRevRea)=7,'Rede Básica + Ajuste'!J122,IF(G122&lt;$Q$69,(SUMIFS($G$18:$G$60,$B$18:$B$60,$D$121,$D$18:$D$60,"Ponta")),(SUMIFS($H$18:$H$60,$B$18:$B$60,$D$121,$D$18:$D$60,"Ponta"))))</f>
        <v>0</v>
      </c>
      <c r="M122" s="276">
        <f>IF(MONTH(DataRevRea)=7,'Rede Básica + Ajuste'!K122,IF(G122&lt;$Q$69,(SUMIFS($G$18:$G$60,$B$18:$B$60,$D$121,$D$18:$D$60,"Fora Ponta")),(SUMIFS($H$18:$H$60,$B$18:$B$60,$D$121,$D$18:$D$60,"Fora Ponta"))))</f>
        <v>0</v>
      </c>
      <c r="N122" s="283">
        <f t="shared" ref="N122:N132" si="24">+(H122*(L122-J122))+(I122*(M122-K122))</f>
        <v>0</v>
      </c>
    </row>
    <row r="123" spans="3:14" ht="15.75">
      <c r="C123" s="277"/>
      <c r="D123" s="1326" t="s">
        <v>1330</v>
      </c>
      <c r="E123" s="1327" t="s">
        <v>1331</v>
      </c>
      <c r="F123" s="274"/>
      <c r="G123" s="275">
        <f t="shared" si="21"/>
        <v>44440</v>
      </c>
      <c r="H123" s="276">
        <f t="shared" si="21"/>
        <v>0</v>
      </c>
      <c r="I123" s="276">
        <f t="shared" si="21"/>
        <v>0</v>
      </c>
      <c r="J123" s="276">
        <f t="shared" si="22"/>
        <v>0</v>
      </c>
      <c r="K123" s="276">
        <f t="shared" si="23"/>
        <v>0</v>
      </c>
      <c r="L123" s="276">
        <f>IF(MONTH(DataRevRea)=7,'Rede Básica + Ajuste'!J123,IF(G123&lt;$Q$69,(SUMIFS($G$18:$G$60,$B$18:$B$60,$D$121,$D$18:$D$60,"Ponta")),(SUMIFS($H$18:$H$60,$B$18:$B$60,$D$121,$D$18:$D$60,"Ponta"))))</f>
        <v>0</v>
      </c>
      <c r="M123" s="276">
        <f>IF(MONTH(DataRevRea)=7,'Rede Básica + Ajuste'!K123,IF(G123&lt;$Q$69,(SUMIFS($G$18:$G$60,$B$18:$B$60,$D$121,$D$18:$D$60,"Fora Ponta")),(SUMIFS($H$18:$H$60,$B$18:$B$60,$D$121,$D$18:$D$60,"Fora Ponta"))))</f>
        <v>0</v>
      </c>
      <c r="N123" s="283">
        <f t="shared" si="24"/>
        <v>0</v>
      </c>
    </row>
    <row r="124" spans="3:14" ht="15.75">
      <c r="C124" s="1328" t="str">
        <f>C109</f>
        <v>Cobertura 2021</v>
      </c>
      <c r="D124" s="1329">
        <f>SUMPRODUCT(H121:H132,J121:J132)</f>
        <v>0</v>
      </c>
      <c r="E124" s="1329">
        <f>SUMPRODUCT(I121:I132,K121:K132)</f>
        <v>0</v>
      </c>
      <c r="F124" s="274"/>
      <c r="G124" s="275">
        <f t="shared" si="21"/>
        <v>44470</v>
      </c>
      <c r="H124" s="276">
        <f t="shared" si="21"/>
        <v>0</v>
      </c>
      <c r="I124" s="276">
        <f t="shared" si="21"/>
        <v>0</v>
      </c>
      <c r="J124" s="276">
        <f t="shared" si="22"/>
        <v>0</v>
      </c>
      <c r="K124" s="276">
        <f t="shared" si="23"/>
        <v>0</v>
      </c>
      <c r="L124" s="276">
        <f>IF(MONTH(DataRevRea)=7,'Rede Básica + Ajuste'!J124,IF(G124&lt;$Q$69,(SUMIFS($G$18:$G$60,$B$18:$B$60,$D$121,$D$18:$D$60,"Ponta")),(SUMIFS($H$18:$H$60,$B$18:$B$60,$D$121,$D$18:$D$60,"Ponta"))))</f>
        <v>0</v>
      </c>
      <c r="M124" s="276">
        <f>IF(MONTH(DataRevRea)=7,'Rede Básica + Ajuste'!K124,IF(G124&lt;$Q$69,(SUMIFS($G$18:$G$60,$B$18:$B$60,$D$121,$D$18:$D$60,"Fora Ponta")),(SUMIFS($H$18:$H$60,$B$18:$B$60,$D$121,$D$18:$D$60,"Fora Ponta"))))</f>
        <v>0</v>
      </c>
      <c r="N124" s="283">
        <f t="shared" si="24"/>
        <v>0</v>
      </c>
    </row>
    <row r="125" spans="3:14" ht="15.75">
      <c r="C125" s="1328" t="s">
        <v>1332</v>
      </c>
      <c r="D125" s="1329">
        <f>SUMPRODUCT(H121:H132,L121:L132)</f>
        <v>0</v>
      </c>
      <c r="E125" s="1329">
        <f>SUMPRODUCT(I121:I132,M121:M132)</f>
        <v>0</v>
      </c>
      <c r="F125" s="274"/>
      <c r="G125" s="275">
        <f t="shared" si="21"/>
        <v>44501</v>
      </c>
      <c r="H125" s="276">
        <f t="shared" si="21"/>
        <v>0</v>
      </c>
      <c r="I125" s="276">
        <f t="shared" si="21"/>
        <v>0</v>
      </c>
      <c r="J125" s="276">
        <f t="shared" si="22"/>
        <v>0</v>
      </c>
      <c r="K125" s="276">
        <f t="shared" si="23"/>
        <v>0</v>
      </c>
      <c r="L125" s="276">
        <f>IF(MONTH(DataRevRea)=7,'Rede Básica + Ajuste'!J125,IF(G125&lt;$Q$69,(SUMIFS($G$18:$G$60,$B$18:$B$60,$D$121,$D$18:$D$60,"Ponta")),(SUMIFS($H$18:$H$60,$B$18:$B$60,$D$121,$D$18:$D$60,"Ponta"))))</f>
        <v>0</v>
      </c>
      <c r="M125" s="276">
        <f>IF(MONTH(DataRevRea)=7,'Rede Básica + Ajuste'!K125,IF(G125&lt;$Q$69,(SUMIFS($G$18:$G$60,$B$18:$B$60,$D$121,$D$18:$D$60,"Fora Ponta")),(SUMIFS($H$18:$H$60,$B$18:$B$60,$D$121,$D$18:$D$60,"Fora Ponta"))))</f>
        <v>0</v>
      </c>
      <c r="N125" s="283">
        <f t="shared" si="24"/>
        <v>0</v>
      </c>
    </row>
    <row r="126" spans="3:14" ht="15.75">
      <c r="C126" s="274"/>
      <c r="D126" s="274"/>
      <c r="E126" s="274"/>
      <c r="F126" s="274"/>
      <c r="G126" s="275">
        <f t="shared" si="21"/>
        <v>44531</v>
      </c>
      <c r="H126" s="276">
        <f t="shared" si="21"/>
        <v>0</v>
      </c>
      <c r="I126" s="276">
        <f t="shared" si="21"/>
        <v>0</v>
      </c>
      <c r="J126" s="276">
        <f t="shared" si="22"/>
        <v>0</v>
      </c>
      <c r="K126" s="276">
        <f t="shared" si="23"/>
        <v>0</v>
      </c>
      <c r="L126" s="276">
        <f>IF(MONTH(DataRevRea)=7,'Rede Básica + Ajuste'!J126,IF(G126&lt;$Q$69,(SUMIFS($G$18:$G$60,$B$18:$B$60,$D$121,$D$18:$D$60,"Ponta")),(SUMIFS($H$18:$H$60,$B$18:$B$60,$D$121,$D$18:$D$60,"Ponta"))))</f>
        <v>0</v>
      </c>
      <c r="M126" s="276">
        <f>IF(MONTH(DataRevRea)=7,'Rede Básica + Ajuste'!K126,IF(G126&lt;$Q$69,(SUMIFS($G$18:$G$60,$B$18:$B$60,$D$121,$D$18:$D$60,"Fora Ponta")),(SUMIFS($H$18:$H$60,$B$18:$B$60,$D$121,$D$18:$D$60,"Fora Ponta"))))</f>
        <v>0</v>
      </c>
      <c r="N126" s="283">
        <f t="shared" si="24"/>
        <v>0</v>
      </c>
    </row>
    <row r="127" spans="3:14" ht="15.75">
      <c r="C127" s="286"/>
      <c r="D127" s="286"/>
      <c r="E127" s="286"/>
      <c r="F127" s="274"/>
      <c r="G127" s="275">
        <f t="shared" si="21"/>
        <v>44562</v>
      </c>
      <c r="H127" s="276">
        <f t="shared" si="21"/>
        <v>0</v>
      </c>
      <c r="I127" s="276">
        <f t="shared" si="21"/>
        <v>0</v>
      </c>
      <c r="J127" s="276">
        <f t="shared" si="22"/>
        <v>0</v>
      </c>
      <c r="K127" s="276">
        <f t="shared" si="23"/>
        <v>0</v>
      </c>
      <c r="L127" s="276">
        <f>IF(MONTH(DataRevRea)=7,'Rede Básica + Ajuste'!J127,IF(G127&lt;$Q$69,(SUMIFS($G$18:$G$60,$B$18:$B$60,$D$121,$D$18:$D$60,"Ponta")),(SUMIFS($H$18:$H$60,$B$18:$B$60,$D$121,$D$18:$D$60,"Ponta"))))</f>
        <v>0</v>
      </c>
      <c r="M127" s="276">
        <f>IF(MONTH(DataRevRea)=7,'Rede Básica + Ajuste'!K127,IF(G127&lt;$Q$69,(SUMIFS($G$18:$G$60,$B$18:$B$60,$D$121,$D$18:$D$60,"Fora Ponta")),(SUMIFS($H$18:$H$60,$B$18:$B$60,$D$121,$D$18:$D$60,"Fora Ponta"))))</f>
        <v>0</v>
      </c>
      <c r="N127" s="283">
        <f t="shared" si="24"/>
        <v>0</v>
      </c>
    </row>
    <row r="128" spans="3:14" ht="15.75">
      <c r="C128" s="278"/>
      <c r="D128" s="278"/>
      <c r="E128" s="287"/>
      <c r="F128" s="274"/>
      <c r="G128" s="275">
        <f t="shared" si="21"/>
        <v>44593</v>
      </c>
      <c r="H128" s="276">
        <f t="shared" si="21"/>
        <v>0</v>
      </c>
      <c r="I128" s="276">
        <f t="shared" si="21"/>
        <v>0</v>
      </c>
      <c r="J128" s="276">
        <f t="shared" si="22"/>
        <v>0</v>
      </c>
      <c r="K128" s="276">
        <f t="shared" si="23"/>
        <v>0</v>
      </c>
      <c r="L128" s="276">
        <f>IF(MONTH(DataRevRea)=7,'Rede Básica + Ajuste'!J128,IF(G128&lt;$Q$69,(SUMIFS($G$18:$G$60,$B$18:$B$60,$D$121,$D$18:$D$60,"Ponta")),(SUMIFS($H$18:$H$60,$B$18:$B$60,$D$121,$D$18:$D$60,"Ponta"))))</f>
        <v>0</v>
      </c>
      <c r="M128" s="276">
        <f>IF(MONTH(DataRevRea)=7,'Rede Básica + Ajuste'!K128,IF(G128&lt;$Q$69,(SUMIFS($G$18:$G$60,$B$18:$B$60,$D$121,$D$18:$D$60,"Fora Ponta")),(SUMIFS($H$18:$H$60,$B$18:$B$60,$D$121,$D$18:$D$60,"Fora Ponta"))))</f>
        <v>0</v>
      </c>
      <c r="N128" s="283">
        <f t="shared" si="24"/>
        <v>0</v>
      </c>
    </row>
    <row r="129" spans="3:14" ht="15.75">
      <c r="C129" s="288"/>
      <c r="D129" s="278"/>
      <c r="E129" s="287"/>
      <c r="F129" s="274"/>
      <c r="G129" s="275">
        <f t="shared" si="21"/>
        <v>44621</v>
      </c>
      <c r="H129" s="276">
        <f t="shared" si="21"/>
        <v>0</v>
      </c>
      <c r="I129" s="276">
        <f t="shared" si="21"/>
        <v>0</v>
      </c>
      <c r="J129" s="276">
        <f t="shared" si="22"/>
        <v>0</v>
      </c>
      <c r="K129" s="276">
        <f t="shared" si="23"/>
        <v>0</v>
      </c>
      <c r="L129" s="276">
        <f>IF(MONTH(DataRevRea)=7,'Rede Básica + Ajuste'!J129,IF(G129&lt;$Q$69,(SUMIFS($G$18:$G$60,$B$18:$B$60,$D$121,$D$18:$D$60,"Ponta")),(SUMIFS($H$18:$H$60,$B$18:$B$60,$D$121,$D$18:$D$60,"Ponta"))))</f>
        <v>0</v>
      </c>
      <c r="M129" s="276">
        <f>IF(MONTH(DataRevRea)=7,'Rede Básica + Ajuste'!K129,IF(G129&lt;$Q$69,(SUMIFS($G$18:$G$60,$B$18:$B$60,$D$121,$D$18:$D$60,"Fora Ponta")),(SUMIFS($H$18:$H$60,$B$18:$B$60,$D$121,$D$18:$D$60,"Fora Ponta"))))</f>
        <v>0</v>
      </c>
      <c r="N129" s="283">
        <f t="shared" si="24"/>
        <v>0</v>
      </c>
    </row>
    <row r="130" spans="3:14" ht="15.75">
      <c r="C130" s="274"/>
      <c r="D130" s="274"/>
      <c r="E130" s="274"/>
      <c r="F130" s="274"/>
      <c r="G130" s="275">
        <f t="shared" si="21"/>
        <v>44652</v>
      </c>
      <c r="H130" s="276">
        <f t="shared" si="21"/>
        <v>0</v>
      </c>
      <c r="I130" s="276">
        <f t="shared" si="21"/>
        <v>0</v>
      </c>
      <c r="J130" s="276">
        <f t="shared" si="22"/>
        <v>0</v>
      </c>
      <c r="K130" s="276">
        <f t="shared" si="23"/>
        <v>0</v>
      </c>
      <c r="L130" s="276">
        <f>IF(MONTH(DataRevRea)=7,'Rede Básica + Ajuste'!J130,IF(G130&lt;$Q$69,(SUMIFS($G$18:$G$60,$B$18:$B$60,$D$121,$D$18:$D$60,"Ponta")),(SUMIFS($H$18:$H$60,$B$18:$B$60,$D$121,$D$18:$D$60,"Ponta"))))</f>
        <v>0</v>
      </c>
      <c r="M130" s="276">
        <f>IF(MONTH(DataRevRea)=7,'Rede Básica + Ajuste'!K130,IF(G130&lt;$Q$69,(SUMIFS($G$18:$G$60,$B$18:$B$60,$D$121,$D$18:$D$60,"Fora Ponta")),(SUMIFS($H$18:$H$60,$B$18:$B$60,$D$121,$D$18:$D$60,"Fora Ponta"))))</f>
        <v>0</v>
      </c>
      <c r="N130" s="283">
        <f t="shared" si="24"/>
        <v>0</v>
      </c>
    </row>
    <row r="131" spans="3:14" ht="15.75">
      <c r="C131" s="280"/>
      <c r="D131" s="280"/>
      <c r="E131" s="280"/>
      <c r="F131" s="274"/>
      <c r="G131" s="275">
        <f t="shared" si="21"/>
        <v>44682</v>
      </c>
      <c r="H131" s="276">
        <f t="shared" si="21"/>
        <v>0</v>
      </c>
      <c r="I131" s="276">
        <f t="shared" si="21"/>
        <v>0</v>
      </c>
      <c r="J131" s="276">
        <f t="shared" si="22"/>
        <v>0</v>
      </c>
      <c r="K131" s="276">
        <f t="shared" si="23"/>
        <v>0</v>
      </c>
      <c r="L131" s="276">
        <f>IF(MONTH(DataRevRea)=7,'Rede Básica + Ajuste'!J131,IF(G131&lt;$Q$69,(SUMIFS($G$18:$G$60,$B$18:$B$60,$D$121,$D$18:$D$60,"Ponta")),(SUMIFS($H$18:$H$60,$B$18:$B$60,$D$121,$D$18:$D$60,"Ponta"))))</f>
        <v>0</v>
      </c>
      <c r="M131" s="276">
        <f>IF(MONTH(DataRevRea)=7,'Rede Básica + Ajuste'!K131,IF(G131&lt;$Q$69,(SUMIFS($G$18:$G$60,$B$18:$B$60,$D$121,$D$18:$D$60,"Fora Ponta")),(SUMIFS($H$18:$H$60,$B$18:$B$60,$D$121,$D$18:$D$60,"Fora Ponta"))))</f>
        <v>0</v>
      </c>
      <c r="N131" s="283">
        <f t="shared" si="24"/>
        <v>0</v>
      </c>
    </row>
    <row r="132" spans="3:14" ht="15.75">
      <c r="C132" s="278"/>
      <c r="D132" s="279"/>
      <c r="E132" s="278"/>
      <c r="F132" s="274"/>
      <c r="G132" s="1660">
        <f t="shared" si="21"/>
        <v>44713</v>
      </c>
      <c r="H132" s="1661">
        <f t="shared" si="21"/>
        <v>0</v>
      </c>
      <c r="I132" s="1661">
        <f t="shared" si="21"/>
        <v>0</v>
      </c>
      <c r="J132" s="1661">
        <f t="shared" si="22"/>
        <v>0</v>
      </c>
      <c r="K132" s="1661">
        <f t="shared" si="23"/>
        <v>0</v>
      </c>
      <c r="L132" s="1661">
        <f>IF(MONTH(DataRevRea)=7,'Rede Básica + Ajuste'!J132,IF(G132&lt;$Q$69,(SUMIFS($G$18:$G$60,$B$18:$B$60,$D$121,$D$18:$D$60,"Ponta")),(SUMIFS($H$18:$H$60,$B$18:$B$60,$D$121,$D$18:$D$60,"Ponta"))))</f>
        <v>0</v>
      </c>
      <c r="M132" s="1661">
        <f>IF(MONTH(DataRevRea)=7,'Rede Básica + Ajuste'!K132,IF(G132&lt;$Q$69,(SUMIFS($G$18:$G$60,$B$18:$B$60,$D$121,$D$18:$D$60,"Fora Ponta")),(SUMIFS($H$18:$H$60,$B$18:$B$60,$D$121,$D$18:$D$60,"Fora Ponta"))))</f>
        <v>0</v>
      </c>
      <c r="N132" s="1662">
        <f t="shared" si="24"/>
        <v>0</v>
      </c>
    </row>
    <row r="133" spans="3:14">
      <c r="G133" s="150"/>
    </row>
    <row r="134" spans="3:14" ht="15.75">
      <c r="C134" s="274"/>
      <c r="D134" s="274"/>
      <c r="E134" s="274"/>
      <c r="F134" s="274"/>
      <c r="G134" s="274"/>
      <c r="H134" s="274"/>
      <c r="I134" s="274"/>
      <c r="J134" s="1756" t="s">
        <v>1322</v>
      </c>
      <c r="K134" s="1757"/>
      <c r="L134" s="1755" t="s">
        <v>1323</v>
      </c>
      <c r="M134" s="1755"/>
      <c r="N134" s="282"/>
    </row>
    <row r="135" spans="3:14" ht="15.75">
      <c r="C135" s="1758" t="s">
        <v>1305</v>
      </c>
      <c r="D135" s="1759"/>
      <c r="F135" s="274"/>
      <c r="G135" s="1320" t="s">
        <v>772</v>
      </c>
      <c r="H135" s="1321" t="s">
        <v>1324</v>
      </c>
      <c r="I135" s="1321" t="s">
        <v>1325</v>
      </c>
      <c r="J135" s="1659" t="s">
        <v>1326</v>
      </c>
      <c r="K135" s="1659" t="s">
        <v>1327</v>
      </c>
      <c r="L135" s="1659" t="s">
        <v>1326</v>
      </c>
      <c r="M135" s="1659" t="s">
        <v>1327</v>
      </c>
      <c r="N135" s="281" t="s">
        <v>1328</v>
      </c>
    </row>
    <row r="136" spans="3:14" ht="15.75">
      <c r="C136" s="1317" t="s">
        <v>1329</v>
      </c>
      <c r="D136" s="1330">
        <f>IF(D20="Ponta",B20,0)</f>
        <v>0</v>
      </c>
      <c r="E136" s="18"/>
      <c r="F136" s="274"/>
      <c r="G136" s="1323">
        <f>G121</f>
        <v>44378</v>
      </c>
      <c r="H136" s="276">
        <f>SUMIFS($N$18:$N$60,$B$18:$B$60,$D$136,$D$18:$D$60,"Ponta")</f>
        <v>0</v>
      </c>
      <c r="I136" s="276">
        <f>SUMIFS($N$18:$N$60,$B$18:$B$60,$D$136,$D$18:$D$60,"Fora Ponta")</f>
        <v>0</v>
      </c>
      <c r="J136" s="276">
        <f>SUMIFS($E$18:$E$60,$B$18:$B$60,$D$136,$D$18:$D$60,"Ponta")</f>
        <v>0</v>
      </c>
      <c r="K136" s="276">
        <f>SUMIFS($E$18:$E$60,$B$18:$B$60,$D$136,$D$18:$D$60,"Fora Ponta")</f>
        <v>0</v>
      </c>
      <c r="L136" s="1324">
        <f>IF(MONTH(DataRevRea)=7,'Rede Básica + Ajuste'!J136,IF(G136&lt;$Q$69,(SUMIFS($E$18:$E$60,$B$18:$B$60,$D$136,$D$18:$D$60,"Ponta")),(SUMIFS($F$18:$F$60,$B$18:$B$60,$D$136,$D$18:$D$60,"Ponta"))))</f>
        <v>0</v>
      </c>
      <c r="M136" s="1324">
        <f>IF(MONTH(DataRevRea)=7,'Rede Básica + Ajuste'!K136,IF(G136&lt;$Q$69,(SUMIFS($E$18:$E$60,$B$18:$B$60,$D$136,$D$18:$D$60,"Fora Ponta")),(SUMIFS($F$18:$F$60,$B$18:$B$60,$D$136,$D$18:$D$60,"Fora Ponta"))))</f>
        <v>0</v>
      </c>
      <c r="N136" s="1325">
        <f>+(H136*(L136-J136))+(I136*(M136-K136))</f>
        <v>0</v>
      </c>
    </row>
    <row r="137" spans="3:14" ht="15.75">
      <c r="C137" s="274"/>
      <c r="D137" s="274"/>
      <c r="E137" s="274"/>
      <c r="F137" s="274"/>
      <c r="G137" s="275">
        <f t="shared" ref="G137:G147" si="25">G122</f>
        <v>44409</v>
      </c>
      <c r="H137" s="276">
        <f>SUMIFS($O$18:$O$60,$B$18:$B$60,$D$136,$D$18:$D$60,"Ponta")</f>
        <v>0</v>
      </c>
      <c r="I137" s="276">
        <f>SUMIFS($O$18:$O$60,$B$18:$B$60,$D$136,$D$18:$D$60,"Fora Ponta")</f>
        <v>0</v>
      </c>
      <c r="J137" s="276">
        <f t="shared" ref="J137:J147" si="26">SUMIFS($E$18:$E$60,$B$18:$B$60,$D$106,$D$18:$D$60,"Ponta")</f>
        <v>0</v>
      </c>
      <c r="K137" s="276">
        <f t="shared" ref="K137:K147" si="27">SUMIFS($E$18:$E$60,$B$18:$B$60,$D$136,$D$18:$D$60,"Fora Ponta")</f>
        <v>0</v>
      </c>
      <c r="L137" s="276">
        <f>IF(MONTH(DataRevRea)=7,'Rede Básica + Ajuste'!J137,IF(G137&lt;$Q$69,(SUMIFS($E$18:$E$60,$B$18:$B$60,$D$136,$D$18:$D$60,"Ponta")),(SUMIFS($F$18:$F$60,$B$18:$B$60,$D$136,$D$18:$D$60,"Ponta"))))</f>
        <v>0</v>
      </c>
      <c r="M137" s="276">
        <f>IF(MONTH(DataRevRea)=7,'Rede Básica + Ajuste'!K137,IF(G137&lt;$Q$69,(SUMIFS($E$18:$E$60,$B$18:$B$60,$D$136,$D$18:$D$60,"Fora Ponta")),(SUMIFS($F$18:$F$60,$B$18:$B$60,$D$136,$D$18:$D$60,"Fora Ponta"))))</f>
        <v>0</v>
      </c>
      <c r="N137" s="283">
        <f t="shared" ref="N137:N147" si="28">+(H137*(L137-J137))+(I137*(M137-K137))</f>
        <v>0</v>
      </c>
    </row>
    <row r="138" spans="3:14" ht="15.75">
      <c r="C138" s="277"/>
      <c r="D138" s="1326" t="s">
        <v>1330</v>
      </c>
      <c r="E138" s="1327" t="s">
        <v>1331</v>
      </c>
      <c r="F138" s="274"/>
      <c r="G138" s="275">
        <f t="shared" si="25"/>
        <v>44440</v>
      </c>
      <c r="H138" s="276">
        <f>SUMIFS($P$18:$P$60,$B$18:$B$60,$D$136,$D$18:$D$60,"Ponta")</f>
        <v>0</v>
      </c>
      <c r="I138" s="276">
        <f>SUMIFS($P$18:$P$60,$B$18:$B$60,$D$136,$D$18:$D$60,"Fora Ponta")</f>
        <v>0</v>
      </c>
      <c r="J138" s="276">
        <f t="shared" si="26"/>
        <v>0</v>
      </c>
      <c r="K138" s="276">
        <f t="shared" si="27"/>
        <v>0</v>
      </c>
      <c r="L138" s="276">
        <f>IF(MONTH(DataRevRea)=7,'Rede Básica + Ajuste'!J138,IF(G138&lt;$Q$69,(SUMIFS($E$18:$E$60,$B$18:$B$60,$D$136,$D$18:$D$60,"Ponta")),(SUMIFS($F$18:$F$60,$B$18:$B$60,$D$136,$D$18:$D$60,"Ponta"))))</f>
        <v>0</v>
      </c>
      <c r="M138" s="276">
        <f>IF(MONTH(DataRevRea)=7,'Rede Básica + Ajuste'!K138,IF(G138&lt;$Q$69,(SUMIFS($E$18:$E$60,$B$18:$B$60,$D$136,$D$18:$D$60,"Fora Ponta")),(SUMIFS($F$18:$F$60,$B$18:$B$60,$D$136,$D$18:$D$60,"Fora Ponta"))))</f>
        <v>0</v>
      </c>
      <c r="N138" s="283">
        <f t="shared" si="28"/>
        <v>0</v>
      </c>
    </row>
    <row r="139" spans="3:14" ht="15.75">
      <c r="C139" s="1328" t="str">
        <f>C124</f>
        <v>Cobertura 2021</v>
      </c>
      <c r="D139" s="1329">
        <f>SUMPRODUCT(H136:H147,J136:J147)</f>
        <v>0</v>
      </c>
      <c r="E139" s="1329">
        <f>SUMPRODUCT(I136:I147,K136:K147)</f>
        <v>0</v>
      </c>
      <c r="F139" s="274"/>
      <c r="G139" s="275">
        <f t="shared" si="25"/>
        <v>44470</v>
      </c>
      <c r="H139" s="276">
        <f>SUMIFS($Q$18:$Q$60,$B$18:$B$60,$D$136,$D$18:$D$60,"Ponta")</f>
        <v>0</v>
      </c>
      <c r="I139" s="276">
        <f>SUMIFS($Q$18:$Q$60,$B$18:$B$60,$D$136,$D$18:$D$60,"Fora Ponta")</f>
        <v>0</v>
      </c>
      <c r="J139" s="276">
        <f t="shared" si="26"/>
        <v>0</v>
      </c>
      <c r="K139" s="276">
        <f t="shared" si="27"/>
        <v>0</v>
      </c>
      <c r="L139" s="276">
        <f>IF(MONTH(DataRevRea)=7,'Rede Básica + Ajuste'!J139,IF(G139&lt;$Q$69,(SUMIFS($E$18:$E$60,$B$18:$B$60,$D$136,$D$18:$D$60,"Ponta")),(SUMIFS($F$18:$F$60,$B$18:$B$60,$D$136,$D$18:$D$60,"Ponta"))))</f>
        <v>0</v>
      </c>
      <c r="M139" s="276">
        <f>IF(MONTH(DataRevRea)=7,'Rede Básica + Ajuste'!K139,IF(G139&lt;$Q$69,(SUMIFS($E$18:$E$60,$B$18:$B$60,$D$136,$D$18:$D$60,"Fora Ponta")),(SUMIFS($F$18:$F$60,$B$18:$B$60,$D$136,$D$18:$D$60,"Fora Ponta"))))</f>
        <v>0</v>
      </c>
      <c r="N139" s="283">
        <f t="shared" si="28"/>
        <v>0</v>
      </c>
    </row>
    <row r="140" spans="3:14" ht="15.75">
      <c r="C140" s="1328" t="s">
        <v>1332</v>
      </c>
      <c r="D140" s="1329">
        <f>SUMPRODUCT(H136:H147,L136:L147)</f>
        <v>0</v>
      </c>
      <c r="E140" s="1329">
        <f>SUMPRODUCT(I136:I147,M136:M147)</f>
        <v>0</v>
      </c>
      <c r="F140" s="274"/>
      <c r="G140" s="275">
        <f t="shared" si="25"/>
        <v>44501</v>
      </c>
      <c r="H140" s="276">
        <f>SUMIFS($R$18:$R$60,$B$18:$B$60,$D$136,$D$18:$D$60,"Ponta")</f>
        <v>0</v>
      </c>
      <c r="I140" s="276">
        <f>SUMIFS($R$18:$R$60,$B$18:$B$60,$D$136,$D$18:$D$60,"Fora Ponta")</f>
        <v>0</v>
      </c>
      <c r="J140" s="276">
        <f t="shared" si="26"/>
        <v>0</v>
      </c>
      <c r="K140" s="276">
        <f t="shared" si="27"/>
        <v>0</v>
      </c>
      <c r="L140" s="276">
        <f>IF(MONTH(DataRevRea)=7,'Rede Básica + Ajuste'!J140,IF(G140&lt;$Q$69,(SUMIFS($E$18:$E$60,$B$18:$B$60,$D$136,$D$18:$D$60,"Ponta")),(SUMIFS($F$18:$F$60,$B$18:$B$60,$D$136,$D$18:$D$60,"Ponta"))))</f>
        <v>0</v>
      </c>
      <c r="M140" s="276">
        <f>IF(MONTH(DataRevRea)=7,'Rede Básica + Ajuste'!K140,IF(G140&lt;$Q$69,(SUMIFS($E$18:$E$60,$B$18:$B$60,$D$136,$D$18:$D$60,"Fora Ponta")),(SUMIFS($F$18:$F$60,$B$18:$B$60,$D$136,$D$18:$D$60,"Fora Ponta"))))</f>
        <v>0</v>
      </c>
      <c r="N140" s="283">
        <f t="shared" si="28"/>
        <v>0</v>
      </c>
    </row>
    <row r="141" spans="3:14" ht="15.75">
      <c r="C141" s="274"/>
      <c r="D141" s="274"/>
      <c r="E141" s="274"/>
      <c r="F141" s="274"/>
      <c r="G141" s="275">
        <f t="shared" si="25"/>
        <v>44531</v>
      </c>
      <c r="H141" s="276">
        <f>SUMIFS($S$18:$S$60,$B$18:$B$60,$D$136,$D$18:$D$60,"Ponta")</f>
        <v>0</v>
      </c>
      <c r="I141" s="276">
        <f>SUMIFS($S$18:$S$60,$B$18:$B$60,$D$136,$D$18:$D$60,"Fora Ponta")</f>
        <v>0</v>
      </c>
      <c r="J141" s="276">
        <f t="shared" si="26"/>
        <v>0</v>
      </c>
      <c r="K141" s="276">
        <f t="shared" si="27"/>
        <v>0</v>
      </c>
      <c r="L141" s="276">
        <f>IF(MONTH(DataRevRea)=7,'Rede Básica + Ajuste'!J141,IF(G141&lt;$Q$69,(SUMIFS($E$18:$E$60,$B$18:$B$60,$D$136,$D$18:$D$60,"Ponta")),(SUMIFS($F$18:$F$60,$B$18:$B$60,$D$136,$D$18:$D$60,"Ponta"))))</f>
        <v>0</v>
      </c>
      <c r="M141" s="276">
        <f>IF(MONTH(DataRevRea)=7,'Rede Básica + Ajuste'!K141,IF(G141&lt;$Q$69,(SUMIFS($E$18:$E$60,$B$18:$B$60,$D$136,$D$18:$D$60,"Fora Ponta")),(SUMIFS($F$18:$F$60,$B$18:$B$60,$D$136,$D$18:$D$60,"Fora Ponta"))))</f>
        <v>0</v>
      </c>
      <c r="N141" s="283">
        <f t="shared" si="28"/>
        <v>0</v>
      </c>
    </row>
    <row r="142" spans="3:14" ht="15.75">
      <c r="C142" s="286"/>
      <c r="D142" s="286"/>
      <c r="E142" s="286"/>
      <c r="F142" s="274"/>
      <c r="G142" s="275">
        <f t="shared" si="25"/>
        <v>44562</v>
      </c>
      <c r="H142" s="276">
        <f>SUMIFS($T$18:$T$60,$B$18:$B$60,$D$136,$D$18:$D$60,"Ponta")</f>
        <v>0</v>
      </c>
      <c r="I142" s="276">
        <f>SUMIFS($T$18:$T$60,$B$18:$B$60,$D$136,$D$18:$D$60,"Fora Ponta")</f>
        <v>0</v>
      </c>
      <c r="J142" s="276">
        <f t="shared" si="26"/>
        <v>0</v>
      </c>
      <c r="K142" s="276">
        <f t="shared" si="27"/>
        <v>0</v>
      </c>
      <c r="L142" s="276">
        <f>IF(MONTH(DataRevRea)=7,'Rede Básica + Ajuste'!J142,IF(G142&lt;$Q$69,(SUMIFS($E$18:$E$60,$B$18:$B$60,$D$136,$D$18:$D$60,"Ponta")),(SUMIFS($F$18:$F$60,$B$18:$B$60,$D$136,$D$18:$D$60,"Ponta"))))</f>
        <v>0</v>
      </c>
      <c r="M142" s="276">
        <f>IF(MONTH(DataRevRea)=7,'Rede Básica + Ajuste'!K142,IF(G142&lt;$Q$69,(SUMIFS($E$18:$E$60,$B$18:$B$60,$D$136,$D$18:$D$60,"Fora Ponta")),(SUMIFS($F$18:$F$60,$B$18:$B$60,$D$136,$D$18:$D$60,"Fora Ponta"))))</f>
        <v>0</v>
      </c>
      <c r="N142" s="283">
        <f t="shared" si="28"/>
        <v>0</v>
      </c>
    </row>
    <row r="143" spans="3:14" ht="15.75">
      <c r="C143" s="278"/>
      <c r="D143" s="278"/>
      <c r="E143" s="287"/>
      <c r="F143" s="274"/>
      <c r="G143" s="275">
        <f t="shared" si="25"/>
        <v>44593</v>
      </c>
      <c r="H143" s="276">
        <f>SUMIFS($U$18:$U$60,$B$18:$B$60,$D$136,$D$18:$D$60,"Ponta")</f>
        <v>0</v>
      </c>
      <c r="I143" s="276">
        <f>SUMIFS($U$18:$U$60,$B$18:$B$60,$D$136,$D$18:$D$60,"Fora Ponta")</f>
        <v>0</v>
      </c>
      <c r="J143" s="276">
        <f t="shared" si="26"/>
        <v>0</v>
      </c>
      <c r="K143" s="276">
        <f t="shared" si="27"/>
        <v>0</v>
      </c>
      <c r="L143" s="276">
        <f>IF(MONTH(DataRevRea)=7,'Rede Básica + Ajuste'!J143,IF(G143&lt;$Q$69,(SUMIFS($E$18:$E$60,$B$18:$B$60,$D$136,$D$18:$D$60,"Ponta")),(SUMIFS($F$18:$F$60,$B$18:$B$60,$D$136,$D$18:$D$60,"Ponta"))))</f>
        <v>0</v>
      </c>
      <c r="M143" s="276">
        <f>IF(MONTH(DataRevRea)=7,'Rede Básica + Ajuste'!K143,IF(G143&lt;$Q$69,(SUMIFS($E$18:$E$60,$B$18:$B$60,$D$136,$D$18:$D$60,"Fora Ponta")),(SUMIFS($F$18:$F$60,$B$18:$B$60,$D$136,$D$18:$D$60,"Fora Ponta"))))</f>
        <v>0</v>
      </c>
      <c r="N143" s="283">
        <f t="shared" si="28"/>
        <v>0</v>
      </c>
    </row>
    <row r="144" spans="3:14" ht="15.75">
      <c r="C144" s="288"/>
      <c r="D144" s="278"/>
      <c r="E144" s="287"/>
      <c r="F144" s="274"/>
      <c r="G144" s="275">
        <f t="shared" si="25"/>
        <v>44621</v>
      </c>
      <c r="H144" s="276">
        <f>SUMIFS($V$18:$V$60,$B$18:$B$60,$D$136,$D$18:$D$60,"Ponta")</f>
        <v>0</v>
      </c>
      <c r="I144" s="276">
        <f>SUMIFS($V$18:$V$60,$B$18:$B$60,$D$136,$D$18:$D$60,"Fora Ponta")</f>
        <v>0</v>
      </c>
      <c r="J144" s="276">
        <f t="shared" si="26"/>
        <v>0</v>
      </c>
      <c r="K144" s="276">
        <f t="shared" si="27"/>
        <v>0</v>
      </c>
      <c r="L144" s="276">
        <f>IF(MONTH(DataRevRea)=7,'Rede Básica + Ajuste'!J144,IF(G144&lt;$Q$69,(SUMIFS($E$18:$E$60,$B$18:$B$60,$D$136,$D$18:$D$60,"Ponta")),(SUMIFS($F$18:$F$60,$B$18:$B$60,$D$136,$D$18:$D$60,"Ponta"))))</f>
        <v>0</v>
      </c>
      <c r="M144" s="276">
        <f>IF(MONTH(DataRevRea)=7,'Rede Básica + Ajuste'!K144,IF(G144&lt;$Q$69,(SUMIFS($E$18:$E$60,$B$18:$B$60,$D$136,$D$18:$D$60,"Fora Ponta")),(SUMIFS($F$18:$F$60,$B$18:$B$60,$D$136,$D$18:$D$60,"Fora Ponta"))))</f>
        <v>0</v>
      </c>
      <c r="N144" s="283">
        <f t="shared" si="28"/>
        <v>0</v>
      </c>
    </row>
    <row r="145" spans="3:14" ht="15.75">
      <c r="C145" s="274"/>
      <c r="D145" s="274"/>
      <c r="E145" s="274"/>
      <c r="F145" s="274"/>
      <c r="G145" s="275">
        <f t="shared" si="25"/>
        <v>44652</v>
      </c>
      <c r="H145" s="276">
        <f>SUMIFS($W$18:$W$60,$B$18:$B$60,$D$136,$D$18:$D$60,"Ponta")</f>
        <v>0</v>
      </c>
      <c r="I145" s="276">
        <f>SUMIFS($W$18:$W$60,$B$18:$B$60,$D$136,$D$18:$D$60,"Fora Ponta")</f>
        <v>0</v>
      </c>
      <c r="J145" s="276">
        <f t="shared" si="26"/>
        <v>0</v>
      </c>
      <c r="K145" s="276">
        <f t="shared" si="27"/>
        <v>0</v>
      </c>
      <c r="L145" s="276">
        <f>IF(MONTH(DataRevRea)=7,'Rede Básica + Ajuste'!J145,IF(G145&lt;$Q$69,(SUMIFS($E$18:$E$60,$B$18:$B$60,$D$136,$D$18:$D$60,"Ponta")),(SUMIFS($F$18:$F$60,$B$18:$B$60,$D$136,$D$18:$D$60,"Ponta"))))</f>
        <v>0</v>
      </c>
      <c r="M145" s="276">
        <f>IF(MONTH(DataRevRea)=7,'Rede Básica + Ajuste'!K145,IF(G145&lt;$Q$69,(SUMIFS($E$18:$E$60,$B$18:$B$60,$D$136,$D$18:$D$60,"Fora Ponta")),(SUMIFS($F$18:$F$60,$B$18:$B$60,$D$136,$D$18:$D$60,"Fora Ponta"))))</f>
        <v>0</v>
      </c>
      <c r="N145" s="283">
        <f t="shared" si="28"/>
        <v>0</v>
      </c>
    </row>
    <row r="146" spans="3:14" ht="15.75">
      <c r="C146" s="280"/>
      <c r="D146" s="280"/>
      <c r="E146" s="280"/>
      <c r="F146" s="274"/>
      <c r="G146" s="275">
        <f t="shared" si="25"/>
        <v>44682</v>
      </c>
      <c r="H146" s="276">
        <f>SUMIFS($X$18:$X$60,$B$18:$B$60,$D$136,$D$18:$D$60,"Ponta")</f>
        <v>0</v>
      </c>
      <c r="I146" s="276">
        <f>SUMIFS($X$18:$X$60,$B$18:$B$60,$D$136,$D$18:$D$60,"Fora Ponta")</f>
        <v>0</v>
      </c>
      <c r="J146" s="276">
        <f t="shared" si="26"/>
        <v>0</v>
      </c>
      <c r="K146" s="276">
        <f t="shared" si="27"/>
        <v>0</v>
      </c>
      <c r="L146" s="276">
        <f>IF(MONTH(DataRevRea)=7,'Rede Básica + Ajuste'!J146,IF(G146&lt;$Q$69,(SUMIFS($E$18:$E$60,$B$18:$B$60,$D$136,$D$18:$D$60,"Ponta")),(SUMIFS($F$18:$F$60,$B$18:$B$60,$D$136,$D$18:$D$60,"Ponta"))))</f>
        <v>0</v>
      </c>
      <c r="M146" s="276">
        <f>IF(MONTH(DataRevRea)=7,'Rede Básica + Ajuste'!K146,IF(G146&lt;$Q$69,(SUMIFS($E$18:$E$60,$B$18:$B$60,$D$136,$D$18:$D$60,"Fora Ponta")),(SUMIFS($F$18:$F$60,$B$18:$B$60,$D$136,$D$18:$D$60,"Fora Ponta"))))</f>
        <v>0</v>
      </c>
      <c r="N146" s="283">
        <f t="shared" si="28"/>
        <v>0</v>
      </c>
    </row>
    <row r="147" spans="3:14" ht="15.75">
      <c r="C147" s="278"/>
      <c r="D147" s="279"/>
      <c r="E147" s="278"/>
      <c r="F147" s="274"/>
      <c r="G147" s="1660">
        <f t="shared" si="25"/>
        <v>44713</v>
      </c>
      <c r="H147" s="1661">
        <f>SUMIFS($Y$18:$Y$60,$B$18:$B$60,$D$136,$D$18:$D$60,"Ponta")</f>
        <v>0</v>
      </c>
      <c r="I147" s="1661">
        <f>SUMIFS($Y$18:$Y$60,$B$18:$B$60,$D$136,$D$18:$D$60,"Fora Ponta")</f>
        <v>0</v>
      </c>
      <c r="J147" s="1661">
        <f t="shared" si="26"/>
        <v>0</v>
      </c>
      <c r="K147" s="1661">
        <f t="shared" si="27"/>
        <v>0</v>
      </c>
      <c r="L147" s="1661">
        <f>IF(MONTH(DataRevRea)=7,'Rede Básica + Ajuste'!J147,IF(G147&lt;$Q$69,(SUMIFS($E$18:$E$60,$B$18:$B$60,$D$136,$D$18:$D$60,"Ponta")),(SUMIFS($F$18:$F$60,$B$18:$B$60,$D$136,$D$18:$D$60,"Ponta"))))</f>
        <v>0</v>
      </c>
      <c r="M147" s="1661">
        <f>IF(MONTH(DataRevRea)=7,'Rede Básica + Ajuste'!K147,IF(G147&lt;$Q$69,(SUMIFS($E$18:$E$60,$B$18:$B$60,$D$136,$D$18:$D$60,"Fora Ponta")),(SUMIFS($F$18:$F$60,$B$18:$B$60,$D$136,$D$18:$D$60,"Fora Ponta"))))</f>
        <v>0</v>
      </c>
      <c r="N147" s="1662">
        <f t="shared" si="28"/>
        <v>0</v>
      </c>
    </row>
    <row r="148" spans="3:14">
      <c r="G148" s="150"/>
    </row>
    <row r="149" spans="3:14" ht="15.75">
      <c r="C149" s="274"/>
      <c r="D149" s="274"/>
      <c r="E149" s="274"/>
      <c r="F149" s="274"/>
      <c r="G149" s="274"/>
      <c r="H149" s="274"/>
      <c r="I149" s="274"/>
      <c r="J149" s="1756" t="s">
        <v>1322</v>
      </c>
      <c r="K149" s="1757"/>
      <c r="L149" s="1755" t="s">
        <v>1323</v>
      </c>
      <c r="M149" s="1755"/>
      <c r="N149" s="282"/>
    </row>
    <row r="150" spans="3:14" ht="15.75">
      <c r="C150" s="1758" t="s">
        <v>1333</v>
      </c>
      <c r="D150" s="1759"/>
      <c r="F150" s="274"/>
      <c r="G150" s="1320" t="s">
        <v>772</v>
      </c>
      <c r="H150" s="1321" t="s">
        <v>1324</v>
      </c>
      <c r="I150" s="1321" t="s">
        <v>1325</v>
      </c>
      <c r="J150" s="1659" t="s">
        <v>1326</v>
      </c>
      <c r="K150" s="1659" t="s">
        <v>1327</v>
      </c>
      <c r="L150" s="1659" t="s">
        <v>1326</v>
      </c>
      <c r="M150" s="1659" t="s">
        <v>1327</v>
      </c>
      <c r="N150" s="281" t="s">
        <v>1328</v>
      </c>
    </row>
    <row r="151" spans="3:14" ht="15.75">
      <c r="C151" s="1317" t="s">
        <v>1329</v>
      </c>
      <c r="D151" s="1330">
        <f>IF(D20="Ponta",B20,0)</f>
        <v>0</v>
      </c>
      <c r="E151" s="18"/>
      <c r="F151" s="274"/>
      <c r="G151" s="1323">
        <f>G136</f>
        <v>44378</v>
      </c>
      <c r="H151" s="276">
        <f>H136</f>
        <v>0</v>
      </c>
      <c r="I151" s="276">
        <f>I136</f>
        <v>0</v>
      </c>
      <c r="J151" s="276">
        <f>SUMIFS($G$18:$G$60,$B$18:$B$60,$D$151,$D$18:$D$60,"Ponta")</f>
        <v>0</v>
      </c>
      <c r="K151" s="276">
        <f>SUMIFS($G$18:$G$60,$B$18:$B$60,$D$151,$D$18:$D$60,"Fora Ponta")</f>
        <v>0</v>
      </c>
      <c r="L151" s="1324">
        <f>IF(MONTH(DataRevRea)=7,'Rede Básica + Ajuste'!J151,IF(G151&lt;$Q$69,(SUMIFS($G$18:$G$60,$B$18:$B$60,$D$151,$D$18:$D$60,"Ponta")),(SUMIFS($H$18:$H$60,$B$18:$B$60,$D$151,$D$18:$D$60,"Ponta"))))</f>
        <v>0</v>
      </c>
      <c r="M151" s="1324">
        <f>IF(MONTH(DataRevRea)=7,'Rede Básica + Ajuste'!K151,IF(G151&lt;$Q$69,(SUMIFS($G$18:$G$60,$B$18:$B$60,$D$151,$D$18:$D$60,"Fora Ponta")),(SUMIFS($H$18:$H$60,$B$18:$B$60,$D$151,$D$18:$D$60,"Fora Ponta"))))</f>
        <v>0</v>
      </c>
      <c r="N151" s="1325">
        <f>+(H151*(L151-J151))+(I151*(M151-K151))</f>
        <v>0</v>
      </c>
    </row>
    <row r="152" spans="3:14" ht="15.75">
      <c r="C152" s="274"/>
      <c r="D152" s="274"/>
      <c r="E152" s="274"/>
      <c r="F152" s="274"/>
      <c r="G152" s="275">
        <f t="shared" ref="G152:I162" si="29">G137</f>
        <v>44409</v>
      </c>
      <c r="H152" s="276">
        <f t="shared" si="29"/>
        <v>0</v>
      </c>
      <c r="I152" s="276">
        <f t="shared" si="29"/>
        <v>0</v>
      </c>
      <c r="J152" s="276">
        <f t="shared" ref="J152:J162" si="30">SUMIFS($G$18:$G$60,$B$18:$B$60,$D$151,$D$18:$D$60,"Ponta")</f>
        <v>0</v>
      </c>
      <c r="K152" s="276">
        <f t="shared" ref="K152:K162" si="31">SUMIFS($G$18:$G$60,$B$18:$B$60,$D$151,$D$18:$D$60,"Fora Ponta")</f>
        <v>0</v>
      </c>
      <c r="L152" s="276">
        <f>IF(MONTH(DataRevRea)=7,'Rede Básica + Ajuste'!J152,IF(G152&lt;$Q$69,(SUMIFS($G$18:$G$60,$B$18:$B$60,$D$151,$D$18:$D$60,"Ponta")),(SUMIFS($H$18:$H$60,$B$18:$B$60,$D$151,$D$18:$D$60,"Ponta"))))</f>
        <v>0</v>
      </c>
      <c r="M152" s="276">
        <f>IF(MONTH(DataRevRea)=7,'Rede Básica + Ajuste'!K152,IF(G152&lt;$Q$69,(SUMIFS($G$18:$G$60,$B$18:$B$60,$D$151,$D$18:$D$60,"Fora Ponta")),(SUMIFS($H$18:$H$60,$B$18:$B$60,$D$151,$D$18:$D$60,"Fora Ponta"))))</f>
        <v>0</v>
      </c>
      <c r="N152" s="283">
        <f t="shared" ref="N152:N162" si="32">+(H152*(L152-J152))+(I152*(M152-K152))</f>
        <v>0</v>
      </c>
    </row>
    <row r="153" spans="3:14" ht="15.75">
      <c r="C153" s="277"/>
      <c r="D153" s="1326" t="s">
        <v>1330</v>
      </c>
      <c r="E153" s="1327" t="s">
        <v>1331</v>
      </c>
      <c r="F153" s="274"/>
      <c r="G153" s="275">
        <f t="shared" si="29"/>
        <v>44440</v>
      </c>
      <c r="H153" s="276">
        <f t="shared" si="29"/>
        <v>0</v>
      </c>
      <c r="I153" s="276">
        <f t="shared" si="29"/>
        <v>0</v>
      </c>
      <c r="J153" s="276">
        <f t="shared" si="30"/>
        <v>0</v>
      </c>
      <c r="K153" s="276">
        <f t="shared" si="31"/>
        <v>0</v>
      </c>
      <c r="L153" s="276">
        <f>IF(MONTH(DataRevRea)=7,'Rede Básica + Ajuste'!J153,IF(G153&lt;$Q$69,(SUMIFS($G$18:$G$60,$B$18:$B$60,$D$151,$D$18:$D$60,"Ponta")),(SUMIFS($H$18:$H$60,$B$18:$B$60,$D$151,$D$18:$D$60,"Ponta"))))</f>
        <v>0</v>
      </c>
      <c r="M153" s="276">
        <f>IF(MONTH(DataRevRea)=7,'Rede Básica + Ajuste'!K153,IF(G153&lt;$Q$69,(SUMIFS($G$18:$G$60,$B$18:$B$60,$D$151,$D$18:$D$60,"Fora Ponta")),(SUMIFS($H$18:$H$60,$B$18:$B$60,$D$151,$D$18:$D$60,"Fora Ponta"))))</f>
        <v>0</v>
      </c>
      <c r="N153" s="283">
        <f t="shared" si="32"/>
        <v>0</v>
      </c>
    </row>
    <row r="154" spans="3:14" ht="15.75">
      <c r="C154" s="1328" t="str">
        <f>C139</f>
        <v>Cobertura 2021</v>
      </c>
      <c r="D154" s="1329">
        <f>SUMPRODUCT(H151:H162,J151:J162)</f>
        <v>0</v>
      </c>
      <c r="E154" s="1329">
        <f>SUMPRODUCT(I151:I162,K151:K162)</f>
        <v>0</v>
      </c>
      <c r="F154" s="274"/>
      <c r="G154" s="275">
        <f t="shared" si="29"/>
        <v>44470</v>
      </c>
      <c r="H154" s="276">
        <f t="shared" si="29"/>
        <v>0</v>
      </c>
      <c r="I154" s="276">
        <f t="shared" si="29"/>
        <v>0</v>
      </c>
      <c r="J154" s="276">
        <f t="shared" si="30"/>
        <v>0</v>
      </c>
      <c r="K154" s="276">
        <f t="shared" si="31"/>
        <v>0</v>
      </c>
      <c r="L154" s="276">
        <f>IF(MONTH(DataRevRea)=7,'Rede Básica + Ajuste'!J154,IF(G154&lt;$Q$69,(SUMIFS($G$18:$G$60,$B$18:$B$60,$D$151,$D$18:$D$60,"Ponta")),(SUMIFS($H$18:$H$60,$B$18:$B$60,$D$151,$D$18:$D$60,"Ponta"))))</f>
        <v>0</v>
      </c>
      <c r="M154" s="276">
        <f>IF(MONTH(DataRevRea)=7,'Rede Básica + Ajuste'!K154,IF(G154&lt;$Q$69,(SUMIFS($G$18:$G$60,$B$18:$B$60,$D$151,$D$18:$D$60,"Fora Ponta")),(SUMIFS($H$18:$H$60,$B$18:$B$60,$D$151,$D$18:$D$60,"Fora Ponta"))))</f>
        <v>0</v>
      </c>
      <c r="N154" s="283">
        <f t="shared" si="32"/>
        <v>0</v>
      </c>
    </row>
    <row r="155" spans="3:14" ht="15.75">
      <c r="C155" s="1328" t="s">
        <v>1332</v>
      </c>
      <c r="D155" s="1329">
        <f>SUMPRODUCT(H151:H162,L151:L162)</f>
        <v>0</v>
      </c>
      <c r="E155" s="1329">
        <f>SUMPRODUCT(I151:I162,M151:M162)</f>
        <v>0</v>
      </c>
      <c r="F155" s="274"/>
      <c r="G155" s="275">
        <f t="shared" si="29"/>
        <v>44501</v>
      </c>
      <c r="H155" s="276">
        <f t="shared" si="29"/>
        <v>0</v>
      </c>
      <c r="I155" s="276">
        <f t="shared" si="29"/>
        <v>0</v>
      </c>
      <c r="J155" s="276">
        <f t="shared" si="30"/>
        <v>0</v>
      </c>
      <c r="K155" s="276">
        <f t="shared" si="31"/>
        <v>0</v>
      </c>
      <c r="L155" s="276">
        <f>IF(MONTH(DataRevRea)=7,'Rede Básica + Ajuste'!J155,IF(G155&lt;$Q$69,(SUMIFS($G$18:$G$60,$B$18:$B$60,$D$151,$D$18:$D$60,"Ponta")),(SUMIFS($H$18:$H$60,$B$18:$B$60,$D$151,$D$18:$D$60,"Ponta"))))</f>
        <v>0</v>
      </c>
      <c r="M155" s="276">
        <f>IF(MONTH(DataRevRea)=7,'Rede Básica + Ajuste'!K155,IF(G155&lt;$Q$69,(SUMIFS($G$18:$G$60,$B$18:$B$60,$D$151,$D$18:$D$60,"Fora Ponta")),(SUMIFS($H$18:$H$60,$B$18:$B$60,$D$151,$D$18:$D$60,"Fora Ponta"))))</f>
        <v>0</v>
      </c>
      <c r="N155" s="283">
        <f t="shared" si="32"/>
        <v>0</v>
      </c>
    </row>
    <row r="156" spans="3:14" ht="15.75">
      <c r="C156" s="274"/>
      <c r="D156" s="274"/>
      <c r="E156" s="274"/>
      <c r="F156" s="274"/>
      <c r="G156" s="275">
        <f t="shared" si="29"/>
        <v>44531</v>
      </c>
      <c r="H156" s="276">
        <f t="shared" si="29"/>
        <v>0</v>
      </c>
      <c r="I156" s="276">
        <f t="shared" si="29"/>
        <v>0</v>
      </c>
      <c r="J156" s="276">
        <f t="shared" si="30"/>
        <v>0</v>
      </c>
      <c r="K156" s="276">
        <f t="shared" si="31"/>
        <v>0</v>
      </c>
      <c r="L156" s="276">
        <f>IF(MONTH(DataRevRea)=7,'Rede Básica + Ajuste'!J156,IF(G156&lt;$Q$69,(SUMIFS($G$18:$G$60,$B$18:$B$60,$D$151,$D$18:$D$60,"Ponta")),(SUMIFS($H$18:$H$60,$B$18:$B$60,$D$151,$D$18:$D$60,"Ponta"))))</f>
        <v>0</v>
      </c>
      <c r="M156" s="276">
        <f>IF(MONTH(DataRevRea)=7,'Rede Básica + Ajuste'!K156,IF(G156&lt;$Q$69,(SUMIFS($G$18:$G$60,$B$18:$B$60,$D$151,$D$18:$D$60,"Fora Ponta")),(SUMIFS($H$18:$H$60,$B$18:$B$60,$D$151,$D$18:$D$60,"Fora Ponta"))))</f>
        <v>0</v>
      </c>
      <c r="N156" s="283">
        <f t="shared" si="32"/>
        <v>0</v>
      </c>
    </row>
    <row r="157" spans="3:14" ht="15.75">
      <c r="C157" s="286"/>
      <c r="D157" s="286"/>
      <c r="E157" s="286"/>
      <c r="F157" s="274"/>
      <c r="G157" s="275">
        <f t="shared" si="29"/>
        <v>44562</v>
      </c>
      <c r="H157" s="276">
        <f t="shared" si="29"/>
        <v>0</v>
      </c>
      <c r="I157" s="276">
        <f t="shared" si="29"/>
        <v>0</v>
      </c>
      <c r="J157" s="276">
        <f t="shared" si="30"/>
        <v>0</v>
      </c>
      <c r="K157" s="276">
        <f t="shared" si="31"/>
        <v>0</v>
      </c>
      <c r="L157" s="276">
        <f>IF(MONTH(DataRevRea)=7,'Rede Básica + Ajuste'!J157,IF(G157&lt;$Q$69,(SUMIFS($G$18:$G$60,$B$18:$B$60,$D$151,$D$18:$D$60,"Ponta")),(SUMIFS($H$18:$H$60,$B$18:$B$60,$D$151,$D$18:$D$60,"Ponta"))))</f>
        <v>0</v>
      </c>
      <c r="M157" s="276">
        <f>IF(MONTH(DataRevRea)=7,'Rede Básica + Ajuste'!K157,IF(G157&lt;$Q$69,(SUMIFS($G$18:$G$60,$B$18:$B$60,$D$151,$D$18:$D$60,"Fora Ponta")),(SUMIFS($H$18:$H$60,$B$18:$B$60,$D$151,$D$18:$D$60,"Fora Ponta"))))</f>
        <v>0</v>
      </c>
      <c r="N157" s="283">
        <f t="shared" si="32"/>
        <v>0</v>
      </c>
    </row>
    <row r="158" spans="3:14" ht="15.75">
      <c r="C158" s="278"/>
      <c r="D158" s="278"/>
      <c r="E158" s="287"/>
      <c r="F158" s="274"/>
      <c r="G158" s="275">
        <f t="shared" si="29"/>
        <v>44593</v>
      </c>
      <c r="H158" s="276">
        <f t="shared" si="29"/>
        <v>0</v>
      </c>
      <c r="I158" s="276">
        <f t="shared" si="29"/>
        <v>0</v>
      </c>
      <c r="J158" s="276">
        <f t="shared" si="30"/>
        <v>0</v>
      </c>
      <c r="K158" s="276">
        <f t="shared" si="31"/>
        <v>0</v>
      </c>
      <c r="L158" s="276">
        <f>IF(MONTH(DataRevRea)=7,'Rede Básica + Ajuste'!J158,IF(G158&lt;$Q$69,(SUMIFS($G$18:$G$60,$B$18:$B$60,$D$151,$D$18:$D$60,"Ponta")),(SUMIFS($H$18:$H$60,$B$18:$B$60,$D$151,$D$18:$D$60,"Ponta"))))</f>
        <v>0</v>
      </c>
      <c r="M158" s="276">
        <f>IF(MONTH(DataRevRea)=7,'Rede Básica + Ajuste'!K158,IF(G158&lt;$Q$69,(SUMIFS($G$18:$G$60,$B$18:$B$60,$D$151,$D$18:$D$60,"Fora Ponta")),(SUMIFS($H$18:$H$60,$B$18:$B$60,$D$151,$D$18:$D$60,"Fora Ponta"))))</f>
        <v>0</v>
      </c>
      <c r="N158" s="283">
        <f t="shared" si="32"/>
        <v>0</v>
      </c>
    </row>
    <row r="159" spans="3:14" ht="15.75">
      <c r="C159" s="288"/>
      <c r="D159" s="278"/>
      <c r="E159" s="287"/>
      <c r="F159" s="274"/>
      <c r="G159" s="275">
        <f t="shared" si="29"/>
        <v>44621</v>
      </c>
      <c r="H159" s="276">
        <f t="shared" si="29"/>
        <v>0</v>
      </c>
      <c r="I159" s="276">
        <f t="shared" si="29"/>
        <v>0</v>
      </c>
      <c r="J159" s="276">
        <f t="shared" si="30"/>
        <v>0</v>
      </c>
      <c r="K159" s="276">
        <f t="shared" si="31"/>
        <v>0</v>
      </c>
      <c r="L159" s="276">
        <f>IF(MONTH(DataRevRea)=7,'Rede Básica + Ajuste'!J159,IF(G159&lt;$Q$69,(SUMIFS($G$18:$G$60,$B$18:$B$60,$D$151,$D$18:$D$60,"Ponta")),(SUMIFS($H$18:$H$60,$B$18:$B$60,$D$151,$D$18:$D$60,"Ponta"))))</f>
        <v>0</v>
      </c>
      <c r="M159" s="276">
        <f>IF(MONTH(DataRevRea)=7,'Rede Básica + Ajuste'!K159,IF(G159&lt;$Q$69,(SUMIFS($G$18:$G$60,$B$18:$B$60,$D$151,$D$18:$D$60,"Fora Ponta")),(SUMIFS($H$18:$H$60,$B$18:$B$60,$D$151,$D$18:$D$60,"Fora Ponta"))))</f>
        <v>0</v>
      </c>
      <c r="N159" s="283">
        <f t="shared" si="32"/>
        <v>0</v>
      </c>
    </row>
    <row r="160" spans="3:14" ht="15.75">
      <c r="C160" s="274"/>
      <c r="D160" s="274"/>
      <c r="E160" s="274"/>
      <c r="F160" s="274"/>
      <c r="G160" s="275">
        <f t="shared" si="29"/>
        <v>44652</v>
      </c>
      <c r="H160" s="276">
        <f t="shared" si="29"/>
        <v>0</v>
      </c>
      <c r="I160" s="276">
        <f t="shared" si="29"/>
        <v>0</v>
      </c>
      <c r="J160" s="276">
        <f t="shared" si="30"/>
        <v>0</v>
      </c>
      <c r="K160" s="276">
        <f t="shared" si="31"/>
        <v>0</v>
      </c>
      <c r="L160" s="276">
        <f>IF(MONTH(DataRevRea)=7,'Rede Básica + Ajuste'!J160,IF(G160&lt;$Q$69,(SUMIFS($G$18:$G$60,$B$18:$B$60,$D$151,$D$18:$D$60,"Ponta")),(SUMIFS($H$18:$H$60,$B$18:$B$60,$D$151,$D$18:$D$60,"Ponta"))))</f>
        <v>0</v>
      </c>
      <c r="M160" s="276">
        <f>IF(MONTH(DataRevRea)=7,'Rede Básica + Ajuste'!K160,IF(G160&lt;$Q$69,(SUMIFS($G$18:$G$60,$B$18:$B$60,$D$151,$D$18:$D$60,"Fora Ponta")),(SUMIFS($H$18:$H$60,$B$18:$B$60,$D$151,$D$18:$D$60,"Fora Ponta"))))</f>
        <v>0</v>
      </c>
      <c r="N160" s="283">
        <f t="shared" si="32"/>
        <v>0</v>
      </c>
    </row>
    <row r="161" spans="3:14" ht="15.75">
      <c r="C161" s="280"/>
      <c r="D161" s="280"/>
      <c r="E161" s="280"/>
      <c r="F161" s="274"/>
      <c r="G161" s="275">
        <f t="shared" si="29"/>
        <v>44682</v>
      </c>
      <c r="H161" s="276">
        <f t="shared" si="29"/>
        <v>0</v>
      </c>
      <c r="I161" s="276">
        <f>I146</f>
        <v>0</v>
      </c>
      <c r="J161" s="276">
        <f t="shared" si="30"/>
        <v>0</v>
      </c>
      <c r="K161" s="276">
        <f t="shared" si="31"/>
        <v>0</v>
      </c>
      <c r="L161" s="276">
        <f>IF(MONTH(DataRevRea)=7,'Rede Básica + Ajuste'!J161,IF(G161&lt;$Q$69,(SUMIFS($G$18:$G$60,$B$18:$B$60,$D$151,$D$18:$D$60,"Ponta")),(SUMIFS($H$18:$H$60,$B$18:$B$60,$D$151,$D$18:$D$60,"Ponta"))))</f>
        <v>0</v>
      </c>
      <c r="M161" s="276">
        <f>IF(MONTH(DataRevRea)=7,'Rede Básica + Ajuste'!K161,IF(G161&lt;$Q$69,(SUMIFS($G$18:$G$60,$B$18:$B$60,$D$151,$D$18:$D$60,"Fora Ponta")),(SUMIFS($H$18:$H$60,$B$18:$B$60,$D$151,$D$18:$D$60,"Fora Ponta"))))</f>
        <v>0</v>
      </c>
      <c r="N161" s="283">
        <f t="shared" si="32"/>
        <v>0</v>
      </c>
    </row>
    <row r="162" spans="3:14" ht="15.75">
      <c r="C162" s="278"/>
      <c r="D162" s="279"/>
      <c r="E162" s="278"/>
      <c r="F162" s="274"/>
      <c r="G162" s="1660">
        <f t="shared" si="29"/>
        <v>44713</v>
      </c>
      <c r="H162" s="1661">
        <f t="shared" si="29"/>
        <v>0</v>
      </c>
      <c r="I162" s="1661">
        <f t="shared" si="29"/>
        <v>0</v>
      </c>
      <c r="J162" s="1661">
        <f t="shared" si="30"/>
        <v>0</v>
      </c>
      <c r="K162" s="1661">
        <f t="shared" si="31"/>
        <v>0</v>
      </c>
      <c r="L162" s="1661">
        <f>IF(MONTH(DataRevRea)=7,'Rede Básica + Ajuste'!J162,IF(G162&lt;$Q$69,(SUMIFS($G$18:$G$60,$B$18:$B$60,$D$151,$D$18:$D$60,"Ponta")),(SUMIFS($H$18:$H$60,$B$18:$B$60,$D$151,$D$18:$D$60,"Ponta"))))</f>
        <v>0</v>
      </c>
      <c r="M162" s="1661">
        <f>IF(MONTH(DataRevRea)=7,'Rede Básica + Ajuste'!K162,IF(G162&lt;$Q$69,(SUMIFS($G$18:$G$60,$B$18:$B$60,$D$151,$D$18:$D$60,"Fora Ponta")),(SUMIFS($H$18:$H$60,$B$18:$B$60,$D$151,$D$18:$D$60,"Fora Ponta"))))</f>
        <v>0</v>
      </c>
      <c r="N162" s="1662">
        <f t="shared" si="32"/>
        <v>0</v>
      </c>
    </row>
    <row r="164" spans="3:14" ht="15.75">
      <c r="C164" s="274"/>
      <c r="D164" s="274"/>
      <c r="E164" s="274"/>
      <c r="F164" s="274"/>
      <c r="G164" s="274"/>
      <c r="H164" s="274"/>
      <c r="I164" s="274"/>
      <c r="J164" s="1756" t="s">
        <v>1322</v>
      </c>
      <c r="K164" s="1757"/>
      <c r="L164" s="1755" t="s">
        <v>1323</v>
      </c>
      <c r="M164" s="1755"/>
      <c r="N164" s="282"/>
    </row>
    <row r="165" spans="3:14" ht="15.75">
      <c r="C165" s="1758" t="s">
        <v>1305</v>
      </c>
      <c r="D165" s="1759"/>
      <c r="F165" s="274"/>
      <c r="G165" s="1320" t="s">
        <v>772</v>
      </c>
      <c r="H165" s="1321" t="s">
        <v>1324</v>
      </c>
      <c r="I165" s="1321" t="s">
        <v>1325</v>
      </c>
      <c r="J165" s="1659" t="s">
        <v>1326</v>
      </c>
      <c r="K165" s="1659" t="s">
        <v>1327</v>
      </c>
      <c r="L165" s="1659" t="s">
        <v>1326</v>
      </c>
      <c r="M165" s="1659" t="s">
        <v>1327</v>
      </c>
      <c r="N165" s="281" t="s">
        <v>1328</v>
      </c>
    </row>
    <row r="166" spans="3:14" ht="15.75">
      <c r="C166" s="1317" t="s">
        <v>1329</v>
      </c>
      <c r="D166" s="1330">
        <f>IF(D21="Ponta",B21,0)</f>
        <v>0</v>
      </c>
      <c r="E166" s="18"/>
      <c r="F166" s="274"/>
      <c r="G166" s="1323">
        <f>G151</f>
        <v>44378</v>
      </c>
      <c r="H166" s="276">
        <f>SUMIFS($N$18:$N$60,$B$18:$B$60,$D$166,$D$18:$D$60,"Ponta")</f>
        <v>0</v>
      </c>
      <c r="I166" s="276">
        <f>SUMIFS($N$18:$N$60,$B$18:$B$60,$D$166,$D$18:$D$60,"Fora Ponta")</f>
        <v>0</v>
      </c>
      <c r="J166" s="276">
        <f>SUMIFS($E$18:$E$60,$B$18:$B$60,$D$166,$D$18:$D$60,"Ponta")</f>
        <v>0</v>
      </c>
      <c r="K166" s="276">
        <f>SUMIFS($E$18:$E$60,$B$18:$B$60,$D$166,$D$18:$D$60,"Fora Ponta")</f>
        <v>0</v>
      </c>
      <c r="L166" s="1324">
        <f>IF(MONTH(DataRevRea)=7,'Rede Básica + Ajuste'!J166,IF(G166&lt;$Q$69,(SUMIFS($E$18:$E$60,$B$18:$B$60,$D$166,$D$18:$D$60,"Ponta")),(SUMIFS($F$18:$F$60,$B$18:$B$60,$D$166,$D$18:$D$60,"Ponta"))))</f>
        <v>0</v>
      </c>
      <c r="M166" s="1324">
        <f>IF(MONTH(DataRevRea)=7,'Rede Básica + Ajuste'!K166,IF(G166&lt;$Q$69,(SUMIFS($E$18:$E$60,$B$18:$B$60,$D$166,$D$18:$D$60,"Fora Ponta")),(SUMIFS($F$18:$F$60,$B$18:$B$60,$D$166,$D$18:$D$60,"Fora Ponta"))))</f>
        <v>0</v>
      </c>
      <c r="N166" s="1325">
        <f>+(H166*(L166-J166))+(I166*(M166-K166))</f>
        <v>0</v>
      </c>
    </row>
    <row r="167" spans="3:14" ht="15.75">
      <c r="C167" s="274"/>
      <c r="D167" s="274"/>
      <c r="E167" s="274"/>
      <c r="F167" s="274"/>
      <c r="G167" s="275">
        <f t="shared" ref="G167:G177" si="33">G152</f>
        <v>44409</v>
      </c>
      <c r="H167" s="276">
        <f>SUMIFS($O$18:$O$60,$B$18:$B$60,$D$166,$D$18:$D$60,"Ponta")</f>
        <v>0</v>
      </c>
      <c r="I167" s="276">
        <f>SUMIFS($O$18:$O$60,$B$18:$B$60,$D$166,$D$18:$D$60,"Fora Ponta")</f>
        <v>0</v>
      </c>
      <c r="J167" s="276">
        <f t="shared" ref="J167:J177" si="34">SUMIFS($E$18:$E$60,$B$18:$B$60,$D$166,$D$18:$D$60,"Ponta")</f>
        <v>0</v>
      </c>
      <c r="K167" s="276">
        <f t="shared" ref="K167:K177" si="35">SUMIFS($E$18:$E$60,$B$18:$B$60,$D$166,$D$18:$D$60,"Fora Ponta")</f>
        <v>0</v>
      </c>
      <c r="L167" s="276">
        <f>IF(MONTH(DataRevRea)=7,'Rede Básica + Ajuste'!J167,IF(G167&lt;$Q$69,(SUMIFS($E$18:$E$60,$B$18:$B$60,$D$166,$D$18:$D$60,"Ponta")),(SUMIFS($F$18:$F$60,$B$18:$B$60,$D$166,$D$18:$D$60,"Ponta"))))</f>
        <v>0</v>
      </c>
      <c r="M167" s="276">
        <f>IF(MONTH(DataRevRea)=7,'Rede Básica + Ajuste'!K167,IF(G167&lt;$Q$69,(SUMIFS($E$18:$E$60,$B$18:$B$60,$D$166,$D$18:$D$60,"Fora Ponta")),(SUMIFS($F$18:$F$60,$B$18:$B$60,$D$166,$D$18:$D$60,"Fora Ponta"))))</f>
        <v>0</v>
      </c>
      <c r="N167" s="283">
        <f t="shared" ref="N167:N177" si="36">+(H167*(L167-J167))+(I167*(M167-K167))</f>
        <v>0</v>
      </c>
    </row>
    <row r="168" spans="3:14" ht="15.75">
      <c r="C168" s="277"/>
      <c r="D168" s="1326" t="s">
        <v>1330</v>
      </c>
      <c r="E168" s="1327" t="s">
        <v>1331</v>
      </c>
      <c r="F168" s="274"/>
      <c r="G168" s="275">
        <f t="shared" si="33"/>
        <v>44440</v>
      </c>
      <c r="H168" s="276">
        <f>SUMIFS($P$18:$P$60,$B$18:$B$60,$D$166,$D$18:$D$60,"Ponta")</f>
        <v>0</v>
      </c>
      <c r="I168" s="276">
        <f>SUMIFS($P$18:$P$60,$B$18:$B$60,$D$166,$D$18:$D$60,"Fora Ponta")</f>
        <v>0</v>
      </c>
      <c r="J168" s="276">
        <f t="shared" si="34"/>
        <v>0</v>
      </c>
      <c r="K168" s="276">
        <f t="shared" si="35"/>
        <v>0</v>
      </c>
      <c r="L168" s="276">
        <f>IF(MONTH(DataRevRea)=7,'Rede Básica + Ajuste'!J168,IF(G168&lt;$Q$69,(SUMIFS($E$18:$E$60,$B$18:$B$60,$D$166,$D$18:$D$60,"Ponta")),(SUMIFS($F$18:$F$60,$B$18:$B$60,$D$166,$D$18:$D$60,"Ponta"))))</f>
        <v>0</v>
      </c>
      <c r="M168" s="276">
        <f>IF(MONTH(DataRevRea)=7,'Rede Básica + Ajuste'!K168,IF(G168&lt;$Q$69,(SUMIFS($E$18:$E$60,$B$18:$B$60,$D$166,$D$18:$D$60,"Fora Ponta")),(SUMIFS($F$18:$F$60,$B$18:$B$60,$D$166,$D$18:$D$60,"Fora Ponta"))))</f>
        <v>0</v>
      </c>
      <c r="N168" s="283">
        <f t="shared" si="36"/>
        <v>0</v>
      </c>
    </row>
    <row r="169" spans="3:14" ht="15.75">
      <c r="C169" s="1328" t="str">
        <f>C154</f>
        <v>Cobertura 2021</v>
      </c>
      <c r="D169" s="1329">
        <f>SUMPRODUCT(H166:H177,J166:J177)</f>
        <v>0</v>
      </c>
      <c r="E169" s="1329">
        <f>SUMPRODUCT(I166:I177,K166:K177)</f>
        <v>0</v>
      </c>
      <c r="F169" s="274"/>
      <c r="G169" s="275">
        <f t="shared" si="33"/>
        <v>44470</v>
      </c>
      <c r="H169" s="276">
        <f>SUMIFS($Q$18:$Q$60,$B$18:$B$60,$D$166,$D$18:$D$60,"Ponta")</f>
        <v>0</v>
      </c>
      <c r="I169" s="276">
        <f>SUMIFS($Q$18:$Q$60,$B$18:$B$60,$D$166,$D$18:$D$60,"Fora Ponta")</f>
        <v>0</v>
      </c>
      <c r="J169" s="276">
        <f t="shared" si="34"/>
        <v>0</v>
      </c>
      <c r="K169" s="276">
        <f t="shared" si="35"/>
        <v>0</v>
      </c>
      <c r="L169" s="276">
        <f>IF(MONTH(DataRevRea)=7,'Rede Básica + Ajuste'!J169,IF(G169&lt;$Q$69,(SUMIFS($E$18:$E$60,$B$18:$B$60,$D$166,$D$18:$D$60,"Ponta")),(SUMIFS($F$18:$F$60,$B$18:$B$60,$D$166,$D$18:$D$60,"Ponta"))))</f>
        <v>0</v>
      </c>
      <c r="M169" s="276">
        <f>IF(MONTH(DataRevRea)=7,'Rede Básica + Ajuste'!K169,IF(G169&lt;$Q$69,(SUMIFS($E$18:$E$60,$B$18:$B$60,$D$166,$D$18:$D$60,"Fora Ponta")),(SUMIFS($F$18:$F$60,$B$18:$B$60,$D$166,$D$18:$D$60,"Fora Ponta"))))</f>
        <v>0</v>
      </c>
      <c r="N169" s="283">
        <f t="shared" si="36"/>
        <v>0</v>
      </c>
    </row>
    <row r="170" spans="3:14" ht="15.75">
      <c r="C170" s="1328" t="s">
        <v>1332</v>
      </c>
      <c r="D170" s="1329">
        <f>SUMPRODUCT(H166:H177,L166:L177)</f>
        <v>0</v>
      </c>
      <c r="E170" s="1329">
        <f>SUMPRODUCT(I166:I177,M166:M177)</f>
        <v>0</v>
      </c>
      <c r="F170" s="274"/>
      <c r="G170" s="275">
        <f t="shared" si="33"/>
        <v>44501</v>
      </c>
      <c r="H170" s="276">
        <f>SUMIFS($R$18:$R$60,$B$18:$B$60,$D$166,$D$18:$D$60,"Ponta")</f>
        <v>0</v>
      </c>
      <c r="I170" s="276">
        <f>SUMIFS($R$18:$R$60,$B$18:$B$60,$D$166,$D$18:$D$60,"Fora Ponta")</f>
        <v>0</v>
      </c>
      <c r="J170" s="276">
        <f t="shared" si="34"/>
        <v>0</v>
      </c>
      <c r="K170" s="276">
        <f t="shared" si="35"/>
        <v>0</v>
      </c>
      <c r="L170" s="276">
        <f>IF(MONTH(DataRevRea)=7,'Rede Básica + Ajuste'!J170,IF(G170&lt;$Q$69,(SUMIFS($E$18:$E$60,$B$18:$B$60,$D$166,$D$18:$D$60,"Ponta")),(SUMIFS($F$18:$F$60,$B$18:$B$60,$D$166,$D$18:$D$60,"Ponta"))))</f>
        <v>0</v>
      </c>
      <c r="M170" s="276">
        <f>IF(MONTH(DataRevRea)=7,'Rede Básica + Ajuste'!K170,IF(G170&lt;$Q$69,(SUMIFS($E$18:$E$60,$B$18:$B$60,$D$166,$D$18:$D$60,"Fora Ponta")),(SUMIFS($F$18:$F$60,$B$18:$B$60,$D$166,$D$18:$D$60,"Fora Ponta"))))</f>
        <v>0</v>
      </c>
      <c r="N170" s="283">
        <f t="shared" si="36"/>
        <v>0</v>
      </c>
    </row>
    <row r="171" spans="3:14" ht="15.75">
      <c r="C171" s="274"/>
      <c r="D171" s="274"/>
      <c r="E171" s="274"/>
      <c r="F171" s="274"/>
      <c r="G171" s="275">
        <f t="shared" si="33"/>
        <v>44531</v>
      </c>
      <c r="H171" s="276">
        <f>SUMIFS($S$18:$S$60,$B$18:$B$60,$D$166,$D$18:$D$60,"Ponta")</f>
        <v>0</v>
      </c>
      <c r="I171" s="276">
        <f>SUMIFS($S$18:$S$60,$B$18:$B$60,$D$166,$D$18:$D$60,"Fora Ponta")</f>
        <v>0</v>
      </c>
      <c r="J171" s="276">
        <f t="shared" si="34"/>
        <v>0</v>
      </c>
      <c r="K171" s="276">
        <f t="shared" si="35"/>
        <v>0</v>
      </c>
      <c r="L171" s="276">
        <f>IF(MONTH(DataRevRea)=7,'Rede Básica + Ajuste'!J171,IF(G171&lt;$Q$69,(SUMIFS($E$18:$E$60,$B$18:$B$60,$D$166,$D$18:$D$60,"Ponta")),(SUMIFS($F$18:$F$60,$B$18:$B$60,$D$166,$D$18:$D$60,"Ponta"))))</f>
        <v>0</v>
      </c>
      <c r="M171" s="276">
        <f>IF(MONTH(DataRevRea)=7,'Rede Básica + Ajuste'!K171,IF(G171&lt;$Q$69,(SUMIFS($E$18:$E$60,$B$18:$B$60,$D$166,$D$18:$D$60,"Fora Ponta")),(SUMIFS($F$18:$F$60,$B$18:$B$60,$D$166,$D$18:$D$60,"Fora Ponta"))))</f>
        <v>0</v>
      </c>
      <c r="N171" s="283">
        <f t="shared" si="36"/>
        <v>0</v>
      </c>
    </row>
    <row r="172" spans="3:14" ht="15.75">
      <c r="C172" s="286"/>
      <c r="D172" s="286"/>
      <c r="E172" s="286"/>
      <c r="F172" s="274"/>
      <c r="G172" s="275">
        <f t="shared" si="33"/>
        <v>44562</v>
      </c>
      <c r="H172" s="276">
        <f>SUMIFS($T$18:$T$60,$B$18:$B$60,$D$166,$D$18:$D$60,"Ponta")</f>
        <v>0</v>
      </c>
      <c r="I172" s="276">
        <f>SUMIFS($T$18:$T$60,$B$18:$B$60,$D$166,$D$18:$D$60,"Fora Ponta")</f>
        <v>0</v>
      </c>
      <c r="J172" s="276">
        <f t="shared" si="34"/>
        <v>0</v>
      </c>
      <c r="K172" s="276">
        <f t="shared" si="35"/>
        <v>0</v>
      </c>
      <c r="L172" s="276">
        <f>IF(MONTH(DataRevRea)=7,'Rede Básica + Ajuste'!J172,IF(G172&lt;$Q$69,(SUMIFS($E$18:$E$60,$B$18:$B$60,$D$166,$D$18:$D$60,"Ponta")),(SUMIFS($F$18:$F$60,$B$18:$B$60,$D$166,$D$18:$D$60,"Ponta"))))</f>
        <v>0</v>
      </c>
      <c r="M172" s="276">
        <f>IF(MONTH(DataRevRea)=7,'Rede Básica + Ajuste'!K172,IF(G172&lt;$Q$69,(SUMIFS($E$18:$E$60,$B$18:$B$60,$D$166,$D$18:$D$60,"Fora Ponta")),(SUMIFS($F$18:$F$60,$B$18:$B$60,$D$166,$D$18:$D$60,"Fora Ponta"))))</f>
        <v>0</v>
      </c>
      <c r="N172" s="283">
        <f t="shared" si="36"/>
        <v>0</v>
      </c>
    </row>
    <row r="173" spans="3:14" ht="15.75">
      <c r="C173" s="278"/>
      <c r="D173" s="278"/>
      <c r="E173" s="287"/>
      <c r="F173" s="274"/>
      <c r="G173" s="275">
        <f t="shared" si="33"/>
        <v>44593</v>
      </c>
      <c r="H173" s="276">
        <f>SUMIFS($U$18:$U$60,$B$18:$B$60,$D$166,$D$18:$D$60,"Ponta")</f>
        <v>0</v>
      </c>
      <c r="I173" s="276">
        <f>SUMIFS($U$18:$U$60,$B$18:$B$60,$D$166,$D$18:$D$60,"Fora Ponta")</f>
        <v>0</v>
      </c>
      <c r="J173" s="276">
        <f t="shared" si="34"/>
        <v>0</v>
      </c>
      <c r="K173" s="276">
        <f t="shared" si="35"/>
        <v>0</v>
      </c>
      <c r="L173" s="276">
        <f>IF(MONTH(DataRevRea)=7,'Rede Básica + Ajuste'!J173,IF(G173&lt;$Q$69,(SUMIFS($E$18:$E$60,$B$18:$B$60,$D$166,$D$18:$D$60,"Ponta")),(SUMIFS($F$18:$F$60,$B$18:$B$60,$D$166,$D$18:$D$60,"Ponta"))))</f>
        <v>0</v>
      </c>
      <c r="M173" s="276">
        <f>IF(MONTH(DataRevRea)=7,'Rede Básica + Ajuste'!K173,IF(G173&lt;$Q$69,(SUMIFS($E$18:$E$60,$B$18:$B$60,$D$166,$D$18:$D$60,"Fora Ponta")),(SUMIFS($F$18:$F$60,$B$18:$B$60,$D$166,$D$18:$D$60,"Fora Ponta"))))</f>
        <v>0</v>
      </c>
      <c r="N173" s="283">
        <f t="shared" si="36"/>
        <v>0</v>
      </c>
    </row>
    <row r="174" spans="3:14" ht="15.75">
      <c r="C174" s="288"/>
      <c r="D174" s="278"/>
      <c r="E174" s="287"/>
      <c r="F174" s="274"/>
      <c r="G174" s="275">
        <f t="shared" si="33"/>
        <v>44621</v>
      </c>
      <c r="H174" s="276">
        <f>SUMIFS($V$18:$V$60,$B$18:$B$60,$D$166,$D$18:$D$60,"Ponta")</f>
        <v>0</v>
      </c>
      <c r="I174" s="276">
        <f>SUMIFS($V$18:$V$60,$B$18:$B$60,$D$166,$D$18:$D$60,"Fora Ponta")</f>
        <v>0</v>
      </c>
      <c r="J174" s="276">
        <f t="shared" si="34"/>
        <v>0</v>
      </c>
      <c r="K174" s="276">
        <f t="shared" si="35"/>
        <v>0</v>
      </c>
      <c r="L174" s="276">
        <f>IF(MONTH(DataRevRea)=7,'Rede Básica + Ajuste'!J174,IF(G174&lt;$Q$69,(SUMIFS($E$18:$E$60,$B$18:$B$60,$D$166,$D$18:$D$60,"Ponta")),(SUMIFS($F$18:$F$60,$B$18:$B$60,$D$166,$D$18:$D$60,"Ponta"))))</f>
        <v>0</v>
      </c>
      <c r="M174" s="276">
        <f>IF(MONTH(DataRevRea)=7,'Rede Básica + Ajuste'!K174,IF(G174&lt;$Q$69,(SUMIFS($E$18:$E$60,$B$18:$B$60,$D$166,$D$18:$D$60,"Fora Ponta")),(SUMIFS($F$18:$F$60,$B$18:$B$60,$D$166,$D$18:$D$60,"Fora Ponta"))))</f>
        <v>0</v>
      </c>
      <c r="N174" s="283">
        <f t="shared" si="36"/>
        <v>0</v>
      </c>
    </row>
    <row r="175" spans="3:14" ht="15.75">
      <c r="C175" s="274"/>
      <c r="D175" s="274"/>
      <c r="E175" s="274"/>
      <c r="F175" s="274"/>
      <c r="G175" s="275">
        <f t="shared" si="33"/>
        <v>44652</v>
      </c>
      <c r="H175" s="276">
        <f>SUMIFS($W$18:$W$60,$B$18:$B$60,$D$166,$D$18:$D$60,"Ponta")</f>
        <v>0</v>
      </c>
      <c r="I175" s="276">
        <f>SUMIFS($W$18:$W$60,$B$18:$B$60,$D$166,$D$18:$D$60,"Fora Ponta")</f>
        <v>0</v>
      </c>
      <c r="J175" s="276">
        <f t="shared" si="34"/>
        <v>0</v>
      </c>
      <c r="K175" s="276">
        <f t="shared" si="35"/>
        <v>0</v>
      </c>
      <c r="L175" s="276">
        <f>IF(MONTH(DataRevRea)=7,'Rede Básica + Ajuste'!J175,IF(G175&lt;$Q$69,(SUMIFS($E$18:$E$60,$B$18:$B$60,$D$166,$D$18:$D$60,"Ponta")),(SUMIFS($F$18:$F$60,$B$18:$B$60,$D$166,$D$18:$D$60,"Ponta"))))</f>
        <v>0</v>
      </c>
      <c r="M175" s="276">
        <f>IF(MONTH(DataRevRea)=7,'Rede Básica + Ajuste'!K175,IF(G175&lt;$Q$69,(SUMIFS($E$18:$E$60,$B$18:$B$60,$D$166,$D$18:$D$60,"Fora Ponta")),(SUMIFS($F$18:$F$60,$B$18:$B$60,$D$166,$D$18:$D$60,"Fora Ponta"))))</f>
        <v>0</v>
      </c>
      <c r="N175" s="283">
        <f t="shared" si="36"/>
        <v>0</v>
      </c>
    </row>
    <row r="176" spans="3:14" ht="15.75">
      <c r="C176" s="280"/>
      <c r="D176" s="280"/>
      <c r="E176" s="280"/>
      <c r="F176" s="274"/>
      <c r="G176" s="275">
        <f t="shared" si="33"/>
        <v>44682</v>
      </c>
      <c r="H176" s="276">
        <f>SUMIFS($X$18:$X$60,$B$18:$B$60,$D$166,$D$18:$D$60,"Ponta")</f>
        <v>0</v>
      </c>
      <c r="I176" s="276">
        <f>SUMIFS($X$18:$X$60,$B$18:$B$60,$D$166,$D$18:$D$60,"Fora Ponta")</f>
        <v>0</v>
      </c>
      <c r="J176" s="276">
        <f t="shared" si="34"/>
        <v>0</v>
      </c>
      <c r="K176" s="276">
        <f t="shared" si="35"/>
        <v>0</v>
      </c>
      <c r="L176" s="276">
        <f>IF(MONTH(DataRevRea)=7,'Rede Básica + Ajuste'!J176,IF(G176&lt;$Q$69,(SUMIFS($E$18:$E$60,$B$18:$B$60,$D$166,$D$18:$D$60,"Ponta")),(SUMIFS($F$18:$F$60,$B$18:$B$60,$D$166,$D$18:$D$60,"Ponta"))))</f>
        <v>0</v>
      </c>
      <c r="M176" s="276">
        <f>IF(MONTH(DataRevRea)=7,'Rede Básica + Ajuste'!K176,IF(G176&lt;$Q$69,(SUMIFS($E$18:$E$60,$B$18:$B$60,$D$166,$D$18:$D$60,"Fora Ponta")),(SUMIFS($F$18:$F$60,$B$18:$B$60,$D$166,$D$18:$D$60,"Fora Ponta"))))</f>
        <v>0</v>
      </c>
      <c r="N176" s="283">
        <f t="shared" si="36"/>
        <v>0</v>
      </c>
    </row>
    <row r="177" spans="3:14" ht="15.75">
      <c r="C177" s="278"/>
      <c r="D177" s="279"/>
      <c r="E177" s="278"/>
      <c r="F177" s="274"/>
      <c r="G177" s="1660">
        <f t="shared" si="33"/>
        <v>44713</v>
      </c>
      <c r="H177" s="1661">
        <f>SUMIFS($Y$18:$Y$60,$B$18:$B$60,$D$166,$D$18:$D$60,"Ponta")</f>
        <v>0</v>
      </c>
      <c r="I177" s="1661">
        <f>SUMIFS($Y$18:$Y$60,$B$18:$B$60,$D$166,$D$18:$D$60,"Fora Ponta")</f>
        <v>0</v>
      </c>
      <c r="J177" s="1661">
        <f t="shared" si="34"/>
        <v>0</v>
      </c>
      <c r="K177" s="1661">
        <f t="shared" si="35"/>
        <v>0</v>
      </c>
      <c r="L177" s="1661">
        <f>IF(MONTH(DataRevRea)=7,'Rede Básica + Ajuste'!J177,IF(G177&lt;$Q$69,(SUMIFS($E$18:$E$60,$B$18:$B$60,$D$166,$D$18:$D$60,"Ponta")),(SUMIFS($F$18:$F$60,$B$18:$B$60,$D$166,$D$18:$D$60,"Ponta"))))</f>
        <v>0</v>
      </c>
      <c r="M177" s="1661">
        <f>IF(MONTH(DataRevRea)=7,'Rede Básica + Ajuste'!K177,IF(G177&lt;$Q$69,(SUMIFS($E$18:$E$60,$B$18:$B$60,$D$166,$D$18:$D$60,"Fora Ponta")),(SUMIFS($F$18:$F$60,$B$18:$B$60,$D$166,$D$18:$D$60,"Fora Ponta"))))</f>
        <v>0</v>
      </c>
      <c r="N177" s="1662">
        <f t="shared" si="36"/>
        <v>0</v>
      </c>
    </row>
    <row r="178" spans="3:14">
      <c r="G178" s="150"/>
    </row>
    <row r="179" spans="3:14" ht="15.75">
      <c r="C179" s="274"/>
      <c r="D179" s="274"/>
      <c r="E179" s="274"/>
      <c r="F179" s="274"/>
      <c r="G179" s="274"/>
      <c r="H179" s="274"/>
      <c r="I179" s="274"/>
      <c r="J179" s="1756" t="s">
        <v>1322</v>
      </c>
      <c r="K179" s="1757"/>
      <c r="L179" s="1755" t="s">
        <v>1323</v>
      </c>
      <c r="M179" s="1755"/>
      <c r="N179" s="282"/>
    </row>
    <row r="180" spans="3:14" ht="15.75">
      <c r="C180" s="1758" t="s">
        <v>1333</v>
      </c>
      <c r="D180" s="1759"/>
      <c r="F180" s="274"/>
      <c r="G180" s="1320" t="s">
        <v>772</v>
      </c>
      <c r="H180" s="1321" t="s">
        <v>1324</v>
      </c>
      <c r="I180" s="1321" t="s">
        <v>1325</v>
      </c>
      <c r="J180" s="1659" t="s">
        <v>1326</v>
      </c>
      <c r="K180" s="1659" t="s">
        <v>1327</v>
      </c>
      <c r="L180" s="1659" t="s">
        <v>1326</v>
      </c>
      <c r="M180" s="1659" t="s">
        <v>1327</v>
      </c>
      <c r="N180" s="281" t="s">
        <v>1328</v>
      </c>
    </row>
    <row r="181" spans="3:14" ht="15.75">
      <c r="C181" s="1317" t="s">
        <v>1329</v>
      </c>
      <c r="D181" s="1330">
        <f>IF(D21="Ponta",B21,0)</f>
        <v>0</v>
      </c>
      <c r="E181" s="18"/>
      <c r="F181" s="274"/>
      <c r="G181" s="1323">
        <f>G166</f>
        <v>44378</v>
      </c>
      <c r="H181" s="276">
        <f>H166</f>
        <v>0</v>
      </c>
      <c r="I181" s="276">
        <f>I166</f>
        <v>0</v>
      </c>
      <c r="J181" s="1324">
        <f>SUMIFS($G$18:$G$60,$B$18:$B$60,$D$181,$D$18:$D$60,"Ponta")</f>
        <v>0</v>
      </c>
      <c r="K181" s="1324">
        <f>SUMIFS($G$18:$G$60,$B$18:$B$60,$D$181,$D$18:$D$60,"Fora Ponta")</f>
        <v>0</v>
      </c>
      <c r="L181" s="1324">
        <f>IF(MONTH(DataRevRea)=7,'Rede Básica + Ajuste'!J181,IF(G181&lt;$Q$69,(SUMIFS($G$18:$G$60,$B$18:$B$60,$D$181,$D$18:$D$60,"Ponta")),(SUMIFS($H$18:$H$60,$B$18:$B$60,$D$181,$D$18:$D$60,"Ponta"))))</f>
        <v>0</v>
      </c>
      <c r="M181" s="1324">
        <f>IF(MONTH(DataRevRea)=7,'Rede Básica + Ajuste'!K181,IF(G181&lt;$Q$69,(SUMIFS($G$18:$G$60,$B$18:$B$60,$D$181,$D$18:$D$60,"Fora Ponta")),(SUMIFS($H$18:$H$60,$B$18:$B$60,$D$181,$D$18:$D$60,"Fora Ponta"))))</f>
        <v>0</v>
      </c>
      <c r="N181" s="1325">
        <f>+(H181*(L181-J181))+(I181*(M181-K181))</f>
        <v>0</v>
      </c>
    </row>
    <row r="182" spans="3:14" ht="15.75">
      <c r="C182" s="274"/>
      <c r="D182" s="274"/>
      <c r="E182" s="274"/>
      <c r="F182" s="274"/>
      <c r="G182" s="275">
        <f t="shared" ref="G182:I192" si="37">G167</f>
        <v>44409</v>
      </c>
      <c r="H182" s="276">
        <f t="shared" si="37"/>
        <v>0</v>
      </c>
      <c r="I182" s="276">
        <f t="shared" si="37"/>
        <v>0</v>
      </c>
      <c r="J182" s="276">
        <f t="shared" ref="J182:J192" si="38">SUMIFS($G$18:$G$60,$B$18:$B$60,$D$181,$D$18:$D$60,"Ponta")</f>
        <v>0</v>
      </c>
      <c r="K182" s="276">
        <f t="shared" ref="K182:K192" si="39">SUMIFS($G$18:$G$60,$B$18:$B$60,$D$181,$D$18:$D$60,"Fora Ponta")</f>
        <v>0</v>
      </c>
      <c r="L182" s="276">
        <f>IF(MONTH(DataRevRea)=7,'Rede Básica + Ajuste'!J182,IF(G182&lt;$Q$69,(SUMIFS($G$18:$G$60,$B$18:$B$60,$D$181,$D$18:$D$60,"Ponta")),(SUMIFS($H$18:$H$60,$B$18:$B$60,$D$181,$D$18:$D$60,"Ponta"))))</f>
        <v>0</v>
      </c>
      <c r="M182" s="276">
        <f>IF(MONTH(DataRevRea)=7,'Rede Básica + Ajuste'!K182,IF(G182&lt;$Q$69,(SUMIFS($G$18:$G$60,$B$18:$B$60,$D$181,$D$18:$D$60,"Fora Ponta")),(SUMIFS($H$18:$H$60,$B$18:$B$60,$D$181,$D$18:$D$60,"Fora Ponta"))))</f>
        <v>0</v>
      </c>
      <c r="N182" s="283">
        <f t="shared" ref="N182:N192" si="40">+(H182*(L182-J182))+(I182*(M182-K182))</f>
        <v>0</v>
      </c>
    </row>
    <row r="183" spans="3:14" ht="15.75">
      <c r="C183" s="277"/>
      <c r="D183" s="1326" t="s">
        <v>1330</v>
      </c>
      <c r="E183" s="1327" t="s">
        <v>1331</v>
      </c>
      <c r="F183" s="274"/>
      <c r="G183" s="275">
        <f t="shared" si="37"/>
        <v>44440</v>
      </c>
      <c r="H183" s="276">
        <f t="shared" si="37"/>
        <v>0</v>
      </c>
      <c r="I183" s="276">
        <f t="shared" si="37"/>
        <v>0</v>
      </c>
      <c r="J183" s="276">
        <f t="shared" si="38"/>
        <v>0</v>
      </c>
      <c r="K183" s="276">
        <f t="shared" si="39"/>
        <v>0</v>
      </c>
      <c r="L183" s="276">
        <f>IF(MONTH(DataRevRea)=7,'Rede Básica + Ajuste'!J183,IF(G183&lt;$Q$69,(SUMIFS($G$18:$G$60,$B$18:$B$60,$D$181,$D$18:$D$60,"Ponta")),(SUMIFS($H$18:$H$60,$B$18:$B$60,$D$181,$D$18:$D$60,"Ponta"))))</f>
        <v>0</v>
      </c>
      <c r="M183" s="276">
        <f>IF(MONTH(DataRevRea)=7,'Rede Básica + Ajuste'!K183,IF(G183&lt;$Q$69,(SUMIFS($G$18:$G$60,$B$18:$B$60,$D$181,$D$18:$D$60,"Fora Ponta")),(SUMIFS($H$18:$H$60,$B$18:$B$60,$D$181,$D$18:$D$60,"Fora Ponta"))))</f>
        <v>0</v>
      </c>
      <c r="N183" s="283">
        <f t="shared" si="40"/>
        <v>0</v>
      </c>
    </row>
    <row r="184" spans="3:14" ht="15.75">
      <c r="C184" s="1328" t="str">
        <f>C169</f>
        <v>Cobertura 2021</v>
      </c>
      <c r="D184" s="1329">
        <f>SUMPRODUCT(H181:H192,J181:J192)</f>
        <v>0</v>
      </c>
      <c r="E184" s="1329">
        <f>SUMPRODUCT(I181:I192,K181:K192)</f>
        <v>0</v>
      </c>
      <c r="F184" s="274"/>
      <c r="G184" s="275">
        <f t="shared" si="37"/>
        <v>44470</v>
      </c>
      <c r="H184" s="276">
        <f t="shared" si="37"/>
        <v>0</v>
      </c>
      <c r="I184" s="276">
        <f t="shared" si="37"/>
        <v>0</v>
      </c>
      <c r="J184" s="276">
        <f t="shared" si="38"/>
        <v>0</v>
      </c>
      <c r="K184" s="276">
        <f t="shared" si="39"/>
        <v>0</v>
      </c>
      <c r="L184" s="276">
        <f>IF(MONTH(DataRevRea)=7,'Rede Básica + Ajuste'!J184,IF(G184&lt;$Q$69,(SUMIFS($G$18:$G$60,$B$18:$B$60,$D$181,$D$18:$D$60,"Ponta")),(SUMIFS($H$18:$H$60,$B$18:$B$60,$D$181,$D$18:$D$60,"Ponta"))))</f>
        <v>0</v>
      </c>
      <c r="M184" s="276">
        <f>IF(MONTH(DataRevRea)=7,'Rede Básica + Ajuste'!K184,IF(G184&lt;$Q$69,(SUMIFS($G$18:$G$60,$B$18:$B$60,$D$181,$D$18:$D$60,"Fora Ponta")),(SUMIFS($H$18:$H$60,$B$18:$B$60,$D$181,$D$18:$D$60,"Fora Ponta"))))</f>
        <v>0</v>
      </c>
      <c r="N184" s="283">
        <f t="shared" si="40"/>
        <v>0</v>
      </c>
    </row>
    <row r="185" spans="3:14" ht="15.75">
      <c r="C185" s="1328" t="s">
        <v>1332</v>
      </c>
      <c r="D185" s="1329">
        <f>SUMPRODUCT(H181:H192,L181:L192)</f>
        <v>0</v>
      </c>
      <c r="E185" s="1329">
        <f>SUMPRODUCT(I181:I192,M181:M192)</f>
        <v>0</v>
      </c>
      <c r="F185" s="274"/>
      <c r="G185" s="275">
        <f t="shared" si="37"/>
        <v>44501</v>
      </c>
      <c r="H185" s="276">
        <f t="shared" si="37"/>
        <v>0</v>
      </c>
      <c r="I185" s="276">
        <f t="shared" si="37"/>
        <v>0</v>
      </c>
      <c r="J185" s="276">
        <f t="shared" si="38"/>
        <v>0</v>
      </c>
      <c r="K185" s="276">
        <f t="shared" si="39"/>
        <v>0</v>
      </c>
      <c r="L185" s="276">
        <f>IF(MONTH(DataRevRea)=7,'Rede Básica + Ajuste'!J185,IF(G185&lt;$Q$69,(SUMIFS($G$18:$G$60,$B$18:$B$60,$D$181,$D$18:$D$60,"Ponta")),(SUMIFS($H$18:$H$60,$B$18:$B$60,$D$181,$D$18:$D$60,"Ponta"))))</f>
        <v>0</v>
      </c>
      <c r="M185" s="276">
        <f>IF(MONTH(DataRevRea)=7,'Rede Básica + Ajuste'!K185,IF(G185&lt;$Q$69,(SUMIFS($G$18:$G$60,$B$18:$B$60,$D$181,$D$18:$D$60,"Fora Ponta")),(SUMIFS($H$18:$H$60,$B$18:$B$60,$D$181,$D$18:$D$60,"Fora Ponta"))))</f>
        <v>0</v>
      </c>
      <c r="N185" s="283">
        <f t="shared" si="40"/>
        <v>0</v>
      </c>
    </row>
    <row r="186" spans="3:14" ht="15.75">
      <c r="C186" s="274"/>
      <c r="D186" s="274"/>
      <c r="E186" s="274"/>
      <c r="F186" s="274"/>
      <c r="G186" s="275">
        <f t="shared" si="37"/>
        <v>44531</v>
      </c>
      <c r="H186" s="276">
        <f t="shared" si="37"/>
        <v>0</v>
      </c>
      <c r="I186" s="276">
        <f t="shared" si="37"/>
        <v>0</v>
      </c>
      <c r="J186" s="276">
        <f t="shared" si="38"/>
        <v>0</v>
      </c>
      <c r="K186" s="276">
        <f t="shared" si="39"/>
        <v>0</v>
      </c>
      <c r="L186" s="276">
        <f>IF(MONTH(DataRevRea)=7,'Rede Básica + Ajuste'!J186,IF(G186&lt;$Q$69,(SUMIFS($G$18:$G$60,$B$18:$B$60,$D$181,$D$18:$D$60,"Ponta")),(SUMIFS($H$18:$H$60,$B$18:$B$60,$D$181,$D$18:$D$60,"Ponta"))))</f>
        <v>0</v>
      </c>
      <c r="M186" s="276">
        <f>IF(MONTH(DataRevRea)=7,'Rede Básica + Ajuste'!K186,IF(G186&lt;$Q$69,(SUMIFS($G$18:$G$60,$B$18:$B$60,$D$181,$D$18:$D$60,"Fora Ponta")),(SUMIFS($H$18:$H$60,$B$18:$B$60,$D$181,$D$18:$D$60,"Fora Ponta"))))</f>
        <v>0</v>
      </c>
      <c r="N186" s="283">
        <f t="shared" si="40"/>
        <v>0</v>
      </c>
    </row>
    <row r="187" spans="3:14" ht="15.75">
      <c r="C187" s="286"/>
      <c r="D187" s="286"/>
      <c r="E187" s="286"/>
      <c r="F187" s="274"/>
      <c r="G187" s="275">
        <f t="shared" si="37"/>
        <v>44562</v>
      </c>
      <c r="H187" s="276">
        <f t="shared" si="37"/>
        <v>0</v>
      </c>
      <c r="I187" s="276">
        <f t="shared" si="37"/>
        <v>0</v>
      </c>
      <c r="J187" s="276">
        <f t="shared" si="38"/>
        <v>0</v>
      </c>
      <c r="K187" s="276">
        <f t="shared" si="39"/>
        <v>0</v>
      </c>
      <c r="L187" s="276">
        <f>IF(MONTH(DataRevRea)=7,'Rede Básica + Ajuste'!J187,IF(G187&lt;$Q$69,(SUMIFS($G$18:$G$60,$B$18:$B$60,$D$181,$D$18:$D$60,"Ponta")),(SUMIFS($H$18:$H$60,$B$18:$B$60,$D$181,$D$18:$D$60,"Ponta"))))</f>
        <v>0</v>
      </c>
      <c r="M187" s="276">
        <f>IF(MONTH(DataRevRea)=7,'Rede Básica + Ajuste'!K187,IF(G187&lt;$Q$69,(SUMIFS($G$18:$G$60,$B$18:$B$60,$D$181,$D$18:$D$60,"Fora Ponta")),(SUMIFS($H$18:$H$60,$B$18:$B$60,$D$181,$D$18:$D$60,"Fora Ponta"))))</f>
        <v>0</v>
      </c>
      <c r="N187" s="283">
        <f t="shared" si="40"/>
        <v>0</v>
      </c>
    </row>
    <row r="188" spans="3:14" ht="15.75">
      <c r="C188" s="278"/>
      <c r="D188" s="278"/>
      <c r="E188" s="287"/>
      <c r="F188" s="274"/>
      <c r="G188" s="275">
        <f t="shared" si="37"/>
        <v>44593</v>
      </c>
      <c r="H188" s="276">
        <f t="shared" si="37"/>
        <v>0</v>
      </c>
      <c r="I188" s="276">
        <f t="shared" si="37"/>
        <v>0</v>
      </c>
      <c r="J188" s="276">
        <f t="shared" si="38"/>
        <v>0</v>
      </c>
      <c r="K188" s="276">
        <f t="shared" si="39"/>
        <v>0</v>
      </c>
      <c r="L188" s="276">
        <f>IF(MONTH(DataRevRea)=7,'Rede Básica + Ajuste'!J188,IF(G188&lt;$Q$69,(SUMIFS($G$18:$G$60,$B$18:$B$60,$D$181,$D$18:$D$60,"Ponta")),(SUMIFS($H$18:$H$60,$B$18:$B$60,$D$181,$D$18:$D$60,"Ponta"))))</f>
        <v>0</v>
      </c>
      <c r="M188" s="276">
        <f>IF(MONTH(DataRevRea)=7,'Rede Básica + Ajuste'!K188,IF(G188&lt;$Q$69,(SUMIFS($G$18:$G$60,$B$18:$B$60,$D$181,$D$18:$D$60,"Fora Ponta")),(SUMIFS($H$18:$H$60,$B$18:$B$60,$D$181,$D$18:$D$60,"Fora Ponta"))))</f>
        <v>0</v>
      </c>
      <c r="N188" s="283">
        <f t="shared" si="40"/>
        <v>0</v>
      </c>
    </row>
    <row r="189" spans="3:14" ht="15.75">
      <c r="C189" s="288"/>
      <c r="D189" s="278"/>
      <c r="E189" s="287"/>
      <c r="F189" s="274"/>
      <c r="G189" s="275">
        <f t="shared" si="37"/>
        <v>44621</v>
      </c>
      <c r="H189" s="276">
        <f t="shared" si="37"/>
        <v>0</v>
      </c>
      <c r="I189" s="276">
        <f t="shared" si="37"/>
        <v>0</v>
      </c>
      <c r="J189" s="276">
        <f t="shared" si="38"/>
        <v>0</v>
      </c>
      <c r="K189" s="276">
        <f t="shared" si="39"/>
        <v>0</v>
      </c>
      <c r="L189" s="276">
        <f>IF(MONTH(DataRevRea)=7,'Rede Básica + Ajuste'!J189,IF(G189&lt;$Q$69,(SUMIFS($G$18:$G$60,$B$18:$B$60,$D$181,$D$18:$D$60,"Ponta")),(SUMIFS($H$18:$H$60,$B$18:$B$60,$D$181,$D$18:$D$60,"Ponta"))))</f>
        <v>0</v>
      </c>
      <c r="M189" s="276">
        <f>IF(MONTH(DataRevRea)=7,'Rede Básica + Ajuste'!K189,IF(G189&lt;$Q$69,(SUMIFS($G$18:$G$60,$B$18:$B$60,$D$181,$D$18:$D$60,"Fora Ponta")),(SUMIFS($H$18:$H$60,$B$18:$B$60,$D$181,$D$18:$D$60,"Fora Ponta"))))</f>
        <v>0</v>
      </c>
      <c r="N189" s="283">
        <f t="shared" si="40"/>
        <v>0</v>
      </c>
    </row>
    <row r="190" spans="3:14" ht="15.75">
      <c r="C190" s="274"/>
      <c r="D190" s="274"/>
      <c r="E190" s="274"/>
      <c r="F190" s="274"/>
      <c r="G190" s="275">
        <f t="shared" si="37"/>
        <v>44652</v>
      </c>
      <c r="H190" s="276">
        <f t="shared" si="37"/>
        <v>0</v>
      </c>
      <c r="I190" s="276">
        <f t="shared" si="37"/>
        <v>0</v>
      </c>
      <c r="J190" s="276">
        <f t="shared" si="38"/>
        <v>0</v>
      </c>
      <c r="K190" s="276">
        <f t="shared" si="39"/>
        <v>0</v>
      </c>
      <c r="L190" s="276">
        <f>IF(MONTH(DataRevRea)=7,'Rede Básica + Ajuste'!J190,IF(G190&lt;$Q$69,(SUMIFS($G$18:$G$60,$B$18:$B$60,$D$181,$D$18:$D$60,"Ponta")),(SUMIFS($H$18:$H$60,$B$18:$B$60,$D$181,$D$18:$D$60,"Ponta"))))</f>
        <v>0</v>
      </c>
      <c r="M190" s="276">
        <f>IF(MONTH(DataRevRea)=7,'Rede Básica + Ajuste'!K190,IF(G190&lt;$Q$69,(SUMIFS($G$18:$G$60,$B$18:$B$60,$D$181,$D$18:$D$60,"Fora Ponta")),(SUMIFS($H$18:$H$60,$B$18:$B$60,$D$181,$D$18:$D$60,"Fora Ponta"))))</f>
        <v>0</v>
      </c>
      <c r="N190" s="283">
        <f t="shared" si="40"/>
        <v>0</v>
      </c>
    </row>
    <row r="191" spans="3:14" ht="15.75">
      <c r="C191" s="280"/>
      <c r="D191" s="280"/>
      <c r="E191" s="280"/>
      <c r="F191" s="274"/>
      <c r="G191" s="275">
        <f t="shared" si="37"/>
        <v>44682</v>
      </c>
      <c r="H191" s="276">
        <f t="shared" si="37"/>
        <v>0</v>
      </c>
      <c r="I191" s="276">
        <f t="shared" si="37"/>
        <v>0</v>
      </c>
      <c r="J191" s="276">
        <f t="shared" si="38"/>
        <v>0</v>
      </c>
      <c r="K191" s="276">
        <f t="shared" si="39"/>
        <v>0</v>
      </c>
      <c r="L191" s="276">
        <f>IF(MONTH(DataRevRea)=7,'Rede Básica + Ajuste'!J191,IF(G191&lt;$Q$69,(SUMIFS($G$18:$G$60,$B$18:$B$60,$D$181,$D$18:$D$60,"Ponta")),(SUMIFS($H$18:$H$60,$B$18:$B$60,$D$181,$D$18:$D$60,"Ponta"))))</f>
        <v>0</v>
      </c>
      <c r="M191" s="276">
        <f>IF(MONTH(DataRevRea)=7,'Rede Básica + Ajuste'!K191,IF(G191&lt;$Q$69,(SUMIFS($G$18:$G$60,$B$18:$B$60,$D$181,$D$18:$D$60,"Fora Ponta")),(SUMIFS($H$18:$H$60,$B$18:$B$60,$D$181,$D$18:$D$60,"Fora Ponta"))))</f>
        <v>0</v>
      </c>
      <c r="N191" s="283">
        <f t="shared" si="40"/>
        <v>0</v>
      </c>
    </row>
    <row r="192" spans="3:14" ht="15.75">
      <c r="C192" s="278"/>
      <c r="D192" s="279"/>
      <c r="E192" s="278"/>
      <c r="F192" s="274"/>
      <c r="G192" s="1660">
        <f t="shared" si="37"/>
        <v>44713</v>
      </c>
      <c r="H192" s="1661">
        <f t="shared" si="37"/>
        <v>0</v>
      </c>
      <c r="I192" s="1661">
        <f t="shared" si="37"/>
        <v>0</v>
      </c>
      <c r="J192" s="1661">
        <f t="shared" si="38"/>
        <v>0</v>
      </c>
      <c r="K192" s="1661">
        <f t="shared" si="39"/>
        <v>0</v>
      </c>
      <c r="L192" s="1661">
        <f>IF(MONTH(DataRevRea)=7,'Rede Básica + Ajuste'!J192,IF(G192&lt;$Q$69,(SUMIFS($G$18:$G$60,$B$18:$B$60,$D$181,$D$18:$D$60,"Ponta")),(SUMIFS($H$18:$H$60,$B$18:$B$60,$D$181,$D$18:$D$60,"Ponta"))))</f>
        <v>0</v>
      </c>
      <c r="M192" s="1661">
        <f>IF(MONTH(DataRevRea)=7,'Rede Básica + Ajuste'!K192,IF(G192&lt;$Q$69,(SUMIFS($G$18:$G$60,$B$18:$B$60,$D$181,$D$18:$D$60,"Fora Ponta")),(SUMIFS($H$18:$H$60,$B$18:$B$60,$D$181,$D$18:$D$60,"Fora Ponta"))))</f>
        <v>0</v>
      </c>
      <c r="N192" s="1662">
        <f t="shared" si="40"/>
        <v>0</v>
      </c>
    </row>
    <row r="194" spans="3:14" ht="15.75">
      <c r="C194" s="274"/>
      <c r="D194" s="274"/>
      <c r="E194" s="274"/>
      <c r="F194" s="274"/>
      <c r="G194" s="274"/>
      <c r="H194" s="274"/>
      <c r="I194" s="274"/>
      <c r="J194" s="1756" t="s">
        <v>1322</v>
      </c>
      <c r="K194" s="1757"/>
      <c r="L194" s="1755" t="s">
        <v>1323</v>
      </c>
      <c r="M194" s="1755"/>
      <c r="N194" s="282"/>
    </row>
    <row r="195" spans="3:14" ht="15.75">
      <c r="C195" s="1758" t="s">
        <v>1305</v>
      </c>
      <c r="D195" s="1759"/>
      <c r="F195" s="274"/>
      <c r="G195" s="1320" t="s">
        <v>772</v>
      </c>
      <c r="H195" s="1321" t="s">
        <v>1324</v>
      </c>
      <c r="I195" s="1321" t="s">
        <v>1325</v>
      </c>
      <c r="J195" s="1659" t="s">
        <v>1326</v>
      </c>
      <c r="K195" s="1659" t="s">
        <v>1327</v>
      </c>
      <c r="L195" s="1659" t="s">
        <v>1326</v>
      </c>
      <c r="M195" s="1659" t="s">
        <v>1327</v>
      </c>
      <c r="N195" s="281" t="s">
        <v>1328</v>
      </c>
    </row>
    <row r="196" spans="3:14" ht="15.75">
      <c r="C196" s="1317" t="s">
        <v>1329</v>
      </c>
      <c r="D196" s="1330">
        <f>IF(D22="Ponta",B22,0)</f>
        <v>0</v>
      </c>
      <c r="E196" s="18"/>
      <c r="F196" s="274"/>
      <c r="G196" s="1323">
        <f>G181</f>
        <v>44378</v>
      </c>
      <c r="H196" s="276">
        <f>SUMIFS($N$18:$N$60,$B$18:$B$60,$D$196,$D$18:$D$60,"Ponta")</f>
        <v>0</v>
      </c>
      <c r="I196" s="276">
        <f>SUMIFS($N$18:$N$60,$B$18:$B$60,$D$196,$D$18:$D$60,"Fora Ponta")</f>
        <v>0</v>
      </c>
      <c r="J196" s="1324">
        <f>SUMIFS($E$18:$E$60,$B$18:$B$60,$D$196,$D$18:$D$60,"Ponta")</f>
        <v>0</v>
      </c>
      <c r="K196" s="1324">
        <f>SUMIFS($E$18:$E$60,$B$18:$B$60,$D$196,$D$18:$D$60,"Fora Ponta")</f>
        <v>0</v>
      </c>
      <c r="L196" s="1324">
        <f>IF(MONTH(DataRevRea)=7,'Rede Básica + Ajuste'!J196,IF(G196&lt;$Q$69,(SUMIFS($E$18:$E$60,$B$18:$B$60,$D$196,$D$18:$D$60,"Ponta")),(SUMIFS($F$18:$F$60,$B$18:$B$60,$D$196,$D$18:$D$60,"Ponta"))))</f>
        <v>0</v>
      </c>
      <c r="M196" s="1324">
        <f>IF(MONTH(DataRevRea)=7,'Rede Básica + Ajuste'!K196,IF(G196&lt;$Q$69,(SUMIFS($E$18:$E$60,$B$18:$B$60,$D$196,$D$18:$D$60,"Fora Ponta")),(SUMIFS($F$18:$F$60,$B$18:$B$60,$D$196,$D$18:$D$60,"Fora Ponta"))))</f>
        <v>0</v>
      </c>
      <c r="N196" s="1325">
        <f>+(H196*(L196-J196))+(I196*(M196-K196))</f>
        <v>0</v>
      </c>
    </row>
    <row r="197" spans="3:14" ht="15.75">
      <c r="C197" s="274"/>
      <c r="D197" s="274"/>
      <c r="E197" s="274"/>
      <c r="F197" s="274"/>
      <c r="G197" s="275">
        <f t="shared" ref="G197:G207" si="41">G182</f>
        <v>44409</v>
      </c>
      <c r="H197" s="276">
        <f>SUMIFS($O$18:$O$60,$B$18:$B$60,$D$196,$D$18:$D$60,"Ponta")</f>
        <v>0</v>
      </c>
      <c r="I197" s="276">
        <f>SUMIFS($O$18:$O$60,$B$18:$B$60,$D$196,$D$18:$D$60,"Fora Ponta")</f>
        <v>0</v>
      </c>
      <c r="J197" s="276">
        <f t="shared" ref="J197:J207" si="42">SUMIFS($E$18:$E$60,$B$18:$B$60,$D$196,$D$18:$D$60,"Ponta")</f>
        <v>0</v>
      </c>
      <c r="K197" s="276">
        <f t="shared" ref="K197:K207" si="43">SUMIFS($E$18:$E$60,$B$18:$B$60,$D$196,$D$18:$D$60,"Fora Ponta")</f>
        <v>0</v>
      </c>
      <c r="L197" s="276">
        <f>IF(MONTH(DataRevRea)=7,'Rede Básica + Ajuste'!J197,IF(G197&lt;$Q$69,(SUMIFS($E$18:$E$60,$B$18:$B$60,$D$196,$D$18:$D$60,"Ponta")),(SUMIFS($F$18:$F$60,$B$18:$B$60,$D$196,$D$18:$D$60,"Ponta"))))</f>
        <v>0</v>
      </c>
      <c r="M197" s="276">
        <f>IF(MONTH(DataRevRea)=7,'Rede Básica + Ajuste'!K197,IF(G197&lt;$Q$69,(SUMIFS($E$18:$E$60,$B$18:$B$60,$D$196,$D$18:$D$60,"Fora Ponta")),(SUMIFS($F$18:$F$60,$B$18:$B$60,$D$196,$D$18:$D$60,"Fora Ponta"))))</f>
        <v>0</v>
      </c>
      <c r="N197" s="283">
        <f t="shared" ref="N197:N207" si="44">+(H197*(L197-J197))+(I197*(M197-K197))</f>
        <v>0</v>
      </c>
    </row>
    <row r="198" spans="3:14" ht="15.75">
      <c r="C198" s="277"/>
      <c r="D198" s="1326" t="s">
        <v>1330</v>
      </c>
      <c r="E198" s="1327" t="s">
        <v>1331</v>
      </c>
      <c r="F198" s="274"/>
      <c r="G198" s="275">
        <f t="shared" si="41"/>
        <v>44440</v>
      </c>
      <c r="H198" s="276">
        <f>SUMIFS($P$18:$P$60,$B$18:$B$60,$D$196,$D$18:$D$60,"Ponta")</f>
        <v>0</v>
      </c>
      <c r="I198" s="276">
        <f>SUMIFS($P$18:$P$60,$B$18:$B$60,$D$196,$D$18:$D$60,"Fora Ponta")</f>
        <v>0</v>
      </c>
      <c r="J198" s="276">
        <f t="shared" si="42"/>
        <v>0</v>
      </c>
      <c r="K198" s="276">
        <f t="shared" si="43"/>
        <v>0</v>
      </c>
      <c r="L198" s="276">
        <f>IF(MONTH(DataRevRea)=7,'Rede Básica + Ajuste'!J198,IF(G198&lt;$Q$69,(SUMIFS($E$18:$E$60,$B$18:$B$60,$D$196,$D$18:$D$60,"Ponta")),(SUMIFS($F$18:$F$60,$B$18:$B$60,$D$196,$D$18:$D$60,"Ponta"))))</f>
        <v>0</v>
      </c>
      <c r="M198" s="276">
        <f>IF(MONTH(DataRevRea)=7,'Rede Básica + Ajuste'!K198,IF(G198&lt;$Q$69,(SUMIFS($E$18:$E$60,$B$18:$B$60,$D$196,$D$18:$D$60,"Fora Ponta")),(SUMIFS($F$18:$F$60,$B$18:$B$60,$D$196,$D$18:$D$60,"Fora Ponta"))))</f>
        <v>0</v>
      </c>
      <c r="N198" s="283">
        <f t="shared" si="44"/>
        <v>0</v>
      </c>
    </row>
    <row r="199" spans="3:14" ht="15.75">
      <c r="C199" s="1328" t="str">
        <f>C184</f>
        <v>Cobertura 2021</v>
      </c>
      <c r="D199" s="1329">
        <f>SUMPRODUCT(H196:H207,J196:J207)</f>
        <v>0</v>
      </c>
      <c r="E199" s="1329">
        <f>SUMPRODUCT(I196:I207,K196:K207)</f>
        <v>0</v>
      </c>
      <c r="F199" s="274"/>
      <c r="G199" s="275">
        <f t="shared" si="41"/>
        <v>44470</v>
      </c>
      <c r="H199" s="276">
        <f>SUMIFS($Q$18:$Q$60,$B$18:$B$60,$D$196,$D$18:$D$60,"Ponta")</f>
        <v>0</v>
      </c>
      <c r="I199" s="276">
        <f>SUMIFS($Q$18:$Q$60,$B$18:$B$60,$D$196,$D$18:$D$60,"Fora Ponta")</f>
        <v>0</v>
      </c>
      <c r="J199" s="276">
        <f t="shared" si="42"/>
        <v>0</v>
      </c>
      <c r="K199" s="276">
        <f t="shared" si="43"/>
        <v>0</v>
      </c>
      <c r="L199" s="276">
        <f>IF(MONTH(DataRevRea)=7,'Rede Básica + Ajuste'!J199,IF(G199&lt;$Q$69,(SUMIFS($E$18:$E$60,$B$18:$B$60,$D$196,$D$18:$D$60,"Ponta")),(SUMIFS($F$18:$F$60,$B$18:$B$60,$D$196,$D$18:$D$60,"Ponta"))))</f>
        <v>0</v>
      </c>
      <c r="M199" s="276">
        <f>IF(MONTH(DataRevRea)=7,'Rede Básica + Ajuste'!K199,IF(G199&lt;$Q$69,(SUMIFS($E$18:$E$60,$B$18:$B$60,$D$196,$D$18:$D$60,"Fora Ponta")),(SUMIFS($F$18:$F$60,$B$18:$B$60,$D$196,$D$18:$D$60,"Fora Ponta"))))</f>
        <v>0</v>
      </c>
      <c r="N199" s="283">
        <f t="shared" si="44"/>
        <v>0</v>
      </c>
    </row>
    <row r="200" spans="3:14" ht="15.75">
      <c r="C200" s="1328" t="s">
        <v>1332</v>
      </c>
      <c r="D200" s="1329">
        <f>SUMPRODUCT(H196:H207,L196:L207)</f>
        <v>0</v>
      </c>
      <c r="E200" s="1329">
        <f>SUMPRODUCT(I196:I207,M196:M207)</f>
        <v>0</v>
      </c>
      <c r="F200" s="274"/>
      <c r="G200" s="275">
        <f t="shared" si="41"/>
        <v>44501</v>
      </c>
      <c r="H200" s="276">
        <f>SUMIFS($R$18:$R$60,$B$18:$B$60,$D$196,$D$18:$D$60,"Ponta")</f>
        <v>0</v>
      </c>
      <c r="I200" s="276">
        <f>SUMIFS($R$18:$R$60,$B$18:$B$60,$D$196,$D$18:$D$60,"Fora Ponta")</f>
        <v>0</v>
      </c>
      <c r="J200" s="276">
        <f t="shared" si="42"/>
        <v>0</v>
      </c>
      <c r="K200" s="276">
        <f t="shared" si="43"/>
        <v>0</v>
      </c>
      <c r="L200" s="276">
        <f>IF(MONTH(DataRevRea)=7,'Rede Básica + Ajuste'!J200,IF(G200&lt;$Q$69,(SUMIFS($E$18:$E$60,$B$18:$B$60,$D$196,$D$18:$D$60,"Ponta")),(SUMIFS($F$18:$F$60,$B$18:$B$60,$D$196,$D$18:$D$60,"Ponta"))))</f>
        <v>0</v>
      </c>
      <c r="M200" s="276">
        <f>IF(MONTH(DataRevRea)=7,'Rede Básica + Ajuste'!K200,IF(G200&lt;$Q$69,(SUMIFS($E$18:$E$60,$B$18:$B$60,$D$196,$D$18:$D$60,"Fora Ponta")),(SUMIFS($F$18:$F$60,$B$18:$B$60,$D$196,$D$18:$D$60,"Fora Ponta"))))</f>
        <v>0</v>
      </c>
      <c r="N200" s="283">
        <f t="shared" si="44"/>
        <v>0</v>
      </c>
    </row>
    <row r="201" spans="3:14" ht="15.75">
      <c r="C201" s="274"/>
      <c r="D201" s="274"/>
      <c r="E201" s="274"/>
      <c r="F201" s="274"/>
      <c r="G201" s="275">
        <f t="shared" si="41"/>
        <v>44531</v>
      </c>
      <c r="H201" s="276">
        <f>SUMIFS($S$18:$S$60,$B$18:$B$60,$D$196,$D$18:$D$60,"Ponta")</f>
        <v>0</v>
      </c>
      <c r="I201" s="276">
        <f>SUMIFS($S$18:$S$60,$B$18:$B$60,$D$196,$D$18:$D$60,"Fora Ponta")</f>
        <v>0</v>
      </c>
      <c r="J201" s="276">
        <f t="shared" si="42"/>
        <v>0</v>
      </c>
      <c r="K201" s="276">
        <f t="shared" si="43"/>
        <v>0</v>
      </c>
      <c r="L201" s="276">
        <f>IF(MONTH(DataRevRea)=7,'Rede Básica + Ajuste'!J201,IF(G201&lt;$Q$69,(SUMIFS($E$18:$E$60,$B$18:$B$60,$D$196,$D$18:$D$60,"Ponta")),(SUMIFS($F$18:$F$60,$B$18:$B$60,$D$196,$D$18:$D$60,"Ponta"))))</f>
        <v>0</v>
      </c>
      <c r="M201" s="276">
        <f>IF(MONTH(DataRevRea)=7,'Rede Básica + Ajuste'!K201,IF(G201&lt;$Q$69,(SUMIFS($E$18:$E$60,$B$18:$B$60,$D$196,$D$18:$D$60,"Fora Ponta")),(SUMIFS($F$18:$F$60,$B$18:$B$60,$D$196,$D$18:$D$60,"Fora Ponta"))))</f>
        <v>0</v>
      </c>
      <c r="N201" s="283">
        <f t="shared" si="44"/>
        <v>0</v>
      </c>
    </row>
    <row r="202" spans="3:14" ht="15.75">
      <c r="C202" s="286"/>
      <c r="D202" s="286"/>
      <c r="E202" s="286"/>
      <c r="F202" s="274"/>
      <c r="G202" s="275">
        <f t="shared" si="41"/>
        <v>44562</v>
      </c>
      <c r="H202" s="276">
        <f>SUMIFS($T$18:$T$60,$B$18:$B$60,$D$196,$D$18:$D$60,"Ponta")</f>
        <v>0</v>
      </c>
      <c r="I202" s="276">
        <f>SUMIFS($T$18:$T$60,$B$18:$B$60,$D$196,$D$18:$D$60,"Fora Ponta")</f>
        <v>0</v>
      </c>
      <c r="J202" s="276">
        <f t="shared" si="42"/>
        <v>0</v>
      </c>
      <c r="K202" s="276">
        <f t="shared" si="43"/>
        <v>0</v>
      </c>
      <c r="L202" s="276">
        <f>IF(MONTH(DataRevRea)=7,'Rede Básica + Ajuste'!J202,IF(G202&lt;$Q$69,(SUMIFS($E$18:$E$60,$B$18:$B$60,$D$196,$D$18:$D$60,"Ponta")),(SUMIFS($F$18:$F$60,$B$18:$B$60,$D$196,$D$18:$D$60,"Ponta"))))</f>
        <v>0</v>
      </c>
      <c r="M202" s="276">
        <f>IF(MONTH(DataRevRea)=7,'Rede Básica + Ajuste'!K202,IF(G202&lt;$Q$69,(SUMIFS($E$18:$E$60,$B$18:$B$60,$D$196,$D$18:$D$60,"Fora Ponta")),(SUMIFS($F$18:$F$60,$B$18:$B$60,$D$196,$D$18:$D$60,"Fora Ponta"))))</f>
        <v>0</v>
      </c>
      <c r="N202" s="283">
        <f t="shared" si="44"/>
        <v>0</v>
      </c>
    </row>
    <row r="203" spans="3:14" ht="15.75">
      <c r="C203" s="278"/>
      <c r="D203" s="278"/>
      <c r="E203" s="287"/>
      <c r="F203" s="274"/>
      <c r="G203" s="275">
        <f t="shared" si="41"/>
        <v>44593</v>
      </c>
      <c r="H203" s="276">
        <f>SUMIFS($U$18:$U$60,$B$18:$B$60,$D$196,$D$18:$D$60,"Ponta")</f>
        <v>0</v>
      </c>
      <c r="I203" s="276">
        <f>SUMIFS($U$18:$U$60,$B$18:$B$60,$D$196,$D$18:$D$60,"Fora Ponta")</f>
        <v>0</v>
      </c>
      <c r="J203" s="276">
        <f t="shared" si="42"/>
        <v>0</v>
      </c>
      <c r="K203" s="276">
        <f t="shared" si="43"/>
        <v>0</v>
      </c>
      <c r="L203" s="276">
        <f>IF(MONTH(DataRevRea)=7,'Rede Básica + Ajuste'!J203,IF(G203&lt;$Q$69,(SUMIFS($E$18:$E$60,$B$18:$B$60,$D$196,$D$18:$D$60,"Ponta")),(SUMIFS($F$18:$F$60,$B$18:$B$60,$D$196,$D$18:$D$60,"Ponta"))))</f>
        <v>0</v>
      </c>
      <c r="M203" s="276">
        <f>IF(MONTH(DataRevRea)=7,'Rede Básica + Ajuste'!K203,IF(G203&lt;$Q$69,(SUMIFS($E$18:$E$60,$B$18:$B$60,$D$196,$D$18:$D$60,"Fora Ponta")),(SUMIFS($F$18:$F$60,$B$18:$B$60,$D$196,$D$18:$D$60,"Fora Ponta"))))</f>
        <v>0</v>
      </c>
      <c r="N203" s="283">
        <f t="shared" si="44"/>
        <v>0</v>
      </c>
    </row>
    <row r="204" spans="3:14" ht="15.75">
      <c r="C204" s="288"/>
      <c r="D204" s="278"/>
      <c r="E204" s="287"/>
      <c r="F204" s="274"/>
      <c r="G204" s="275">
        <f t="shared" si="41"/>
        <v>44621</v>
      </c>
      <c r="H204" s="276">
        <f>SUMIFS($V$18:$V$60,$B$18:$B$60,$D$196,$D$18:$D$60,"Ponta")</f>
        <v>0</v>
      </c>
      <c r="I204" s="276">
        <f>SUMIFS($V$18:$V$60,$B$18:$B$60,$D$196,$D$18:$D$60,"Fora Ponta")</f>
        <v>0</v>
      </c>
      <c r="J204" s="276">
        <f t="shared" si="42"/>
        <v>0</v>
      </c>
      <c r="K204" s="276">
        <f t="shared" si="43"/>
        <v>0</v>
      </c>
      <c r="L204" s="276">
        <f>IF(MONTH(DataRevRea)=7,'Rede Básica + Ajuste'!J204,IF(G204&lt;$Q$69,(SUMIFS($E$18:$E$60,$B$18:$B$60,$D$196,$D$18:$D$60,"Ponta")),(SUMIFS($F$18:$F$60,$B$18:$B$60,$D$196,$D$18:$D$60,"Ponta"))))</f>
        <v>0</v>
      </c>
      <c r="M204" s="276">
        <f>IF(MONTH(DataRevRea)=7,'Rede Básica + Ajuste'!K204,IF(G204&lt;$Q$69,(SUMIFS($E$18:$E$60,$B$18:$B$60,$D$196,$D$18:$D$60,"Fora Ponta")),(SUMIFS($F$18:$F$60,$B$18:$B$60,$D$196,$D$18:$D$60,"Fora Ponta"))))</f>
        <v>0</v>
      </c>
      <c r="N204" s="283">
        <f t="shared" si="44"/>
        <v>0</v>
      </c>
    </row>
    <row r="205" spans="3:14" ht="15.75">
      <c r="C205" s="274"/>
      <c r="D205" s="274"/>
      <c r="E205" s="274"/>
      <c r="F205" s="274"/>
      <c r="G205" s="275">
        <f t="shared" si="41"/>
        <v>44652</v>
      </c>
      <c r="H205" s="276">
        <f>SUMIFS($W$18:$W$60,$B$18:$B$60,$D$196,$D$18:$D$60,"Ponta")</f>
        <v>0</v>
      </c>
      <c r="I205" s="276">
        <f>SUMIFS($W$18:$W$60,$B$18:$B$60,$D$196,$D$18:$D$60,"Fora Ponta")</f>
        <v>0</v>
      </c>
      <c r="J205" s="276">
        <f t="shared" si="42"/>
        <v>0</v>
      </c>
      <c r="K205" s="276">
        <f t="shared" si="43"/>
        <v>0</v>
      </c>
      <c r="L205" s="276">
        <f>IF(MONTH(DataRevRea)=7,'Rede Básica + Ajuste'!J205,IF(G205&lt;$Q$69,(SUMIFS($E$18:$E$60,$B$18:$B$60,$D$196,$D$18:$D$60,"Ponta")),(SUMIFS($F$18:$F$60,$B$18:$B$60,$D$196,$D$18:$D$60,"Ponta"))))</f>
        <v>0</v>
      </c>
      <c r="M205" s="276">
        <f>IF(MONTH(DataRevRea)=7,'Rede Básica + Ajuste'!K205,IF(G205&lt;$Q$69,(SUMIFS($E$18:$E$60,$B$18:$B$60,$D$196,$D$18:$D$60,"Fora Ponta")),(SUMIFS($F$18:$F$60,$B$18:$B$60,$D$196,$D$18:$D$60,"Fora Ponta"))))</f>
        <v>0</v>
      </c>
      <c r="N205" s="283">
        <f t="shared" si="44"/>
        <v>0</v>
      </c>
    </row>
    <row r="206" spans="3:14" ht="15.75">
      <c r="C206" s="280"/>
      <c r="D206" s="280"/>
      <c r="E206" s="280"/>
      <c r="F206" s="274"/>
      <c r="G206" s="275">
        <f t="shared" si="41"/>
        <v>44682</v>
      </c>
      <c r="H206" s="276">
        <f>SUMIFS($X$18:$X$60,$B$18:$B$60,$D$1696,$D$18:$D$60,"Ponta")</f>
        <v>0</v>
      </c>
      <c r="I206" s="276">
        <f>SUMIFS($X$18:$X$60,$B$18:$B$60,$D$196,$D$18:$D$60,"Fora Ponta")</f>
        <v>0</v>
      </c>
      <c r="J206" s="276">
        <f t="shared" si="42"/>
        <v>0</v>
      </c>
      <c r="K206" s="276">
        <f t="shared" si="43"/>
        <v>0</v>
      </c>
      <c r="L206" s="276">
        <f>IF(MONTH(DataRevRea)=7,'Rede Básica + Ajuste'!J206,IF(G206&lt;$Q$69,(SUMIFS($E$18:$E$60,$B$18:$B$60,$D$196,$D$18:$D$60,"Ponta")),(SUMIFS($F$18:$F$60,$B$18:$B$60,$D$196,$D$18:$D$60,"Ponta"))))</f>
        <v>0</v>
      </c>
      <c r="M206" s="276">
        <f>IF(MONTH(DataRevRea)=7,'Rede Básica + Ajuste'!K206,IF(G206&lt;$Q$69,(SUMIFS($E$18:$E$60,$B$18:$B$60,$D$196,$D$18:$D$60,"Fora Ponta")),(SUMIFS($F$18:$F$60,$B$18:$B$60,$D$196,$D$18:$D$60,"Fora Ponta"))))</f>
        <v>0</v>
      </c>
      <c r="N206" s="283">
        <f t="shared" si="44"/>
        <v>0</v>
      </c>
    </row>
    <row r="207" spans="3:14" ht="15.75">
      <c r="C207" s="278"/>
      <c r="D207" s="279"/>
      <c r="E207" s="278"/>
      <c r="F207" s="274"/>
      <c r="G207" s="1660">
        <f t="shared" si="41"/>
        <v>44713</v>
      </c>
      <c r="H207" s="1661">
        <f>SUMIFS($Y$18:$Y$60,$B$18:$B$60,$D$196,$D$18:$D$60,"Ponta")</f>
        <v>0</v>
      </c>
      <c r="I207" s="1661">
        <f>SUMIFS($Y$18:$Y$60,$B$18:$B$60,$D$196,$D$18:$D$60,"Fora Ponta")</f>
        <v>0</v>
      </c>
      <c r="J207" s="1661">
        <f t="shared" si="42"/>
        <v>0</v>
      </c>
      <c r="K207" s="1661">
        <f t="shared" si="43"/>
        <v>0</v>
      </c>
      <c r="L207" s="1661">
        <f>IF(MONTH(DataRevRea)=7,'Rede Básica + Ajuste'!J207,IF(G207&lt;$Q$69,(SUMIFS($E$18:$E$60,$B$18:$B$60,$D$196,$D$18:$D$60,"Ponta")),(SUMIFS($F$18:$F$60,$B$18:$B$60,$D$196,$D$18:$D$60,"Ponta"))))</f>
        <v>0</v>
      </c>
      <c r="M207" s="1661">
        <f>IF(MONTH(DataRevRea)=7,'Rede Básica + Ajuste'!K207,IF(G207&lt;$Q$69,(SUMIFS($E$18:$E$60,$B$18:$B$60,$D$196,$D$18:$D$60,"Fora Ponta")),(SUMIFS($F$18:$F$60,$B$18:$B$60,$D$196,$D$18:$D$60,"Fora Ponta"))))</f>
        <v>0</v>
      </c>
      <c r="N207" s="1662">
        <f t="shared" si="44"/>
        <v>0</v>
      </c>
    </row>
    <row r="208" spans="3:14">
      <c r="G208" s="150"/>
    </row>
    <row r="209" spans="3:14" ht="15.75">
      <c r="C209" s="274"/>
      <c r="D209" s="274"/>
      <c r="E209" s="274"/>
      <c r="F209" s="274"/>
      <c r="G209" s="274"/>
      <c r="H209" s="274"/>
      <c r="I209" s="274"/>
      <c r="J209" s="1756" t="s">
        <v>1322</v>
      </c>
      <c r="K209" s="1757"/>
      <c r="L209" s="1755" t="s">
        <v>1323</v>
      </c>
      <c r="M209" s="1755"/>
      <c r="N209" s="282"/>
    </row>
    <row r="210" spans="3:14" ht="15.75">
      <c r="C210" s="1758" t="s">
        <v>1333</v>
      </c>
      <c r="D210" s="1759"/>
      <c r="F210" s="274"/>
      <c r="G210" s="1320" t="s">
        <v>772</v>
      </c>
      <c r="H210" s="1321" t="s">
        <v>1324</v>
      </c>
      <c r="I210" s="1321" t="s">
        <v>1325</v>
      </c>
      <c r="J210" s="1659" t="s">
        <v>1326</v>
      </c>
      <c r="K210" s="1659" t="s">
        <v>1327</v>
      </c>
      <c r="L210" s="1659" t="s">
        <v>1326</v>
      </c>
      <c r="M210" s="1659" t="s">
        <v>1327</v>
      </c>
      <c r="N210" s="281" t="s">
        <v>1328</v>
      </c>
    </row>
    <row r="211" spans="3:14" ht="15.75">
      <c r="C211" s="1317" t="s">
        <v>1329</v>
      </c>
      <c r="D211" s="1330">
        <f>IF(D22="Ponta",B22,0)</f>
        <v>0</v>
      </c>
      <c r="E211" s="18"/>
      <c r="F211" s="274"/>
      <c r="G211" s="1323">
        <f>G196</f>
        <v>44378</v>
      </c>
      <c r="H211" s="276">
        <f>H196</f>
        <v>0</v>
      </c>
      <c r="I211" s="276">
        <f>I196</f>
        <v>0</v>
      </c>
      <c r="J211" s="1324">
        <f>SUMIFS($G$18:$G$60,$B$18:$B$60,$D$211,$D$18:$D$60,"Ponta")</f>
        <v>0</v>
      </c>
      <c r="K211" s="1324">
        <f>SUMIFS($G$18:$G$60,$B$18:$B$60,$D$211,$D$18:$D$60,"Fora Ponta")</f>
        <v>0</v>
      </c>
      <c r="L211" s="1324">
        <f>IF(MONTH(DataRevRea)=7,'Rede Básica + Ajuste'!J211,IF(G211&lt;$Q$69,(SUMIFS($G$18:$G$60,$B$18:$B$60,$D$211,$D$18:$D$60,"Ponta")),(SUMIFS($H$18:$H$60,$B$18:$B$60,$D$211,$D$18:$D$60,"Ponta"))))</f>
        <v>0</v>
      </c>
      <c r="M211" s="1324">
        <f>IF(MONTH(DataRevRea)=7,'Rede Básica + Ajuste'!K211,IF(G211&lt;$Q$69,(SUMIFS($G$18:$G$60,$B$18:$B$60,$D$211,$D$18:$D$60,"Fora Ponta")),(SUMIFS($H$18:$H$60,$B$18:$B$60,$D$211,$D$18:$D$60,"Fora Ponta"))))</f>
        <v>0</v>
      </c>
      <c r="N211" s="1325">
        <f>+(H211*(L211-J211))+(I211*(M211-K211))</f>
        <v>0</v>
      </c>
    </row>
    <row r="212" spans="3:14" ht="15.75">
      <c r="C212" s="274"/>
      <c r="D212" s="274"/>
      <c r="E212" s="274"/>
      <c r="F212" s="274"/>
      <c r="G212" s="275">
        <f t="shared" ref="G212:I222" si="45">G197</f>
        <v>44409</v>
      </c>
      <c r="H212" s="276">
        <f t="shared" si="45"/>
        <v>0</v>
      </c>
      <c r="I212" s="276">
        <f t="shared" si="45"/>
        <v>0</v>
      </c>
      <c r="J212" s="276">
        <f t="shared" ref="J212:J222" si="46">SUMIFS($G$18:$G$60,$B$18:$B$60,$D$211,$D$18:$D$60,"Ponta")</f>
        <v>0</v>
      </c>
      <c r="K212" s="276">
        <f t="shared" ref="K212:K222" si="47">SUMIFS($G$18:$G$60,$B$18:$B$60,$D$211,$D$18:$D$60,"Fora Ponta")</f>
        <v>0</v>
      </c>
      <c r="L212" s="276">
        <f>IF(MONTH(DataRevRea)=7,'Rede Básica + Ajuste'!J212,IF(G212&lt;$Q$69,(SUMIFS($G$18:$G$60,$B$18:$B$60,$D$211,$D$18:$D$60,"Ponta")),(SUMIFS($H$18:$H$60,$B$18:$B$60,$D$211,$D$18:$D$60,"Ponta"))))</f>
        <v>0</v>
      </c>
      <c r="M212" s="276">
        <f>IF(MONTH(DataRevRea)=7,'Rede Básica + Ajuste'!K212,IF(G212&lt;$Q$69,(SUMIFS($G$18:$G$60,$B$18:$B$60,$D$211,$D$18:$D$60,"Fora Ponta")),(SUMIFS($H$18:$H$60,$B$18:$B$60,$D$211,$D$18:$D$60,"Fora Ponta"))))</f>
        <v>0</v>
      </c>
      <c r="N212" s="283">
        <f t="shared" ref="N212:N222" si="48">+(H212*(L212-J212))+(I212*(M212-K212))</f>
        <v>0</v>
      </c>
    </row>
    <row r="213" spans="3:14" ht="15.75">
      <c r="C213" s="277"/>
      <c r="D213" s="1326" t="s">
        <v>1330</v>
      </c>
      <c r="E213" s="1327" t="s">
        <v>1331</v>
      </c>
      <c r="F213" s="274"/>
      <c r="G213" s="275">
        <f t="shared" si="45"/>
        <v>44440</v>
      </c>
      <c r="H213" s="276">
        <f t="shared" si="45"/>
        <v>0</v>
      </c>
      <c r="I213" s="276">
        <f t="shared" si="45"/>
        <v>0</v>
      </c>
      <c r="J213" s="276">
        <f t="shared" si="46"/>
        <v>0</v>
      </c>
      <c r="K213" s="276">
        <f t="shared" si="47"/>
        <v>0</v>
      </c>
      <c r="L213" s="276">
        <f>IF(MONTH(DataRevRea)=7,'Rede Básica + Ajuste'!J213,IF(G213&lt;$Q$69,(SUMIFS($G$18:$G$60,$B$18:$B$60,$D$211,$D$18:$D$60,"Ponta")),(SUMIFS($H$18:$H$60,$B$18:$B$60,$D$211,$D$18:$D$60,"Ponta"))))</f>
        <v>0</v>
      </c>
      <c r="M213" s="276">
        <f>IF(MONTH(DataRevRea)=7,'Rede Básica + Ajuste'!K213,IF(G213&lt;$Q$69,(SUMIFS($G$18:$G$60,$B$18:$B$60,$D$211,$D$18:$D$60,"Fora Ponta")),(SUMIFS($H$18:$H$60,$B$18:$B$60,$D$211,$D$18:$D$60,"Fora Ponta"))))</f>
        <v>0</v>
      </c>
      <c r="N213" s="283">
        <f t="shared" si="48"/>
        <v>0</v>
      </c>
    </row>
    <row r="214" spans="3:14" ht="15.75">
      <c r="C214" s="1328" t="str">
        <f>C199</f>
        <v>Cobertura 2021</v>
      </c>
      <c r="D214" s="1329">
        <f>SUMPRODUCT(H211:H222,J211:J222)</f>
        <v>0</v>
      </c>
      <c r="E214" s="1329">
        <f>SUMPRODUCT(I211:I222,K211:K222)</f>
        <v>0</v>
      </c>
      <c r="F214" s="274"/>
      <c r="G214" s="275">
        <f t="shared" si="45"/>
        <v>44470</v>
      </c>
      <c r="H214" s="276">
        <f t="shared" si="45"/>
        <v>0</v>
      </c>
      <c r="I214" s="276">
        <f t="shared" si="45"/>
        <v>0</v>
      </c>
      <c r="J214" s="276">
        <f t="shared" si="46"/>
        <v>0</v>
      </c>
      <c r="K214" s="276">
        <f t="shared" si="47"/>
        <v>0</v>
      </c>
      <c r="L214" s="276">
        <f>IF(MONTH(DataRevRea)=7,'Rede Básica + Ajuste'!J214,IF(G214&lt;$Q$69,(SUMIFS($G$18:$G$60,$B$18:$B$60,$D$211,$D$18:$D$60,"Ponta")),(SUMIFS($H$18:$H$60,$B$18:$B$60,$D$211,$D$18:$D$60,"Ponta"))))</f>
        <v>0</v>
      </c>
      <c r="M214" s="276">
        <f>IF(MONTH(DataRevRea)=7,'Rede Básica + Ajuste'!K214,IF(G214&lt;$Q$69,(SUMIFS($G$18:$G$60,$B$18:$B$60,$D$211,$D$18:$D$60,"Fora Ponta")),(SUMIFS($H$18:$H$60,$B$18:$B$60,$D$211,$D$18:$D$60,"Fora Ponta"))))</f>
        <v>0</v>
      </c>
      <c r="N214" s="283">
        <f t="shared" si="48"/>
        <v>0</v>
      </c>
    </row>
    <row r="215" spans="3:14" ht="15.75">
      <c r="C215" s="1328" t="s">
        <v>1332</v>
      </c>
      <c r="D215" s="1329">
        <f>SUMPRODUCT(H211:H222,L211:L222)</f>
        <v>0</v>
      </c>
      <c r="E215" s="1329">
        <f>SUMPRODUCT(I211:I222,M211:M222)</f>
        <v>0</v>
      </c>
      <c r="F215" s="274"/>
      <c r="G215" s="275">
        <f t="shared" si="45"/>
        <v>44501</v>
      </c>
      <c r="H215" s="276">
        <f t="shared" si="45"/>
        <v>0</v>
      </c>
      <c r="I215" s="276">
        <f t="shared" si="45"/>
        <v>0</v>
      </c>
      <c r="J215" s="276">
        <f t="shared" si="46"/>
        <v>0</v>
      </c>
      <c r="K215" s="276">
        <f t="shared" si="47"/>
        <v>0</v>
      </c>
      <c r="L215" s="276">
        <f>IF(MONTH(DataRevRea)=7,'Rede Básica + Ajuste'!J215,IF(G215&lt;$Q$69,(SUMIFS($G$18:$G$60,$B$18:$B$60,$D$211,$D$18:$D$60,"Ponta")),(SUMIFS($H$18:$H$60,$B$18:$B$60,$D$211,$D$18:$D$60,"Ponta"))))</f>
        <v>0</v>
      </c>
      <c r="M215" s="276">
        <f>IF(MONTH(DataRevRea)=7,'Rede Básica + Ajuste'!K215,IF(G215&lt;$Q$69,(SUMIFS($G$18:$G$60,$B$18:$B$60,$D$211,$D$18:$D$60,"Fora Ponta")),(SUMIFS($H$18:$H$60,$B$18:$B$60,$D$211,$D$18:$D$60,"Fora Ponta"))))</f>
        <v>0</v>
      </c>
      <c r="N215" s="283">
        <f t="shared" si="48"/>
        <v>0</v>
      </c>
    </row>
    <row r="216" spans="3:14" ht="15.75">
      <c r="C216" s="274"/>
      <c r="D216" s="274"/>
      <c r="E216" s="274"/>
      <c r="F216" s="274"/>
      <c r="G216" s="275">
        <f t="shared" si="45"/>
        <v>44531</v>
      </c>
      <c r="H216" s="276">
        <f t="shared" si="45"/>
        <v>0</v>
      </c>
      <c r="I216" s="276">
        <f t="shared" si="45"/>
        <v>0</v>
      </c>
      <c r="J216" s="276">
        <f t="shared" si="46"/>
        <v>0</v>
      </c>
      <c r="K216" s="276">
        <f t="shared" si="47"/>
        <v>0</v>
      </c>
      <c r="L216" s="276">
        <f>IF(MONTH(DataRevRea)=7,'Rede Básica + Ajuste'!J216,IF(G216&lt;$Q$69,(SUMIFS($G$18:$G$60,$B$18:$B$60,$D$211,$D$18:$D$60,"Ponta")),(SUMIFS($H$18:$H$60,$B$18:$B$60,$D$211,$D$18:$D$60,"Ponta"))))</f>
        <v>0</v>
      </c>
      <c r="M216" s="276">
        <f>IF(MONTH(DataRevRea)=7,'Rede Básica + Ajuste'!K216,IF(G216&lt;$Q$69,(SUMIFS($G$18:$G$60,$B$18:$B$60,$D$211,$D$18:$D$60,"Fora Ponta")),(SUMIFS($H$18:$H$60,$B$18:$B$60,$D$211,$D$18:$D$60,"Fora Ponta"))))</f>
        <v>0</v>
      </c>
      <c r="N216" s="283">
        <f t="shared" si="48"/>
        <v>0</v>
      </c>
    </row>
    <row r="217" spans="3:14" ht="15.75">
      <c r="C217" s="286"/>
      <c r="D217" s="286"/>
      <c r="E217" s="286"/>
      <c r="F217" s="274"/>
      <c r="G217" s="275">
        <f t="shared" si="45"/>
        <v>44562</v>
      </c>
      <c r="H217" s="276">
        <f t="shared" si="45"/>
        <v>0</v>
      </c>
      <c r="I217" s="276">
        <f t="shared" si="45"/>
        <v>0</v>
      </c>
      <c r="J217" s="276">
        <f t="shared" si="46"/>
        <v>0</v>
      </c>
      <c r="K217" s="276">
        <f t="shared" si="47"/>
        <v>0</v>
      </c>
      <c r="L217" s="276">
        <f>IF(MONTH(DataRevRea)=7,'Rede Básica + Ajuste'!J217,IF(G217&lt;$Q$69,(SUMIFS($G$18:$G$60,$B$18:$B$60,$D$211,$D$18:$D$60,"Ponta")),(SUMIFS($H$18:$H$60,$B$18:$B$60,$D$211,$D$18:$D$60,"Ponta"))))</f>
        <v>0</v>
      </c>
      <c r="M217" s="276">
        <f>IF(MONTH(DataRevRea)=7,'Rede Básica + Ajuste'!K217,IF(G217&lt;$Q$69,(SUMIFS($G$18:$G$60,$B$18:$B$60,$D$211,$D$18:$D$60,"Fora Ponta")),(SUMIFS($H$18:$H$60,$B$18:$B$60,$D$211,$D$18:$D$60,"Fora Ponta"))))</f>
        <v>0</v>
      </c>
      <c r="N217" s="283">
        <f t="shared" si="48"/>
        <v>0</v>
      </c>
    </row>
    <row r="218" spans="3:14" ht="15.75">
      <c r="C218" s="278"/>
      <c r="D218" s="278"/>
      <c r="E218" s="287"/>
      <c r="F218" s="274"/>
      <c r="G218" s="275">
        <f t="shared" si="45"/>
        <v>44593</v>
      </c>
      <c r="H218" s="276">
        <f t="shared" si="45"/>
        <v>0</v>
      </c>
      <c r="I218" s="276">
        <f t="shared" si="45"/>
        <v>0</v>
      </c>
      <c r="J218" s="276">
        <f t="shared" si="46"/>
        <v>0</v>
      </c>
      <c r="K218" s="276">
        <f t="shared" si="47"/>
        <v>0</v>
      </c>
      <c r="L218" s="276">
        <f>IF(MONTH(DataRevRea)=7,'Rede Básica + Ajuste'!J218,IF(G218&lt;$Q$69,(SUMIFS($G$18:$G$60,$B$18:$B$60,$D$211,$D$18:$D$60,"Ponta")),(SUMIFS($H$18:$H$60,$B$18:$B$60,$D$211,$D$18:$D$60,"Ponta"))))</f>
        <v>0</v>
      </c>
      <c r="M218" s="276">
        <f>IF(MONTH(DataRevRea)=7,'Rede Básica + Ajuste'!K218,IF(G218&lt;$Q$69,(SUMIFS($G$18:$G$60,$B$18:$B$60,$D$211,$D$18:$D$60,"Fora Ponta")),(SUMIFS($H$18:$H$60,$B$18:$B$60,$D$211,$D$18:$D$60,"Fora Ponta"))))</f>
        <v>0</v>
      </c>
      <c r="N218" s="283">
        <f t="shared" si="48"/>
        <v>0</v>
      </c>
    </row>
    <row r="219" spans="3:14" ht="15.75">
      <c r="C219" s="288"/>
      <c r="D219" s="278"/>
      <c r="E219" s="287"/>
      <c r="F219" s="274"/>
      <c r="G219" s="275">
        <f t="shared" si="45"/>
        <v>44621</v>
      </c>
      <c r="H219" s="276">
        <f t="shared" si="45"/>
        <v>0</v>
      </c>
      <c r="I219" s="276">
        <f t="shared" si="45"/>
        <v>0</v>
      </c>
      <c r="J219" s="276">
        <f t="shared" si="46"/>
        <v>0</v>
      </c>
      <c r="K219" s="276">
        <f t="shared" si="47"/>
        <v>0</v>
      </c>
      <c r="L219" s="276">
        <f>IF(MONTH(DataRevRea)=7,'Rede Básica + Ajuste'!J219,IF(G219&lt;$Q$69,(SUMIFS($G$18:$G$60,$B$18:$B$60,$D$211,$D$18:$D$60,"Ponta")),(SUMIFS($H$18:$H$60,$B$18:$B$60,$D$211,$D$18:$D$60,"Ponta"))))</f>
        <v>0</v>
      </c>
      <c r="M219" s="276">
        <f>IF(MONTH(DataRevRea)=7,'Rede Básica + Ajuste'!K219,IF(G219&lt;$Q$69,(SUMIFS($G$18:$G$60,$B$18:$B$60,$D$211,$D$18:$D$60,"Fora Ponta")),(SUMIFS($H$18:$H$60,$B$18:$B$60,$D$211,$D$18:$D$60,"Fora Ponta"))))</f>
        <v>0</v>
      </c>
      <c r="N219" s="283">
        <f t="shared" si="48"/>
        <v>0</v>
      </c>
    </row>
    <row r="220" spans="3:14" ht="15.75">
      <c r="C220" s="274"/>
      <c r="D220" s="274"/>
      <c r="E220" s="274"/>
      <c r="F220" s="274"/>
      <c r="G220" s="275">
        <f t="shared" si="45"/>
        <v>44652</v>
      </c>
      <c r="H220" s="276">
        <f t="shared" si="45"/>
        <v>0</v>
      </c>
      <c r="I220" s="276">
        <f t="shared" si="45"/>
        <v>0</v>
      </c>
      <c r="J220" s="276">
        <f t="shared" si="46"/>
        <v>0</v>
      </c>
      <c r="K220" s="276">
        <f t="shared" si="47"/>
        <v>0</v>
      </c>
      <c r="L220" s="276">
        <f>IF(MONTH(DataRevRea)=7,'Rede Básica + Ajuste'!J220,IF(G220&lt;$Q$69,(SUMIFS($G$18:$G$60,$B$18:$B$60,$D$211,$D$18:$D$60,"Ponta")),(SUMIFS($H$18:$H$60,$B$18:$B$60,$D$211,$D$18:$D$60,"Ponta"))))</f>
        <v>0</v>
      </c>
      <c r="M220" s="276">
        <f>IF(MONTH(DataRevRea)=7,'Rede Básica + Ajuste'!K220,IF(G220&lt;$Q$69,(SUMIFS($G$18:$G$60,$B$18:$B$60,$D$211,$D$18:$D$60,"Fora Ponta")),(SUMIFS($H$18:$H$60,$B$18:$B$60,$D$211,$D$18:$D$60,"Fora Ponta"))))</f>
        <v>0</v>
      </c>
      <c r="N220" s="283">
        <f t="shared" si="48"/>
        <v>0</v>
      </c>
    </row>
    <row r="221" spans="3:14" ht="15.75">
      <c r="C221" s="280"/>
      <c r="D221" s="280"/>
      <c r="E221" s="280"/>
      <c r="F221" s="274"/>
      <c r="G221" s="275">
        <f t="shared" si="45"/>
        <v>44682</v>
      </c>
      <c r="H221" s="276">
        <f t="shared" si="45"/>
        <v>0</v>
      </c>
      <c r="I221" s="276">
        <f t="shared" si="45"/>
        <v>0</v>
      </c>
      <c r="J221" s="276">
        <f t="shared" si="46"/>
        <v>0</v>
      </c>
      <c r="K221" s="276">
        <f t="shared" si="47"/>
        <v>0</v>
      </c>
      <c r="L221" s="276">
        <f>IF(MONTH(DataRevRea)=7,'Rede Básica + Ajuste'!J221,IF(G221&lt;$Q$69,(SUMIFS($G$18:$G$60,$B$18:$B$60,$D$211,$D$18:$D$60,"Ponta")),(SUMIFS($H$18:$H$60,$B$18:$B$60,$D$211,$D$18:$D$60,"Ponta"))))</f>
        <v>0</v>
      </c>
      <c r="M221" s="276">
        <f>IF(MONTH(DataRevRea)=7,'Rede Básica + Ajuste'!K221,IF(G221&lt;$Q$69,(SUMIFS($G$18:$G$60,$B$18:$B$60,$D$211,$D$18:$D$60,"Fora Ponta")),(SUMIFS($H$18:$H$60,$B$18:$B$60,$D$211,$D$18:$D$60,"Fora Ponta"))))</f>
        <v>0</v>
      </c>
      <c r="N221" s="283">
        <f t="shared" si="48"/>
        <v>0</v>
      </c>
    </row>
    <row r="222" spans="3:14" ht="15.75">
      <c r="C222" s="278"/>
      <c r="D222" s="279"/>
      <c r="E222" s="278"/>
      <c r="F222" s="274"/>
      <c r="G222" s="1660">
        <f t="shared" si="45"/>
        <v>44713</v>
      </c>
      <c r="H222" s="1661">
        <f t="shared" si="45"/>
        <v>0</v>
      </c>
      <c r="I222" s="1661">
        <f t="shared" si="45"/>
        <v>0</v>
      </c>
      <c r="J222" s="1661">
        <f t="shared" si="46"/>
        <v>0</v>
      </c>
      <c r="K222" s="1661">
        <f t="shared" si="47"/>
        <v>0</v>
      </c>
      <c r="L222" s="1661">
        <f>IF(MONTH(DataRevRea)=7,'Rede Básica + Ajuste'!J222,IF(G222&lt;$Q$69,(SUMIFS($G$18:$G$60,$B$18:$B$60,$D$211,$D$18:$D$60,"Ponta")),(SUMIFS($H$18:$H$60,$B$18:$B$60,$D$211,$D$18:$D$60,"Ponta"))))</f>
        <v>0</v>
      </c>
      <c r="M222" s="1661">
        <f>IF(MONTH(DataRevRea)=7,'Rede Básica + Ajuste'!K222,IF(G222&lt;$Q$69,(SUMIFS($G$18:$G$60,$B$18:$B$60,$D$211,$D$18:$D$60,"Fora Ponta")),(SUMIFS($H$18:$H$60,$B$18:$B$60,$D$211,$D$18:$D$60,"Fora Ponta"))))</f>
        <v>0</v>
      </c>
      <c r="N222" s="1662">
        <f t="shared" si="48"/>
        <v>0</v>
      </c>
    </row>
  </sheetData>
  <mergeCells count="40">
    <mergeCell ref="M15:Y16"/>
    <mergeCell ref="E16:F16"/>
    <mergeCell ref="G16:H16"/>
    <mergeCell ref="I16:J16"/>
    <mergeCell ref="K16:L16"/>
    <mergeCell ref="B15:B17"/>
    <mergeCell ref="C15:C17"/>
    <mergeCell ref="D15:D17"/>
    <mergeCell ref="E15:H15"/>
    <mergeCell ref="I15:L15"/>
    <mergeCell ref="J209:K209"/>
    <mergeCell ref="L209:M209"/>
    <mergeCell ref="C210:D210"/>
    <mergeCell ref="J179:K179"/>
    <mergeCell ref="L179:M179"/>
    <mergeCell ref="C180:D180"/>
    <mergeCell ref="J194:K194"/>
    <mergeCell ref="L194:M194"/>
    <mergeCell ref="C195:D195"/>
    <mergeCell ref="C120:D120"/>
    <mergeCell ref="C135:D135"/>
    <mergeCell ref="C150:D150"/>
    <mergeCell ref="J164:K164"/>
    <mergeCell ref="L164:M164"/>
    <mergeCell ref="L74:M74"/>
    <mergeCell ref="J74:K74"/>
    <mergeCell ref="C165:D165"/>
    <mergeCell ref="C75:D75"/>
    <mergeCell ref="J89:K89"/>
    <mergeCell ref="L89:M89"/>
    <mergeCell ref="J104:K104"/>
    <mergeCell ref="L104:M104"/>
    <mergeCell ref="J119:K119"/>
    <mergeCell ref="L119:M119"/>
    <mergeCell ref="C90:D90"/>
    <mergeCell ref="C105:D105"/>
    <mergeCell ref="J134:K134"/>
    <mergeCell ref="L134:M134"/>
    <mergeCell ref="J149:K149"/>
    <mergeCell ref="L149:M149"/>
  </mergeCells>
  <conditionalFormatting sqref="B17">
    <cfRule type="cellIs" dxfId="49" priority="7" stopIfTrue="1" operator="equal">
      <formula>"d"</formula>
    </cfRule>
  </conditionalFormatting>
  <conditionalFormatting sqref="B16">
    <cfRule type="cellIs" dxfId="48" priority="6" stopIfTrue="1" operator="equal">
      <formula>"d"</formula>
    </cfRule>
  </conditionalFormatting>
  <conditionalFormatting sqref="B18:Y60">
    <cfRule type="cellIs" dxfId="47" priority="1" stopIfTrue="1" operator="equal">
      <formula>"d"</formula>
    </cfRule>
  </conditionalFormatting>
  <pageMargins left="0.75" right="0.75" top="1" bottom="1" header="0.49212598499999999" footer="0.49212598499999999"/>
  <pageSetup paperSize="9" orientation="portrait" r:id="rId1"/>
  <headerFooter alignWithMargins="0"/>
  <ignoredErrors>
    <ignoredError sqref="E11:G11 C10:E10 D9:E9" unlockedFormula="1"/>
  </ignoredErrors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Plan28">
    <tabColor theme="3" tint="0.39997558519241921"/>
    <outlinePr summaryRight="0"/>
  </sheetPr>
  <dimension ref="B1:AM82"/>
  <sheetViews>
    <sheetView showGridLines="0" zoomScale="80" zoomScaleNormal="80" workbookViewId="0">
      <selection activeCell="D41" sqref="D41"/>
    </sheetView>
  </sheetViews>
  <sheetFormatPr defaultColWidth="9.140625" defaultRowHeight="14.25"/>
  <cols>
    <col min="1" max="1" width="3.28515625" style="150" customWidth="1"/>
    <col min="2" max="2" width="35.85546875" style="150" customWidth="1"/>
    <col min="3" max="3" width="16.5703125" style="150" customWidth="1"/>
    <col min="4" max="4" width="17.5703125" style="150" customWidth="1"/>
    <col min="5" max="5" width="18.28515625" style="153" customWidth="1"/>
    <col min="6" max="6" width="12.7109375" style="153" customWidth="1"/>
    <col min="7" max="7" width="15.85546875" style="150" customWidth="1"/>
    <col min="8" max="8" width="12.5703125" style="150" customWidth="1"/>
    <col min="9" max="9" width="11.140625" style="150" customWidth="1"/>
    <col min="10" max="10" width="6" style="150" hidden="1" customWidth="1"/>
    <col min="11" max="11" width="2.28515625" style="150" hidden="1" customWidth="1"/>
    <col min="12" max="12" width="11.140625" style="150" hidden="1" customWidth="1"/>
    <col min="13" max="18" width="11.140625" style="150" customWidth="1"/>
    <col min="19" max="19" width="15.85546875" style="150" customWidth="1"/>
    <col min="20" max="20" width="5.42578125" style="150" customWidth="1"/>
    <col min="21" max="22" width="5.28515625" style="150" customWidth="1"/>
    <col min="23" max="23" width="11" style="150" customWidth="1"/>
    <col min="24" max="24" width="9.140625" style="150" customWidth="1"/>
    <col min="25" max="25" width="5.7109375" style="150" customWidth="1"/>
    <col min="26" max="26" width="2.28515625" style="150" bestFit="1" customWidth="1"/>
    <col min="27" max="16384" width="9.140625" style="150"/>
  </cols>
  <sheetData>
    <row r="1" spans="2:39" ht="24" customHeight="1">
      <c r="B1" s="1019" t="s">
        <v>764</v>
      </c>
      <c r="C1" s="1115"/>
      <c r="D1" s="1020"/>
      <c r="E1" s="1302"/>
      <c r="F1" s="1302"/>
      <c r="G1" s="1224" t="s">
        <v>1007</v>
      </c>
      <c r="H1" s="1225">
        <f ca="1">LnkTXTIRTEco</f>
        <v>0.1605</v>
      </c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AK1" s="183" t="s">
        <v>1334</v>
      </c>
      <c r="AL1" s="184">
        <v>7947</v>
      </c>
      <c r="AM1" s="183" t="s">
        <v>1335</v>
      </c>
    </row>
    <row r="2" spans="2:39" ht="15" thickBot="1">
      <c r="B2" s="138" t="str">
        <f>CAPA!C9</f>
        <v>Ceris</v>
      </c>
      <c r="C2" s="70"/>
      <c r="D2" s="70"/>
      <c r="G2" s="121" t="s">
        <v>1011</v>
      </c>
      <c r="H2" s="122">
        <f ca="1">LnkTXTIRTTotal</f>
        <v>-6.0499999999999998E-2</v>
      </c>
      <c r="I2" s="154"/>
      <c r="J2" s="154"/>
      <c r="K2" s="154"/>
      <c r="L2" s="154"/>
      <c r="M2" s="154"/>
      <c r="N2" s="154"/>
      <c r="O2" s="154"/>
      <c r="P2" s="154"/>
      <c r="Q2" s="154"/>
      <c r="R2" s="154"/>
      <c r="S2" s="154"/>
      <c r="T2" s="68"/>
      <c r="U2" s="68"/>
      <c r="V2" s="68"/>
      <c r="W2" s="68"/>
      <c r="X2" s="68"/>
      <c r="AK2" s="185" t="s">
        <v>1336</v>
      </c>
      <c r="AL2" s="186">
        <v>7959</v>
      </c>
      <c r="AM2" s="187" t="s">
        <v>1337</v>
      </c>
    </row>
    <row r="3" spans="2:39" ht="15" thickBot="1">
      <c r="B3" s="155"/>
      <c r="C3" s="155"/>
      <c r="D3" s="155"/>
      <c r="E3" s="155"/>
      <c r="F3" s="155"/>
      <c r="G3" s="155"/>
      <c r="H3" s="154"/>
      <c r="I3" s="154"/>
      <c r="J3" s="154"/>
      <c r="K3" s="154"/>
      <c r="L3" s="154"/>
      <c r="M3" s="154"/>
      <c r="N3" s="154"/>
      <c r="O3" s="154"/>
      <c r="P3" s="154"/>
      <c r="Q3" s="154"/>
      <c r="R3" s="154"/>
      <c r="S3" s="154"/>
      <c r="T3" s="68"/>
      <c r="U3" s="68"/>
      <c r="V3" s="68"/>
      <c r="W3" s="68"/>
      <c r="X3" s="68"/>
      <c r="AK3" s="169"/>
      <c r="AL3" s="170"/>
      <c r="AM3" s="171"/>
    </row>
    <row r="4" spans="2:39" ht="15" thickBot="1">
      <c r="S4" s="68"/>
      <c r="T4" s="68"/>
      <c r="U4" s="68"/>
      <c r="V4" s="68"/>
      <c r="W4" s="68"/>
      <c r="X4" s="68"/>
      <c r="AK4" s="169" t="s">
        <v>1338</v>
      </c>
      <c r="AL4" s="170">
        <v>7972</v>
      </c>
      <c r="AM4" s="171" t="s">
        <v>1339</v>
      </c>
    </row>
    <row r="5" spans="2:39" ht="29.25" thickBot="1">
      <c r="B5" s="1306" t="s">
        <v>1340</v>
      </c>
      <c r="C5" s="1306" t="s">
        <v>1341</v>
      </c>
      <c r="D5" s="1306" t="s">
        <v>1342</v>
      </c>
      <c r="E5" s="1306" t="s">
        <v>1343</v>
      </c>
      <c r="F5" s="1306" t="s">
        <v>1344</v>
      </c>
      <c r="G5" s="1306" t="s">
        <v>1345</v>
      </c>
      <c r="J5" s="157" t="s">
        <v>1346</v>
      </c>
      <c r="K5" s="168">
        <v>2</v>
      </c>
      <c r="M5" s="95"/>
      <c r="S5" s="68"/>
      <c r="T5" s="68"/>
      <c r="U5" s="68"/>
      <c r="V5" s="68"/>
      <c r="W5" s="68"/>
      <c r="X5" s="68"/>
      <c r="AK5" s="169" t="s">
        <v>1347</v>
      </c>
      <c r="AL5" s="170">
        <v>7973</v>
      </c>
      <c r="AM5" s="171" t="s">
        <v>1348</v>
      </c>
    </row>
    <row r="6" spans="2:39" ht="15" thickBot="1">
      <c r="B6" s="393">
        <f>RBBD!B304</f>
        <v>0</v>
      </c>
      <c r="C6" s="394">
        <f>SUM(RBBD!D304:E304)</f>
        <v>0</v>
      </c>
      <c r="D6" s="395">
        <f>SUM(RBBD!F304:G304)</f>
        <v>0</v>
      </c>
      <c r="E6" s="395">
        <f>SUM(RBBD!H304:I304)</f>
        <v>0</v>
      </c>
      <c r="F6" s="394">
        <f>RBBD!C304</f>
        <v>0</v>
      </c>
      <c r="G6" s="394">
        <f>SUM(C6:E6)</f>
        <v>0</v>
      </c>
      <c r="J6" s="157" t="s">
        <v>899</v>
      </c>
      <c r="K6" s="168">
        <v>3</v>
      </c>
      <c r="AK6" s="169" t="s">
        <v>1349</v>
      </c>
      <c r="AL6" s="170">
        <v>7974</v>
      </c>
      <c r="AM6" s="171" t="s">
        <v>1350</v>
      </c>
    </row>
    <row r="7" spans="2:39" ht="15" thickBot="1">
      <c r="B7" s="393">
        <f>RBBD!B305</f>
        <v>0</v>
      </c>
      <c r="C7" s="394">
        <f>SUM(RBBD!D305:E305)</f>
        <v>0</v>
      </c>
      <c r="D7" s="395">
        <f>SUM(RBBD!F305:G305)</f>
        <v>0</v>
      </c>
      <c r="E7" s="395">
        <f>SUM(RBBD!H305:I305)</f>
        <v>0</v>
      </c>
      <c r="F7" s="394">
        <f>RBBD!C305</f>
        <v>0</v>
      </c>
      <c r="G7" s="394">
        <f>SUM(C7:E7)</f>
        <v>0</v>
      </c>
      <c r="J7" s="157"/>
      <c r="K7" s="157"/>
      <c r="AK7" s="169" t="s">
        <v>1351</v>
      </c>
      <c r="AL7" s="170">
        <v>7977</v>
      </c>
      <c r="AM7" s="171" t="s">
        <v>1352</v>
      </c>
    </row>
    <row r="8" spans="2:39" ht="15" thickBot="1">
      <c r="B8" s="393">
        <f>RBBD!B306</f>
        <v>0</v>
      </c>
      <c r="C8" s="394">
        <f>SUM(RBBD!D306:E306)</f>
        <v>0</v>
      </c>
      <c r="D8" s="395">
        <f>SUM(RBBD!F306:G306)</f>
        <v>0</v>
      </c>
      <c r="E8" s="395">
        <f>SUM(RBBD!H306:I306)</f>
        <v>0</v>
      </c>
      <c r="F8" s="394">
        <f>RBBD!C306</f>
        <v>0</v>
      </c>
      <c r="G8" s="394">
        <f>SUM(C8:E8)</f>
        <v>0</v>
      </c>
      <c r="AK8" s="169" t="s">
        <v>1353</v>
      </c>
      <c r="AL8" s="170">
        <v>7978</v>
      </c>
      <c r="AM8" s="171" t="s">
        <v>1354</v>
      </c>
    </row>
    <row r="9" spans="2:39" ht="15" thickBot="1">
      <c r="B9" s="393">
        <f>RBBD!B307</f>
        <v>0</v>
      </c>
      <c r="C9" s="394">
        <f>SUM(RBBD!D307:E307)</f>
        <v>0</v>
      </c>
      <c r="D9" s="395">
        <f>SUM(RBBD!F307:G307)</f>
        <v>0</v>
      </c>
      <c r="E9" s="395">
        <f>SUM(RBBD!H307:I307)</f>
        <v>0</v>
      </c>
      <c r="F9" s="394">
        <f>RBBD!C307</f>
        <v>0</v>
      </c>
      <c r="G9" s="394">
        <f>SUM(C9:E9)</f>
        <v>0</v>
      </c>
      <c r="AK9" s="169" t="s">
        <v>1355</v>
      </c>
      <c r="AL9" s="170">
        <v>7979</v>
      </c>
      <c r="AM9" s="171" t="s">
        <v>1356</v>
      </c>
    </row>
    <row r="10" spans="2:39" ht="15" thickBot="1">
      <c r="B10" s="393">
        <f>RBBD!B308</f>
        <v>0</v>
      </c>
      <c r="C10" s="394">
        <f>SUM(RBBD!D308:E308)</f>
        <v>0</v>
      </c>
      <c r="D10" s="395">
        <f>SUM(RBBD!F308:G308)</f>
        <v>0</v>
      </c>
      <c r="E10" s="395">
        <f>SUM(RBBD!H308:I308)</f>
        <v>0</v>
      </c>
      <c r="F10" s="394">
        <f>RBBD!C308</f>
        <v>0</v>
      </c>
      <c r="G10" s="394">
        <f>SUM(C10:E10)</f>
        <v>0</v>
      </c>
      <c r="AK10" s="169" t="s">
        <v>1357</v>
      </c>
      <c r="AL10" s="170">
        <v>8047</v>
      </c>
      <c r="AM10" s="171" t="s">
        <v>1358</v>
      </c>
    </row>
    <row r="11" spans="2:39" ht="15" thickBot="1">
      <c r="B11" s="1331" t="s">
        <v>888</v>
      </c>
      <c r="C11" s="1332">
        <f>SUM(C6:C10)</f>
        <v>0</v>
      </c>
      <c r="D11" s="1332">
        <f>SUM(D6:D10)</f>
        <v>0</v>
      </c>
      <c r="E11" s="1333">
        <f>SUM(E6:E10)</f>
        <v>0</v>
      </c>
      <c r="F11" s="1334"/>
      <c r="G11" s="1335">
        <f>SUM(G6:G10)</f>
        <v>0</v>
      </c>
      <c r="AK11" s="169" t="s">
        <v>1359</v>
      </c>
      <c r="AL11" s="170">
        <v>8049</v>
      </c>
      <c r="AM11" s="171" t="s">
        <v>1360</v>
      </c>
    </row>
    <row r="12" spans="2:39" ht="15" thickBot="1">
      <c r="B12" s="165"/>
      <c r="C12" s="164"/>
      <c r="D12" s="1336" t="s">
        <v>1361</v>
      </c>
      <c r="E12" s="1336"/>
      <c r="F12" s="1337">
        <f>IF(MONTH(CAPA!C15)&gt;6,DATE(YEAR(CAPA!C15),6,1),DATE(YEAR(CAPA!C15)-1,6,1))</f>
        <v>44713</v>
      </c>
      <c r="G12" s="188"/>
      <c r="AK12" s="169" t="s">
        <v>1362</v>
      </c>
      <c r="AL12" s="170">
        <v>8050</v>
      </c>
      <c r="AM12" s="171" t="s">
        <v>1363</v>
      </c>
    </row>
    <row r="13" spans="2:39" ht="15" thickBot="1">
      <c r="B13" s="181"/>
      <c r="C13" s="181"/>
      <c r="D13" s="181"/>
      <c r="F13" s="182" t="s">
        <v>1364</v>
      </c>
      <c r="AK13" s="169"/>
      <c r="AL13" s="170"/>
      <c r="AM13" s="171"/>
    </row>
    <row r="14" spans="2:39" ht="15" thickBot="1">
      <c r="B14" s="181"/>
      <c r="C14" s="181"/>
      <c r="AK14" s="169" t="s">
        <v>1365</v>
      </c>
      <c r="AL14" s="170">
        <v>8051</v>
      </c>
      <c r="AM14" s="171" t="s">
        <v>1366</v>
      </c>
    </row>
    <row r="15" spans="2:39" ht="29.25" thickBot="1">
      <c r="B15" s="1306" t="s">
        <v>1340</v>
      </c>
      <c r="C15" s="1306" t="s">
        <v>1341</v>
      </c>
      <c r="D15" s="1306" t="s">
        <v>1367</v>
      </c>
      <c r="E15" s="1306" t="s">
        <v>1368</v>
      </c>
      <c r="F15" s="150"/>
      <c r="AK15" s="169" t="s">
        <v>1369</v>
      </c>
      <c r="AL15" s="170">
        <v>8057</v>
      </c>
      <c r="AM15" s="171" t="s">
        <v>1370</v>
      </c>
    </row>
    <row r="16" spans="2:39" ht="15" thickBot="1">
      <c r="B16" s="189">
        <f>B6</f>
        <v>0</v>
      </c>
      <c r="C16" s="190">
        <f>IFERROR(C6*VLOOKUP(DATE(YEAR(CAPA!$C$15),MONTH(CAPA!$C$15)-1,1),Índices!$B$7:$E$65000,VLOOKUP($F6,$J$5:$K$6,2,FALSE),FALSE)/VLOOKUP(DATE(YEAR($F$12),MONTH($F$12)-1,1),Índices!$B$7:$E$65000,VLOOKUP($F6,$J$5:$K$6,2,FALSE),FALSE)+D6*VLOOKUP(DATE(YEAR(CAPA!$C$15),MONTH(CAPA!$C$15)-1,1),Índices!$B$7:$E$65000,VLOOKUP($F6,$J$5:$K$6,2,FALSE),FALSE)/VLOOKUP(DATE(YEAR($F$12),MONTH($F$12)-1,1),Índices!$B$7:$E$65000,VLOOKUP($F6,$J$5:$K$6,2,FALSE),FALSE),0)</f>
        <v>0</v>
      </c>
      <c r="D16" s="191"/>
      <c r="E16" s="190">
        <f>SUM(C16:D16)</f>
        <v>0</v>
      </c>
      <c r="F16" s="150"/>
      <c r="AK16" s="169" t="s">
        <v>1371</v>
      </c>
      <c r="AL16" s="170">
        <v>8058</v>
      </c>
      <c r="AM16" s="171" t="s">
        <v>1372</v>
      </c>
    </row>
    <row r="17" spans="2:39" ht="15" thickBot="1">
      <c r="B17" s="189">
        <f>B7</f>
        <v>0</v>
      </c>
      <c r="C17" s="190">
        <f>IFERROR(C7*VLOOKUP(DATE(YEAR(CAPA!$C$15),MONTH(CAPA!$C$15)-1,1),Índices!$B$7:$E$65000,VLOOKUP($F7,$J$5:$K$6,2,FALSE),FALSE)/VLOOKUP(DATE(YEAR($F$12),MONTH($F$12)-1,1),Índices!$B$7:$E$65000,VLOOKUP($F7,$J$5:$K$6,2,FALSE),FALSE)+D7*VLOOKUP(DATE(YEAR(CAPA!$C$15),MONTH(CAPA!$C$15)-1,1),Índices!$B$7:$E$65000,VLOOKUP($F7,$J$5:$K$6,2,FALSE),FALSE)/VLOOKUP(DATE(YEAR($F$12),MONTH($F$12)-1,1),Índices!$B$7:$E$65000,VLOOKUP($F7,$J$5:$K$6,2,FALSE),FALSE),0)</f>
        <v>0</v>
      </c>
      <c r="D17" s="191"/>
      <c r="E17" s="190">
        <f>SUM(C17:D17)</f>
        <v>0</v>
      </c>
      <c r="F17" s="150"/>
      <c r="AK17" s="169" t="s">
        <v>1373</v>
      </c>
      <c r="AL17" s="170">
        <v>8220</v>
      </c>
      <c r="AM17" s="171" t="s">
        <v>1374</v>
      </c>
    </row>
    <row r="18" spans="2:39" ht="15" thickBot="1">
      <c r="B18" s="189">
        <f>B8</f>
        <v>0</v>
      </c>
      <c r="C18" s="190">
        <f>IFERROR(C8*VLOOKUP(DATE(YEAR(CAPA!$C$15),MONTH(CAPA!$C$15)-1,1),Índices!$B$7:$E$65000,VLOOKUP($F8,$J$5:$K$6,2,FALSE),FALSE)/VLOOKUP(DATE(YEAR($F$12),MONTH($F$12)-1,1),Índices!$B$7:$E$65000,VLOOKUP($F8,$J$5:$K$6,2,FALSE),FALSE)+D8*VLOOKUP(DATE(YEAR(CAPA!$C$15),MONTH(CAPA!$C$15)-1,1),Índices!$B$7:$E$65000,VLOOKUP($F8,$J$5:$K$6,2,FALSE),FALSE)/VLOOKUP(DATE(YEAR($F$12),MONTH($F$12)-1,1),Índices!$B$7:$E$65000,VLOOKUP($F8,$J$5:$K$6,2,FALSE),FALSE),0)</f>
        <v>0</v>
      </c>
      <c r="D18" s="191"/>
      <c r="E18" s="190">
        <f>SUM(C18:D18)</f>
        <v>0</v>
      </c>
      <c r="F18" s="150"/>
      <c r="AK18" s="169" t="s">
        <v>1375</v>
      </c>
      <c r="AL18" s="170">
        <v>8221</v>
      </c>
      <c r="AM18" s="171" t="s">
        <v>1376</v>
      </c>
    </row>
    <row r="19" spans="2:39" ht="15" thickBot="1">
      <c r="B19" s="189">
        <f>B9</f>
        <v>0</v>
      </c>
      <c r="C19" s="190">
        <f>IFERROR(C9*VLOOKUP(DATE(YEAR(CAPA!$C$15),MONTH(CAPA!$C$15)-1,1),Índices!$B$7:$E$65000,VLOOKUP($F9,$J$5:$K$6,2,FALSE),FALSE)/VLOOKUP(DATE(YEAR($F$12),MONTH($F$12)-1,1),Índices!$B$7:$E$65000,VLOOKUP($F9,$J$5:$K$6,2,FALSE),FALSE)+D9*VLOOKUP(DATE(YEAR(CAPA!$C$15),MONTH(CAPA!$C$15)-1,1),Índices!$B$7:$E$65000,VLOOKUP($F9,$J$5:$K$6,2,FALSE),FALSE)/VLOOKUP(DATE(YEAR($F$12),MONTH($F$12)-1,1),Índices!$B$7:$E$65000,VLOOKUP($F9,$J$5:$K$6,2,FALSE),FALSE),0)</f>
        <v>0</v>
      </c>
      <c r="D19" s="191"/>
      <c r="E19" s="190">
        <f>SUM(C19:D19)</f>
        <v>0</v>
      </c>
      <c r="F19" s="150"/>
      <c r="AK19" s="169" t="s">
        <v>1377</v>
      </c>
      <c r="AL19" s="170">
        <v>8231</v>
      </c>
      <c r="AM19" s="171" t="s">
        <v>1378</v>
      </c>
    </row>
    <row r="20" spans="2:39" ht="15" thickBot="1">
      <c r="B20" s="189">
        <f>B10</f>
        <v>0</v>
      </c>
      <c r="C20" s="190">
        <f>IFERROR(C10*VLOOKUP(DATE(YEAR(CAPA!$C$15),MONTH(CAPA!$C$15)-1,1),Índices!$B$7:$E$65000,VLOOKUP($F10,$J$5:$K$6,2,FALSE),FALSE)/VLOOKUP(DATE(YEAR($F$12),MONTH($F$12)-1,1),Índices!$B$7:$E$65000,VLOOKUP($F10,$J$5:$K$6,2,FALSE),FALSE)+D10*VLOOKUP(DATE(YEAR(CAPA!$C$15),MONTH(CAPA!$C$15)-1,1),Índices!$B$7:$E$65000,VLOOKUP($F10,$J$5:$K$6,2,FALSE),FALSE)/VLOOKUP(DATE(YEAR($F$12),MONTH($F$12)-1,1),Índices!$B$7:$E$65000,VLOOKUP($F10,$J$5:$K$6,2,FALSE),FALSE),0)</f>
        <v>0</v>
      </c>
      <c r="D20" s="191"/>
      <c r="E20" s="190">
        <f>SUM(C20:D20)</f>
        <v>0</v>
      </c>
      <c r="F20" s="150"/>
      <c r="AK20" s="169" t="s">
        <v>1379</v>
      </c>
      <c r="AL20" s="170">
        <v>8261</v>
      </c>
      <c r="AM20" s="171" t="s">
        <v>1380</v>
      </c>
    </row>
    <row r="21" spans="2:39">
      <c r="B21" s="1331" t="s">
        <v>888</v>
      </c>
      <c r="C21" s="1338">
        <f>SUM(C16:C20)</f>
        <v>0</v>
      </c>
      <c r="D21" s="1338">
        <f>SUM(D16:D20)</f>
        <v>0</v>
      </c>
      <c r="E21" s="1338">
        <f>SUM(E16:E20)</f>
        <v>0</v>
      </c>
      <c r="F21" s="150"/>
      <c r="AK21" s="172" t="s">
        <v>1381</v>
      </c>
      <c r="AL21" s="173">
        <v>8263</v>
      </c>
      <c r="AM21" s="174" t="s">
        <v>1382</v>
      </c>
    </row>
    <row r="24" spans="2:39">
      <c r="B24" s="175"/>
      <c r="C24" s="166"/>
      <c r="D24" s="166"/>
      <c r="E24" s="167"/>
      <c r="F24" s="167"/>
      <c r="G24" s="166"/>
      <c r="H24" s="166"/>
      <c r="I24" s="166"/>
    </row>
    <row r="25" spans="2:39">
      <c r="B25" s="72"/>
      <c r="C25" s="72"/>
      <c r="D25" s="72"/>
      <c r="E25" s="72"/>
      <c r="F25" s="72"/>
      <c r="G25" s="72"/>
      <c r="H25" s="72"/>
      <c r="I25" s="166"/>
    </row>
    <row r="26" spans="2:39">
      <c r="B26" s="72"/>
      <c r="C26" s="72"/>
      <c r="D26" s="72"/>
      <c r="E26" s="72"/>
      <c r="F26" s="176"/>
      <c r="G26" s="177"/>
      <c r="H26" s="116"/>
      <c r="I26" s="166"/>
    </row>
    <row r="27" spans="2:39">
      <c r="B27" s="97"/>
      <c r="C27" s="97"/>
      <c r="D27" s="97"/>
      <c r="E27" s="97"/>
      <c r="F27" s="97"/>
      <c r="G27" s="97"/>
      <c r="H27" s="97"/>
      <c r="I27" s="166"/>
    </row>
    <row r="28" spans="2:39">
      <c r="B28" s="175"/>
      <c r="C28" s="97"/>
      <c r="D28" s="97"/>
      <c r="E28" s="97"/>
      <c r="F28" s="97"/>
      <c r="G28" s="97"/>
      <c r="H28" s="97"/>
      <c r="I28" s="166"/>
    </row>
    <row r="29" spans="2:39">
      <c r="B29" s="178"/>
      <c r="C29" s="72"/>
      <c r="D29" s="72"/>
      <c r="E29" s="72"/>
      <c r="F29" s="72"/>
      <c r="G29" s="72"/>
      <c r="H29" s="89"/>
      <c r="I29" s="166"/>
    </row>
    <row r="30" spans="2:39">
      <c r="B30" s="178"/>
      <c r="C30" s="72"/>
      <c r="D30" s="72"/>
      <c r="E30" s="72"/>
      <c r="F30" s="72"/>
      <c r="G30" s="72"/>
      <c r="H30" s="89"/>
      <c r="I30" s="166"/>
    </row>
    <row r="31" spans="2:39">
      <c r="B31" s="178"/>
      <c r="C31" s="178"/>
      <c r="D31" s="178"/>
      <c r="E31" s="178"/>
      <c r="F31" s="178"/>
      <c r="G31" s="178"/>
      <c r="H31" s="179"/>
      <c r="I31" s="166"/>
    </row>
    <row r="32" spans="2:39">
      <c r="B32" s="166"/>
      <c r="C32" s="166"/>
      <c r="D32" s="166"/>
      <c r="E32" s="167"/>
      <c r="F32" s="167"/>
      <c r="G32" s="166"/>
      <c r="H32" s="166"/>
      <c r="I32" s="166"/>
    </row>
    <row r="33" spans="2:9">
      <c r="B33" s="166"/>
      <c r="C33" s="166"/>
      <c r="D33" s="166"/>
      <c r="E33" s="167"/>
      <c r="F33" s="167"/>
      <c r="G33" s="166"/>
      <c r="H33" s="166"/>
      <c r="I33" s="166"/>
    </row>
    <row r="76" spans="2:21" s="168" customFormat="1">
      <c r="B76" s="150"/>
      <c r="C76" s="150"/>
      <c r="D76" s="150"/>
      <c r="E76" s="153"/>
      <c r="F76" s="153"/>
      <c r="G76" s="150"/>
      <c r="H76" s="150"/>
      <c r="I76" s="150"/>
      <c r="J76" s="150"/>
      <c r="K76" s="150"/>
      <c r="L76" s="150"/>
      <c r="M76" s="150"/>
      <c r="N76" s="150"/>
      <c r="O76" s="150"/>
      <c r="P76" s="150"/>
      <c r="Q76" s="150"/>
      <c r="R76" s="150"/>
      <c r="S76" s="150"/>
      <c r="T76" s="150"/>
      <c r="U76" s="150"/>
    </row>
    <row r="77" spans="2:21" s="168" customFormat="1">
      <c r="B77" s="150"/>
      <c r="C77" s="150"/>
      <c r="D77" s="150"/>
      <c r="E77" s="153"/>
      <c r="F77" s="153"/>
      <c r="G77" s="150"/>
      <c r="H77" s="150"/>
      <c r="I77" s="150"/>
      <c r="J77" s="150"/>
      <c r="K77" s="150"/>
      <c r="L77" s="150"/>
      <c r="M77" s="150"/>
      <c r="N77" s="150"/>
      <c r="O77" s="150"/>
      <c r="P77" s="150"/>
      <c r="Q77" s="150"/>
      <c r="R77" s="150"/>
      <c r="S77" s="150"/>
      <c r="T77" s="150"/>
      <c r="U77" s="150"/>
    </row>
    <row r="78" spans="2:21" s="168" customFormat="1">
      <c r="B78" s="150"/>
      <c r="C78" s="150"/>
      <c r="D78" s="150"/>
      <c r="E78" s="153"/>
      <c r="F78" s="153"/>
      <c r="G78" s="150"/>
      <c r="H78" s="150"/>
      <c r="I78" s="150"/>
      <c r="J78" s="150"/>
      <c r="K78" s="150"/>
      <c r="L78" s="150"/>
      <c r="M78" s="150"/>
      <c r="N78" s="150"/>
      <c r="O78" s="150"/>
      <c r="P78" s="150"/>
      <c r="Q78" s="150"/>
      <c r="R78" s="150"/>
      <c r="S78" s="150"/>
      <c r="T78" s="150"/>
      <c r="U78" s="150"/>
    </row>
    <row r="79" spans="2:21" s="168" customFormat="1">
      <c r="B79" s="150"/>
      <c r="C79" s="150"/>
      <c r="D79" s="150"/>
      <c r="E79" s="153"/>
      <c r="F79" s="153"/>
      <c r="G79" s="150"/>
      <c r="H79" s="150"/>
      <c r="I79" s="150"/>
      <c r="J79" s="150"/>
      <c r="K79" s="150"/>
      <c r="L79" s="150"/>
      <c r="M79" s="150"/>
      <c r="N79" s="150"/>
      <c r="O79" s="150"/>
      <c r="P79" s="150"/>
      <c r="Q79" s="150"/>
      <c r="R79" s="150"/>
      <c r="S79" s="150"/>
      <c r="T79" s="150"/>
      <c r="U79" s="150"/>
    </row>
    <row r="80" spans="2:21" s="168" customFormat="1">
      <c r="B80" s="150"/>
      <c r="C80" s="150"/>
      <c r="D80" s="150"/>
      <c r="E80" s="153"/>
      <c r="F80" s="153"/>
      <c r="G80" s="150"/>
      <c r="H80" s="150"/>
      <c r="I80" s="150"/>
      <c r="J80" s="150"/>
      <c r="K80" s="150"/>
      <c r="L80" s="150"/>
      <c r="M80" s="150"/>
      <c r="N80" s="150"/>
      <c r="O80" s="150"/>
      <c r="P80" s="150"/>
      <c r="Q80" s="150"/>
      <c r="R80" s="150"/>
      <c r="S80" s="150"/>
      <c r="T80" s="150"/>
      <c r="U80" s="150"/>
    </row>
    <row r="81" spans="2:21" s="168" customFormat="1">
      <c r="B81" s="150"/>
      <c r="C81" s="150"/>
      <c r="D81" s="150"/>
      <c r="E81" s="153"/>
      <c r="F81" s="153"/>
      <c r="G81" s="150"/>
      <c r="H81" s="150"/>
      <c r="I81" s="150"/>
      <c r="J81" s="150"/>
      <c r="K81" s="150"/>
      <c r="L81" s="150"/>
      <c r="M81" s="150"/>
      <c r="N81" s="150"/>
      <c r="O81" s="150"/>
      <c r="P81" s="150"/>
      <c r="Q81" s="150"/>
      <c r="R81" s="150"/>
      <c r="S81" s="150"/>
      <c r="T81" s="150"/>
      <c r="U81" s="150"/>
    </row>
    <row r="82" spans="2:21" s="168" customFormat="1">
      <c r="B82" s="150"/>
      <c r="C82" s="150"/>
      <c r="D82" s="150"/>
      <c r="E82" s="153"/>
      <c r="F82" s="153"/>
      <c r="G82" s="150"/>
      <c r="H82" s="150"/>
      <c r="I82" s="150"/>
      <c r="J82" s="150"/>
      <c r="K82" s="150"/>
      <c r="L82" s="150"/>
      <c r="M82" s="150"/>
      <c r="N82" s="150"/>
      <c r="O82" s="150"/>
      <c r="P82" s="150"/>
      <c r="Q82" s="150"/>
      <c r="R82" s="150"/>
      <c r="S82" s="150"/>
      <c r="T82" s="150"/>
      <c r="U82" s="150"/>
    </row>
  </sheetData>
  <dataValidations disablePrompts="1" count="3">
    <dataValidation type="list" allowBlank="1" showInputMessage="1" showErrorMessage="1" sqref="I6:I10" xr:uid="{00000000-0002-0000-0D00-000000000000}">
      <formula1>$AK$1:$AK$8</formula1>
    </dataValidation>
    <dataValidation type="list" allowBlank="1" showInputMessage="1" showErrorMessage="1" sqref="K7:K10" xr:uid="{00000000-0002-0000-0D00-000001000000}">
      <formula1>#REF!</formula1>
    </dataValidation>
    <dataValidation type="list" allowBlank="1" showInputMessage="1" showErrorMessage="1" sqref="F6:F10" xr:uid="{00000000-0002-0000-0D00-000002000000}">
      <formula1>"IGPM,IPCA"</formula1>
    </dataValidation>
  </dataValidations>
  <pageMargins left="0.75" right="0.75" top="1" bottom="1" header="0.49212598499999999" footer="0.49212598499999999"/>
  <pageSetup paperSize="9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Plan9">
    <tabColor theme="0"/>
  </sheetPr>
  <dimension ref="A1:P67"/>
  <sheetViews>
    <sheetView showGridLines="0" topLeftCell="I1" zoomScale="80" zoomScaleNormal="80" workbookViewId="0">
      <selection activeCell="L15" sqref="L15"/>
    </sheetView>
  </sheetViews>
  <sheetFormatPr defaultColWidth="9.140625" defaultRowHeight="14.25"/>
  <cols>
    <col min="1" max="1" width="12" style="68" customWidth="1"/>
    <col min="2" max="2" width="47.85546875" style="68" bestFit="1" customWidth="1"/>
    <col min="3" max="3" width="23.28515625" style="68" bestFit="1" customWidth="1"/>
    <col min="4" max="4" width="32.5703125" style="68" customWidth="1"/>
    <col min="5" max="5" width="37.28515625" style="68" customWidth="1"/>
    <col min="6" max="6" width="22" style="68" customWidth="1"/>
    <col min="7" max="7" width="18.140625" style="68" customWidth="1"/>
    <col min="8" max="8" width="12.5703125" style="68" customWidth="1"/>
    <col min="9" max="9" width="17.42578125" style="68" customWidth="1"/>
    <col min="10" max="10" width="19.140625" style="68" customWidth="1"/>
    <col min="11" max="11" width="17" style="68" customWidth="1"/>
    <col min="12" max="12" width="13.5703125" style="69" bestFit="1" customWidth="1"/>
    <col min="13" max="13" width="17" style="68" customWidth="1"/>
    <col min="14" max="14" width="12.85546875" style="68" bestFit="1" customWidth="1"/>
    <col min="15" max="27" width="17" style="68" customWidth="1"/>
    <col min="28" max="28" width="8.42578125" style="68" customWidth="1"/>
    <col min="29" max="29" width="13.85546875" style="68" customWidth="1"/>
    <col min="30" max="30" width="14.85546875" style="68" customWidth="1"/>
    <col min="31" max="31" width="18" style="68" customWidth="1"/>
    <col min="32" max="32" width="15.5703125" style="68" customWidth="1"/>
    <col min="33" max="33" width="10.85546875" style="68" customWidth="1"/>
    <col min="34" max="34" width="11.28515625" style="68" customWidth="1"/>
    <col min="35" max="35" width="15.5703125" style="68" bestFit="1" customWidth="1"/>
    <col min="36" max="16384" width="9.140625" style="68"/>
  </cols>
  <sheetData>
    <row r="1" spans="1:16" ht="32.25" customHeight="1">
      <c r="B1" s="1019" t="s">
        <v>1088</v>
      </c>
      <c r="C1" s="1115"/>
      <c r="D1" s="1339"/>
      <c r="E1" s="1340"/>
      <c r="F1" s="1340"/>
      <c r="G1" s="1224" t="s">
        <v>1007</v>
      </c>
      <c r="H1" s="1304">
        <f ca="1">LnkTXTIRTEco</f>
        <v>0.1605</v>
      </c>
    </row>
    <row r="2" spans="1:16" ht="46.5" customHeight="1">
      <c r="B2" s="138" t="str">
        <f>CAPA!C9</f>
        <v>Ceris</v>
      </c>
      <c r="C2" s="70"/>
      <c r="D2" s="70"/>
      <c r="G2" s="121" t="s">
        <v>1011</v>
      </c>
      <c r="H2" s="147">
        <f ca="1">LnkTXTIRTTotal</f>
        <v>-6.0499999999999998E-2</v>
      </c>
      <c r="I2" s="91" t="s">
        <v>1383</v>
      </c>
    </row>
    <row r="3" spans="1:16">
      <c r="B3" s="1341" t="s">
        <v>1384</v>
      </c>
      <c r="C3" s="1342">
        <f>SUMPRODUCT(J6:J44,H6:H44)</f>
        <v>2300281.9677699995</v>
      </c>
      <c r="D3" s="73"/>
      <c r="E3" s="1341" t="s">
        <v>1271</v>
      </c>
      <c r="F3" s="68" t="s">
        <v>1385</v>
      </c>
      <c r="G3" s="1343">
        <f>LnkTXTDescTusdAnte</f>
        <v>0</v>
      </c>
      <c r="H3" s="91"/>
      <c r="I3" s="1344">
        <f>VLOOKUP(LnkTXTSigla,Informacoes[],13,FALSE)</f>
        <v>0</v>
      </c>
      <c r="J3" s="91"/>
    </row>
    <row r="4" spans="1:16">
      <c r="B4" s="72"/>
      <c r="C4" s="89"/>
      <c r="D4" s="149"/>
      <c r="E4" s="72"/>
      <c r="F4" s="72"/>
      <c r="G4" s="91"/>
      <c r="H4" s="91"/>
      <c r="I4" s="91"/>
      <c r="J4" s="91"/>
    </row>
    <row r="5" spans="1:16" ht="27">
      <c r="A5" s="74" t="s">
        <v>1386</v>
      </c>
      <c r="B5" s="1345" t="s">
        <v>25</v>
      </c>
      <c r="C5" s="1345" t="s">
        <v>19</v>
      </c>
      <c r="D5" s="1345" t="s">
        <v>20</v>
      </c>
      <c r="E5" s="1345" t="s">
        <v>117</v>
      </c>
      <c r="F5" s="1345" t="s">
        <v>944</v>
      </c>
      <c r="G5" s="1345" t="s">
        <v>1387</v>
      </c>
      <c r="H5" s="1345" t="s">
        <v>68</v>
      </c>
      <c r="I5" s="1345" t="s">
        <v>1272</v>
      </c>
      <c r="J5" s="1345" t="s">
        <v>1273</v>
      </c>
      <c r="L5" s="68"/>
      <c r="M5" s="69"/>
    </row>
    <row r="6" spans="1:16">
      <c r="A6" s="68" t="s">
        <v>2294</v>
      </c>
      <c r="B6" s="148" t="s">
        <v>2295</v>
      </c>
      <c r="C6" s="148" t="s">
        <v>259</v>
      </c>
      <c r="D6" s="148" t="s">
        <v>256</v>
      </c>
      <c r="E6" s="148" t="str">
        <f>IF(ISERROR(VLOOKUP(D6,$A$36:$B$39,2,FALSE)),"",VLOOKUP(D6,$A$36:$B$39,2,FALSE))</f>
        <v>Fora Ponta</v>
      </c>
      <c r="F6" s="148" t="str">
        <f>IF(ISERROR(VLOOKUP(D6,$A$36:$C$39,3,FALSE)),"",VLOOKUP(D6,$A$36:$C$39,3,FALSE))</f>
        <v>Potência</v>
      </c>
      <c r="G6" s="148">
        <f>IF(B6="","",SUMIFS(Faturas!V:V,Faturas!R:R,CUSD!B6,Faturas!S:S,CUSD!C6,Faturas!U:U,CUSD!D6))</f>
        <v>60851.249999999985</v>
      </c>
      <c r="H6" s="148">
        <f>IF(B6="","",IF(LEFT(D6,7)="Demanda",G6,G6/1000))</f>
        <v>60851.249999999985</v>
      </c>
      <c r="I6" s="148">
        <f>IF(ISERROR(VLOOKUP(CONCATENATE(A6,A41,E6,F6),BD!$H$6:$V$30,14,FALSE)),"",VLOOKUP(CONCATENATE(A6,A41,E6,F6),BD!$H$6:$V$30,14,FALSE))</f>
        <v>14.85</v>
      </c>
      <c r="J6" s="148">
        <f t="shared" ref="J6:J13" si="0">IF(ISERROR(I6*(1-$G$3)),"",I6*(1-$G$3))</f>
        <v>14.85</v>
      </c>
      <c r="L6" s="68"/>
      <c r="M6" s="69"/>
      <c r="N6" s="69"/>
    </row>
    <row r="7" spans="1:16">
      <c r="A7" s="68" t="s">
        <v>2294</v>
      </c>
      <c r="B7" s="148" t="s">
        <v>2295</v>
      </c>
      <c r="C7" s="148" t="s">
        <v>259</v>
      </c>
      <c r="D7" s="148" t="s">
        <v>258</v>
      </c>
      <c r="E7" s="148" t="str">
        <f t="shared" ref="E7:E30" si="1">IF(ISERROR(VLOOKUP(D7,$A$36:$B$39,2,FALSE)),"",VLOOKUP(D7,$A$36:$B$39,2,FALSE))</f>
        <v>Ponta</v>
      </c>
      <c r="F7" s="148" t="str">
        <f t="shared" ref="F7:F30" si="2">IF(ISERROR(VLOOKUP(D7,$A$36:$C$39,3,FALSE)),"",VLOOKUP(D7,$A$36:$C$39,3,FALSE))</f>
        <v>Potência</v>
      </c>
      <c r="G7" s="148">
        <f>IF(B7="","",SUMIFS(Faturas!V:V,Faturas!R:R,CUSD!B7,Faturas!S:S,CUSD!C7,Faturas!U:U,CUSD!D7))</f>
        <v>61026.789999999994</v>
      </c>
      <c r="H7" s="148">
        <f t="shared" ref="H7:H30" si="3">IF(B7="","",IF(LEFT(D7,7)="Demanda",G7,G7/1000))</f>
        <v>61026.789999999994</v>
      </c>
      <c r="I7" s="148">
        <f>IF(ISERROR(VLOOKUP(CONCATENATE(A7,A42,E7,F7),BD!$H$6:$V$30,14,FALSE)),"",VLOOKUP(CONCATENATE(A7,A42,E7,F7),BD!$H$6:$V$30,14,FALSE))</f>
        <v>21.64</v>
      </c>
      <c r="J7" s="148">
        <f t="shared" si="0"/>
        <v>21.64</v>
      </c>
    </row>
    <row r="8" spans="1:16">
      <c r="A8" s="68" t="s">
        <v>2294</v>
      </c>
      <c r="B8" s="148" t="s">
        <v>2295</v>
      </c>
      <c r="C8" s="148" t="s">
        <v>259</v>
      </c>
      <c r="D8" s="148" t="s">
        <v>264</v>
      </c>
      <c r="E8" s="148" t="str">
        <f t="shared" si="1"/>
        <v>Não se aplica</v>
      </c>
      <c r="F8" s="148" t="str">
        <f t="shared" si="2"/>
        <v>Energia</v>
      </c>
      <c r="G8" s="148">
        <f>IF(B8="","",SUMIFS(Faturas!V:V,Faturas!R:R,CUSD!B8,Faturas!S:S,CUSD!C8,Faturas!U:U,CUSD!D8))</f>
        <v>0</v>
      </c>
      <c r="H8" s="148">
        <f t="shared" si="3"/>
        <v>0</v>
      </c>
      <c r="I8" s="148">
        <f>IF(ISERROR(VLOOKUP(CONCATENATE(A8,A43,E8,F8),BD!$H$6:$V$30,14,FALSE)),"",VLOOKUP(CONCATENATE(A8,A43,E8,F8),BD!$H$6:$V$30,14,FALSE))</f>
        <v>3.69</v>
      </c>
      <c r="J8" s="148">
        <f t="shared" si="0"/>
        <v>3.69</v>
      </c>
      <c r="L8" s="68"/>
      <c r="M8" s="69"/>
    </row>
    <row r="9" spans="1:16">
      <c r="A9" s="68" t="s">
        <v>2294</v>
      </c>
      <c r="B9" s="148" t="s">
        <v>2295</v>
      </c>
      <c r="C9" s="148" t="s">
        <v>259</v>
      </c>
      <c r="D9" s="148" t="s">
        <v>265</v>
      </c>
      <c r="E9" s="148" t="str">
        <f t="shared" si="1"/>
        <v>Não se aplica</v>
      </c>
      <c r="F9" s="148" t="str">
        <f t="shared" si="2"/>
        <v>Energia</v>
      </c>
      <c r="G9" s="148">
        <f>IF(B9="","",SUMIFS(Faturas!V:V,Faturas!R:R,CUSD!B9,Faturas!S:S,CUSD!C9,Faturas!U:U,CUSD!D9))</f>
        <v>20601943</v>
      </c>
      <c r="H9" s="148">
        <f t="shared" si="3"/>
        <v>20601.942999999999</v>
      </c>
      <c r="I9" s="148">
        <f>IF(ISERROR(VLOOKUP(CONCATENATE(A9,A44,E9,F9),BD!$H$6:$V$30,14,FALSE)),"",VLOOKUP(CONCATENATE(A9,A44,E9,F9),BD!$H$6:$V$30,14,FALSE))</f>
        <v>3.69</v>
      </c>
      <c r="J9" s="148">
        <f t="shared" si="0"/>
        <v>3.69</v>
      </c>
      <c r="L9" s="68"/>
      <c r="M9" s="69"/>
    </row>
    <row r="10" spans="1:16">
      <c r="B10" s="148"/>
      <c r="C10" s="148"/>
      <c r="D10" s="148"/>
      <c r="E10" s="148" t="str">
        <f t="shared" si="1"/>
        <v/>
      </c>
      <c r="F10" s="148" t="str">
        <f t="shared" si="2"/>
        <v/>
      </c>
      <c r="G10" s="148" t="str">
        <f>IF(B10="","",SUMIFS(Faturas!V:V,Faturas!R:R,CUSD!B10,Faturas!S:S,CUSD!C10,Faturas!U:U,CUSD!D10))</f>
        <v/>
      </c>
      <c r="H10" s="148" t="str">
        <f t="shared" si="3"/>
        <v/>
      </c>
      <c r="I10" s="148" t="str">
        <f>IF(ISERROR(VLOOKUP(CONCATENATE(A10,A45,E10,F10),BD!$H$6:$V$30,14,FALSE)),"",VLOOKUP(CONCATENATE(A10,A45,E10,F10),BD!$H$6:$V$30,14,FALSE))</f>
        <v/>
      </c>
      <c r="J10" s="148" t="str">
        <f t="shared" si="0"/>
        <v/>
      </c>
      <c r="L10" s="68"/>
      <c r="M10" s="69"/>
    </row>
    <row r="11" spans="1:16">
      <c r="B11" s="148"/>
      <c r="C11" s="148"/>
      <c r="D11" s="148"/>
      <c r="E11" s="148" t="str">
        <f t="shared" si="1"/>
        <v/>
      </c>
      <c r="F11" s="148" t="str">
        <f t="shared" si="2"/>
        <v/>
      </c>
      <c r="G11" s="148" t="str">
        <f>IF(B11="","",SUMIFS(Faturas!V:V,Faturas!R:R,CUSD!B11,Faturas!S:S,CUSD!C11,Faturas!U:U,CUSD!D11))</f>
        <v/>
      </c>
      <c r="H11" s="148" t="str">
        <f t="shared" si="3"/>
        <v/>
      </c>
      <c r="I11" s="148" t="str">
        <f>IF(ISERROR(VLOOKUP(CONCATENATE(A11,A46,E11,F11),BD!$H$6:$V$30,14,FALSE)),"",VLOOKUP(CONCATENATE(A11,A46,E11,F11),BD!$H$6:$V$30,14,FALSE))</f>
        <v/>
      </c>
      <c r="J11" s="148" t="str">
        <f t="shared" ref="J11" si="4">IF(ISERROR(I11*(1-$G$3)),"",I11*(1-$G$3))</f>
        <v/>
      </c>
      <c r="L11" s="740"/>
      <c r="M11" s="242"/>
      <c r="N11" s="243"/>
      <c r="O11" s="243"/>
      <c r="P11" s="243"/>
    </row>
    <row r="12" spans="1:16">
      <c r="B12" s="148"/>
      <c r="C12" s="148"/>
      <c r="D12" s="148"/>
      <c r="E12" s="148" t="str">
        <f t="shared" si="1"/>
        <v/>
      </c>
      <c r="F12" s="148" t="str">
        <f t="shared" si="2"/>
        <v/>
      </c>
      <c r="G12" s="148" t="str">
        <f>IF(B12="","",SUMIFS(Faturas!V:V,Faturas!R:R,CUSD!B12,Faturas!S:S,CUSD!C12,Faturas!U:U,CUSD!D12))</f>
        <v/>
      </c>
      <c r="H12" s="148" t="str">
        <f t="shared" si="3"/>
        <v/>
      </c>
      <c r="I12" s="148" t="str">
        <f>IF(ISERROR(VLOOKUP(CONCATENATE(A12,A47,E12,F12),BD!$H$6:$V$30,14,FALSE)),"",VLOOKUP(CONCATENATE(A12,A47,E12,F12),BD!$H$6:$V$30,14,FALSE))</f>
        <v/>
      </c>
      <c r="J12" s="148" t="str">
        <f t="shared" si="0"/>
        <v/>
      </c>
      <c r="N12" s="243"/>
      <c r="O12" s="243"/>
      <c r="P12" s="243"/>
    </row>
    <row r="13" spans="1:16">
      <c r="B13" s="148"/>
      <c r="C13" s="148"/>
      <c r="D13" s="148"/>
      <c r="E13" s="148" t="str">
        <f t="shared" si="1"/>
        <v/>
      </c>
      <c r="F13" s="148" t="str">
        <f t="shared" si="2"/>
        <v/>
      </c>
      <c r="G13" s="148" t="str">
        <f>IF(B13="","",SUMIFS(Faturas!V:V,Faturas!R:R,CUSD!B13,Faturas!S:S,CUSD!C13,Faturas!U:U,CUSD!D13))</f>
        <v/>
      </c>
      <c r="H13" s="148" t="str">
        <f t="shared" si="3"/>
        <v/>
      </c>
      <c r="I13" s="148" t="str">
        <f>IF(ISERROR(VLOOKUP(CONCATENATE(A13,A48,E13,F13),BD!$H$6:$V$30,14,FALSE)),"",VLOOKUP(CONCATENATE(A13,A48,E13,F13),BD!$H$6:$V$30,14,FALSE))</f>
        <v/>
      </c>
      <c r="J13" s="148" t="str">
        <f t="shared" si="0"/>
        <v/>
      </c>
      <c r="L13" s="68"/>
      <c r="M13" s="242"/>
      <c r="N13" s="243"/>
      <c r="O13" s="243"/>
      <c r="P13" s="243"/>
    </row>
    <row r="14" spans="1:16">
      <c r="B14" s="148"/>
      <c r="C14" s="148"/>
      <c r="D14" s="148"/>
      <c r="E14" s="148" t="str">
        <f t="shared" si="1"/>
        <v/>
      </c>
      <c r="F14" s="148" t="str">
        <f t="shared" si="2"/>
        <v/>
      </c>
      <c r="G14" s="148" t="str">
        <f>IF(B14="","",SUMIFS(Faturas!V:V,Faturas!R:R,CUSD!B14,Faturas!S:S,CUSD!C14,Faturas!U:U,CUSD!D14))</f>
        <v/>
      </c>
      <c r="H14" s="148" t="str">
        <f t="shared" si="3"/>
        <v/>
      </c>
      <c r="I14" s="148" t="str">
        <f>IF(ISERROR(VLOOKUP(CONCATENATE(A14,A49,E14,F14),BD!$H$6:$V$30,14,FALSE)),"",VLOOKUP(CONCATENATE(A14,A49,E14,F14),BD!$H$6:$V$30,14,FALSE))</f>
        <v/>
      </c>
      <c r="J14" s="148" t="str">
        <f t="shared" ref="J14:J30" si="5">IF(ISERROR(I14*(1-$G$3)),"",I14*(1-$G$3))</f>
        <v/>
      </c>
      <c r="K14" s="69"/>
      <c r="L14" s="242"/>
      <c r="M14" s="242"/>
      <c r="N14" s="243"/>
      <c r="O14" s="243"/>
      <c r="P14" s="243"/>
    </row>
    <row r="15" spans="1:16">
      <c r="B15" s="148"/>
      <c r="C15" s="148"/>
      <c r="D15" s="148"/>
      <c r="E15" s="148" t="str">
        <f t="shared" si="1"/>
        <v/>
      </c>
      <c r="F15" s="148" t="str">
        <f t="shared" si="2"/>
        <v/>
      </c>
      <c r="G15" s="148" t="str">
        <f>IF(B15="","",SUMIFS(Faturas!V:V,Faturas!R:R,CUSD!B15,Faturas!S:S,CUSD!C15,Faturas!U:U,CUSD!D15))</f>
        <v/>
      </c>
      <c r="H15" s="148" t="str">
        <f t="shared" si="3"/>
        <v/>
      </c>
      <c r="I15" s="148" t="str">
        <f>IF(ISERROR(VLOOKUP(CONCATENATE(A15,A50,E15,F15),BD!$H$6:$V$30,14,FALSE)),"",VLOOKUP(CONCATENATE(A15,A50,E15,F15),BD!$H$6:$V$30,14,FALSE))</f>
        <v/>
      </c>
      <c r="J15" s="148" t="str">
        <f t="shared" si="5"/>
        <v/>
      </c>
      <c r="K15" s="69"/>
      <c r="L15" s="242"/>
      <c r="M15" s="242"/>
      <c r="N15" s="244"/>
      <c r="O15" s="244"/>
      <c r="P15" s="243"/>
    </row>
    <row r="16" spans="1:16">
      <c r="B16" s="148"/>
      <c r="C16" s="148"/>
      <c r="D16" s="148"/>
      <c r="E16" s="148" t="str">
        <f t="shared" si="1"/>
        <v/>
      </c>
      <c r="F16" s="148" t="str">
        <f t="shared" si="2"/>
        <v/>
      </c>
      <c r="G16" s="148" t="str">
        <f>IF(B16="","",SUMIFS(Faturas!V:V,Faturas!R:R,CUSD!B16,Faturas!S:S,CUSD!C16,Faturas!U:U,CUSD!D16))</f>
        <v/>
      </c>
      <c r="H16" s="148" t="str">
        <f t="shared" si="3"/>
        <v/>
      </c>
      <c r="I16" s="148" t="str">
        <f>IF(ISERROR(VLOOKUP(CONCATENATE(A16,A51,E16,F16),BD!$H$6:$V$30,14,FALSE)),"",VLOOKUP(CONCATENATE(A16,A51,E16,F16),BD!$H$6:$V$30,14,FALSE))</f>
        <v/>
      </c>
      <c r="J16" s="148" t="str">
        <f t="shared" si="5"/>
        <v/>
      </c>
      <c r="K16" s="242"/>
      <c r="L16" s="242"/>
      <c r="M16" s="242"/>
      <c r="N16" s="244"/>
      <c r="O16" s="244"/>
      <c r="P16" s="243"/>
    </row>
    <row r="17" spans="2:16">
      <c r="B17" s="148"/>
      <c r="C17" s="148"/>
      <c r="D17" s="148"/>
      <c r="E17" s="148" t="str">
        <f t="shared" si="1"/>
        <v/>
      </c>
      <c r="F17" s="148" t="str">
        <f t="shared" si="2"/>
        <v/>
      </c>
      <c r="G17" s="148" t="str">
        <f>IF(B17="","",SUMIFS(Faturas!V:V,Faturas!R:R,CUSD!B17,Faturas!S:S,CUSD!C17,Faturas!U:U,CUSD!D17))</f>
        <v/>
      </c>
      <c r="H17" s="148" t="str">
        <f t="shared" si="3"/>
        <v/>
      </c>
      <c r="I17" s="148" t="str">
        <f>IF(ISERROR(VLOOKUP(CONCATENATE(A17,A52,E17,F17),BD!$H$6:$V$30,14,FALSE)),"",VLOOKUP(CONCATENATE(A17,A52,E17,F17),BD!$H$6:$V$30,14,FALSE))</f>
        <v/>
      </c>
      <c r="J17" s="148" t="str">
        <f t="shared" si="5"/>
        <v/>
      </c>
      <c r="K17" s="69"/>
      <c r="M17" s="242"/>
      <c r="N17" s="245"/>
      <c r="O17" s="245"/>
      <c r="P17" s="243"/>
    </row>
    <row r="18" spans="2:16">
      <c r="B18" s="148"/>
      <c r="C18" s="148"/>
      <c r="D18" s="148"/>
      <c r="E18" s="148" t="str">
        <f t="shared" si="1"/>
        <v/>
      </c>
      <c r="F18" s="148" t="str">
        <f t="shared" si="2"/>
        <v/>
      </c>
      <c r="G18" s="148" t="str">
        <f>IF(B18="","",SUMIFS(Faturas!V:V,Faturas!R:R,CUSD!B18,Faturas!S:S,CUSD!C18,Faturas!U:U,CUSD!D18))</f>
        <v/>
      </c>
      <c r="H18" s="148" t="str">
        <f t="shared" si="3"/>
        <v/>
      </c>
      <c r="I18" s="148" t="str">
        <f>IF(ISERROR(VLOOKUP(CONCATENATE(A18,A53,E18,F18),BD!$H$6:$V$30,14,FALSE)),"",VLOOKUP(CONCATENATE(A18,A53,E18,F18),BD!$H$6:$V$30,14,FALSE))</f>
        <v/>
      </c>
      <c r="J18" s="148" t="str">
        <f t="shared" si="5"/>
        <v/>
      </c>
      <c r="K18" s="69"/>
      <c r="L18" s="242"/>
      <c r="M18" s="242"/>
      <c r="N18" s="244"/>
      <c r="O18" s="244"/>
      <c r="P18" s="243"/>
    </row>
    <row r="19" spans="2:16">
      <c r="B19" s="148"/>
      <c r="C19" s="148"/>
      <c r="D19" s="148"/>
      <c r="E19" s="148" t="str">
        <f t="shared" si="1"/>
        <v/>
      </c>
      <c r="F19" s="148" t="str">
        <f t="shared" si="2"/>
        <v/>
      </c>
      <c r="G19" s="148" t="str">
        <f>IF(B19="","",SUMIFS(Faturas!V:V,Faturas!R:R,CUSD!B19,Faturas!S:S,CUSD!C19,Faturas!U:U,CUSD!D19))</f>
        <v/>
      </c>
      <c r="H19" s="148" t="str">
        <f t="shared" si="3"/>
        <v/>
      </c>
      <c r="I19" s="148" t="str">
        <f>IF(ISERROR(VLOOKUP(CONCATENATE(A19,A54,E19,F19),BD!$H$6:$V$30,14,FALSE)),"",VLOOKUP(CONCATENATE(A19,A54,E19,F19),BD!$H$6:$V$30,14,FALSE))</f>
        <v/>
      </c>
      <c r="J19" s="148" t="str">
        <f t="shared" si="5"/>
        <v/>
      </c>
      <c r="L19" s="242"/>
      <c r="M19" s="242"/>
      <c r="N19" s="244"/>
      <c r="O19" s="244"/>
      <c r="P19" s="243"/>
    </row>
    <row r="20" spans="2:16">
      <c r="B20" s="148"/>
      <c r="C20" s="148"/>
      <c r="D20" s="148"/>
      <c r="E20" s="148" t="str">
        <f t="shared" si="1"/>
        <v/>
      </c>
      <c r="F20" s="148" t="str">
        <f t="shared" si="2"/>
        <v/>
      </c>
      <c r="G20" s="148" t="str">
        <f>IF(B20="","",SUMIFS(Faturas!V:V,Faturas!R:R,CUSD!B20,Faturas!S:S,CUSD!C20,Faturas!U:U,CUSD!D20))</f>
        <v/>
      </c>
      <c r="H20" s="148" t="str">
        <f t="shared" si="3"/>
        <v/>
      </c>
      <c r="I20" s="148" t="str">
        <f>IF(ISERROR(VLOOKUP(CONCATENATE(A20,A55,E20,F20),BD!$H$6:$V$30,14,FALSE)),"",VLOOKUP(CONCATENATE(A20,A55,E20,F20),BD!$H$6:$V$30,14,FALSE))</f>
        <v/>
      </c>
      <c r="J20" s="148" t="str">
        <f t="shared" si="5"/>
        <v/>
      </c>
      <c r="L20" s="242"/>
      <c r="M20" s="242"/>
      <c r="N20" s="244"/>
      <c r="O20" s="244"/>
      <c r="P20" s="243"/>
    </row>
    <row r="21" spans="2:16">
      <c r="B21" s="148"/>
      <c r="C21" s="148"/>
      <c r="D21" s="148"/>
      <c r="E21" s="148" t="str">
        <f t="shared" si="1"/>
        <v/>
      </c>
      <c r="F21" s="148" t="str">
        <f t="shared" si="2"/>
        <v/>
      </c>
      <c r="G21" s="148" t="str">
        <f>IF(B21="","",SUMIFS(Faturas!V:V,Faturas!R:R,CUSD!B21,Faturas!S:S,CUSD!C21,Faturas!U:U,CUSD!D21))</f>
        <v/>
      </c>
      <c r="H21" s="148" t="str">
        <f t="shared" si="3"/>
        <v/>
      </c>
      <c r="I21" s="148" t="str">
        <f>IF(ISERROR(VLOOKUP(CONCATENATE(A21,A56,E21,F21),BD!$H$6:$V$30,14,FALSE)),"",VLOOKUP(CONCATENATE(A21,A56,E21,F21),BD!$H$6:$V$30,14,FALSE))</f>
        <v/>
      </c>
      <c r="J21" s="148" t="str">
        <f t="shared" si="5"/>
        <v/>
      </c>
      <c r="L21" s="242"/>
      <c r="M21" s="242"/>
      <c r="N21" s="243"/>
      <c r="O21" s="243"/>
      <c r="P21" s="242"/>
    </row>
    <row r="22" spans="2:16">
      <c r="B22" s="148"/>
      <c r="C22" s="148"/>
      <c r="D22" s="148"/>
      <c r="E22" s="148" t="str">
        <f t="shared" si="1"/>
        <v/>
      </c>
      <c r="F22" s="148" t="str">
        <f t="shared" si="2"/>
        <v/>
      </c>
      <c r="G22" s="148" t="str">
        <f>IF(B22="","",SUMIFS(Faturas!V:V,Faturas!R:R,CUSD!B22,Faturas!S:S,CUSD!C22,Faturas!U:U,CUSD!D22))</f>
        <v/>
      </c>
      <c r="H22" s="148" t="str">
        <f t="shared" si="3"/>
        <v/>
      </c>
      <c r="I22" s="148" t="str">
        <f>IF(ISERROR(VLOOKUP(CONCATENATE(A22,A57,E22,F22),BD!$H$6:$V$30,14,FALSE)),"",VLOOKUP(CONCATENATE(A22,A57,E22,F22),BD!$H$6:$V$30,14,FALSE))</f>
        <v/>
      </c>
      <c r="J22" s="148" t="str">
        <f t="shared" si="5"/>
        <v/>
      </c>
      <c r="L22" s="242"/>
      <c r="M22" s="242"/>
      <c r="N22" s="243"/>
      <c r="O22" s="246"/>
      <c r="P22" s="242"/>
    </row>
    <row r="23" spans="2:16">
      <c r="B23" s="148"/>
      <c r="C23" s="148"/>
      <c r="D23" s="148"/>
      <c r="E23" s="148" t="str">
        <f t="shared" si="1"/>
        <v/>
      </c>
      <c r="F23" s="148" t="str">
        <f t="shared" si="2"/>
        <v/>
      </c>
      <c r="G23" s="148" t="str">
        <f>IF(B23="","",SUMIFS(Faturas!V:V,Faturas!R:R,CUSD!B23,Faturas!S:S,CUSD!C23,Faturas!U:U,CUSD!D23))</f>
        <v/>
      </c>
      <c r="H23" s="148" t="str">
        <f t="shared" si="3"/>
        <v/>
      </c>
      <c r="I23" s="148" t="str">
        <f>IF(ISERROR(VLOOKUP(CONCATENATE(A23,A58,E23,F23),BD!$H$6:$V$30,14,FALSE)),"",VLOOKUP(CONCATENATE(A23,A58,E23,F23),BD!$H$6:$V$30,14,FALSE))</f>
        <v/>
      </c>
      <c r="J23" s="148" t="str">
        <f t="shared" si="5"/>
        <v/>
      </c>
      <c r="L23" s="242"/>
      <c r="M23" s="242"/>
      <c r="N23" s="243"/>
      <c r="O23" s="243"/>
      <c r="P23" s="242"/>
    </row>
    <row r="24" spans="2:16">
      <c r="B24" s="148"/>
      <c r="C24" s="148"/>
      <c r="D24" s="148"/>
      <c r="E24" s="148" t="str">
        <f t="shared" si="1"/>
        <v/>
      </c>
      <c r="F24" s="148" t="str">
        <f t="shared" si="2"/>
        <v/>
      </c>
      <c r="G24" s="148" t="str">
        <f>IF(B24="","",SUMIFS(Faturas!V:V,Faturas!R:R,CUSD!B24,Faturas!S:S,CUSD!C24,Faturas!U:U,CUSD!D24))</f>
        <v/>
      </c>
      <c r="H24" s="148" t="str">
        <f t="shared" si="3"/>
        <v/>
      </c>
      <c r="I24" s="148" t="str">
        <f>IF(ISERROR(VLOOKUP(CONCATENATE(A24,A59,E24,F24),BD!$H$6:$V$30,14,FALSE)),"",VLOOKUP(CONCATENATE(A24,A59,E24,F24),BD!$H$6:$V$30,14,FALSE))</f>
        <v/>
      </c>
      <c r="J24" s="148" t="str">
        <f t="shared" si="5"/>
        <v/>
      </c>
      <c r="L24" s="68"/>
      <c r="M24" s="69"/>
      <c r="P24" s="69"/>
    </row>
    <row r="25" spans="2:16">
      <c r="B25" s="148"/>
      <c r="C25" s="148"/>
      <c r="D25" s="148"/>
      <c r="E25" s="148" t="str">
        <f t="shared" si="1"/>
        <v/>
      </c>
      <c r="F25" s="148" t="str">
        <f t="shared" si="2"/>
        <v/>
      </c>
      <c r="G25" s="148" t="str">
        <f>IF(B25="","",SUMIFS(Faturas!V:V,Faturas!R:R,CUSD!B25,Faturas!S:S,CUSD!C25,Faturas!U:U,CUSD!D25))</f>
        <v/>
      </c>
      <c r="H25" s="148" t="str">
        <f t="shared" si="3"/>
        <v/>
      </c>
      <c r="I25" s="148" t="str">
        <f>IF(ISERROR(VLOOKUP(CONCATENATE(A25,A60,E25,F25),BD!$H$6:$V$30,14,FALSE)),"",VLOOKUP(CONCATENATE(A25,A60,E25,F25),BD!$H$6:$V$30,14,FALSE))</f>
        <v/>
      </c>
      <c r="J25" s="148" t="str">
        <f t="shared" si="5"/>
        <v/>
      </c>
      <c r="L25" s="68"/>
      <c r="M25" s="69"/>
      <c r="P25" s="69"/>
    </row>
    <row r="26" spans="2:16">
      <c r="B26" s="148"/>
      <c r="C26" s="148"/>
      <c r="D26" s="148"/>
      <c r="E26" s="148" t="str">
        <f t="shared" si="1"/>
        <v/>
      </c>
      <c r="F26" s="148" t="str">
        <f t="shared" si="2"/>
        <v/>
      </c>
      <c r="G26" s="148" t="str">
        <f>IF(B26="","",SUMIFS(Faturas!V:V,Faturas!R:R,CUSD!B26,Faturas!S:S,CUSD!C26,Faturas!U:U,CUSD!D26))</f>
        <v/>
      </c>
      <c r="H26" s="148" t="str">
        <f t="shared" si="3"/>
        <v/>
      </c>
      <c r="I26" s="148" t="str">
        <f>IF(ISERROR(VLOOKUP(CONCATENATE(A26,A61,E26,F26),BD!$H$6:$V$30,14,FALSE)),"",VLOOKUP(CONCATENATE(A26,A61,E26,F26),BD!$H$6:$V$30,14,FALSE))</f>
        <v/>
      </c>
      <c r="J26" s="148" t="str">
        <f t="shared" si="5"/>
        <v/>
      </c>
      <c r="K26" s="69"/>
      <c r="M26" s="69"/>
      <c r="P26" s="69"/>
    </row>
    <row r="27" spans="2:16">
      <c r="B27" s="148"/>
      <c r="C27" s="148"/>
      <c r="D27" s="148"/>
      <c r="E27" s="148" t="str">
        <f t="shared" si="1"/>
        <v/>
      </c>
      <c r="F27" s="148" t="str">
        <f t="shared" si="2"/>
        <v/>
      </c>
      <c r="G27" s="148" t="str">
        <f>IF(B27="","",SUMIFS(Faturas!V:V,Faturas!R:R,CUSD!B27,Faturas!S:S,CUSD!C27,Faturas!U:U,CUSD!D27))</f>
        <v/>
      </c>
      <c r="H27" s="148" t="str">
        <f t="shared" si="3"/>
        <v/>
      </c>
      <c r="I27" s="148" t="str">
        <f>IF(ISERROR(VLOOKUP(CONCATENATE(A27,A62,E27,F27),BD!$H$6:$V$30,14,FALSE)),"",VLOOKUP(CONCATENATE(A27,A62,E27,F27),BD!$H$6:$V$30,14,FALSE))</f>
        <v/>
      </c>
      <c r="J27" s="148" t="str">
        <f t="shared" si="5"/>
        <v/>
      </c>
      <c r="L27" s="68"/>
      <c r="M27" s="69"/>
      <c r="P27" s="69"/>
    </row>
    <row r="28" spans="2:16">
      <c r="B28" s="148"/>
      <c r="C28" s="148"/>
      <c r="D28" s="148"/>
      <c r="E28" s="148" t="str">
        <f t="shared" si="1"/>
        <v/>
      </c>
      <c r="F28" s="148" t="str">
        <f t="shared" si="2"/>
        <v/>
      </c>
      <c r="G28" s="148" t="str">
        <f>IF(B28="","",SUMIFS(Faturas!V:V,Faturas!R:R,CUSD!B28,Faturas!S:S,CUSD!C28,Faturas!U:U,CUSD!D28))</f>
        <v/>
      </c>
      <c r="H28" s="148" t="str">
        <f t="shared" si="3"/>
        <v/>
      </c>
      <c r="I28" s="148" t="str">
        <f>IF(ISERROR(VLOOKUP(CONCATENATE(A28,A63,E28,F28),BD!$H$6:$V$30,14,FALSE)),"",VLOOKUP(CONCATENATE(A28,A63,E28,F28),BD!$H$6:$V$30,14,FALSE))</f>
        <v/>
      </c>
      <c r="J28" s="148" t="str">
        <f t="shared" si="5"/>
        <v/>
      </c>
      <c r="L28" s="242"/>
      <c r="M28" s="242"/>
      <c r="P28" s="69"/>
    </row>
    <row r="29" spans="2:16">
      <c r="B29" s="148"/>
      <c r="C29" s="148"/>
      <c r="D29" s="148"/>
      <c r="E29" s="148" t="str">
        <f t="shared" si="1"/>
        <v/>
      </c>
      <c r="F29" s="148" t="str">
        <f t="shared" si="2"/>
        <v/>
      </c>
      <c r="G29" s="148" t="str">
        <f>IF(B29="","",SUMIFS(Faturas!V:V,Faturas!R:R,CUSD!B29,Faturas!S:S,CUSD!C29,Faturas!U:U,CUSD!D29))</f>
        <v/>
      </c>
      <c r="H29" s="148" t="str">
        <f t="shared" si="3"/>
        <v/>
      </c>
      <c r="I29" s="148" t="str">
        <f>IF(ISERROR(VLOOKUP(CONCATENATE(A29,A64,E29,F29),BD!$H$6:$V$30,14,FALSE)),"",VLOOKUP(CONCATENATE(A29,A64,E29,F29),BD!$H$6:$V$30,14,FALSE))</f>
        <v/>
      </c>
      <c r="J29" s="148" t="str">
        <f t="shared" si="5"/>
        <v/>
      </c>
      <c r="L29" s="68"/>
      <c r="M29" s="69"/>
      <c r="P29" s="69"/>
    </row>
    <row r="30" spans="2:16">
      <c r="B30" s="148"/>
      <c r="C30" s="148"/>
      <c r="D30" s="148"/>
      <c r="E30" s="148" t="str">
        <f t="shared" si="1"/>
        <v/>
      </c>
      <c r="F30" s="148" t="str">
        <f t="shared" si="2"/>
        <v/>
      </c>
      <c r="G30" s="148" t="str">
        <f>IF(B30="","",SUMIFS(Faturas!V:V,Faturas!R:R,CUSD!B30,Faturas!S:S,CUSD!C30,Faturas!U:U,CUSD!D30))</f>
        <v/>
      </c>
      <c r="H30" s="148" t="str">
        <f t="shared" si="3"/>
        <v/>
      </c>
      <c r="I30" s="148" t="str">
        <f>IF(ISERROR(VLOOKUP(CONCATENATE(A30,A65,E30,F30),BD!$H$6:$V$30,14,FALSE)),"",VLOOKUP(CONCATENATE(A30,A65,E30,F30),BD!$H$6:$V$30,14,FALSE))</f>
        <v/>
      </c>
      <c r="J30" s="148" t="str">
        <f t="shared" si="5"/>
        <v/>
      </c>
      <c r="L30" s="68"/>
      <c r="M30" s="69"/>
      <c r="P30" s="69"/>
    </row>
    <row r="31" spans="2:16">
      <c r="B31" s="376"/>
      <c r="C31" s="376"/>
      <c r="D31" s="376"/>
      <c r="E31" s="376"/>
      <c r="F31" s="376"/>
      <c r="G31" s="377"/>
      <c r="H31" s="377"/>
      <c r="I31" s="377"/>
      <c r="J31" s="141"/>
      <c r="O31" s="69"/>
    </row>
    <row r="32" spans="2:16">
      <c r="B32" s="376"/>
      <c r="C32" s="376"/>
      <c r="D32" s="376"/>
      <c r="E32" s="376"/>
      <c r="F32" s="376"/>
      <c r="G32" s="377"/>
      <c r="H32" s="377"/>
      <c r="I32" s="377"/>
      <c r="J32" s="141"/>
      <c r="O32" s="69"/>
    </row>
    <row r="33" spans="1:15">
      <c r="B33" s="376"/>
      <c r="C33" s="376"/>
      <c r="D33" s="376"/>
      <c r="E33" s="376"/>
      <c r="F33" s="376"/>
      <c r="G33" s="377"/>
      <c r="H33" s="377"/>
      <c r="I33" s="377"/>
      <c r="O33" s="69"/>
    </row>
    <row r="34" spans="1:15" ht="16.5">
      <c r="B34" s="376"/>
      <c r="C34" s="376"/>
      <c r="D34" s="376"/>
      <c r="E34" s="376"/>
      <c r="F34" s="376"/>
      <c r="G34" s="377"/>
      <c r="H34" s="377"/>
      <c r="I34" s="377"/>
      <c r="O34" s="233"/>
    </row>
    <row r="35" spans="1:15">
      <c r="A35" s="68" t="s">
        <v>1388</v>
      </c>
      <c r="B35" s="376"/>
      <c r="C35" s="376"/>
      <c r="D35" s="376"/>
      <c r="E35" s="376"/>
      <c r="F35" s="376"/>
      <c r="G35" s="377"/>
      <c r="H35" s="377"/>
      <c r="I35" s="377"/>
      <c r="O35" s="69"/>
    </row>
    <row r="36" spans="1:15">
      <c r="A36" s="148" t="s">
        <v>256</v>
      </c>
      <c r="B36" s="291" t="s">
        <v>1389</v>
      </c>
      <c r="C36" s="291" t="s">
        <v>1390</v>
      </c>
      <c r="D36" s="291"/>
      <c r="E36" s="291"/>
      <c r="F36" s="376"/>
      <c r="G36" s="377"/>
      <c r="H36" s="291"/>
      <c r="I36" s="291"/>
      <c r="O36" s="69"/>
    </row>
    <row r="37" spans="1:15">
      <c r="A37" s="148" t="s">
        <v>258</v>
      </c>
      <c r="B37" s="291" t="s">
        <v>1027</v>
      </c>
      <c r="C37" s="291" t="s">
        <v>1390</v>
      </c>
      <c r="D37" s="291"/>
      <c r="E37" s="291"/>
      <c r="F37" s="376"/>
      <c r="G37" s="377"/>
      <c r="H37" s="291"/>
      <c r="I37" s="291"/>
      <c r="O37" s="69"/>
    </row>
    <row r="38" spans="1:15">
      <c r="A38" s="148" t="s">
        <v>264</v>
      </c>
      <c r="B38" s="291" t="s">
        <v>96</v>
      </c>
      <c r="C38" s="291" t="s">
        <v>158</v>
      </c>
      <c r="D38" s="291"/>
      <c r="E38" s="291"/>
      <c r="F38" s="376"/>
      <c r="G38" s="377"/>
      <c r="H38" s="291"/>
      <c r="I38" s="291"/>
      <c r="O38" s="69"/>
    </row>
    <row r="39" spans="1:15">
      <c r="A39" s="148" t="s">
        <v>265</v>
      </c>
      <c r="B39" s="291" t="s">
        <v>96</v>
      </c>
      <c r="C39" s="291" t="s">
        <v>158</v>
      </c>
      <c r="D39" s="291"/>
      <c r="E39" s="291"/>
      <c r="F39" s="376"/>
      <c r="G39" s="377"/>
      <c r="H39" s="291"/>
      <c r="I39" s="291"/>
      <c r="O39" s="69"/>
    </row>
    <row r="40" spans="1:15">
      <c r="B40" s="291"/>
      <c r="C40" s="291"/>
      <c r="D40" s="291"/>
      <c r="E40" s="291"/>
      <c r="F40" s="376"/>
      <c r="G40" s="377"/>
      <c r="H40" s="291"/>
      <c r="I40" s="291"/>
      <c r="O40" s="69"/>
    </row>
    <row r="41" spans="1:15">
      <c r="A41" s="68" t="str">
        <f>IF(LEFT(C6,1)="B","B",TRIM(LEFT(C6,3)))</f>
        <v>A4</v>
      </c>
      <c r="B41" s="291"/>
      <c r="C41" s="291"/>
      <c r="D41" s="291"/>
      <c r="E41" s="291"/>
      <c r="F41" s="376"/>
      <c r="G41" s="377"/>
      <c r="H41" s="291"/>
      <c r="I41" s="291"/>
      <c r="O41" s="69"/>
    </row>
    <row r="42" spans="1:15">
      <c r="A42" s="68" t="str">
        <f t="shared" ref="A42:A52" si="6">IF(LEFT(C7,1)="B","B",TRIM(LEFT(C7,3)))</f>
        <v>A4</v>
      </c>
      <c r="B42" s="291"/>
      <c r="C42" s="291"/>
      <c r="D42" s="291"/>
      <c r="E42" s="291"/>
      <c r="F42" s="376"/>
      <c r="G42" s="377"/>
      <c r="H42" s="291"/>
      <c r="I42" s="291"/>
      <c r="O42" s="69"/>
    </row>
    <row r="43" spans="1:15">
      <c r="A43" s="68" t="str">
        <f t="shared" si="6"/>
        <v>A4</v>
      </c>
      <c r="B43" s="291"/>
      <c r="C43" s="291"/>
      <c r="D43" s="291"/>
      <c r="E43" s="291"/>
      <c r="F43" s="376"/>
      <c r="G43" s="377"/>
      <c r="H43" s="291"/>
      <c r="I43" s="291"/>
      <c r="O43" s="69"/>
    </row>
    <row r="44" spans="1:15" ht="15.75" customHeight="1">
      <c r="A44" s="68" t="str">
        <f t="shared" si="6"/>
        <v>A4</v>
      </c>
      <c r="B44" s="291"/>
      <c r="C44" s="291"/>
      <c r="D44" s="291"/>
      <c r="E44" s="291"/>
      <c r="F44" s="376"/>
      <c r="G44" s="377"/>
      <c r="H44" s="291"/>
      <c r="I44" s="291"/>
      <c r="O44" s="69"/>
    </row>
    <row r="45" spans="1:15">
      <c r="A45" s="68" t="str">
        <f t="shared" si="6"/>
        <v/>
      </c>
    </row>
    <row r="46" spans="1:15">
      <c r="A46" s="68" t="str">
        <f t="shared" si="6"/>
        <v/>
      </c>
    </row>
    <row r="47" spans="1:15">
      <c r="A47" s="68" t="str">
        <f t="shared" si="6"/>
        <v/>
      </c>
    </row>
    <row r="48" spans="1:15">
      <c r="A48" s="68" t="str">
        <f t="shared" si="6"/>
        <v/>
      </c>
    </row>
    <row r="49" spans="1:1">
      <c r="A49" s="68" t="str">
        <f t="shared" si="6"/>
        <v/>
      </c>
    </row>
    <row r="50" spans="1:1">
      <c r="A50" s="68" t="str">
        <f t="shared" si="6"/>
        <v/>
      </c>
    </row>
    <row r="51" spans="1:1">
      <c r="A51" s="68" t="str">
        <f t="shared" si="6"/>
        <v/>
      </c>
    </row>
    <row r="52" spans="1:1">
      <c r="A52" s="68" t="str">
        <f t="shared" si="6"/>
        <v/>
      </c>
    </row>
    <row r="53" spans="1:1">
      <c r="A53" s="68" t="str">
        <f t="shared" ref="A53:A67" si="7">TRIM(LEFT(C18,3))</f>
        <v/>
      </c>
    </row>
    <row r="54" spans="1:1">
      <c r="A54" s="68" t="str">
        <f t="shared" si="7"/>
        <v/>
      </c>
    </row>
    <row r="55" spans="1:1">
      <c r="A55" s="68" t="str">
        <f t="shared" si="7"/>
        <v/>
      </c>
    </row>
    <row r="56" spans="1:1">
      <c r="A56" s="68" t="str">
        <f t="shared" si="7"/>
        <v/>
      </c>
    </row>
    <row r="57" spans="1:1">
      <c r="A57" s="68" t="str">
        <f t="shared" si="7"/>
        <v/>
      </c>
    </row>
    <row r="58" spans="1:1">
      <c r="A58" s="68" t="str">
        <f t="shared" si="7"/>
        <v/>
      </c>
    </row>
    <row r="59" spans="1:1">
      <c r="A59" s="68" t="str">
        <f t="shared" si="7"/>
        <v/>
      </c>
    </row>
    <row r="60" spans="1:1">
      <c r="A60" s="68" t="str">
        <f t="shared" si="7"/>
        <v/>
      </c>
    </row>
    <row r="61" spans="1:1">
      <c r="A61" s="68" t="str">
        <f t="shared" si="7"/>
        <v/>
      </c>
    </row>
    <row r="62" spans="1:1">
      <c r="A62" s="68" t="str">
        <f t="shared" si="7"/>
        <v/>
      </c>
    </row>
    <row r="63" spans="1:1">
      <c r="A63" s="68" t="str">
        <f t="shared" si="7"/>
        <v/>
      </c>
    </row>
    <row r="64" spans="1:1">
      <c r="A64" s="68" t="str">
        <f t="shared" si="7"/>
        <v/>
      </c>
    </row>
    <row r="65" spans="1:1">
      <c r="A65" s="68" t="str">
        <f t="shared" si="7"/>
        <v/>
      </c>
    </row>
    <row r="66" spans="1:1">
      <c r="A66" s="68" t="str">
        <f t="shared" si="7"/>
        <v/>
      </c>
    </row>
    <row r="67" spans="1:1">
      <c r="A67" s="68" t="str">
        <f t="shared" si="7"/>
        <v/>
      </c>
    </row>
  </sheetData>
  <sortState xmlns:xlrd2="http://schemas.microsoft.com/office/spreadsheetml/2017/richdata2" ref="K10:L19">
    <sortCondition ref="K10"/>
  </sortState>
  <dataConsolidate/>
  <conditionalFormatting sqref="Q26:Q30 Q1:AA4 P31:AA1048576 R5:AB30 P2:P4">
    <cfRule type="colorScale" priority="2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Q26:Q30 W21:W30 R5 S5:W6 R22:V30 W1:AA4 P31:AA1048576 X5:AB30 P2:V4">
    <cfRule type="colorScale" priority="5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P31:P1048576 Q26:Q30 P2:P4">
    <cfRule type="colorScale" priority="59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Q26:Q30 W21:W30 W1:AA4 X5:AB30 S5:W6 P31:AA1048576 R22:V30 R5 P2:V4">
    <cfRule type="colorScale" priority="6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P1:AA4 P31:AA1048576 Q5:AB30">
    <cfRule type="colorScale" priority="8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1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">
    <cfRule type="colorScale" priority="2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4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5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6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7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M52:M1048576 Q26:Q30 R22:V30 S5:W6 W1:AA4 X5:AB30 P31:AA1048576 W21:W30 R5 P2:V4 M2:M4 N5:N25">
    <cfRule type="colorScale" priority="31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Plan21">
    <tabColor theme="0"/>
  </sheetPr>
  <dimension ref="A1:O73"/>
  <sheetViews>
    <sheetView showGridLines="0" zoomScale="115" zoomScaleNormal="115" workbookViewId="0">
      <selection activeCell="M18" sqref="M18"/>
    </sheetView>
  </sheetViews>
  <sheetFormatPr defaultColWidth="9.140625" defaultRowHeight="14.25"/>
  <cols>
    <col min="1" max="1" width="3.28515625" style="68" customWidth="1"/>
    <col min="2" max="2" width="21.7109375" style="68" customWidth="1"/>
    <col min="3" max="3" width="19.28515625" style="68" customWidth="1"/>
    <col min="4" max="4" width="13.140625" style="68" customWidth="1"/>
    <col min="5" max="5" width="21.85546875" style="68" customWidth="1"/>
    <col min="6" max="6" width="24" style="68" customWidth="1"/>
    <col min="7" max="7" width="20" style="68" customWidth="1"/>
    <col min="8" max="8" width="27.7109375" style="68" bestFit="1" customWidth="1"/>
    <col min="9" max="9" width="24" style="68" customWidth="1"/>
    <col min="10" max="10" width="18.7109375" style="68" customWidth="1"/>
    <col min="11" max="11" width="32.5703125" style="68" customWidth="1"/>
    <col min="12" max="12" width="25.85546875" style="68" bestFit="1" customWidth="1"/>
    <col min="13" max="13" width="18.42578125" style="68" bestFit="1" customWidth="1"/>
    <col min="14" max="14" width="35.28515625" style="68" bestFit="1" customWidth="1"/>
    <col min="15" max="15" width="27" style="68" bestFit="1" customWidth="1"/>
    <col min="16" max="18" width="9.140625" style="68"/>
    <col min="19" max="19" width="35.42578125" style="68" customWidth="1"/>
    <col min="20" max="16384" width="9.140625" style="68"/>
  </cols>
  <sheetData>
    <row r="1" spans="1:15" s="196" customFormat="1" ht="29.25" customHeight="1">
      <c r="A1" s="139"/>
      <c r="B1" s="1019" t="s">
        <v>872</v>
      </c>
      <c r="C1" s="1301"/>
      <c r="D1" s="1301"/>
      <c r="E1" s="1301"/>
      <c r="F1" s="1020"/>
      <c r="G1" s="1020"/>
      <c r="H1" s="1224" t="s">
        <v>1007</v>
      </c>
      <c r="I1" s="1225">
        <f ca="1">LnkTXTIRTEco</f>
        <v>0.1605</v>
      </c>
      <c r="J1" s="194"/>
      <c r="K1" s="195"/>
    </row>
    <row r="2" spans="1:15" s="196" customFormat="1" ht="27" customHeight="1">
      <c r="B2" s="138" t="str">
        <f>CAPA!C9</f>
        <v>Ceris</v>
      </c>
      <c r="C2" s="70"/>
      <c r="D2" s="70"/>
      <c r="E2" s="70"/>
      <c r="F2" s="70"/>
      <c r="G2" s="70"/>
      <c r="H2" s="121" t="s">
        <v>1011</v>
      </c>
      <c r="I2" s="122">
        <f ca="1">LnkTXTIRTTotal</f>
        <v>-6.0499999999999998E-2</v>
      </c>
    </row>
    <row r="3" spans="1:15">
      <c r="B3" s="1023" t="s">
        <v>1391</v>
      </c>
      <c r="C3" s="812"/>
      <c r="E3" s="812" t="str">
        <f>"Encargos "&amp;YEAR(CAPA!C14)</f>
        <v>Encargos 2021</v>
      </c>
      <c r="F3" s="812"/>
      <c r="H3" s="812"/>
      <c r="I3" s="812"/>
      <c r="J3" s="812"/>
      <c r="K3" s="812"/>
      <c r="L3" s="812"/>
      <c r="M3" s="812"/>
      <c r="N3" s="812"/>
      <c r="O3" s="812"/>
    </row>
    <row r="4" spans="1:15">
      <c r="E4" s="1306" t="s">
        <v>107</v>
      </c>
      <c r="F4" s="1306" t="s">
        <v>1392</v>
      </c>
      <c r="H4" s="72"/>
      <c r="I4" s="72"/>
    </row>
    <row r="5" spans="1:15">
      <c r="B5" s="1306" t="s">
        <v>107</v>
      </c>
      <c r="C5" s="1306" t="s">
        <v>36</v>
      </c>
      <c r="E5" s="68" t="s">
        <v>44</v>
      </c>
      <c r="F5" s="116">
        <f>CAPA!D42</f>
        <v>36574.6449441515</v>
      </c>
      <c r="H5" s="1778" t="s">
        <v>1393</v>
      </c>
      <c r="I5" s="1778"/>
      <c r="K5" s="1778" t="s">
        <v>1394</v>
      </c>
      <c r="L5" s="1778"/>
      <c r="N5" s="1778" t="s">
        <v>1395</v>
      </c>
      <c r="O5" s="1778"/>
    </row>
    <row r="6" spans="1:15">
      <c r="B6" s="68" t="s">
        <v>44</v>
      </c>
      <c r="C6" s="80">
        <f ca="1">L14</f>
        <v>42024.992316025076</v>
      </c>
      <c r="E6" s="68" t="s">
        <v>46</v>
      </c>
      <c r="F6" s="116">
        <f>CAPA!D43</f>
        <v>979868.31935999996</v>
      </c>
      <c r="H6" s="200" t="s">
        <v>1396</v>
      </c>
      <c r="I6" s="201">
        <f ca="1">FornecimentoE+LivreE-Calc_Mercado!C16</f>
        <v>15764.316000000003</v>
      </c>
      <c r="K6" s="514" t="s">
        <v>874</v>
      </c>
      <c r="L6" s="421">
        <f ca="1">LnkTXTER</f>
        <v>19534.821867000002</v>
      </c>
      <c r="N6" s="202" t="s">
        <v>1397</v>
      </c>
      <c r="O6" s="402">
        <v>1E-14</v>
      </c>
    </row>
    <row r="7" spans="1:15" ht="13.5" customHeight="1">
      <c r="B7" s="68" t="s">
        <v>46</v>
      </c>
      <c r="C7" s="80">
        <f ca="1">I22</f>
        <v>1389890.3980500002</v>
      </c>
      <c r="D7" s="197"/>
      <c r="E7" s="68" t="s">
        <v>163</v>
      </c>
      <c r="F7" s="116">
        <f>CAPA!D44</f>
        <v>0</v>
      </c>
      <c r="H7" s="1346" t="s">
        <v>1398</v>
      </c>
      <c r="I7" s="1347">
        <v>14.13</v>
      </c>
      <c r="K7" s="514" t="s">
        <v>1230</v>
      </c>
      <c r="L7" s="421">
        <f ca="1">Energia!L7</f>
        <v>0</v>
      </c>
      <c r="N7" s="202" t="s">
        <v>1399</v>
      </c>
      <c r="O7" s="203">
        <f ca="1">SUM(C12+C6+C9+C10+C8)</f>
        <v>264774.77739602514</v>
      </c>
    </row>
    <row r="8" spans="1:15">
      <c r="B8" s="68" t="s">
        <v>163</v>
      </c>
      <c r="C8" s="80">
        <v>0</v>
      </c>
      <c r="D8" s="197"/>
      <c r="E8" s="68" t="s">
        <v>109</v>
      </c>
      <c r="F8" s="116">
        <f>CAPA!D45</f>
        <v>0</v>
      </c>
      <c r="K8" s="514" t="s">
        <v>1233</v>
      </c>
      <c r="L8" s="421">
        <f ca="1">LnkTXTPerdas</f>
        <v>3157.7538669999999</v>
      </c>
      <c r="N8" s="202" t="s">
        <v>846</v>
      </c>
      <c r="O8" s="268">
        <f>Resultado!D24</f>
        <v>2300281.9677699995</v>
      </c>
    </row>
    <row r="9" spans="1:15">
      <c r="B9" s="68" t="s">
        <v>1400</v>
      </c>
      <c r="C9" s="837">
        <f>IFERROR(VLOOKUP("ESS/EER",TabEncargosBancoConsolidados[],2,FALSE),0)</f>
        <v>0</v>
      </c>
      <c r="D9" s="69"/>
      <c r="E9" s="68" t="s">
        <v>52</v>
      </c>
      <c r="F9" s="116">
        <f>CAPA!D46</f>
        <v>152520.15968000001</v>
      </c>
      <c r="H9" s="1778" t="s">
        <v>1401</v>
      </c>
      <c r="I9" s="1778"/>
      <c r="K9" s="514" t="s">
        <v>1402</v>
      </c>
      <c r="L9" s="421">
        <f ca="1">SUM(L6:L7,-L8)</f>
        <v>16377.068000000003</v>
      </c>
      <c r="N9" s="202" t="s">
        <v>158</v>
      </c>
      <c r="O9" s="267">
        <f ca="1">Resultado!D33</f>
        <v>2288467.0436729463</v>
      </c>
    </row>
    <row r="10" spans="1:15">
      <c r="B10" s="68" t="s">
        <v>52</v>
      </c>
      <c r="C10" s="80">
        <f ca="1">IFERROR(Encargos!I7*I6,0)</f>
        <v>222749.78508000006</v>
      </c>
      <c r="D10" s="197"/>
      <c r="E10" s="68" t="s">
        <v>54</v>
      </c>
      <c r="F10" s="116">
        <f>CAPA!D48</f>
        <v>0</v>
      </c>
      <c r="H10" s="1615" t="s">
        <v>1403</v>
      </c>
      <c r="I10" s="1616">
        <f ca="1">FornecimentoE_A1+Calc_Mercado!C10+Calc_Mercado!C11+Calc_Mercado!C114+Calc_Mercado!C115</f>
        <v>0</v>
      </c>
      <c r="K10" s="514" t="s">
        <v>1404</v>
      </c>
      <c r="L10" s="421">
        <f ca="1">SUM(L6:L7)</f>
        <v>19534.821867000002</v>
      </c>
      <c r="N10" s="202" t="s">
        <v>1405</v>
      </c>
      <c r="O10" s="203">
        <f>Resultado!D39</f>
        <v>8886696.2552139182</v>
      </c>
    </row>
    <row r="11" spans="1:15">
      <c r="B11" s="68" t="s">
        <v>1406</v>
      </c>
      <c r="C11" s="80">
        <v>1E-4</v>
      </c>
      <c r="D11" s="197"/>
      <c r="E11" s="812" t="s">
        <v>1407</v>
      </c>
      <c r="F11" s="1239">
        <f>CAPA!D47</f>
        <v>0</v>
      </c>
      <c r="H11" s="200" t="s">
        <v>1408</v>
      </c>
      <c r="I11" s="140">
        <f ca="1">Calc_Mercado!C12+Calc_Mercado!C13+Calc_Mercado!C14+Calc_Mercado!C116+Calc_Mercado!C117</f>
        <v>1305.1950000000002</v>
      </c>
      <c r="K11" s="514" t="s">
        <v>1409</v>
      </c>
      <c r="L11" s="421">
        <f>BD!C32</f>
        <v>0.70911942448514709</v>
      </c>
      <c r="N11" s="202" t="s">
        <v>1410</v>
      </c>
      <c r="O11" s="204">
        <f ca="1">IF(O6=0,0,O6*(SUM(O7:O10)-Q7))</f>
        <v>1.374022004405289E-7</v>
      </c>
    </row>
    <row r="12" spans="1:15">
      <c r="B12" s="68" t="s">
        <v>54</v>
      </c>
      <c r="C12" s="80">
        <f>IFERROR(VLOOKUP("ONS",TabEncargosBancoConsolidados[],2,FALSE),0)</f>
        <v>0</v>
      </c>
      <c r="D12" s="69"/>
      <c r="E12" s="812" t="str">
        <f>"Encargos "&amp;YEAR(CAPA!C14)-1</f>
        <v>Encargos 2020</v>
      </c>
      <c r="F12" s="812"/>
      <c r="H12" s="200" t="s">
        <v>1411</v>
      </c>
      <c r="I12" s="140">
        <f ca="1">FornecimentoE_BT-Calc_Mercado!C16+Calc_Mercado!C119+Calc_Mercado!C118</f>
        <v>14459.121000000003</v>
      </c>
      <c r="K12" s="514" t="s">
        <v>1412</v>
      </c>
      <c r="L12" s="45">
        <v>4.0000000000000001E-3</v>
      </c>
      <c r="N12" s="202" t="s">
        <v>1413</v>
      </c>
      <c r="O12" s="204">
        <f ca="1">Financeiros!D7</f>
        <v>-2880826.5614577578</v>
      </c>
    </row>
    <row r="13" spans="1:15">
      <c r="B13" s="1348" t="s">
        <v>896</v>
      </c>
      <c r="C13" s="1349">
        <f ca="1">SUM(C6:C12)</f>
        <v>1654665.1755460254</v>
      </c>
      <c r="D13" s="197"/>
      <c r="E13" s="1306" t="s">
        <v>107</v>
      </c>
      <c r="F13" s="1306" t="s">
        <v>1392</v>
      </c>
      <c r="H13" s="1617" t="s">
        <v>1414</v>
      </c>
      <c r="I13" s="1618">
        <v>23.38</v>
      </c>
      <c r="K13" s="1350" t="s">
        <v>1415</v>
      </c>
      <c r="L13" s="1351">
        <f ca="1">LnkTXTIParcelaBcomSub+Energia!F18</f>
        <v>8886696.2552139182</v>
      </c>
      <c r="N13" s="1352" t="s">
        <v>1416</v>
      </c>
      <c r="O13" s="1353">
        <f ca="1">O12*O6+O11</f>
        <v>1.0859393482595133E-7</v>
      </c>
    </row>
    <row r="14" spans="1:15">
      <c r="E14" s="68" t="s">
        <v>44</v>
      </c>
      <c r="F14" s="1563">
        <f>BD!C37</f>
        <v>31922.253199050836</v>
      </c>
      <c r="H14" s="261" t="s">
        <v>1417</v>
      </c>
      <c r="I14" s="843">
        <v>31.67</v>
      </c>
      <c r="K14" s="1354" t="s">
        <v>44</v>
      </c>
      <c r="L14" s="1355">
        <f ca="1">L12*1/L11*L9/L10*L13</f>
        <v>42024.992316025076</v>
      </c>
    </row>
    <row r="15" spans="1:15">
      <c r="E15" s="68" t="s">
        <v>46</v>
      </c>
      <c r="F15" s="80">
        <f>BD!C35</f>
        <v>911766.68789999955</v>
      </c>
      <c r="H15" s="1356" t="s">
        <v>1418</v>
      </c>
      <c r="I15" s="1357">
        <v>37.700000000000003</v>
      </c>
    </row>
    <row r="16" spans="1:15">
      <c r="E16" s="68" t="s">
        <v>163</v>
      </c>
      <c r="F16" s="80">
        <v>0</v>
      </c>
      <c r="H16" s="724" t="s">
        <v>1419</v>
      </c>
      <c r="I16" s="1618">
        <v>55.4</v>
      </c>
      <c r="K16" s="1778" t="s">
        <v>109</v>
      </c>
      <c r="L16" s="1778"/>
    </row>
    <row r="17" spans="2:14">
      <c r="E17" s="68" t="s">
        <v>109</v>
      </c>
      <c r="F17" s="80">
        <v>0</v>
      </c>
      <c r="H17" s="68" t="s">
        <v>1420</v>
      </c>
      <c r="I17" s="843">
        <v>75.06</v>
      </c>
      <c r="K17" s="1615" t="s">
        <v>1421</v>
      </c>
      <c r="L17" s="1616">
        <f>IFERROR(VLOOKUP("EER",TabEncargosBancoConsolidados[],2,FALSE),0)</f>
        <v>0</v>
      </c>
    </row>
    <row r="18" spans="2:14">
      <c r="C18" s="108"/>
      <c r="D18" s="108"/>
      <c r="E18" s="68" t="s">
        <v>52</v>
      </c>
      <c r="F18" s="80">
        <f>BD!C36</f>
        <v>118866.31393999995</v>
      </c>
      <c r="G18" s="108"/>
      <c r="H18" s="812" t="s">
        <v>1422</v>
      </c>
      <c r="I18" s="1357">
        <v>89.35</v>
      </c>
      <c r="K18" s="200" t="s">
        <v>1423</v>
      </c>
      <c r="L18" s="140">
        <f>C9-L17</f>
        <v>0</v>
      </c>
      <c r="M18" s="1682"/>
    </row>
    <row r="19" spans="2:14">
      <c r="C19" s="108"/>
      <c r="D19" s="108"/>
      <c r="E19" s="812" t="s">
        <v>54</v>
      </c>
      <c r="F19" s="1358">
        <v>0</v>
      </c>
      <c r="G19" s="108"/>
      <c r="H19" s="68" t="s">
        <v>1424</v>
      </c>
      <c r="I19" s="69">
        <f ca="1">IF(CAPA!C10="S/SE/CO",Encargos!I10*Encargos!I16+Encargos!I11*Encargos!I17+Encargos!I12*Encargos!I18,Encargos!I10*Encargos!I13+Encargos!I11*Encargos!I14+Encargos!I12*Encargos!I15)</f>
        <v>1389890.3980500002</v>
      </c>
      <c r="K19" s="1306" t="s">
        <v>896</v>
      </c>
      <c r="L19" s="1556">
        <f>SUM(L17:L18)</f>
        <v>0</v>
      </c>
    </row>
    <row r="20" spans="2:14">
      <c r="C20" s="108"/>
      <c r="D20" s="108"/>
      <c r="F20" s="80"/>
      <c r="G20" s="108"/>
      <c r="H20" s="1359" t="s">
        <v>1425</v>
      </c>
      <c r="I20" s="1360">
        <f>IFERROR(VLOOKUP("CDE Covid",TabEncargosBancoConsolidados[],2,FALSE),0)</f>
        <v>0</v>
      </c>
    </row>
    <row r="21" spans="2:14">
      <c r="C21" s="108"/>
      <c r="D21" s="108"/>
      <c r="F21" s="80"/>
      <c r="G21" s="108"/>
      <c r="H21" s="68" t="s">
        <v>1426</v>
      </c>
      <c r="I21" s="69">
        <f>IFERROR(VLOOKUP("CDE Eletrobras",TabEncargosBancoConsolidados[],2,FALSE),0)</f>
        <v>0</v>
      </c>
    </row>
    <row r="22" spans="2:14">
      <c r="C22" s="108"/>
      <c r="D22" s="108"/>
      <c r="F22" s="80"/>
      <c r="G22" s="108"/>
      <c r="H22" s="1306" t="s">
        <v>1427</v>
      </c>
      <c r="I22" s="1556">
        <f ca="1">I19+I20+I21</f>
        <v>1389890.3980500002</v>
      </c>
    </row>
    <row r="23" spans="2:14">
      <c r="C23" s="108"/>
      <c r="D23" s="108"/>
      <c r="F23" s="80"/>
      <c r="G23" s="108"/>
    </row>
    <row r="24" spans="2:14">
      <c r="C24" s="108"/>
      <c r="D24" s="108"/>
      <c r="F24" s="80"/>
      <c r="G24" s="108"/>
      <c r="I24" s="69"/>
    </row>
    <row r="25" spans="2:14">
      <c r="C25" s="108"/>
      <c r="D25" s="108"/>
      <c r="F25" s="80"/>
      <c r="G25" s="108"/>
      <c r="I25" s="69"/>
    </row>
    <row r="26" spans="2:14">
      <c r="C26" s="108"/>
      <c r="D26" s="108"/>
      <c r="F26" s="80"/>
      <c r="G26" s="108"/>
    </row>
    <row r="27" spans="2:14" ht="15" customHeight="1">
      <c r="B27" s="1023" t="s">
        <v>1428</v>
      </c>
      <c r="C27" s="812"/>
      <c r="D27" s="812"/>
      <c r="E27" s="812"/>
      <c r="F27" s="812"/>
      <c r="G27" s="812"/>
      <c r="J27" s="812"/>
      <c r="K27" s="812"/>
      <c r="L27" s="812"/>
      <c r="M27" s="192"/>
    </row>
    <row r="28" spans="2:14">
      <c r="B28" s="270"/>
      <c r="C28" s="269"/>
      <c r="D28" s="269"/>
      <c r="E28" s="266"/>
    </row>
    <row r="29" spans="2:14">
      <c r="C29" s="197" t="s">
        <v>157</v>
      </c>
      <c r="D29" s="197" t="s">
        <v>1429</v>
      </c>
      <c r="E29" s="197"/>
      <c r="F29" s="197"/>
      <c r="G29" s="197"/>
      <c r="L29" s="192"/>
      <c r="M29" s="193"/>
    </row>
    <row r="30" spans="2:14" ht="16.5" customHeight="1">
      <c r="C30" s="1306" t="s">
        <v>1430</v>
      </c>
      <c r="D30" s="1306" t="s">
        <v>51</v>
      </c>
      <c r="E30" s="1306" t="s">
        <v>44</v>
      </c>
      <c r="F30" s="1306" t="s">
        <v>46</v>
      </c>
      <c r="G30" s="1306" t="s">
        <v>52</v>
      </c>
      <c r="H30" s="1306" t="s">
        <v>1431</v>
      </c>
      <c r="I30" s="1306" t="s">
        <v>1432</v>
      </c>
      <c r="J30" s="1306" t="s">
        <v>1433</v>
      </c>
      <c r="L30" s="1777" t="s">
        <v>1434</v>
      </c>
      <c r="M30" s="1777"/>
      <c r="N30" s="272"/>
    </row>
    <row r="31" spans="2:14">
      <c r="B31" s="271">
        <f>Indexador!B68</f>
        <v>44378</v>
      </c>
      <c r="C31" s="1521">
        <f ca="1">IFERROR(IF(CAPA!$C$113="Não",C47-C62,IF(Indexador!$B68&lt;CAPA!$C$114,0,C47-C62)),0)</f>
        <v>0</v>
      </c>
      <c r="D31" s="1521">
        <f ca="1">IF(CAPA!$C$113="Não",D47-D62,IF(Indexador!$B68&lt;CAPA!$C$114,0,D47-D62))</f>
        <v>0</v>
      </c>
      <c r="E31" s="1521">
        <f ca="1">IF(CAPA!$C$113="Não",E47-E62,IF(Indexador!$B68&lt;CAPA!$C$114,0,E47-E62))</f>
        <v>247.23866726333927</v>
      </c>
      <c r="F31" s="1521">
        <f ca="1">IF(CAPA!$C$113="Não",F47-F62,IF(Indexador!$B68&lt;CAPA!$C$114,0,F47-F62))</f>
        <v>7053.3049517922627</v>
      </c>
      <c r="G31" s="1521">
        <f ca="1">IF(CAPA!$C$113="Não",G47-G62,IF(Indexador!$B68&lt;CAPA!$C$114,0,G47-G62))</f>
        <v>1109.7084731990617</v>
      </c>
      <c r="H31" s="1521">
        <f ca="1">IF(CAPA!$C$113="Não",H47-H62,IF(Indexador!$B68&lt;CAPA!$C$114,0,H47-H62))</f>
        <v>0</v>
      </c>
      <c r="I31" s="1521">
        <f ca="1">IF(CAPA!$C$113="Não",I47-I62,IF(Indexador!$B68&lt;CAPA!$C$114,0,I47-I62))</f>
        <v>0</v>
      </c>
      <c r="J31" s="1521">
        <f ca="1">IF(CAPA!$C$113="Não",J47-J62,IF(Indexador!$B68&lt;CAPA!$C$114,0,J47-J62))</f>
        <v>8410.2520922546682</v>
      </c>
      <c r="L31" s="68" t="s">
        <v>44</v>
      </c>
      <c r="M31" s="116">
        <f ca="1">Indexador!H80</f>
        <v>1320.0697366684942</v>
      </c>
      <c r="N31" s="80"/>
    </row>
    <row r="32" spans="2:14">
      <c r="B32" s="271">
        <f>Indexador!B69</f>
        <v>44409</v>
      </c>
      <c r="C32" s="116">
        <f ca="1">IFERROR(IF(CAPA!$C$113="Não",C48-C63,IF(Indexador!$B69&lt;CAPA!$C$114,0,C48-C63)),0)</f>
        <v>0</v>
      </c>
      <c r="D32" s="116">
        <f ca="1">IF(CAPA!$C$113="Não",D48-D63,IF(Indexador!$B69&lt;CAPA!$C$114,0,D48-D63))</f>
        <v>0</v>
      </c>
      <c r="E32" s="116">
        <f ca="1">IF(CAPA!$C$113="Não",E48-E63,IF(Indexador!$B69&lt;CAPA!$C$114,0,E48-E63))</f>
        <v>2.9125600634902185</v>
      </c>
      <c r="F32" s="116">
        <f ca="1">IF(CAPA!$C$113="Não",F48-F63,IF(Indexador!$B69&lt;CAPA!$C$114,0,F48-F63))</f>
        <v>393.28954603889724</v>
      </c>
      <c r="G32" s="116">
        <f ca="1">IF(CAPA!$C$113="Não",G48-G63,IF(Indexador!$B69&lt;CAPA!$C$114,0,G48-G63))</f>
        <v>66.617997522758742</v>
      </c>
      <c r="H32" s="116">
        <f ca="1">IF(CAPA!$C$113="Não",H48-H63,IF(Indexador!$B69&lt;CAPA!$C$114,0,H48-H63))</f>
        <v>0</v>
      </c>
      <c r="I32" s="116">
        <f ca="1">IF(CAPA!$C$113="Não",I48-I63,IF(Indexador!$B69&lt;CAPA!$C$114,0,I48-I63))</f>
        <v>0</v>
      </c>
      <c r="J32" s="116">
        <f ca="1">IF(CAPA!$C$113="Não",J48-J63,IF(Indexador!$B69&lt;CAPA!$C$114,0,J48-J63))</f>
        <v>462.82010362515575</v>
      </c>
      <c r="L32" s="68" t="s">
        <v>1435</v>
      </c>
      <c r="M32" s="116">
        <f ca="1">Indexador!J80+Indexador!L80</f>
        <v>43111.948945576783</v>
      </c>
      <c r="N32" s="80"/>
    </row>
    <row r="33" spans="2:14">
      <c r="B33" s="271">
        <f>Indexador!B70</f>
        <v>44440</v>
      </c>
      <c r="C33" s="116">
        <f ca="1">IFERROR(IF(CAPA!$C$113="Não",C49-C64,IF(Indexador!$B70&lt;CAPA!$C$114,0,C49-C64)),0)</f>
        <v>0</v>
      </c>
      <c r="D33" s="116">
        <f ca="1">IF(CAPA!$C$113="Não",D49-D64,IF(Indexador!$B70&lt;CAPA!$C$114,0,D49-D64))</f>
        <v>0</v>
      </c>
      <c r="E33" s="116">
        <f ca="1">IF(CAPA!$C$113="Não",E49-E64,IF(Indexador!$B70&lt;CAPA!$C$114,0,E49-E64))</f>
        <v>42.049383938617666</v>
      </c>
      <c r="F33" s="116">
        <f ca="1">IF(CAPA!$C$113="Não",F49-F64,IF(Indexador!$B70&lt;CAPA!$C$114,0,F49-F64))</f>
        <v>643.64727872598451</v>
      </c>
      <c r="G33" s="116">
        <f ca="1">IF(CAPA!$C$113="Não",G49-G64,IF(Indexador!$B70&lt;CAPA!$C$114,0,G49-G64))</f>
        <v>72.672905431694744</v>
      </c>
      <c r="H33" s="116">
        <f ca="1">IF(CAPA!$C$113="Não",H49-H64,IF(Indexador!$B70&lt;CAPA!$C$114,0,H49-H64))</f>
        <v>0</v>
      </c>
      <c r="I33" s="116">
        <f ca="1">IF(CAPA!$C$113="Não",I49-I64,IF(Indexador!$B70&lt;CAPA!$C$114,0,I49-I64))</f>
        <v>0</v>
      </c>
      <c r="J33" s="116">
        <f ca="1">IF(CAPA!$C$113="Não",J49-J64,IF(Indexador!$B70&lt;CAPA!$C$114,0,J49-J64))</f>
        <v>758.36956809628464</v>
      </c>
      <c r="L33" s="68" t="s">
        <v>163</v>
      </c>
      <c r="M33" s="116">
        <f>0</f>
        <v>0</v>
      </c>
      <c r="N33" s="80"/>
    </row>
    <row r="34" spans="2:14">
      <c r="B34" s="271">
        <f>Indexador!B71</f>
        <v>44470</v>
      </c>
      <c r="C34" s="116">
        <f ca="1">IFERROR(IF(CAPA!$C$113="Não",C50-C65,IF(Indexador!$B71&lt;CAPA!$C$114,0,C50-C65)),0)</f>
        <v>0</v>
      </c>
      <c r="D34" s="116">
        <f ca="1">IF(CAPA!$C$113="Não",D50-D65,IF(Indexador!$B71&lt;CAPA!$C$114,0,D50-D65))</f>
        <v>0</v>
      </c>
      <c r="E34" s="116">
        <f ca="1">IF(CAPA!$C$113="Não",E50-E65,IF(Indexador!$B71&lt;CAPA!$C$114,0,E50-E65))</f>
        <v>49.442682755318401</v>
      </c>
      <c r="F34" s="116">
        <f ca="1">IF(CAPA!$C$113="Não",F50-F65,IF(Indexador!$B71&lt;CAPA!$C$114,0,F50-F65))</f>
        <v>2582.4994061434118</v>
      </c>
      <c r="G34" s="116">
        <f ca="1">IF(CAPA!$C$113="Não",G50-G65,IF(Indexador!$B71&lt;CAPA!$C$114,0,G50-G65))</f>
        <v>446.02142680284669</v>
      </c>
      <c r="H34" s="116">
        <f ca="1">IF(CAPA!$C$113="Não",H50-H65,IF(Indexador!$B71&lt;CAPA!$C$114,0,H50-H65))</f>
        <v>0</v>
      </c>
      <c r="I34" s="116">
        <f ca="1">IF(CAPA!$C$113="Não",I50-I65,IF(Indexador!$B71&lt;CAPA!$C$114,0,I50-I65))</f>
        <v>0</v>
      </c>
      <c r="J34" s="116">
        <f ca="1">IF(CAPA!$C$113="Não",J50-J65,IF(Indexador!$B71&lt;CAPA!$C$114,0,J50-J65))</f>
        <v>3077.9635157015728</v>
      </c>
      <c r="L34" s="68" t="s">
        <v>51</v>
      </c>
      <c r="M34" s="116">
        <f ca="1">Indexador!F80</f>
        <v>0</v>
      </c>
      <c r="N34" s="80"/>
    </row>
    <row r="35" spans="2:14">
      <c r="B35" s="271">
        <f>Indexador!B72</f>
        <v>44501</v>
      </c>
      <c r="C35" s="116">
        <f ca="1">IFERROR(IF(CAPA!$C$113="Não",C51-C66,IF(Indexador!$B72&lt;CAPA!$C$114,0,C51-C66)),0)</f>
        <v>0</v>
      </c>
      <c r="D35" s="116">
        <f ca="1">IF(CAPA!$C$113="Não",D51-D66,IF(Indexador!$B72&lt;CAPA!$C$114,0,D51-D66))</f>
        <v>0</v>
      </c>
      <c r="E35" s="116">
        <f ca="1">IF(CAPA!$C$113="Não",E51-E66,IF(Indexador!$B72&lt;CAPA!$C$114,0,E51-E66))</f>
        <v>162.12737904613414</v>
      </c>
      <c r="F35" s="116">
        <f ca="1">IF(CAPA!$C$113="Não",F51-F66,IF(Indexador!$B72&lt;CAPA!$C$114,0,F51-F66))</f>
        <v>4293.8016774965799</v>
      </c>
      <c r="G35" s="116">
        <f ca="1">IF(CAPA!$C$113="Não",G51-G66,IF(Indexador!$B72&lt;CAPA!$C$114,0,G51-G66))</f>
        <v>647.5618772249054</v>
      </c>
      <c r="H35" s="116">
        <f ca="1">IF(CAPA!$C$113="Não",H51-H66,IF(Indexador!$B72&lt;CAPA!$C$114,0,H51-H66))</f>
        <v>0</v>
      </c>
      <c r="I35" s="116">
        <f ca="1">IF(CAPA!$C$113="Não",I51-I66,IF(Indexador!$B72&lt;CAPA!$C$114,0,I51-I66))</f>
        <v>0</v>
      </c>
      <c r="J35" s="116">
        <f ca="1">IF(CAPA!$C$113="Não",J51-J66,IF(Indexador!$B72&lt;CAPA!$C$114,0,J51-J66))</f>
        <v>5103.4909337676218</v>
      </c>
      <c r="L35" s="68" t="s">
        <v>52</v>
      </c>
      <c r="M35" s="116">
        <f ca="1">Indexador!N80</f>
        <v>6031.9928132301266</v>
      </c>
      <c r="N35" s="80"/>
    </row>
    <row r="36" spans="2:14">
      <c r="B36" s="271">
        <f>Indexador!B73</f>
        <v>44531</v>
      </c>
      <c r="C36" s="116">
        <f ca="1">IFERROR(IF(CAPA!$C$113="Não",C52-C67,IF(Indexador!$B73&lt;CAPA!$C$114,0,C52-C67)),0)</f>
        <v>0</v>
      </c>
      <c r="D36" s="116">
        <f ca="1">IF(CAPA!$C$113="Não",D52-D67,IF(Indexador!$B73&lt;CAPA!$C$114,0,D52-D67))</f>
        <v>0</v>
      </c>
      <c r="E36" s="116">
        <f ca="1">IF(CAPA!$C$113="Não",E52-E67,IF(Indexador!$B73&lt;CAPA!$C$114,0,E52-E67))</f>
        <v>262.87325353004462</v>
      </c>
      <c r="F36" s="116">
        <f ca="1">IF(CAPA!$C$113="Não",F52-F67,IF(Indexador!$B73&lt;CAPA!$C$114,0,F52-F67))</f>
        <v>7099.1747773567186</v>
      </c>
      <c r="G36" s="116">
        <f ca="1">IF(CAPA!$C$113="Não",G52-G67,IF(Indexador!$B73&lt;CAPA!$C$114,0,G52-G67))</f>
        <v>1090.2209355690593</v>
      </c>
      <c r="H36" s="116">
        <f ca="1">IF(CAPA!$C$113="Não",H52-H67,IF(Indexador!$B73&lt;CAPA!$C$114,0,H52-H67))</f>
        <v>0</v>
      </c>
      <c r="I36" s="116">
        <f ca="1">IF(CAPA!$C$113="Não",I52-I67,IF(Indexador!$B73&lt;CAPA!$C$114,0,I52-I67))</f>
        <v>0</v>
      </c>
      <c r="J36" s="116">
        <f ca="1">IF(CAPA!$C$113="Não",J52-J67,IF(Indexador!$B73&lt;CAPA!$C$114,0,J52-J67))</f>
        <v>8452.2689664558275</v>
      </c>
      <c r="L36" s="68" t="s">
        <v>1430</v>
      </c>
      <c r="M36" s="116">
        <f ca="1">Indexador!D80</f>
        <v>0</v>
      </c>
      <c r="N36" s="80"/>
    </row>
    <row r="37" spans="2:14">
      <c r="B37" s="271">
        <f>Indexador!B74</f>
        <v>44562</v>
      </c>
      <c r="C37" s="116">
        <f ca="1">IFERROR(IF(CAPA!$C$113="Não",C53-C68,IF(Indexador!$B74&lt;CAPA!$C$114,0,C53-C68)),0)</f>
        <v>0</v>
      </c>
      <c r="D37" s="116">
        <f ca="1">IF(CAPA!$C$113="Não",D53-D68,IF(Indexador!$B74&lt;CAPA!$C$114,0,D53-D68))</f>
        <v>0</v>
      </c>
      <c r="E37" s="116">
        <f ca="1">IF(CAPA!$C$113="Não",E53-E68,IF(Indexador!$B74&lt;CAPA!$C$114,0,E53-E68))</f>
        <v>-53.457800085321651</v>
      </c>
      <c r="F37" s="116">
        <f ca="1">IF(CAPA!$C$113="Não",F53-F68,IF(Indexador!$B74&lt;CAPA!$C$114,0,F53-F68))</f>
        <v>-1715.3134279077931</v>
      </c>
      <c r="G37" s="116">
        <f ca="1">IF(CAPA!$C$113="Não",G53-G68,IF(Indexador!$B74&lt;CAPA!$C$114,0,G53-G68))</f>
        <v>-301.86052850037413</v>
      </c>
      <c r="H37" s="116">
        <f ca="1">IF(CAPA!$C$113="Não",H53-H68,IF(Indexador!$B74&lt;CAPA!$C$114,0,H53-H68))</f>
        <v>0</v>
      </c>
      <c r="I37" s="116">
        <f ca="1">IF(CAPA!$C$113="Não",I53-I68,IF(Indexador!$B74&lt;CAPA!$C$114,0,I53-I68))</f>
        <v>0</v>
      </c>
      <c r="J37" s="116">
        <f ca="1">IF(CAPA!$C$113="Não",J53-J68,IF(Indexador!$B74&lt;CAPA!$C$114,0,J53-J68))</f>
        <v>-2070.6317564935016</v>
      </c>
      <c r="L37" s="812" t="s">
        <v>53</v>
      </c>
      <c r="M37" s="1267">
        <f ca="1">Indexador!L80</f>
        <v>0</v>
      </c>
      <c r="N37" s="80"/>
    </row>
    <row r="38" spans="2:14">
      <c r="B38" s="271">
        <f>Indexador!B75</f>
        <v>44593</v>
      </c>
      <c r="C38" s="116">
        <f ca="1">IFERROR(IF(CAPA!$C$113="Não",C54-C69,IF(Indexador!$B75&lt;CAPA!$C$114,0,C54-C69)),0)</f>
        <v>0</v>
      </c>
      <c r="D38" s="116">
        <f ca="1">IF(CAPA!$C$113="Não",D54-D69,IF(Indexador!$B75&lt;CAPA!$C$114,0,D54-D69))</f>
        <v>0</v>
      </c>
      <c r="E38" s="116">
        <f ca="1">IF(CAPA!$C$113="Não",E54-E69,IF(Indexador!$B75&lt;CAPA!$C$114,0,E54-E69))</f>
        <v>82.287414881126551</v>
      </c>
      <c r="F38" s="116">
        <f ca="1">IF(CAPA!$C$113="Não",F54-F69,IF(Indexador!$B75&lt;CAPA!$C$114,0,F54-F69))</f>
        <v>1210.2377110200905</v>
      </c>
      <c r="G38" s="116">
        <f ca="1">IF(CAPA!$C$113="Não",G54-G69,IF(Indexador!$B75&lt;CAPA!$C$114,0,G54-G69))</f>
        <v>89.741974658167237</v>
      </c>
      <c r="H38" s="116">
        <f ca="1">IF(CAPA!$C$113="Não",H54-H69,IF(Indexador!$B75&lt;CAPA!$C$114,0,H54-H69))</f>
        <v>0</v>
      </c>
      <c r="I38" s="116">
        <f ca="1">IF(CAPA!$C$113="Não",I54-I69,IF(Indexador!$B75&lt;CAPA!$C$114,0,I54-I69))</f>
        <v>0</v>
      </c>
      <c r="J38" s="116">
        <f ca="1">IF(CAPA!$C$113="Não",J54-J69,IF(Indexador!$B75&lt;CAPA!$C$114,0,J54-J69))</f>
        <v>1382.2671005593875</v>
      </c>
      <c r="L38" s="71" t="s">
        <v>888</v>
      </c>
      <c r="M38" s="273">
        <f ca="1">SUM(M31:M36)</f>
        <v>50464.011495475403</v>
      </c>
      <c r="N38" s="80"/>
    </row>
    <row r="39" spans="2:14">
      <c r="B39" s="271">
        <f>Indexador!B76</f>
        <v>44621</v>
      </c>
      <c r="C39" s="116">
        <f ca="1">IFERROR(IF(CAPA!$C$113="Não",C55-C70,IF(Indexador!$B76&lt;CAPA!$C$114,0,C55-C70)),0)</f>
        <v>0</v>
      </c>
      <c r="D39" s="116">
        <f ca="1">IF(CAPA!$C$113="Não",D55-D70,IF(Indexador!$B76&lt;CAPA!$C$114,0,D55-D70))</f>
        <v>0</v>
      </c>
      <c r="E39" s="116">
        <f ca="1">IF(CAPA!$C$113="Não",E55-E70,IF(Indexador!$B76&lt;CAPA!$C$114,0,E55-E70))</f>
        <v>128.3930245842862</v>
      </c>
      <c r="F39" s="116">
        <f ca="1">IF(CAPA!$C$113="Não",F55-F70,IF(Indexador!$B76&lt;CAPA!$C$114,0,F55-F70))</f>
        <v>2511.3854191487335</v>
      </c>
      <c r="G39" s="116">
        <f ca="1">IF(CAPA!$C$113="Não",G55-G70,IF(Indexador!$B76&lt;CAPA!$C$114,0,G55-G70))</f>
        <v>214.62250218733243</v>
      </c>
      <c r="H39" s="116">
        <f ca="1">IF(CAPA!$C$113="Não",H55-H70,IF(Indexador!$B76&lt;CAPA!$C$114,0,H55-H70))</f>
        <v>0</v>
      </c>
      <c r="I39" s="116">
        <f ca="1">IF(CAPA!$C$113="Não",I55-I70,IF(Indexador!$B76&lt;CAPA!$C$114,0,I55-I70))</f>
        <v>0</v>
      </c>
      <c r="J39" s="116">
        <f ca="1">IF(CAPA!$C$113="Não",J55-J70,IF(Indexador!$B76&lt;CAPA!$C$114,0,J55-J70))</f>
        <v>2854.4009459203517</v>
      </c>
      <c r="N39" s="80"/>
    </row>
    <row r="40" spans="2:14">
      <c r="B40" s="271">
        <f>Indexador!B77</f>
        <v>44652</v>
      </c>
      <c r="C40" s="116">
        <f ca="1">IFERROR(IF(CAPA!$C$113="Não",C56-C71,IF(Indexador!$B77&lt;CAPA!$C$114,0,C56-C71)),0)</f>
        <v>0</v>
      </c>
      <c r="D40" s="116">
        <f ca="1">IF(CAPA!$C$113="Não",D56-D71,IF(Indexador!$B77&lt;CAPA!$C$114,0,D56-D71))</f>
        <v>0</v>
      </c>
      <c r="E40" s="116">
        <f ca="1">IF(CAPA!$C$113="Não",E56-E71,IF(Indexador!$B77&lt;CAPA!$C$114,0,E56-E71))</f>
        <v>29.64886220467497</v>
      </c>
      <c r="F40" s="116">
        <f ca="1">IF(CAPA!$C$113="Não",F56-F71,IF(Indexador!$B77&lt;CAPA!$C$114,0,F56-F71))</f>
        <v>3119.8965625513229</v>
      </c>
      <c r="G40" s="116">
        <f ca="1">IF(CAPA!$C$113="Não",G56-G71,IF(Indexador!$B77&lt;CAPA!$C$114,0,G56-G71))</f>
        <v>362.22085906298344</v>
      </c>
      <c r="H40" s="116">
        <f ca="1">IF(CAPA!$C$113="Não",H56-H71,IF(Indexador!$B77&lt;CAPA!$C$114,0,H56-H71))</f>
        <v>0</v>
      </c>
      <c r="I40" s="116">
        <f ca="1">IF(CAPA!$C$113="Não",I56-I71,IF(Indexador!$B77&lt;CAPA!$C$114,0,I56-I71))</f>
        <v>0</v>
      </c>
      <c r="J40" s="116">
        <f ca="1">IF(CAPA!$C$113="Não",J56-J71,IF(Indexador!$B77&lt;CAPA!$C$114,0,J56-J71))</f>
        <v>3511.7662838189717</v>
      </c>
      <c r="L40" s="1777" t="s">
        <v>1436</v>
      </c>
      <c r="M40" s="1777"/>
      <c r="N40" s="80"/>
    </row>
    <row r="41" spans="2:14">
      <c r="B41" s="271">
        <f>Indexador!B78</f>
        <v>44682</v>
      </c>
      <c r="C41" s="116">
        <f ca="1">IFERROR(IF(CAPA!$C$113="Não",C57-C72,IF(Indexador!$B78&lt;CAPA!$C$114,0,C57-C72)),0)</f>
        <v>0</v>
      </c>
      <c r="D41" s="116">
        <f ca="1">IF(CAPA!$C$113="Não",D57-D72,IF(Indexador!$B78&lt;CAPA!$C$114,0,D57-D72))</f>
        <v>0</v>
      </c>
      <c r="E41" s="116">
        <f ca="1">IF(CAPA!$C$113="Não",E57-E72,IF(Indexador!$B78&lt;CAPA!$C$114,0,E57-E72))</f>
        <v>211.289256781728</v>
      </c>
      <c r="F41" s="116">
        <f ca="1">IF(CAPA!$C$113="Não",F57-F72,IF(Indexador!$B78&lt;CAPA!$C$114,0,F57-F72))</f>
        <v>8126.5039836061333</v>
      </c>
      <c r="G41" s="116">
        <f ca="1">IF(CAPA!$C$113="Não",G57-G72,IF(Indexador!$B78&lt;CAPA!$C$114,0,G57-G72))</f>
        <v>1141.9192987141414</v>
      </c>
      <c r="H41" s="116">
        <f ca="1">IF(CAPA!$C$113="Não",H57-H72,IF(Indexador!$B78&lt;CAPA!$C$114,0,H57-H72))</f>
        <v>0</v>
      </c>
      <c r="I41" s="116">
        <f ca="1">IF(CAPA!$C$113="Não",I57-I72,IF(Indexador!$B78&lt;CAPA!$C$114,0,I57-I72))</f>
        <v>0</v>
      </c>
      <c r="J41" s="116">
        <f ca="1">IF(CAPA!$C$113="Não",J57-J72,IF(Indexador!$B78&lt;CAPA!$C$114,0,J57-J72))</f>
        <v>9479.7125391019945</v>
      </c>
      <c r="L41" s="68" t="str">
        <f>H30</f>
        <v>Financeiro Covid</v>
      </c>
      <c r="M41" s="69">
        <f ca="1">Indexador!P80</f>
        <v>0</v>
      </c>
      <c r="N41" s="80"/>
    </row>
    <row r="42" spans="2:14">
      <c r="B42" s="271">
        <f>Indexador!B79</f>
        <v>44713</v>
      </c>
      <c r="C42" s="1239">
        <f ca="1">IFERROR(IF(CAPA!$C$113="Não",C58-C73,IF(Indexador!$B79&lt;CAPA!$C$114,0,C58-C73)),0)</f>
        <v>0</v>
      </c>
      <c r="D42" s="1239">
        <f ca="1">IF(CAPA!$C$113="Não",D58-D73,IF(Indexador!$B79&lt;CAPA!$C$114,0,D58-D73))</f>
        <v>0</v>
      </c>
      <c r="E42" s="1239">
        <f ca="1">IF(CAPA!$C$113="Não",E58-E73,IF(Indexador!$B79&lt;CAPA!$C$114,0,E58-E73))</f>
        <v>79.237438003662646</v>
      </c>
      <c r="F42" s="1239">
        <f ca="1">IF(CAPA!$C$113="Não",F58-F73,IF(Indexador!$B79&lt;CAPA!$C$114,0,F58-F73))</f>
        <v>5608.2796318540204</v>
      </c>
      <c r="G42" s="1239">
        <f ca="1">IF(CAPA!$C$113="Não",G58-G73,IF(Indexador!$B79&lt;CAPA!$C$114,0,G58-G73))</f>
        <v>770.19159037968166</v>
      </c>
      <c r="H42" s="1239">
        <f ca="1">IF(CAPA!$C$113="Não",H58-H73,IF(Indexador!$B79&lt;CAPA!$C$114,0,H58-H73))</f>
        <v>0</v>
      </c>
      <c r="I42" s="1239">
        <f ca="1">IF(CAPA!$C$113="Não",I58-I73,IF(Indexador!$B79&lt;CAPA!$C$114,0,I58-I73))</f>
        <v>0</v>
      </c>
      <c r="J42" s="1239">
        <f ca="1">IF(CAPA!$C$113="Não",J58-J73,IF(Indexador!$B79&lt;CAPA!$C$114,0,J58-J73))</f>
        <v>6457.7086602373602</v>
      </c>
      <c r="L42" s="812" t="str">
        <f>I30</f>
        <v>Crédito Pis Cofins</v>
      </c>
      <c r="M42" s="1267">
        <f ca="1">Indexador!R80</f>
        <v>0</v>
      </c>
      <c r="N42" s="80"/>
    </row>
    <row r="43" spans="2:14">
      <c r="L43" s="71" t="s">
        <v>896</v>
      </c>
      <c r="M43" s="273">
        <f ca="1">SUM(M41:M42)</f>
        <v>0</v>
      </c>
    </row>
    <row r="44" spans="2:14">
      <c r="K44" s="141"/>
    </row>
    <row r="45" spans="2:14">
      <c r="C45" s="197" t="s">
        <v>1392</v>
      </c>
      <c r="D45" s="197"/>
      <c r="E45" s="197"/>
      <c r="F45" s="197"/>
      <c r="K45" s="141"/>
    </row>
    <row r="46" spans="2:14" ht="28.5">
      <c r="C46" s="1306" t="s">
        <v>1430</v>
      </c>
      <c r="D46" s="1306" t="s">
        <v>51</v>
      </c>
      <c r="E46" s="1306" t="s">
        <v>44</v>
      </c>
      <c r="F46" s="1306" t="s">
        <v>46</v>
      </c>
      <c r="G46" s="1306" t="s">
        <v>52</v>
      </c>
      <c r="H46" s="1306" t="s">
        <v>1431</v>
      </c>
      <c r="I46" s="1306" t="s">
        <v>1437</v>
      </c>
      <c r="J46" s="1306" t="s">
        <v>1438</v>
      </c>
      <c r="K46" s="141"/>
    </row>
    <row r="47" spans="2:14">
      <c r="B47" s="271">
        <f>Indexador!B37</f>
        <v>44378</v>
      </c>
      <c r="C47" s="1521">
        <f>$F$11/12</f>
        <v>0</v>
      </c>
      <c r="D47" s="1619">
        <f>$F$8/12</f>
        <v>0</v>
      </c>
      <c r="E47" s="1521">
        <f t="shared" ref="E47:E58" si="0">$F$5/12</f>
        <v>3047.8870786792918</v>
      </c>
      <c r="F47" s="116">
        <f t="shared" ref="F47:F58" si="1">$F$6/12</f>
        <v>81655.693279999992</v>
      </c>
      <c r="G47" s="116">
        <f t="shared" ref="G47:G58" si="2">$F$9/12</f>
        <v>12710.013306666668</v>
      </c>
      <c r="H47" s="116">
        <f>IFERROR((VLOOKUP("Parcela B",TabFinanCovid[],4,FALSE)/12),0)</f>
        <v>0</v>
      </c>
      <c r="I47" s="116">
        <f>IFERROR(VLOOKUP("Créditos de Pis/Cofins",TabFinanNeutralidade[[#All],[Detalhe_Grupo_TARIFA]:[valor]],2,FALSE)/12,0)</f>
        <v>0</v>
      </c>
      <c r="J47" s="1620">
        <f>SUM(C47:G47)</f>
        <v>97413.59366534595</v>
      </c>
      <c r="K47" s="141"/>
    </row>
    <row r="48" spans="2:14">
      <c r="B48" s="271">
        <f>Indexador!B38</f>
        <v>44409</v>
      </c>
      <c r="C48" s="116">
        <f t="shared" ref="C48:C58" si="3">$F$11/12</f>
        <v>0</v>
      </c>
      <c r="D48" s="141">
        <f t="shared" ref="D48:D58" si="4">$F$8/12</f>
        <v>0</v>
      </c>
      <c r="E48" s="116">
        <f t="shared" si="0"/>
        <v>3047.8870786792918</v>
      </c>
      <c r="F48" s="116">
        <f t="shared" si="1"/>
        <v>81655.693279999992</v>
      </c>
      <c r="G48" s="116">
        <f t="shared" si="2"/>
        <v>12710.013306666668</v>
      </c>
      <c r="H48" s="116">
        <f>IFERROR((VLOOKUP("Parcela B",TabFinanCovid[],4,FALSE)/12),0)</f>
        <v>0</v>
      </c>
      <c r="I48" s="116">
        <f>IFERROR(VLOOKUP("Créditos de Pis/Cofins",TabFinanNeutralidade[[#All],[Detalhe_Grupo_TARIFA]:[valor]],2,FALSE)/12,0)</f>
        <v>0</v>
      </c>
      <c r="J48" s="143">
        <f t="shared" ref="J48:J58" si="5">SUM(C48:G48)</f>
        <v>97413.59366534595</v>
      </c>
      <c r="K48" s="141"/>
    </row>
    <row r="49" spans="2:12">
      <c r="B49" s="271">
        <f>Indexador!B39</f>
        <v>44440</v>
      </c>
      <c r="C49" s="116">
        <f t="shared" si="3"/>
        <v>0</v>
      </c>
      <c r="D49" s="141">
        <f t="shared" si="4"/>
        <v>0</v>
      </c>
      <c r="E49" s="116">
        <f t="shared" si="0"/>
        <v>3047.8870786792918</v>
      </c>
      <c r="F49" s="116">
        <f t="shared" si="1"/>
        <v>81655.693279999992</v>
      </c>
      <c r="G49" s="116">
        <f t="shared" si="2"/>
        <v>12710.013306666668</v>
      </c>
      <c r="H49" s="116">
        <f>IFERROR((VLOOKUP("Parcela B",TabFinanCovid[],4,FALSE)/12),0)</f>
        <v>0</v>
      </c>
      <c r="I49" s="116">
        <f>IFERROR(VLOOKUP("Créditos de Pis/Cofins",TabFinanNeutralidade[[#All],[Detalhe_Grupo_TARIFA]:[valor]],2,FALSE)/12,0)</f>
        <v>0</v>
      </c>
      <c r="J49" s="143">
        <f t="shared" si="5"/>
        <v>97413.59366534595</v>
      </c>
      <c r="K49" s="141"/>
    </row>
    <row r="50" spans="2:12">
      <c r="B50" s="271">
        <f>Indexador!B40</f>
        <v>44470</v>
      </c>
      <c r="C50" s="116">
        <f t="shared" si="3"/>
        <v>0</v>
      </c>
      <c r="D50" s="141">
        <f t="shared" si="4"/>
        <v>0</v>
      </c>
      <c r="E50" s="116">
        <f t="shared" si="0"/>
        <v>3047.8870786792918</v>
      </c>
      <c r="F50" s="116">
        <f t="shared" si="1"/>
        <v>81655.693279999992</v>
      </c>
      <c r="G50" s="116">
        <f t="shared" si="2"/>
        <v>12710.013306666668</v>
      </c>
      <c r="H50" s="116">
        <f>IFERROR((VLOOKUP("Parcela B",TabFinanCovid[],4,FALSE)/12),0)</f>
        <v>0</v>
      </c>
      <c r="I50" s="116">
        <f>IFERROR(VLOOKUP("Créditos de Pis/Cofins",TabFinanNeutralidade[[#All],[Detalhe_Grupo_TARIFA]:[valor]],2,FALSE)/12,0)</f>
        <v>0</v>
      </c>
      <c r="J50" s="143">
        <f t="shared" si="5"/>
        <v>97413.59366534595</v>
      </c>
      <c r="K50" s="141"/>
    </row>
    <row r="51" spans="2:12">
      <c r="B51" s="271">
        <f>Indexador!B41</f>
        <v>44501</v>
      </c>
      <c r="C51" s="116">
        <f t="shared" si="3"/>
        <v>0</v>
      </c>
      <c r="D51" s="141">
        <f t="shared" si="4"/>
        <v>0</v>
      </c>
      <c r="E51" s="116">
        <f t="shared" si="0"/>
        <v>3047.8870786792918</v>
      </c>
      <c r="F51" s="116">
        <f t="shared" si="1"/>
        <v>81655.693279999992</v>
      </c>
      <c r="G51" s="116">
        <f t="shared" si="2"/>
        <v>12710.013306666668</v>
      </c>
      <c r="H51" s="116">
        <f>IFERROR((VLOOKUP("Parcela B",TabFinanCovid[],4,FALSE)/12),0)</f>
        <v>0</v>
      </c>
      <c r="I51" s="116">
        <f>IFERROR(VLOOKUP("Créditos de Pis/Cofins",TabFinanNeutralidade[[#All],[Detalhe_Grupo_TARIFA]:[valor]],2,FALSE)/12,0)</f>
        <v>0</v>
      </c>
      <c r="J51" s="143">
        <f t="shared" si="5"/>
        <v>97413.59366534595</v>
      </c>
    </row>
    <row r="52" spans="2:12">
      <c r="B52" s="271">
        <f>Indexador!B42</f>
        <v>44531</v>
      </c>
      <c r="C52" s="116">
        <f t="shared" si="3"/>
        <v>0</v>
      </c>
      <c r="D52" s="141">
        <f t="shared" si="4"/>
        <v>0</v>
      </c>
      <c r="E52" s="116">
        <f t="shared" si="0"/>
        <v>3047.8870786792918</v>
      </c>
      <c r="F52" s="116">
        <f t="shared" si="1"/>
        <v>81655.693279999992</v>
      </c>
      <c r="G52" s="116">
        <f t="shared" si="2"/>
        <v>12710.013306666668</v>
      </c>
      <c r="H52" s="116">
        <f>IFERROR((VLOOKUP("Parcela B",TabFinanCovid[],4,FALSE)/12),0)</f>
        <v>0</v>
      </c>
      <c r="I52" s="116">
        <f>IFERROR(VLOOKUP("Créditos de Pis/Cofins",TabFinanNeutralidade[[#All],[Detalhe_Grupo_TARIFA]:[valor]],2,FALSE)/12,0)</f>
        <v>0</v>
      </c>
      <c r="J52" s="143">
        <f t="shared" si="5"/>
        <v>97413.59366534595</v>
      </c>
    </row>
    <row r="53" spans="2:12">
      <c r="B53" s="271">
        <f>Indexador!B43</f>
        <v>44562</v>
      </c>
      <c r="C53" s="116">
        <f t="shared" si="3"/>
        <v>0</v>
      </c>
      <c r="D53" s="141">
        <f t="shared" si="4"/>
        <v>0</v>
      </c>
      <c r="E53" s="116">
        <f t="shared" si="0"/>
        <v>3047.8870786792918</v>
      </c>
      <c r="F53" s="116">
        <f t="shared" si="1"/>
        <v>81655.693279999992</v>
      </c>
      <c r="G53" s="116">
        <f t="shared" si="2"/>
        <v>12710.013306666668</v>
      </c>
      <c r="H53" s="116">
        <f>IFERROR((VLOOKUP("Parcela B",TabFinanCovid[],4,FALSE)/12),0)</f>
        <v>0</v>
      </c>
      <c r="I53" s="116">
        <f>IFERROR(VLOOKUP("Créditos de Pis/Cofins",TabFinanNeutralidade[[#All],[Detalhe_Grupo_TARIFA]:[valor]],2,FALSE)/12,0)</f>
        <v>0</v>
      </c>
      <c r="J53" s="143">
        <f t="shared" si="5"/>
        <v>97413.59366534595</v>
      </c>
    </row>
    <row r="54" spans="2:12">
      <c r="B54" s="271">
        <f>Indexador!B44</f>
        <v>44593</v>
      </c>
      <c r="C54" s="116">
        <f t="shared" si="3"/>
        <v>0</v>
      </c>
      <c r="D54" s="141">
        <f t="shared" si="4"/>
        <v>0</v>
      </c>
      <c r="E54" s="116">
        <f t="shared" si="0"/>
        <v>3047.8870786792918</v>
      </c>
      <c r="F54" s="116">
        <f t="shared" si="1"/>
        <v>81655.693279999992</v>
      </c>
      <c r="G54" s="116">
        <f t="shared" si="2"/>
        <v>12710.013306666668</v>
      </c>
      <c r="H54" s="116">
        <f>IFERROR((VLOOKUP("Parcela B",TabFinanCovid[],4,FALSE)/12),0)</f>
        <v>0</v>
      </c>
      <c r="I54" s="116">
        <f>IFERROR(VLOOKUP("Créditos de Pis/Cofins",TabFinanNeutralidade[[#All],[Detalhe_Grupo_TARIFA]:[valor]],2,FALSE)/12,0)</f>
        <v>0</v>
      </c>
      <c r="J54" s="143">
        <f t="shared" si="5"/>
        <v>97413.59366534595</v>
      </c>
    </row>
    <row r="55" spans="2:12">
      <c r="B55" s="271">
        <f>Indexador!B45</f>
        <v>44621</v>
      </c>
      <c r="C55" s="116">
        <f t="shared" si="3"/>
        <v>0</v>
      </c>
      <c r="D55" s="141">
        <f t="shared" si="4"/>
        <v>0</v>
      </c>
      <c r="E55" s="116">
        <f t="shared" si="0"/>
        <v>3047.8870786792918</v>
      </c>
      <c r="F55" s="116">
        <f t="shared" si="1"/>
        <v>81655.693279999992</v>
      </c>
      <c r="G55" s="116">
        <f t="shared" si="2"/>
        <v>12710.013306666668</v>
      </c>
      <c r="H55" s="116">
        <f>IFERROR((VLOOKUP("Parcela B",TabFinanCovid[],4,FALSE)/12),0)</f>
        <v>0</v>
      </c>
      <c r="I55" s="116">
        <f>IFERROR(VLOOKUP("Créditos de Pis/Cofins",TabFinanNeutralidade[[#All],[Detalhe_Grupo_TARIFA]:[valor]],2,FALSE)/12,0)</f>
        <v>0</v>
      </c>
      <c r="J55" s="143">
        <f t="shared" si="5"/>
        <v>97413.59366534595</v>
      </c>
    </row>
    <row r="56" spans="2:12">
      <c r="B56" s="271">
        <f>Indexador!B46</f>
        <v>44652</v>
      </c>
      <c r="C56" s="116">
        <f t="shared" si="3"/>
        <v>0</v>
      </c>
      <c r="D56" s="141">
        <f t="shared" si="4"/>
        <v>0</v>
      </c>
      <c r="E56" s="116">
        <f t="shared" si="0"/>
        <v>3047.8870786792918</v>
      </c>
      <c r="F56" s="116">
        <f t="shared" si="1"/>
        <v>81655.693279999992</v>
      </c>
      <c r="G56" s="116">
        <f t="shared" si="2"/>
        <v>12710.013306666668</v>
      </c>
      <c r="H56" s="116">
        <f>IFERROR((VLOOKUP("Parcela B",TabFinanCovid[],4,FALSE)/12),0)</f>
        <v>0</v>
      </c>
      <c r="I56" s="116">
        <f>IFERROR(VLOOKUP("Créditos de Pis/Cofins",TabFinanNeutralidade[[#All],[Detalhe_Grupo_TARIFA]:[valor]],2,FALSE)/12,0)</f>
        <v>0</v>
      </c>
      <c r="J56" s="143">
        <f t="shared" si="5"/>
        <v>97413.59366534595</v>
      </c>
    </row>
    <row r="57" spans="2:12">
      <c r="B57" s="271">
        <f>Indexador!B47</f>
        <v>44682</v>
      </c>
      <c r="C57" s="116">
        <f t="shared" si="3"/>
        <v>0</v>
      </c>
      <c r="D57" s="141">
        <f t="shared" si="4"/>
        <v>0</v>
      </c>
      <c r="E57" s="116">
        <f t="shared" si="0"/>
        <v>3047.8870786792918</v>
      </c>
      <c r="F57" s="116">
        <f t="shared" si="1"/>
        <v>81655.693279999992</v>
      </c>
      <c r="G57" s="116">
        <f t="shared" si="2"/>
        <v>12710.013306666668</v>
      </c>
      <c r="H57" s="116">
        <f>IFERROR((VLOOKUP("Parcela B",TabFinanCovid[],4,FALSE)/12),0)</f>
        <v>0</v>
      </c>
      <c r="I57" s="116">
        <f>IFERROR(VLOOKUP("Créditos de Pis/Cofins",TabFinanNeutralidade[[#All],[Detalhe_Grupo_TARIFA]:[valor]],2,FALSE)/12,0)</f>
        <v>0</v>
      </c>
      <c r="J57" s="143">
        <f t="shared" si="5"/>
        <v>97413.59366534595</v>
      </c>
    </row>
    <row r="58" spans="2:12">
      <c r="B58" s="271">
        <f>Indexador!B48</f>
        <v>44713</v>
      </c>
      <c r="C58" s="1239">
        <f t="shared" si="3"/>
        <v>0</v>
      </c>
      <c r="D58" s="1361">
        <f t="shared" si="4"/>
        <v>0</v>
      </c>
      <c r="E58" s="1239">
        <f t="shared" si="0"/>
        <v>3047.8870786792918</v>
      </c>
      <c r="F58" s="1239">
        <f t="shared" si="1"/>
        <v>81655.693279999992</v>
      </c>
      <c r="G58" s="1239">
        <f t="shared" si="2"/>
        <v>12710.013306666668</v>
      </c>
      <c r="H58" s="1239">
        <f>IFERROR((VLOOKUP("Parcela B",TabFinanCovid[],4,FALSE)/12),0)</f>
        <v>0</v>
      </c>
      <c r="I58" s="1239">
        <f>IFERROR(VLOOKUP("Créditos de Pis/Cofins",TabFinanNeutralidade[[#All],[Detalhe_Grupo_TARIFA]:[valor]],2,FALSE)/12,0)</f>
        <v>0</v>
      </c>
      <c r="J58" s="1362">
        <f t="shared" si="5"/>
        <v>97413.59366534595</v>
      </c>
    </row>
    <row r="60" spans="2:12">
      <c r="C60" s="68" t="s">
        <v>1439</v>
      </c>
      <c r="L60" s="197">
        <v>42491</v>
      </c>
    </row>
    <row r="61" spans="2:12" ht="28.5">
      <c r="C61" s="1522" t="s">
        <v>1430</v>
      </c>
      <c r="D61" s="1306" t="s">
        <v>51</v>
      </c>
      <c r="E61" s="1306" t="s">
        <v>44</v>
      </c>
      <c r="F61" s="1306" t="s">
        <v>46</v>
      </c>
      <c r="G61" s="1306" t="s">
        <v>52</v>
      </c>
      <c r="H61" s="1306" t="s">
        <v>1431</v>
      </c>
      <c r="I61" s="1306" t="s">
        <v>1440</v>
      </c>
      <c r="J61" s="1306" t="s">
        <v>1438</v>
      </c>
      <c r="L61" s="1306" t="s">
        <v>53</v>
      </c>
    </row>
    <row r="62" spans="2:12">
      <c r="B62" s="271">
        <f t="shared" ref="B62:B73" si="6">B47</f>
        <v>44378</v>
      </c>
      <c r="C62" s="1621">
        <f ca="1">Calc_Mercado!S63</f>
        <v>0</v>
      </c>
      <c r="D62" s="1621">
        <f ca="1">Calc_Mercado!F63</f>
        <v>0</v>
      </c>
      <c r="E62" s="1521">
        <f ca="1">Calc_Mercado!I63</f>
        <v>2800.6484114159525</v>
      </c>
      <c r="F62" s="1563">
        <f ca="1">Calc_Mercado!H63</f>
        <v>74602.38832820773</v>
      </c>
      <c r="G62" s="1563">
        <f ca="1">Calc_Mercado!G63</f>
        <v>11600.304833467606</v>
      </c>
      <c r="H62" s="1563">
        <f ca="1">IFERROR((VLOOKUP("Parcela B",TabFinanCovid[],4,FALSE)/VLOOKUP("Parcela B",TabFinanNeutralidade[],3,FALSE))*Calc_Mercado!T63,0)</f>
        <v>0</v>
      </c>
      <c r="I62" s="1563">
        <f ca="1">Calc_Mercado!U63</f>
        <v>0</v>
      </c>
      <c r="J62" s="1620">
        <f t="shared" ref="J62:J73" ca="1" si="7">SUM(C62:G62)</f>
        <v>89003.341573091282</v>
      </c>
      <c r="L62" s="1621">
        <f ca="1">IF(B62&lt;$L$60,0,Calc_Mercado!D63)</f>
        <v>0</v>
      </c>
    </row>
    <row r="63" spans="2:12">
      <c r="B63" s="271">
        <f t="shared" si="6"/>
        <v>44409</v>
      </c>
      <c r="C63" s="142">
        <f ca="1">Calc_Mercado!S64</f>
        <v>0</v>
      </c>
      <c r="D63" s="142">
        <f ca="1">Calc_Mercado!F64</f>
        <v>0</v>
      </c>
      <c r="E63" s="116">
        <f ca="1">Calc_Mercado!I64</f>
        <v>3044.9745186158016</v>
      </c>
      <c r="F63" s="80">
        <f ca="1">Calc_Mercado!H64</f>
        <v>81262.403733961095</v>
      </c>
      <c r="G63" s="80">
        <f ca="1">Calc_Mercado!G64</f>
        <v>12643.395309143909</v>
      </c>
      <c r="H63" s="80">
        <f ca="1">IFERROR((VLOOKUP("Parcela B",TabFinanCovid[],4,FALSE)/VLOOKUP("Parcela B",TabFinanNeutralidade[],3,FALSE))*Calc_Mercado!T64,0)</f>
        <v>0</v>
      </c>
      <c r="I63" s="80">
        <f ca="1">Calc_Mercado!U64</f>
        <v>0</v>
      </c>
      <c r="J63" s="143">
        <f t="shared" ca="1" si="7"/>
        <v>96950.773561720795</v>
      </c>
      <c r="L63" s="142">
        <f ca="1">IF(B63&lt;$L$60,0,Calc_Mercado!D64)</f>
        <v>0</v>
      </c>
    </row>
    <row r="64" spans="2:12">
      <c r="B64" s="271">
        <f t="shared" si="6"/>
        <v>44440</v>
      </c>
      <c r="C64" s="142">
        <f ca="1">Calc_Mercado!S65</f>
        <v>0</v>
      </c>
      <c r="D64" s="142">
        <f ca="1">Calc_Mercado!F65</f>
        <v>0</v>
      </c>
      <c r="E64" s="116">
        <f ca="1">Calc_Mercado!I65</f>
        <v>3005.8376947406741</v>
      </c>
      <c r="F64" s="80">
        <f ca="1">Calc_Mercado!H65</f>
        <v>81012.046001274008</v>
      </c>
      <c r="G64" s="80">
        <f ca="1">Calc_Mercado!G65</f>
        <v>12637.340401234973</v>
      </c>
      <c r="H64" s="80">
        <f ca="1">IFERROR((VLOOKUP("Parcela B",TabFinanCovid[],4,FALSE)/VLOOKUP("Parcela B",TabFinanNeutralidade[],3,FALSE))*Calc_Mercado!T65,0)</f>
        <v>0</v>
      </c>
      <c r="I64" s="80">
        <f ca="1">Calc_Mercado!U65</f>
        <v>0</v>
      </c>
      <c r="J64" s="143">
        <f t="shared" ca="1" si="7"/>
        <v>96655.224097249666</v>
      </c>
      <c r="L64" s="142">
        <f ca="1">IF(B64&lt;$L$60,0,Calc_Mercado!D65)</f>
        <v>0</v>
      </c>
    </row>
    <row r="65" spans="2:12">
      <c r="B65" s="271">
        <f t="shared" si="6"/>
        <v>44470</v>
      </c>
      <c r="C65" s="142">
        <f ca="1">Calc_Mercado!S66</f>
        <v>0</v>
      </c>
      <c r="D65" s="142">
        <f ca="1">Calc_Mercado!F66</f>
        <v>0</v>
      </c>
      <c r="E65" s="116">
        <f ca="1">Calc_Mercado!I66</f>
        <v>2998.4443959239734</v>
      </c>
      <c r="F65" s="80">
        <f ca="1">Calc_Mercado!H66</f>
        <v>79073.19387385658</v>
      </c>
      <c r="G65" s="80">
        <f ca="1">Calc_Mercado!G66</f>
        <v>12263.991879863821</v>
      </c>
      <c r="H65" s="80">
        <f ca="1">IFERROR((VLOOKUP("Parcela B",TabFinanCovid[],4,FALSE)/VLOOKUP("Parcela B",TabFinanNeutralidade[],3,FALSE))*Calc_Mercado!T66,0)</f>
        <v>0</v>
      </c>
      <c r="I65" s="80">
        <f ca="1">Calc_Mercado!U66</f>
        <v>0</v>
      </c>
      <c r="J65" s="143">
        <f t="shared" ca="1" si="7"/>
        <v>94335.630149644378</v>
      </c>
      <c r="L65" s="142">
        <f ca="1">IF(B65&lt;$L$60,0,Calc_Mercado!D66)</f>
        <v>0</v>
      </c>
    </row>
    <row r="66" spans="2:12">
      <c r="B66" s="271">
        <f t="shared" si="6"/>
        <v>44501</v>
      </c>
      <c r="C66" s="142">
        <f ca="1">Calc_Mercado!S67</f>
        <v>0</v>
      </c>
      <c r="D66" s="142">
        <f ca="1">Calc_Mercado!F67</f>
        <v>0</v>
      </c>
      <c r="E66" s="116">
        <f ca="1">Calc_Mercado!I67</f>
        <v>2885.7596996331577</v>
      </c>
      <c r="F66" s="80">
        <f ca="1">Calc_Mercado!H67</f>
        <v>77361.891602503412</v>
      </c>
      <c r="G66" s="80">
        <f ca="1">Calc_Mercado!G67</f>
        <v>12062.451429441762</v>
      </c>
      <c r="H66" s="80">
        <f ca="1">IFERROR((VLOOKUP("Parcela B",TabFinanCovid[],4,FALSE)/VLOOKUP("Parcela B",TabFinanNeutralidade[],3,FALSE))*Calc_Mercado!T67,0)</f>
        <v>0</v>
      </c>
      <c r="I66" s="80">
        <f ca="1">Calc_Mercado!U67</f>
        <v>0</v>
      </c>
      <c r="J66" s="143">
        <f t="shared" ca="1" si="7"/>
        <v>92310.102731578329</v>
      </c>
      <c r="L66" s="142">
        <f ca="1">IF(B66&lt;$L$60,0,Calc_Mercado!D67)</f>
        <v>0</v>
      </c>
    </row>
    <row r="67" spans="2:12">
      <c r="B67" s="271">
        <f t="shared" si="6"/>
        <v>44531</v>
      </c>
      <c r="C67" s="142">
        <f ca="1">Calc_Mercado!S68</f>
        <v>0</v>
      </c>
      <c r="D67" s="142">
        <f ca="1">Calc_Mercado!F68</f>
        <v>0</v>
      </c>
      <c r="E67" s="116">
        <f ca="1">Calc_Mercado!I68</f>
        <v>2785.0138251492472</v>
      </c>
      <c r="F67" s="80">
        <f ca="1">Calc_Mercado!H68</f>
        <v>74556.518502643274</v>
      </c>
      <c r="G67" s="80">
        <f ca="1">Calc_Mercado!G68</f>
        <v>11619.792371097608</v>
      </c>
      <c r="H67" s="80">
        <f ca="1">IFERROR((VLOOKUP("Parcela B",TabFinanCovid[],4,FALSE)/VLOOKUP("Parcela B",TabFinanNeutralidade[],3,FALSE))*Calc_Mercado!T68,0)</f>
        <v>0</v>
      </c>
      <c r="I67" s="80">
        <f ca="1">Calc_Mercado!U68</f>
        <v>0</v>
      </c>
      <c r="J67" s="143">
        <f t="shared" ca="1" si="7"/>
        <v>88961.324698890123</v>
      </c>
      <c r="L67" s="142">
        <f ca="1">IF(B67&lt;$L$60,0,Calc_Mercado!D68)</f>
        <v>0</v>
      </c>
    </row>
    <row r="68" spans="2:12">
      <c r="B68" s="271">
        <f t="shared" si="6"/>
        <v>44562</v>
      </c>
      <c r="C68" s="142">
        <f ca="1">Calc_Mercado!S69</f>
        <v>0</v>
      </c>
      <c r="D68" s="142">
        <f ca="1">Calc_Mercado!F69</f>
        <v>0</v>
      </c>
      <c r="E68" s="116">
        <f ca="1">Calc_Mercado!I69</f>
        <v>3101.3448787646134</v>
      </c>
      <c r="F68" s="80">
        <f ca="1">Calc_Mercado!H69</f>
        <v>83371.006707907785</v>
      </c>
      <c r="G68" s="80">
        <f ca="1">Calc_Mercado!G69</f>
        <v>13011.873835167042</v>
      </c>
      <c r="H68" s="80">
        <f ca="1">IFERROR((VLOOKUP("Parcela B",TabFinanCovid[],4,FALSE)/VLOOKUP("Parcela B",TabFinanNeutralidade[],3,FALSE))*Calc_Mercado!T69,0)</f>
        <v>0</v>
      </c>
      <c r="I68" s="80">
        <f ca="1">Calc_Mercado!U69</f>
        <v>0</v>
      </c>
      <c r="J68" s="143">
        <f t="shared" ca="1" si="7"/>
        <v>99484.225421839452</v>
      </c>
      <c r="L68" s="142">
        <f ca="1">IF(B68&lt;$L$60,0,Calc_Mercado!D69)</f>
        <v>0</v>
      </c>
    </row>
    <row r="69" spans="2:12">
      <c r="B69" s="271">
        <f t="shared" si="6"/>
        <v>44593</v>
      </c>
      <c r="C69" s="142">
        <f ca="1">Calc_Mercado!S70</f>
        <v>0</v>
      </c>
      <c r="D69" s="142">
        <f ca="1">Calc_Mercado!F70</f>
        <v>0</v>
      </c>
      <c r="E69" s="116">
        <f ca="1">Calc_Mercado!I70</f>
        <v>2965.5996637981652</v>
      </c>
      <c r="F69" s="80">
        <f ca="1">Calc_Mercado!H70</f>
        <v>80445.455568979902</v>
      </c>
      <c r="G69" s="80">
        <f ca="1">Calc_Mercado!G70</f>
        <v>12620.2713320085</v>
      </c>
      <c r="H69" s="80">
        <f ca="1">IFERROR((VLOOKUP("Parcela B",TabFinanCovid[],4,FALSE)/VLOOKUP("Parcela B",TabFinanNeutralidade[],3,FALSE))*Calc_Mercado!T70,0)</f>
        <v>0</v>
      </c>
      <c r="I69" s="80">
        <f ca="1">Calc_Mercado!U70</f>
        <v>0</v>
      </c>
      <c r="J69" s="143">
        <f t="shared" ca="1" si="7"/>
        <v>96031.326564786563</v>
      </c>
      <c r="L69" s="142">
        <f ca="1">IF(B69&lt;$L$60,0,Calc_Mercado!D70)</f>
        <v>0</v>
      </c>
    </row>
    <row r="70" spans="2:12">
      <c r="B70" s="271">
        <f t="shared" si="6"/>
        <v>44621</v>
      </c>
      <c r="C70" s="142">
        <f ca="1">Calc_Mercado!S71</f>
        <v>0</v>
      </c>
      <c r="D70" s="142">
        <f ca="1">Calc_Mercado!F71</f>
        <v>0</v>
      </c>
      <c r="E70" s="116">
        <f ca="1">Calc_Mercado!I71</f>
        <v>2919.4940540950056</v>
      </c>
      <c r="F70" s="80">
        <f ca="1">Calc_Mercado!H71</f>
        <v>79144.307860851259</v>
      </c>
      <c r="G70" s="80">
        <f ca="1">Calc_Mercado!G71</f>
        <v>12495.390804479335</v>
      </c>
      <c r="H70" s="80">
        <f ca="1">IFERROR((VLOOKUP("Parcela B",TabFinanCovid[],4,FALSE)/VLOOKUP("Parcela B",TabFinanNeutralidade[],3,FALSE))*Calc_Mercado!T71,0)</f>
        <v>0</v>
      </c>
      <c r="I70" s="80">
        <f ca="1">Calc_Mercado!U71</f>
        <v>0</v>
      </c>
      <c r="J70" s="143">
        <f t="shared" ca="1" si="7"/>
        <v>94559.192719425599</v>
      </c>
      <c r="L70" s="142">
        <f ca="1">IF(B70&lt;$L$60,0,Calc_Mercado!D71)</f>
        <v>0</v>
      </c>
    </row>
    <row r="71" spans="2:12">
      <c r="B71" s="271">
        <f t="shared" si="6"/>
        <v>44652</v>
      </c>
      <c r="C71" s="142">
        <f ca="1">Calc_Mercado!S72</f>
        <v>0</v>
      </c>
      <c r="D71" s="142">
        <f ca="1">Calc_Mercado!F72</f>
        <v>0</v>
      </c>
      <c r="E71" s="116">
        <f ca="1">Calc_Mercado!I72</f>
        <v>3018.2382164746168</v>
      </c>
      <c r="F71" s="80">
        <f ca="1">Calc_Mercado!H72</f>
        <v>78535.796717448669</v>
      </c>
      <c r="G71" s="80">
        <f ca="1">Calc_Mercado!G72</f>
        <v>12347.792447603684</v>
      </c>
      <c r="H71" s="80">
        <f ca="1">IFERROR((VLOOKUP("Parcela B",TabFinanCovid[],4,FALSE)/VLOOKUP("Parcela B",TabFinanNeutralidade[],3,FALSE))*Calc_Mercado!T72,0)</f>
        <v>0</v>
      </c>
      <c r="I71" s="80">
        <f ca="1">Calc_Mercado!U72</f>
        <v>0</v>
      </c>
      <c r="J71" s="143">
        <f t="shared" ca="1" si="7"/>
        <v>93901.827381526979</v>
      </c>
      <c r="L71" s="142">
        <f ca="1">IF(B71&lt;$L$60,0,Calc_Mercado!D72)</f>
        <v>0</v>
      </c>
    </row>
    <row r="72" spans="2:12">
      <c r="B72" s="271">
        <f t="shared" si="6"/>
        <v>44682</v>
      </c>
      <c r="C72" s="142">
        <f ca="1">Calc_Mercado!S73</f>
        <v>0</v>
      </c>
      <c r="D72" s="142">
        <f ca="1">Calc_Mercado!F73</f>
        <v>0</v>
      </c>
      <c r="E72" s="116">
        <f ca="1">Calc_Mercado!I73</f>
        <v>2836.5978218975638</v>
      </c>
      <c r="F72" s="80">
        <f ca="1">Calc_Mercado!H73</f>
        <v>73529.189296393859</v>
      </c>
      <c r="G72" s="80">
        <f ca="1">Calc_Mercado!G73</f>
        <v>11568.094007952526</v>
      </c>
      <c r="H72" s="80">
        <f ca="1">IFERROR((VLOOKUP("Parcela B",TabFinanCovid[],4,FALSE)/VLOOKUP("Parcela B",TabFinanNeutralidade[],3,FALSE))*Calc_Mercado!T73,0)</f>
        <v>0</v>
      </c>
      <c r="I72" s="80">
        <f ca="1">Calc_Mercado!U73</f>
        <v>0</v>
      </c>
      <c r="J72" s="143">
        <f t="shared" ca="1" si="7"/>
        <v>87933.881126243956</v>
      </c>
      <c r="L72" s="142">
        <f ca="1">IF(B72&lt;$L$60,0,Calc_Mercado!D73)</f>
        <v>0</v>
      </c>
    </row>
    <row r="73" spans="2:12">
      <c r="B73" s="271">
        <f t="shared" si="6"/>
        <v>44713</v>
      </c>
      <c r="C73" s="1363">
        <f ca="1">Calc_Mercado!S74</f>
        <v>0</v>
      </c>
      <c r="D73" s="1363">
        <f ca="1">Calc_Mercado!F74</f>
        <v>0</v>
      </c>
      <c r="E73" s="1239">
        <f ca="1">Calc_Mercado!I74</f>
        <v>2968.6496406756291</v>
      </c>
      <c r="F73" s="1358">
        <f ca="1">Calc_Mercado!H74</f>
        <v>76047.413648145972</v>
      </c>
      <c r="G73" s="1358">
        <f ca="1">Calc_Mercado!G74</f>
        <v>11939.821716286986</v>
      </c>
      <c r="H73" s="1358">
        <f ca="1">IFERROR((VLOOKUP("Parcela B",TabFinanCovid[],4,FALSE)/VLOOKUP("Parcela B",TabFinanNeutralidade[],3,FALSE))*Calc_Mercado!T74,0)</f>
        <v>0</v>
      </c>
      <c r="I73" s="1358">
        <f ca="1">Calc_Mercado!U74</f>
        <v>0</v>
      </c>
      <c r="J73" s="1362">
        <f t="shared" ca="1" si="7"/>
        <v>90955.88500510859</v>
      </c>
      <c r="L73" s="1363">
        <f ca="1">IF(B73&lt;$L$60,0,Calc_Mercado!D74)</f>
        <v>0</v>
      </c>
    </row>
  </sheetData>
  <mergeCells count="7">
    <mergeCell ref="L40:M40"/>
    <mergeCell ref="N5:O5"/>
    <mergeCell ref="H5:I5"/>
    <mergeCell ref="H9:I9"/>
    <mergeCell ref="L30:M30"/>
    <mergeCell ref="K5:L5"/>
    <mergeCell ref="K16:L16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Plan19">
    <tabColor rgb="FFFFFF00"/>
  </sheetPr>
  <dimension ref="C1:W83"/>
  <sheetViews>
    <sheetView showGridLines="0" zoomScale="85" zoomScaleNormal="85" workbookViewId="0">
      <selection activeCell="S40" sqref="S40"/>
    </sheetView>
  </sheetViews>
  <sheetFormatPr defaultColWidth="9.140625" defaultRowHeight="14.25"/>
  <cols>
    <col min="1" max="1" width="1.7109375" style="68" customWidth="1"/>
    <col min="2" max="2" width="4" style="68" customWidth="1"/>
    <col min="3" max="3" width="102" style="68" customWidth="1"/>
    <col min="4" max="4" width="22.140625" style="108" bestFit="1" customWidth="1"/>
    <col min="5" max="5" width="16.28515625" style="986" customWidth="1"/>
    <col min="6" max="6" width="21.85546875" style="68" bestFit="1" customWidth="1"/>
    <col min="7" max="10" width="12" style="68" customWidth="1"/>
    <col min="11" max="11" width="15.7109375" style="68" bestFit="1" customWidth="1"/>
    <col min="12" max="12" width="16.42578125" style="68" customWidth="1"/>
    <col min="13" max="13" width="9.140625" style="68" hidden="1" customWidth="1"/>
    <col min="14" max="14" width="12.140625" style="68" hidden="1" customWidth="1"/>
    <col min="15" max="15" width="7.42578125" style="68" hidden="1" customWidth="1"/>
    <col min="16" max="16" width="3.42578125" style="68" hidden="1" customWidth="1"/>
    <col min="17" max="17" width="18.140625" style="68" hidden="1" customWidth="1"/>
    <col min="18" max="18" width="12.7109375" style="68" bestFit="1" customWidth="1"/>
    <col min="19" max="19" width="10.7109375" style="68" customWidth="1"/>
    <col min="20" max="20" width="14.5703125" style="68" customWidth="1"/>
    <col min="21" max="21" width="13.140625" style="68" customWidth="1"/>
    <col min="22" max="22" width="13.7109375" style="68" customWidth="1"/>
    <col min="23" max="23" width="16.42578125" style="68" customWidth="1"/>
    <col min="24" max="16384" width="9.140625" style="68"/>
  </cols>
  <sheetData>
    <row r="1" spans="3:19" ht="23.25" customHeight="1">
      <c r="C1" s="1019" t="s">
        <v>853</v>
      </c>
      <c r="D1" s="1364"/>
      <c r="E1" s="1365"/>
      <c r="F1" s="812"/>
      <c r="G1" s="1224" t="s">
        <v>1007</v>
      </c>
      <c r="H1" s="1225">
        <f ca="1">LnkTXTIRTEco</f>
        <v>0.1605</v>
      </c>
    </row>
    <row r="2" spans="3:19" ht="16.5">
      <c r="C2" s="633" t="str">
        <f>CAPA!B2</f>
        <v>Ceris</v>
      </c>
      <c r="D2" s="635"/>
      <c r="E2" s="980"/>
      <c r="F2" s="636"/>
      <c r="G2" s="637" t="s">
        <v>1011</v>
      </c>
      <c r="H2" s="638">
        <f ca="1">LnkTXTIRTTotal</f>
        <v>-6.0499999999999998E-2</v>
      </c>
      <c r="I2" s="636"/>
      <c r="J2" s="636"/>
      <c r="K2" s="636"/>
      <c r="L2" s="636"/>
      <c r="M2" s="636"/>
      <c r="N2" s="636"/>
      <c r="O2" s="636"/>
      <c r="P2" s="636"/>
      <c r="Q2" s="636"/>
      <c r="R2" s="636"/>
    </row>
    <row r="3" spans="3:19" ht="16.5">
      <c r="C3" s="639"/>
      <c r="D3" s="635"/>
      <c r="E3" s="980"/>
      <c r="F3" s="637"/>
      <c r="G3" s="638"/>
      <c r="H3" s="636"/>
      <c r="I3" s="636"/>
      <c r="J3" s="636"/>
      <c r="K3" s="636"/>
      <c r="L3" s="636"/>
      <c r="M3" s="636"/>
      <c r="N3" s="636"/>
      <c r="O3" s="636"/>
      <c r="P3" s="636"/>
      <c r="Q3" s="636"/>
      <c r="R3" s="636"/>
    </row>
    <row r="4" spans="3:19" ht="16.5">
      <c r="C4" s="1622" t="s">
        <v>1441</v>
      </c>
      <c r="D4" s="1623">
        <f ca="1">LnkTXTRA0</f>
        <v>13038122.330799989</v>
      </c>
      <c r="E4" s="981"/>
      <c r="F4" s="636"/>
      <c r="G4" s="636"/>
      <c r="H4" s="636"/>
      <c r="I4" s="636"/>
      <c r="J4" s="640"/>
      <c r="K4" s="636"/>
      <c r="L4" s="636"/>
      <c r="M4" s="636"/>
      <c r="N4" s="636"/>
      <c r="O4" s="636"/>
      <c r="P4" s="636"/>
      <c r="Q4" s="636"/>
      <c r="R4" s="636"/>
    </row>
    <row r="5" spans="3:19" ht="16.5">
      <c r="C5" s="1366" t="s">
        <v>1442</v>
      </c>
      <c r="D5" s="1367">
        <f ca="1">IF(CAPA!P1="VERDADEIRO",D7,IFERROR(D7/(1+IF(Calc_Mercado!J15&gt;0,Calc_Mercado!J15,0)),0))</f>
        <v>-2880826.5614577578</v>
      </c>
      <c r="E5" s="982"/>
      <c r="F5" s="723"/>
      <c r="G5" s="636"/>
      <c r="H5" s="636"/>
      <c r="I5" s="636"/>
      <c r="J5" s="640"/>
      <c r="K5" s="636"/>
      <c r="L5" s="636"/>
      <c r="M5" s="636"/>
      <c r="N5" s="636"/>
      <c r="O5" s="636"/>
      <c r="P5" s="636"/>
      <c r="Q5" s="636"/>
      <c r="R5" s="636"/>
    </row>
    <row r="6" spans="3:19" ht="16.5">
      <c r="C6" s="636"/>
      <c r="D6" s="1368"/>
      <c r="E6" s="983"/>
      <c r="F6" s="636"/>
      <c r="G6" s="636"/>
      <c r="H6" s="640"/>
      <c r="I6" s="641"/>
      <c r="J6" s="636"/>
      <c r="K6" s="636"/>
      <c r="L6" s="636"/>
      <c r="M6" s="636"/>
      <c r="N6" s="636"/>
      <c r="O6" s="636"/>
      <c r="P6" s="636"/>
      <c r="Q6" s="636"/>
      <c r="R6" s="636"/>
    </row>
    <row r="7" spans="3:19" ht="16.5">
      <c r="C7" s="1369" t="s">
        <v>1443</v>
      </c>
      <c r="D7" s="1624">
        <f ca="1">SUM(D10:D82)-LnkTxTAjusteCUST-D31</f>
        <v>-2880826.5614577578</v>
      </c>
      <c r="E7" s="1370">
        <f ca="1">SUM(E10:E82)-E26-E31</f>
        <v>-0.22095409817197176</v>
      </c>
      <c r="F7" s="642" t="s">
        <v>1444</v>
      </c>
      <c r="G7" s="636"/>
      <c r="H7" s="636"/>
      <c r="I7" s="636"/>
      <c r="J7" s="636"/>
      <c r="K7" s="636"/>
      <c r="L7" s="636"/>
      <c r="M7" s="636"/>
      <c r="N7" s="636"/>
      <c r="O7" s="636"/>
      <c r="P7" s="636"/>
      <c r="Q7" s="636"/>
      <c r="R7" s="636"/>
    </row>
    <row r="8" spans="3:19" ht="16.5">
      <c r="C8" s="1371" t="s">
        <v>1445</v>
      </c>
      <c r="D8" s="1372" t="s">
        <v>36</v>
      </c>
      <c r="E8" s="1373" t="s">
        <v>1446</v>
      </c>
      <c r="F8" s="1371" t="s">
        <v>1447</v>
      </c>
      <c r="G8" s="1371" t="s">
        <v>1448</v>
      </c>
      <c r="H8" s="1371" t="s">
        <v>1449</v>
      </c>
      <c r="I8" s="1371" t="s">
        <v>1450</v>
      </c>
      <c r="J8" s="1371" t="s">
        <v>1451</v>
      </c>
      <c r="K8" s="1371" t="s">
        <v>1452</v>
      </c>
      <c r="L8" s="1371" t="s">
        <v>855</v>
      </c>
      <c r="M8" s="636"/>
      <c r="N8" s="636"/>
      <c r="O8" s="636"/>
      <c r="P8" s="636"/>
      <c r="Q8" s="636"/>
      <c r="R8" s="636"/>
    </row>
    <row r="9" spans="3:19" ht="16.5">
      <c r="C9" s="643" t="s">
        <v>1453</v>
      </c>
      <c r="D9" s="644">
        <f>ABS(Indexador!D49)</f>
        <v>200363.99033587321</v>
      </c>
      <c r="E9" s="984">
        <f t="shared" ref="E9:E75" ca="1" si="0">IF(ISERROR(D9/$D$4),0,D9/$D$4)</f>
        <v>1.5367549502320043E-2</v>
      </c>
      <c r="F9" s="643"/>
      <c r="G9" s="643"/>
      <c r="H9" s="643"/>
      <c r="I9" s="643"/>
      <c r="J9" s="643"/>
      <c r="K9" s="643"/>
      <c r="L9" s="636"/>
      <c r="M9" s="636"/>
      <c r="N9" s="636"/>
      <c r="O9" s="636"/>
      <c r="P9" s="636"/>
      <c r="Q9" s="636"/>
      <c r="R9" s="636"/>
      <c r="S9" s="397"/>
    </row>
    <row r="10" spans="3:19" ht="16.5">
      <c r="C10" s="636" t="s">
        <v>1454</v>
      </c>
      <c r="D10" s="856">
        <f ca="1">IFERROR(ABS(Indexador!D49)*Resultado!C32/(Resultado!C32+Resultado!C33),0)</f>
        <v>81994.278211543831</v>
      </c>
      <c r="E10" s="985">
        <f ca="1">IF(ISERROR(D10/$D$4),0,D10/$D$4)</f>
        <v>6.2888103157191996E-3</v>
      </c>
      <c r="F10" s="636">
        <v>22</v>
      </c>
      <c r="G10" s="636">
        <v>60</v>
      </c>
      <c r="H10" s="636">
        <v>999</v>
      </c>
      <c r="I10" s="636">
        <v>1</v>
      </c>
      <c r="J10" s="636">
        <v>7</v>
      </c>
      <c r="K10" s="636">
        <v>9</v>
      </c>
      <c r="L10" s="636"/>
      <c r="M10" s="636"/>
      <c r="N10" s="636"/>
      <c r="O10" s="636"/>
      <c r="P10" s="636"/>
      <c r="Q10" s="784"/>
      <c r="R10" s="636"/>
    </row>
    <row r="11" spans="3:19" ht="16.5">
      <c r="C11" s="636" t="s">
        <v>1455</v>
      </c>
      <c r="D11" s="856">
        <f ca="1">IFERROR(ABS(Indexador!D49)*(Resultado!C33/(Resultado!C32+Resultado!C33)),0)</f>
        <v>118369.7121243294</v>
      </c>
      <c r="E11" s="985">
        <f ca="1">IF(ISERROR(D11/$D$4),0,D11/$D$4)</f>
        <v>9.0787391866008448E-3</v>
      </c>
      <c r="F11" s="636">
        <v>22</v>
      </c>
      <c r="G11" s="636">
        <v>60</v>
      </c>
      <c r="H11" s="636">
        <v>999</v>
      </c>
      <c r="I11" s="636">
        <v>2</v>
      </c>
      <c r="J11" s="636">
        <v>30</v>
      </c>
      <c r="K11" s="636">
        <v>9</v>
      </c>
      <c r="L11" s="636"/>
      <c r="M11" s="645" t="s">
        <v>20</v>
      </c>
      <c r="N11" s="645" t="s">
        <v>1456</v>
      </c>
      <c r="O11" s="645" t="s">
        <v>36</v>
      </c>
      <c r="P11" s="646" t="s">
        <v>1446</v>
      </c>
      <c r="Q11" s="784"/>
      <c r="R11" s="636"/>
    </row>
    <row r="12" spans="3:19" ht="16.5">
      <c r="C12" s="636" t="str">
        <f>"(Neutralidade) "&amp;Encargos!E5</f>
        <v>(Neutralidade) TFSEE</v>
      </c>
      <c r="D12" s="856">
        <f ca="1">Encargos!M31</f>
        <v>1320.0697366684942</v>
      </c>
      <c r="E12" s="985">
        <f t="shared" ca="1" si="0"/>
        <v>1.0124692062062419E-4</v>
      </c>
      <c r="F12" s="636">
        <v>20</v>
      </c>
      <c r="G12" s="636">
        <v>60</v>
      </c>
      <c r="H12" s="636">
        <v>20</v>
      </c>
      <c r="I12" s="636">
        <v>3</v>
      </c>
      <c r="J12" s="636">
        <v>14</v>
      </c>
      <c r="K12" s="636">
        <v>9</v>
      </c>
      <c r="L12" s="636"/>
      <c r="M12" s="636" t="str">
        <f t="shared" ref="M12:M27" ca="1" si="1">IF(O12=0,,"CVA")</f>
        <v>CVA</v>
      </c>
      <c r="N12" s="636" t="str">
        <f ca="1">IF(Tabela1[[#This Row],[Percentual]]=0,,Tabela1[[#This Row],[Nome do Financeiro]])</f>
        <v>(Neutralidade) TFSEE</v>
      </c>
      <c r="O12" s="636">
        <f ca="1">IF(ISNUMBER(Tabela1[[#This Row],[Valor]]),Tabela1[[#This Row],[Valor]],)</f>
        <v>1320.0697366684942</v>
      </c>
      <c r="P12" s="636">
        <f ca="1">IF(Tabela1[[#This Row],[Percentual]]=0,,Tabela1[[#This Row],[Percentual]])</f>
        <v>1.0124692062062419E-4</v>
      </c>
      <c r="Q12" s="640"/>
      <c r="R12" s="636"/>
    </row>
    <row r="13" spans="3:19" ht="16.5">
      <c r="C13" s="636" t="str">
        <f>"(Neutralidade) "&amp;Encargos!E6&amp;""</f>
        <v>(Neutralidade) CDE</v>
      </c>
      <c r="D13" s="856">
        <f ca="1">IFERROR(Encargos!M32,0)</f>
        <v>43111.948945576783</v>
      </c>
      <c r="E13" s="985">
        <f ca="1">IF(ISERROR(D13/$D$4),0,D13/$D$4)</f>
        <v>3.3066071825183997E-3</v>
      </c>
      <c r="F13" s="636">
        <v>20</v>
      </c>
      <c r="G13" s="636">
        <v>60</v>
      </c>
      <c r="H13" s="636">
        <v>20</v>
      </c>
      <c r="I13" s="636">
        <v>3</v>
      </c>
      <c r="J13" s="636">
        <v>15</v>
      </c>
      <c r="K13" s="636">
        <v>9</v>
      </c>
      <c r="L13" s="636"/>
      <c r="M13" s="636" t="str">
        <f t="shared" ca="1" si="1"/>
        <v>CVA</v>
      </c>
      <c r="N13" s="636" t="str">
        <f ca="1">IF(Tabela1[[#This Row],[Percentual]]=0,,Tabela1[[#This Row],[Nome do Financeiro]])</f>
        <v>(Neutralidade) CDE</v>
      </c>
      <c r="O13" s="636">
        <f ca="1">IF(ISNUMBER(Tabela1[[#This Row],[Valor]]),Tabela1[[#This Row],[Valor]],)</f>
        <v>43111.948945576783</v>
      </c>
      <c r="P13" s="636">
        <f ca="1">IF(Tabela1[[#This Row],[Percentual]]=0,,Tabela1[[#This Row],[Percentual]])</f>
        <v>3.3066071825183997E-3</v>
      </c>
      <c r="Q13" s="640"/>
      <c r="R13" s="636"/>
    </row>
    <row r="14" spans="3:19" ht="16.5">
      <c r="C14" s="636" t="str">
        <f>"(Neutralidade) "&amp;Encargos!E7</f>
        <v>(Neutralidade) CFURH</v>
      </c>
      <c r="D14" s="856">
        <f>Encargos!M33</f>
        <v>0</v>
      </c>
      <c r="E14" s="985">
        <f t="shared" ca="1" si="0"/>
        <v>0</v>
      </c>
      <c r="F14" s="636">
        <v>20</v>
      </c>
      <c r="G14" s="636">
        <v>60</v>
      </c>
      <c r="H14" s="636">
        <v>20</v>
      </c>
      <c r="I14" s="636">
        <v>3</v>
      </c>
      <c r="J14" s="636">
        <v>16</v>
      </c>
      <c r="K14" s="636">
        <v>9</v>
      </c>
      <c r="L14" s="636"/>
      <c r="M14" s="636">
        <f t="shared" si="1"/>
        <v>0</v>
      </c>
      <c r="N14" s="636">
        <f ca="1">IF(Tabela1[[#This Row],[Percentual]]=0,,Tabela1[[#This Row],[Nome do Financeiro]])</f>
        <v>0</v>
      </c>
      <c r="O14" s="636">
        <f>IF(ISNUMBER(Tabela1[[#This Row],[Valor]]),Tabela1[[#This Row],[Valor]],)</f>
        <v>0</v>
      </c>
      <c r="P14" s="636">
        <f ca="1">IF(Tabela1[[#This Row],[Percentual]]=0,,Tabela1[[#This Row],[Percentual]])</f>
        <v>0</v>
      </c>
      <c r="Q14" s="640"/>
      <c r="R14" s="636"/>
    </row>
    <row r="15" spans="3:19" ht="16.5">
      <c r="C15" s="636" t="str">
        <f>"(Neutralidade) "&amp;Encargos!E8</f>
        <v>(Neutralidade) ESS/EER</v>
      </c>
      <c r="D15" s="856">
        <f ca="1">Encargos!M34</f>
        <v>0</v>
      </c>
      <c r="E15" s="985">
        <f t="shared" ca="1" si="0"/>
        <v>0</v>
      </c>
      <c r="F15" s="636">
        <v>20</v>
      </c>
      <c r="G15" s="636">
        <v>60</v>
      </c>
      <c r="H15" s="636">
        <v>20</v>
      </c>
      <c r="I15" s="636">
        <v>3</v>
      </c>
      <c r="J15" s="636">
        <v>17</v>
      </c>
      <c r="K15" s="636">
        <v>9</v>
      </c>
      <c r="L15" s="636"/>
      <c r="M15" s="636">
        <f t="shared" ca="1" si="1"/>
        <v>0</v>
      </c>
      <c r="N15" s="636">
        <f ca="1">IF(Tabela1[[#This Row],[Percentual]]=0,,Tabela1[[#This Row],[Nome do Financeiro]])</f>
        <v>0</v>
      </c>
      <c r="O15" s="636">
        <f ca="1">IF(ISNUMBER(Tabela1[[#This Row],[Valor]]),Tabela1[[#This Row],[Valor]],)</f>
        <v>0</v>
      </c>
      <c r="P15" s="636">
        <f ca="1">IF(Tabela1[[#This Row],[Percentual]]=0,,Tabela1[[#This Row],[Percentual]])</f>
        <v>0</v>
      </c>
      <c r="Q15" s="640"/>
      <c r="R15" s="636"/>
    </row>
    <row r="16" spans="3:19" ht="16.5">
      <c r="C16" s="636" t="str">
        <f>"(Neutralidade) "&amp;Encargos!E9</f>
        <v>(Neutralidade) PROINFA</v>
      </c>
      <c r="D16" s="856">
        <f ca="1">Encargos!M35</f>
        <v>6031.9928132301266</v>
      </c>
      <c r="E16" s="985">
        <f t="shared" ca="1" si="0"/>
        <v>4.6264275331891423E-4</v>
      </c>
      <c r="F16" s="636">
        <v>20</v>
      </c>
      <c r="G16" s="636">
        <v>60</v>
      </c>
      <c r="H16" s="636">
        <v>20</v>
      </c>
      <c r="I16" s="636">
        <v>3</v>
      </c>
      <c r="J16" s="636">
        <v>18</v>
      </c>
      <c r="K16" s="636">
        <v>9</v>
      </c>
      <c r="L16" s="636"/>
      <c r="M16" s="636" t="str">
        <f t="shared" ca="1" si="1"/>
        <v>CVA</v>
      </c>
      <c r="N16" s="636" t="str">
        <f ca="1">IF(Tabela1[[#This Row],[Percentual]]=0,,Tabela1[[#This Row],[Nome do Financeiro]])</f>
        <v>(Neutralidade) PROINFA</v>
      </c>
      <c r="O16" s="636">
        <f ca="1">IF(ISNUMBER(Tabela1[[#This Row],[Valor]]),Tabela1[[#This Row],[Valor]],)</f>
        <v>6031.9928132301266</v>
      </c>
      <c r="P16" s="636">
        <f ca="1">IF(Tabela1[[#This Row],[Percentual]]=0,,Tabela1[[#This Row],[Percentual]])</f>
        <v>4.6264275331891423E-4</v>
      </c>
      <c r="Q16" s="640"/>
      <c r="R16" s="636"/>
    </row>
    <row r="17" spans="3:23" ht="16.5">
      <c r="C17" s="636" t="str">
        <f>"(Neutralidade) "&amp;Encargos!B11</f>
        <v>(Neutralidade) P&amp;D e PEE</v>
      </c>
      <c r="D17" s="856"/>
      <c r="E17" s="985">
        <f t="shared" ca="1" si="0"/>
        <v>0</v>
      </c>
      <c r="F17" s="636">
        <v>20</v>
      </c>
      <c r="G17" s="636">
        <v>60</v>
      </c>
      <c r="H17" s="636">
        <v>20</v>
      </c>
      <c r="I17" s="636">
        <v>3</v>
      </c>
      <c r="J17" s="636">
        <v>19</v>
      </c>
      <c r="K17" s="636">
        <v>9</v>
      </c>
      <c r="L17" s="636"/>
      <c r="M17" s="636">
        <f t="shared" si="1"/>
        <v>0</v>
      </c>
      <c r="N17" s="636">
        <f ca="1">IF(Tabela1[[#This Row],[Percentual]]=0,,Tabela1[[#This Row],[Nome do Financeiro]])</f>
        <v>0</v>
      </c>
      <c r="O17" s="636">
        <f>IF(ISNUMBER(Tabela1[[#This Row],[Valor]]),Tabela1[[#This Row],[Valor]],)</f>
        <v>0</v>
      </c>
      <c r="P17" s="636">
        <f ca="1">IF(Tabela1[[#This Row],[Percentual]]=0,,Tabela1[[#This Row],[Percentual]])</f>
        <v>0</v>
      </c>
      <c r="Q17" s="640"/>
      <c r="R17" s="636"/>
    </row>
    <row r="18" spans="3:23" ht="16.5">
      <c r="C18" s="636" t="str">
        <f>"(Neutralidade) "&amp; "CDE conta covid-19"</f>
        <v>(Neutralidade) CDE conta covid-19</v>
      </c>
      <c r="D18" s="856">
        <f ca="1">Encargos!M36</f>
        <v>0</v>
      </c>
      <c r="E18" s="985">
        <f t="shared" ca="1" si="0"/>
        <v>0</v>
      </c>
      <c r="F18" s="1697">
        <v>20</v>
      </c>
      <c r="G18" s="1697">
        <v>60</v>
      </c>
      <c r="H18" s="1697">
        <v>73</v>
      </c>
      <c r="I18" s="1697">
        <v>3</v>
      </c>
      <c r="J18" s="1697">
        <v>12</v>
      </c>
      <c r="K18" s="1697">
        <v>9</v>
      </c>
      <c r="L18" s="636"/>
      <c r="M18" s="636">
        <f t="shared" ca="1" si="1"/>
        <v>0</v>
      </c>
      <c r="N18" s="636">
        <f ca="1">IF(Tabela1[[#This Row],[Percentual]]=0,,Tabela1[[#This Row],[Nome do Financeiro]])</f>
        <v>0</v>
      </c>
      <c r="O18" s="636">
        <f ca="1">IF(ISNUMBER(Tabela1[[#This Row],[Valor]]),Tabela1[[#This Row],[Valor]],)</f>
        <v>0</v>
      </c>
      <c r="P18" s="636">
        <f ca="1">IF(Tabela1[[#This Row],[Percentual]]=0,,Tabela1[[#This Row],[Percentual]])</f>
        <v>0</v>
      </c>
      <c r="Q18" s="640"/>
      <c r="R18" s="636"/>
      <c r="S18" s="397"/>
    </row>
    <row r="19" spans="3:23" ht="16.5">
      <c r="C19" s="636" t="str">
        <f>"(Neutralidade)" &amp; Encargos!L41</f>
        <v>(Neutralidade)Financeiro Covid</v>
      </c>
      <c r="D19" s="856">
        <f ca="1">Encargos!M41</f>
        <v>0</v>
      </c>
      <c r="E19" s="985">
        <f t="shared" ca="1" si="0"/>
        <v>0</v>
      </c>
      <c r="F19" s="636">
        <v>20</v>
      </c>
      <c r="G19" s="636">
        <v>60</v>
      </c>
      <c r="H19" s="636">
        <v>235</v>
      </c>
      <c r="I19" s="636">
        <v>4</v>
      </c>
      <c r="J19" s="636">
        <v>999</v>
      </c>
      <c r="K19" s="636">
        <v>9</v>
      </c>
      <c r="L19" s="636"/>
      <c r="M19" s="636"/>
      <c r="N19" s="636"/>
      <c r="O19" s="636"/>
      <c r="P19" s="636"/>
      <c r="Q19" s="640"/>
      <c r="R19" s="636"/>
      <c r="S19" s="397"/>
    </row>
    <row r="20" spans="3:23" ht="16.5">
      <c r="C20" s="636" t="str">
        <f>"(Neutralidade)" &amp; Encargos!L42</f>
        <v>(Neutralidade)Crédito Pis Cofins</v>
      </c>
      <c r="D20" s="856">
        <f ca="1">Encargos!M42</f>
        <v>0</v>
      </c>
      <c r="E20" s="985">
        <f t="shared" ca="1" si="0"/>
        <v>0</v>
      </c>
      <c r="F20" s="636">
        <v>20</v>
      </c>
      <c r="G20" s="636">
        <v>60</v>
      </c>
      <c r="H20" s="636">
        <v>179</v>
      </c>
      <c r="I20" s="636">
        <v>99</v>
      </c>
      <c r="J20" s="636">
        <v>999</v>
      </c>
      <c r="K20" s="636">
        <v>3</v>
      </c>
      <c r="L20" s="636"/>
      <c r="M20" s="636"/>
      <c r="N20" s="636"/>
      <c r="O20" s="636"/>
      <c r="P20" s="636"/>
      <c r="Q20" s="640"/>
      <c r="R20" s="636"/>
      <c r="S20" s="397"/>
    </row>
    <row r="21" spans="3:23" ht="16.5">
      <c r="C21" s="636" t="s">
        <v>1457</v>
      </c>
      <c r="D21" s="856">
        <f>IFERROR(LnkTxTAjusteCUST*Resultado!D25/(Resultado!D25+Resultado!D26),0)</f>
        <v>0</v>
      </c>
      <c r="E21" s="985">
        <f ca="1">IF(ISERROR(D21/$D$4),0,D21/$D$4)</f>
        <v>0</v>
      </c>
      <c r="F21" s="636">
        <v>22</v>
      </c>
      <c r="G21" s="636">
        <v>60</v>
      </c>
      <c r="H21" s="636">
        <v>999</v>
      </c>
      <c r="I21" s="636">
        <v>1</v>
      </c>
      <c r="J21" s="636">
        <v>1</v>
      </c>
      <c r="K21" s="636">
        <v>9</v>
      </c>
      <c r="L21" s="636"/>
      <c r="M21" s="636">
        <f t="shared" si="1"/>
        <v>0</v>
      </c>
      <c r="N21" s="636">
        <f ca="1">IF(Tabela1[[#This Row],[Percentual]]=0,,Tabela1[[#This Row],[Nome do Financeiro]])</f>
        <v>0</v>
      </c>
      <c r="O21" s="636">
        <f>IF(ISNUMBER(Tabela1[[#This Row],[Valor]]),Tabela1[[#This Row],[Valor]],)</f>
        <v>0</v>
      </c>
      <c r="P21" s="636">
        <f ca="1">IF(Tabela1[[#This Row],[Percentual]]=0,,Tabela1[[#This Row],[Percentual]])</f>
        <v>0</v>
      </c>
      <c r="Q21" s="640"/>
      <c r="R21" s="636"/>
    </row>
    <row r="22" spans="3:23" ht="16.5">
      <c r="C22" s="636" t="s">
        <v>1458</v>
      </c>
      <c r="D22" s="856">
        <f>IFERROR(LnkTxTAjusteCUST*Resultado!D26/(Resultado!D25+Resultado!D26),0)</f>
        <v>0</v>
      </c>
      <c r="E22" s="985">
        <f ca="1">IF(ISERROR(D22/$D$4),0,D22/$D$4)</f>
        <v>0</v>
      </c>
      <c r="F22" s="636">
        <v>22</v>
      </c>
      <c r="G22" s="636">
        <v>60</v>
      </c>
      <c r="H22" s="636">
        <v>999</v>
      </c>
      <c r="I22" s="636">
        <v>1</v>
      </c>
      <c r="J22" s="636">
        <v>2</v>
      </c>
      <c r="K22" s="636">
        <v>9</v>
      </c>
      <c r="L22" s="636"/>
      <c r="M22" s="636">
        <f t="shared" si="1"/>
        <v>0</v>
      </c>
      <c r="N22" s="636">
        <f ca="1">IF(Tabela1[[#This Row],[Percentual]]=0,,Tabela1[[#This Row],[Nome do Financeiro]])</f>
        <v>0</v>
      </c>
      <c r="O22" s="636">
        <f>IF(ISNUMBER(Tabela1[[#This Row],[Valor]]),Tabela1[[#This Row],[Valor]],)</f>
        <v>0</v>
      </c>
      <c r="P22" s="636">
        <f ca="1">IF(Tabela1[[#This Row],[Percentual]]=0,,Tabela1[[#This Row],[Percentual]])</f>
        <v>0</v>
      </c>
      <c r="Q22" s="640"/>
      <c r="R22" s="636"/>
      <c r="S22" s="142"/>
    </row>
    <row r="23" spans="3:23" ht="16.5">
      <c r="C23" s="636" t="s">
        <v>1459</v>
      </c>
      <c r="D23" s="856">
        <v>0</v>
      </c>
      <c r="E23" s="985">
        <f t="shared" ca="1" si="0"/>
        <v>0</v>
      </c>
      <c r="F23" s="636">
        <v>22</v>
      </c>
      <c r="G23" s="636">
        <v>60</v>
      </c>
      <c r="H23" s="636">
        <v>167</v>
      </c>
      <c r="I23" s="636">
        <v>4</v>
      </c>
      <c r="J23" s="636">
        <v>999</v>
      </c>
      <c r="K23" s="636">
        <v>9</v>
      </c>
      <c r="L23" s="636"/>
      <c r="M23" s="636">
        <f t="shared" si="1"/>
        <v>0</v>
      </c>
      <c r="N23" s="636">
        <f ca="1">IF(Tabela1[[#This Row],[Percentual]]=0,,Tabela1[[#This Row],[Nome do Financeiro]])</f>
        <v>0</v>
      </c>
      <c r="O23" s="636">
        <f>IF(ISNUMBER(Tabela1[[#This Row],[Valor]]),Tabela1[[#This Row],[Valor]],)</f>
        <v>0</v>
      </c>
      <c r="P23" s="636">
        <f ca="1">IF(Tabela1[[#This Row],[Percentual]]=0,,Tabela1[[#This Row],[Percentual]])</f>
        <v>0</v>
      </c>
      <c r="Q23" s="640"/>
      <c r="R23" s="636"/>
    </row>
    <row r="24" spans="3:23" ht="16.5">
      <c r="C24" s="636" t="s">
        <v>1460</v>
      </c>
      <c r="D24" s="856"/>
      <c r="E24" s="985">
        <f t="shared" ca="1" si="0"/>
        <v>0</v>
      </c>
      <c r="F24" s="636">
        <v>22</v>
      </c>
      <c r="G24" s="636">
        <v>60</v>
      </c>
      <c r="H24" s="636">
        <v>999</v>
      </c>
      <c r="I24" s="636">
        <v>3</v>
      </c>
      <c r="J24" s="636">
        <v>28</v>
      </c>
      <c r="K24" s="636">
        <v>9</v>
      </c>
      <c r="L24" s="636"/>
      <c r="M24" s="636">
        <f t="shared" si="1"/>
        <v>0</v>
      </c>
      <c r="N24" s="636">
        <f ca="1">IF(Tabela1[[#This Row],[Percentual]]=0,,Tabela1[[#This Row],[Nome do Financeiro]])</f>
        <v>0</v>
      </c>
      <c r="O24" s="636">
        <f>IF(ISNUMBER(Tabela1[[#This Row],[Valor]]),Tabela1[[#This Row],[Valor]],)</f>
        <v>0</v>
      </c>
      <c r="P24" s="636">
        <f ca="1">IF(Tabela1[[#This Row],[Percentual]]=0,,Tabela1[[#This Row],[Percentual]])</f>
        <v>0</v>
      </c>
      <c r="Q24" s="640"/>
      <c r="R24" s="636"/>
      <c r="S24" s="291"/>
    </row>
    <row r="25" spans="3:23" ht="16.5">
      <c r="C25" s="1520" t="s">
        <v>1461</v>
      </c>
      <c r="D25" s="1519"/>
      <c r="E25" s="985">
        <f ca="1">IF(ISERROR(D25/$D$4),0,D25/$D$4)</f>
        <v>0</v>
      </c>
      <c r="F25" s="636">
        <v>22</v>
      </c>
      <c r="G25" s="636">
        <v>60</v>
      </c>
      <c r="H25" s="636">
        <v>999</v>
      </c>
      <c r="I25" s="636">
        <v>2</v>
      </c>
      <c r="J25" s="636">
        <v>30</v>
      </c>
      <c r="K25" s="636">
        <v>9</v>
      </c>
      <c r="L25" s="647"/>
      <c r="M25" s="636">
        <f t="shared" si="1"/>
        <v>0</v>
      </c>
      <c r="N25" s="636" t="e">
        <v>#REF!</v>
      </c>
      <c r="O25" s="636">
        <v>0</v>
      </c>
      <c r="P25" s="636" t="e">
        <v>#REF!</v>
      </c>
      <c r="Q25" s="640"/>
      <c r="R25" s="636"/>
    </row>
    <row r="26" spans="3:23" ht="16.5">
      <c r="C26" s="648" t="s">
        <v>1462</v>
      </c>
      <c r="D26" s="857">
        <f>Indexador!J49+Indexador!P49</f>
        <v>0</v>
      </c>
      <c r="E26" s="984">
        <f t="shared" ca="1" si="0"/>
        <v>0</v>
      </c>
      <c r="F26" s="643"/>
      <c r="G26" s="643"/>
      <c r="H26" s="643"/>
      <c r="I26" s="643"/>
      <c r="J26" s="643"/>
      <c r="K26" s="643"/>
      <c r="L26" s="636"/>
      <c r="M26" s="636">
        <f t="shared" si="1"/>
        <v>0</v>
      </c>
      <c r="N26" s="636">
        <f ca="1">IF(Tabela1[[#This Row],[Percentual]]=0,,Tabela1[[#This Row],[Nome do Financeiro]])</f>
        <v>0</v>
      </c>
      <c r="O26" s="636">
        <f>IF(ISNUMBER(Tabela1[[#This Row],[Valor]]),Tabela1[[#This Row],[Valor]],)</f>
        <v>0</v>
      </c>
      <c r="P26" s="636">
        <f ca="1">IF(Tabela1[[#This Row],[Percentual]]=0,,Tabela1[[#This Row],[Percentual]])</f>
        <v>0</v>
      </c>
      <c r="Q26" s="640"/>
      <c r="R26" s="636"/>
      <c r="S26" s="141"/>
      <c r="V26" s="117"/>
    </row>
    <row r="27" spans="3:23" ht="16.5">
      <c r="C27" s="1703" t="s">
        <v>1463</v>
      </c>
      <c r="D27" s="1702">
        <v>-154215.46</v>
      </c>
      <c r="E27" s="985">
        <f t="shared" ca="1" si="0"/>
        <v>-1.1828042112758555E-2</v>
      </c>
      <c r="F27" s="636">
        <v>22</v>
      </c>
      <c r="G27" s="636">
        <v>60</v>
      </c>
      <c r="H27" s="636">
        <v>178</v>
      </c>
      <c r="I27" s="636">
        <v>1</v>
      </c>
      <c r="J27" s="636">
        <v>7</v>
      </c>
      <c r="K27" s="636">
        <v>9</v>
      </c>
      <c r="L27" s="636"/>
      <c r="M27" s="636" t="str">
        <f t="shared" si="1"/>
        <v>CVA</v>
      </c>
      <c r="N27" s="636" t="str">
        <f ca="1">IF(Tabela1[[#This Row],[Percentual]]=0,,Tabela1[[#This Row],[Nome do Financeiro]])</f>
        <v>Compensação DIC FIC</v>
      </c>
      <c r="O27" s="636">
        <f>IF(ISNUMBER(Tabela1[[#This Row],[Valor]]),Tabela1[[#This Row],[Valor]],)</f>
        <v>-154215.46</v>
      </c>
      <c r="P27" s="636">
        <f ca="1">IF(Tabela1[[#This Row],[Percentual]]=0,,Tabela1[[#This Row],[Percentual]])</f>
        <v>-1.1828042112758555E-2</v>
      </c>
      <c r="Q27" s="636"/>
      <c r="R27" s="636"/>
    </row>
    <row r="28" spans="3:23" ht="16.5">
      <c r="C28" s="636" t="s">
        <v>1464</v>
      </c>
      <c r="D28" s="856">
        <f ca="1">-LnkTXTISubvencaoPB</f>
        <v>-2630709.1586146285</v>
      </c>
      <c r="E28" s="985">
        <f ca="1">IF(ISERROR(D28/$D$4),0,D28/$D$4)</f>
        <v>-0.20177055344848988</v>
      </c>
      <c r="F28" s="636">
        <v>22</v>
      </c>
      <c r="G28" s="636">
        <v>60</v>
      </c>
      <c r="H28" s="636">
        <v>999</v>
      </c>
      <c r="I28" s="636">
        <v>4</v>
      </c>
      <c r="J28" s="636">
        <v>999</v>
      </c>
      <c r="K28" s="636">
        <v>9</v>
      </c>
      <c r="L28" s="636"/>
      <c r="M28" s="636"/>
      <c r="N28" s="636"/>
      <c r="O28" s="636"/>
      <c r="P28" s="636"/>
      <c r="Q28" s="636"/>
      <c r="R28" s="636"/>
    </row>
    <row r="29" spans="3:23" ht="16.5">
      <c r="C29" s="478" t="s">
        <v>1465</v>
      </c>
      <c r="D29" s="856">
        <f>IFERROR(-ABS(Indexador!L49),0)</f>
        <v>-130410.99266452562</v>
      </c>
      <c r="E29" s="985">
        <f t="shared" ca="1" si="0"/>
        <v>-1.0002283254886741E-2</v>
      </c>
      <c r="F29" s="636">
        <v>22</v>
      </c>
      <c r="G29" s="636">
        <v>60</v>
      </c>
      <c r="H29" s="636">
        <v>999</v>
      </c>
      <c r="I29" s="636">
        <v>2</v>
      </c>
      <c r="J29" s="636">
        <v>30</v>
      </c>
      <c r="K29" s="636">
        <v>9</v>
      </c>
      <c r="L29" s="636"/>
      <c r="M29" s="636"/>
      <c r="N29" s="636"/>
      <c r="O29" s="636"/>
      <c r="P29" s="636"/>
      <c r="Q29" s="636"/>
      <c r="R29" s="636"/>
    </row>
    <row r="30" spans="3:23" ht="16.5">
      <c r="C30" s="478" t="s">
        <v>1466</v>
      </c>
      <c r="D30" s="858"/>
      <c r="E30" s="985">
        <f t="shared" ca="1" si="0"/>
        <v>0</v>
      </c>
      <c r="F30" s="636">
        <v>22</v>
      </c>
      <c r="G30" s="636">
        <v>60</v>
      </c>
      <c r="H30" s="636">
        <v>120</v>
      </c>
      <c r="I30" s="636">
        <v>4</v>
      </c>
      <c r="J30" s="636">
        <v>999</v>
      </c>
      <c r="K30" s="636">
        <v>9</v>
      </c>
      <c r="L30" s="636"/>
      <c r="M30" s="636"/>
      <c r="N30" s="636"/>
      <c r="O30" s="636"/>
      <c r="P30" s="636"/>
      <c r="Q30" s="636"/>
      <c r="R30" s="636"/>
    </row>
    <row r="31" spans="3:23" ht="16.5">
      <c r="C31" s="643" t="s">
        <v>1467</v>
      </c>
      <c r="D31" s="857">
        <f>ICMS!E12</f>
        <v>0</v>
      </c>
      <c r="E31" s="984">
        <f ca="1">IFERROR(Tabela1[[#This Row],[Valor]]/D4,0)</f>
        <v>0</v>
      </c>
      <c r="F31" s="643"/>
      <c r="G31" s="643"/>
      <c r="H31" s="643"/>
      <c r="I31" s="643"/>
      <c r="J31" s="643"/>
      <c r="K31" s="643"/>
      <c r="L31" s="636"/>
      <c r="M31" s="636"/>
      <c r="N31" s="636"/>
      <c r="O31" s="636"/>
      <c r="P31" s="636"/>
      <c r="Q31" s="636"/>
      <c r="R31" s="636"/>
      <c r="T31" s="93"/>
      <c r="U31" s="93"/>
      <c r="V31" s="93"/>
      <c r="W31" s="93"/>
    </row>
    <row r="32" spans="3:23" ht="16.5">
      <c r="C32" s="636" t="s">
        <v>1468</v>
      </c>
      <c r="D32" s="856">
        <f ca="1">ICMS!E13</f>
        <v>0</v>
      </c>
      <c r="E32" s="985">
        <f ca="1">IF(ISERROR(D32/$D$4),0,D32/$D$4)</f>
        <v>0</v>
      </c>
      <c r="F32" s="636">
        <v>22</v>
      </c>
      <c r="G32" s="636">
        <v>60</v>
      </c>
      <c r="H32" s="636">
        <v>999</v>
      </c>
      <c r="I32" s="636">
        <v>1</v>
      </c>
      <c r="J32" s="636">
        <v>7</v>
      </c>
      <c r="K32" s="636">
        <v>9</v>
      </c>
      <c r="L32" s="636"/>
      <c r="M32" s="636"/>
      <c r="N32" s="636"/>
      <c r="O32" s="636"/>
      <c r="P32" s="636"/>
      <c r="Q32" s="636"/>
      <c r="R32" s="723"/>
      <c r="T32" s="93"/>
      <c r="V32" s="93"/>
      <c r="W32" s="93"/>
    </row>
    <row r="33" spans="3:23" ht="16.5">
      <c r="C33" s="636" t="s">
        <v>1469</v>
      </c>
      <c r="D33" s="856">
        <f ca="1">ICMS!E14</f>
        <v>0</v>
      </c>
      <c r="E33" s="985">
        <f ca="1">IF(ISERROR(D33/$D$4),0,D33/$D$4)</f>
        <v>0</v>
      </c>
      <c r="F33" s="636">
        <v>22</v>
      </c>
      <c r="G33" s="636">
        <v>60</v>
      </c>
      <c r="H33" s="636">
        <v>999</v>
      </c>
      <c r="I33" s="636">
        <v>2</v>
      </c>
      <c r="J33" s="636">
        <v>30</v>
      </c>
      <c r="K33" s="636">
        <v>9</v>
      </c>
      <c r="L33" s="636"/>
      <c r="M33" s="636"/>
      <c r="N33" s="636"/>
      <c r="O33" s="636"/>
      <c r="P33" s="636"/>
      <c r="Q33" s="636"/>
      <c r="R33" s="636"/>
      <c r="T33" s="93"/>
      <c r="V33" s="93"/>
      <c r="W33" s="93"/>
    </row>
    <row r="34" spans="3:23" ht="16.5">
      <c r="C34" s="636" t="s">
        <v>1470</v>
      </c>
      <c r="D34" s="874"/>
      <c r="E34" s="985">
        <f t="shared" ref="E34:E49" ca="1" si="2">IF(ISERROR(D34/$D$4),0,D34/$D$4)</f>
        <v>0</v>
      </c>
      <c r="F34" s="636">
        <v>22</v>
      </c>
      <c r="G34" s="636">
        <v>60</v>
      </c>
      <c r="H34" s="636">
        <v>231</v>
      </c>
      <c r="I34" s="636">
        <v>3</v>
      </c>
      <c r="J34" s="636">
        <v>19</v>
      </c>
      <c r="K34" s="636">
        <v>9</v>
      </c>
      <c r="L34" s="636"/>
      <c r="M34" s="636"/>
      <c r="N34" s="636"/>
      <c r="O34" s="636"/>
      <c r="P34" s="636"/>
      <c r="Q34" s="785"/>
      <c r="R34" s="636"/>
    </row>
    <row r="35" spans="3:23" ht="16.5">
      <c r="C35" s="636" t="s">
        <v>1471</v>
      </c>
      <c r="D35" s="879">
        <f>-'Conta covid'!J17</f>
        <v>0</v>
      </c>
      <c r="E35" s="985">
        <f t="shared" ca="1" si="2"/>
        <v>0</v>
      </c>
      <c r="F35" s="636">
        <v>22</v>
      </c>
      <c r="G35" s="636">
        <v>60</v>
      </c>
      <c r="H35" s="636">
        <v>235</v>
      </c>
      <c r="I35" s="636">
        <v>4</v>
      </c>
      <c r="J35" s="636">
        <v>999</v>
      </c>
      <c r="K35" s="636">
        <v>9</v>
      </c>
      <c r="L35" s="636"/>
      <c r="M35" s="636"/>
      <c r="N35" s="636"/>
      <c r="O35" s="636"/>
      <c r="P35" s="636"/>
      <c r="Q35" s="640"/>
      <c r="R35" s="636"/>
    </row>
    <row r="36" spans="3:23" ht="16.5">
      <c r="C36" s="636" t="s">
        <v>1472</v>
      </c>
      <c r="D36" s="785">
        <f>Energia!K66</f>
        <v>0</v>
      </c>
      <c r="E36" s="985">
        <f t="shared" ca="1" si="2"/>
        <v>0</v>
      </c>
      <c r="F36" s="636">
        <v>22</v>
      </c>
      <c r="G36" s="636">
        <v>60</v>
      </c>
      <c r="H36" s="636">
        <v>220</v>
      </c>
      <c r="I36" s="636">
        <v>2</v>
      </c>
      <c r="J36" s="636">
        <v>30</v>
      </c>
      <c r="K36" s="636">
        <v>9</v>
      </c>
      <c r="L36" s="636"/>
      <c r="M36" s="636"/>
      <c r="N36" s="636"/>
      <c r="O36" s="636"/>
      <c r="P36" s="636"/>
      <c r="Q36" s="636"/>
      <c r="R36" s="636"/>
      <c r="T36" s="291"/>
      <c r="U36" s="141"/>
      <c r="V36" s="141"/>
    </row>
    <row r="37" spans="3:23" ht="16.5">
      <c r="C37" s="649" t="s">
        <v>1473</v>
      </c>
      <c r="D37" s="650"/>
      <c r="E37" s="985">
        <f t="shared" ca="1" si="2"/>
        <v>0</v>
      </c>
      <c r="F37" s="649">
        <v>22</v>
      </c>
      <c r="G37" s="649">
        <v>60</v>
      </c>
      <c r="H37" s="649">
        <v>999</v>
      </c>
      <c r="I37" s="649">
        <v>2</v>
      </c>
      <c r="J37" s="649">
        <v>30</v>
      </c>
      <c r="K37" s="649">
        <v>9</v>
      </c>
      <c r="L37" s="636"/>
      <c r="M37" s="636"/>
      <c r="N37" s="636"/>
      <c r="O37" s="636"/>
      <c r="P37" s="636"/>
      <c r="Q37" s="636"/>
      <c r="R37" s="856"/>
    </row>
    <row r="38" spans="3:23" ht="16.5">
      <c r="C38" s="649" t="s">
        <v>1474</v>
      </c>
      <c r="D38" s="1704">
        <f>'Financeiros Mitigação'!D10</f>
        <v>-216318.95200995237</v>
      </c>
      <c r="E38" s="985">
        <f t="shared" ca="1" si="2"/>
        <v>-1.6591265714614563E-2</v>
      </c>
      <c r="F38" s="649">
        <v>22</v>
      </c>
      <c r="G38" s="649">
        <v>60</v>
      </c>
      <c r="H38" s="649">
        <v>179</v>
      </c>
      <c r="I38" s="649">
        <v>99</v>
      </c>
      <c r="J38" s="649">
        <v>999</v>
      </c>
      <c r="K38" s="649">
        <v>3</v>
      </c>
      <c r="L38" s="636"/>
      <c r="M38" s="636"/>
      <c r="N38" s="636"/>
      <c r="O38" s="636"/>
      <c r="P38" s="636"/>
      <c r="Q38" s="636"/>
      <c r="R38" s="856"/>
      <c r="T38" s="291"/>
      <c r="U38" s="141"/>
    </row>
    <row r="39" spans="3:23" ht="16.5">
      <c r="C39" s="649" t="s">
        <v>1475</v>
      </c>
      <c r="D39" s="650"/>
      <c r="E39" s="985">
        <f t="shared" ca="1" si="2"/>
        <v>0</v>
      </c>
      <c r="F39" s="636">
        <v>22</v>
      </c>
      <c r="G39" s="636">
        <v>60</v>
      </c>
      <c r="H39" s="636">
        <v>999</v>
      </c>
      <c r="I39" s="636">
        <v>1</v>
      </c>
      <c r="J39" s="636">
        <v>7</v>
      </c>
      <c r="K39" s="636">
        <v>9</v>
      </c>
      <c r="L39" s="636"/>
      <c r="M39" s="636"/>
      <c r="N39" s="636"/>
      <c r="O39" s="636"/>
      <c r="P39" s="636"/>
      <c r="Q39" s="636"/>
      <c r="R39" s="636"/>
      <c r="U39" s="141"/>
    </row>
    <row r="40" spans="3:23" ht="16.5">
      <c r="C40" s="649" t="s">
        <v>1476</v>
      </c>
      <c r="D40" s="650"/>
      <c r="E40" s="985">
        <f t="shared" ca="1" si="2"/>
        <v>0</v>
      </c>
      <c r="F40" s="636">
        <v>22</v>
      </c>
      <c r="G40" s="636">
        <v>60</v>
      </c>
      <c r="H40" s="636">
        <v>999</v>
      </c>
      <c r="I40" s="636">
        <v>2</v>
      </c>
      <c r="J40" s="636">
        <v>30</v>
      </c>
      <c r="K40" s="636">
        <v>9</v>
      </c>
      <c r="L40" s="636"/>
      <c r="M40" s="636"/>
      <c r="N40" s="636"/>
      <c r="O40" s="636"/>
      <c r="P40" s="636"/>
      <c r="Q40" s="636"/>
      <c r="R40" s="636"/>
    </row>
    <row r="41" spans="3:23" ht="16.5">
      <c r="C41" s="649" t="s">
        <v>1477</v>
      </c>
      <c r="D41" s="650">
        <f>'Financeiros Mitigação'!D12</f>
        <v>0</v>
      </c>
      <c r="E41" s="985">
        <f t="shared" ca="1" si="2"/>
        <v>0</v>
      </c>
      <c r="F41" s="649">
        <v>22</v>
      </c>
      <c r="G41" s="649">
        <v>60</v>
      </c>
      <c r="H41" s="649">
        <v>999</v>
      </c>
      <c r="I41" s="649">
        <v>2</v>
      </c>
      <c r="J41" s="649">
        <v>30</v>
      </c>
      <c r="K41" s="649">
        <v>9</v>
      </c>
      <c r="L41" s="636"/>
      <c r="M41" s="636"/>
      <c r="N41" s="636"/>
      <c r="O41" s="636"/>
      <c r="P41" s="636"/>
      <c r="Q41" s="636"/>
      <c r="R41" s="636"/>
    </row>
    <row r="42" spans="3:23" ht="16.5">
      <c r="C42" s="649"/>
      <c r="D42" s="1590"/>
      <c r="E42" s="1564">
        <f>IF(ISERROR(D42/#REF!),0,D42/#REF!)</f>
        <v>0</v>
      </c>
      <c r="F42" s="649"/>
      <c r="G42" s="649"/>
      <c r="H42" s="649"/>
      <c r="I42" s="649"/>
      <c r="J42" s="649"/>
      <c r="K42" s="649"/>
      <c r="L42" s="636"/>
      <c r="M42" s="636"/>
      <c r="N42" s="636"/>
      <c r="O42" s="636"/>
      <c r="P42" s="636"/>
      <c r="Q42" s="636"/>
      <c r="R42" s="636"/>
    </row>
    <row r="43" spans="3:23" ht="16.5">
      <c r="C43" s="649"/>
      <c r="D43" s="1590"/>
      <c r="E43" s="1564">
        <f>IF(ISERROR(D43/#REF!),0,D43/#REF!)</f>
        <v>0</v>
      </c>
      <c r="F43" s="649"/>
      <c r="G43" s="649"/>
      <c r="H43" s="649"/>
      <c r="I43" s="649"/>
      <c r="J43" s="649"/>
      <c r="K43" s="649"/>
      <c r="L43" s="636"/>
      <c r="M43" s="636"/>
      <c r="N43" s="636"/>
      <c r="O43" s="636"/>
      <c r="P43" s="636"/>
      <c r="Q43" s="636"/>
      <c r="R43" s="636"/>
    </row>
    <row r="44" spans="3:23" ht="16.5">
      <c r="C44" s="649"/>
      <c r="D44" s="1590"/>
      <c r="E44" s="1564">
        <f>IF(ISERROR(D44/#REF!),0,D44/#REF!)</f>
        <v>0</v>
      </c>
      <c r="F44" s="649"/>
      <c r="G44" s="649"/>
      <c r="H44" s="649"/>
      <c r="I44" s="649"/>
      <c r="J44" s="649"/>
      <c r="K44" s="649"/>
      <c r="L44" s="636"/>
      <c r="M44" s="636"/>
      <c r="N44" s="636"/>
      <c r="O44" s="636"/>
      <c r="P44" s="636"/>
      <c r="Q44" s="636"/>
      <c r="R44" s="636"/>
    </row>
    <row r="45" spans="3:23" ht="16.5">
      <c r="C45" s="649"/>
      <c r="D45" s="650"/>
      <c r="E45" s="985">
        <f t="shared" ca="1" si="2"/>
        <v>0</v>
      </c>
      <c r="F45" s="649">
        <v>22</v>
      </c>
      <c r="G45" s="649">
        <v>60</v>
      </c>
      <c r="H45" s="649">
        <v>999</v>
      </c>
      <c r="I45" s="649">
        <v>99</v>
      </c>
      <c r="J45" s="649">
        <v>999</v>
      </c>
      <c r="K45" s="649">
        <v>9</v>
      </c>
      <c r="L45" s="636"/>
      <c r="M45" s="636"/>
      <c r="N45" s="636"/>
      <c r="O45" s="636"/>
      <c r="P45" s="636"/>
      <c r="Q45" s="636"/>
      <c r="R45" s="636"/>
    </row>
    <row r="46" spans="3:23" ht="16.5">
      <c r="C46" s="649"/>
      <c r="D46" s="650"/>
      <c r="E46" s="985">
        <f t="shared" ca="1" si="2"/>
        <v>0</v>
      </c>
      <c r="F46" s="649">
        <v>22</v>
      </c>
      <c r="G46" s="649">
        <v>60</v>
      </c>
      <c r="H46" s="649">
        <v>999</v>
      </c>
      <c r="I46" s="649">
        <v>99</v>
      </c>
      <c r="J46" s="649">
        <v>999</v>
      </c>
      <c r="K46" s="649">
        <v>9</v>
      </c>
      <c r="L46" s="636"/>
      <c r="M46" s="636"/>
      <c r="N46" s="636"/>
      <c r="O46" s="636"/>
      <c r="P46" s="636"/>
      <c r="Q46" s="636"/>
      <c r="R46" s="636"/>
    </row>
    <row r="47" spans="3:23" ht="16.5">
      <c r="C47" s="649"/>
      <c r="D47" s="651"/>
      <c r="E47" s="985">
        <f t="shared" ca="1" si="2"/>
        <v>0</v>
      </c>
      <c r="F47" s="649">
        <v>22</v>
      </c>
      <c r="G47" s="649">
        <v>60</v>
      </c>
      <c r="H47" s="649">
        <v>999</v>
      </c>
      <c r="I47" s="649">
        <v>99</v>
      </c>
      <c r="J47" s="649">
        <v>999</v>
      </c>
      <c r="K47" s="649">
        <v>9</v>
      </c>
      <c r="L47" s="636"/>
      <c r="M47" s="636"/>
      <c r="N47" s="636"/>
      <c r="O47" s="636"/>
      <c r="P47" s="636"/>
      <c r="Q47" s="636"/>
      <c r="R47" s="636"/>
    </row>
    <row r="48" spans="3:23" ht="16.5">
      <c r="C48" s="987" t="s">
        <v>1478</v>
      </c>
      <c r="D48" s="987">
        <f>CVE!$E$9</f>
        <v>0</v>
      </c>
      <c r="E48" s="985">
        <f t="shared" ca="1" si="2"/>
        <v>0</v>
      </c>
      <c r="F48" s="978">
        <v>22</v>
      </c>
      <c r="G48" s="978">
        <v>60</v>
      </c>
      <c r="H48" s="978">
        <v>241</v>
      </c>
      <c r="I48" s="978">
        <v>3</v>
      </c>
      <c r="J48" s="978">
        <v>13</v>
      </c>
      <c r="K48" s="978">
        <v>9</v>
      </c>
      <c r="L48" s="636"/>
      <c r="M48" s="636"/>
      <c r="N48" s="636"/>
      <c r="O48" s="636"/>
      <c r="P48" s="636"/>
      <c r="Q48" s="636"/>
      <c r="R48" s="636"/>
    </row>
    <row r="49" spans="3:12" ht="16.5">
      <c r="C49" s="987" t="s">
        <v>1479</v>
      </c>
      <c r="D49" s="987">
        <f>CVE!$E$10</f>
        <v>0</v>
      </c>
      <c r="E49" s="985">
        <f t="shared" ca="1" si="2"/>
        <v>0</v>
      </c>
      <c r="F49" s="978">
        <v>22</v>
      </c>
      <c r="G49" s="978">
        <v>60</v>
      </c>
      <c r="H49" s="978">
        <v>241</v>
      </c>
      <c r="I49" s="978">
        <v>3</v>
      </c>
      <c r="J49" s="978">
        <v>15</v>
      </c>
      <c r="K49" s="978">
        <v>9</v>
      </c>
      <c r="L49" s="636"/>
    </row>
    <row r="50" spans="3:12" ht="16.5">
      <c r="C50" s="987" t="s">
        <v>1480</v>
      </c>
      <c r="D50" s="987">
        <f>CVE!$E$11</f>
        <v>0</v>
      </c>
      <c r="E50" s="985">
        <f t="shared" ca="1" si="0"/>
        <v>0</v>
      </c>
      <c r="F50" s="978">
        <v>22</v>
      </c>
      <c r="G50" s="978">
        <v>60</v>
      </c>
      <c r="H50" s="978">
        <v>241</v>
      </c>
      <c r="I50" s="978">
        <v>3</v>
      </c>
      <c r="J50" s="978">
        <v>25</v>
      </c>
      <c r="K50" s="978">
        <v>9</v>
      </c>
      <c r="L50" s="636"/>
    </row>
    <row r="51" spans="3:12" ht="16.5">
      <c r="C51" s="987" t="s">
        <v>1481</v>
      </c>
      <c r="D51" s="987">
        <f>IFERROR(CVE!$E$12*Resultado!D25/SUM(Resultado!$D$25:$D$29),0)</f>
        <v>0</v>
      </c>
      <c r="E51" s="985">
        <f t="shared" ca="1" si="0"/>
        <v>0</v>
      </c>
      <c r="F51" s="978">
        <v>22</v>
      </c>
      <c r="G51" s="978">
        <v>60</v>
      </c>
      <c r="H51" s="978">
        <v>241</v>
      </c>
      <c r="I51" s="978">
        <v>1</v>
      </c>
      <c r="J51" s="978">
        <v>1</v>
      </c>
      <c r="K51" s="979">
        <v>9</v>
      </c>
      <c r="L51" s="636"/>
    </row>
    <row r="52" spans="3:12" ht="16.5">
      <c r="C52" s="987" t="s">
        <v>1482</v>
      </c>
      <c r="D52" s="987">
        <f>IFERROR(CVE!$E$12*Resultado!D26/SUM(Resultado!$D$25:$D$29),0)</f>
        <v>0</v>
      </c>
      <c r="E52" s="985">
        <f t="shared" ca="1" si="0"/>
        <v>0</v>
      </c>
      <c r="F52" s="978">
        <v>22</v>
      </c>
      <c r="G52" s="978">
        <v>60</v>
      </c>
      <c r="H52" s="978">
        <v>241</v>
      </c>
      <c r="I52" s="978">
        <v>1</v>
      </c>
      <c r="J52" s="978">
        <v>1</v>
      </c>
      <c r="K52" s="979">
        <v>9</v>
      </c>
      <c r="L52" s="636"/>
    </row>
    <row r="53" spans="3:12" ht="16.5">
      <c r="C53" s="987" t="s">
        <v>1483</v>
      </c>
      <c r="D53" s="987">
        <f>IFERROR(CVE!$E$12*Resultado!D28/SUM(Resultado!$D$25:$D$29),0)</f>
        <v>0</v>
      </c>
      <c r="E53" s="985">
        <f t="shared" ca="1" si="0"/>
        <v>0</v>
      </c>
      <c r="F53" s="978">
        <v>22</v>
      </c>
      <c r="G53" s="978">
        <v>60</v>
      </c>
      <c r="H53" s="978">
        <v>241</v>
      </c>
      <c r="I53" s="978">
        <v>1</v>
      </c>
      <c r="J53" s="978">
        <v>1</v>
      </c>
      <c r="K53" s="979">
        <v>9</v>
      </c>
      <c r="L53" s="636"/>
    </row>
    <row r="54" spans="3:12" ht="16.5">
      <c r="C54" s="987" t="s">
        <v>1484</v>
      </c>
      <c r="D54" s="987">
        <f>IFERROR(CVE!$E$12*Resultado!D27/SUM(Resultado!$D$25:$D$29),0)</f>
        <v>0</v>
      </c>
      <c r="E54" s="985">
        <f t="shared" ca="1" si="0"/>
        <v>0</v>
      </c>
      <c r="F54" s="978">
        <v>22</v>
      </c>
      <c r="G54" s="978">
        <v>60</v>
      </c>
      <c r="H54" s="978">
        <v>241</v>
      </c>
      <c r="I54" s="978">
        <v>1</v>
      </c>
      <c r="J54" s="978">
        <v>1</v>
      </c>
      <c r="K54" s="979">
        <v>9</v>
      </c>
      <c r="L54" s="636"/>
    </row>
    <row r="55" spans="3:12" ht="16.5">
      <c r="C55" s="987" t="s">
        <v>1485</v>
      </c>
      <c r="D55" s="987">
        <f>IFERROR(CVE!$E$12*Resultado!D29/SUM(Resultado!$D$25:$D$29),0)</f>
        <v>0</v>
      </c>
      <c r="E55" s="985">
        <f t="shared" ca="1" si="0"/>
        <v>0</v>
      </c>
      <c r="F55" s="978">
        <v>22</v>
      </c>
      <c r="G55" s="978">
        <v>60</v>
      </c>
      <c r="H55" s="978">
        <v>241</v>
      </c>
      <c r="I55" s="978">
        <v>1</v>
      </c>
      <c r="J55" s="978">
        <v>1</v>
      </c>
      <c r="K55" s="979">
        <v>9</v>
      </c>
      <c r="L55" s="636"/>
    </row>
    <row r="56" spans="3:12" ht="16.5">
      <c r="C56" s="987" t="s">
        <v>1486</v>
      </c>
      <c r="D56" s="987">
        <f>CVE!E15</f>
        <v>0</v>
      </c>
      <c r="E56" s="985">
        <f t="shared" ca="1" si="0"/>
        <v>0</v>
      </c>
      <c r="F56" s="978">
        <v>22</v>
      </c>
      <c r="G56" s="978">
        <v>60</v>
      </c>
      <c r="H56" s="978">
        <v>241</v>
      </c>
      <c r="I56" s="978">
        <v>1</v>
      </c>
      <c r="J56" s="978">
        <v>21</v>
      </c>
      <c r="K56" s="979">
        <v>9</v>
      </c>
      <c r="L56" s="636"/>
    </row>
    <row r="57" spans="3:12" ht="16.5">
      <c r="C57" s="987" t="s">
        <v>1487</v>
      </c>
      <c r="D57" s="987">
        <f ca="1">IFERROR(CVE!$E$13*Energia!C6/Energia!$C$5,0)</f>
        <v>0</v>
      </c>
      <c r="E57" s="985">
        <f t="shared" ca="1" si="0"/>
        <v>0</v>
      </c>
      <c r="F57" s="978">
        <v>22</v>
      </c>
      <c r="G57" s="978">
        <v>60</v>
      </c>
      <c r="H57" s="978">
        <v>241</v>
      </c>
      <c r="I57" s="978">
        <v>2</v>
      </c>
      <c r="J57" s="978">
        <v>11</v>
      </c>
      <c r="K57" s="979">
        <v>9</v>
      </c>
      <c r="L57" s="636"/>
    </row>
    <row r="58" spans="3:12" ht="16.5">
      <c r="C58" s="987" t="s">
        <v>1488</v>
      </c>
      <c r="D58" s="987">
        <f ca="1">IFERROR(CVE!$E$13*Energia!C7/Energia!$C$5,0)</f>
        <v>0</v>
      </c>
      <c r="E58" s="985">
        <f t="shared" ca="1" si="0"/>
        <v>0</v>
      </c>
      <c r="F58" s="978">
        <v>22</v>
      </c>
      <c r="G58" s="978">
        <v>60</v>
      </c>
      <c r="H58" s="978">
        <v>241</v>
      </c>
      <c r="I58" s="978">
        <v>2</v>
      </c>
      <c r="J58" s="978">
        <v>9</v>
      </c>
      <c r="K58" s="978">
        <v>9</v>
      </c>
      <c r="L58" s="636"/>
    </row>
    <row r="59" spans="3:12" ht="16.5">
      <c r="C59" s="987" t="s">
        <v>1489</v>
      </c>
      <c r="D59" s="987">
        <f ca="1">IFERROR(CVE!$E$13*Energia!C8/Energia!$C$5,0)</f>
        <v>0</v>
      </c>
      <c r="E59" s="985">
        <f t="shared" ca="1" si="0"/>
        <v>0</v>
      </c>
      <c r="F59" s="978">
        <v>22</v>
      </c>
      <c r="G59" s="978">
        <v>60</v>
      </c>
      <c r="H59" s="978">
        <v>241</v>
      </c>
      <c r="I59" s="978">
        <v>2</v>
      </c>
      <c r="J59" s="978">
        <v>8</v>
      </c>
      <c r="K59" s="978">
        <v>9</v>
      </c>
      <c r="L59" s="636"/>
    </row>
    <row r="60" spans="3:12" ht="16.5">
      <c r="C60" s="987" t="s">
        <v>1490</v>
      </c>
      <c r="D60" s="987">
        <f ca="1">IFERROR(CVE!$E$13*Energia!C9/Energia!$C$5,0)</f>
        <v>0</v>
      </c>
      <c r="E60" s="985">
        <f t="shared" ca="1" si="0"/>
        <v>0</v>
      </c>
      <c r="F60" s="978">
        <v>22</v>
      </c>
      <c r="G60" s="978">
        <v>60</v>
      </c>
      <c r="H60" s="978">
        <v>241</v>
      </c>
      <c r="I60" s="978">
        <v>2</v>
      </c>
      <c r="J60" s="978">
        <v>10</v>
      </c>
      <c r="K60" s="978">
        <v>9</v>
      </c>
      <c r="L60" s="636"/>
    </row>
    <row r="61" spans="3:12" ht="16.5">
      <c r="C61" s="987" t="s">
        <v>1491</v>
      </c>
      <c r="D61" s="987">
        <f ca="1">IFERROR(CVE!$E$13*Energia!C10/Energia!$C$5,0)</f>
        <v>0</v>
      </c>
      <c r="E61" s="985">
        <f t="shared" ca="1" si="0"/>
        <v>0</v>
      </c>
      <c r="F61" s="978">
        <v>22</v>
      </c>
      <c r="G61" s="978">
        <v>60</v>
      </c>
      <c r="H61" s="978">
        <v>241</v>
      </c>
      <c r="I61" s="978">
        <v>2</v>
      </c>
      <c r="J61" s="978">
        <v>24</v>
      </c>
      <c r="K61" s="978">
        <v>9</v>
      </c>
      <c r="L61" s="636"/>
    </row>
    <row r="62" spans="3:12" ht="16.5">
      <c r="C62" s="987" t="s">
        <v>1492</v>
      </c>
      <c r="D62" s="987">
        <f ca="1">IFERROR(CVE!$E$13*Energia!C11/Energia!$C$5,0)</f>
        <v>0</v>
      </c>
      <c r="E62" s="985">
        <f t="shared" ca="1" si="0"/>
        <v>0</v>
      </c>
      <c r="F62" s="978">
        <v>22</v>
      </c>
      <c r="G62" s="978">
        <v>60</v>
      </c>
      <c r="H62" s="978">
        <v>241</v>
      </c>
      <c r="I62" s="978">
        <v>3</v>
      </c>
      <c r="J62" s="978">
        <v>18</v>
      </c>
      <c r="K62" s="978">
        <v>9</v>
      </c>
      <c r="L62" s="636"/>
    </row>
    <row r="63" spans="3:12" ht="16.5">
      <c r="C63" s="987" t="s">
        <v>1493</v>
      </c>
      <c r="D63" s="987">
        <f>CVE!E14</f>
        <v>0</v>
      </c>
      <c r="E63" s="985">
        <f t="shared" ca="1" si="0"/>
        <v>0</v>
      </c>
      <c r="F63" s="978">
        <v>22</v>
      </c>
      <c r="G63" s="978">
        <v>60</v>
      </c>
      <c r="H63" s="978">
        <v>241</v>
      </c>
      <c r="I63" s="978">
        <v>3</v>
      </c>
      <c r="J63" s="978">
        <v>16</v>
      </c>
      <c r="K63" s="979">
        <v>9</v>
      </c>
      <c r="L63" s="636"/>
    </row>
    <row r="64" spans="3:12" ht="16.5">
      <c r="C64" s="987" t="s">
        <v>1494</v>
      </c>
      <c r="D64" s="987">
        <f>CVE!E17</f>
        <v>0</v>
      </c>
      <c r="E64" s="985">
        <f t="shared" ca="1" si="0"/>
        <v>0</v>
      </c>
      <c r="F64" s="978">
        <v>22</v>
      </c>
      <c r="G64" s="978">
        <v>60</v>
      </c>
      <c r="H64" s="978">
        <v>241</v>
      </c>
      <c r="I64" s="978">
        <v>3</v>
      </c>
      <c r="J64" s="978">
        <v>17</v>
      </c>
      <c r="K64" s="979">
        <v>9</v>
      </c>
      <c r="L64" s="636"/>
    </row>
    <row r="65" spans="3:12" ht="16.5">
      <c r="C65" s="1565" t="s">
        <v>1495</v>
      </c>
      <c r="D65" s="1565">
        <f ca="1">IFERROR('Financeiros Mitigação'!$D$5*Energia!C6/Energia!$C$5,0)</f>
        <v>0</v>
      </c>
      <c r="E65" s="985">
        <f t="shared" ca="1" si="0"/>
        <v>0</v>
      </c>
      <c r="F65" s="978">
        <v>22</v>
      </c>
      <c r="G65" s="978">
        <v>60</v>
      </c>
      <c r="H65" s="978">
        <v>240</v>
      </c>
      <c r="I65" s="978">
        <v>2</v>
      </c>
      <c r="J65" s="978">
        <v>11</v>
      </c>
      <c r="K65" s="979">
        <v>9</v>
      </c>
      <c r="L65" s="636"/>
    </row>
    <row r="66" spans="3:12" ht="16.5">
      <c r="C66" s="1565" t="s">
        <v>1496</v>
      </c>
      <c r="D66" s="1565">
        <f ca="1">IFERROR('Financeiros Mitigação'!$D$5*Energia!M16/Energia!$C$5,0)</f>
        <v>0</v>
      </c>
      <c r="E66" s="985">
        <f t="shared" ca="1" si="0"/>
        <v>0</v>
      </c>
      <c r="F66" s="978">
        <v>22</v>
      </c>
      <c r="G66" s="978">
        <v>60</v>
      </c>
      <c r="H66" s="978">
        <v>240</v>
      </c>
      <c r="I66" s="978">
        <v>2</v>
      </c>
      <c r="J66" s="978">
        <v>9</v>
      </c>
      <c r="K66" s="979">
        <v>9</v>
      </c>
      <c r="L66" s="636"/>
    </row>
    <row r="67" spans="3:12" ht="16.5">
      <c r="C67" s="1565" t="s">
        <v>1497</v>
      </c>
      <c r="D67" s="1565">
        <f ca="1">IFERROR('Financeiros Mitigação'!$D$5*Energia!M17/Energia!$C$5,0)</f>
        <v>0</v>
      </c>
      <c r="E67" s="985">
        <f t="shared" ca="1" si="0"/>
        <v>0</v>
      </c>
      <c r="F67" s="978">
        <v>22</v>
      </c>
      <c r="G67" s="978">
        <v>60</v>
      </c>
      <c r="H67" s="978">
        <v>240</v>
      </c>
      <c r="I67" s="978">
        <v>2</v>
      </c>
      <c r="J67" s="978">
        <v>8</v>
      </c>
      <c r="K67" s="979">
        <v>9</v>
      </c>
      <c r="L67" s="636"/>
    </row>
    <row r="68" spans="3:12" ht="16.5">
      <c r="C68" s="1565" t="s">
        <v>1498</v>
      </c>
      <c r="D68" s="1565">
        <f ca="1">IFERROR('Financeiros Mitigação'!$D$5*Energia!C11/Energia!$C$5,0)</f>
        <v>0</v>
      </c>
      <c r="E68" s="985">
        <f t="shared" ca="1" si="0"/>
        <v>0</v>
      </c>
      <c r="F68" s="978">
        <v>22</v>
      </c>
      <c r="G68" s="978">
        <v>60</v>
      </c>
      <c r="H68" s="978">
        <v>240</v>
      </c>
      <c r="I68" s="978">
        <v>2</v>
      </c>
      <c r="J68" s="978">
        <v>10</v>
      </c>
      <c r="K68" s="979">
        <v>9</v>
      </c>
      <c r="L68" s="636"/>
    </row>
    <row r="69" spans="3:12" ht="16.5">
      <c r="C69" s="1565" t="s">
        <v>1499</v>
      </c>
      <c r="D69" s="1565">
        <f ca="1">IFERROR('Financeiros Mitigação'!$D$5*Energia!C12/Energia!$C$5,0)</f>
        <v>0</v>
      </c>
      <c r="E69" s="985">
        <f t="shared" ca="1" si="0"/>
        <v>0</v>
      </c>
      <c r="F69" s="978">
        <v>22</v>
      </c>
      <c r="G69" s="978">
        <v>60</v>
      </c>
      <c r="H69" s="978">
        <v>240</v>
      </c>
      <c r="I69" s="978">
        <v>2</v>
      </c>
      <c r="J69" s="978">
        <v>24</v>
      </c>
      <c r="K69" s="979">
        <v>9</v>
      </c>
      <c r="L69" s="636"/>
    </row>
    <row r="70" spans="3:12" ht="16.5">
      <c r="C70" s="1565" t="s">
        <v>1500</v>
      </c>
      <c r="D70" s="1565">
        <f>'Financeiros Mitigação'!D6</f>
        <v>0</v>
      </c>
      <c r="E70" s="985">
        <f t="shared" ca="1" si="0"/>
        <v>0</v>
      </c>
      <c r="F70" s="978">
        <v>22</v>
      </c>
      <c r="G70" s="978">
        <v>60</v>
      </c>
      <c r="H70" s="978">
        <v>240</v>
      </c>
      <c r="I70" s="978">
        <v>3</v>
      </c>
      <c r="J70" s="978">
        <v>17</v>
      </c>
      <c r="K70" s="979">
        <v>9</v>
      </c>
      <c r="L70" s="636"/>
    </row>
    <row r="71" spans="3:12" ht="16.5">
      <c r="C71" s="1565" t="s">
        <v>1501</v>
      </c>
      <c r="D71" s="1565">
        <f ca="1">IFERROR('Financeiros Mitigação'!$D$7*Energia!C6/Energia!$C$5,0)</f>
        <v>0</v>
      </c>
      <c r="E71" s="985">
        <f t="shared" ca="1" si="0"/>
        <v>0</v>
      </c>
      <c r="F71" s="978">
        <v>22</v>
      </c>
      <c r="G71" s="978">
        <v>60</v>
      </c>
      <c r="H71" s="978">
        <v>240</v>
      </c>
      <c r="I71" s="978">
        <v>2</v>
      </c>
      <c r="J71" s="978">
        <v>11</v>
      </c>
      <c r="K71" s="979">
        <v>9</v>
      </c>
      <c r="L71" s="636"/>
    </row>
    <row r="72" spans="3:12" ht="16.5">
      <c r="C72" s="1565" t="s">
        <v>1502</v>
      </c>
      <c r="D72" s="1565">
        <f ca="1">IFERROR('Financeiros Mitigação'!$D$7*Energia!M16/Energia!$C$5,0)</f>
        <v>0</v>
      </c>
      <c r="E72" s="985">
        <f t="shared" ca="1" si="0"/>
        <v>0</v>
      </c>
      <c r="F72" s="978">
        <v>22</v>
      </c>
      <c r="G72" s="978">
        <v>60</v>
      </c>
      <c r="H72" s="978">
        <v>240</v>
      </c>
      <c r="I72" s="978">
        <v>2</v>
      </c>
      <c r="J72" s="978">
        <v>9</v>
      </c>
      <c r="K72" s="979">
        <v>9</v>
      </c>
      <c r="L72" s="636"/>
    </row>
    <row r="73" spans="3:12" ht="16.5">
      <c r="C73" s="1565" t="s">
        <v>1503</v>
      </c>
      <c r="D73" s="1565">
        <f ca="1">IFERROR('Financeiros Mitigação'!$D$7*Energia!M17/Energia!$C$5,0)</f>
        <v>0</v>
      </c>
      <c r="E73" s="985">
        <f t="shared" ca="1" si="0"/>
        <v>0</v>
      </c>
      <c r="F73" s="978">
        <v>22</v>
      </c>
      <c r="G73" s="978">
        <v>60</v>
      </c>
      <c r="H73" s="978">
        <v>240</v>
      </c>
      <c r="I73" s="978">
        <v>2</v>
      </c>
      <c r="J73" s="978">
        <v>8</v>
      </c>
      <c r="K73" s="979">
        <v>9</v>
      </c>
      <c r="L73" s="636"/>
    </row>
    <row r="74" spans="3:12" ht="16.5">
      <c r="C74" s="1565" t="s">
        <v>1504</v>
      </c>
      <c r="D74" s="1565">
        <f ca="1">IFERROR('Financeiros Mitigação'!$D$7*Energia!C11/Energia!$C$5,0)</f>
        <v>0</v>
      </c>
      <c r="E74" s="985">
        <f t="shared" ca="1" si="0"/>
        <v>0</v>
      </c>
      <c r="F74" s="978">
        <v>22</v>
      </c>
      <c r="G74" s="978">
        <v>60</v>
      </c>
      <c r="H74" s="978">
        <v>240</v>
      </c>
      <c r="I74" s="978">
        <v>2</v>
      </c>
      <c r="J74" s="978">
        <v>10</v>
      </c>
      <c r="K74" s="979">
        <v>9</v>
      </c>
      <c r="L74" s="636"/>
    </row>
    <row r="75" spans="3:12" ht="16.5">
      <c r="C75" s="1565" t="s">
        <v>1505</v>
      </c>
      <c r="D75" s="1565">
        <f ca="1">IFERROR('Financeiros Mitigação'!$D$7*Energia!C12/Energia!$C$5,0)</f>
        <v>0</v>
      </c>
      <c r="E75" s="985">
        <f t="shared" ca="1" si="0"/>
        <v>0</v>
      </c>
      <c r="F75" s="978">
        <v>22</v>
      </c>
      <c r="G75" s="978">
        <v>60</v>
      </c>
      <c r="H75" s="978">
        <v>240</v>
      </c>
      <c r="I75" s="978">
        <v>2</v>
      </c>
      <c r="J75" s="978">
        <v>24</v>
      </c>
      <c r="K75" s="979">
        <v>9</v>
      </c>
      <c r="L75" s="636"/>
    </row>
    <row r="76" spans="3:12" ht="16.5">
      <c r="C76" s="1565"/>
      <c r="D76" s="1565"/>
      <c r="E76" s="985"/>
      <c r="F76" s="978"/>
      <c r="G76" s="978"/>
      <c r="H76" s="978"/>
      <c r="I76" s="978"/>
      <c r="J76" s="978"/>
      <c r="K76" s="979"/>
      <c r="L76" s="636"/>
    </row>
    <row r="77" spans="3:12" ht="16.5">
      <c r="C77" s="1565"/>
      <c r="D77" s="1565"/>
      <c r="E77" s="985"/>
      <c r="F77" s="978"/>
      <c r="G77" s="978"/>
      <c r="H77" s="978"/>
      <c r="I77" s="978"/>
      <c r="J77" s="978"/>
      <c r="K77" s="979"/>
      <c r="L77" s="636"/>
    </row>
    <row r="78" spans="3:12" ht="16.5">
      <c r="C78" s="1565"/>
      <c r="D78" s="1565"/>
      <c r="E78" s="985"/>
      <c r="F78" s="978"/>
      <c r="G78" s="978"/>
      <c r="H78" s="978"/>
      <c r="I78" s="978"/>
      <c r="J78" s="978"/>
      <c r="K78" s="979"/>
      <c r="L78" s="636"/>
    </row>
    <row r="79" spans="3:12" ht="16.5">
      <c r="C79" s="1565"/>
      <c r="D79" s="1565"/>
      <c r="E79" s="985"/>
      <c r="F79" s="978"/>
      <c r="G79" s="978"/>
      <c r="H79" s="978"/>
      <c r="I79" s="978"/>
      <c r="J79" s="978"/>
      <c r="K79" s="979"/>
      <c r="L79" s="636"/>
    </row>
    <row r="80" spans="3:12" ht="16.5">
      <c r="C80" s="1565"/>
      <c r="D80" s="1565"/>
      <c r="E80" s="985"/>
      <c r="F80" s="979"/>
      <c r="G80" s="979"/>
      <c r="H80" s="979"/>
      <c r="I80" s="979"/>
      <c r="J80" s="979"/>
      <c r="K80" s="979"/>
      <c r="L80" s="636"/>
    </row>
    <row r="81" spans="3:12" ht="16.5">
      <c r="C81" s="1565"/>
      <c r="D81" s="1565"/>
      <c r="E81" s="985"/>
      <c r="F81" s="979"/>
      <c r="G81" s="979"/>
      <c r="H81" s="979"/>
      <c r="I81" s="979"/>
      <c r="J81" s="979"/>
      <c r="K81" s="979"/>
      <c r="L81" s="636"/>
    </row>
    <row r="82" spans="3:12" ht="16.5">
      <c r="C82" s="987" t="s">
        <v>1506</v>
      </c>
      <c r="D82" s="987">
        <f ca="1">IFERROR(CVE!$I$15,0)</f>
        <v>0</v>
      </c>
      <c r="E82" s="1375">
        <f t="shared" ref="E82" ca="1" si="3">IF(ISERROR(D82/$D$5),0,D82/$D$5)</f>
        <v>0</v>
      </c>
      <c r="F82" s="1376">
        <v>22</v>
      </c>
      <c r="G82" s="1376">
        <v>62</v>
      </c>
      <c r="H82" s="1376">
        <v>220</v>
      </c>
      <c r="I82" s="1376">
        <v>2</v>
      </c>
      <c r="J82" s="1376">
        <v>30</v>
      </c>
      <c r="K82" s="1376">
        <v>9</v>
      </c>
      <c r="L82" s="636"/>
    </row>
    <row r="83" spans="3:12" ht="16.5">
      <c r="C83" s="988"/>
    </row>
  </sheetData>
  <conditionalFormatting sqref="D27">
    <cfRule type="cellIs" dxfId="43" priority="1" operator="greaterThan">
      <formula>0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ignoredErrors>
    <ignoredError sqref="D46:D47 D9:E9 E24:E28 E14:E18 E12 E11 F12:F17 E23 D21:D24 D29:E30 D26 E32:E35 D35:D36 D10:D18 E21 E22" calculatedColumn="1"/>
  </ignoredErrors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E8FBB-354D-4B8C-9ADE-71835A5E8BAC}">
  <sheetPr codeName="Planilha8">
    <tabColor rgb="FFFFFF00"/>
  </sheetPr>
  <dimension ref="A2:E14"/>
  <sheetViews>
    <sheetView workbookViewId="0">
      <selection activeCell="E15" sqref="E15"/>
    </sheetView>
  </sheetViews>
  <sheetFormatPr defaultRowHeight="15.75"/>
  <cols>
    <col min="2" max="2" width="19.42578125" bestFit="1" customWidth="1"/>
    <col min="3" max="3" width="16.28515625" customWidth="1"/>
    <col min="4" max="4" width="25.5703125" customWidth="1"/>
    <col min="5" max="5" width="20.5703125" customWidth="1"/>
  </cols>
  <sheetData>
    <row r="2" spans="1:5">
      <c r="B2" s="492" t="s">
        <v>1507</v>
      </c>
    </row>
    <row r="4" spans="1:5">
      <c r="B4" t="s">
        <v>1508</v>
      </c>
    </row>
    <row r="7" spans="1:5">
      <c r="A7" s="1425"/>
      <c r="B7" s="1425" t="s">
        <v>1509</v>
      </c>
    </row>
    <row r="8" spans="1:5">
      <c r="A8" s="1425" t="s">
        <v>1088</v>
      </c>
      <c r="B8" s="1625"/>
    </row>
    <row r="9" spans="1:5">
      <c r="A9" s="1425" t="s">
        <v>1107</v>
      </c>
      <c r="B9" s="1625"/>
    </row>
    <row r="11" spans="1:5" ht="47.25">
      <c r="A11" s="1626"/>
      <c r="B11" s="1627" t="s">
        <v>1510</v>
      </c>
      <c r="C11" s="1628" t="s">
        <v>1511</v>
      </c>
      <c r="D11" s="1628" t="s">
        <v>1512</v>
      </c>
      <c r="E11" s="1628" t="s">
        <v>896</v>
      </c>
    </row>
    <row r="12" spans="1:5">
      <c r="A12" s="1424" t="s">
        <v>896</v>
      </c>
      <c r="B12" s="1403">
        <f>B13+B14</f>
        <v>0</v>
      </c>
      <c r="C12" s="1403">
        <f>Indexador!R49</f>
        <v>0</v>
      </c>
      <c r="D12" s="1403">
        <f>C12*85%</f>
        <v>0</v>
      </c>
      <c r="E12" s="1403">
        <f>SUM(B12:D12)</f>
        <v>0</v>
      </c>
    </row>
    <row r="13" spans="1:5">
      <c r="A13" s="1425" t="s">
        <v>1088</v>
      </c>
      <c r="B13" s="1403">
        <f>Indexador!V49</f>
        <v>0</v>
      </c>
      <c r="C13" s="1403">
        <f ca="1">IFERROR($C$12*(Resultado!D32/(Resultado!$D$32+Resultado!$D$33)),0)</f>
        <v>0</v>
      </c>
      <c r="D13" s="1403">
        <f t="shared" ref="D13:D14" ca="1" si="0">C13*85%</f>
        <v>0</v>
      </c>
      <c r="E13" s="1403">
        <f t="shared" ref="E13:E14" ca="1" si="1">SUM(B13:D13)</f>
        <v>0</v>
      </c>
    </row>
    <row r="14" spans="1:5">
      <c r="A14" s="1425" t="s">
        <v>1107</v>
      </c>
      <c r="B14" s="1403">
        <f>Indexador!T49</f>
        <v>0</v>
      </c>
      <c r="C14" s="1403">
        <f ca="1">IFERROR($C$12*(Resultado!D33/(Resultado!$D$32+Resultado!$D$33)),0)</f>
        <v>0</v>
      </c>
      <c r="D14" s="1403">
        <f t="shared" ca="1" si="0"/>
        <v>0</v>
      </c>
      <c r="E14" s="1403">
        <f t="shared" ca="1" si="1"/>
        <v>0</v>
      </c>
    </row>
  </sheetData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72C0-6F4B-40A1-A6CF-5095E99CF273}">
  <sheetPr codeName="Planilha7">
    <tabColor rgb="FFFFFF00"/>
  </sheetPr>
  <dimension ref="A1:O101"/>
  <sheetViews>
    <sheetView topLeftCell="B1" workbookViewId="0">
      <selection activeCell="D18" sqref="D18"/>
    </sheetView>
  </sheetViews>
  <sheetFormatPr defaultRowHeight="15.75"/>
  <cols>
    <col min="1" max="1" width="0" hidden="1" customWidth="1"/>
    <col min="2" max="2" width="49.28515625" bestFit="1" customWidth="1"/>
    <col min="3" max="3" width="28.42578125" customWidth="1"/>
    <col min="4" max="4" width="14.85546875" bestFit="1" customWidth="1"/>
    <col min="5" max="5" width="23.140625" customWidth="1"/>
    <col min="14" max="14" width="10.140625" customWidth="1"/>
    <col min="15" max="15" width="34.5703125" customWidth="1"/>
    <col min="16" max="16" width="9.140625" customWidth="1"/>
  </cols>
  <sheetData>
    <row r="1" spans="1:15">
      <c r="B1" s="1580" t="s">
        <v>1513</v>
      </c>
    </row>
    <row r="4" spans="1:15">
      <c r="B4" s="1629" t="s">
        <v>1514</v>
      </c>
      <c r="C4" s="1576" t="s">
        <v>1515</v>
      </c>
      <c r="D4" s="1630" t="s">
        <v>1516</v>
      </c>
      <c r="E4" s="1578"/>
      <c r="F4" s="1578"/>
      <c r="G4" s="1578"/>
      <c r="N4" t="s">
        <v>33</v>
      </c>
      <c r="O4" t="s">
        <v>1517</v>
      </c>
    </row>
    <row r="5" spans="1:15">
      <c r="A5" s="823" t="s">
        <v>39</v>
      </c>
      <c r="B5" s="890" t="s">
        <v>1518</v>
      </c>
      <c r="C5" s="1581">
        <f>IFERROR(VLOOKUP(A5,Escassez[#All],2,FALSE),0)</f>
        <v>0</v>
      </c>
      <c r="D5" s="1581"/>
      <c r="E5" s="1579" t="s">
        <v>2323</v>
      </c>
      <c r="F5" s="1577"/>
      <c r="G5" s="1572"/>
      <c r="N5" s="8">
        <v>44690</v>
      </c>
      <c r="O5" s="233">
        <f>C8</f>
        <v>0</v>
      </c>
    </row>
    <row r="6" spans="1:15">
      <c r="A6" s="1566" t="s">
        <v>41</v>
      </c>
      <c r="B6" s="890" t="s">
        <v>1519</v>
      </c>
      <c r="C6" s="1581">
        <f>IFERROR(VLOOKUP(A6,Escassez[#All],2,FALSE),0)</f>
        <v>0</v>
      </c>
      <c r="D6" s="1581"/>
      <c r="E6" s="1579"/>
      <c r="F6" s="1577"/>
      <c r="G6" s="1572"/>
      <c r="N6" s="8">
        <f>N5+1</f>
        <v>44691</v>
      </c>
      <c r="O6" s="233">
        <f>O5*VLOOKUP(N6,Índices!$K$6:$N$3249,4,FALSE)/VLOOKUP(N5,Índices!$K$6:$N$3249,4,FALSE)</f>
        <v>0</v>
      </c>
    </row>
    <row r="7" spans="1:15">
      <c r="A7" s="1566" t="s">
        <v>43</v>
      </c>
      <c r="B7" s="890" t="s">
        <v>149</v>
      </c>
      <c r="C7" s="1581">
        <f>IFERROR(VLOOKUP(A7,Escassez[#All],2,FALSE),0)</f>
        <v>0</v>
      </c>
      <c r="D7" s="1581"/>
      <c r="E7" s="1579"/>
      <c r="F7" s="1577"/>
      <c r="G7" s="1572"/>
      <c r="N7" s="8">
        <f t="shared" ref="N7:N70" si="0">N6+1</f>
        <v>44692</v>
      </c>
      <c r="O7" s="233">
        <f>O6*VLOOKUP(N7,Índices!$K$6:$N$3249,4,FALSE)/VLOOKUP(N6,Índices!$K$6:$N$3249,4,FALSE)</f>
        <v>0</v>
      </c>
    </row>
    <row r="8" spans="1:15">
      <c r="B8" s="1631"/>
      <c r="C8" s="1632">
        <f>SUM(C5:C7)</f>
        <v>0</v>
      </c>
      <c r="D8" s="1632">
        <f>SUM(D5:D7)</f>
        <v>0</v>
      </c>
      <c r="E8" s="890"/>
      <c r="F8" s="1573"/>
      <c r="G8" s="1573"/>
      <c r="N8" s="8">
        <f t="shared" si="0"/>
        <v>44693</v>
      </c>
      <c r="O8" s="233">
        <f>O7*VLOOKUP(N8,Índices!$K$6:$N$3249,4,FALSE)/VLOOKUP(N7,Índices!$K$6:$N$3249,4,FALSE)</f>
        <v>0</v>
      </c>
    </row>
    <row r="9" spans="1:15">
      <c r="N9" s="8">
        <f t="shared" si="0"/>
        <v>44694</v>
      </c>
      <c r="O9" s="233">
        <f>O8*VLOOKUP(N9,Índices!$K$6:$N$3249,4,FALSE)/VLOOKUP(N8,Índices!$K$6:$N$3249,4,FALSE)</f>
        <v>0</v>
      </c>
    </row>
    <row r="10" spans="1:15">
      <c r="B10" s="1633" t="s">
        <v>1520</v>
      </c>
      <c r="C10" s="1634"/>
      <c r="D10" s="1635">
        <f>(-214103.32)*Índices!F405/Índices!F404</f>
        <v>-216318.95200995237</v>
      </c>
      <c r="E10" s="1701" t="s">
        <v>2328</v>
      </c>
      <c r="F10" t="s">
        <v>2329</v>
      </c>
      <c r="L10" s="8">
        <f>N9+1</f>
        <v>44695</v>
      </c>
      <c r="M10" s="233"/>
      <c r="N10" s="8">
        <f t="shared" si="0"/>
        <v>44695</v>
      </c>
      <c r="O10" s="233">
        <f>O9*VLOOKUP(N10,Índices!$K$6:$N$3249,4,FALSE)/VLOOKUP(N9,Índices!$K$6:$N$3249,4,FALSE)</f>
        <v>0</v>
      </c>
    </row>
    <row r="11" spans="1:15">
      <c r="N11" s="8">
        <f>L10+1</f>
        <v>44696</v>
      </c>
      <c r="O11" s="233">
        <f>O10*VLOOKUP(N11,Índices!$K$6:$N$3249,4,FALSE)/VLOOKUP(N10,Índices!$K$6:$N$3249,4,FALSE)</f>
        <v>0</v>
      </c>
    </row>
    <row r="12" spans="1:15">
      <c r="B12" s="1633" t="s">
        <v>1477</v>
      </c>
      <c r="C12" s="1634"/>
      <c r="D12" s="1635"/>
      <c r="E12" s="1570"/>
      <c r="F12" s="1570"/>
      <c r="G12" s="1570"/>
      <c r="H12" s="1570"/>
      <c r="I12" s="1570"/>
      <c r="J12" s="1570"/>
      <c r="K12" s="1570"/>
      <c r="L12" s="1570"/>
      <c r="N12" s="8">
        <f t="shared" si="0"/>
        <v>44697</v>
      </c>
      <c r="O12" s="233">
        <f>O11*VLOOKUP(N12,Índices!$K$6:$N$3249,4,FALSE)/VLOOKUP(N11,Índices!$K$6:$N$3249,4,FALSE)</f>
        <v>0</v>
      </c>
    </row>
    <row r="13" spans="1:15">
      <c r="B13" s="1582"/>
      <c r="C13" s="1571"/>
      <c r="D13" s="1571"/>
      <c r="E13" s="1571"/>
      <c r="F13" s="1571"/>
      <c r="G13" s="1571"/>
      <c r="H13" s="1571"/>
      <c r="I13" s="1571"/>
      <c r="J13" s="1571"/>
      <c r="K13" s="1571"/>
      <c r="L13" s="1571"/>
      <c r="N13" s="8">
        <f t="shared" si="0"/>
        <v>44698</v>
      </c>
      <c r="O13" s="233">
        <f>O12*VLOOKUP(N13,Índices!$K$6:$N$3249,4,FALSE)/VLOOKUP(N12,Índices!$K$6:$N$3249,4,FALSE)</f>
        <v>0</v>
      </c>
    </row>
    <row r="14" spans="1:15">
      <c r="B14" s="1583"/>
      <c r="C14" s="1584"/>
      <c r="D14" s="1584"/>
      <c r="E14" s="1585"/>
      <c r="F14" s="1586"/>
      <c r="G14" s="1572"/>
      <c r="H14" s="1572"/>
      <c r="I14" s="1572"/>
      <c r="J14" s="1572"/>
      <c r="K14" s="1572"/>
      <c r="L14" s="1572"/>
      <c r="N14" s="8">
        <f t="shared" si="0"/>
        <v>44699</v>
      </c>
      <c r="O14" s="233">
        <f>O13*VLOOKUP(N14,Índices!$K$6:$N$3249,4,FALSE)/VLOOKUP(N13,Índices!$K$6:$N$3249,4,FALSE)</f>
        <v>0</v>
      </c>
    </row>
    <row r="15" spans="1:15">
      <c r="B15" s="1583"/>
      <c r="C15" s="1584"/>
      <c r="D15" s="1584"/>
      <c r="E15" s="1585"/>
      <c r="F15" s="1586"/>
      <c r="G15" s="1572"/>
      <c r="H15" s="1572"/>
      <c r="I15" s="1572"/>
      <c r="J15" s="1572"/>
      <c r="K15" s="1572"/>
      <c r="L15" s="1572"/>
      <c r="N15" s="8">
        <f t="shared" si="0"/>
        <v>44700</v>
      </c>
      <c r="O15" s="233">
        <f>O14*VLOOKUP(N15,Índices!$K$6:$N$3249,4,FALSE)/VLOOKUP(N14,Índices!$K$6:$N$3249,4,FALSE)</f>
        <v>0</v>
      </c>
    </row>
    <row r="16" spans="1:15">
      <c r="B16" s="1583"/>
      <c r="C16" s="1584"/>
      <c r="D16" s="1584"/>
      <c r="E16" s="1585"/>
      <c r="F16" s="1586"/>
      <c r="G16" s="1572"/>
      <c r="H16" s="1572"/>
      <c r="I16" s="1572"/>
      <c r="J16" s="1572"/>
      <c r="K16" s="1572"/>
      <c r="L16" s="1572"/>
      <c r="N16" s="8">
        <f t="shared" si="0"/>
        <v>44701</v>
      </c>
      <c r="O16" s="233">
        <f>O15*VLOOKUP(N16,Índices!$K$6:$N$3249,4,FALSE)/VLOOKUP(N15,Índices!$K$6:$N$3249,4,FALSE)</f>
        <v>0</v>
      </c>
    </row>
    <row r="17" spans="2:15">
      <c r="B17" s="1583"/>
      <c r="C17" s="1584"/>
      <c r="D17" s="1584"/>
      <c r="E17" s="1585"/>
      <c r="F17" s="1586"/>
      <c r="G17" s="1572"/>
      <c r="H17" s="1572"/>
      <c r="I17" s="1572"/>
      <c r="J17" s="1572"/>
      <c r="K17" s="1572"/>
      <c r="L17" s="1572"/>
      <c r="N17" s="8">
        <f t="shared" si="0"/>
        <v>44702</v>
      </c>
      <c r="O17" s="233">
        <f>O16*VLOOKUP(N17,Índices!$K$6:$N$3249,4,FALSE)/VLOOKUP(N16,Índices!$K$6:$N$3249,4,FALSE)</f>
        <v>0</v>
      </c>
    </row>
    <row r="18" spans="2:15">
      <c r="B18" s="1583"/>
      <c r="C18" s="1584"/>
      <c r="D18" s="1584"/>
      <c r="E18" s="1585"/>
      <c r="F18" s="1586"/>
      <c r="G18" s="1572"/>
      <c r="H18" s="1572"/>
      <c r="I18" s="1572"/>
      <c r="J18" s="1572"/>
      <c r="K18" s="1572"/>
      <c r="L18" s="1572"/>
      <c r="N18" s="8">
        <f t="shared" si="0"/>
        <v>44703</v>
      </c>
      <c r="O18" s="233">
        <f>O17*VLOOKUP(N18,Índices!$K$6:$N$3249,4,FALSE)/VLOOKUP(N17,Índices!$K$6:$N$3249,4,FALSE)</f>
        <v>0</v>
      </c>
    </row>
    <row r="19" spans="2:15">
      <c r="B19" s="1583"/>
      <c r="C19" s="1584"/>
      <c r="D19" s="1584"/>
      <c r="E19" s="1584"/>
      <c r="F19" s="1586"/>
      <c r="G19" s="1572"/>
      <c r="H19" s="1572"/>
      <c r="I19" s="1572"/>
      <c r="J19" s="1572"/>
      <c r="K19" s="1572"/>
      <c r="L19" s="1572"/>
      <c r="N19" s="8">
        <f t="shared" si="0"/>
        <v>44704</v>
      </c>
      <c r="O19" s="233">
        <f>O18*VLOOKUP(N19,Índices!$K$6:$N$3249,4,FALSE)/VLOOKUP(N18,Índices!$K$6:$N$3249,4,FALSE)</f>
        <v>0</v>
      </c>
    </row>
    <row r="20" spans="2:15">
      <c r="B20" s="1583"/>
      <c r="C20" s="1584"/>
      <c r="D20" s="1584"/>
      <c r="E20" s="1584"/>
      <c r="F20" s="1586"/>
      <c r="G20" s="1572"/>
      <c r="H20" s="1572"/>
      <c r="I20" s="1572"/>
      <c r="J20" s="1572"/>
      <c r="K20" s="1572"/>
      <c r="L20" s="1572"/>
      <c r="N20" s="8">
        <f t="shared" si="0"/>
        <v>44705</v>
      </c>
      <c r="O20" s="233">
        <f>O19*VLOOKUP(N20,Índices!$K$6:$N$3249,4,FALSE)/VLOOKUP(N19,Índices!$K$6:$N$3249,4,FALSE)</f>
        <v>0</v>
      </c>
    </row>
    <row r="21" spans="2:15">
      <c r="B21" s="1583"/>
      <c r="C21" s="1584"/>
      <c r="D21" s="1584"/>
      <c r="E21" s="1584"/>
      <c r="F21" s="1586"/>
      <c r="G21" s="1572"/>
      <c r="H21" s="1572"/>
      <c r="I21" s="1572"/>
      <c r="J21" s="1572"/>
      <c r="K21" s="1572"/>
      <c r="L21" s="1572"/>
      <c r="N21" s="8">
        <f t="shared" si="0"/>
        <v>44706</v>
      </c>
      <c r="O21" s="233">
        <f>O20*VLOOKUP(N21,Índices!$K$6:$N$3249,4,FALSE)/VLOOKUP(N20,Índices!$K$6:$N$3249,4,FALSE)</f>
        <v>0</v>
      </c>
    </row>
    <row r="22" spans="2:15">
      <c r="B22" s="1583"/>
      <c r="C22" s="1584"/>
      <c r="D22" s="1584"/>
      <c r="E22" s="1584"/>
      <c r="F22" s="1586"/>
      <c r="G22" s="1572"/>
      <c r="H22" s="1572"/>
      <c r="I22" s="1572"/>
      <c r="J22" s="1572"/>
      <c r="K22" s="1572"/>
      <c r="L22" s="1572"/>
      <c r="N22" s="8">
        <f t="shared" si="0"/>
        <v>44707</v>
      </c>
      <c r="O22" s="233">
        <f>O21*VLOOKUP(N22,Índices!$K$6:$N$3249,4,FALSE)/VLOOKUP(N21,Índices!$K$6:$N$3249,4,FALSE)</f>
        <v>0</v>
      </c>
    </row>
    <row r="23" spans="2:15">
      <c r="B23" s="1583"/>
      <c r="C23" s="1584"/>
      <c r="D23" s="1584"/>
      <c r="E23" s="1584"/>
      <c r="F23" s="1586"/>
      <c r="G23" s="1572"/>
      <c r="H23" s="1572"/>
      <c r="I23" s="1572"/>
      <c r="J23" s="1572"/>
      <c r="K23" s="1572"/>
      <c r="L23" s="1572"/>
      <c r="N23" s="8">
        <f t="shared" si="0"/>
        <v>44708</v>
      </c>
      <c r="O23" s="233">
        <f>O22*VLOOKUP(N23,Índices!$K$6:$N$3249,4,FALSE)/VLOOKUP(N22,Índices!$K$6:$N$3249,4,FALSE)</f>
        <v>0</v>
      </c>
    </row>
    <row r="24" spans="2:15">
      <c r="B24" s="1583"/>
      <c r="C24" s="1584"/>
      <c r="D24" s="1584"/>
      <c r="E24" s="1584"/>
      <c r="F24" s="1586"/>
      <c r="G24" s="1572"/>
      <c r="H24" s="1572"/>
      <c r="I24" s="1572"/>
      <c r="J24" s="1572"/>
      <c r="K24" s="1572"/>
      <c r="L24" s="1572"/>
      <c r="N24" s="8">
        <f t="shared" si="0"/>
        <v>44709</v>
      </c>
      <c r="O24" s="233">
        <f>O23*VLOOKUP(N24,Índices!$K$6:$N$3249,4,FALSE)/VLOOKUP(N23,Índices!$K$6:$N$3249,4,FALSE)</f>
        <v>0</v>
      </c>
    </row>
    <row r="25" spans="2:15">
      <c r="B25" s="1587"/>
      <c r="C25" s="1584"/>
      <c r="D25" s="1584"/>
      <c r="E25" s="1588"/>
      <c r="F25" s="1586"/>
      <c r="G25" s="1572"/>
      <c r="H25" s="1572"/>
      <c r="I25" s="1572"/>
      <c r="J25" s="1572"/>
      <c r="K25" s="1572"/>
      <c r="L25" s="1572"/>
      <c r="N25" s="8">
        <f t="shared" si="0"/>
        <v>44710</v>
      </c>
      <c r="O25" s="233">
        <f>O24*VLOOKUP(N25,Índices!$K$6:$N$3249,4,FALSE)/VLOOKUP(N24,Índices!$K$6:$N$3249,4,FALSE)</f>
        <v>0</v>
      </c>
    </row>
    <row r="26" spans="2:15">
      <c r="B26" s="1589"/>
      <c r="C26" s="890"/>
      <c r="D26" s="890"/>
      <c r="E26" s="890"/>
      <c r="F26" s="1573"/>
      <c r="G26" s="1573"/>
      <c r="H26" s="1573"/>
      <c r="I26" s="1573"/>
      <c r="J26" s="1573"/>
      <c r="K26" s="1573"/>
      <c r="L26" s="1573"/>
      <c r="N26" s="8">
        <f t="shared" si="0"/>
        <v>44711</v>
      </c>
      <c r="O26" s="233">
        <f>O25*VLOOKUP(N26,Índices!$K$6:$N$3249,4,FALSE)/VLOOKUP(N25,Índices!$K$6:$N$3249,4,FALSE)</f>
        <v>0</v>
      </c>
    </row>
    <row r="27" spans="2:15">
      <c r="N27" s="8">
        <f t="shared" si="0"/>
        <v>44712</v>
      </c>
      <c r="O27" s="233">
        <f>O26*VLOOKUP(N27,Índices!$K$6:$N$3249,4,FALSE)/VLOOKUP(N26,Índices!$K$6:$N$3249,4,FALSE)</f>
        <v>0</v>
      </c>
    </row>
    <row r="28" spans="2:15">
      <c r="N28" s="8">
        <f t="shared" si="0"/>
        <v>44713</v>
      </c>
      <c r="O28" s="233">
        <f>O27*VLOOKUP(N28,Índices!$K$6:$N$3249,4,FALSE)/VLOOKUP(N27,Índices!$K$6:$N$3249,4,FALSE)</f>
        <v>0</v>
      </c>
    </row>
    <row r="29" spans="2:15">
      <c r="N29" s="8">
        <f t="shared" si="0"/>
        <v>44714</v>
      </c>
      <c r="O29" s="233">
        <f>O28*VLOOKUP(N29,Índices!$K$6:$N$3249,4,FALSE)/VLOOKUP(N28,Índices!$K$6:$N$3249,4,FALSE)</f>
        <v>0</v>
      </c>
    </row>
    <row r="30" spans="2:15">
      <c r="N30" s="8">
        <f t="shared" si="0"/>
        <v>44715</v>
      </c>
      <c r="O30" s="233">
        <f>O29*VLOOKUP(N30,Índices!$K$6:$N$3249,4,FALSE)/VLOOKUP(N29,Índices!$K$6:$N$3249,4,FALSE)</f>
        <v>0</v>
      </c>
    </row>
    <row r="31" spans="2:15">
      <c r="N31" s="8">
        <f t="shared" si="0"/>
        <v>44716</v>
      </c>
      <c r="O31" s="233">
        <f>O30*VLOOKUP(N31,Índices!$K$6:$N$3249,4,FALSE)/VLOOKUP(N30,Índices!$K$6:$N$3249,4,FALSE)</f>
        <v>0</v>
      </c>
    </row>
    <row r="32" spans="2:15">
      <c r="N32" s="8">
        <f t="shared" si="0"/>
        <v>44717</v>
      </c>
      <c r="O32" s="233">
        <f>O31*VLOOKUP(N32,Índices!$K$6:$N$3249,4,FALSE)/VLOOKUP(N31,Índices!$K$6:$N$3249,4,FALSE)</f>
        <v>0</v>
      </c>
    </row>
    <row r="33" spans="14:15">
      <c r="N33" s="8">
        <f t="shared" si="0"/>
        <v>44718</v>
      </c>
      <c r="O33" s="233">
        <f>O32*VLOOKUP(N33,Índices!$K$6:$N$3249,4,FALSE)/VLOOKUP(N32,Índices!$K$6:$N$3249,4,FALSE)</f>
        <v>0</v>
      </c>
    </row>
    <row r="34" spans="14:15">
      <c r="N34" s="8">
        <f t="shared" si="0"/>
        <v>44719</v>
      </c>
      <c r="O34" s="233">
        <f>O33*VLOOKUP(N34,Índices!$K$6:$N$3249,4,FALSE)/VLOOKUP(N33,Índices!$K$6:$N$3249,4,FALSE)</f>
        <v>0</v>
      </c>
    </row>
    <row r="35" spans="14:15">
      <c r="N35" s="8">
        <f t="shared" si="0"/>
        <v>44720</v>
      </c>
      <c r="O35" s="233">
        <f>O34*VLOOKUP(N35,Índices!$K$6:$N$3249,4,FALSE)/VLOOKUP(N34,Índices!$K$6:$N$3249,4,FALSE)</f>
        <v>0</v>
      </c>
    </row>
    <row r="36" spans="14:15">
      <c r="N36" s="8">
        <f t="shared" si="0"/>
        <v>44721</v>
      </c>
      <c r="O36" s="233">
        <f>O35*VLOOKUP(N36,Índices!$K$6:$N$3249,4,FALSE)/VLOOKUP(N35,Índices!$K$6:$N$3249,4,FALSE)</f>
        <v>0</v>
      </c>
    </row>
    <row r="37" spans="14:15">
      <c r="N37" s="8">
        <f t="shared" si="0"/>
        <v>44722</v>
      </c>
      <c r="O37" s="233">
        <f>O36*VLOOKUP(N37,Índices!$K$6:$N$3249,4,FALSE)/VLOOKUP(N36,Índices!$K$6:$N$3249,4,FALSE)</f>
        <v>0</v>
      </c>
    </row>
    <row r="38" spans="14:15">
      <c r="N38" s="8">
        <f t="shared" si="0"/>
        <v>44723</v>
      </c>
      <c r="O38" s="233">
        <f>O37*VLOOKUP(N38,Índices!$K$6:$N$3249,4,FALSE)/VLOOKUP(N37,Índices!$K$6:$N$3249,4,FALSE)</f>
        <v>0</v>
      </c>
    </row>
    <row r="39" spans="14:15">
      <c r="N39" s="8">
        <f t="shared" si="0"/>
        <v>44724</v>
      </c>
      <c r="O39" s="233">
        <f>O38*VLOOKUP(N39,Índices!$K$6:$N$3249,4,FALSE)/VLOOKUP(N38,Índices!$K$6:$N$3249,4,FALSE)</f>
        <v>0</v>
      </c>
    </row>
    <row r="40" spans="14:15">
      <c r="N40" s="8">
        <f t="shared" si="0"/>
        <v>44725</v>
      </c>
      <c r="O40" s="233">
        <f>O39*VLOOKUP(N40,Índices!$K$6:$N$3249,4,FALSE)/VLOOKUP(N39,Índices!$K$6:$N$3249,4,FALSE)</f>
        <v>0</v>
      </c>
    </row>
    <row r="41" spans="14:15">
      <c r="N41" s="8">
        <f t="shared" si="0"/>
        <v>44726</v>
      </c>
      <c r="O41" s="233">
        <f>O40*VLOOKUP(N41,Índices!$K$6:$N$3249,4,FALSE)/VLOOKUP(N40,Índices!$K$6:$N$3249,4,FALSE)</f>
        <v>0</v>
      </c>
    </row>
    <row r="42" spans="14:15">
      <c r="N42" s="8">
        <f t="shared" si="0"/>
        <v>44727</v>
      </c>
      <c r="O42" s="233">
        <f>O41*VLOOKUP(N42,Índices!$K$6:$N$3249,4,FALSE)/VLOOKUP(N41,Índices!$K$6:$N$3249,4,FALSE)</f>
        <v>0</v>
      </c>
    </row>
    <row r="43" spans="14:15">
      <c r="N43" s="8">
        <f t="shared" si="0"/>
        <v>44728</v>
      </c>
      <c r="O43" s="233">
        <f>O42*VLOOKUP(N43,Índices!$K$6:$N$3249,4,FALSE)/VLOOKUP(N42,Índices!$K$6:$N$3249,4,FALSE)</f>
        <v>0</v>
      </c>
    </row>
    <row r="44" spans="14:15">
      <c r="N44" s="8">
        <f t="shared" si="0"/>
        <v>44729</v>
      </c>
      <c r="O44" s="233">
        <f>O43*VLOOKUP(N44,Índices!$K$6:$N$3249,4,FALSE)/VLOOKUP(N43,Índices!$K$6:$N$3249,4,FALSE)</f>
        <v>0</v>
      </c>
    </row>
    <row r="45" spans="14:15">
      <c r="N45" s="8">
        <f t="shared" si="0"/>
        <v>44730</v>
      </c>
      <c r="O45" s="233">
        <f>O44*VLOOKUP(N45,Índices!$K$6:$N$3249,4,FALSE)/VLOOKUP(N44,Índices!$K$6:$N$3249,4,FALSE)</f>
        <v>0</v>
      </c>
    </row>
    <row r="46" spans="14:15">
      <c r="N46" s="8">
        <f t="shared" si="0"/>
        <v>44731</v>
      </c>
      <c r="O46" s="233">
        <f>O45*VLOOKUP(N46,Índices!$K$6:$N$3249,4,FALSE)/VLOOKUP(N45,Índices!$K$6:$N$3249,4,FALSE)</f>
        <v>0</v>
      </c>
    </row>
    <row r="47" spans="14:15">
      <c r="N47" s="8">
        <f t="shared" si="0"/>
        <v>44732</v>
      </c>
      <c r="O47" s="233">
        <f>O46*VLOOKUP(N47,Índices!$K$6:$N$3249,4,FALSE)/VLOOKUP(N46,Índices!$K$6:$N$3249,4,FALSE)</f>
        <v>0</v>
      </c>
    </row>
    <row r="48" spans="14:15">
      <c r="N48" s="8">
        <f t="shared" si="0"/>
        <v>44733</v>
      </c>
      <c r="O48" s="233">
        <f>O47*VLOOKUP(N48,Índices!$K$6:$N$3249,4,FALSE)/VLOOKUP(N47,Índices!$K$6:$N$3249,4,FALSE)</f>
        <v>0</v>
      </c>
    </row>
    <row r="49" spans="14:15">
      <c r="N49" s="8">
        <f t="shared" si="0"/>
        <v>44734</v>
      </c>
      <c r="O49" s="233">
        <f>O48*VLOOKUP(N49,Índices!$K$6:$N$3249,4,FALSE)/VLOOKUP(N48,Índices!$K$6:$N$3249,4,FALSE)</f>
        <v>0</v>
      </c>
    </row>
    <row r="50" spans="14:15">
      <c r="N50" s="8">
        <f t="shared" si="0"/>
        <v>44735</v>
      </c>
      <c r="O50" s="233">
        <f>O49*VLOOKUP(N50,Índices!$K$6:$N$3249,4,FALSE)/VLOOKUP(N49,Índices!$K$6:$N$3249,4,FALSE)</f>
        <v>0</v>
      </c>
    </row>
    <row r="51" spans="14:15">
      <c r="N51" s="8">
        <f t="shared" si="0"/>
        <v>44736</v>
      </c>
      <c r="O51" s="233">
        <f>O50*VLOOKUP(N51,Índices!$K$6:$N$3249,4,FALSE)/VLOOKUP(N50,Índices!$K$6:$N$3249,4,FALSE)</f>
        <v>0</v>
      </c>
    </row>
    <row r="52" spans="14:15">
      <c r="N52" s="8">
        <f t="shared" si="0"/>
        <v>44737</v>
      </c>
      <c r="O52" s="233">
        <f>O51*VLOOKUP(N52,Índices!$K$6:$N$3249,4,FALSE)/VLOOKUP(N51,Índices!$K$6:$N$3249,4,FALSE)</f>
        <v>0</v>
      </c>
    </row>
    <row r="53" spans="14:15">
      <c r="N53" s="8">
        <f t="shared" si="0"/>
        <v>44738</v>
      </c>
      <c r="O53" s="233">
        <f>O52*VLOOKUP(N53,Índices!$K$6:$N$3249,4,FALSE)/VLOOKUP(N52,Índices!$K$6:$N$3249,4,FALSE)</f>
        <v>0</v>
      </c>
    </row>
    <row r="54" spans="14:15">
      <c r="N54" s="8">
        <f t="shared" si="0"/>
        <v>44739</v>
      </c>
      <c r="O54" s="233">
        <f>O53*VLOOKUP(N54,Índices!$K$6:$N$3249,4,FALSE)/VLOOKUP(N53,Índices!$K$6:$N$3249,4,FALSE)</f>
        <v>0</v>
      </c>
    </row>
    <row r="55" spans="14:15">
      <c r="N55" s="8">
        <f t="shared" si="0"/>
        <v>44740</v>
      </c>
      <c r="O55" s="233">
        <f>O54*VLOOKUP(N55,Índices!$K$6:$N$3249,4,FALSE)/VLOOKUP(N54,Índices!$K$6:$N$3249,4,FALSE)</f>
        <v>0</v>
      </c>
    </row>
    <row r="56" spans="14:15">
      <c r="N56" s="8">
        <f t="shared" si="0"/>
        <v>44741</v>
      </c>
      <c r="O56" s="233">
        <f>O55*VLOOKUP(N56,Índices!$K$6:$N$3249,4,FALSE)/VLOOKUP(N55,Índices!$K$6:$N$3249,4,FALSE)</f>
        <v>0</v>
      </c>
    </row>
    <row r="57" spans="14:15">
      <c r="N57" s="8">
        <f t="shared" si="0"/>
        <v>44742</v>
      </c>
      <c r="O57" s="233">
        <f>O56*VLOOKUP(N57,Índices!$K$6:$N$3249,4,FALSE)/VLOOKUP(N56,Índices!$K$6:$N$3249,4,FALSE)</f>
        <v>0</v>
      </c>
    </row>
    <row r="58" spans="14:15">
      <c r="N58" s="8">
        <f t="shared" si="0"/>
        <v>44743</v>
      </c>
      <c r="O58" s="233">
        <f>O57*VLOOKUP(N58,Índices!$K$6:$N$3249,4,FALSE)/VLOOKUP(N57,Índices!$K$6:$N$3249,4,FALSE)</f>
        <v>0</v>
      </c>
    </row>
    <row r="59" spans="14:15">
      <c r="N59" s="8">
        <f t="shared" si="0"/>
        <v>44744</v>
      </c>
      <c r="O59" s="233">
        <f>O58*VLOOKUP(N59,Índices!$K$6:$N$3249,4,FALSE)/VLOOKUP(N58,Índices!$K$6:$N$3249,4,FALSE)</f>
        <v>0</v>
      </c>
    </row>
    <row r="60" spans="14:15">
      <c r="N60" s="8">
        <f t="shared" si="0"/>
        <v>44745</v>
      </c>
      <c r="O60" s="233">
        <f>O59*VLOOKUP(N60,Índices!$K$6:$N$3249,4,FALSE)/VLOOKUP(N59,Índices!$K$6:$N$3249,4,FALSE)</f>
        <v>0</v>
      </c>
    </row>
    <row r="61" spans="14:15">
      <c r="N61" s="8">
        <f t="shared" si="0"/>
        <v>44746</v>
      </c>
      <c r="O61" s="233">
        <f>O60*VLOOKUP(N61,Índices!$K$6:$N$3249,4,FALSE)/VLOOKUP(N60,Índices!$K$6:$N$3249,4,FALSE)</f>
        <v>0</v>
      </c>
    </row>
    <row r="62" spans="14:15">
      <c r="N62" s="8">
        <f t="shared" si="0"/>
        <v>44747</v>
      </c>
      <c r="O62" s="233">
        <f>O61*VLOOKUP(N62,Índices!$K$6:$N$3249,4,FALSE)/VLOOKUP(N61,Índices!$K$6:$N$3249,4,FALSE)</f>
        <v>0</v>
      </c>
    </row>
    <row r="63" spans="14:15">
      <c r="N63" s="8">
        <f t="shared" si="0"/>
        <v>44748</v>
      </c>
      <c r="O63" s="233">
        <f>O62*VLOOKUP(N63,Índices!$K$6:$N$3249,4,FALSE)/VLOOKUP(N62,Índices!$K$6:$N$3249,4,FALSE)</f>
        <v>0</v>
      </c>
    </row>
    <row r="64" spans="14:15">
      <c r="N64" s="8">
        <f t="shared" si="0"/>
        <v>44749</v>
      </c>
      <c r="O64" s="233">
        <f>O63*VLOOKUP(N64,Índices!$K$6:$N$3249,4,FALSE)/VLOOKUP(N63,Índices!$K$6:$N$3249,4,FALSE)</f>
        <v>0</v>
      </c>
    </row>
    <row r="65" spans="14:15">
      <c r="N65" s="8">
        <f t="shared" si="0"/>
        <v>44750</v>
      </c>
      <c r="O65" s="233">
        <f>O64*VLOOKUP(N65,Índices!$K$6:$N$3249,4,FALSE)/VLOOKUP(N64,Índices!$K$6:$N$3249,4,FALSE)</f>
        <v>0</v>
      </c>
    </row>
    <row r="66" spans="14:15">
      <c r="N66" s="8">
        <f t="shared" si="0"/>
        <v>44751</v>
      </c>
      <c r="O66" s="233">
        <f>O65*VLOOKUP(N66,Índices!$K$6:$N$3249,4,FALSE)/VLOOKUP(N65,Índices!$K$6:$N$3249,4,FALSE)</f>
        <v>0</v>
      </c>
    </row>
    <row r="67" spans="14:15">
      <c r="N67" s="8">
        <f t="shared" si="0"/>
        <v>44752</v>
      </c>
      <c r="O67" s="233">
        <f>O66*VLOOKUP(N67,Índices!$K$6:$N$3249,4,FALSE)/VLOOKUP(N66,Índices!$K$6:$N$3249,4,FALSE)</f>
        <v>0</v>
      </c>
    </row>
    <row r="68" spans="14:15">
      <c r="N68" s="8">
        <f t="shared" si="0"/>
        <v>44753</v>
      </c>
      <c r="O68" s="233">
        <f>O67*VLOOKUP(N68,Índices!$K$6:$N$3249,4,FALSE)/VLOOKUP(N67,Índices!$K$6:$N$3249,4,FALSE)</f>
        <v>0</v>
      </c>
    </row>
    <row r="69" spans="14:15">
      <c r="N69" s="8">
        <f t="shared" si="0"/>
        <v>44754</v>
      </c>
      <c r="O69" s="233">
        <f>O68*VLOOKUP(N69,Índices!$K$6:$N$3249,4,FALSE)/VLOOKUP(N68,Índices!$K$6:$N$3249,4,FALSE)</f>
        <v>0</v>
      </c>
    </row>
    <row r="70" spans="14:15">
      <c r="N70" s="8">
        <f t="shared" si="0"/>
        <v>44755</v>
      </c>
      <c r="O70" s="233">
        <f>O69*VLOOKUP(N70,Índices!$K$6:$N$3249,4,FALSE)/VLOOKUP(N69,Índices!$K$6:$N$3249,4,FALSE)</f>
        <v>0</v>
      </c>
    </row>
    <row r="71" spans="14:15">
      <c r="N71" s="8">
        <f t="shared" ref="N71:N87" si="1">N70+1</f>
        <v>44756</v>
      </c>
      <c r="O71" s="233">
        <f>O70*VLOOKUP(N71,Índices!$K$6:$N$3249,4,FALSE)/VLOOKUP(N70,Índices!$K$6:$N$3249,4,FALSE)</f>
        <v>0</v>
      </c>
    </row>
    <row r="72" spans="14:15">
      <c r="N72" s="8">
        <f t="shared" si="1"/>
        <v>44757</v>
      </c>
      <c r="O72" s="233">
        <f>O71*VLOOKUP(N72,Índices!$K$6:$N$3249,4,FALSE)/VLOOKUP(N71,Índices!$K$6:$N$3249,4,FALSE)</f>
        <v>0</v>
      </c>
    </row>
    <row r="73" spans="14:15">
      <c r="N73" s="8">
        <f t="shared" si="1"/>
        <v>44758</v>
      </c>
      <c r="O73" s="233">
        <f>O72*VLOOKUP(N73,Índices!$K$6:$N$3249,4,FALSE)/VLOOKUP(N72,Índices!$K$6:$N$3249,4,FALSE)</f>
        <v>0</v>
      </c>
    </row>
    <row r="74" spans="14:15">
      <c r="N74" s="8">
        <f t="shared" si="1"/>
        <v>44759</v>
      </c>
      <c r="O74" s="233">
        <f>O73*VLOOKUP(N74,Índices!$K$6:$N$3249,4,FALSE)/VLOOKUP(N73,Índices!$K$6:$N$3249,4,FALSE)</f>
        <v>0</v>
      </c>
    </row>
    <row r="75" spans="14:15">
      <c r="N75" s="8">
        <f t="shared" si="1"/>
        <v>44760</v>
      </c>
      <c r="O75" s="233">
        <f>O74*VLOOKUP(N75,Índices!$K$6:$N$3249,4,FALSE)/VLOOKUP(N74,Índices!$K$6:$N$3249,4,FALSE)</f>
        <v>0</v>
      </c>
    </row>
    <row r="76" spans="14:15">
      <c r="N76" s="8">
        <f t="shared" si="1"/>
        <v>44761</v>
      </c>
      <c r="O76" s="233">
        <f>O75*VLOOKUP(N76,Índices!$K$6:$N$3249,4,FALSE)/VLOOKUP(N75,Índices!$K$6:$N$3249,4,FALSE)</f>
        <v>0</v>
      </c>
    </row>
    <row r="77" spans="14:15">
      <c r="N77" s="8">
        <f t="shared" si="1"/>
        <v>44762</v>
      </c>
      <c r="O77" s="233">
        <f>O76*VLOOKUP(N77,Índices!$K$6:$N$3249,4,FALSE)/VLOOKUP(N76,Índices!$K$6:$N$3249,4,FALSE)</f>
        <v>0</v>
      </c>
    </row>
    <row r="78" spans="14:15">
      <c r="N78" s="8">
        <f t="shared" si="1"/>
        <v>44763</v>
      </c>
      <c r="O78" s="233">
        <f>O77*VLOOKUP(N78,Índices!$K$6:$N$3249,4,FALSE)/VLOOKUP(N77,Índices!$K$6:$N$3249,4,FALSE)</f>
        <v>0</v>
      </c>
    </row>
    <row r="79" spans="14:15">
      <c r="N79" s="8">
        <f t="shared" si="1"/>
        <v>44764</v>
      </c>
      <c r="O79" s="233">
        <f>O78*VLOOKUP(N79,Índices!$K$6:$N$3249,4,FALSE)/VLOOKUP(N78,Índices!$K$6:$N$3249,4,FALSE)</f>
        <v>0</v>
      </c>
    </row>
    <row r="80" spans="14:15">
      <c r="N80" s="8">
        <f t="shared" si="1"/>
        <v>44765</v>
      </c>
      <c r="O80" s="233">
        <f>O79*VLOOKUP(N80,Índices!$K$6:$N$3249,4,FALSE)/VLOOKUP(N79,Índices!$K$6:$N$3249,4,FALSE)</f>
        <v>0</v>
      </c>
    </row>
    <row r="81" spans="14:15">
      <c r="N81" s="8">
        <f t="shared" si="1"/>
        <v>44766</v>
      </c>
      <c r="O81" s="233">
        <f>O80*VLOOKUP(N81,Índices!$K$6:$N$3249,4,FALSE)/VLOOKUP(N80,Índices!$K$6:$N$3249,4,FALSE)</f>
        <v>0</v>
      </c>
    </row>
    <row r="82" spans="14:15">
      <c r="N82" s="8">
        <f t="shared" si="1"/>
        <v>44767</v>
      </c>
      <c r="O82" s="233">
        <f>O81*VLOOKUP(N82,Índices!$K$6:$N$3249,4,FALSE)/VLOOKUP(N81,Índices!$K$6:$N$3249,4,FALSE)</f>
        <v>0</v>
      </c>
    </row>
    <row r="83" spans="14:15">
      <c r="N83" s="8">
        <f t="shared" si="1"/>
        <v>44768</v>
      </c>
      <c r="O83" s="233">
        <f>O82*VLOOKUP(N83,Índices!$K$6:$N$3249,4,FALSE)/VLOOKUP(N82,Índices!$K$6:$N$3249,4,FALSE)</f>
        <v>0</v>
      </c>
    </row>
    <row r="84" spans="14:15">
      <c r="N84" s="8">
        <f t="shared" si="1"/>
        <v>44769</v>
      </c>
      <c r="O84" s="233">
        <f>O83*VLOOKUP(N84,Índices!$K$6:$N$3249,4,FALSE)/VLOOKUP(N83,Índices!$K$6:$N$3249,4,FALSE)</f>
        <v>0</v>
      </c>
    </row>
    <row r="85" spans="14:15">
      <c r="N85" s="8">
        <f t="shared" si="1"/>
        <v>44770</v>
      </c>
      <c r="O85" s="233">
        <f>O84*VLOOKUP(N85,Índices!$K$6:$N$3249,4,FALSE)/VLOOKUP(N84,Índices!$K$6:$N$3249,4,FALSE)</f>
        <v>0</v>
      </c>
    </row>
    <row r="86" spans="14:15">
      <c r="N86" s="8">
        <f t="shared" si="1"/>
        <v>44771</v>
      </c>
      <c r="O86" s="233">
        <f>O85*VLOOKUP(N86,Índices!$K$6:$N$3249,4,FALSE)/VLOOKUP(N85,Índices!$K$6:$N$3249,4,FALSE)</f>
        <v>0</v>
      </c>
    </row>
    <row r="87" spans="14:15">
      <c r="N87" s="8">
        <f t="shared" si="1"/>
        <v>44772</v>
      </c>
      <c r="O87" s="233">
        <f>O86*VLOOKUP(N87,Índices!$K$6:$N$3249,4,FALSE)/VLOOKUP(N86,Índices!$K$6:$N$3249,4,FALSE)</f>
        <v>0</v>
      </c>
    </row>
    <row r="88" spans="14:15">
      <c r="N88" s="8"/>
    </row>
    <row r="90" spans="14:15">
      <c r="N90" s="8"/>
    </row>
    <row r="91" spans="14:15">
      <c r="N91" s="8"/>
    </row>
    <row r="92" spans="14:15">
      <c r="N92" s="8"/>
    </row>
    <row r="101" spans="15:15">
      <c r="O101" s="8"/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77B00-4AB1-4E16-B02C-A9C7A43D1278}">
  <sheetPr codeName="Plan30">
    <tabColor rgb="FFFFFF00"/>
  </sheetPr>
  <dimension ref="A1:AB82"/>
  <sheetViews>
    <sheetView showGridLines="0" topLeftCell="A5" zoomScale="85" zoomScaleNormal="85" workbookViewId="0">
      <selection activeCell="I14" sqref="I14"/>
    </sheetView>
  </sheetViews>
  <sheetFormatPr defaultColWidth="9.140625" defaultRowHeight="15" customHeight="1"/>
  <cols>
    <col min="1" max="1" width="4.42578125" style="899" customWidth="1"/>
    <col min="2" max="2" width="27.28515625" style="899" customWidth="1"/>
    <col min="3" max="5" width="17.7109375" style="900" customWidth="1"/>
    <col min="6" max="7" width="17.7109375" style="899" customWidth="1"/>
    <col min="8" max="8" width="46.42578125" style="899" customWidth="1"/>
    <col min="9" max="9" width="14.7109375" style="899" customWidth="1"/>
    <col min="10" max="13" width="12.7109375" style="899" customWidth="1"/>
    <col min="14" max="17" width="9.140625" style="899"/>
    <col min="18" max="18" width="17" style="899" customWidth="1"/>
    <col min="19" max="19" width="14.28515625" style="899" customWidth="1"/>
    <col min="20" max="20" width="15.42578125" style="899" customWidth="1"/>
    <col min="21" max="21" width="13.85546875" style="899" customWidth="1"/>
    <col min="22" max="22" width="17.140625" style="899" customWidth="1"/>
    <col min="23" max="23" width="13" style="899" customWidth="1"/>
    <col min="24" max="24" width="14.140625" style="899" customWidth="1"/>
    <col min="25" max="25" width="17.7109375" style="899" customWidth="1"/>
    <col min="26" max="26" width="17" style="899" customWidth="1"/>
    <col min="27" max="27" width="14" style="899" customWidth="1"/>
    <col min="28" max="28" width="14.85546875" style="899" customWidth="1"/>
    <col min="29" max="16384" width="9.140625" style="899"/>
  </cols>
  <sheetData>
    <row r="1" spans="1:18" ht="14.45" customHeight="1"/>
    <row r="2" spans="1:18" ht="14.45" customHeight="1">
      <c r="B2" s="901" t="s">
        <v>1521</v>
      </c>
      <c r="C2" s="902"/>
      <c r="D2" s="902"/>
      <c r="E2" s="902"/>
      <c r="F2" s="903"/>
      <c r="G2" s="903"/>
      <c r="H2" s="904" t="s">
        <v>11</v>
      </c>
      <c r="I2" s="905">
        <f>Resultado!$D$6</f>
        <v>0</v>
      </c>
      <c r="J2" s="906"/>
      <c r="K2" s="906"/>
    </row>
    <row r="3" spans="1:18" ht="14.45" customHeight="1">
      <c r="B3" s="907"/>
      <c r="C3" s="908"/>
      <c r="D3" s="908"/>
      <c r="E3" s="908"/>
      <c r="H3" s="909" t="s">
        <v>12</v>
      </c>
      <c r="I3" s="910">
        <f>Resultado!$D$8</f>
        <v>0</v>
      </c>
      <c r="J3" s="906"/>
      <c r="K3" s="906"/>
    </row>
    <row r="4" spans="1:18" ht="14.45" customHeight="1">
      <c r="B4" s="906"/>
      <c r="C4" s="908"/>
      <c r="D4" s="908"/>
      <c r="E4" s="908"/>
      <c r="F4" s="911"/>
      <c r="G4" s="906"/>
      <c r="H4" s="906"/>
      <c r="I4" s="906"/>
      <c r="J4" s="906"/>
      <c r="K4" s="906"/>
    </row>
    <row r="5" spans="1:18" ht="15" customHeight="1">
      <c r="B5" s="906"/>
      <c r="C5" s="912"/>
      <c r="D5" s="908"/>
      <c r="E5" s="908"/>
      <c r="F5" s="911"/>
      <c r="G5" s="906"/>
      <c r="H5" s="906"/>
      <c r="I5" s="906"/>
      <c r="J5" s="906"/>
      <c r="K5" s="906"/>
      <c r="R5" s="1377" t="s">
        <v>1008</v>
      </c>
    </row>
    <row r="6" spans="1:18" s="916" customFormat="1" ht="15" customHeight="1">
      <c r="A6" s="913"/>
      <c r="B6" s="914"/>
      <c r="C6" s="915"/>
      <c r="D6" s="915"/>
      <c r="E6" s="915"/>
      <c r="F6" s="914"/>
      <c r="G6" s="914"/>
      <c r="H6" s="914"/>
      <c r="I6" s="914"/>
      <c r="J6" s="914"/>
      <c r="K6" s="914"/>
      <c r="R6" s="1663">
        <f>DATE(YEAR(R8),MONTH(R8)-1,1)</f>
        <v>44378</v>
      </c>
    </row>
    <row r="7" spans="1:18" s="916" customFormat="1" ht="15" customHeight="1">
      <c r="A7" s="913"/>
      <c r="B7" s="917" t="s">
        <v>1522</v>
      </c>
      <c r="C7" s="915"/>
      <c r="D7" s="918"/>
      <c r="E7" s="918"/>
      <c r="F7" s="919"/>
      <c r="G7" s="914"/>
      <c r="H7" s="914"/>
      <c r="I7" s="914"/>
      <c r="J7" s="914"/>
      <c r="K7" s="914"/>
      <c r="R7" s="1377" t="s">
        <v>1008</v>
      </c>
    </row>
    <row r="8" spans="1:18" ht="27.95" customHeight="1">
      <c r="B8" s="920" t="s">
        <v>905</v>
      </c>
      <c r="C8" s="920" t="s">
        <v>1523</v>
      </c>
      <c r="D8" s="920" t="s">
        <v>1524</v>
      </c>
      <c r="E8" s="920" t="s">
        <v>1525</v>
      </c>
      <c r="F8" s="906"/>
      <c r="G8" s="906"/>
      <c r="H8" s="906"/>
      <c r="I8" s="921"/>
      <c r="R8" s="1663">
        <f>DATE(YEAR(R10),MONTH(R10)-1,1)</f>
        <v>44409</v>
      </c>
    </row>
    <row r="9" spans="1:18" ht="14.45" customHeight="1">
      <c r="B9" s="1636" t="s">
        <v>1526</v>
      </c>
      <c r="C9" s="1637"/>
      <c r="D9" s="1637"/>
      <c r="E9" s="1637"/>
      <c r="F9" s="906"/>
      <c r="G9" s="447"/>
      <c r="H9" s="1378" t="s">
        <v>1527</v>
      </c>
      <c r="I9" s="1379"/>
      <c r="R9" s="1377" t="s">
        <v>1008</v>
      </c>
    </row>
    <row r="10" spans="1:18" ht="14.45" customHeight="1">
      <c r="B10" s="922" t="s">
        <v>46</v>
      </c>
      <c r="C10" s="923"/>
      <c r="D10" s="923"/>
      <c r="E10" s="923"/>
      <c r="F10" s="906"/>
      <c r="G10" s="447"/>
      <c r="H10" s="924" t="s">
        <v>1528</v>
      </c>
      <c r="I10" s="925">
        <f>Indexador!F173</f>
        <v>0</v>
      </c>
      <c r="R10" s="1663">
        <f>DATE(YEAR(R12),MONTH(R12)-1,1)</f>
        <v>44440</v>
      </c>
    </row>
    <row r="11" spans="1:18" ht="14.45" customHeight="1">
      <c r="B11" s="922" t="s">
        <v>1529</v>
      </c>
      <c r="C11" s="923"/>
      <c r="D11" s="923"/>
      <c r="E11" s="923"/>
      <c r="F11" s="906"/>
      <c r="G11" s="906"/>
      <c r="H11" s="924" t="s">
        <v>1530</v>
      </c>
      <c r="I11" s="926"/>
      <c r="R11" s="1377" t="s">
        <v>1008</v>
      </c>
    </row>
    <row r="12" spans="1:18" ht="14.45" customHeight="1">
      <c r="B12" s="922" t="s">
        <v>761</v>
      </c>
      <c r="C12" s="923"/>
      <c r="D12" s="923"/>
      <c r="E12" s="923"/>
      <c r="F12" s="906"/>
      <c r="G12" s="447"/>
      <c r="H12" s="924" t="s">
        <v>1531</v>
      </c>
      <c r="I12" s="926"/>
      <c r="R12" s="1663">
        <f>DATE(YEAR(R14),MONTH(R14)-1,1)</f>
        <v>44470</v>
      </c>
    </row>
    <row r="13" spans="1:18" ht="14.45" customHeight="1">
      <c r="B13" s="922" t="s">
        <v>1532</v>
      </c>
      <c r="C13" s="923"/>
      <c r="D13" s="923"/>
      <c r="E13" s="923"/>
      <c r="F13" s="906"/>
      <c r="G13" s="447"/>
      <c r="H13" s="924" t="s">
        <v>1533</v>
      </c>
      <c r="I13" s="1664"/>
      <c r="R13" s="1377" t="s">
        <v>1008</v>
      </c>
    </row>
    <row r="14" spans="1:18" ht="14.45" customHeight="1">
      <c r="B14" s="922" t="s">
        <v>163</v>
      </c>
      <c r="C14" s="923"/>
      <c r="D14" s="923"/>
      <c r="E14" s="923"/>
      <c r="F14" s="906"/>
      <c r="G14" s="447"/>
      <c r="H14" s="1378" t="s">
        <v>1534</v>
      </c>
      <c r="I14" s="1380">
        <v>0</v>
      </c>
      <c r="J14" s="906"/>
      <c r="K14" s="906"/>
      <c r="R14" s="1663">
        <f>DATE(YEAR(R16),MONTH(R16)-1,1)</f>
        <v>44501</v>
      </c>
    </row>
    <row r="15" spans="1:18" ht="14.45" customHeight="1">
      <c r="B15" s="922" t="s">
        <v>1535</v>
      </c>
      <c r="C15" s="923"/>
      <c r="D15" s="923"/>
      <c r="E15" s="923"/>
      <c r="F15" s="906"/>
      <c r="G15" s="447"/>
      <c r="H15" s="1665" t="s">
        <v>1536</v>
      </c>
      <c r="I15" s="1666" t="e">
        <f ca="1">-I14*K67/K66</f>
        <v>#DIV/0!</v>
      </c>
      <c r="J15" s="906"/>
      <c r="K15" s="906"/>
      <c r="R15" s="1377" t="s">
        <v>1008</v>
      </c>
    </row>
    <row r="16" spans="1:18" ht="14.45" customHeight="1">
      <c r="B16" s="922" t="s">
        <v>56</v>
      </c>
      <c r="C16" s="923"/>
      <c r="D16" s="923"/>
      <c r="E16" s="923"/>
      <c r="F16" s="907"/>
      <c r="G16" s="447"/>
      <c r="H16" s="906"/>
      <c r="I16" s="921"/>
      <c r="J16" s="906"/>
      <c r="K16" s="906"/>
      <c r="R16" s="1663">
        <f>DATE(YEAR(R18),MONTH(R18)-1,1)</f>
        <v>44531</v>
      </c>
    </row>
    <row r="17" spans="1:18" ht="14.45" customHeight="1">
      <c r="B17" s="922" t="s">
        <v>51</v>
      </c>
      <c r="C17" s="923"/>
      <c r="D17" s="923"/>
      <c r="E17" s="923"/>
      <c r="F17" s="906"/>
      <c r="G17" s="447"/>
      <c r="H17" s="906"/>
      <c r="I17" s="906"/>
      <c r="J17" s="906"/>
      <c r="K17" s="906"/>
      <c r="R17" s="1377" t="s">
        <v>1008</v>
      </c>
    </row>
    <row r="18" spans="1:18" ht="14.45" customHeight="1">
      <c r="B18" s="927" t="s">
        <v>896</v>
      </c>
      <c r="C18" s="928">
        <f>SUM(C9:C17)</f>
        <v>0</v>
      </c>
      <c r="D18" s="928">
        <f t="shared" ref="D18:E18" si="0">SUM(D9:D17)</f>
        <v>0</v>
      </c>
      <c r="E18" s="928">
        <f t="shared" si="0"/>
        <v>0</v>
      </c>
      <c r="F18" s="906"/>
      <c r="G18" s="906"/>
      <c r="H18" s="906"/>
      <c r="I18" s="906"/>
      <c r="J18" s="906"/>
      <c r="K18" s="906"/>
      <c r="R18" s="1663">
        <f>DATE(YEAR(R20),MONTH(R20)-1,1)</f>
        <v>44562</v>
      </c>
    </row>
    <row r="19" spans="1:18" ht="14.45" hidden="1" customHeight="1">
      <c r="B19" s="906"/>
      <c r="C19" s="908"/>
      <c r="D19" s="908"/>
      <c r="E19" s="908"/>
      <c r="F19" s="906"/>
      <c r="G19" s="906"/>
      <c r="R19" s="1377" t="s">
        <v>1008</v>
      </c>
    </row>
    <row r="20" spans="1:18" ht="14.45" customHeight="1">
      <c r="B20" s="906"/>
      <c r="C20" s="908"/>
      <c r="D20" s="908"/>
      <c r="E20" s="908"/>
      <c r="F20" s="906"/>
      <c r="G20" s="906"/>
      <c r="R20" s="1663">
        <f>DATE(YEAR(R22),MONTH(R22)-1,1)</f>
        <v>44593</v>
      </c>
    </row>
    <row r="21" spans="1:18" s="916" customFormat="1" ht="14.45" customHeight="1">
      <c r="A21" s="913"/>
      <c r="B21" s="914"/>
      <c r="C21" s="915"/>
      <c r="D21" s="915"/>
      <c r="E21" s="915"/>
      <c r="F21" s="914"/>
      <c r="G21" s="914"/>
      <c r="R21" s="1377" t="s">
        <v>1008</v>
      </c>
    </row>
    <row r="22" spans="1:18" ht="14.45" customHeight="1">
      <c r="B22" s="917" t="s">
        <v>1537</v>
      </c>
      <c r="C22" s="908"/>
      <c r="D22" s="908"/>
      <c r="E22" s="908"/>
      <c r="F22" s="906"/>
      <c r="G22" s="906"/>
      <c r="R22" s="1663">
        <f>DATE(YEAR(R24),MONTH(R24)-1,1)</f>
        <v>44621</v>
      </c>
    </row>
    <row r="23" spans="1:18" ht="42" customHeight="1">
      <c r="B23" s="1381" t="s">
        <v>905</v>
      </c>
      <c r="C23" s="1381" t="s">
        <v>1538</v>
      </c>
      <c r="D23" s="1381" t="s">
        <v>1539</v>
      </c>
      <c r="E23" s="1381" t="s">
        <v>1540</v>
      </c>
      <c r="F23" s="1381" t="s">
        <v>1541</v>
      </c>
      <c r="G23" s="1381" t="s">
        <v>1542</v>
      </c>
      <c r="R23" s="1377" t="s">
        <v>1008</v>
      </c>
    </row>
    <row r="24" spans="1:18" ht="14.45" customHeight="1">
      <c r="B24" s="1382" t="s">
        <v>1526</v>
      </c>
      <c r="C24" s="1383">
        <f>BD!AM7</f>
        <v>0</v>
      </c>
      <c r="D24" s="929"/>
      <c r="E24" s="1638">
        <f t="shared" ref="E24:E32" si="1">D24-C24</f>
        <v>0</v>
      </c>
      <c r="F24" s="1639"/>
      <c r="G24" s="1639"/>
      <c r="H24" s="909"/>
      <c r="I24" s="934"/>
      <c r="J24" s="934"/>
      <c r="K24" s="962"/>
      <c r="R24" s="1663">
        <f>DATE(YEAR(R26),MONTH(R26)-1,1)</f>
        <v>44652</v>
      </c>
    </row>
    <row r="25" spans="1:18" ht="14.45" customHeight="1">
      <c r="B25" s="930" t="s">
        <v>46</v>
      </c>
      <c r="C25" s="931">
        <f>BD!AM8</f>
        <v>0</v>
      </c>
      <c r="D25" s="932"/>
      <c r="E25" s="933">
        <f t="shared" si="1"/>
        <v>0</v>
      </c>
      <c r="F25" s="934">
        <f ca="1">M66</f>
        <v>0</v>
      </c>
      <c r="G25" s="963" t="e">
        <f ca="1">(D25+D39)/$D$33*Indexador!$X$80-M67</f>
        <v>#DIV/0!</v>
      </c>
      <c r="H25" s="909"/>
      <c r="I25" s="934"/>
      <c r="J25" s="934"/>
      <c r="K25" s="921"/>
      <c r="R25" s="1377" t="s">
        <v>1008</v>
      </c>
    </row>
    <row r="26" spans="1:18" ht="14.45" customHeight="1">
      <c r="B26" s="930" t="s">
        <v>1529</v>
      </c>
      <c r="C26" s="931">
        <f>BD!AM14</f>
        <v>0</v>
      </c>
      <c r="D26" s="932"/>
      <c r="E26" s="933">
        <f t="shared" si="1"/>
        <v>0</v>
      </c>
      <c r="F26" s="934">
        <f ca="1">X66</f>
        <v>0</v>
      </c>
      <c r="G26" s="963" t="e">
        <f ca="1">(D26+D40)/$D$33*Indexador!$X$80-X67</f>
        <v>#DIV/0!</v>
      </c>
      <c r="H26" s="909"/>
      <c r="I26" s="934"/>
      <c r="J26" s="934"/>
      <c r="K26" s="921"/>
      <c r="R26" s="1663">
        <f>DATE(YEAR(R28),MONTH(R28)-1,1)</f>
        <v>44682</v>
      </c>
    </row>
    <row r="27" spans="1:18" ht="14.45" customHeight="1">
      <c r="B27" s="930" t="s">
        <v>761</v>
      </c>
      <c r="C27" s="931">
        <f>BD!AM6</f>
        <v>0</v>
      </c>
      <c r="D27" s="932"/>
      <c r="E27" s="935">
        <f t="shared" si="1"/>
        <v>0</v>
      </c>
      <c r="F27" s="936">
        <f ca="1">L66</f>
        <v>0</v>
      </c>
      <c r="G27" s="964" t="e">
        <f ca="1">D27/$D$33*Indexador!$X$80-L67</f>
        <v>#DIV/0!</v>
      </c>
      <c r="H27" s="909"/>
      <c r="I27" s="936"/>
      <c r="J27" s="936"/>
      <c r="K27" s="921"/>
      <c r="R27" s="1377" t="s">
        <v>1008</v>
      </c>
    </row>
    <row r="28" spans="1:18" ht="14.45" customHeight="1">
      <c r="B28" s="930" t="s">
        <v>1532</v>
      </c>
      <c r="C28" s="931">
        <f>BD!AM13</f>
        <v>0</v>
      </c>
      <c r="D28" s="932"/>
      <c r="E28" s="935">
        <f t="shared" si="1"/>
        <v>0</v>
      </c>
      <c r="F28" s="936">
        <f ca="1">K66</f>
        <v>0</v>
      </c>
      <c r="G28" s="964" t="e">
        <f ca="1">(IF(C42=0,D28,C42)+D42)/$D$33*Indexador!$X$80-K67</f>
        <v>#DIV/0!</v>
      </c>
      <c r="H28" s="909"/>
      <c r="I28" s="936"/>
      <c r="J28" s="936"/>
      <c r="K28" s="921"/>
      <c r="R28" s="1663">
        <f>B65</f>
        <v>44713</v>
      </c>
    </row>
    <row r="29" spans="1:18" ht="14.45" customHeight="1">
      <c r="B29" s="930" t="s">
        <v>163</v>
      </c>
      <c r="C29" s="931">
        <f>BD!AM9</f>
        <v>0</v>
      </c>
      <c r="D29" s="932"/>
      <c r="E29" s="935">
        <f t="shared" si="1"/>
        <v>0</v>
      </c>
      <c r="F29" s="936">
        <f ca="1">N66</f>
        <v>0</v>
      </c>
      <c r="G29" s="964" t="e">
        <f ca="1">D29/$D$33*Indexador!$X$80-N67</f>
        <v>#DIV/0!</v>
      </c>
      <c r="H29" s="909"/>
      <c r="I29" s="936"/>
      <c r="J29" s="936"/>
      <c r="K29" s="921"/>
    </row>
    <row r="30" spans="1:18" ht="14.45" customHeight="1">
      <c r="B30" s="930" t="s">
        <v>1535</v>
      </c>
      <c r="C30" s="931">
        <f>BD!AM12</f>
        <v>0</v>
      </c>
      <c r="D30" s="932"/>
      <c r="E30" s="935">
        <f t="shared" si="1"/>
        <v>0</v>
      </c>
      <c r="F30" s="936">
        <f ca="1">O66</f>
        <v>0</v>
      </c>
      <c r="G30" s="964" t="e">
        <f ca="1">D30/$D$33*Indexador!$X$80-O67</f>
        <v>#DIV/0!</v>
      </c>
      <c r="H30" s="906"/>
      <c r="I30" s="936"/>
      <c r="J30" s="936"/>
      <c r="K30" s="921"/>
    </row>
    <row r="31" spans="1:18" ht="14.45" customHeight="1">
      <c r="B31" s="930" t="s">
        <v>56</v>
      </c>
      <c r="C31" s="931">
        <f>BD!AM11</f>
        <v>0</v>
      </c>
      <c r="D31" s="932"/>
      <c r="E31" s="935">
        <f t="shared" si="1"/>
        <v>0</v>
      </c>
      <c r="F31" s="936">
        <f ca="1">Q66</f>
        <v>0</v>
      </c>
      <c r="G31" s="964" t="e">
        <f ca="1">D31/$D$33*Indexador!$X$80-Q67</f>
        <v>#DIV/0!</v>
      </c>
      <c r="I31" s="936"/>
      <c r="J31" s="936"/>
      <c r="K31" s="906"/>
    </row>
    <row r="32" spans="1:18" ht="14.45" customHeight="1">
      <c r="B32" s="1667" t="s">
        <v>51</v>
      </c>
      <c r="C32" s="937">
        <f>BD!AM10</f>
        <v>0</v>
      </c>
      <c r="D32" s="932"/>
      <c r="E32" s="938">
        <f t="shared" si="1"/>
        <v>0</v>
      </c>
      <c r="F32" s="939">
        <f ca="1">P66</f>
        <v>0</v>
      </c>
      <c r="G32" s="965" t="e">
        <f ca="1">IF(C46=0,D32,C46)/$D$33*Indexador!$X$80-P67</f>
        <v>#DIV/0!</v>
      </c>
      <c r="I32" s="936"/>
      <c r="J32" s="936"/>
      <c r="K32" s="906"/>
    </row>
    <row r="33" spans="2:11" ht="14.45" customHeight="1">
      <c r="B33" s="927" t="s">
        <v>896</v>
      </c>
      <c r="C33" s="940">
        <f>SUM(C24:C32)</f>
        <v>0</v>
      </c>
      <c r="D33" s="1384">
        <f>SUM(D24:D32)</f>
        <v>0</v>
      </c>
      <c r="E33" s="940">
        <f>SUM(E24:E32)</f>
        <v>0</v>
      </c>
      <c r="F33" s="941">
        <f ca="1">SUM(F24:F32)</f>
        <v>0</v>
      </c>
      <c r="G33" s="941" t="e">
        <f ca="1">SUM(G24:G32)</f>
        <v>#DIV/0!</v>
      </c>
      <c r="I33" s="961"/>
      <c r="J33" s="961"/>
      <c r="K33" s="906"/>
    </row>
    <row r="34" spans="2:11" ht="14.45" customHeight="1">
      <c r="B34" s="906"/>
      <c r="C34" s="942"/>
      <c r="D34" s="908"/>
      <c r="E34" s="908"/>
      <c r="F34" s="906"/>
      <c r="G34" s="906"/>
      <c r="K34" s="906"/>
    </row>
    <row r="35" spans="2:11" ht="14.45" customHeight="1">
      <c r="B35" s="906"/>
      <c r="C35" s="908"/>
      <c r="D35" s="908"/>
      <c r="E35" s="908"/>
      <c r="F35" s="447"/>
      <c r="G35" s="906"/>
      <c r="K35" s="906"/>
    </row>
    <row r="36" spans="2:11" ht="14.45" customHeight="1">
      <c r="B36" s="917" t="s">
        <v>1543</v>
      </c>
      <c r="C36" s="942"/>
      <c r="D36" s="908"/>
      <c r="E36" s="908"/>
      <c r="F36" s="906"/>
      <c r="G36" s="943"/>
      <c r="K36" s="906"/>
    </row>
    <row r="37" spans="2:11" ht="43.5" customHeight="1">
      <c r="B37" s="1385" t="s">
        <v>905</v>
      </c>
      <c r="C37" s="1385" t="s">
        <v>1544</v>
      </c>
      <c r="D37" s="1385" t="s">
        <v>1545</v>
      </c>
      <c r="E37" s="944"/>
      <c r="F37" s="447"/>
      <c r="G37" s="906"/>
      <c r="H37" s="906"/>
      <c r="I37" s="906"/>
      <c r="J37" s="906"/>
      <c r="K37" s="906"/>
    </row>
    <row r="38" spans="2:11" ht="14.45" customHeight="1">
      <c r="B38" s="1636" t="s">
        <v>1526</v>
      </c>
      <c r="C38" s="1640"/>
      <c r="D38" s="945"/>
      <c r="E38" s="944"/>
      <c r="F38" s="447"/>
      <c r="G38" s="906"/>
      <c r="H38" s="906"/>
      <c r="I38" s="906"/>
      <c r="J38" s="906"/>
      <c r="K38" s="906"/>
    </row>
    <row r="39" spans="2:11" ht="14.45" customHeight="1">
      <c r="B39" s="922" t="s">
        <v>46</v>
      </c>
      <c r="C39" s="946"/>
      <c r="D39" s="947">
        <v>0</v>
      </c>
      <c r="E39" s="944"/>
      <c r="F39" s="447"/>
      <c r="G39" s="447"/>
      <c r="H39" s="906"/>
      <c r="I39" s="906"/>
      <c r="J39" s="906"/>
      <c r="K39" s="906"/>
    </row>
    <row r="40" spans="2:11" ht="14.45" customHeight="1">
      <c r="B40" s="922" t="s">
        <v>1529</v>
      </c>
      <c r="C40" s="948"/>
      <c r="D40" s="947">
        <v>0</v>
      </c>
      <c r="E40" s="944"/>
      <c r="F40" s="447"/>
      <c r="G40" s="906"/>
      <c r="H40" s="906"/>
      <c r="I40" s="906"/>
      <c r="J40" s="906"/>
      <c r="K40" s="906"/>
    </row>
    <row r="41" spans="2:11" ht="14.45" customHeight="1">
      <c r="B41" s="922" t="s">
        <v>761</v>
      </c>
      <c r="C41" s="948"/>
      <c r="D41" s="949"/>
      <c r="E41" s="944"/>
      <c r="F41" s="447"/>
      <c r="G41" s="906"/>
      <c r="H41" s="906"/>
      <c r="I41" s="906"/>
      <c r="J41" s="906"/>
      <c r="K41" s="906"/>
    </row>
    <row r="42" spans="2:11" ht="14.45" customHeight="1">
      <c r="B42" s="922" t="s">
        <v>1532</v>
      </c>
      <c r="C42" s="950"/>
      <c r="D42" s="947">
        <v>0</v>
      </c>
      <c r="E42" s="944"/>
      <c r="F42" s="447"/>
      <c r="G42" s="906"/>
      <c r="H42" s="906"/>
      <c r="I42" s="906"/>
      <c r="J42" s="906"/>
      <c r="K42" s="906"/>
    </row>
    <row r="43" spans="2:11" ht="14.45" customHeight="1">
      <c r="B43" s="922" t="s">
        <v>163</v>
      </c>
      <c r="C43" s="951"/>
      <c r="D43" s="945"/>
      <c r="E43" s="944"/>
      <c r="F43" s="447"/>
      <c r="G43" s="906"/>
      <c r="H43" s="906"/>
      <c r="I43" s="906"/>
      <c r="J43" s="906"/>
      <c r="K43" s="906"/>
    </row>
    <row r="44" spans="2:11" ht="14.45" customHeight="1">
      <c r="B44" s="922" t="s">
        <v>1535</v>
      </c>
      <c r="C44" s="951"/>
      <c r="D44" s="945"/>
      <c r="E44" s="944"/>
      <c r="F44" s="447"/>
      <c r="G44" s="906"/>
      <c r="H44" s="906"/>
      <c r="I44" s="906"/>
      <c r="J44" s="906"/>
      <c r="K44" s="906"/>
    </row>
    <row r="45" spans="2:11" ht="14.45" customHeight="1">
      <c r="B45" s="922" t="s">
        <v>56</v>
      </c>
      <c r="C45" s="951"/>
      <c r="D45" s="945"/>
      <c r="E45" s="944"/>
      <c r="F45" s="447"/>
      <c r="G45" s="906"/>
      <c r="H45" s="906"/>
      <c r="I45" s="906"/>
      <c r="J45" s="906"/>
      <c r="K45" s="906"/>
    </row>
    <row r="46" spans="2:11" ht="14.45" customHeight="1">
      <c r="B46" s="1667" t="s">
        <v>51</v>
      </c>
      <c r="C46" s="952"/>
      <c r="D46" s="953"/>
      <c r="E46" s="944"/>
      <c r="F46" s="447"/>
      <c r="G46" s="906"/>
      <c r="H46" s="906"/>
      <c r="I46" s="906"/>
      <c r="J46" s="906"/>
      <c r="K46" s="906"/>
    </row>
    <row r="47" spans="2:11" ht="14.45" customHeight="1">
      <c r="B47" s="447"/>
      <c r="C47" s="944"/>
      <c r="D47" s="944"/>
      <c r="E47" s="944"/>
      <c r="F47" s="447"/>
      <c r="G47" s="906"/>
      <c r="H47" s="906"/>
      <c r="I47" s="906"/>
      <c r="J47" s="906"/>
      <c r="K47" s="906"/>
    </row>
    <row r="48" spans="2:11" ht="14.45" customHeight="1">
      <c r="B48" s="65"/>
      <c r="C48" s="954"/>
      <c r="D48" s="954"/>
      <c r="E48" s="954"/>
      <c r="F48" s="65"/>
    </row>
    <row r="49" spans="2:28" ht="14.45" customHeight="1">
      <c r="B49" s="65"/>
      <c r="C49" s="954"/>
      <c r="D49" s="954"/>
      <c r="E49" s="954"/>
      <c r="F49" s="65"/>
    </row>
    <row r="50" spans="2:28" ht="14.45" customHeight="1"/>
    <row r="52" spans="2:28" ht="15" customHeight="1">
      <c r="B52" s="890" t="s">
        <v>1057</v>
      </c>
      <c r="C52" s="890"/>
      <c r="D52" s="890"/>
      <c r="E52" s="890"/>
      <c r="F52" s="890"/>
      <c r="G52" s="890"/>
      <c r="H52" s="890"/>
      <c r="I52" s="890"/>
      <c r="J52" s="890"/>
      <c r="K52" s="955"/>
      <c r="L52" s="955"/>
      <c r="M52" s="955"/>
      <c r="N52" s="955"/>
      <c r="O52" s="955"/>
      <c r="P52" s="955"/>
      <c r="Q52" s="955"/>
      <c r="R52" s="955"/>
      <c r="S52" s="955"/>
      <c r="T52" s="955"/>
      <c r="U52" s="955"/>
      <c r="V52" s="955"/>
      <c r="W52" s="955"/>
      <c r="X52" s="955"/>
      <c r="Y52" s="955"/>
      <c r="Z52" s="955"/>
      <c r="AA52" s="955"/>
      <c r="AB52" s="955"/>
    </row>
    <row r="53" spans="2:28" ht="15" customHeight="1">
      <c r="B53" s="1386" t="s">
        <v>1058</v>
      </c>
      <c r="C53" s="1386"/>
      <c r="D53" s="956" t="s">
        <v>1022</v>
      </c>
      <c r="E53" s="956" t="s">
        <v>54</v>
      </c>
      <c r="F53" s="956" t="s">
        <v>1025</v>
      </c>
      <c r="G53" s="956" t="s">
        <v>52</v>
      </c>
      <c r="H53" s="956" t="s">
        <v>46</v>
      </c>
      <c r="I53" s="956" t="s">
        <v>44</v>
      </c>
      <c r="J53" s="956" t="s">
        <v>163</v>
      </c>
      <c r="K53" s="956" t="s">
        <v>1119</v>
      </c>
      <c r="L53" s="956" t="s">
        <v>1120</v>
      </c>
      <c r="M53" s="956" t="s">
        <v>1113</v>
      </c>
      <c r="N53" s="956" t="s">
        <v>1117</v>
      </c>
      <c r="O53" s="956" t="s">
        <v>1115</v>
      </c>
      <c r="P53" s="956" t="s">
        <v>1116</v>
      </c>
      <c r="Q53" s="956" t="s">
        <v>1114</v>
      </c>
      <c r="R53" s="1387" t="s">
        <v>1546</v>
      </c>
      <c r="S53" s="956" t="s">
        <v>1133</v>
      </c>
      <c r="T53" s="956" t="s">
        <v>1134</v>
      </c>
      <c r="U53" s="956" t="s">
        <v>1135</v>
      </c>
      <c r="V53" s="956" t="s">
        <v>1132</v>
      </c>
      <c r="W53" s="956" t="s">
        <v>1136</v>
      </c>
      <c r="X53" s="956" t="s">
        <v>1118</v>
      </c>
      <c r="Y53" s="956" t="s">
        <v>1112</v>
      </c>
      <c r="Z53" s="956" t="s">
        <v>1089</v>
      </c>
      <c r="AA53" s="956" t="s">
        <v>1547</v>
      </c>
      <c r="AB53" s="956" t="s">
        <v>1148</v>
      </c>
    </row>
    <row r="54" spans="2:28" ht="15" customHeight="1">
      <c r="B54" s="957">
        <f t="shared" ref="B54:B64" si="2">DATE(YEAR(B55),MONTH(B55)-1,1)</f>
        <v>44378</v>
      </c>
      <c r="C54" s="958"/>
      <c r="D54" s="1388" cm="1">
        <f t="array" aca="1" ref="D54" ca="1">DSUM(MercadoBase1,D$53,INDIRECT("r"&amp;5+2*(ROW()-54)&amp;":r"&amp;6+2*(ROW()-54)))</f>
        <v>0</v>
      </c>
      <c r="E54" s="1388" cm="1">
        <f t="array" aca="1" ref="E54" ca="1">DSUM(MercadoBase1,E$53,INDIRECT("r"&amp;5+2*(ROW()-54)&amp;":r"&amp;6+2*(ROW()-54)))</f>
        <v>0</v>
      </c>
      <c r="F54" s="1388" cm="1">
        <f t="array" aca="1" ref="F54" ca="1">DSUM(MercadoBase1,F$53,INDIRECT("r"&amp;5+2*(ROW()-54)&amp;":r"&amp;6+2*(ROW()-54)))</f>
        <v>0</v>
      </c>
      <c r="G54" s="1388" cm="1">
        <f t="array" aca="1" ref="G54" ca="1">DSUM(MercadoBase1,G$53,INDIRECT("r"&amp;5+2*(ROW()-54)&amp;":r"&amp;6+2*(ROW()-54)))</f>
        <v>11600.304833467606</v>
      </c>
      <c r="H54" s="1388" cm="1">
        <f t="array" aca="1" ref="H54" ca="1">DSUM(MercadoBase1,H$53,INDIRECT("r"&amp;5+2*(ROW()-54)&amp;":r"&amp;6+2*(ROW()-54)))</f>
        <v>74602.38832820773</v>
      </c>
      <c r="I54" s="1388" cm="1">
        <f t="array" aca="1" ref="I54" ca="1">DSUM(MercadoBase1,I$53,INDIRECT("r"&amp;5+2*(ROW()-54)&amp;":r"&amp;6+2*(ROW()-54)))</f>
        <v>2800.6484114159525</v>
      </c>
      <c r="J54" s="1388" cm="1">
        <f t="array" aca="1" ref="J54" ca="1">DSUM(MercadoBase1,J$53,INDIRECT("r"&amp;5+2*(ROW()-54)&amp;":r"&amp;6+2*(ROW()-54)))</f>
        <v>0</v>
      </c>
      <c r="K54" s="1388" cm="1">
        <f t="array" aca="1" ref="K54" ca="1">DSUM(MercadoBase1,K$53,INDIRECT("r"&amp;5+2*(ROW()-54)&amp;":r"&amp;6+2*(ROW()-54)))</f>
        <v>0</v>
      </c>
      <c r="L54" s="1388" cm="1">
        <f t="array" aca="1" ref="L54" ca="1">DSUM(MercadoBase1,L$53,INDIRECT("r"&amp;5+2*(ROW()-54)&amp;":r"&amp;6+2*(ROW()-54)))</f>
        <v>0</v>
      </c>
      <c r="M54" s="1388" cm="1">
        <f t="array" aca="1" ref="M54" ca="1">DSUM(MercadoBase1,M$53,INDIRECT("r"&amp;5+2*(ROW()-54)&amp;":r"&amp;6+2*(ROW()-54)))</f>
        <v>0</v>
      </c>
      <c r="N54" s="1388" cm="1">
        <f t="array" aca="1" ref="N54" ca="1">DSUM(MercadoBase1,N$53,INDIRECT("r"&amp;5+2*(ROW()-54)&amp;":r"&amp;6+2*(ROW()-54)))</f>
        <v>0</v>
      </c>
      <c r="O54" s="1388" cm="1">
        <f t="array" aca="1" ref="O54" ca="1">DSUM(MercadoBase1,O$53,INDIRECT("r"&amp;5+2*(ROW()-54)&amp;":r"&amp;6+2*(ROW()-54)))</f>
        <v>0</v>
      </c>
      <c r="P54" s="1388" cm="1">
        <f t="array" aca="1" ref="P54" ca="1">DSUM(MercadoBase1,P$53,INDIRECT("r"&amp;5+2*(ROW()-54)&amp;":r"&amp;6+2*(ROW()-54)))</f>
        <v>0</v>
      </c>
      <c r="Q54" s="1389" cm="1">
        <f t="array" aca="1" ref="Q54" ca="1">DSUM(MercadoBase1,Q$53,INDIRECT("r"&amp;5+2*(ROW()-54)&amp;":r"&amp;6+2*(ROW()-54)))</f>
        <v>0</v>
      </c>
      <c r="R54" s="1390">
        <f>VLOOKUP(CAPA!$C$17,Índices!B:F,5,FALSE)/VLOOKUP(DATE(YEAR(B54),MONTH(B54),1),Índices!B:F,5,FALSE)</f>
        <v>1.0830593980554473</v>
      </c>
      <c r="S54" s="1391" cm="1">
        <f t="array" aca="1" ref="S54" ca="1">DSUM(MercadoBase1,S$53,INDIRECT("r"&amp;5+2*(ROW()-54)&amp;":r"&amp;6+2*(ROW()-54)))</f>
        <v>0</v>
      </c>
      <c r="T54" s="1388" cm="1">
        <f t="array" aca="1" ref="T54" ca="1">DSUM(MercadoBase1,T$53,INDIRECT("r"&amp;5+2*(ROW()-54)&amp;":r"&amp;6+2*(ROW()-54)))</f>
        <v>0</v>
      </c>
      <c r="U54" s="1388" cm="1">
        <f t="array" aca="1" ref="U54" ca="1">DSUM(MercadoBase1,U$53,INDIRECT("r"&amp;5+2*(ROW()-54)&amp;":r"&amp;6+2*(ROW()-54)))</f>
        <v>0</v>
      </c>
      <c r="V54" s="1388" cm="1">
        <f t="array" aca="1" ref="V54" ca="1">DSUM(MercadoBase1,V$53,INDIRECT("r"&amp;5+2*(ROW()-54)&amp;":r"&amp;6+2*(ROW()-54)))</f>
        <v>0</v>
      </c>
      <c r="W54" s="1388" cm="1">
        <f t="array" aca="1" ref="W54" ca="1">DSUM(MercadoBase1,W$53,INDIRECT("r"&amp;5+2*(ROW()-54)&amp;":r"&amp;6+2*(ROW()-54)))</f>
        <v>0</v>
      </c>
      <c r="X54" s="1388" cm="1">
        <f t="array" aca="1" ref="X54" ca="1">DSUM(MercadoBase1,X$53,INDIRECT("r"&amp;5+2*(ROW()-54)&amp;":r"&amp;6+2*(ROW()-54)))</f>
        <v>0</v>
      </c>
      <c r="Y54" s="1388" cm="1">
        <f t="array" aca="1" ref="Y54" ca="1">DSUM(MercadoBase1,Y$53,INDIRECT("r"&amp;5+2*(ROW()-54)&amp;":r"&amp;6+2*(ROW()-54)))</f>
        <v>0</v>
      </c>
      <c r="Z54" s="1388" cm="1">
        <f t="array" aca="1" ref="Z54" ca="1">DSUM(MercadoBase1,Z$53,INDIRECT("r"&amp;5+2*(ROW()-54)&amp;":r"&amp;6+2*(ROW()-54)))</f>
        <v>607507.1662001611</v>
      </c>
      <c r="AA54" s="1388" cm="1">
        <f t="array" aca="1" ref="AA54" ca="1">DSUM(MercadoBase1,AA$53,INDIRECT("r"&amp;5+2*(ROW()-54)&amp;":r"&amp;6+2*(ROW()-54)))</f>
        <v>0</v>
      </c>
      <c r="AB54" s="1388" cm="1">
        <f t="array" aca="1" ref="AB54" ca="1">DSUM(MercadoBase1,AB$53,INDIRECT("r"&amp;5+2*(ROW()-54)&amp;":r"&amp;6+2*(ROW()-54)))</f>
        <v>0</v>
      </c>
    </row>
    <row r="55" spans="2:28" ht="15" customHeight="1">
      <c r="B55" s="957">
        <f t="shared" si="2"/>
        <v>44409</v>
      </c>
      <c r="C55" s="958"/>
      <c r="D55" s="959" cm="1">
        <f t="array" aca="1" ref="D55" ca="1">DSUM(MercadoBase1,D$53,INDIRECT("r"&amp;5+2*(ROW()-54)&amp;":r"&amp;6+2*(ROW()-54)))</f>
        <v>0</v>
      </c>
      <c r="E55" s="959" cm="1">
        <f t="array" aca="1" ref="E55" ca="1">DSUM(MercadoBase1,E$53,INDIRECT("r"&amp;5+2*(ROW()-54)&amp;":r"&amp;6+2*(ROW()-54)))</f>
        <v>0</v>
      </c>
      <c r="F55" s="959" cm="1">
        <f t="array" aca="1" ref="F55" ca="1">DSUM(MercadoBase1,F$53,INDIRECT("r"&amp;5+2*(ROW()-54)&amp;":r"&amp;6+2*(ROW()-54)))</f>
        <v>0</v>
      </c>
      <c r="G55" s="959" cm="1">
        <f t="array" aca="1" ref="G55" ca="1">DSUM(MercadoBase1,G$53,INDIRECT("r"&amp;5+2*(ROW()-54)&amp;":r"&amp;6+2*(ROW()-54)))</f>
        <v>12643.395309143909</v>
      </c>
      <c r="H55" s="959" cm="1">
        <f t="array" aca="1" ref="H55" ca="1">DSUM(MercadoBase1,H$53,INDIRECT("r"&amp;5+2*(ROW()-54)&amp;":r"&amp;6+2*(ROW()-54)))</f>
        <v>81262.403733961095</v>
      </c>
      <c r="I55" s="959" cm="1">
        <f t="array" aca="1" ref="I55" ca="1">DSUM(MercadoBase1,I$53,INDIRECT("r"&amp;5+2*(ROW()-54)&amp;":r"&amp;6+2*(ROW()-54)))</f>
        <v>3044.9745186158016</v>
      </c>
      <c r="J55" s="959" cm="1">
        <f t="array" aca="1" ref="J55" ca="1">DSUM(MercadoBase1,J$53,INDIRECT("r"&amp;5+2*(ROW()-54)&amp;":r"&amp;6+2*(ROW()-54)))</f>
        <v>0</v>
      </c>
      <c r="K55" s="959" cm="1">
        <f t="array" aca="1" ref="K55" ca="1">DSUM(MercadoBase1,K$53,INDIRECT("r"&amp;5+2*(ROW()-54)&amp;":r"&amp;6+2*(ROW()-54)))</f>
        <v>0</v>
      </c>
      <c r="L55" s="959" cm="1">
        <f t="array" aca="1" ref="L55" ca="1">DSUM(MercadoBase1,L$53,INDIRECT("r"&amp;5+2*(ROW()-54)&amp;":r"&amp;6+2*(ROW()-54)))</f>
        <v>0</v>
      </c>
      <c r="M55" s="959" cm="1">
        <f t="array" aca="1" ref="M55" ca="1">DSUM(MercadoBase1,M$53,INDIRECT("r"&amp;5+2*(ROW()-54)&amp;":r"&amp;6+2*(ROW()-54)))</f>
        <v>0</v>
      </c>
      <c r="N55" s="959" cm="1">
        <f t="array" aca="1" ref="N55" ca="1">DSUM(MercadoBase1,N$53,INDIRECT("r"&amp;5+2*(ROW()-54)&amp;":r"&amp;6+2*(ROW()-54)))</f>
        <v>0</v>
      </c>
      <c r="O55" s="959" cm="1">
        <f t="array" aca="1" ref="O55" ca="1">DSUM(MercadoBase1,O$53,INDIRECT("r"&amp;5+2*(ROW()-54)&amp;":r"&amp;6+2*(ROW()-54)))</f>
        <v>0</v>
      </c>
      <c r="P55" s="959" cm="1">
        <f t="array" aca="1" ref="P55" ca="1">DSUM(MercadoBase1,P$53,INDIRECT("r"&amp;5+2*(ROW()-54)&amp;":r"&amp;6+2*(ROW()-54)))</f>
        <v>0</v>
      </c>
      <c r="Q55" s="966" cm="1">
        <f t="array" aca="1" ref="Q55" ca="1">DSUM(MercadoBase1,Q$53,INDIRECT("r"&amp;5+2*(ROW()-54)&amp;":r"&amp;6+2*(ROW()-54)))</f>
        <v>0</v>
      </c>
      <c r="R55" s="960">
        <f>VLOOKUP(CAPA!$C$17,Índices!B:F,5,FALSE)/VLOOKUP(DATE(YEAR(B55),MONTH(B55),1),Índices!B:F,5,FALSE)</f>
        <v>1.0784441695152505</v>
      </c>
      <c r="S55" s="967" cm="1">
        <f t="array" aca="1" ref="S55" ca="1">DSUM(MercadoBase1,S$53,INDIRECT("r"&amp;5+2*(ROW()-54)&amp;":r"&amp;6+2*(ROW()-54)))</f>
        <v>0</v>
      </c>
      <c r="T55" s="959" cm="1">
        <f t="array" aca="1" ref="T55" ca="1">DSUM(MercadoBase1,T$53,INDIRECT("r"&amp;5+2*(ROW()-54)&amp;":r"&amp;6+2*(ROW()-54)))</f>
        <v>0</v>
      </c>
      <c r="U55" s="959" cm="1">
        <f t="array" aca="1" ref="U55" ca="1">DSUM(MercadoBase1,U$53,INDIRECT("r"&amp;5+2*(ROW()-54)&amp;":r"&amp;6+2*(ROW()-54)))</f>
        <v>0</v>
      </c>
      <c r="V55" s="959" cm="1">
        <f t="array" aca="1" ref="V55" ca="1">DSUM(MercadoBase1,V$53,INDIRECT("r"&amp;5+2*(ROW()-54)&amp;":r"&amp;6+2*(ROW()-54)))</f>
        <v>0</v>
      </c>
      <c r="W55" s="959" cm="1">
        <f t="array" aca="1" ref="W55" ca="1">DSUM(MercadoBase1,W$53,INDIRECT("r"&amp;5+2*(ROW()-54)&amp;":r"&amp;6+2*(ROW()-54)))</f>
        <v>0</v>
      </c>
      <c r="X55" s="959" cm="1">
        <f t="array" aca="1" ref="X55" ca="1">DSUM(MercadoBase1,X$53,INDIRECT("r"&amp;5+2*(ROW()-54)&amp;":r"&amp;6+2*(ROW()-54)))</f>
        <v>0</v>
      </c>
      <c r="Y55" s="959" cm="1">
        <f t="array" aca="1" ref="Y55" ca="1">DSUM(MercadoBase1,Y$53,INDIRECT("r"&amp;5+2*(ROW()-54)&amp;":r"&amp;6+2*(ROW()-54)))</f>
        <v>0</v>
      </c>
      <c r="Z55" s="959" cm="1">
        <f t="array" aca="1" ref="Z55" ca="1">DSUM(MercadoBase1,Z$53,INDIRECT("r"&amp;5+2*(ROW()-54)&amp;":r"&amp;6+2*(ROW()-54)))</f>
        <v>660215.71879023872</v>
      </c>
      <c r="AA55" s="959" cm="1">
        <f t="array" aca="1" ref="AA55" ca="1">DSUM(MercadoBase1,AA$53,INDIRECT("r"&amp;5+2*(ROW()-54)&amp;":r"&amp;6+2*(ROW()-54)))</f>
        <v>0</v>
      </c>
      <c r="AB55" s="959" cm="1">
        <f t="array" aca="1" ref="AB55" ca="1">DSUM(MercadoBase1,AB$53,INDIRECT("r"&amp;5+2*(ROW()-54)&amp;":r"&amp;6+2*(ROW()-54)))</f>
        <v>0</v>
      </c>
    </row>
    <row r="56" spans="2:28" ht="15" customHeight="1">
      <c r="B56" s="957">
        <f t="shared" si="2"/>
        <v>44440</v>
      </c>
      <c r="C56" s="958"/>
      <c r="D56" s="959" cm="1">
        <f t="array" aca="1" ref="D56" ca="1">DSUM(MercadoBase1,D$53,INDIRECT("r"&amp;5+2*(ROW()-54)&amp;":r"&amp;6+2*(ROW()-54)))</f>
        <v>0</v>
      </c>
      <c r="E56" s="959" cm="1">
        <f t="array" aca="1" ref="E56" ca="1">DSUM(MercadoBase1,E$53,INDIRECT("r"&amp;5+2*(ROW()-54)&amp;":r"&amp;6+2*(ROW()-54)))</f>
        <v>0</v>
      </c>
      <c r="F56" s="959" cm="1">
        <f t="array" aca="1" ref="F56" ca="1">DSUM(MercadoBase1,F$53,INDIRECT("r"&amp;5+2*(ROW()-54)&amp;":r"&amp;6+2*(ROW()-54)))</f>
        <v>0</v>
      </c>
      <c r="G56" s="959" cm="1">
        <f t="array" aca="1" ref="G56" ca="1">DSUM(MercadoBase1,G$53,INDIRECT("r"&amp;5+2*(ROW()-54)&amp;":r"&amp;6+2*(ROW()-54)))</f>
        <v>12637.340401234973</v>
      </c>
      <c r="H56" s="959" cm="1">
        <f t="array" aca="1" ref="H56" ca="1">DSUM(MercadoBase1,H$53,INDIRECT("r"&amp;5+2*(ROW()-54)&amp;":r"&amp;6+2*(ROW()-54)))</f>
        <v>81012.046001274008</v>
      </c>
      <c r="I56" s="959" cm="1">
        <f t="array" aca="1" ref="I56" ca="1">DSUM(MercadoBase1,I$53,INDIRECT("r"&amp;5+2*(ROW()-54)&amp;":r"&amp;6+2*(ROW()-54)))</f>
        <v>3005.8376947406741</v>
      </c>
      <c r="J56" s="959" cm="1">
        <f t="array" aca="1" ref="J56" ca="1">DSUM(MercadoBase1,J$53,INDIRECT("r"&amp;5+2*(ROW()-54)&amp;":r"&amp;6+2*(ROW()-54)))</f>
        <v>0</v>
      </c>
      <c r="K56" s="959" cm="1">
        <f t="array" aca="1" ref="K56" ca="1">DSUM(MercadoBase1,K$53,INDIRECT("r"&amp;5+2*(ROW()-54)&amp;":r"&amp;6+2*(ROW()-54)))</f>
        <v>0</v>
      </c>
      <c r="L56" s="959" cm="1">
        <f t="array" aca="1" ref="L56" ca="1">DSUM(MercadoBase1,L$53,INDIRECT("r"&amp;5+2*(ROW()-54)&amp;":r"&amp;6+2*(ROW()-54)))</f>
        <v>0</v>
      </c>
      <c r="M56" s="959" cm="1">
        <f t="array" aca="1" ref="M56" ca="1">DSUM(MercadoBase1,M$53,INDIRECT("r"&amp;5+2*(ROW()-54)&amp;":r"&amp;6+2*(ROW()-54)))</f>
        <v>0</v>
      </c>
      <c r="N56" s="959" cm="1">
        <f t="array" aca="1" ref="N56" ca="1">DSUM(MercadoBase1,N$53,INDIRECT("r"&amp;5+2*(ROW()-54)&amp;":r"&amp;6+2*(ROW()-54)))</f>
        <v>0</v>
      </c>
      <c r="O56" s="959" cm="1">
        <f t="array" aca="1" ref="O56" ca="1">DSUM(MercadoBase1,O$53,INDIRECT("r"&amp;5+2*(ROW()-54)&amp;":r"&amp;6+2*(ROW()-54)))</f>
        <v>0</v>
      </c>
      <c r="P56" s="959" cm="1">
        <f t="array" aca="1" ref="P56" ca="1">DSUM(MercadoBase1,P$53,INDIRECT("r"&amp;5+2*(ROW()-54)&amp;":r"&amp;6+2*(ROW()-54)))</f>
        <v>0</v>
      </c>
      <c r="Q56" s="966" cm="1">
        <f t="array" aca="1" ref="Q56" ca="1">DSUM(MercadoBase1,Q$53,INDIRECT("r"&amp;5+2*(ROW()-54)&amp;":r"&amp;6+2*(ROW()-54)))</f>
        <v>0</v>
      </c>
      <c r="R56" s="960">
        <f>VLOOKUP(CAPA!$C$17,Índices!B:F,5,FALSE)/VLOOKUP(DATE(YEAR(B56),MONTH(B56),1),Índices!B:F,5,FALSE)</f>
        <v>1.073698429626083</v>
      </c>
      <c r="S56" s="967" cm="1">
        <f t="array" aca="1" ref="S56" ca="1">DSUM(MercadoBase1,S$53,INDIRECT("r"&amp;5+2*(ROW()-54)&amp;":r"&amp;6+2*(ROW()-54)))</f>
        <v>0</v>
      </c>
      <c r="T56" s="959" cm="1">
        <f t="array" aca="1" ref="T56" ca="1">DSUM(MercadoBase1,T$53,INDIRECT("r"&amp;5+2*(ROW()-54)&amp;":r"&amp;6+2*(ROW()-54)))</f>
        <v>0</v>
      </c>
      <c r="U56" s="959" cm="1">
        <f t="array" aca="1" ref="U56" ca="1">DSUM(MercadoBase1,U$53,INDIRECT("r"&amp;5+2*(ROW()-54)&amp;":r"&amp;6+2*(ROW()-54)))</f>
        <v>0</v>
      </c>
      <c r="V56" s="959" cm="1">
        <f t="array" aca="1" ref="V56" ca="1">DSUM(MercadoBase1,V$53,INDIRECT("r"&amp;5+2*(ROW()-54)&amp;":r"&amp;6+2*(ROW()-54)))</f>
        <v>0</v>
      </c>
      <c r="W56" s="959" cm="1">
        <f t="array" aca="1" ref="W56" ca="1">DSUM(MercadoBase1,W$53,INDIRECT("r"&amp;5+2*(ROW()-54)&amp;":r"&amp;6+2*(ROW()-54)))</f>
        <v>0</v>
      </c>
      <c r="X56" s="959" cm="1">
        <f t="array" aca="1" ref="X56" ca="1">DSUM(MercadoBase1,X$53,INDIRECT("r"&amp;5+2*(ROW()-54)&amp;":r"&amp;6+2*(ROW()-54)))</f>
        <v>0</v>
      </c>
      <c r="Y56" s="959" cm="1">
        <f t="array" aca="1" ref="Y56" ca="1">DSUM(MercadoBase1,Y$53,INDIRECT("r"&amp;5+2*(ROW()-54)&amp;":r"&amp;6+2*(ROW()-54)))</f>
        <v>0</v>
      </c>
      <c r="Z56" s="959" cm="1">
        <f t="array" aca="1" ref="Z56" ca="1">DSUM(MercadoBase1,Z$53,INDIRECT("r"&amp;5+2*(ROW()-54)&amp;":r"&amp;6+2*(ROW()-54)))</f>
        <v>650697.63519166608</v>
      </c>
      <c r="AA56" s="959" cm="1">
        <f t="array" aca="1" ref="AA56" ca="1">DSUM(MercadoBase1,AA$53,INDIRECT("r"&amp;5+2*(ROW()-54)&amp;":r"&amp;6+2*(ROW()-54)))</f>
        <v>0</v>
      </c>
      <c r="AB56" s="959" cm="1">
        <f t="array" aca="1" ref="AB56" ca="1">DSUM(MercadoBase1,AB$53,INDIRECT("r"&amp;5+2*(ROW()-54)&amp;":r"&amp;6+2*(ROW()-54)))</f>
        <v>0</v>
      </c>
    </row>
    <row r="57" spans="2:28" ht="15" customHeight="1">
      <c r="B57" s="957">
        <f t="shared" si="2"/>
        <v>44470</v>
      </c>
      <c r="C57" s="958"/>
      <c r="D57" s="959" cm="1">
        <f t="array" aca="1" ref="D57" ca="1">DSUM(MercadoBase1,D$53,INDIRECT("r"&amp;5+2*(ROW()-54)&amp;":r"&amp;6+2*(ROW()-54)))</f>
        <v>0</v>
      </c>
      <c r="E57" s="959" cm="1">
        <f t="array" aca="1" ref="E57" ca="1">DSUM(MercadoBase1,E$53,INDIRECT("r"&amp;5+2*(ROW()-54)&amp;":r"&amp;6+2*(ROW()-54)))</f>
        <v>0</v>
      </c>
      <c r="F57" s="959" cm="1">
        <f t="array" aca="1" ref="F57" ca="1">DSUM(MercadoBase1,F$53,INDIRECT("r"&amp;5+2*(ROW()-54)&amp;":r"&amp;6+2*(ROW()-54)))</f>
        <v>0</v>
      </c>
      <c r="G57" s="959" cm="1">
        <f t="array" aca="1" ref="G57" ca="1">DSUM(MercadoBase1,G$53,INDIRECT("r"&amp;5+2*(ROW()-54)&amp;":r"&amp;6+2*(ROW()-54)))</f>
        <v>12263.991879863821</v>
      </c>
      <c r="H57" s="959" cm="1">
        <f t="array" aca="1" ref="H57" ca="1">DSUM(MercadoBase1,H$53,INDIRECT("r"&amp;5+2*(ROW()-54)&amp;":r"&amp;6+2*(ROW()-54)))</f>
        <v>79073.19387385658</v>
      </c>
      <c r="I57" s="959" cm="1">
        <f t="array" aca="1" ref="I57" ca="1">DSUM(MercadoBase1,I$53,INDIRECT("r"&amp;5+2*(ROW()-54)&amp;":r"&amp;6+2*(ROW()-54)))</f>
        <v>2998.4443959239734</v>
      </c>
      <c r="J57" s="959" cm="1">
        <f t="array" aca="1" ref="J57" ca="1">DSUM(MercadoBase1,J$53,INDIRECT("r"&amp;5+2*(ROW()-54)&amp;":r"&amp;6+2*(ROW()-54)))</f>
        <v>0</v>
      </c>
      <c r="K57" s="959" cm="1">
        <f t="array" aca="1" ref="K57" ca="1">DSUM(MercadoBase1,K$53,INDIRECT("r"&amp;5+2*(ROW()-54)&amp;":r"&amp;6+2*(ROW()-54)))</f>
        <v>0</v>
      </c>
      <c r="L57" s="959" cm="1">
        <f t="array" aca="1" ref="L57" ca="1">DSUM(MercadoBase1,L$53,INDIRECT("r"&amp;5+2*(ROW()-54)&amp;":r"&amp;6+2*(ROW()-54)))</f>
        <v>0</v>
      </c>
      <c r="M57" s="959" cm="1">
        <f t="array" aca="1" ref="M57" ca="1">DSUM(MercadoBase1,M$53,INDIRECT("r"&amp;5+2*(ROW()-54)&amp;":r"&amp;6+2*(ROW()-54)))</f>
        <v>0</v>
      </c>
      <c r="N57" s="959" cm="1">
        <f t="array" aca="1" ref="N57" ca="1">DSUM(MercadoBase1,N$53,INDIRECT("r"&amp;5+2*(ROW()-54)&amp;":r"&amp;6+2*(ROW()-54)))</f>
        <v>0</v>
      </c>
      <c r="O57" s="959" cm="1">
        <f t="array" aca="1" ref="O57" ca="1">DSUM(MercadoBase1,O$53,INDIRECT("r"&amp;5+2*(ROW()-54)&amp;":r"&amp;6+2*(ROW()-54)))</f>
        <v>0</v>
      </c>
      <c r="P57" s="959" cm="1">
        <f t="array" aca="1" ref="P57" ca="1">DSUM(MercadoBase1,P$53,INDIRECT("r"&amp;5+2*(ROW()-54)&amp;":r"&amp;6+2*(ROW()-54)))</f>
        <v>0</v>
      </c>
      <c r="Q57" s="966" cm="1">
        <f t="array" aca="1" ref="Q57" ca="1">DSUM(MercadoBase1,Q$53,INDIRECT("r"&amp;5+2*(ROW()-54)&amp;":r"&amp;6+2*(ROW()-54)))</f>
        <v>0</v>
      </c>
      <c r="R57" s="960">
        <f>VLOOKUP(CAPA!$C$17,Índices!B:F,5,FALSE)/VLOOKUP(DATE(YEAR(B57),MONTH(B57),1),Índices!B:F,5,FALSE)</f>
        <v>1.0685055343738492</v>
      </c>
      <c r="S57" s="967" cm="1">
        <f t="array" aca="1" ref="S57" ca="1">DSUM(MercadoBase1,S$53,INDIRECT("r"&amp;5+2*(ROW()-54)&amp;":r"&amp;6+2*(ROW()-54)))</f>
        <v>0</v>
      </c>
      <c r="T57" s="959" cm="1">
        <f t="array" aca="1" ref="T57" ca="1">DSUM(MercadoBase1,T$53,INDIRECT("r"&amp;5+2*(ROW()-54)&amp;":r"&amp;6+2*(ROW()-54)))</f>
        <v>0</v>
      </c>
      <c r="U57" s="959" cm="1">
        <f t="array" aca="1" ref="U57" ca="1">DSUM(MercadoBase1,U$53,INDIRECT("r"&amp;5+2*(ROW()-54)&amp;":r"&amp;6+2*(ROW()-54)))</f>
        <v>0</v>
      </c>
      <c r="V57" s="959" cm="1">
        <f t="array" aca="1" ref="V57" ca="1">DSUM(MercadoBase1,V$53,INDIRECT("r"&amp;5+2*(ROW()-54)&amp;":r"&amp;6+2*(ROW()-54)))</f>
        <v>0</v>
      </c>
      <c r="W57" s="959" cm="1">
        <f t="array" aca="1" ref="W57" ca="1">DSUM(MercadoBase1,W$53,INDIRECT("r"&amp;5+2*(ROW()-54)&amp;":r"&amp;6+2*(ROW()-54)))</f>
        <v>0</v>
      </c>
      <c r="X57" s="959" cm="1">
        <f t="array" aca="1" ref="X57" ca="1">DSUM(MercadoBase1,X$53,INDIRECT("r"&amp;5+2*(ROW()-54)&amp;":r"&amp;6+2*(ROW()-54)))</f>
        <v>0</v>
      </c>
      <c r="Y57" s="959" cm="1">
        <f t="array" aca="1" ref="Y57" ca="1">DSUM(MercadoBase1,Y$53,INDIRECT("r"&amp;5+2*(ROW()-54)&amp;":r"&amp;6+2*(ROW()-54)))</f>
        <v>0</v>
      </c>
      <c r="Z57" s="959" cm="1">
        <f t="array" aca="1" ref="Z57" ca="1">DSUM(MercadoBase1,Z$53,INDIRECT("r"&amp;5+2*(ROW()-54)&amp;":r"&amp;6+2*(ROW()-54)))</f>
        <v>658203.04660506954</v>
      </c>
      <c r="AA57" s="959" cm="1">
        <f t="array" aca="1" ref="AA57" ca="1">DSUM(MercadoBase1,AA$53,INDIRECT("r"&amp;5+2*(ROW()-54)&amp;":r"&amp;6+2*(ROW()-54)))</f>
        <v>0</v>
      </c>
      <c r="AB57" s="959" cm="1">
        <f t="array" aca="1" ref="AB57" ca="1">DSUM(MercadoBase1,AB$53,INDIRECT("r"&amp;5+2*(ROW()-54)&amp;":r"&amp;6+2*(ROW()-54)))</f>
        <v>0</v>
      </c>
    </row>
    <row r="58" spans="2:28" ht="15" customHeight="1">
      <c r="B58" s="957">
        <f t="shared" si="2"/>
        <v>44501</v>
      </c>
      <c r="C58" s="958"/>
      <c r="D58" s="959" cm="1">
        <f t="array" aca="1" ref="D58" ca="1">DSUM(MercadoBase1,D$53,INDIRECT("r"&amp;5+2*(ROW()-54)&amp;":r"&amp;6+2*(ROW()-54)))</f>
        <v>0</v>
      </c>
      <c r="E58" s="959" cm="1">
        <f t="array" aca="1" ref="E58" ca="1">DSUM(MercadoBase1,E$53,INDIRECT("r"&amp;5+2*(ROW()-54)&amp;":r"&amp;6+2*(ROW()-54)))</f>
        <v>0</v>
      </c>
      <c r="F58" s="959" cm="1">
        <f t="array" aca="1" ref="F58" ca="1">DSUM(MercadoBase1,F$53,INDIRECT("r"&amp;5+2*(ROW()-54)&amp;":r"&amp;6+2*(ROW()-54)))</f>
        <v>0</v>
      </c>
      <c r="G58" s="959" cm="1">
        <f t="array" aca="1" ref="G58" ca="1">DSUM(MercadoBase1,G$53,INDIRECT("r"&amp;5+2*(ROW()-54)&amp;":r"&amp;6+2*(ROW()-54)))</f>
        <v>12062.451429441762</v>
      </c>
      <c r="H58" s="959" cm="1">
        <f t="array" aca="1" ref="H58" ca="1">DSUM(MercadoBase1,H$53,INDIRECT("r"&amp;5+2*(ROW()-54)&amp;":r"&amp;6+2*(ROW()-54)))</f>
        <v>77361.891602503412</v>
      </c>
      <c r="I58" s="959" cm="1">
        <f t="array" aca="1" ref="I58" ca="1">DSUM(MercadoBase1,I$53,INDIRECT("r"&amp;5+2*(ROW()-54)&amp;":r"&amp;6+2*(ROW()-54)))</f>
        <v>2885.7596996331577</v>
      </c>
      <c r="J58" s="959" cm="1">
        <f t="array" aca="1" ref="J58" ca="1">DSUM(MercadoBase1,J$53,INDIRECT("r"&amp;5+2*(ROW()-54)&amp;":r"&amp;6+2*(ROW()-54)))</f>
        <v>0</v>
      </c>
      <c r="K58" s="959" cm="1">
        <f t="array" aca="1" ref="K58" ca="1">DSUM(MercadoBase1,K$53,INDIRECT("r"&amp;5+2*(ROW()-54)&amp;":r"&amp;6+2*(ROW()-54)))</f>
        <v>0</v>
      </c>
      <c r="L58" s="959" cm="1">
        <f t="array" aca="1" ref="L58" ca="1">DSUM(MercadoBase1,L$53,INDIRECT("r"&amp;5+2*(ROW()-54)&amp;":r"&amp;6+2*(ROW()-54)))</f>
        <v>0</v>
      </c>
      <c r="M58" s="959" cm="1">
        <f t="array" aca="1" ref="M58" ca="1">DSUM(MercadoBase1,M$53,INDIRECT("r"&amp;5+2*(ROW()-54)&amp;":r"&amp;6+2*(ROW()-54)))</f>
        <v>0</v>
      </c>
      <c r="N58" s="959" cm="1">
        <f t="array" aca="1" ref="N58" ca="1">DSUM(MercadoBase1,N$53,INDIRECT("r"&amp;5+2*(ROW()-54)&amp;":r"&amp;6+2*(ROW()-54)))</f>
        <v>0</v>
      </c>
      <c r="O58" s="959" cm="1">
        <f t="array" aca="1" ref="O58" ca="1">DSUM(MercadoBase1,O$53,INDIRECT("r"&amp;5+2*(ROW()-54)&amp;":r"&amp;6+2*(ROW()-54)))</f>
        <v>0</v>
      </c>
      <c r="P58" s="959" cm="1">
        <f t="array" aca="1" ref="P58" ca="1">DSUM(MercadoBase1,P$53,INDIRECT("r"&amp;5+2*(ROW()-54)&amp;":r"&amp;6+2*(ROW()-54)))</f>
        <v>0</v>
      </c>
      <c r="Q58" s="966" cm="1">
        <f t="array" aca="1" ref="Q58" ca="1">DSUM(MercadoBase1,Q$53,INDIRECT("r"&amp;5+2*(ROW()-54)&amp;":r"&amp;6+2*(ROW()-54)))</f>
        <v>0</v>
      </c>
      <c r="R58" s="960">
        <f>VLOOKUP(CAPA!$C$17,Índices!B:F,5,FALSE)/VLOOKUP(DATE(YEAR(B58),MONTH(B58),1),Índices!B:F,5,FALSE)</f>
        <v>1.0622726591714087</v>
      </c>
      <c r="S58" s="967" cm="1">
        <f t="array" aca="1" ref="S58" ca="1">DSUM(MercadoBase1,S$53,INDIRECT("r"&amp;5+2*(ROW()-54)&amp;":r"&amp;6+2*(ROW()-54)))</f>
        <v>0</v>
      </c>
      <c r="T58" s="959" cm="1">
        <f t="array" aca="1" ref="T58" ca="1">DSUM(MercadoBase1,T$53,INDIRECT("r"&amp;5+2*(ROW()-54)&amp;":r"&amp;6+2*(ROW()-54)))</f>
        <v>0</v>
      </c>
      <c r="U58" s="959" cm="1">
        <f t="array" aca="1" ref="U58" ca="1">DSUM(MercadoBase1,U$53,INDIRECT("r"&amp;5+2*(ROW()-54)&amp;":r"&amp;6+2*(ROW()-54)))</f>
        <v>0</v>
      </c>
      <c r="V58" s="959" cm="1">
        <f t="array" aca="1" ref="V58" ca="1">DSUM(MercadoBase1,V$53,INDIRECT("r"&amp;5+2*(ROW()-54)&amp;":r"&amp;6+2*(ROW()-54)))</f>
        <v>0</v>
      </c>
      <c r="W58" s="959" cm="1">
        <f t="array" aca="1" ref="W58" ca="1">DSUM(MercadoBase1,W$53,INDIRECT("r"&amp;5+2*(ROW()-54)&amp;":r"&amp;6+2*(ROW()-54)))</f>
        <v>0</v>
      </c>
      <c r="X58" s="959" cm="1">
        <f t="array" aca="1" ref="X58" ca="1">DSUM(MercadoBase1,X$53,INDIRECT("r"&amp;5+2*(ROW()-54)&amp;":r"&amp;6+2*(ROW()-54)))</f>
        <v>0</v>
      </c>
      <c r="Y58" s="959" cm="1">
        <f t="array" aca="1" ref="Y58" ca="1">DSUM(MercadoBase1,Y$53,INDIRECT("r"&amp;5+2*(ROW()-54)&amp;":r"&amp;6+2*(ROW()-54)))</f>
        <v>0</v>
      </c>
      <c r="Z58" s="959" cm="1">
        <f t="array" aca="1" ref="Z58" ca="1">DSUM(MercadoBase1,Z$53,INDIRECT("r"&amp;5+2*(ROW()-54)&amp;":r"&amp;6+2*(ROW()-54)))</f>
        <v>627295.56325550762</v>
      </c>
      <c r="AA58" s="959" cm="1">
        <f t="array" aca="1" ref="AA58" ca="1">DSUM(MercadoBase1,AA$53,INDIRECT("r"&amp;5+2*(ROW()-54)&amp;":r"&amp;6+2*(ROW()-54)))</f>
        <v>0</v>
      </c>
      <c r="AB58" s="959" cm="1">
        <f t="array" aca="1" ref="AB58" ca="1">DSUM(MercadoBase1,AB$53,INDIRECT("r"&amp;5+2*(ROW()-54)&amp;":r"&amp;6+2*(ROW()-54)))</f>
        <v>0</v>
      </c>
    </row>
    <row r="59" spans="2:28" ht="15" customHeight="1">
      <c r="B59" s="957">
        <f t="shared" si="2"/>
        <v>44531</v>
      </c>
      <c r="C59" s="958"/>
      <c r="D59" s="959" cm="1">
        <f t="array" aca="1" ref="D59" ca="1">DSUM(MercadoBase1,D$53,INDIRECT("r"&amp;5+2*(ROW()-54)&amp;":r"&amp;6+2*(ROW()-54)))</f>
        <v>0</v>
      </c>
      <c r="E59" s="959" cm="1">
        <f t="array" aca="1" ref="E59" ca="1">DSUM(MercadoBase1,E$53,INDIRECT("r"&amp;5+2*(ROW()-54)&amp;":r"&amp;6+2*(ROW()-54)))</f>
        <v>0</v>
      </c>
      <c r="F59" s="959" cm="1">
        <f t="array" aca="1" ref="F59" ca="1">DSUM(MercadoBase1,F$53,INDIRECT("r"&amp;5+2*(ROW()-54)&amp;":r"&amp;6+2*(ROW()-54)))</f>
        <v>0</v>
      </c>
      <c r="G59" s="959" cm="1">
        <f t="array" aca="1" ref="G59" ca="1">DSUM(MercadoBase1,G$53,INDIRECT("r"&amp;5+2*(ROW()-54)&amp;":r"&amp;6+2*(ROW()-54)))</f>
        <v>11619.792371097608</v>
      </c>
      <c r="H59" s="959" cm="1">
        <f t="array" aca="1" ref="H59" ca="1">DSUM(MercadoBase1,H$53,INDIRECT("r"&amp;5+2*(ROW()-54)&amp;":r"&amp;6+2*(ROW()-54)))</f>
        <v>74556.518502643274</v>
      </c>
      <c r="I59" s="959" cm="1">
        <f t="array" aca="1" ref="I59" ca="1">DSUM(MercadoBase1,I$53,INDIRECT("r"&amp;5+2*(ROW()-54)&amp;":r"&amp;6+2*(ROW()-54)))</f>
        <v>2785.0138251492472</v>
      </c>
      <c r="J59" s="959" cm="1">
        <f t="array" aca="1" ref="J59" ca="1">DSUM(MercadoBase1,J$53,INDIRECT("r"&amp;5+2*(ROW()-54)&amp;":r"&amp;6+2*(ROW()-54)))</f>
        <v>0</v>
      </c>
      <c r="K59" s="959" cm="1">
        <f t="array" aca="1" ref="K59" ca="1">DSUM(MercadoBase1,K$53,INDIRECT("r"&amp;5+2*(ROW()-54)&amp;":r"&amp;6+2*(ROW()-54)))</f>
        <v>0</v>
      </c>
      <c r="L59" s="959" cm="1">
        <f t="array" aca="1" ref="L59" ca="1">DSUM(MercadoBase1,L$53,INDIRECT("r"&amp;5+2*(ROW()-54)&amp;":r"&amp;6+2*(ROW()-54)))</f>
        <v>0</v>
      </c>
      <c r="M59" s="959" cm="1">
        <f t="array" aca="1" ref="M59" ca="1">DSUM(MercadoBase1,M$53,INDIRECT("r"&amp;5+2*(ROW()-54)&amp;":r"&amp;6+2*(ROW()-54)))</f>
        <v>0</v>
      </c>
      <c r="N59" s="959" cm="1">
        <f t="array" aca="1" ref="N59" ca="1">DSUM(MercadoBase1,N$53,INDIRECT("r"&amp;5+2*(ROW()-54)&amp;":r"&amp;6+2*(ROW()-54)))</f>
        <v>0</v>
      </c>
      <c r="O59" s="959" cm="1">
        <f t="array" aca="1" ref="O59" ca="1">DSUM(MercadoBase1,O$53,INDIRECT("r"&amp;5+2*(ROW()-54)&amp;":r"&amp;6+2*(ROW()-54)))</f>
        <v>0</v>
      </c>
      <c r="P59" s="959" cm="1">
        <f t="array" aca="1" ref="P59" ca="1">DSUM(MercadoBase1,P$53,INDIRECT("r"&amp;5+2*(ROW()-54)&amp;":r"&amp;6+2*(ROW()-54)))</f>
        <v>0</v>
      </c>
      <c r="Q59" s="966" cm="1">
        <f t="array" aca="1" ref="Q59" ca="1">DSUM(MercadoBase1,Q$53,INDIRECT("r"&amp;5+2*(ROW()-54)&amp;":r"&amp;6+2*(ROW()-54)))</f>
        <v>0</v>
      </c>
      <c r="R59" s="960">
        <f>VLOOKUP(CAPA!$C$17,Índices!B:F,5,FALSE)/VLOOKUP(DATE(YEAR(B59),MONTH(B59),1),Índices!B:F,5,FALSE)</f>
        <v>1.0541652525590945</v>
      </c>
      <c r="S59" s="967" cm="1">
        <f t="array" aca="1" ref="S59" ca="1">DSUM(MercadoBase1,S$53,INDIRECT("r"&amp;5+2*(ROW()-54)&amp;":r"&amp;6+2*(ROW()-54)))</f>
        <v>0</v>
      </c>
      <c r="T59" s="959" cm="1">
        <f t="array" aca="1" ref="T59" ca="1">DSUM(MercadoBase1,T$53,INDIRECT("r"&amp;5+2*(ROW()-54)&amp;":r"&amp;6+2*(ROW()-54)))</f>
        <v>0</v>
      </c>
      <c r="U59" s="959" cm="1">
        <f t="array" aca="1" ref="U59" ca="1">DSUM(MercadoBase1,U$53,INDIRECT("r"&amp;5+2*(ROW()-54)&amp;":r"&amp;6+2*(ROW()-54)))</f>
        <v>0</v>
      </c>
      <c r="V59" s="959" cm="1">
        <f t="array" aca="1" ref="V59" ca="1">DSUM(MercadoBase1,V$53,INDIRECT("r"&amp;5+2*(ROW()-54)&amp;":r"&amp;6+2*(ROW()-54)))</f>
        <v>0</v>
      </c>
      <c r="W59" s="959" cm="1">
        <f t="array" aca="1" ref="W59" ca="1">DSUM(MercadoBase1,W$53,INDIRECT("r"&amp;5+2*(ROW()-54)&amp;":r"&amp;6+2*(ROW()-54)))</f>
        <v>0</v>
      </c>
      <c r="X59" s="959" cm="1">
        <f t="array" aca="1" ref="X59" ca="1">DSUM(MercadoBase1,X$53,INDIRECT("r"&amp;5+2*(ROW()-54)&amp;":r"&amp;6+2*(ROW()-54)))</f>
        <v>0</v>
      </c>
      <c r="Y59" s="959" cm="1">
        <f t="array" aca="1" ref="Y59" ca="1">DSUM(MercadoBase1,Y$53,INDIRECT("r"&amp;5+2*(ROW()-54)&amp;":r"&amp;6+2*(ROW()-54)))</f>
        <v>0</v>
      </c>
      <c r="Z59" s="959" cm="1">
        <f t="array" aca="1" ref="Z59" ca="1">DSUM(MercadoBase1,Z$53,INDIRECT("r"&amp;5+2*(ROW()-54)&amp;":r"&amp;6+2*(ROW()-54)))</f>
        <v>612574.51349110133</v>
      </c>
      <c r="AA59" s="959" cm="1">
        <f t="array" aca="1" ref="AA59" ca="1">DSUM(MercadoBase1,AA$53,INDIRECT("r"&amp;5+2*(ROW()-54)&amp;":r"&amp;6+2*(ROW()-54)))</f>
        <v>0</v>
      </c>
      <c r="AB59" s="959" cm="1">
        <f t="array" aca="1" ref="AB59" ca="1">DSUM(MercadoBase1,AB$53,INDIRECT("r"&amp;5+2*(ROW()-54)&amp;":r"&amp;6+2*(ROW()-54)))</f>
        <v>0</v>
      </c>
    </row>
    <row r="60" spans="2:28" ht="15" customHeight="1">
      <c r="B60" s="957">
        <f t="shared" si="2"/>
        <v>44562</v>
      </c>
      <c r="C60" s="958"/>
      <c r="D60" s="959" cm="1">
        <f t="array" aca="1" ref="D60" ca="1">DSUM(MercadoBase1,D$53,INDIRECT("r"&amp;5+2*(ROW()-54)&amp;":r"&amp;6+2*(ROW()-54)))</f>
        <v>0</v>
      </c>
      <c r="E60" s="959" cm="1">
        <f t="array" aca="1" ref="E60" ca="1">DSUM(MercadoBase1,E$53,INDIRECT("r"&amp;5+2*(ROW()-54)&amp;":r"&amp;6+2*(ROW()-54)))</f>
        <v>0</v>
      </c>
      <c r="F60" s="959" cm="1">
        <f t="array" aca="1" ref="F60" ca="1">DSUM(MercadoBase1,F$53,INDIRECT("r"&amp;5+2*(ROW()-54)&amp;":r"&amp;6+2*(ROW()-54)))</f>
        <v>0</v>
      </c>
      <c r="G60" s="959" cm="1">
        <f t="array" aca="1" ref="G60" ca="1">DSUM(MercadoBase1,G$53,INDIRECT("r"&amp;5+2*(ROW()-54)&amp;":r"&amp;6+2*(ROW()-54)))</f>
        <v>13011.873835167042</v>
      </c>
      <c r="H60" s="959" cm="1">
        <f t="array" aca="1" ref="H60" ca="1">DSUM(MercadoBase1,H$53,INDIRECT("r"&amp;5+2*(ROW()-54)&amp;":r"&amp;6+2*(ROW()-54)))</f>
        <v>83371.006707907785</v>
      </c>
      <c r="I60" s="959" cm="1">
        <f t="array" aca="1" ref="I60" ca="1">DSUM(MercadoBase1,I$53,INDIRECT("r"&amp;5+2*(ROW()-54)&amp;":r"&amp;6+2*(ROW()-54)))</f>
        <v>3101.3448787646134</v>
      </c>
      <c r="J60" s="959" cm="1">
        <f t="array" aca="1" ref="J60" ca="1">DSUM(MercadoBase1,J$53,INDIRECT("r"&amp;5+2*(ROW()-54)&amp;":r"&amp;6+2*(ROW()-54)))</f>
        <v>0</v>
      </c>
      <c r="K60" s="959" cm="1">
        <f t="array" aca="1" ref="K60" ca="1">DSUM(MercadoBase1,K$53,INDIRECT("r"&amp;5+2*(ROW()-54)&amp;":r"&amp;6+2*(ROW()-54)))</f>
        <v>0</v>
      </c>
      <c r="L60" s="959" cm="1">
        <f t="array" aca="1" ref="L60" ca="1">DSUM(MercadoBase1,L$53,INDIRECT("r"&amp;5+2*(ROW()-54)&amp;":r"&amp;6+2*(ROW()-54)))</f>
        <v>0</v>
      </c>
      <c r="M60" s="959" cm="1">
        <f t="array" aca="1" ref="M60" ca="1">DSUM(MercadoBase1,M$53,INDIRECT("r"&amp;5+2*(ROW()-54)&amp;":r"&amp;6+2*(ROW()-54)))</f>
        <v>0</v>
      </c>
      <c r="N60" s="959" cm="1">
        <f t="array" aca="1" ref="N60" ca="1">DSUM(MercadoBase1,N$53,INDIRECT("r"&amp;5+2*(ROW()-54)&amp;":r"&amp;6+2*(ROW()-54)))</f>
        <v>0</v>
      </c>
      <c r="O60" s="959" cm="1">
        <f t="array" aca="1" ref="O60" ca="1">DSUM(MercadoBase1,O$53,INDIRECT("r"&amp;5+2*(ROW()-54)&amp;":r"&amp;6+2*(ROW()-54)))</f>
        <v>0</v>
      </c>
      <c r="P60" s="959" cm="1">
        <f t="array" aca="1" ref="P60" ca="1">DSUM(MercadoBase1,P$53,INDIRECT("r"&amp;5+2*(ROW()-54)&amp;":r"&amp;6+2*(ROW()-54)))</f>
        <v>0</v>
      </c>
      <c r="Q60" s="966" cm="1">
        <f t="array" aca="1" ref="Q60" ca="1">DSUM(MercadoBase1,Q$53,INDIRECT("r"&amp;5+2*(ROW()-54)&amp;":r"&amp;6+2*(ROW()-54)))</f>
        <v>0</v>
      </c>
      <c r="R60" s="960">
        <f>VLOOKUP(CAPA!$C$17,Índices!B:F,5,FALSE)/VLOOKUP(DATE(YEAR(B60),MONTH(B60),1),Índices!B:F,5,FALSE)</f>
        <v>1.0465020287560824</v>
      </c>
      <c r="S60" s="967" cm="1">
        <f t="array" aca="1" ref="S60" ca="1">DSUM(MercadoBase1,S$53,INDIRECT("r"&amp;5+2*(ROW()-54)&amp;":r"&amp;6+2*(ROW()-54)))</f>
        <v>0</v>
      </c>
      <c r="T60" s="959" cm="1">
        <f t="array" aca="1" ref="T60" ca="1">DSUM(MercadoBase1,T$53,INDIRECT("r"&amp;5+2*(ROW()-54)&amp;":r"&amp;6+2*(ROW()-54)))</f>
        <v>0</v>
      </c>
      <c r="U60" s="959" cm="1">
        <f t="array" aca="1" ref="U60" ca="1">DSUM(MercadoBase1,U$53,INDIRECT("r"&amp;5+2*(ROW()-54)&amp;":r"&amp;6+2*(ROW()-54)))</f>
        <v>0</v>
      </c>
      <c r="V60" s="959" cm="1">
        <f t="array" aca="1" ref="V60" ca="1">DSUM(MercadoBase1,V$53,INDIRECT("r"&amp;5+2*(ROW()-54)&amp;":r"&amp;6+2*(ROW()-54)))</f>
        <v>0</v>
      </c>
      <c r="W60" s="959" cm="1">
        <f t="array" aca="1" ref="W60" ca="1">DSUM(MercadoBase1,W$53,INDIRECT("r"&amp;5+2*(ROW()-54)&amp;":r"&amp;6+2*(ROW()-54)))</f>
        <v>0</v>
      </c>
      <c r="X60" s="959" cm="1">
        <f t="array" aca="1" ref="X60" ca="1">DSUM(MercadoBase1,X$53,INDIRECT("r"&amp;5+2*(ROW()-54)&amp;":r"&amp;6+2*(ROW()-54)))</f>
        <v>0</v>
      </c>
      <c r="Y60" s="959" cm="1">
        <f t="array" aca="1" ref="Y60" ca="1">DSUM(MercadoBase1,Y$53,INDIRECT("r"&amp;5+2*(ROW()-54)&amp;":r"&amp;6+2*(ROW()-54)))</f>
        <v>0</v>
      </c>
      <c r="Z60" s="959" cm="1">
        <f t="array" aca="1" ref="Z60" ca="1">DSUM(MercadoBase1,Z$53,INDIRECT("r"&amp;5+2*(ROW()-54)&amp;":r"&amp;6+2*(ROW()-54)))</f>
        <v>670392.94403378095</v>
      </c>
      <c r="AA60" s="959" cm="1">
        <f t="array" aca="1" ref="AA60" ca="1">DSUM(MercadoBase1,AA$53,INDIRECT("r"&amp;5+2*(ROW()-54)&amp;":r"&amp;6+2*(ROW()-54)))</f>
        <v>0</v>
      </c>
      <c r="AB60" s="959" cm="1">
        <f t="array" aca="1" ref="AB60" ca="1">DSUM(MercadoBase1,AB$53,INDIRECT("r"&amp;5+2*(ROW()-54)&amp;":r"&amp;6+2*(ROW()-54)))</f>
        <v>0</v>
      </c>
    </row>
    <row r="61" spans="2:28" ht="15" customHeight="1">
      <c r="B61" s="957">
        <f t="shared" si="2"/>
        <v>44593</v>
      </c>
      <c r="C61" s="958"/>
      <c r="D61" s="959" cm="1">
        <f t="array" aca="1" ref="D61" ca="1">DSUM(MercadoBase1,D$53,INDIRECT("r"&amp;5+2*(ROW()-54)&amp;":r"&amp;6+2*(ROW()-54)))</f>
        <v>0</v>
      </c>
      <c r="E61" s="959" cm="1">
        <f t="array" aca="1" ref="E61" ca="1">DSUM(MercadoBase1,E$53,INDIRECT("r"&amp;5+2*(ROW()-54)&amp;":r"&amp;6+2*(ROW()-54)))</f>
        <v>0</v>
      </c>
      <c r="F61" s="959" cm="1">
        <f t="array" aca="1" ref="F61" ca="1">DSUM(MercadoBase1,F$53,INDIRECT("r"&amp;5+2*(ROW()-54)&amp;":r"&amp;6+2*(ROW()-54)))</f>
        <v>0</v>
      </c>
      <c r="G61" s="959" cm="1">
        <f t="array" aca="1" ref="G61" ca="1">DSUM(MercadoBase1,G$53,INDIRECT("r"&amp;5+2*(ROW()-54)&amp;":r"&amp;6+2*(ROW()-54)))</f>
        <v>12620.2713320085</v>
      </c>
      <c r="H61" s="959" cm="1">
        <f t="array" aca="1" ref="H61" ca="1">DSUM(MercadoBase1,H$53,INDIRECT("r"&amp;5+2*(ROW()-54)&amp;":r"&amp;6+2*(ROW()-54)))</f>
        <v>80445.455568979902</v>
      </c>
      <c r="I61" s="959" cm="1">
        <f t="array" aca="1" ref="I61" ca="1">DSUM(MercadoBase1,I$53,INDIRECT("r"&amp;5+2*(ROW()-54)&amp;":r"&amp;6+2*(ROW()-54)))</f>
        <v>2965.5996637981652</v>
      </c>
      <c r="J61" s="959" cm="1">
        <f t="array" aca="1" ref="J61" ca="1">DSUM(MercadoBase1,J$53,INDIRECT("r"&amp;5+2*(ROW()-54)&amp;":r"&amp;6+2*(ROW()-54)))</f>
        <v>0</v>
      </c>
      <c r="K61" s="959" cm="1">
        <f t="array" aca="1" ref="K61" ca="1">DSUM(MercadoBase1,K$53,INDIRECT("r"&amp;5+2*(ROW()-54)&amp;":r"&amp;6+2*(ROW()-54)))</f>
        <v>0</v>
      </c>
      <c r="L61" s="959" cm="1">
        <f t="array" aca="1" ref="L61" ca="1">DSUM(MercadoBase1,L$53,INDIRECT("r"&amp;5+2*(ROW()-54)&amp;":r"&amp;6+2*(ROW()-54)))</f>
        <v>0</v>
      </c>
      <c r="M61" s="959" cm="1">
        <f t="array" aca="1" ref="M61" ca="1">DSUM(MercadoBase1,M$53,INDIRECT("r"&amp;5+2*(ROW()-54)&amp;":r"&amp;6+2*(ROW()-54)))</f>
        <v>0</v>
      </c>
      <c r="N61" s="959" cm="1">
        <f t="array" aca="1" ref="N61" ca="1">DSUM(MercadoBase1,N$53,INDIRECT("r"&amp;5+2*(ROW()-54)&amp;":r"&amp;6+2*(ROW()-54)))</f>
        <v>0</v>
      </c>
      <c r="O61" s="959" cm="1">
        <f t="array" aca="1" ref="O61" ca="1">DSUM(MercadoBase1,O$53,INDIRECT("r"&amp;5+2*(ROW()-54)&amp;":r"&amp;6+2*(ROW()-54)))</f>
        <v>0</v>
      </c>
      <c r="P61" s="959" cm="1">
        <f t="array" aca="1" ref="P61" ca="1">DSUM(MercadoBase1,P$53,INDIRECT("r"&amp;5+2*(ROW()-54)&amp;":r"&amp;6+2*(ROW()-54)))</f>
        <v>0</v>
      </c>
      <c r="Q61" s="966" cm="1">
        <f t="array" aca="1" ref="Q61" ca="1">DSUM(MercadoBase1,Q$53,INDIRECT("r"&amp;5+2*(ROW()-54)&amp;":r"&amp;6+2*(ROW()-54)))</f>
        <v>0</v>
      </c>
      <c r="R61" s="960">
        <f>VLOOKUP(CAPA!$C$17,Índices!B:F,5,FALSE)/VLOOKUP(DATE(YEAR(B61),MONTH(B61),1),Índices!B:F,5,FALSE)</f>
        <v>1.038659722138076</v>
      </c>
      <c r="S61" s="967" cm="1">
        <f t="array" aca="1" ref="S61" ca="1">DSUM(MercadoBase1,S$53,INDIRECT("r"&amp;5+2*(ROW()-54)&amp;":r"&amp;6+2*(ROW()-54)))</f>
        <v>0</v>
      </c>
      <c r="T61" s="959" cm="1">
        <f t="array" aca="1" ref="T61" ca="1">DSUM(MercadoBase1,T$53,INDIRECT("r"&amp;5+2*(ROW()-54)&amp;":r"&amp;6+2*(ROW()-54)))</f>
        <v>0</v>
      </c>
      <c r="U61" s="959" cm="1">
        <f t="array" aca="1" ref="U61" ca="1">DSUM(MercadoBase1,U$53,INDIRECT("r"&amp;5+2*(ROW()-54)&amp;":r"&amp;6+2*(ROW()-54)))</f>
        <v>0</v>
      </c>
      <c r="V61" s="959" cm="1">
        <f t="array" aca="1" ref="V61" ca="1">DSUM(MercadoBase1,V$53,INDIRECT("r"&amp;5+2*(ROW()-54)&amp;":r"&amp;6+2*(ROW()-54)))</f>
        <v>0</v>
      </c>
      <c r="W61" s="959" cm="1">
        <f t="array" aca="1" ref="W61" ca="1">DSUM(MercadoBase1,W$53,INDIRECT("r"&amp;5+2*(ROW()-54)&amp;":r"&amp;6+2*(ROW()-54)))</f>
        <v>0</v>
      </c>
      <c r="X61" s="959" cm="1">
        <f t="array" aca="1" ref="X61" ca="1">DSUM(MercadoBase1,X$53,INDIRECT("r"&amp;5+2*(ROW()-54)&amp;":r"&amp;6+2*(ROW()-54)))</f>
        <v>0</v>
      </c>
      <c r="Y61" s="959" cm="1">
        <f t="array" aca="1" ref="Y61" ca="1">DSUM(MercadoBase1,Y$53,INDIRECT("r"&amp;5+2*(ROW()-54)&amp;":r"&amp;6+2*(ROW()-54)))</f>
        <v>0</v>
      </c>
      <c r="Z61" s="959" cm="1">
        <f t="array" aca="1" ref="Z61" ca="1">DSUM(MercadoBase1,Z$53,INDIRECT("r"&amp;5+2*(ROW()-54)&amp;":r"&amp;6+2*(ROW()-54)))</f>
        <v>640598.56892507302</v>
      </c>
      <c r="AA61" s="959" cm="1">
        <f t="array" aca="1" ref="AA61" ca="1">DSUM(MercadoBase1,AA$53,INDIRECT("r"&amp;5+2*(ROW()-54)&amp;":r"&amp;6+2*(ROW()-54)))</f>
        <v>0</v>
      </c>
      <c r="AB61" s="959" cm="1">
        <f t="array" aca="1" ref="AB61" ca="1">DSUM(MercadoBase1,AB$53,INDIRECT("r"&amp;5+2*(ROW()-54)&amp;":r"&amp;6+2*(ROW()-54)))</f>
        <v>0</v>
      </c>
    </row>
    <row r="62" spans="2:28" ht="15" customHeight="1">
      <c r="B62" s="957">
        <f t="shared" si="2"/>
        <v>44621</v>
      </c>
      <c r="C62" s="958"/>
      <c r="D62" s="959" cm="1">
        <f t="array" aca="1" ref="D62" ca="1">DSUM(MercadoBase1,D$53,INDIRECT("r"&amp;5+2*(ROW()-54)&amp;":r"&amp;6+2*(ROW()-54)))</f>
        <v>0</v>
      </c>
      <c r="E62" s="959" cm="1">
        <f t="array" aca="1" ref="E62" ca="1">DSUM(MercadoBase1,E$53,INDIRECT("r"&amp;5+2*(ROW()-54)&amp;":r"&amp;6+2*(ROW()-54)))</f>
        <v>0</v>
      </c>
      <c r="F62" s="959" cm="1">
        <f t="array" aca="1" ref="F62" ca="1">DSUM(MercadoBase1,F$53,INDIRECT("r"&amp;5+2*(ROW()-54)&amp;":r"&amp;6+2*(ROW()-54)))</f>
        <v>0</v>
      </c>
      <c r="G62" s="959" cm="1">
        <f t="array" aca="1" ref="G62" ca="1">DSUM(MercadoBase1,G$53,INDIRECT("r"&amp;5+2*(ROW()-54)&amp;":r"&amp;6+2*(ROW()-54)))</f>
        <v>12495.390804479335</v>
      </c>
      <c r="H62" s="959" cm="1">
        <f t="array" aca="1" ref="H62" ca="1">DSUM(MercadoBase1,H$53,INDIRECT("r"&amp;5+2*(ROW()-54)&amp;":r"&amp;6+2*(ROW()-54)))</f>
        <v>79144.307860851259</v>
      </c>
      <c r="I62" s="959" cm="1">
        <f t="array" aca="1" ref="I62" ca="1">DSUM(MercadoBase1,I$53,INDIRECT("r"&amp;5+2*(ROW()-54)&amp;":r"&amp;6+2*(ROW()-54)))</f>
        <v>2919.4940540950056</v>
      </c>
      <c r="J62" s="959" cm="1">
        <f t="array" aca="1" ref="J62" ca="1">DSUM(MercadoBase1,J$53,INDIRECT("r"&amp;5+2*(ROW()-54)&amp;":r"&amp;6+2*(ROW()-54)))</f>
        <v>0</v>
      </c>
      <c r="K62" s="959" cm="1">
        <f t="array" aca="1" ref="K62" ca="1">DSUM(MercadoBase1,K$53,INDIRECT("r"&amp;5+2*(ROW()-54)&amp;":r"&amp;6+2*(ROW()-54)))</f>
        <v>0</v>
      </c>
      <c r="L62" s="959" cm="1">
        <f t="array" aca="1" ref="L62" ca="1">DSUM(MercadoBase1,L$53,INDIRECT("r"&amp;5+2*(ROW()-54)&amp;":r"&amp;6+2*(ROW()-54)))</f>
        <v>0</v>
      </c>
      <c r="M62" s="959" cm="1">
        <f t="array" aca="1" ref="M62" ca="1">DSUM(MercadoBase1,M$53,INDIRECT("r"&amp;5+2*(ROW()-54)&amp;":r"&amp;6+2*(ROW()-54)))</f>
        <v>0</v>
      </c>
      <c r="N62" s="959" cm="1">
        <f t="array" aca="1" ref="N62" ca="1">DSUM(MercadoBase1,N$53,INDIRECT("r"&amp;5+2*(ROW()-54)&amp;":r"&amp;6+2*(ROW()-54)))</f>
        <v>0</v>
      </c>
      <c r="O62" s="959" cm="1">
        <f t="array" aca="1" ref="O62" ca="1">DSUM(MercadoBase1,O$53,INDIRECT("r"&amp;5+2*(ROW()-54)&amp;":r"&amp;6+2*(ROW()-54)))</f>
        <v>0</v>
      </c>
      <c r="P62" s="959" cm="1">
        <f t="array" aca="1" ref="P62" ca="1">DSUM(MercadoBase1,P$53,INDIRECT("r"&amp;5+2*(ROW()-54)&amp;":r"&amp;6+2*(ROW()-54)))</f>
        <v>0</v>
      </c>
      <c r="Q62" s="966" cm="1">
        <f t="array" aca="1" ref="Q62" ca="1">DSUM(MercadoBase1,Q$53,INDIRECT("r"&amp;5+2*(ROW()-54)&amp;":r"&amp;6+2*(ROW()-54)))</f>
        <v>0</v>
      </c>
      <c r="R62" s="960">
        <f>VLOOKUP(CAPA!$C$17,Índices!B:F,5,FALSE)/VLOOKUP(DATE(YEAR(B62),MONTH(B62),1),Índices!B:F,5,FALSE)</f>
        <v>1.0291192325390464</v>
      </c>
      <c r="S62" s="967" cm="1">
        <f t="array" aca="1" ref="S62" ca="1">DSUM(MercadoBase1,S$53,INDIRECT("r"&amp;5+2*(ROW()-54)&amp;":r"&amp;6+2*(ROW()-54)))</f>
        <v>0</v>
      </c>
      <c r="T62" s="959" cm="1">
        <f t="array" aca="1" ref="T62" ca="1">DSUM(MercadoBase1,T$53,INDIRECT("r"&amp;5+2*(ROW()-54)&amp;":r"&amp;6+2*(ROW()-54)))</f>
        <v>0</v>
      </c>
      <c r="U62" s="959" cm="1">
        <f t="array" aca="1" ref="U62" ca="1">DSUM(MercadoBase1,U$53,INDIRECT("r"&amp;5+2*(ROW()-54)&amp;":r"&amp;6+2*(ROW()-54)))</f>
        <v>0</v>
      </c>
      <c r="V62" s="959" cm="1">
        <f t="array" aca="1" ref="V62" ca="1">DSUM(MercadoBase1,V$53,INDIRECT("r"&amp;5+2*(ROW()-54)&amp;":r"&amp;6+2*(ROW()-54)))</f>
        <v>0</v>
      </c>
      <c r="W62" s="959" cm="1">
        <f t="array" aca="1" ref="W62" ca="1">DSUM(MercadoBase1,W$53,INDIRECT("r"&amp;5+2*(ROW()-54)&amp;":r"&amp;6+2*(ROW()-54)))</f>
        <v>0</v>
      </c>
      <c r="X62" s="959" cm="1">
        <f t="array" aca="1" ref="X62" ca="1">DSUM(MercadoBase1,X$53,INDIRECT("r"&amp;5+2*(ROW()-54)&amp;":r"&amp;6+2*(ROW()-54)))</f>
        <v>0</v>
      </c>
      <c r="Y62" s="959" cm="1">
        <f t="array" aca="1" ref="Y62" ca="1">DSUM(MercadoBase1,Y$53,INDIRECT("r"&amp;5+2*(ROW()-54)&amp;":r"&amp;6+2*(ROW()-54)))</f>
        <v>0</v>
      </c>
      <c r="Z62" s="959" cm="1">
        <f t="array" aca="1" ref="Z62" ca="1">DSUM(MercadoBase1,Z$53,INDIRECT("r"&amp;5+2*(ROW()-54)&amp;":r"&amp;6+2*(ROW()-54)))</f>
        <v>626372.88414274482</v>
      </c>
      <c r="AA62" s="959" cm="1">
        <f t="array" aca="1" ref="AA62" ca="1">DSUM(MercadoBase1,AA$53,INDIRECT("r"&amp;5+2*(ROW()-54)&amp;":r"&amp;6+2*(ROW()-54)))</f>
        <v>0</v>
      </c>
      <c r="AB62" s="959" cm="1">
        <f t="array" aca="1" ref="AB62" ca="1">DSUM(MercadoBase1,AB$53,INDIRECT("r"&amp;5+2*(ROW()-54)&amp;":r"&amp;6+2*(ROW()-54)))</f>
        <v>0</v>
      </c>
    </row>
    <row r="63" spans="2:28" ht="15" customHeight="1">
      <c r="B63" s="957">
        <f t="shared" si="2"/>
        <v>44652</v>
      </c>
      <c r="C63" s="958"/>
      <c r="D63" s="959" cm="1">
        <f t="array" aca="1" ref="D63" ca="1">DSUM(MercadoBase1,D$53,INDIRECT("r"&amp;5+2*(ROW()-54)&amp;":r"&amp;6+2*(ROW()-54)))</f>
        <v>0</v>
      </c>
      <c r="E63" s="959" cm="1">
        <f t="array" aca="1" ref="E63" ca="1">DSUM(MercadoBase1,E$53,INDIRECT("r"&amp;5+2*(ROW()-54)&amp;":r"&amp;6+2*(ROW()-54)))</f>
        <v>0</v>
      </c>
      <c r="F63" s="959" cm="1">
        <f t="array" aca="1" ref="F63" ca="1">DSUM(MercadoBase1,F$53,INDIRECT("r"&amp;5+2*(ROW()-54)&amp;":r"&amp;6+2*(ROW()-54)))</f>
        <v>0</v>
      </c>
      <c r="G63" s="959" cm="1">
        <f t="array" aca="1" ref="G63" ca="1">DSUM(MercadoBase1,G$53,INDIRECT("r"&amp;5+2*(ROW()-54)&amp;":r"&amp;6+2*(ROW()-54)))</f>
        <v>12347.792447603684</v>
      </c>
      <c r="H63" s="959" cm="1">
        <f t="array" aca="1" ref="H63" ca="1">DSUM(MercadoBase1,H$53,INDIRECT("r"&amp;5+2*(ROW()-54)&amp;":r"&amp;6+2*(ROW()-54)))</f>
        <v>78535.796717448669</v>
      </c>
      <c r="I63" s="959" cm="1">
        <f t="array" aca="1" ref="I63" ca="1">DSUM(MercadoBase1,I$53,INDIRECT("r"&amp;5+2*(ROW()-54)&amp;":r"&amp;6+2*(ROW()-54)))</f>
        <v>3018.2382164746168</v>
      </c>
      <c r="J63" s="959" cm="1">
        <f t="array" aca="1" ref="J63" ca="1">DSUM(MercadoBase1,J$53,INDIRECT("r"&amp;5+2*(ROW()-54)&amp;":r"&amp;6+2*(ROW()-54)))</f>
        <v>0</v>
      </c>
      <c r="K63" s="959" cm="1">
        <f t="array" aca="1" ref="K63" ca="1">DSUM(MercadoBase1,K$53,INDIRECT("r"&amp;5+2*(ROW()-54)&amp;":r"&amp;6+2*(ROW()-54)))</f>
        <v>0</v>
      </c>
      <c r="L63" s="959" cm="1">
        <f t="array" aca="1" ref="L63" ca="1">DSUM(MercadoBase1,L$53,INDIRECT("r"&amp;5+2*(ROW()-54)&amp;":r"&amp;6+2*(ROW()-54)))</f>
        <v>0</v>
      </c>
      <c r="M63" s="959" cm="1">
        <f t="array" aca="1" ref="M63" ca="1">DSUM(MercadoBase1,M$53,INDIRECT("r"&amp;5+2*(ROW()-54)&amp;":r"&amp;6+2*(ROW()-54)))</f>
        <v>0</v>
      </c>
      <c r="N63" s="959" cm="1">
        <f t="array" aca="1" ref="N63" ca="1">DSUM(MercadoBase1,N$53,INDIRECT("r"&amp;5+2*(ROW()-54)&amp;":r"&amp;6+2*(ROW()-54)))</f>
        <v>0</v>
      </c>
      <c r="O63" s="959" cm="1">
        <f t="array" aca="1" ref="O63" ca="1">DSUM(MercadoBase1,O$53,INDIRECT("r"&amp;5+2*(ROW()-54)&amp;":r"&amp;6+2*(ROW()-54)))</f>
        <v>0</v>
      </c>
      <c r="P63" s="959" cm="1">
        <f t="array" aca="1" ref="P63" ca="1">DSUM(MercadoBase1,P$53,INDIRECT("r"&amp;5+2*(ROW()-54)&amp;":r"&amp;6+2*(ROW()-54)))</f>
        <v>0</v>
      </c>
      <c r="Q63" s="966" cm="1">
        <f t="array" aca="1" ref="Q63" ca="1">DSUM(MercadoBase1,Q$53,INDIRECT("r"&amp;5+2*(ROW()-54)&amp;":r"&amp;6+2*(ROW()-54)))</f>
        <v>0</v>
      </c>
      <c r="R63" s="960">
        <f>VLOOKUP(CAPA!$C$17,Índices!B:F,5,FALSE)/VLOOKUP(DATE(YEAR(B63),MONTH(B63),1),Índices!B:F,5,FALSE)</f>
        <v>1.0206041228759459</v>
      </c>
      <c r="S63" s="967" cm="1">
        <f t="array" aca="1" ref="S63" ca="1">DSUM(MercadoBase1,S$53,INDIRECT("r"&amp;5+2*(ROW()-54)&amp;":r"&amp;6+2*(ROW()-54)))</f>
        <v>0</v>
      </c>
      <c r="T63" s="959" cm="1">
        <f t="array" aca="1" ref="T63" ca="1">DSUM(MercadoBase1,T$53,INDIRECT("r"&amp;5+2*(ROW()-54)&amp;":r"&amp;6+2*(ROW()-54)))</f>
        <v>0</v>
      </c>
      <c r="U63" s="959" cm="1">
        <f t="array" aca="1" ref="U63" ca="1">DSUM(MercadoBase1,U$53,INDIRECT("r"&amp;5+2*(ROW()-54)&amp;":r"&amp;6+2*(ROW()-54)))</f>
        <v>0</v>
      </c>
      <c r="V63" s="959" cm="1">
        <f t="array" aca="1" ref="V63" ca="1">DSUM(MercadoBase1,V$53,INDIRECT("r"&amp;5+2*(ROW()-54)&amp;":r"&amp;6+2*(ROW()-54)))</f>
        <v>0</v>
      </c>
      <c r="W63" s="959" cm="1">
        <f t="array" aca="1" ref="W63" ca="1">DSUM(MercadoBase1,W$53,INDIRECT("r"&amp;5+2*(ROW()-54)&amp;":r"&amp;6+2*(ROW()-54)))</f>
        <v>0</v>
      </c>
      <c r="X63" s="959" cm="1">
        <f t="array" aca="1" ref="X63" ca="1">DSUM(MercadoBase1,X$53,INDIRECT("r"&amp;5+2*(ROW()-54)&amp;":r"&amp;6+2*(ROW()-54)))</f>
        <v>0</v>
      </c>
      <c r="Y63" s="959" cm="1">
        <f t="array" aca="1" ref="Y63" ca="1">DSUM(MercadoBase1,Y$53,INDIRECT("r"&amp;5+2*(ROW()-54)&amp;":r"&amp;6+2*(ROW()-54)))</f>
        <v>0</v>
      </c>
      <c r="Z63" s="959" cm="1">
        <f t="array" aca="1" ref="Z63" ca="1">DSUM(MercadoBase1,Z$53,INDIRECT("r"&amp;5+2*(ROW()-54)&amp;":r"&amp;6+2*(ROW()-54)))</f>
        <v>648833.78304966656</v>
      </c>
      <c r="AA63" s="959" cm="1">
        <f t="array" aca="1" ref="AA63" ca="1">DSUM(MercadoBase1,AA$53,INDIRECT("r"&amp;5+2*(ROW()-54)&amp;":r"&amp;6+2*(ROW()-54)))</f>
        <v>0</v>
      </c>
      <c r="AB63" s="959" cm="1">
        <f t="array" aca="1" ref="AB63" ca="1">DSUM(MercadoBase1,AB$53,INDIRECT("r"&amp;5+2*(ROW()-54)&amp;":r"&amp;6+2*(ROW()-54)))</f>
        <v>0</v>
      </c>
    </row>
    <row r="64" spans="2:28" ht="15" customHeight="1">
      <c r="B64" s="957">
        <f t="shared" si="2"/>
        <v>44682</v>
      </c>
      <c r="C64" s="958"/>
      <c r="D64" s="959" cm="1">
        <f t="array" aca="1" ref="D64" ca="1">DSUM(MercadoBase1,D$53,INDIRECT("r"&amp;5+2*(ROW()-54)&amp;":r"&amp;6+2*(ROW()-54)))</f>
        <v>0</v>
      </c>
      <c r="E64" s="959" cm="1">
        <f t="array" aca="1" ref="E64" ca="1">DSUM(MercadoBase1,E$53,INDIRECT("r"&amp;5+2*(ROW()-54)&amp;":r"&amp;6+2*(ROW()-54)))</f>
        <v>0</v>
      </c>
      <c r="F64" s="959" cm="1">
        <f t="array" aca="1" ref="F64" ca="1">DSUM(MercadoBase1,F$53,INDIRECT("r"&amp;5+2*(ROW()-54)&amp;":r"&amp;6+2*(ROW()-54)))</f>
        <v>0</v>
      </c>
      <c r="G64" s="959" cm="1">
        <f t="array" aca="1" ref="G64" ca="1">DSUM(MercadoBase1,G$53,INDIRECT("r"&amp;5+2*(ROW()-54)&amp;":r"&amp;6+2*(ROW()-54)))</f>
        <v>11568.094007952526</v>
      </c>
      <c r="H64" s="959" cm="1">
        <f t="array" aca="1" ref="H64" ca="1">DSUM(MercadoBase1,H$53,INDIRECT("r"&amp;5+2*(ROW()-54)&amp;":r"&amp;6+2*(ROW()-54)))</f>
        <v>73529.189296393859</v>
      </c>
      <c r="I64" s="959" cm="1">
        <f t="array" aca="1" ref="I64" ca="1">DSUM(MercadoBase1,I$53,INDIRECT("r"&amp;5+2*(ROW()-54)&amp;":r"&amp;6+2*(ROW()-54)))</f>
        <v>2836.5978218975638</v>
      </c>
      <c r="J64" s="959" cm="1">
        <f t="array" aca="1" ref="J64" ca="1">DSUM(MercadoBase1,J$53,INDIRECT("r"&amp;5+2*(ROW()-54)&amp;":r"&amp;6+2*(ROW()-54)))</f>
        <v>0</v>
      </c>
      <c r="K64" s="959" cm="1">
        <f t="array" aca="1" ref="K64" ca="1">DSUM(MercadoBase1,K$53,INDIRECT("r"&amp;5+2*(ROW()-54)&amp;":r"&amp;6+2*(ROW()-54)))</f>
        <v>0</v>
      </c>
      <c r="L64" s="959" cm="1">
        <f t="array" aca="1" ref="L64" ca="1">DSUM(MercadoBase1,L$53,INDIRECT("r"&amp;5+2*(ROW()-54)&amp;":r"&amp;6+2*(ROW()-54)))</f>
        <v>0</v>
      </c>
      <c r="M64" s="959" cm="1">
        <f t="array" aca="1" ref="M64" ca="1">DSUM(MercadoBase1,M$53,INDIRECT("r"&amp;5+2*(ROW()-54)&amp;":r"&amp;6+2*(ROW()-54)))</f>
        <v>0</v>
      </c>
      <c r="N64" s="959" cm="1">
        <f t="array" aca="1" ref="N64" ca="1">DSUM(MercadoBase1,N$53,INDIRECT("r"&amp;5+2*(ROW()-54)&amp;":r"&amp;6+2*(ROW()-54)))</f>
        <v>0</v>
      </c>
      <c r="O64" s="959" cm="1">
        <f t="array" aca="1" ref="O64" ca="1">DSUM(MercadoBase1,O$53,INDIRECT("r"&amp;5+2*(ROW()-54)&amp;":r"&amp;6+2*(ROW()-54)))</f>
        <v>0</v>
      </c>
      <c r="P64" s="959" cm="1">
        <f t="array" aca="1" ref="P64" ca="1">DSUM(MercadoBase1,P$53,INDIRECT("r"&amp;5+2*(ROW()-54)&amp;":r"&amp;6+2*(ROW()-54)))</f>
        <v>0</v>
      </c>
      <c r="Q64" s="966" cm="1">
        <f t="array" aca="1" ref="Q64" ca="1">DSUM(MercadoBase1,Q$53,INDIRECT("r"&amp;5+2*(ROW()-54)&amp;":r"&amp;6+2*(ROW()-54)))</f>
        <v>0</v>
      </c>
      <c r="R64" s="960">
        <f>VLOOKUP(CAPA!$C$17,Índices!B:F,5,FALSE)/VLOOKUP(DATE(YEAR(B64),MONTH(B64),1),Índices!B:F,5,FALSE)</f>
        <v>1.0101531560893695</v>
      </c>
      <c r="S64" s="967" cm="1">
        <f t="array" aca="1" ref="S64" ca="1">DSUM(MercadoBase1,S$53,INDIRECT("r"&amp;5+2*(ROW()-54)&amp;":r"&amp;6+2*(ROW()-54)))</f>
        <v>0</v>
      </c>
      <c r="T64" s="959" cm="1">
        <f t="array" aca="1" ref="T64" ca="1">DSUM(MercadoBase1,T$53,INDIRECT("r"&amp;5+2*(ROW()-54)&amp;":r"&amp;6+2*(ROW()-54)))</f>
        <v>0</v>
      </c>
      <c r="U64" s="959" cm="1">
        <f t="array" aca="1" ref="U64" ca="1">DSUM(MercadoBase1,U$53,INDIRECT("r"&amp;5+2*(ROW()-54)&amp;":r"&amp;6+2*(ROW()-54)))</f>
        <v>0</v>
      </c>
      <c r="V64" s="959" cm="1">
        <f t="array" aca="1" ref="V64" ca="1">DSUM(MercadoBase1,V$53,INDIRECT("r"&amp;5+2*(ROW()-54)&amp;":r"&amp;6+2*(ROW()-54)))</f>
        <v>0</v>
      </c>
      <c r="W64" s="959" cm="1">
        <f t="array" aca="1" ref="W64" ca="1">DSUM(MercadoBase1,W$53,INDIRECT("r"&amp;5+2*(ROW()-54)&amp;":r"&amp;6+2*(ROW()-54)))</f>
        <v>0</v>
      </c>
      <c r="X64" s="959" cm="1">
        <f t="array" aca="1" ref="X64" ca="1">DSUM(MercadoBase1,X$53,INDIRECT("r"&amp;5+2*(ROW()-54)&amp;":r"&amp;6+2*(ROW()-54)))</f>
        <v>0</v>
      </c>
      <c r="Y64" s="959" cm="1">
        <f t="array" aca="1" ref="Y64" ca="1">DSUM(MercadoBase1,Y$53,INDIRECT("r"&amp;5+2*(ROW()-54)&amp;":r"&amp;6+2*(ROW()-54)))</f>
        <v>0</v>
      </c>
      <c r="Z64" s="959" cm="1">
        <f t="array" aca="1" ref="Z64" ca="1">DSUM(MercadoBase1,Z$53,INDIRECT("r"&amp;5+2*(ROW()-54)&amp;":r"&amp;6+2*(ROW()-54)))</f>
        <v>607477.2618911959</v>
      </c>
      <c r="AA64" s="959" cm="1">
        <f t="array" aca="1" ref="AA64" ca="1">DSUM(MercadoBase1,AA$53,INDIRECT("r"&amp;5+2*(ROW()-54)&amp;":r"&amp;6+2*(ROW()-54)))</f>
        <v>0</v>
      </c>
      <c r="AB64" s="959" cm="1">
        <f t="array" aca="1" ref="AB64" ca="1">DSUM(MercadoBase1,AB$53,INDIRECT("r"&amp;5+2*(ROW()-54)&amp;":r"&amp;6+2*(ROW()-54)))</f>
        <v>0</v>
      </c>
    </row>
    <row r="65" spans="2:28" ht="15" customHeight="1">
      <c r="B65" s="957">
        <f>DATE(YEAR(CAPA!$C$15),MONTH(CAPA!$C$15)-1,1)</f>
        <v>44713</v>
      </c>
      <c r="C65" s="958"/>
      <c r="D65" s="1668" cm="1">
        <f t="array" aca="1" ref="D65" ca="1">DSUM(MercadoBase1,D$53,INDIRECT("r"&amp;5+2*(ROW()-54)&amp;":r"&amp;6+2*(ROW()-54)))</f>
        <v>0</v>
      </c>
      <c r="E65" s="1668" cm="1">
        <f t="array" aca="1" ref="E65" ca="1">DSUM(MercadoBase1,E$53,INDIRECT("r"&amp;5+2*(ROW()-54)&amp;":r"&amp;6+2*(ROW()-54)))</f>
        <v>0</v>
      </c>
      <c r="F65" s="959" cm="1">
        <f t="array" aca="1" ref="F65" ca="1">DSUM(MercadoBase1,F$53,INDIRECT("r"&amp;5+2*(ROW()-54)&amp;":r"&amp;6+2*(ROW()-54)))</f>
        <v>0</v>
      </c>
      <c r="G65" s="1668" cm="1">
        <f t="array" aca="1" ref="G65" ca="1">DSUM(MercadoBase1,G$53,INDIRECT("r"&amp;5+2*(ROW()-54)&amp;":r"&amp;6+2*(ROW()-54)))</f>
        <v>11939.821716286986</v>
      </c>
      <c r="H65" s="1668" cm="1">
        <f t="array" aca="1" ref="H65" ca="1">DSUM(MercadoBase1,H$53,INDIRECT("r"&amp;5+2*(ROW()-54)&amp;":r"&amp;6+2*(ROW()-54)))</f>
        <v>76047.413648145972</v>
      </c>
      <c r="I65" s="959" cm="1">
        <f t="array" aca="1" ref="I65" ca="1">DSUM(MercadoBase1,I$53,INDIRECT("r"&amp;5+2*(ROW()-54)&amp;":r"&amp;6+2*(ROW()-54)))</f>
        <v>2968.6496406756291</v>
      </c>
      <c r="J65" s="1668" cm="1">
        <f t="array" aca="1" ref="J65" ca="1">DSUM(MercadoBase1,J$53,INDIRECT("r"&amp;5+2*(ROW()-54)&amp;":r"&amp;6+2*(ROW()-54)))</f>
        <v>0</v>
      </c>
      <c r="K65" s="1668" cm="1">
        <f t="array" aca="1" ref="K65" ca="1">DSUM(MercadoBase1,K$53,INDIRECT("r"&amp;5+2*(ROW()-54)&amp;":r"&amp;6+2*(ROW()-54)))</f>
        <v>0</v>
      </c>
      <c r="L65" s="959" cm="1">
        <f t="array" aca="1" ref="L65" ca="1">DSUM(MercadoBase1,L$53,INDIRECT("r"&amp;5+2*(ROW()-54)&amp;":r"&amp;6+2*(ROW()-54)))</f>
        <v>0</v>
      </c>
      <c r="M65" s="1668" cm="1">
        <f t="array" aca="1" ref="M65" ca="1">DSUM(MercadoBase1,M$53,INDIRECT("r"&amp;5+2*(ROW()-54)&amp;":r"&amp;6+2*(ROW()-54)))</f>
        <v>0</v>
      </c>
      <c r="N65" s="1668" cm="1">
        <f t="array" aca="1" ref="N65" ca="1">DSUM(MercadoBase1,N$53,INDIRECT("r"&amp;5+2*(ROW()-54)&amp;":r"&amp;6+2*(ROW()-54)))</f>
        <v>0</v>
      </c>
      <c r="O65" s="959" cm="1">
        <f t="array" aca="1" ref="O65" ca="1">DSUM(MercadoBase1,O$53,INDIRECT("r"&amp;5+2*(ROW()-54)&amp;":r"&amp;6+2*(ROW()-54)))</f>
        <v>0</v>
      </c>
      <c r="P65" s="1668" cm="1">
        <f t="array" aca="1" ref="P65" ca="1">DSUM(MercadoBase1,P$53,INDIRECT("r"&amp;5+2*(ROW()-54)&amp;":r"&amp;6+2*(ROW()-54)))</f>
        <v>0</v>
      </c>
      <c r="Q65" s="1669" cm="1">
        <f t="array" aca="1" ref="Q65" ca="1">DSUM(MercadoBase1,Q$53,INDIRECT("r"&amp;5+2*(ROW()-54)&amp;":r"&amp;6+2*(ROW()-54)))</f>
        <v>0</v>
      </c>
      <c r="R65" s="1670">
        <f>VLOOKUP(CAPA!$C$17,Índices!B:F,5,FALSE)/VLOOKUP(DATE(YEAR(B65),MONTH(B65),1),Índices!B:F,5,FALSE)</f>
        <v>1</v>
      </c>
      <c r="S65" s="967" cm="1">
        <f t="array" aca="1" ref="S65" ca="1">DSUM(MercadoBase1,S$53,INDIRECT("r"&amp;5+2*(ROW()-54)&amp;":r"&amp;6+2*(ROW()-54)))</f>
        <v>0</v>
      </c>
      <c r="T65" s="1668" cm="1">
        <f t="array" aca="1" ref="T65" ca="1">DSUM(MercadoBase1,T$53,INDIRECT("r"&amp;5+2*(ROW()-54)&amp;":r"&amp;6+2*(ROW()-54)))</f>
        <v>0</v>
      </c>
      <c r="U65" s="1668" cm="1">
        <f t="array" aca="1" ref="U65" ca="1">DSUM(MercadoBase1,U$53,INDIRECT("r"&amp;5+2*(ROW()-54)&amp;":r"&amp;6+2*(ROW()-54)))</f>
        <v>0</v>
      </c>
      <c r="V65" s="959" cm="1">
        <f t="array" aca="1" ref="V65" ca="1">DSUM(MercadoBase1,V$53,INDIRECT("r"&amp;5+2*(ROW()-54)&amp;":r"&amp;6+2*(ROW()-54)))</f>
        <v>0</v>
      </c>
      <c r="W65" s="1668" cm="1">
        <f t="array" aca="1" ref="W65" ca="1">DSUM(MercadoBase1,W$53,INDIRECT("r"&amp;5+2*(ROW()-54)&amp;":r"&amp;6+2*(ROW()-54)))</f>
        <v>0</v>
      </c>
      <c r="X65" s="1668" cm="1">
        <f t="array" aca="1" ref="X65" ca="1">DSUM(MercadoBase1,X$53,INDIRECT("r"&amp;5+2*(ROW()-54)&amp;":r"&amp;6+2*(ROW()-54)))</f>
        <v>0</v>
      </c>
      <c r="Y65" s="959" cm="1">
        <f t="array" aca="1" ref="Y65" ca="1">DSUM(MercadoBase1,Y$53,INDIRECT("r"&amp;5+2*(ROW()-54)&amp;":r"&amp;6+2*(ROW()-54)))</f>
        <v>0</v>
      </c>
      <c r="Z65" s="1668" cm="1">
        <f t="array" aca="1" ref="Z65" ca="1">DSUM(MercadoBase1,Z$53,INDIRECT("r"&amp;5+2*(ROW()-54)&amp;":r"&amp;6+2*(ROW()-54)))</f>
        <v>639920.87868019193</v>
      </c>
      <c r="AA65" s="1668" cm="1">
        <f t="array" aca="1" ref="AA65" ca="1">DSUM(MercadoBase1,AA$53,INDIRECT("r"&amp;5+2*(ROW()-54)&amp;":r"&amp;6+2*(ROW()-54)))</f>
        <v>0</v>
      </c>
      <c r="AB65" s="959" cm="1">
        <f t="array" aca="1" ref="AB65" ca="1">DSUM(MercadoBase1,AB$53,INDIRECT("r"&amp;5+2*(ROW()-54)&amp;":r"&amp;6+2*(ROW()-54)))</f>
        <v>0</v>
      </c>
    </row>
    <row r="66" spans="2:28" ht="15" customHeight="1">
      <c r="B66" s="1392" t="s">
        <v>1070</v>
      </c>
      <c r="C66" s="1393"/>
      <c r="D66" s="1394">
        <f ca="1">SUM(D54:D65)</f>
        <v>0</v>
      </c>
      <c r="E66" s="1394">
        <f t="shared" ref="E66:Q66" ca="1" si="3">SUM(E54:E65)</f>
        <v>0</v>
      </c>
      <c r="F66" s="1394">
        <f t="shared" ca="1" si="3"/>
        <v>0</v>
      </c>
      <c r="G66" s="1394">
        <f ca="1">SUM(G54:G65)</f>
        <v>146810.52036774775</v>
      </c>
      <c r="H66" s="1394">
        <f t="shared" ca="1" si="3"/>
        <v>938941.61184217362</v>
      </c>
      <c r="I66" s="1394">
        <f t="shared" ca="1" si="3"/>
        <v>35330.602821184402</v>
      </c>
      <c r="J66" s="1394">
        <f t="shared" ca="1" si="3"/>
        <v>0</v>
      </c>
      <c r="K66" s="1394">
        <f t="shared" ca="1" si="3"/>
        <v>0</v>
      </c>
      <c r="L66" s="1394">
        <f t="shared" ca="1" si="3"/>
        <v>0</v>
      </c>
      <c r="M66" s="1394">
        <f t="shared" ca="1" si="3"/>
        <v>0</v>
      </c>
      <c r="N66" s="1394">
        <f t="shared" ca="1" si="3"/>
        <v>0</v>
      </c>
      <c r="O66" s="1394">
        <f t="shared" ca="1" si="3"/>
        <v>0</v>
      </c>
      <c r="P66" s="1394">
        <f t="shared" ca="1" si="3"/>
        <v>0</v>
      </c>
      <c r="Q66" s="1394">
        <f t="shared" ca="1" si="3"/>
        <v>0</v>
      </c>
      <c r="R66" s="1668"/>
      <c r="S66" s="1394">
        <f t="shared" ref="S66:AB66" ca="1" si="4">SUM(S54:S65)</f>
        <v>0</v>
      </c>
      <c r="T66" s="1394">
        <f t="shared" ca="1" si="4"/>
        <v>0</v>
      </c>
      <c r="U66" s="1394">
        <f t="shared" ca="1" si="4"/>
        <v>0</v>
      </c>
      <c r="V66" s="1394">
        <f t="shared" ca="1" si="4"/>
        <v>0</v>
      </c>
      <c r="W66" s="1394">
        <f t="shared" ca="1" si="4"/>
        <v>0</v>
      </c>
      <c r="X66" s="1394">
        <f t="shared" ca="1" si="4"/>
        <v>0</v>
      </c>
      <c r="Y66" s="1394">
        <f t="shared" ca="1" si="4"/>
        <v>0</v>
      </c>
      <c r="Z66" s="1394">
        <f t="shared" ca="1" si="4"/>
        <v>7650089.9642563974</v>
      </c>
      <c r="AA66" s="1394">
        <f t="shared" ca="1" si="4"/>
        <v>0</v>
      </c>
      <c r="AB66" s="1394">
        <f t="shared" ca="1" si="4"/>
        <v>0</v>
      </c>
    </row>
    <row r="67" spans="2:28" ht="15" customHeight="1">
      <c r="B67" s="1395" t="s">
        <v>1548</v>
      </c>
      <c r="C67" s="1396"/>
      <c r="D67" s="1397">
        <f t="shared" ref="D67:AB67" ca="1" si="5">SUMPRODUCT(D54:D65,$R$54:$R$65)</f>
        <v>0</v>
      </c>
      <c r="E67" s="1398">
        <f t="shared" ca="1" si="5"/>
        <v>0</v>
      </c>
      <c r="F67" s="1671">
        <f t="shared" ca="1" si="5"/>
        <v>0</v>
      </c>
      <c r="G67" s="1398">
        <f t="shared" ca="1" si="5"/>
        <v>153746.58772567828</v>
      </c>
      <c r="H67" s="1398">
        <f t="shared" ca="1" si="5"/>
        <v>983412.17437668482</v>
      </c>
      <c r="I67" s="1671">
        <f t="shared" ca="1" si="5"/>
        <v>36994.444036098626</v>
      </c>
      <c r="J67" s="1397">
        <f t="shared" ca="1" si="5"/>
        <v>0</v>
      </c>
      <c r="K67" s="1398">
        <f t="shared" ca="1" si="5"/>
        <v>0</v>
      </c>
      <c r="L67" s="1671">
        <f t="shared" ca="1" si="5"/>
        <v>0</v>
      </c>
      <c r="M67" s="1398">
        <f t="shared" ca="1" si="5"/>
        <v>0</v>
      </c>
      <c r="N67" s="1398">
        <f t="shared" ca="1" si="5"/>
        <v>0</v>
      </c>
      <c r="O67" s="1671">
        <f t="shared" ca="1" si="5"/>
        <v>0</v>
      </c>
      <c r="P67" s="1397">
        <f t="shared" ca="1" si="5"/>
        <v>0</v>
      </c>
      <c r="Q67" s="1397">
        <f t="shared" ca="1" si="5"/>
        <v>0</v>
      </c>
      <c r="R67" s="1398">
        <f t="shared" si="5"/>
        <v>13.165388547125795</v>
      </c>
      <c r="S67" s="1671">
        <f t="shared" ca="1" si="5"/>
        <v>0</v>
      </c>
      <c r="T67" s="1398">
        <f t="shared" ca="1" si="5"/>
        <v>0</v>
      </c>
      <c r="U67" s="1398">
        <f t="shared" ca="1" si="5"/>
        <v>0</v>
      </c>
      <c r="V67" s="1671">
        <f t="shared" ca="1" si="5"/>
        <v>0</v>
      </c>
      <c r="W67" s="1397">
        <f t="shared" ca="1" si="5"/>
        <v>0</v>
      </c>
      <c r="X67" s="1398">
        <f t="shared" ca="1" si="5"/>
        <v>0</v>
      </c>
      <c r="Y67" s="1671">
        <f t="shared" ca="1" si="5"/>
        <v>0</v>
      </c>
      <c r="Z67" s="1398">
        <f t="shared" ca="1" si="5"/>
        <v>8011344.7336711073</v>
      </c>
      <c r="AA67" s="1398">
        <f t="shared" ca="1" si="5"/>
        <v>0</v>
      </c>
      <c r="AB67" s="1671">
        <f t="shared" ca="1" si="5"/>
        <v>0</v>
      </c>
    </row>
    <row r="71" spans="2:28" ht="15" customHeight="1">
      <c r="H71" s="968"/>
      <c r="J71" s="968"/>
    </row>
    <row r="72" spans="2:28" ht="15" customHeight="1">
      <c r="H72" s="968"/>
      <c r="J72" s="968"/>
    </row>
    <row r="73" spans="2:28" ht="15" customHeight="1">
      <c r="H73" s="968"/>
      <c r="J73" s="968"/>
    </row>
    <row r="74" spans="2:28" ht="15" customHeight="1">
      <c r="H74" s="968"/>
      <c r="J74" s="968"/>
    </row>
    <row r="75" spans="2:28" ht="15" customHeight="1">
      <c r="H75" s="968"/>
      <c r="J75" s="968"/>
    </row>
    <row r="76" spans="2:28" ht="15" customHeight="1">
      <c r="H76" s="968"/>
      <c r="J76" s="968"/>
    </row>
    <row r="77" spans="2:28" ht="15" customHeight="1">
      <c r="H77" s="968"/>
      <c r="J77" s="968"/>
    </row>
    <row r="78" spans="2:28" ht="15" customHeight="1">
      <c r="H78" s="968"/>
      <c r="J78" s="968"/>
    </row>
    <row r="79" spans="2:28" ht="15" customHeight="1">
      <c r="H79" s="968"/>
      <c r="J79" s="968"/>
    </row>
    <row r="80" spans="2:28" ht="15" customHeight="1">
      <c r="H80" s="968"/>
      <c r="J80" s="968"/>
    </row>
    <row r="81" spans="8:10" ht="15" customHeight="1">
      <c r="H81" s="968"/>
      <c r="J81" s="968"/>
    </row>
    <row r="82" spans="8:10" ht="15" customHeight="1">
      <c r="H82" s="968"/>
      <c r="J82" s="968"/>
    </row>
  </sheetData>
  <pageMargins left="0.3" right="0.35" top="1" bottom="1" header="0.49212598499999999" footer="0.49212598499999999"/>
  <pageSetup paperSize="9" scale="40" orientation="landscape" r:id="rId1"/>
  <headerFooter alignWithMargins="0"/>
  <legacyDrawing r:id="rId2"/>
  <tableParts count="1"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68645-B64B-40F4-B5EF-72CCA4127FB9}">
  <sheetPr codeName="Planilha4">
    <tabColor rgb="FFFFFF00"/>
  </sheetPr>
  <dimension ref="A1:N19"/>
  <sheetViews>
    <sheetView showGridLines="0" workbookViewId="0">
      <selection activeCell="H27" sqref="H27"/>
    </sheetView>
  </sheetViews>
  <sheetFormatPr defaultColWidth="9.140625" defaultRowHeight="15.75"/>
  <cols>
    <col min="1" max="1" width="22" style="18" bestFit="1" customWidth="1"/>
    <col min="2" max="2" width="14" style="18" bestFit="1" customWidth="1"/>
    <col min="3" max="3" width="14.5703125" style="18" bestFit="1" customWidth="1"/>
    <col min="4" max="4" width="13.85546875" style="18" bestFit="1" customWidth="1"/>
    <col min="5" max="5" width="9.140625" style="18"/>
    <col min="6" max="6" width="14" style="18" bestFit="1" customWidth="1"/>
    <col min="7" max="7" width="14.5703125" style="18" bestFit="1" customWidth="1"/>
    <col min="8" max="8" width="13.5703125" style="18" bestFit="1" customWidth="1"/>
    <col min="9" max="9" width="9.140625" style="18"/>
    <col min="10" max="10" width="13.5703125" style="18" bestFit="1" customWidth="1"/>
    <col min="11" max="11" width="11.85546875" style="18" bestFit="1" customWidth="1"/>
    <col min="12" max="12" width="10.5703125" style="18" bestFit="1" customWidth="1"/>
    <col min="13" max="16384" width="9.140625" style="18"/>
  </cols>
  <sheetData>
    <row r="1" spans="1:14">
      <c r="A1" s="867" t="str">
        <f>CAPA!C9</f>
        <v>Ceris</v>
      </c>
    </row>
    <row r="3" spans="1:14">
      <c r="A3" s="867" t="s">
        <v>1549</v>
      </c>
      <c r="B3" s="868">
        <v>0</v>
      </c>
    </row>
    <row r="7" spans="1:14">
      <c r="A7" s="869"/>
      <c r="B7" s="1779" t="s">
        <v>1550</v>
      </c>
      <c r="C7" s="1779"/>
      <c r="D7" s="1779"/>
      <c r="E7" s="869"/>
      <c r="F7" s="1779" t="s">
        <v>1551</v>
      </c>
      <c r="G7" s="1779"/>
      <c r="H7" s="1779"/>
      <c r="I7" s="869"/>
      <c r="J7" s="1779" t="s">
        <v>1552</v>
      </c>
      <c r="K7" s="1779"/>
      <c r="L7" s="1779"/>
    </row>
    <row r="8" spans="1:14">
      <c r="A8" s="1399" t="s">
        <v>1553</v>
      </c>
      <c r="B8" s="1399" t="s">
        <v>1554</v>
      </c>
      <c r="C8" s="1399" t="s">
        <v>148</v>
      </c>
      <c r="D8" s="1399" t="s">
        <v>1555</v>
      </c>
      <c r="E8" s="1399"/>
      <c r="F8" s="1399" t="s">
        <v>1554</v>
      </c>
      <c r="G8" s="1399" t="s">
        <v>1556</v>
      </c>
      <c r="H8" s="1399" t="s">
        <v>1557</v>
      </c>
      <c r="I8" s="1399"/>
      <c r="J8" s="1399" t="s">
        <v>1554</v>
      </c>
      <c r="K8" s="1399" t="s">
        <v>1556</v>
      </c>
      <c r="L8" s="1399" t="s">
        <v>1558</v>
      </c>
    </row>
    <row r="9" spans="1:14">
      <c r="A9" s="1400">
        <v>44013</v>
      </c>
      <c r="B9" s="1401">
        <f>SUMIFS(BDCOVID!F:F,BDCOVID!$C:$C,'Conta covid'!$A$1,BDCOVID!$AH:$AH,'Conta covid'!$A9)</f>
        <v>0</v>
      </c>
      <c r="C9" s="1401">
        <f>SUMIFS(BDCOVID!G:G,BDCOVID!$C:$C,'Conta covid'!$A$1,BDCOVID!$AH:$AH,'Conta covid'!$A9)</f>
        <v>0</v>
      </c>
      <c r="D9" s="1402">
        <f>B9-C9</f>
        <v>0</v>
      </c>
      <c r="E9" s="1401"/>
      <c r="F9" s="1403">
        <f>B9*VLOOKUP(SAS_RA0_DataFim,Índices!$B$6:$F$405,5,FALSE)/VLOOKUP(EDATE('Conta covid'!$A9,-1),Índices!$B$6:$F$405,5,FALSE)</f>
        <v>0</v>
      </c>
      <c r="G9" s="1403">
        <f>C9*VLOOKUP(SAS_RA0_DataFim,Índices!$B$6:$F$405,5,FALSE)/VLOOKUP(EDATE('Conta covid'!$A9,-1),Índices!$B$6:$F$405,5,FALSE)</f>
        <v>0</v>
      </c>
      <c r="H9" s="1403">
        <f>F9-G9</f>
        <v>0</v>
      </c>
      <c r="I9" s="1401"/>
      <c r="J9" s="1403">
        <f>IFERROR(IF($C$19,H9*$B$3,0),0)</f>
        <v>0</v>
      </c>
      <c r="K9" s="1403"/>
      <c r="L9" s="1403"/>
    </row>
    <row r="10" spans="1:14">
      <c r="A10" s="1400">
        <v>44044</v>
      </c>
      <c r="B10" s="1401">
        <f>SUMIFS(BDCOVID!F:F,BDCOVID!$C:$C,'Conta covid'!$A$1,BDCOVID!$AH:$AH,'Conta covid'!$A10)</f>
        <v>0</v>
      </c>
      <c r="C10" s="1401">
        <f>SUMIFS(BDCOVID!G:G,BDCOVID!$C:$C,'Conta covid'!$A$1,BDCOVID!$AH:$AH,'Conta covid'!$A10)</f>
        <v>0</v>
      </c>
      <c r="D10" s="1402">
        <f t="shared" ref="D10:D15" si="0">B10-C10</f>
        <v>0</v>
      </c>
      <c r="E10" s="1401"/>
      <c r="F10" s="1403">
        <f>B10*VLOOKUP(SAS_RA0_DataFim,Índices!$B$6:$F$405,5,FALSE)/VLOOKUP(EDATE('Conta covid'!$A10,-1),Índices!$B$6:$F$405,5,FALSE)</f>
        <v>0</v>
      </c>
      <c r="G10" s="1403">
        <f>C10*VLOOKUP(SAS_RA0_DataFim,Índices!$B$6:$F$405,5,FALSE)/VLOOKUP(EDATE('Conta covid'!$A10,-1),Índices!$B$6:$F$405,5,FALSE)</f>
        <v>0</v>
      </c>
      <c r="H10" s="1403">
        <f t="shared" ref="H10:H15" si="1">F10-G10</f>
        <v>0</v>
      </c>
      <c r="I10" s="1401"/>
      <c r="J10" s="1403">
        <f t="shared" ref="J10:J16" si="2">IFERROR(IF($C$19,H10*$B$3,0),0)</f>
        <v>0</v>
      </c>
      <c r="K10" s="1403"/>
      <c r="L10" s="1403"/>
    </row>
    <row r="11" spans="1:14">
      <c r="A11" s="1400">
        <v>44075</v>
      </c>
      <c r="B11" s="1401">
        <f>SUMIFS(BDCOVID!F:F,BDCOVID!$C:$C,'Conta covid'!$A$1,BDCOVID!$AH:$AH,'Conta covid'!$A11)</f>
        <v>0</v>
      </c>
      <c r="C11" s="1401">
        <f>SUMIFS(BDCOVID!G:G,BDCOVID!$C:$C,'Conta covid'!$A$1,BDCOVID!$AH:$AH,'Conta covid'!$A11)</f>
        <v>0</v>
      </c>
      <c r="D11" s="1402">
        <f t="shared" si="0"/>
        <v>0</v>
      </c>
      <c r="E11" s="1401"/>
      <c r="F11" s="1403">
        <f>B11*VLOOKUP(SAS_RA0_DataFim,Índices!$B$6:$F$405,5,FALSE)/VLOOKUP(EDATE('Conta covid'!$A11,-1),Índices!$B$6:$F$405,5,FALSE)</f>
        <v>0</v>
      </c>
      <c r="G11" s="1403">
        <f>C11*VLOOKUP(SAS_RA0_DataFim,Índices!$B$6:$F$405,5,FALSE)/VLOOKUP(EDATE('Conta covid'!$A11,-1),Índices!$B$6:$F$405,5,FALSE)</f>
        <v>0</v>
      </c>
      <c r="H11" s="1403">
        <f t="shared" si="1"/>
        <v>0</v>
      </c>
      <c r="I11" s="1401"/>
      <c r="J11" s="1403">
        <f t="shared" si="2"/>
        <v>0</v>
      </c>
      <c r="K11" s="1403"/>
      <c r="L11" s="1403"/>
    </row>
    <row r="12" spans="1:14">
      <c r="A12" s="1400">
        <v>44105</v>
      </c>
      <c r="B12" s="1401">
        <f>SUMIFS(BDCOVID!F:F,BDCOVID!$C:$C,'Conta covid'!$A$1,BDCOVID!$AH:$AH,'Conta covid'!$A12)</f>
        <v>0</v>
      </c>
      <c r="C12" s="1401">
        <f>SUMIFS(BDCOVID!G:G,BDCOVID!$C:$C,'Conta covid'!$A$1,BDCOVID!$AH:$AH,'Conta covid'!$A12)</f>
        <v>0</v>
      </c>
      <c r="D12" s="1402">
        <f t="shared" si="0"/>
        <v>0</v>
      </c>
      <c r="E12" s="1401"/>
      <c r="F12" s="1403">
        <f>B12*VLOOKUP(SAS_RA0_DataFim,Índices!$B$6:$F$405,5,FALSE)/VLOOKUP(EDATE('Conta covid'!$A12,-1),Índices!$B$6:$F$405,5,FALSE)</f>
        <v>0</v>
      </c>
      <c r="G12" s="1403">
        <f>C12*VLOOKUP(SAS_RA0_DataFim,Índices!$B$6:$F$405,5,FALSE)/VLOOKUP(EDATE('Conta covid'!$A12,-1),Índices!$B$6:$F$405,5,FALSE)</f>
        <v>0</v>
      </c>
      <c r="H12" s="1403">
        <f t="shared" si="1"/>
        <v>0</v>
      </c>
      <c r="I12" s="1401"/>
      <c r="J12" s="1403">
        <f t="shared" si="2"/>
        <v>0</v>
      </c>
      <c r="K12" s="1403"/>
      <c r="L12" s="1403"/>
    </row>
    <row r="13" spans="1:14">
      <c r="A13" s="1400">
        <v>44136</v>
      </c>
      <c r="B13" s="1401">
        <f>SUMIFS(BDCOVID!F:F,BDCOVID!$C:$C,'Conta covid'!$A$1,BDCOVID!$AH:$AH,'Conta covid'!$A13)</f>
        <v>0</v>
      </c>
      <c r="C13" s="1401">
        <f>SUMIFS(BDCOVID!G:G,BDCOVID!$C:$C,'Conta covid'!$A$1,BDCOVID!$AH:$AH,'Conta covid'!$A13)</f>
        <v>0</v>
      </c>
      <c r="D13" s="1402">
        <f t="shared" si="0"/>
        <v>0</v>
      </c>
      <c r="E13" s="1401"/>
      <c r="F13" s="1403">
        <f>B13*VLOOKUP(SAS_RA0_DataFim,Índices!$B$6:$F$405,5,FALSE)/VLOOKUP(EDATE('Conta covid'!$A13,-1),Índices!$B$6:$F$405,5,FALSE)</f>
        <v>0</v>
      </c>
      <c r="G13" s="1403">
        <f>C13*VLOOKUP(SAS_RA0_DataFim,Índices!$B$6:$F$405,5,FALSE)/VLOOKUP(EDATE('Conta covid'!$A13,-1),Índices!$B$6:$F$405,5,FALSE)</f>
        <v>0</v>
      </c>
      <c r="H13" s="1403">
        <f t="shared" si="1"/>
        <v>0</v>
      </c>
      <c r="I13" s="1401"/>
      <c r="J13" s="1403">
        <f t="shared" si="2"/>
        <v>0</v>
      </c>
      <c r="K13" s="1403"/>
      <c r="L13" s="1403"/>
      <c r="M13" s="870">
        <f t="shared" ref="M13:N13" si="3">SUM(M5:M12)</f>
        <v>0</v>
      </c>
      <c r="N13" s="870">
        <f t="shared" si="3"/>
        <v>0</v>
      </c>
    </row>
    <row r="14" spans="1:14">
      <c r="A14" s="1400">
        <v>44166</v>
      </c>
      <c r="B14" s="1401">
        <f>SUMIFS(BDCOVID!F:F,BDCOVID!$C:$C,'Conta covid'!$A$1,BDCOVID!$AH:$AH,'Conta covid'!$A14)</f>
        <v>0</v>
      </c>
      <c r="C14" s="1401">
        <f>SUMIFS(BDCOVID!G:G,BDCOVID!$C:$C,'Conta covid'!$A$1,BDCOVID!$AH:$AH,'Conta covid'!$A14)</f>
        <v>0</v>
      </c>
      <c r="D14" s="1402">
        <f t="shared" si="0"/>
        <v>0</v>
      </c>
      <c r="E14" s="1401"/>
      <c r="F14" s="1403">
        <f>B14*VLOOKUP(SAS_RA0_DataFim,Índices!$B$6:$F$405,5,FALSE)/VLOOKUP(EDATE('Conta covid'!$A14,-1),Índices!$B$6:$F$405,5,FALSE)</f>
        <v>0</v>
      </c>
      <c r="G14" s="1403">
        <f>C14*VLOOKUP(SAS_RA0_DataFim,Índices!$B$6:$F$405,5,FALSE)/VLOOKUP(EDATE('Conta covid'!$A14,-1),Índices!$B$6:$F$405,5,FALSE)</f>
        <v>0</v>
      </c>
      <c r="H14" s="1403">
        <f t="shared" si="1"/>
        <v>0</v>
      </c>
      <c r="I14" s="1401"/>
      <c r="J14" s="1403">
        <f t="shared" si="2"/>
        <v>0</v>
      </c>
      <c r="K14" s="1403"/>
      <c r="L14" s="1403"/>
    </row>
    <row r="15" spans="1:14">
      <c r="A15" s="1400">
        <v>44197</v>
      </c>
      <c r="B15" s="1401">
        <f>SUMIFS(BDCOVID!F:F,BDCOVID!$C:$C,'Conta covid'!$A$1,BDCOVID!$AH:$AH,'Conta covid'!$A15)</f>
        <v>0</v>
      </c>
      <c r="C15" s="1401">
        <f>SUMIFS(BDCOVID!G:G,BDCOVID!$C:$C,'Conta covid'!$A$1,BDCOVID!$AH:$AH,'Conta covid'!$A15)</f>
        <v>0</v>
      </c>
      <c r="D15" s="1402">
        <f t="shared" si="0"/>
        <v>0</v>
      </c>
      <c r="E15" s="1401"/>
      <c r="F15" s="1403">
        <f>B15*VLOOKUP(SAS_RA0_DataFim,Índices!$B$6:$F$405,5,FALSE)/VLOOKUP(EDATE('Conta covid'!$A15,-1),Índices!$B$6:$F$405,5,FALSE)</f>
        <v>0</v>
      </c>
      <c r="G15" s="1403">
        <f>C15*VLOOKUP(SAS_RA0_DataFim,Índices!$B$6:$F$405,5,FALSE)/VLOOKUP(EDATE('Conta covid'!$A15,-1),Índices!$B$6:$F$405,5,FALSE)</f>
        <v>0</v>
      </c>
      <c r="H15" s="1403">
        <f t="shared" si="1"/>
        <v>0</v>
      </c>
      <c r="I15" s="1401"/>
      <c r="J15" s="1403">
        <f t="shared" si="2"/>
        <v>0</v>
      </c>
      <c r="K15" s="1403"/>
      <c r="L15" s="1403"/>
    </row>
    <row r="16" spans="1:14">
      <c r="A16" s="1401"/>
      <c r="B16" s="1401"/>
      <c r="C16" s="1401"/>
      <c r="D16" s="1401"/>
      <c r="E16" s="1401"/>
      <c r="F16" s="1401"/>
      <c r="G16" s="1403"/>
      <c r="H16" s="1401"/>
      <c r="I16" s="1401"/>
      <c r="J16" s="1403">
        <f t="shared" si="2"/>
        <v>0</v>
      </c>
      <c r="K16" s="1401"/>
      <c r="L16" s="1401"/>
    </row>
    <row r="17" spans="1:12">
      <c r="A17" s="1404" t="s">
        <v>896</v>
      </c>
      <c r="B17" s="1405">
        <f>SUM(B9:B16)</f>
        <v>0</v>
      </c>
      <c r="C17" s="1405">
        <f t="shared" ref="C17:L17" si="4">SUM(C9:C16)</f>
        <v>0</v>
      </c>
      <c r="D17" s="1405">
        <f t="shared" si="4"/>
        <v>0</v>
      </c>
      <c r="E17" s="1405">
        <f t="shared" si="4"/>
        <v>0</v>
      </c>
      <c r="F17" s="1405">
        <f t="shared" si="4"/>
        <v>0</v>
      </c>
      <c r="G17" s="1405">
        <f t="shared" si="4"/>
        <v>0</v>
      </c>
      <c r="H17" s="1405">
        <f t="shared" si="4"/>
        <v>0</v>
      </c>
      <c r="I17" s="1405">
        <f t="shared" si="4"/>
        <v>0</v>
      </c>
      <c r="J17" s="1405">
        <f t="shared" si="4"/>
        <v>0</v>
      </c>
      <c r="K17" s="1405">
        <f t="shared" si="4"/>
        <v>0</v>
      </c>
      <c r="L17" s="1405">
        <f t="shared" si="4"/>
        <v>0</v>
      </c>
    </row>
    <row r="19" spans="1:12">
      <c r="C19" s="18" t="e">
        <f>B17/(-C17)&gt;1</f>
        <v>#DIV/0!</v>
      </c>
    </row>
  </sheetData>
  <mergeCells count="3">
    <mergeCell ref="B7:D7"/>
    <mergeCell ref="F7:H7"/>
    <mergeCell ref="J7:L7"/>
  </mergeCells>
  <pageMargins left="0.511811024" right="0.511811024" top="0.78740157499999996" bottom="0.78740157499999996" header="0.31496062000000002" footer="0.31496062000000002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Planilha2">
    <tabColor rgb="FFFFFF00"/>
  </sheetPr>
  <dimension ref="A1:V55"/>
  <sheetViews>
    <sheetView showGridLines="0" topLeftCell="B1" workbookViewId="0">
      <selection activeCell="H30" sqref="H30"/>
    </sheetView>
  </sheetViews>
  <sheetFormatPr defaultRowHeight="15.75"/>
  <cols>
    <col min="1" max="1" width="47.42578125" bestFit="1" customWidth="1"/>
    <col min="2" max="2" width="26.85546875" customWidth="1"/>
    <col min="3" max="3" width="14.28515625" customWidth="1"/>
    <col min="4" max="4" width="14" bestFit="1" customWidth="1"/>
    <col min="5" max="5" width="13.140625" bestFit="1" customWidth="1"/>
    <col min="6" max="6" width="11.28515625" customWidth="1"/>
    <col min="7" max="7" width="12.42578125" bestFit="1" customWidth="1"/>
    <col min="8" max="8" width="10" bestFit="1" customWidth="1"/>
    <col min="9" max="9" width="11" customWidth="1"/>
    <col min="10" max="11" width="10" bestFit="1" customWidth="1"/>
    <col min="12" max="12" width="11.5703125" bestFit="1" customWidth="1"/>
    <col min="13" max="13" width="10" bestFit="1" customWidth="1"/>
    <col min="14" max="14" width="11.5703125" bestFit="1" customWidth="1"/>
    <col min="15" max="17" width="10" bestFit="1" customWidth="1"/>
  </cols>
  <sheetData>
    <row r="1" spans="1:22" ht="17.25" thickBot="1">
      <c r="A1" s="688" t="s">
        <v>1559</v>
      </c>
      <c r="B1" s="302"/>
      <c r="C1" s="302"/>
      <c r="D1" s="302"/>
      <c r="E1" s="302"/>
      <c r="F1" s="302"/>
      <c r="G1" s="302"/>
      <c r="H1" s="302"/>
      <c r="I1" s="302"/>
      <c r="J1" s="302"/>
      <c r="K1" s="302"/>
      <c r="L1" s="302"/>
      <c r="M1" s="302"/>
      <c r="N1" s="302"/>
      <c r="O1" s="357"/>
      <c r="P1" s="357"/>
      <c r="Q1" s="357"/>
      <c r="R1" s="9"/>
      <c r="S1" s="9"/>
      <c r="T1" s="9"/>
      <c r="U1" s="9"/>
      <c r="V1" s="9"/>
    </row>
    <row r="2" spans="1:22">
      <c r="A2" s="687"/>
      <c r="B2" s="687"/>
      <c r="C2" s="687"/>
      <c r="D2" s="687"/>
      <c r="E2" s="687"/>
      <c r="F2" s="687"/>
      <c r="G2" s="687"/>
      <c r="H2" s="687"/>
      <c r="I2" s="687"/>
      <c r="J2" s="687"/>
      <c r="K2" s="687"/>
      <c r="L2" s="687"/>
      <c r="M2" s="687"/>
      <c r="N2" s="687"/>
      <c r="O2" s="357"/>
      <c r="P2" s="357"/>
      <c r="Q2" s="357"/>
      <c r="R2" s="9"/>
      <c r="S2" s="9"/>
      <c r="T2" s="9"/>
      <c r="U2" s="9"/>
      <c r="V2" s="9"/>
    </row>
    <row r="3" spans="1:22">
      <c r="A3" s="689" t="s">
        <v>1560</v>
      </c>
      <c r="B3" s="65"/>
      <c r="C3" s="65"/>
      <c r="D3" s="65"/>
      <c r="E3" s="65"/>
      <c r="F3" s="687"/>
      <c r="G3" s="357"/>
      <c r="H3" s="357"/>
      <c r="I3" s="689" t="s">
        <v>1561</v>
      </c>
      <c r="J3" s="357"/>
      <c r="K3" s="690"/>
      <c r="L3" s="9"/>
      <c r="M3" s="9"/>
      <c r="N3" s="687"/>
      <c r="O3" s="357"/>
      <c r="P3" s="357"/>
      <c r="Q3" s="357"/>
      <c r="R3" s="9"/>
      <c r="S3" s="9"/>
      <c r="T3" s="9"/>
      <c r="U3" s="9"/>
      <c r="V3" s="9"/>
    </row>
    <row r="4" spans="1:22" ht="25.5">
      <c r="A4" s="1406" t="s">
        <v>20</v>
      </c>
      <c r="B4" s="1407"/>
      <c r="C4" s="691" t="s">
        <v>984</v>
      </c>
      <c r="D4" s="691" t="s">
        <v>1562</v>
      </c>
      <c r="E4" s="691" t="s">
        <v>1563</v>
      </c>
      <c r="F4" s="691" t="s">
        <v>8</v>
      </c>
      <c r="G4" s="692" t="s">
        <v>1564</v>
      </c>
      <c r="H4" s="357"/>
      <c r="I4" s="1406" t="s">
        <v>20</v>
      </c>
      <c r="J4" s="1406"/>
      <c r="K4" s="1406"/>
      <c r="L4" s="691" t="s">
        <v>1563</v>
      </c>
      <c r="M4" s="691" t="s">
        <v>8</v>
      </c>
      <c r="N4" s="692" t="str">
        <f>G4</f>
        <v>Repasse CDE</v>
      </c>
      <c r="P4" s="357"/>
      <c r="Q4" s="357"/>
      <c r="R4" s="9"/>
      <c r="S4" s="9"/>
      <c r="T4" s="9"/>
      <c r="U4" s="9"/>
      <c r="V4" s="9"/>
    </row>
    <row r="5" spans="1:22">
      <c r="A5" s="1641" t="s">
        <v>101</v>
      </c>
      <c r="B5" s="1408"/>
      <c r="C5" s="1409">
        <f>SUMPRODUCT(C16:Q16,$C$22:$Q$22)</f>
        <v>0</v>
      </c>
      <c r="D5" s="696">
        <f>SUMPRODUCT(C28:Q28,$C$34:$Q$34)</f>
        <v>0</v>
      </c>
      <c r="E5" s="1410">
        <f>C5-D5</f>
        <v>0</v>
      </c>
      <c r="F5" s="1411">
        <f>Resultado!M9</f>
        <v>0</v>
      </c>
      <c r="G5" s="693">
        <f>F5+E5</f>
        <v>0</v>
      </c>
      <c r="H5" s="357"/>
      <c r="I5" s="1641" t="s">
        <v>101</v>
      </c>
      <c r="J5" s="1641"/>
      <c r="K5" s="1641"/>
      <c r="L5" s="1411">
        <f t="shared" ref="L5:N10" si="0">E5/12</f>
        <v>0</v>
      </c>
      <c r="M5" s="1411">
        <f t="shared" si="0"/>
        <v>0</v>
      </c>
      <c r="N5" s="1409">
        <f t="shared" si="0"/>
        <v>0</v>
      </c>
      <c r="P5" s="357"/>
      <c r="Q5" s="357"/>
      <c r="R5" s="9"/>
      <c r="S5" s="9"/>
      <c r="T5" s="9"/>
      <c r="U5" s="9"/>
      <c r="V5" s="9"/>
    </row>
    <row r="6" spans="1:22">
      <c r="A6" s="65" t="s">
        <v>102</v>
      </c>
      <c r="B6" s="694"/>
      <c r="C6" s="695">
        <f t="shared" ref="C6:C10" si="1">SUMPRODUCT(C17:Q17,$C$22:$Q$22)</f>
        <v>0</v>
      </c>
      <c r="D6" s="696">
        <f t="shared" ref="D6:D10" si="2">SUMPRODUCT(C29:Q29,$C$34:$Q$34)</f>
        <v>0</v>
      </c>
      <c r="E6" s="712">
        <f t="shared" ref="E6:E10" si="3">C6-D6</f>
        <v>0</v>
      </c>
      <c r="F6" s="696">
        <f>Resultado!M10</f>
        <v>0</v>
      </c>
      <c r="G6" s="693">
        <f t="shared" ref="G6:G10" si="4">F6+E6</f>
        <v>0</v>
      </c>
      <c r="H6" s="357"/>
      <c r="I6" s="65" t="s">
        <v>102</v>
      </c>
      <c r="J6" s="65"/>
      <c r="K6" s="65"/>
      <c r="L6" s="696">
        <f t="shared" si="0"/>
        <v>0</v>
      </c>
      <c r="M6" s="696">
        <f t="shared" si="0"/>
        <v>0</v>
      </c>
      <c r="N6" s="695">
        <f t="shared" si="0"/>
        <v>0</v>
      </c>
      <c r="P6" s="357"/>
      <c r="Q6" s="357"/>
      <c r="R6" s="9"/>
      <c r="S6" s="9"/>
      <c r="T6" s="9"/>
      <c r="U6" s="9"/>
      <c r="V6" s="9"/>
    </row>
    <row r="7" spans="1:22">
      <c r="A7" s="65" t="s">
        <v>103</v>
      </c>
      <c r="B7" s="694"/>
      <c r="C7" s="695">
        <f t="shared" si="1"/>
        <v>0</v>
      </c>
      <c r="D7" s="696">
        <f t="shared" si="2"/>
        <v>0</v>
      </c>
      <c r="E7" s="712">
        <f t="shared" si="3"/>
        <v>0</v>
      </c>
      <c r="F7" s="696">
        <f>-Financeiros!D37+Resultado!M11</f>
        <v>0</v>
      </c>
      <c r="G7" s="693">
        <f t="shared" si="4"/>
        <v>0</v>
      </c>
      <c r="H7" s="357"/>
      <c r="I7" s="65" t="s">
        <v>103</v>
      </c>
      <c r="J7" s="65"/>
      <c r="K7" s="65"/>
      <c r="L7" s="696">
        <f t="shared" si="0"/>
        <v>0</v>
      </c>
      <c r="M7" s="696">
        <f t="shared" si="0"/>
        <v>0</v>
      </c>
      <c r="N7" s="695">
        <f t="shared" si="0"/>
        <v>0</v>
      </c>
      <c r="P7" s="357"/>
      <c r="Q7" s="357"/>
      <c r="R7" s="9"/>
      <c r="S7" s="9"/>
      <c r="T7" s="9"/>
      <c r="U7" s="9"/>
      <c r="V7" s="9"/>
    </row>
    <row r="8" spans="1:22">
      <c r="A8" s="65" t="s">
        <v>104</v>
      </c>
      <c r="B8" s="694"/>
      <c r="C8" s="695">
        <f t="shared" si="1"/>
        <v>3705.3920203749649</v>
      </c>
      <c r="D8" s="696">
        <f t="shared" si="2"/>
        <v>3792.779284948936</v>
      </c>
      <c r="E8" s="712">
        <f t="shared" si="3"/>
        <v>-87.387264573971152</v>
      </c>
      <c r="F8" s="696">
        <f>Resultado!M12</f>
        <v>1989.0907910766045</v>
      </c>
      <c r="G8" s="693">
        <f t="shared" si="4"/>
        <v>1901.7035265026334</v>
      </c>
      <c r="H8" s="357"/>
      <c r="I8" s="65" t="s">
        <v>104</v>
      </c>
      <c r="J8" s="65"/>
      <c r="K8" s="65"/>
      <c r="L8" s="696">
        <f t="shared" si="0"/>
        <v>-7.2822720478309293</v>
      </c>
      <c r="M8" s="696">
        <f t="shared" si="0"/>
        <v>165.75756592305038</v>
      </c>
      <c r="N8" s="695">
        <f t="shared" si="0"/>
        <v>158.47529387521945</v>
      </c>
      <c r="P8" s="357"/>
      <c r="Q8" s="357"/>
      <c r="R8" s="9"/>
      <c r="S8" s="9"/>
      <c r="T8" s="9"/>
      <c r="U8" s="9"/>
      <c r="V8" s="9"/>
    </row>
    <row r="9" spans="1:22">
      <c r="A9" s="65" t="s">
        <v>105</v>
      </c>
      <c r="B9" s="694"/>
      <c r="C9" s="695">
        <f t="shared" si="1"/>
        <v>59536.92867083005</v>
      </c>
      <c r="D9" s="696">
        <f t="shared" si="2"/>
        <v>65019.750395239251</v>
      </c>
      <c r="E9" s="712">
        <f>C9-D9</f>
        <v>-5482.8217244092011</v>
      </c>
      <c r="F9" s="696">
        <f>Resultado!M13</f>
        <v>31840.742465441832</v>
      </c>
      <c r="G9" s="693">
        <f t="shared" si="4"/>
        <v>26357.920741032631</v>
      </c>
      <c r="H9" s="357"/>
      <c r="I9" s="65" t="s">
        <v>105</v>
      </c>
      <c r="J9" s="65"/>
      <c r="K9" s="65"/>
      <c r="L9" s="696">
        <f t="shared" si="0"/>
        <v>-456.90181036743343</v>
      </c>
      <c r="M9" s="696">
        <f t="shared" si="0"/>
        <v>2653.3952054534861</v>
      </c>
      <c r="N9" s="695">
        <f t="shared" si="0"/>
        <v>2196.4933950860527</v>
      </c>
      <c r="P9" s="357"/>
      <c r="Q9" s="357"/>
      <c r="R9" s="9"/>
      <c r="S9" s="9"/>
      <c r="T9" s="9"/>
      <c r="U9" s="9"/>
      <c r="V9" s="9"/>
    </row>
    <row r="10" spans="1:22">
      <c r="A10" s="1158" t="s">
        <v>106</v>
      </c>
      <c r="B10" s="697"/>
      <c r="C10" s="695">
        <f t="shared" si="1"/>
        <v>0</v>
      </c>
      <c r="D10" s="696">
        <f t="shared" si="2"/>
        <v>0</v>
      </c>
      <c r="E10" s="1672">
        <f t="shared" si="3"/>
        <v>0</v>
      </c>
      <c r="F10" s="1673">
        <f>Resultado!M14</f>
        <v>0</v>
      </c>
      <c r="G10" s="693">
        <f t="shared" si="4"/>
        <v>0</v>
      </c>
      <c r="H10" s="357"/>
      <c r="I10" s="1158" t="s">
        <v>106</v>
      </c>
      <c r="J10" s="1158"/>
      <c r="K10" s="1158"/>
      <c r="L10" s="1673">
        <f t="shared" si="0"/>
        <v>0</v>
      </c>
      <c r="M10" s="1673">
        <f t="shared" si="0"/>
        <v>0</v>
      </c>
      <c r="N10" s="1674">
        <f t="shared" si="0"/>
        <v>0</v>
      </c>
      <c r="P10" s="357"/>
      <c r="Q10" s="357"/>
      <c r="R10" s="9"/>
      <c r="S10" s="9"/>
      <c r="T10" s="9"/>
      <c r="U10" s="9"/>
      <c r="V10" s="9"/>
    </row>
    <row r="11" spans="1:22">
      <c r="A11" s="1412" t="s">
        <v>896</v>
      </c>
      <c r="B11" s="1412"/>
      <c r="C11" s="1413">
        <f>SUM(C5:C10)</f>
        <v>63242.320691205015</v>
      </c>
      <c r="D11" s="1413">
        <f>SUM(D5:D10)</f>
        <v>68812.529680188192</v>
      </c>
      <c r="E11" s="1413">
        <f t="shared" ref="E11" si="5">SUM(E5:E10)</f>
        <v>-5570.2089889831723</v>
      </c>
      <c r="F11" s="1413">
        <f>SUM(F5:F10)</f>
        <v>33829.833256518439</v>
      </c>
      <c r="G11" s="1414">
        <f>SUM(G5:G10)</f>
        <v>28259.624267535262</v>
      </c>
      <c r="H11" s="357"/>
      <c r="I11" s="1412" t="s">
        <v>896</v>
      </c>
      <c r="J11" s="1412"/>
      <c r="K11" s="1412"/>
      <c r="L11" s="1413">
        <f>SUM(L5:L10)</f>
        <v>-464.18408241526436</v>
      </c>
      <c r="M11" s="1413">
        <f>SUM(M5:M10)</f>
        <v>2819.1527713765363</v>
      </c>
      <c r="N11" s="1414">
        <f>SUM(N5:N10)</f>
        <v>2354.9686889612722</v>
      </c>
      <c r="P11" s="357"/>
      <c r="Q11" s="357"/>
      <c r="R11" s="9"/>
      <c r="S11" s="9"/>
      <c r="T11" s="9"/>
      <c r="U11" s="9"/>
      <c r="V11" s="9"/>
    </row>
    <row r="12" spans="1:22">
      <c r="A12" s="687"/>
      <c r="B12" s="687"/>
      <c r="C12" s="687"/>
      <c r="D12" s="687"/>
      <c r="E12" s="687"/>
      <c r="F12" s="687"/>
      <c r="G12" s="687"/>
      <c r="H12" s="687"/>
      <c r="I12" s="9"/>
      <c r="J12" s="687"/>
      <c r="K12" s="687"/>
      <c r="L12" s="357"/>
      <c r="M12" s="357"/>
      <c r="N12" s="357"/>
      <c r="O12" s="357"/>
      <c r="P12" s="357"/>
      <c r="Q12" s="357"/>
      <c r="R12" s="9"/>
      <c r="S12" s="9"/>
      <c r="T12" s="9"/>
      <c r="U12" s="9"/>
      <c r="V12" s="9"/>
    </row>
    <row r="13" spans="1:22">
      <c r="A13" s="689" t="s">
        <v>1565</v>
      </c>
      <c r="B13" s="687"/>
      <c r="C13" s="357"/>
      <c r="D13" s="357"/>
      <c r="E13" s="357"/>
      <c r="F13" s="687"/>
      <c r="G13" s="687"/>
      <c r="H13" s="687"/>
      <c r="I13" s="687"/>
      <c r="J13" s="687"/>
      <c r="K13" s="687"/>
      <c r="L13" s="687"/>
      <c r="M13" s="687"/>
      <c r="N13" s="687"/>
      <c r="O13" s="357"/>
      <c r="P13" s="357"/>
      <c r="Q13" s="357"/>
      <c r="R13" s="9"/>
      <c r="S13" s="9"/>
      <c r="T13" s="9"/>
      <c r="U13" s="9"/>
      <c r="V13" s="9"/>
    </row>
    <row r="14" spans="1:22">
      <c r="A14" s="1780" t="s">
        <v>20</v>
      </c>
      <c r="B14" s="1781" t="s">
        <v>1566</v>
      </c>
      <c r="C14" s="357"/>
      <c r="D14" s="357"/>
      <c r="E14" s="357"/>
      <c r="F14" s="698" t="s">
        <v>1008</v>
      </c>
      <c r="G14" s="698" t="s">
        <v>1008</v>
      </c>
      <c r="H14" s="698" t="s">
        <v>1008</v>
      </c>
      <c r="I14" s="698" t="s">
        <v>1008</v>
      </c>
      <c r="J14" s="698" t="s">
        <v>1008</v>
      </c>
      <c r="K14" s="698" t="s">
        <v>1008</v>
      </c>
      <c r="L14" s="698" t="s">
        <v>1008</v>
      </c>
      <c r="M14" s="698" t="s">
        <v>1008</v>
      </c>
      <c r="N14" s="698" t="s">
        <v>1008</v>
      </c>
      <c r="O14" s="698" t="s">
        <v>1008</v>
      </c>
      <c r="P14" s="698" t="s">
        <v>1008</v>
      </c>
      <c r="Q14" s="698" t="s">
        <v>1008</v>
      </c>
      <c r="R14" s="9"/>
      <c r="S14" s="9"/>
      <c r="T14" s="9"/>
      <c r="U14" s="9"/>
      <c r="V14" s="9"/>
    </row>
    <row r="15" spans="1:22">
      <c r="A15" s="1780"/>
      <c r="B15" s="1781"/>
      <c r="C15" s="699">
        <f t="shared" ref="C15:P15" si="6">EDATE(D15,-1)</f>
        <v>44287</v>
      </c>
      <c r="D15" s="699">
        <f>EDATE(E15,-1)</f>
        <v>44317</v>
      </c>
      <c r="E15" s="699">
        <f>EDATE(F15,-1)</f>
        <v>44348</v>
      </c>
      <c r="F15" s="700">
        <f>EDATE(G15,-1)</f>
        <v>44378</v>
      </c>
      <c r="G15" s="700">
        <f t="shared" si="6"/>
        <v>44409</v>
      </c>
      <c r="H15" s="700">
        <f t="shared" si="6"/>
        <v>44440</v>
      </c>
      <c r="I15" s="700">
        <f t="shared" si="6"/>
        <v>44470</v>
      </c>
      <c r="J15" s="700">
        <f t="shared" si="6"/>
        <v>44501</v>
      </c>
      <c r="K15" s="700">
        <f t="shared" si="6"/>
        <v>44531</v>
      </c>
      <c r="L15" s="700">
        <f t="shared" si="6"/>
        <v>44562</v>
      </c>
      <c r="M15" s="700">
        <f t="shared" si="6"/>
        <v>44593</v>
      </c>
      <c r="N15" s="700">
        <f t="shared" si="6"/>
        <v>44621</v>
      </c>
      <c r="O15" s="700">
        <f t="shared" si="6"/>
        <v>44652</v>
      </c>
      <c r="P15" s="700">
        <f t="shared" si="6"/>
        <v>44682</v>
      </c>
      <c r="Q15" s="700">
        <f>DATE(YEAR(DataRevRea),MONTH(DataRevRea)-1,1)</f>
        <v>44713</v>
      </c>
      <c r="R15" s="9" t="s">
        <v>1073</v>
      </c>
      <c r="S15" s="9"/>
      <c r="T15" s="9"/>
      <c r="U15" s="9"/>
      <c r="V15" s="9"/>
    </row>
    <row r="16" spans="1:22">
      <c r="A16" s="701" t="s">
        <v>1567</v>
      </c>
      <c r="B16" s="702" t="s">
        <v>1059</v>
      </c>
      <c r="C16" s="703">
        <f>C40</f>
        <v>0</v>
      </c>
      <c r="D16" s="703">
        <f t="shared" ref="D16:E16" si="7">D40</f>
        <v>0</v>
      </c>
      <c r="E16" s="703">
        <f t="shared" si="7"/>
        <v>0</v>
      </c>
      <c r="F16" s="703">
        <f t="shared" ref="F16:Q21" si="8">DSUM(MercadoBase,$B16,F$14:F$15)</f>
        <v>0</v>
      </c>
      <c r="G16" s="703">
        <f t="shared" si="8"/>
        <v>0</v>
      </c>
      <c r="H16" s="703">
        <f t="shared" si="8"/>
        <v>0</v>
      </c>
      <c r="I16" s="703">
        <f t="shared" si="8"/>
        <v>0</v>
      </c>
      <c r="J16" s="703">
        <f t="shared" si="8"/>
        <v>0</v>
      </c>
      <c r="K16" s="703">
        <f t="shared" si="8"/>
        <v>0</v>
      </c>
      <c r="L16" s="703">
        <f t="shared" si="8"/>
        <v>0</v>
      </c>
      <c r="M16" s="703">
        <f t="shared" si="8"/>
        <v>0</v>
      </c>
      <c r="N16" s="703">
        <f t="shared" si="8"/>
        <v>0</v>
      </c>
      <c r="O16" s="703">
        <f t="shared" si="8"/>
        <v>0</v>
      </c>
      <c r="P16" s="703">
        <f t="shared" si="8"/>
        <v>0</v>
      </c>
      <c r="Q16" s="703">
        <f t="shared" si="8"/>
        <v>0</v>
      </c>
      <c r="R16" s="9"/>
      <c r="S16" s="9"/>
      <c r="T16" s="9"/>
      <c r="U16" s="9"/>
      <c r="V16" s="9"/>
    </row>
    <row r="17" spans="1:22">
      <c r="A17" s="701" t="s">
        <v>1568</v>
      </c>
      <c r="B17" s="702" t="s">
        <v>1060</v>
      </c>
      <c r="C17" s="703">
        <f t="shared" ref="C17:E21" si="9">C41</f>
        <v>0</v>
      </c>
      <c r="D17" s="703">
        <f t="shared" si="9"/>
        <v>0</v>
      </c>
      <c r="E17" s="703">
        <f t="shared" si="9"/>
        <v>0</v>
      </c>
      <c r="F17" s="703">
        <f t="shared" si="8"/>
        <v>0</v>
      </c>
      <c r="G17" s="703">
        <f t="shared" si="8"/>
        <v>0</v>
      </c>
      <c r="H17" s="703">
        <f t="shared" si="8"/>
        <v>0</v>
      </c>
      <c r="I17" s="703">
        <f t="shared" si="8"/>
        <v>0</v>
      </c>
      <c r="J17" s="703">
        <f t="shared" si="8"/>
        <v>0</v>
      </c>
      <c r="K17" s="703">
        <f t="shared" si="8"/>
        <v>0</v>
      </c>
      <c r="L17" s="703">
        <f t="shared" si="8"/>
        <v>0</v>
      </c>
      <c r="M17" s="703">
        <f t="shared" si="8"/>
        <v>0</v>
      </c>
      <c r="N17" s="703">
        <f t="shared" si="8"/>
        <v>0</v>
      </c>
      <c r="O17" s="703">
        <f t="shared" si="8"/>
        <v>0</v>
      </c>
      <c r="P17" s="703">
        <f t="shared" si="8"/>
        <v>0</v>
      </c>
      <c r="Q17" s="703">
        <f t="shared" si="8"/>
        <v>0</v>
      </c>
      <c r="R17" s="9"/>
      <c r="S17" s="9"/>
      <c r="T17" s="9"/>
      <c r="U17" s="9"/>
      <c r="V17" s="9"/>
    </row>
    <row r="18" spans="1:22">
      <c r="A18" s="701" t="s">
        <v>1569</v>
      </c>
      <c r="B18" s="702" t="s">
        <v>1061</v>
      </c>
      <c r="C18" s="703">
        <f t="shared" si="9"/>
        <v>0</v>
      </c>
      <c r="D18" s="703">
        <f t="shared" si="9"/>
        <v>0</v>
      </c>
      <c r="E18" s="703">
        <f t="shared" si="9"/>
        <v>0</v>
      </c>
      <c r="F18" s="1017">
        <f t="shared" ref="F18:Q18" si="10">IFERROR(DSUM(MercadoBase,$B18,F$14:F$15)+(DSUM(MercadoBase,$R$15,F$14:F$15)/($D$53/12))*$F$30,0)</f>
        <v>0</v>
      </c>
      <c r="G18" s="1017">
        <f t="shared" si="10"/>
        <v>0</v>
      </c>
      <c r="H18" s="1017">
        <f t="shared" si="10"/>
        <v>0</v>
      </c>
      <c r="I18" s="1017">
        <f t="shared" si="10"/>
        <v>0</v>
      </c>
      <c r="J18" s="1017">
        <f t="shared" si="10"/>
        <v>0</v>
      </c>
      <c r="K18" s="1017">
        <f t="shared" si="10"/>
        <v>0</v>
      </c>
      <c r="L18" s="1017">
        <f t="shared" si="10"/>
        <v>0</v>
      </c>
      <c r="M18" s="1017">
        <f t="shared" si="10"/>
        <v>0</v>
      </c>
      <c r="N18" s="1017">
        <f t="shared" si="10"/>
        <v>0</v>
      </c>
      <c r="O18" s="1017">
        <f t="shared" si="10"/>
        <v>0</v>
      </c>
      <c r="P18" s="1017">
        <f t="shared" si="10"/>
        <v>0</v>
      </c>
      <c r="Q18" s="1017">
        <f t="shared" si="10"/>
        <v>0</v>
      </c>
      <c r="R18" s="9"/>
      <c r="S18" s="9"/>
      <c r="T18" s="9"/>
      <c r="U18" s="9"/>
      <c r="V18" s="9"/>
    </row>
    <row r="19" spans="1:22">
      <c r="A19" s="701" t="s">
        <v>1570</v>
      </c>
      <c r="B19" s="702" t="s">
        <v>1062</v>
      </c>
      <c r="C19" s="703">
        <f t="shared" si="9"/>
        <v>0</v>
      </c>
      <c r="D19" s="703">
        <f t="shared" si="9"/>
        <v>0</v>
      </c>
      <c r="E19" s="703">
        <f t="shared" si="9"/>
        <v>0</v>
      </c>
      <c r="F19" s="703">
        <f t="shared" si="8"/>
        <v>225.20816999999997</v>
      </c>
      <c r="G19" s="703">
        <f t="shared" si="8"/>
        <v>270.6630300000005</v>
      </c>
      <c r="H19" s="703">
        <f t="shared" si="8"/>
        <v>262.39850999999953</v>
      </c>
      <c r="I19" s="703">
        <f t="shared" si="8"/>
        <v>299.58884999999975</v>
      </c>
      <c r="J19" s="703">
        <f t="shared" si="8"/>
        <v>297.52272000000028</v>
      </c>
      <c r="K19" s="703">
        <f t="shared" si="8"/>
        <v>258.26625000000001</v>
      </c>
      <c r="L19" s="703">
        <f t="shared" si="8"/>
        <v>314.05175999999966</v>
      </c>
      <c r="M19" s="703">
        <f t="shared" si="8"/>
        <v>301.6549799999998</v>
      </c>
      <c r="N19" s="703">
        <f t="shared" si="8"/>
        <v>169.42265999999969</v>
      </c>
      <c r="O19" s="703">
        <f t="shared" si="8"/>
        <v>359.50661999999897</v>
      </c>
      <c r="P19" s="703">
        <f t="shared" si="8"/>
        <v>367.77114000000046</v>
      </c>
      <c r="Q19" s="703">
        <f t="shared" si="8"/>
        <v>357.44049000000012</v>
      </c>
      <c r="R19" s="9"/>
      <c r="S19" s="9"/>
      <c r="T19" s="9"/>
      <c r="U19" s="9"/>
      <c r="V19" s="9"/>
    </row>
    <row r="20" spans="1:22">
      <c r="A20" s="701" t="s">
        <v>1571</v>
      </c>
      <c r="B20" s="702" t="s">
        <v>1063</v>
      </c>
      <c r="C20" s="703">
        <f t="shared" si="9"/>
        <v>0</v>
      </c>
      <c r="D20" s="703">
        <f t="shared" si="9"/>
        <v>0</v>
      </c>
      <c r="E20" s="703">
        <f t="shared" si="9"/>
        <v>0</v>
      </c>
      <c r="F20" s="703">
        <f t="shared" si="8"/>
        <v>4479.7491200000031</v>
      </c>
      <c r="G20" s="703">
        <f t="shared" si="8"/>
        <v>4917.5758400000032</v>
      </c>
      <c r="H20" s="703">
        <f t="shared" si="8"/>
        <v>4648.5826400000033</v>
      </c>
      <c r="I20" s="703">
        <f t="shared" si="8"/>
        <v>4677.0934400000024</v>
      </c>
      <c r="J20" s="703">
        <f t="shared" si="8"/>
        <v>4433.5533600000035</v>
      </c>
      <c r="K20" s="703">
        <f t="shared" si="8"/>
        <v>4702.9597600000034</v>
      </c>
      <c r="L20" s="703">
        <f t="shared" si="8"/>
        <v>4878.569760000004</v>
      </c>
      <c r="M20" s="703">
        <f t="shared" si="8"/>
        <v>5100.1276000000043</v>
      </c>
      <c r="N20" s="703">
        <f t="shared" si="8"/>
        <v>4421.1573600000029</v>
      </c>
      <c r="O20" s="703">
        <f t="shared" si="8"/>
        <v>4454.6265600000033</v>
      </c>
      <c r="P20" s="703">
        <f t="shared" si="8"/>
        <v>4513.3836000000028</v>
      </c>
      <c r="Q20" s="703">
        <f t="shared" si="8"/>
        <v>4531.8123200000036</v>
      </c>
      <c r="R20" s="9"/>
      <c r="S20" s="9"/>
      <c r="T20" s="9"/>
      <c r="U20" s="9"/>
      <c r="V20" s="9"/>
    </row>
    <row r="21" spans="1:22">
      <c r="A21" s="701" t="s">
        <v>1572</v>
      </c>
      <c r="B21" s="702" t="s">
        <v>1064</v>
      </c>
      <c r="C21" s="703">
        <f t="shared" si="9"/>
        <v>0</v>
      </c>
      <c r="D21" s="703">
        <f t="shared" si="9"/>
        <v>0</v>
      </c>
      <c r="E21" s="703">
        <f t="shared" si="9"/>
        <v>0</v>
      </c>
      <c r="F21" s="703">
        <f t="shared" si="8"/>
        <v>0</v>
      </c>
      <c r="G21" s="703">
        <f t="shared" si="8"/>
        <v>0</v>
      </c>
      <c r="H21" s="703">
        <f t="shared" si="8"/>
        <v>0</v>
      </c>
      <c r="I21" s="703">
        <f t="shared" si="8"/>
        <v>0</v>
      </c>
      <c r="J21" s="703">
        <f t="shared" si="8"/>
        <v>0</v>
      </c>
      <c r="K21" s="703">
        <f t="shared" si="8"/>
        <v>0</v>
      </c>
      <c r="L21" s="703">
        <f t="shared" si="8"/>
        <v>0</v>
      </c>
      <c r="M21" s="703">
        <f t="shared" si="8"/>
        <v>0</v>
      </c>
      <c r="N21" s="703">
        <f t="shared" si="8"/>
        <v>0</v>
      </c>
      <c r="O21" s="703">
        <f t="shared" si="8"/>
        <v>0</v>
      </c>
      <c r="P21" s="703">
        <f>DSUM(MercadoBase,$B21,P$14:P$15)</f>
        <v>0</v>
      </c>
      <c r="Q21" s="703">
        <f t="shared" si="8"/>
        <v>0</v>
      </c>
      <c r="R21" s="9"/>
      <c r="S21" s="9"/>
      <c r="T21" s="9"/>
      <c r="U21" s="9"/>
      <c r="V21" s="9"/>
    </row>
    <row r="22" spans="1:22">
      <c r="A22" s="1415" t="s">
        <v>1573</v>
      </c>
      <c r="B22" s="1416" t="s">
        <v>1346</v>
      </c>
      <c r="C22" s="1417">
        <f>VLOOKUP($Q$15,Índices!$B:$F,2,FALSE)/VLOOKUP(EDATE(C15,-1),Índices!$B:$F,2,FALSE)</f>
        <v>1.1768213386458592</v>
      </c>
      <c r="D22" s="1417">
        <f>VLOOKUP($Q$15,Índices!$B:$F,2,FALSE)/VLOOKUP(EDATE(D15,-1),Índices!$B:$F,2,FALSE)</f>
        <v>1.1593353264324466</v>
      </c>
      <c r="E22" s="1417">
        <f>VLOOKUP($Q$15,Índices!$B:$F,2,FALSE)/VLOOKUP(EDATE(E15,-1),Índices!$B:$F,2,FALSE)</f>
        <v>1.1137138790355088</v>
      </c>
      <c r="F22" s="1417">
        <f>VLOOKUP($Q$15,Índices!$B:$F,2,FALSE)/VLOOKUP(EDATE(F15,-1),Índices!$B:$F,2,FALSE)</f>
        <v>1.1070423608832305</v>
      </c>
      <c r="G22" s="1417">
        <f>VLOOKUP($Q$15,Índices!$B:$F,2,FALSE)/VLOOKUP(EDATE(G15,-1),Índices!$B:$F,2,FALSE)</f>
        <v>1.0985033599453922</v>
      </c>
      <c r="H22" s="1417">
        <f>VLOOKUP($Q$15,Índices!$B:$F,2,FALSE)/VLOOKUP(EDATE(H15,-1),Índices!$B:$F,2,FALSE)</f>
        <v>1.0912608014368317</v>
      </c>
      <c r="I22" s="1417">
        <f>VLOOKUP($Q$15,Índices!$B:$F,2,FALSE)/VLOOKUP(EDATE(I15,-1),Índices!$B:$F,2,FALSE)</f>
        <v>1.0982835198725092</v>
      </c>
      <c r="J22" s="1417">
        <f>VLOOKUP($Q$15,Índices!$B:$F,2,FALSE)/VLOOKUP(EDATE(J15,-1),Índices!$B:$F,2,FALSE)</f>
        <v>1.0912678012944399</v>
      </c>
      <c r="K22" s="1417">
        <f>VLOOKUP($Q$15,Índices!$B:$F,2,FALSE)/VLOOKUP(EDATE(K15,-1),Índices!$B:$F,2,FALSE)</f>
        <v>1.0910678407267911</v>
      </c>
      <c r="L22" s="1417">
        <f>VLOOKUP($Q$15,Índices!$B:$F,2,FALSE)/VLOOKUP(EDATE(L15,-1),Índices!$B:$F,2,FALSE)</f>
        <v>1.0816484829989064</v>
      </c>
      <c r="M22" s="1417">
        <f>VLOOKUP($Q$15,Índices!$B:$F,2,FALSE)/VLOOKUP(EDATE(M15,-1),Índices!$B:$F,2,FALSE)</f>
        <v>1.0623399307225074</v>
      </c>
      <c r="N22" s="1417">
        <f>VLOOKUP($Q$15,Índices!$B:$F,2,FALSE)/VLOOKUP(EDATE(N15,-1),Índices!$B:$F,2,FALSE)</f>
        <v>1.0432185825187947</v>
      </c>
      <c r="O22" s="1417">
        <f>VLOOKUP($Q$15,Índices!$B:$F,2,FALSE)/VLOOKUP(EDATE(O15,-1),Índices!$B:$F,2,FALSE)</f>
        <v>1.0253689885984203</v>
      </c>
      <c r="P22" s="1417">
        <f>VLOOKUP($Q$15,Índices!$B:$F,2,FALSE)/VLOOKUP(EDATE(P15,-1),Índices!$B:$F,2,FALSE)</f>
        <v>1.011099422741718</v>
      </c>
      <c r="Q22" s="1417">
        <f>VLOOKUP($Q$15,Índices!$B:$F,2,FALSE)/VLOOKUP(EDATE(Q15,-1),Índices!$B:$F,2,FALSE)</f>
        <v>1.0058524282636221</v>
      </c>
      <c r="R22" s="9"/>
      <c r="S22" s="9"/>
      <c r="T22" s="9"/>
      <c r="U22" s="9"/>
      <c r="V22" s="9"/>
    </row>
    <row r="23" spans="1:22">
      <c r="A23" s="1418" t="s">
        <v>1574</v>
      </c>
      <c r="B23" s="1419"/>
      <c r="C23" s="1420">
        <f t="shared" ref="C23:Q23" si="11">SUM(C16:C21)*C22</f>
        <v>0</v>
      </c>
      <c r="D23" s="1420">
        <f t="shared" si="11"/>
        <v>0</v>
      </c>
      <c r="E23" s="1420">
        <f t="shared" si="11"/>
        <v>0</v>
      </c>
      <c r="F23" s="1421">
        <f>SUM(F16:F21)*F22</f>
        <v>5208.5870261763694</v>
      </c>
      <c r="G23" s="1421">
        <f t="shared" si="11"/>
        <v>5699.2978308942893</v>
      </c>
      <c r="H23" s="1421">
        <f t="shared" si="11"/>
        <v>5359.1612255901773</v>
      </c>
      <c r="I23" s="1421">
        <f t="shared" si="11"/>
        <v>5465.8081427483821</v>
      </c>
      <c r="J23" s="1421">
        <f t="shared" si="11"/>
        <v>5162.8709915783211</v>
      </c>
      <c r="K23" s="1421">
        <f t="shared" si="11"/>
        <v>5413.0341500882969</v>
      </c>
      <c r="L23" s="1421">
        <f t="shared" si="11"/>
        <v>5616.5911898954791</v>
      </c>
      <c r="M23" s="1421">
        <f t="shared" si="11"/>
        <v>5738.5293318152526</v>
      </c>
      <c r="N23" s="1421">
        <f t="shared" si="11"/>
        <v>4788.9783814035027</v>
      </c>
      <c r="O23" s="1421">
        <f t="shared" si="11"/>
        <v>4936.2628697546998</v>
      </c>
      <c r="P23" s="1421">
        <f t="shared" si="11"/>
        <v>4935.3327399270047</v>
      </c>
      <c r="Q23" s="1421">
        <f t="shared" si="11"/>
        <v>4917.8668113332415</v>
      </c>
      <c r="R23" s="9"/>
      <c r="S23" s="9"/>
      <c r="T23" s="9"/>
      <c r="U23" s="9"/>
      <c r="V23" s="9"/>
    </row>
    <row r="24" spans="1:22">
      <c r="A24" s="9"/>
      <c r="B24" s="9"/>
      <c r="C24" s="9" t="s">
        <v>1575</v>
      </c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1:22">
      <c r="A25" s="689" t="s">
        <v>1576</v>
      </c>
      <c r="B25" s="687"/>
      <c r="C25" s="687"/>
      <c r="D25" s="687"/>
      <c r="E25" s="687"/>
      <c r="F25" s="687"/>
      <c r="G25" s="687"/>
      <c r="H25" s="687"/>
      <c r="I25" s="687"/>
      <c r="J25" s="687"/>
      <c r="K25" s="687"/>
      <c r="L25" s="687"/>
      <c r="M25" s="687"/>
      <c r="N25" s="687"/>
      <c r="O25" s="357"/>
      <c r="P25" s="357"/>
      <c r="Q25" s="357"/>
      <c r="R25" s="9"/>
      <c r="S25" s="9"/>
      <c r="T25" s="9"/>
      <c r="U25" s="9"/>
      <c r="V25" s="9"/>
    </row>
    <row r="26" spans="1:22">
      <c r="A26" s="1780" t="s">
        <v>20</v>
      </c>
      <c r="B26" s="1781" t="s">
        <v>1566</v>
      </c>
      <c r="C26" s="698" t="s">
        <v>1008</v>
      </c>
      <c r="D26" s="698" t="s">
        <v>1008</v>
      </c>
      <c r="E26" s="698" t="s">
        <v>1008</v>
      </c>
      <c r="F26" s="698" t="s">
        <v>1008</v>
      </c>
      <c r="G26" s="698" t="s">
        <v>1008</v>
      </c>
      <c r="H26" s="698" t="s">
        <v>1008</v>
      </c>
      <c r="I26" s="698" t="s">
        <v>1008</v>
      </c>
      <c r="J26" s="698" t="s">
        <v>1008</v>
      </c>
      <c r="K26" s="698" t="s">
        <v>1008</v>
      </c>
      <c r="L26" s="698" t="s">
        <v>1008</v>
      </c>
      <c r="M26" s="698" t="s">
        <v>1008</v>
      </c>
      <c r="N26" s="698" t="s">
        <v>1008</v>
      </c>
      <c r="O26" s="698" t="s">
        <v>1008</v>
      </c>
      <c r="P26" s="698" t="s">
        <v>1008</v>
      </c>
      <c r="Q26" s="698" t="s">
        <v>1008</v>
      </c>
      <c r="R26" s="9"/>
      <c r="S26" s="9"/>
      <c r="T26" s="9"/>
      <c r="U26" s="9"/>
      <c r="V26" s="9"/>
    </row>
    <row r="27" spans="1:22">
      <c r="A27" s="1780"/>
      <c r="B27" s="1781"/>
      <c r="C27" s="699">
        <f t="shared" ref="C27:Q27" si="12">C15</f>
        <v>44287</v>
      </c>
      <c r="D27" s="699">
        <f t="shared" si="12"/>
        <v>44317</v>
      </c>
      <c r="E27" s="699">
        <f t="shared" si="12"/>
        <v>44348</v>
      </c>
      <c r="F27" s="700">
        <f>F15</f>
        <v>44378</v>
      </c>
      <c r="G27" s="700">
        <f t="shared" si="12"/>
        <v>44409</v>
      </c>
      <c r="H27" s="700">
        <f t="shared" si="12"/>
        <v>44440</v>
      </c>
      <c r="I27" s="700">
        <f t="shared" si="12"/>
        <v>44470</v>
      </c>
      <c r="J27" s="700">
        <f t="shared" si="12"/>
        <v>44501</v>
      </c>
      <c r="K27" s="700">
        <f t="shared" si="12"/>
        <v>44531</v>
      </c>
      <c r="L27" s="700">
        <f t="shared" si="12"/>
        <v>44562</v>
      </c>
      <c r="M27" s="700">
        <f t="shared" si="12"/>
        <v>44593</v>
      </c>
      <c r="N27" s="700">
        <f t="shared" si="12"/>
        <v>44621</v>
      </c>
      <c r="O27" s="700">
        <f t="shared" si="12"/>
        <v>44652</v>
      </c>
      <c r="P27" s="700">
        <f t="shared" si="12"/>
        <v>44682</v>
      </c>
      <c r="Q27" s="700">
        <f t="shared" si="12"/>
        <v>44713</v>
      </c>
      <c r="S27" s="9"/>
      <c r="T27" s="9"/>
      <c r="U27" s="9"/>
      <c r="V27" s="9"/>
    </row>
    <row r="28" spans="1:22">
      <c r="A28" s="701" t="s">
        <v>1567</v>
      </c>
      <c r="B28" s="702" t="s">
        <v>101</v>
      </c>
      <c r="C28" s="703">
        <f>IF(C40=0,0,VLOOKUP($B28,BD!$B$61:$C$66,2,FALSE))</f>
        <v>0</v>
      </c>
      <c r="D28" s="703">
        <f>IF(D40=0,0,VLOOKUP($B28,BD!$B$61:$C$66,2,FALSE))</f>
        <v>0</v>
      </c>
      <c r="E28" s="703">
        <f>IF(E40=0,0,VLOOKUP($B28,BD!$B$61:$C$66,2,FALSE))</f>
        <v>0</v>
      </c>
      <c r="F28" s="703">
        <f>VLOOKUP($B28,BD!$B$61:$C$66,2,FALSE)</f>
        <v>0</v>
      </c>
      <c r="G28" s="703">
        <f>VLOOKUP($B28,BD!$B$61:$C$66,2,FALSE)</f>
        <v>0</v>
      </c>
      <c r="H28" s="703">
        <f>VLOOKUP($B28,BD!$B$61:$C$66,2,FALSE)</f>
        <v>0</v>
      </c>
      <c r="I28" s="703">
        <f>VLOOKUP($B28,BD!$B$61:$C$66,2,FALSE)</f>
        <v>0</v>
      </c>
      <c r="J28" s="703">
        <f>VLOOKUP($B28,BD!$B$61:$C$66,2,FALSE)</f>
        <v>0</v>
      </c>
      <c r="K28" s="703">
        <f>VLOOKUP($B28,BD!$B$61:$C$66,2,FALSE)</f>
        <v>0</v>
      </c>
      <c r="L28" s="703">
        <f>VLOOKUP($B28,BD!$B$61:$C$66,2,FALSE)</f>
        <v>0</v>
      </c>
      <c r="M28" s="703">
        <f>VLOOKUP($B28,BD!$B$61:$C$66,2,FALSE)</f>
        <v>0</v>
      </c>
      <c r="N28" s="703">
        <f>VLOOKUP($B28,BD!$B$61:$C$66,2,FALSE)</f>
        <v>0</v>
      </c>
      <c r="O28" s="703">
        <f>VLOOKUP($B28,BD!$B$61:$C$66,2,FALSE)</f>
        <v>0</v>
      </c>
      <c r="P28" s="703">
        <f>VLOOKUP($B28,BD!$B$61:$C$66,2,FALSE)</f>
        <v>0</v>
      </c>
      <c r="Q28" s="703">
        <f>VLOOKUP($B28,BD!$B$61:$C$66,2,FALSE)</f>
        <v>0</v>
      </c>
      <c r="S28" s="9"/>
      <c r="T28" s="9"/>
      <c r="U28" s="9"/>
      <c r="V28" s="9"/>
    </row>
    <row r="29" spans="1:22">
      <c r="A29" s="701" t="s">
        <v>1568</v>
      </c>
      <c r="B29" s="702" t="s">
        <v>102</v>
      </c>
      <c r="C29" s="703">
        <f>IF(C41=0,0,VLOOKUP($B29,BD!$B$61:$C$66,2,FALSE))</f>
        <v>0</v>
      </c>
      <c r="D29" s="703">
        <f>IF(D41=0,0,VLOOKUP($B29,BD!$B$61:$C$66,2,FALSE))</f>
        <v>0</v>
      </c>
      <c r="E29" s="703">
        <f>IF(E41=0,0,VLOOKUP($B29,BD!$B$61:$C$66,2,FALSE))</f>
        <v>0</v>
      </c>
      <c r="F29" s="703">
        <f>VLOOKUP($B29,BD!$B$61:$C$66,2,FALSE)</f>
        <v>0</v>
      </c>
      <c r="G29" s="703">
        <f>VLOOKUP($B29,BD!$B$61:$C$66,2,FALSE)</f>
        <v>0</v>
      </c>
      <c r="H29" s="703">
        <f>VLOOKUP($B29,BD!$B$61:$C$66,2,FALSE)</f>
        <v>0</v>
      </c>
      <c r="I29" s="703">
        <f>VLOOKUP($B29,BD!$B$61:$C$66,2,FALSE)</f>
        <v>0</v>
      </c>
      <c r="J29" s="703">
        <f>VLOOKUP($B29,BD!$B$61:$C$66,2,FALSE)</f>
        <v>0</v>
      </c>
      <c r="K29" s="703">
        <f>VLOOKUP($B29,BD!$B$61:$C$66,2,FALSE)</f>
        <v>0</v>
      </c>
      <c r="L29" s="703">
        <f>VLOOKUP($B29,BD!$B$61:$C$66,2,FALSE)</f>
        <v>0</v>
      </c>
      <c r="M29" s="703">
        <f>VLOOKUP($B29,BD!$B$61:$C$66,2,FALSE)</f>
        <v>0</v>
      </c>
      <c r="N29" s="703">
        <f>VLOOKUP($B29,BD!$B$61:$C$66,2,FALSE)</f>
        <v>0</v>
      </c>
      <c r="O29" s="703">
        <f>VLOOKUP($B29,BD!$B$61:$C$66,2,FALSE)</f>
        <v>0</v>
      </c>
      <c r="P29" s="703">
        <f>VLOOKUP($B29,BD!$B$61:$C$66,2,FALSE)</f>
        <v>0</v>
      </c>
      <c r="Q29" s="703">
        <f>VLOOKUP($B29,BD!$B$61:$C$66,2,FALSE)</f>
        <v>0</v>
      </c>
      <c r="S29" s="9"/>
      <c r="T29" s="9"/>
      <c r="U29" s="9"/>
      <c r="V29" s="9"/>
    </row>
    <row r="30" spans="1:22">
      <c r="A30" s="701" t="s">
        <v>1569</v>
      </c>
      <c r="B30" s="702" t="s">
        <v>103</v>
      </c>
      <c r="C30" s="703">
        <f>IF(C42=0,0,VLOOKUP($B30,BD!$B$61:$C$66,2,FALSE))</f>
        <v>0</v>
      </c>
      <c r="D30" s="703">
        <f>IF(D42=0,0,VLOOKUP($B30,BD!$B$61:$C$66,2,FALSE))</f>
        <v>0</v>
      </c>
      <c r="E30" s="703">
        <f>IF(E42=0,0,VLOOKUP($B30,BD!$B$61:$C$66,2,FALSE))</f>
        <v>0</v>
      </c>
      <c r="F30" s="1017">
        <f>VLOOKUP($B30,BD!$B$61:$C$66,2,FALSE)</f>
        <v>0</v>
      </c>
      <c r="G30" s="1017">
        <f>VLOOKUP($B30,BD!$B$61:$C$66,2,FALSE)</f>
        <v>0</v>
      </c>
      <c r="H30" s="1017">
        <f>VLOOKUP($B30,BD!$B$61:$C$66,2,FALSE)</f>
        <v>0</v>
      </c>
      <c r="I30" s="1017">
        <f>VLOOKUP($B30,BD!$B$61:$C$66,2,FALSE)</f>
        <v>0</v>
      </c>
      <c r="J30" s="1017">
        <f>VLOOKUP($B30,BD!$B$61:$C$66,2,FALSE)</f>
        <v>0</v>
      </c>
      <c r="K30" s="1017">
        <f>VLOOKUP($B30,BD!$B$61:$C$66,2,FALSE)</f>
        <v>0</v>
      </c>
      <c r="L30" s="1017">
        <f>VLOOKUP($B30,BD!$B$61:$C$66,2,FALSE)</f>
        <v>0</v>
      </c>
      <c r="M30" s="1017">
        <f>VLOOKUP($B30,BD!$B$61:$C$66,2,FALSE)</f>
        <v>0</v>
      </c>
      <c r="N30" s="1017">
        <f>VLOOKUP($B30,BD!$B$61:$C$66,2,FALSE)</f>
        <v>0</v>
      </c>
      <c r="O30" s="1017">
        <f>VLOOKUP($B30,BD!$B$61:$C$66,2,FALSE)</f>
        <v>0</v>
      </c>
      <c r="P30" s="1017">
        <f>VLOOKUP($B30,BD!$B$61:$C$66,2,FALSE)</f>
        <v>0</v>
      </c>
      <c r="Q30" s="1017">
        <f>VLOOKUP($B30,BD!$B$61:$C$66,2,FALSE)</f>
        <v>0</v>
      </c>
      <c r="S30" s="9"/>
      <c r="T30" s="9"/>
      <c r="U30" s="9"/>
      <c r="V30" s="9"/>
    </row>
    <row r="31" spans="1:22">
      <c r="A31" s="701" t="s">
        <v>1570</v>
      </c>
      <c r="B31" s="702" t="s">
        <v>104</v>
      </c>
      <c r="C31" s="703">
        <f>IF(C43=0,0,VLOOKUP($B31,BD!$B$61:$C$66,2,FALSE))</f>
        <v>0</v>
      </c>
      <c r="D31" s="703">
        <f>IF(D43=0,0,VLOOKUP($B31,BD!$B$61:$C$66,2,FALSE))</f>
        <v>0</v>
      </c>
      <c r="E31" s="703">
        <f>IF(E43=0,0,VLOOKUP($B31,BD!$B$61:$C$66,2,FALSE))</f>
        <v>0</v>
      </c>
      <c r="F31" s="703">
        <f>VLOOKUP($B31,BD!$B$61:$C$66,2,FALSE)</f>
        <v>296.14999999999998</v>
      </c>
      <c r="G31" s="703">
        <f>VLOOKUP($B31,BD!$B$61:$C$66,2,FALSE)</f>
        <v>296.14999999999998</v>
      </c>
      <c r="H31" s="703">
        <f>VLOOKUP($B31,BD!$B$61:$C$66,2,FALSE)</f>
        <v>296.14999999999998</v>
      </c>
      <c r="I31" s="703">
        <f>VLOOKUP($B31,BD!$B$61:$C$66,2,FALSE)</f>
        <v>296.14999999999998</v>
      </c>
      <c r="J31" s="703">
        <f>VLOOKUP($B31,BD!$B$61:$C$66,2,FALSE)</f>
        <v>296.14999999999998</v>
      </c>
      <c r="K31" s="703">
        <f>VLOOKUP($B31,BD!$B$61:$C$66,2,FALSE)</f>
        <v>296.14999999999998</v>
      </c>
      <c r="L31" s="703">
        <f>VLOOKUP($B31,BD!$B$61:$C$66,2,FALSE)</f>
        <v>296.14999999999998</v>
      </c>
      <c r="M31" s="703">
        <f>VLOOKUP($B31,BD!$B$61:$C$66,2,FALSE)</f>
        <v>296.14999999999998</v>
      </c>
      <c r="N31" s="703">
        <f>VLOOKUP($B31,BD!$B$61:$C$66,2,FALSE)</f>
        <v>296.14999999999998</v>
      </c>
      <c r="O31" s="703">
        <f>VLOOKUP($B31,BD!$B$61:$C$66,2,FALSE)</f>
        <v>296.14999999999998</v>
      </c>
      <c r="P31" s="703">
        <f>VLOOKUP($B31,BD!$B$61:$C$66,2,FALSE)</f>
        <v>296.14999999999998</v>
      </c>
      <c r="Q31" s="703">
        <f>VLOOKUP($B31,BD!$B$61:$C$66,2,FALSE)</f>
        <v>296.14999999999998</v>
      </c>
      <c r="S31" s="9"/>
      <c r="T31" s="9"/>
      <c r="U31" s="9"/>
      <c r="V31" s="9"/>
    </row>
    <row r="32" spans="1:22">
      <c r="A32" s="701" t="s">
        <v>1571</v>
      </c>
      <c r="B32" s="702" t="s">
        <v>105</v>
      </c>
      <c r="C32" s="703">
        <f>IF(C44=0,0,VLOOKUP($B32,BD!$B$61:$C$66,2,FALSE))</f>
        <v>0</v>
      </c>
      <c r="D32" s="703">
        <f>IF(D44=0,0,VLOOKUP($B32,BD!$B$61:$C$66,2,FALSE))</f>
        <v>0</v>
      </c>
      <c r="E32" s="703">
        <f>IF(E44=0,0,VLOOKUP($B32,BD!$B$61:$C$66,2,FALSE))</f>
        <v>0</v>
      </c>
      <c r="F32" s="703">
        <f>VLOOKUP($B32,BD!$B$61:$C$66,2,FALSE)</f>
        <v>5076.91</v>
      </c>
      <c r="G32" s="703">
        <f>VLOOKUP($B32,BD!$B$61:$C$66,2,FALSE)</f>
        <v>5076.91</v>
      </c>
      <c r="H32" s="703">
        <f>VLOOKUP($B32,BD!$B$61:$C$66,2,FALSE)</f>
        <v>5076.91</v>
      </c>
      <c r="I32" s="703">
        <f>VLOOKUP($B32,BD!$B$61:$C$66,2,FALSE)</f>
        <v>5076.91</v>
      </c>
      <c r="J32" s="703">
        <f>VLOOKUP($B32,BD!$B$61:$C$66,2,FALSE)</f>
        <v>5076.91</v>
      </c>
      <c r="K32" s="703">
        <f>VLOOKUP($B32,BD!$B$61:$C$66,2,FALSE)</f>
        <v>5076.91</v>
      </c>
      <c r="L32" s="703">
        <f>VLOOKUP($B32,BD!$B$61:$C$66,2,FALSE)</f>
        <v>5076.91</v>
      </c>
      <c r="M32" s="703">
        <f>VLOOKUP($B32,BD!$B$61:$C$66,2,FALSE)</f>
        <v>5076.91</v>
      </c>
      <c r="N32" s="703">
        <f>VLOOKUP($B32,BD!$B$61:$C$66,2,FALSE)</f>
        <v>5076.91</v>
      </c>
      <c r="O32" s="703">
        <f>VLOOKUP($B32,BD!$B$61:$C$66,2,FALSE)</f>
        <v>5076.91</v>
      </c>
      <c r="P32" s="703">
        <f>VLOOKUP($B32,BD!$B$61:$C$66,2,FALSE)</f>
        <v>5076.91</v>
      </c>
      <c r="Q32" s="703">
        <f>VLOOKUP($B32,BD!$B$61:$C$66,2,FALSE)</f>
        <v>5076.91</v>
      </c>
      <c r="S32" s="9"/>
      <c r="T32" s="9"/>
      <c r="U32" s="9"/>
      <c r="V32" s="9"/>
    </row>
    <row r="33" spans="1:22">
      <c r="A33" s="704" t="s">
        <v>1572</v>
      </c>
      <c r="B33" s="702" t="s">
        <v>106</v>
      </c>
      <c r="C33" s="703">
        <f>IF(C45=0,0,VLOOKUP($B33,BD!$B$61:$C$66,2,FALSE))</f>
        <v>0</v>
      </c>
      <c r="D33" s="703">
        <f>IF(D45=0,0,VLOOKUP($B33,BD!$B$61:$C$66,2,FALSE))</f>
        <v>0</v>
      </c>
      <c r="E33" s="703">
        <f>IF(E45=0,0,VLOOKUP($B33,BD!$B$61:$C$66,2,FALSE))</f>
        <v>0</v>
      </c>
      <c r="F33" s="703">
        <f>VLOOKUP($B33,BD!$B$61:$C$66,2,FALSE)</f>
        <v>0</v>
      </c>
      <c r="G33" s="703">
        <f>VLOOKUP($B33,BD!$B$61:$C$66,2,FALSE)</f>
        <v>0</v>
      </c>
      <c r="H33" s="703">
        <f>VLOOKUP($B33,BD!$B$61:$C$66,2,FALSE)</f>
        <v>0</v>
      </c>
      <c r="I33" s="703">
        <f>VLOOKUP($B33,BD!$B$61:$C$66,2,FALSE)</f>
        <v>0</v>
      </c>
      <c r="J33" s="703">
        <f>VLOOKUP($B33,BD!$B$61:$C$66,2,FALSE)</f>
        <v>0</v>
      </c>
      <c r="K33" s="703">
        <f>VLOOKUP($B33,BD!$B$61:$C$66,2,FALSE)</f>
        <v>0</v>
      </c>
      <c r="L33" s="703">
        <f>VLOOKUP($B33,BD!$B$61:$C$66,2,FALSE)</f>
        <v>0</v>
      </c>
      <c r="M33" s="703">
        <f>VLOOKUP($B33,BD!$B$61:$C$66,2,FALSE)</f>
        <v>0</v>
      </c>
      <c r="N33" s="703">
        <f>VLOOKUP($B33,BD!$B$61:$C$66,2,FALSE)</f>
        <v>0</v>
      </c>
      <c r="O33" s="703">
        <f>VLOOKUP($B33,BD!$B$61:$C$66,2,FALSE)</f>
        <v>0</v>
      </c>
      <c r="P33" s="703">
        <f>VLOOKUP($B33,BD!$B$61:$C$66,2,FALSE)</f>
        <v>0</v>
      </c>
      <c r="Q33" s="703">
        <f>VLOOKUP($B33,BD!$B$61:$C$66,2,FALSE)</f>
        <v>0</v>
      </c>
      <c r="S33" s="9"/>
      <c r="T33" s="9"/>
      <c r="U33" s="9"/>
      <c r="V33" s="9"/>
    </row>
    <row r="34" spans="1:22">
      <c r="A34" s="1415" t="s">
        <v>1573</v>
      </c>
      <c r="B34" s="1416" t="s">
        <v>1346</v>
      </c>
      <c r="C34" s="1422">
        <f t="shared" ref="C34:Q34" si="13">C22</f>
        <v>1.1768213386458592</v>
      </c>
      <c r="D34" s="1422">
        <f t="shared" si="13"/>
        <v>1.1593353264324466</v>
      </c>
      <c r="E34" s="1422">
        <f t="shared" si="13"/>
        <v>1.1137138790355088</v>
      </c>
      <c r="F34" s="1417">
        <f t="shared" si="13"/>
        <v>1.1070423608832305</v>
      </c>
      <c r="G34" s="1417">
        <f t="shared" si="13"/>
        <v>1.0985033599453922</v>
      </c>
      <c r="H34" s="1417">
        <f t="shared" si="13"/>
        <v>1.0912608014368317</v>
      </c>
      <c r="I34" s="1417">
        <f t="shared" si="13"/>
        <v>1.0982835198725092</v>
      </c>
      <c r="J34" s="1417">
        <f t="shared" si="13"/>
        <v>1.0912678012944399</v>
      </c>
      <c r="K34" s="1417">
        <f t="shared" si="13"/>
        <v>1.0910678407267911</v>
      </c>
      <c r="L34" s="1417">
        <f t="shared" si="13"/>
        <v>1.0816484829989064</v>
      </c>
      <c r="M34" s="1417">
        <f t="shared" si="13"/>
        <v>1.0623399307225074</v>
      </c>
      <c r="N34" s="1417">
        <f t="shared" si="13"/>
        <v>1.0432185825187947</v>
      </c>
      <c r="O34" s="1417">
        <f t="shared" si="13"/>
        <v>1.0253689885984203</v>
      </c>
      <c r="P34" s="1417">
        <f t="shared" si="13"/>
        <v>1.011099422741718</v>
      </c>
      <c r="Q34" s="1417">
        <f t="shared" si="13"/>
        <v>1.0058524282636221</v>
      </c>
      <c r="S34" s="9"/>
      <c r="T34" s="9"/>
      <c r="U34" s="9"/>
      <c r="V34" s="9"/>
    </row>
    <row r="35" spans="1:22">
      <c r="A35" s="1418" t="s">
        <v>1574</v>
      </c>
      <c r="B35" s="1419"/>
      <c r="C35" s="1420">
        <f>SUM(C28:C33)*C34</f>
        <v>0</v>
      </c>
      <c r="D35" s="1420">
        <f t="shared" ref="D35:Q35" si="14">SUM(D28:D33)*D34</f>
        <v>0</v>
      </c>
      <c r="E35" s="1420">
        <f t="shared" si="14"/>
        <v>0</v>
      </c>
      <c r="F35" s="1421">
        <f t="shared" si="14"/>
        <v>5948.20502756725</v>
      </c>
      <c r="G35" s="1421">
        <f t="shared" si="14"/>
        <v>5902.324463188188</v>
      </c>
      <c r="H35" s="1421">
        <f t="shared" si="14"/>
        <v>5863.4097617681819</v>
      </c>
      <c r="I35" s="1421">
        <f t="shared" si="14"/>
        <v>5901.1432492861832</v>
      </c>
      <c r="J35" s="1421">
        <f t="shared" si="14"/>
        <v>5863.4473724231029</v>
      </c>
      <c r="K35" s="1421">
        <f t="shared" si="14"/>
        <v>5862.3729722954913</v>
      </c>
      <c r="L35" s="1421">
        <f t="shared" si="14"/>
        <v>5811.7621980621034</v>
      </c>
      <c r="M35" s="1421">
        <f t="shared" si="14"/>
        <v>5708.016188167875</v>
      </c>
      <c r="N35" s="1421">
        <f t="shared" si="14"/>
        <v>5605.2760369884345</v>
      </c>
      <c r="O35" s="1421">
        <f t="shared" si="14"/>
        <v>5509.3690978786281</v>
      </c>
      <c r="P35" s="1421">
        <f t="shared" si="14"/>
        <v>5432.6978643566154</v>
      </c>
      <c r="Q35" s="1421">
        <f t="shared" si="14"/>
        <v>5404.5054482061369</v>
      </c>
      <c r="R35" s="9"/>
      <c r="S35" s="9"/>
      <c r="T35" s="9"/>
      <c r="U35" s="9"/>
      <c r="V35" s="9"/>
    </row>
    <row r="36" spans="1:22">
      <c r="A36" s="1642"/>
      <c r="B36" s="1641"/>
      <c r="C36" s="1642"/>
      <c r="D36" s="357"/>
      <c r="E36" s="357"/>
      <c r="F36" s="65"/>
      <c r="G36" s="357"/>
      <c r="H36" s="357"/>
      <c r="I36" s="357"/>
      <c r="J36" s="357"/>
      <c r="K36" s="357"/>
      <c r="L36" s="357"/>
      <c r="M36" s="65"/>
      <c r="N36" s="65"/>
      <c r="O36" s="65"/>
      <c r="P36" s="65"/>
      <c r="Q36" s="65"/>
      <c r="R36" s="9"/>
      <c r="S36" s="9"/>
      <c r="T36" s="9"/>
      <c r="U36" s="9"/>
      <c r="V36" s="9"/>
    </row>
    <row r="37" spans="1:22">
      <c r="A37" s="689" t="s">
        <v>1577</v>
      </c>
      <c r="B37" s="702"/>
      <c r="C37" s="357"/>
      <c r="D37" s="357"/>
      <c r="E37" s="357"/>
      <c r="F37" s="65"/>
      <c r="G37" s="357"/>
      <c r="H37" s="357"/>
      <c r="I37" s="357"/>
      <c r="J37" s="357"/>
      <c r="K37" s="357"/>
      <c r="L37" s="357"/>
      <c r="M37" s="65"/>
      <c r="N37" s="65"/>
      <c r="O37" s="65"/>
      <c r="P37" s="65"/>
      <c r="Q37" s="65"/>
      <c r="R37" s="9"/>
      <c r="S37" s="9"/>
      <c r="T37" s="9"/>
      <c r="U37" s="9"/>
      <c r="V37" s="9"/>
    </row>
    <row r="38" spans="1:22">
      <c r="A38" s="1780" t="s">
        <v>20</v>
      </c>
      <c r="B38" s="1781" t="s">
        <v>1566</v>
      </c>
      <c r="C38" s="357"/>
      <c r="D38" s="357"/>
      <c r="E38" s="357"/>
      <c r="F38" s="9"/>
      <c r="G38" s="357"/>
      <c r="H38" s="357"/>
      <c r="I38" s="357"/>
      <c r="J38" s="357"/>
      <c r="K38" s="357"/>
      <c r="L38" s="357"/>
      <c r="M38" s="357"/>
      <c r="N38" s="357"/>
      <c r="O38" s="65"/>
      <c r="P38" s="65"/>
      <c r="Q38" s="65"/>
      <c r="R38" s="9"/>
      <c r="S38" s="9"/>
      <c r="T38" s="9"/>
      <c r="U38" s="9"/>
      <c r="V38" s="9"/>
    </row>
    <row r="39" spans="1:22">
      <c r="A39" s="1780"/>
      <c r="B39" s="1782"/>
      <c r="C39" s="1423">
        <f>C27</f>
        <v>44287</v>
      </c>
      <c r="D39" s="1423">
        <f t="shared" ref="D39:E39" si="15">D27</f>
        <v>44317</v>
      </c>
      <c r="E39" s="1423">
        <f t="shared" si="15"/>
        <v>44348</v>
      </c>
      <c r="G39" s="882"/>
      <c r="H39" s="882"/>
      <c r="I39" s="882"/>
      <c r="J39" s="882"/>
      <c r="K39" s="882"/>
      <c r="L39" s="885"/>
      <c r="M39" s="357"/>
      <c r="N39" s="357"/>
      <c r="O39" s="65"/>
      <c r="P39" s="65"/>
      <c r="Q39" s="65"/>
      <c r="R39" s="9"/>
      <c r="S39" s="9"/>
      <c r="T39" s="9"/>
      <c r="U39" s="9"/>
      <c r="V39" s="9"/>
    </row>
    <row r="40" spans="1:22">
      <c r="A40" s="701" t="s">
        <v>1567</v>
      </c>
      <c r="B40" s="705"/>
      <c r="C40" s="706"/>
      <c r="D40" s="707"/>
      <c r="E40" s="707"/>
      <c r="F40" s="65"/>
      <c r="G40" s="886"/>
      <c r="H40" s="703"/>
      <c r="I40" s="703"/>
      <c r="J40" s="703"/>
      <c r="K40" s="703"/>
      <c r="L40" s="357"/>
      <c r="M40" s="357"/>
      <c r="N40" s="357"/>
      <c r="O40" s="65"/>
      <c r="P40" s="65"/>
      <c r="Q40" s="65"/>
      <c r="R40" s="9"/>
      <c r="S40" s="9"/>
      <c r="T40" s="9"/>
      <c r="U40" s="9"/>
      <c r="V40" s="9"/>
    </row>
    <row r="41" spans="1:22">
      <c r="A41" s="701" t="s">
        <v>1568</v>
      </c>
      <c r="B41" s="705"/>
      <c r="C41" s="706"/>
      <c r="D41" s="707"/>
      <c r="E41" s="707"/>
      <c r="F41" s="65"/>
      <c r="G41" s="886"/>
      <c r="H41" s="703"/>
      <c r="I41" s="703"/>
      <c r="J41" s="703"/>
      <c r="K41" s="703"/>
      <c r="L41" s="357"/>
      <c r="M41" s="357"/>
      <c r="N41" s="357"/>
      <c r="O41" s="65"/>
      <c r="P41" s="65"/>
      <c r="Q41" s="65"/>
      <c r="R41" s="9"/>
      <c r="S41" s="9"/>
      <c r="T41" s="9"/>
      <c r="U41" s="9"/>
      <c r="V41" s="9"/>
    </row>
    <row r="42" spans="1:22">
      <c r="A42" s="701" t="s">
        <v>1569</v>
      </c>
      <c r="B42" s="705"/>
      <c r="C42" s="706"/>
      <c r="D42" s="707"/>
      <c r="E42" s="707"/>
      <c r="F42" s="65"/>
      <c r="G42" s="886"/>
      <c r="H42" s="703"/>
      <c r="I42" s="703"/>
      <c r="J42" s="703"/>
      <c r="K42" s="703"/>
      <c r="L42" s="887"/>
      <c r="M42" s="357"/>
      <c r="N42" s="357"/>
      <c r="O42" s="65"/>
      <c r="P42" s="65"/>
      <c r="Q42" s="65"/>
      <c r="R42" s="9"/>
      <c r="S42" s="9"/>
      <c r="T42" s="9"/>
      <c r="U42" s="9"/>
      <c r="V42" s="9"/>
    </row>
    <row r="43" spans="1:22">
      <c r="A43" s="701" t="s">
        <v>1570</v>
      </c>
      <c r="B43" s="705"/>
      <c r="C43" s="706"/>
      <c r="D43" s="707"/>
      <c r="E43" s="707"/>
      <c r="F43" s="65"/>
      <c r="G43" s="886"/>
      <c r="H43" s="703"/>
      <c r="I43" s="703"/>
      <c r="J43" s="703"/>
      <c r="K43" s="703"/>
      <c r="L43" s="887"/>
      <c r="M43" s="357"/>
      <c r="N43" s="357"/>
      <c r="O43" s="65"/>
      <c r="P43" s="65"/>
      <c r="Q43" s="65"/>
      <c r="R43" s="9"/>
      <c r="S43" s="9"/>
      <c r="T43" s="9"/>
      <c r="U43" s="9"/>
      <c r="V43" s="9"/>
    </row>
    <row r="44" spans="1:22">
      <c r="A44" s="701" t="s">
        <v>1571</v>
      </c>
      <c r="B44" s="705"/>
      <c r="C44" s="706"/>
      <c r="D44" s="707"/>
      <c r="E44" s="707"/>
      <c r="F44" s="65"/>
      <c r="G44" s="886"/>
      <c r="H44" s="703"/>
      <c r="I44" s="703"/>
      <c r="J44" s="703"/>
      <c r="K44" s="703"/>
      <c r="L44" s="887"/>
      <c r="M44" s="357"/>
      <c r="N44" s="357"/>
      <c r="O44" s="65"/>
      <c r="P44" s="65"/>
      <c r="Q44" s="65"/>
      <c r="R44" s="9"/>
      <c r="S44" s="9"/>
      <c r="T44" s="9"/>
      <c r="U44" s="9"/>
      <c r="V44" s="9"/>
    </row>
    <row r="45" spans="1:22">
      <c r="A45" s="704" t="s">
        <v>1572</v>
      </c>
      <c r="B45" s="705"/>
      <c r="C45" s="1675"/>
      <c r="D45" s="884"/>
      <c r="E45" s="884"/>
      <c r="F45" s="65"/>
      <c r="G45" s="886"/>
      <c r="H45" s="703"/>
      <c r="I45" s="703"/>
      <c r="J45" s="703"/>
      <c r="K45" s="703"/>
      <c r="L45" s="887"/>
      <c r="M45" s="357"/>
      <c r="N45" s="357"/>
      <c r="O45" s="65"/>
      <c r="P45" s="65"/>
      <c r="Q45" s="65"/>
      <c r="R45" s="9"/>
      <c r="S45" s="9"/>
      <c r="T45" s="9"/>
      <c r="U45" s="9"/>
      <c r="V45" s="9"/>
    </row>
    <row r="46" spans="1:22">
      <c r="A46" s="65"/>
      <c r="B46" s="65"/>
      <c r="C46" s="65"/>
      <c r="D46" s="65"/>
      <c r="E46" s="65"/>
      <c r="F46" s="65"/>
      <c r="G46" s="65"/>
      <c r="H46" s="357"/>
      <c r="I46" s="357"/>
      <c r="J46" s="357"/>
      <c r="K46" s="888"/>
      <c r="L46" s="889"/>
      <c r="M46" s="357"/>
      <c r="N46" s="357"/>
      <c r="O46" s="65"/>
      <c r="P46" s="65"/>
      <c r="Q46" s="65"/>
      <c r="R46" s="9"/>
      <c r="S46" s="9"/>
      <c r="T46" s="9"/>
      <c r="U46" s="9"/>
      <c r="V46" s="9"/>
    </row>
    <row r="47" spans="1:22">
      <c r="A47" s="9"/>
      <c r="B47" s="9"/>
      <c r="C47" s="9"/>
      <c r="D47" s="9"/>
      <c r="E47" s="9"/>
      <c r="F47" s="65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</row>
    <row r="49" spans="1:10">
      <c r="A49" s="1424" t="s">
        <v>8</v>
      </c>
      <c r="B49" s="1425"/>
      <c r="C49" s="1424"/>
      <c r="D49" s="9" t="s">
        <v>1578</v>
      </c>
    </row>
    <row r="50" spans="1:10">
      <c r="A50" s="1425" t="s">
        <v>2</v>
      </c>
      <c r="B50" s="1425"/>
      <c r="C50" s="1403"/>
    </row>
    <row r="51" spans="1:10">
      <c r="A51" s="1425" t="s">
        <v>3</v>
      </c>
      <c r="B51" s="1425"/>
      <c r="C51" s="1403"/>
      <c r="D51" s="233"/>
    </row>
    <row r="52" spans="1:10">
      <c r="A52" s="1425" t="s">
        <v>4</v>
      </c>
      <c r="B52" s="1425"/>
      <c r="C52" s="1403"/>
      <c r="D52" s="233"/>
    </row>
    <row r="53" spans="1:10">
      <c r="A53" s="1425" t="s">
        <v>5</v>
      </c>
      <c r="B53" s="1425"/>
      <c r="C53" s="1403"/>
      <c r="D53" s="233">
        <f>VLOOKUP(idsreag,Subsidio!$A$1:$J$52,10,FALSE)</f>
        <v>0</v>
      </c>
    </row>
    <row r="54" spans="1:10">
      <c r="A54" s="1425" t="s">
        <v>6</v>
      </c>
      <c r="B54" s="1425"/>
      <c r="C54" s="1403"/>
      <c r="D54" s="233"/>
      <c r="H54" s="1426"/>
      <c r="I54" s="1643"/>
      <c r="J54" s="1427"/>
    </row>
    <row r="55" spans="1:10">
      <c r="A55" s="1425" t="s">
        <v>7</v>
      </c>
      <c r="B55" s="1425"/>
      <c r="C55" s="1403"/>
      <c r="D55" s="233"/>
      <c r="H55" s="233"/>
      <c r="I55" s="233"/>
      <c r="J55" s="233"/>
    </row>
  </sheetData>
  <mergeCells count="6">
    <mergeCell ref="A14:A15"/>
    <mergeCell ref="B14:B15"/>
    <mergeCell ref="A26:A27"/>
    <mergeCell ref="B26:B27"/>
    <mergeCell ref="A38:A39"/>
    <mergeCell ref="B38:B39"/>
  </mergeCells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Plan8">
    <tabColor rgb="FFFFFF00"/>
  </sheetPr>
  <dimension ref="A1:AD100"/>
  <sheetViews>
    <sheetView showGridLines="0" topLeftCell="H1" zoomScale="85" zoomScaleNormal="85" workbookViewId="0">
      <pane ySplit="3" topLeftCell="A39" activePane="bottomLeft" state="frozen"/>
      <selection activeCell="D36" sqref="D36"/>
      <selection pane="bottomLeft" activeCell="K48" sqref="K48"/>
    </sheetView>
  </sheetViews>
  <sheetFormatPr defaultColWidth="9.140625" defaultRowHeight="26.25" customHeight="1"/>
  <cols>
    <col min="1" max="1" width="7.7109375" style="68" bestFit="1" customWidth="1"/>
    <col min="2" max="2" width="15.5703125" style="68" customWidth="1"/>
    <col min="3" max="3" width="22.140625" style="68" customWidth="1"/>
    <col min="4" max="4" width="24.42578125" style="68" customWidth="1"/>
    <col min="5" max="5" width="26.5703125" style="68" bestFit="1" customWidth="1"/>
    <col min="6" max="6" width="21.5703125" style="68" bestFit="1" customWidth="1"/>
    <col min="7" max="8" width="19.42578125" style="68" customWidth="1"/>
    <col min="9" max="9" width="20.28515625" style="68" bestFit="1" customWidth="1"/>
    <col min="10" max="10" width="22.7109375" style="68" customWidth="1"/>
    <col min="11" max="11" width="18.7109375" style="68" customWidth="1"/>
    <col min="12" max="12" width="25.140625" style="68" customWidth="1"/>
    <col min="13" max="14" width="19.140625" style="68" customWidth="1"/>
    <col min="15" max="15" width="25" style="68" bestFit="1" customWidth="1"/>
    <col min="16" max="16" width="20.5703125" style="68" customWidth="1"/>
    <col min="17" max="19" width="19.140625" style="68" customWidth="1"/>
    <col min="20" max="20" width="22" style="68" customWidth="1"/>
    <col min="21" max="24" width="19.140625" style="68" customWidth="1"/>
    <col min="25" max="25" width="20.5703125" style="68" customWidth="1"/>
    <col min="26" max="26" width="4" style="209" customWidth="1"/>
    <col min="27" max="27" width="70.140625" style="68" customWidth="1"/>
    <col min="28" max="28" width="22.7109375" style="68" customWidth="1"/>
    <col min="29" max="29" width="23.28515625" style="68" customWidth="1"/>
    <col min="30" max="32" width="9.140625" style="68"/>
    <col min="33" max="33" width="69.140625" style="68" customWidth="1"/>
    <col min="34" max="16384" width="9.140625" style="68"/>
  </cols>
  <sheetData>
    <row r="1" spans="2:26" ht="35.25" customHeight="1">
      <c r="B1" s="1019" t="s">
        <v>1579</v>
      </c>
      <c r="C1" s="262"/>
      <c r="D1" s="262"/>
      <c r="E1" s="205"/>
      <c r="F1" s="1428"/>
      <c r="G1" s="1224" t="s">
        <v>1007</v>
      </c>
      <c r="H1" s="1225">
        <f ca="1">LnkTXTIRTEco</f>
        <v>0.1605</v>
      </c>
    </row>
    <row r="2" spans="2:26" ht="14.25">
      <c r="B2" s="138" t="str">
        <f>CAPA!C9</f>
        <v>Ceris</v>
      </c>
      <c r="C2" s="1429"/>
      <c r="D2" s="1429"/>
      <c r="E2" s="1429"/>
      <c r="F2" s="1430"/>
      <c r="G2" s="121" t="s">
        <v>1011</v>
      </c>
      <c r="H2" s="122">
        <f ca="1">LnkTXTIRTTotal</f>
        <v>-6.0499999999999998E-2</v>
      </c>
      <c r="N2" s="211"/>
    </row>
    <row r="3" spans="2:26" ht="14.25"/>
    <row r="4" spans="2:26" ht="14.25">
      <c r="B4" s="206"/>
      <c r="C4" s="205"/>
      <c r="D4" s="205"/>
      <c r="E4" s="205"/>
      <c r="F4" s="212"/>
      <c r="G4" s="210"/>
      <c r="O4" s="1791"/>
      <c r="P4" s="1791"/>
      <c r="Z4" s="68"/>
    </row>
    <row r="5" spans="2:26" ht="14.25" customHeight="1">
      <c r="E5" s="209"/>
      <c r="G5" s="209"/>
      <c r="I5" s="209"/>
      <c r="K5" s="209"/>
      <c r="O5" s="271"/>
      <c r="P5" s="291"/>
      <c r="Z5" s="68"/>
    </row>
    <row r="6" spans="2:26" ht="14.25">
      <c r="L6" s="1431" t="s">
        <v>1580</v>
      </c>
      <c r="M6" s="1432"/>
      <c r="O6" s="271"/>
      <c r="P6" s="291"/>
      <c r="Z6" s="68"/>
    </row>
    <row r="7" spans="2:26" ht="14.25">
      <c r="C7" s="71"/>
      <c r="L7" s="213" t="s">
        <v>1346</v>
      </c>
      <c r="M7" s="214">
        <v>1</v>
      </c>
      <c r="O7" s="271"/>
      <c r="P7" s="291"/>
      <c r="Z7" s="68"/>
    </row>
    <row r="8" spans="2:26" ht="14.25">
      <c r="L8" s="213" t="s">
        <v>899</v>
      </c>
      <c r="M8" s="214">
        <v>2</v>
      </c>
      <c r="O8" s="271"/>
      <c r="P8" s="291"/>
      <c r="Z8" s="68"/>
    </row>
    <row r="9" spans="2:26" ht="14.25">
      <c r="B9" s="292" t="s">
        <v>1581</v>
      </c>
      <c r="D9" s="293" t="s">
        <v>1582</v>
      </c>
      <c r="L9" s="213" t="s">
        <v>1583</v>
      </c>
      <c r="M9" s="214">
        <v>4</v>
      </c>
      <c r="O9" s="271"/>
      <c r="P9" s="291"/>
      <c r="Z9" s="68"/>
    </row>
    <row r="10" spans="2:26" ht="14.25">
      <c r="L10" s="213" t="s">
        <v>1584</v>
      </c>
      <c r="M10" s="215">
        <f>CAPA!K16</f>
        <v>0.10704236088323049</v>
      </c>
      <c r="O10" s="271"/>
      <c r="P10" s="291"/>
      <c r="Z10" s="68"/>
    </row>
    <row r="11" spans="2:26" ht="14.25">
      <c r="B11" s="1794" t="s">
        <v>1585</v>
      </c>
      <c r="C11" s="1795"/>
      <c r="D11" s="1433" t="s">
        <v>1586</v>
      </c>
      <c r="E11" s="1434" t="s">
        <v>1587</v>
      </c>
      <c r="F11" s="1435" t="s">
        <v>1588</v>
      </c>
      <c r="G11" s="1434"/>
      <c r="H11" s="1434"/>
      <c r="I11" s="1434"/>
      <c r="J11" s="1434"/>
      <c r="L11" s="213" t="s">
        <v>1589</v>
      </c>
      <c r="M11" s="215">
        <f>CAPA!K17</f>
        <v>0.11886869625198027</v>
      </c>
      <c r="O11" s="271"/>
      <c r="P11" s="291"/>
      <c r="Z11" s="68"/>
    </row>
    <row r="12" spans="2:26" ht="14.25">
      <c r="B12" s="1800" t="s">
        <v>1590</v>
      </c>
      <c r="C12" s="1795"/>
      <c r="D12" s="1436" t="s">
        <v>1583</v>
      </c>
      <c r="E12" s="1436" t="s">
        <v>899</v>
      </c>
      <c r="F12" s="1436" t="s">
        <v>899</v>
      </c>
      <c r="G12" s="1436" t="s">
        <v>899</v>
      </c>
      <c r="H12" s="1436" t="s">
        <v>899</v>
      </c>
      <c r="I12" s="1436" t="s">
        <v>899</v>
      </c>
      <c r="J12" s="1436" t="s">
        <v>899</v>
      </c>
      <c r="L12" s="1437" t="s">
        <v>1591</v>
      </c>
      <c r="M12" s="1438">
        <v>41275</v>
      </c>
      <c r="O12" s="271"/>
      <c r="P12" s="291"/>
      <c r="Z12" s="68"/>
    </row>
    <row r="13" spans="2:26" ht="14.25">
      <c r="B13" s="1801" t="s">
        <v>1592</v>
      </c>
      <c r="C13" s="1802"/>
      <c r="D13" s="1439">
        <v>43617</v>
      </c>
      <c r="E13" s="1439">
        <v>43617</v>
      </c>
      <c r="F13" s="1439">
        <v>43617</v>
      </c>
      <c r="G13" s="1439">
        <f t="shared" ref="G13:J14" si="0">F13</f>
        <v>43617</v>
      </c>
      <c r="H13" s="1439">
        <f t="shared" si="0"/>
        <v>43617</v>
      </c>
      <c r="I13" s="1439">
        <f t="shared" si="0"/>
        <v>43617</v>
      </c>
      <c r="J13" s="1439">
        <f t="shared" si="0"/>
        <v>43617</v>
      </c>
      <c r="L13" s="198"/>
      <c r="M13" s="216">
        <v>41306</v>
      </c>
      <c r="O13" s="271"/>
      <c r="P13" s="291"/>
      <c r="Z13" s="68"/>
    </row>
    <row r="14" spans="2:26" ht="14.25">
      <c r="B14" s="1792" t="s">
        <v>1593</v>
      </c>
      <c r="C14" s="1793"/>
      <c r="D14" s="1439">
        <v>42887</v>
      </c>
      <c r="E14" s="1439">
        <v>43252</v>
      </c>
      <c r="F14" s="1439">
        <v>43252</v>
      </c>
      <c r="G14" s="1439">
        <f t="shared" si="0"/>
        <v>43252</v>
      </c>
      <c r="H14" s="1439">
        <f t="shared" si="0"/>
        <v>43252</v>
      </c>
      <c r="I14" s="1439">
        <f t="shared" si="0"/>
        <v>43252</v>
      </c>
      <c r="J14" s="1439">
        <f t="shared" si="0"/>
        <v>43252</v>
      </c>
      <c r="L14" s="1676"/>
      <c r="M14" s="1440">
        <v>41334</v>
      </c>
      <c r="O14" s="271"/>
      <c r="P14" s="291"/>
      <c r="Z14" s="68"/>
    </row>
    <row r="15" spans="2:26" ht="14.25">
      <c r="B15" s="1792" t="s">
        <v>1594</v>
      </c>
      <c r="C15" s="1793"/>
      <c r="D15" s="1441">
        <f>VLOOKUP(D13,Índices!$B$6:$F$500,VLOOKUP(D12,$L$7:$M$9,2,FALSE)+1,FALSE)/VLOOKUP(D14,Índices!$B$6:$F$500,VLOOKUP(D12,$L$7:$M$9,2,FALSE)+1,FALSE)</f>
        <v>1.1414978440075982</v>
      </c>
      <c r="E15" s="1441">
        <f>VLOOKUP(E13,Índices!$B$6:$F$500,VLOOKUP(E12,$L$7:$M$9,2,FALSE)+1,FALSE)/VLOOKUP(E14,Índices!$B$6:$F$500,VLOOKUP(E12,$L$7:$M$9,2,FALSE)+1,FALSE)</f>
        <v>1.0336626715248016</v>
      </c>
      <c r="F15" s="1441">
        <f>VLOOKUP(F13,Índices!$B$6:$F$500,VLOOKUP(F12,$L$7:$M$9,2,FALSE)+1,FALSE)/VLOOKUP(F14,Índices!$B$6:$F$500,VLOOKUP(F12,$L$7:$M$9,2,FALSE)+1,FALSE)</f>
        <v>1.0336626715248016</v>
      </c>
      <c r="G15" s="1441">
        <f>VLOOKUP(G13,Índices!$B$6:$F$500,VLOOKUP(G12,$L$7:$M$9,2,FALSE)+1,FALSE)/VLOOKUP(G14,Índices!$B$6:$F$500,VLOOKUP(G12,$L$7:$M$9,2,FALSE)+1,FALSE)</f>
        <v>1.0336626715248016</v>
      </c>
      <c r="H15" s="1441">
        <f>VLOOKUP(H13,Índices!$B$6:$F$500,VLOOKUP(H12,$L$7:$M$9,2,FALSE)+1,FALSE)/VLOOKUP(H14,Índices!$B$6:$F$500,VLOOKUP(H12,$L$7:$M$9,2,FALSE)+1,FALSE)</f>
        <v>1.0336626715248016</v>
      </c>
      <c r="I15" s="1441">
        <f>VLOOKUP(I13,Índices!$B$6:$F$500,VLOOKUP(I12,$L$7:$M$9,2,FALSE)+1,FALSE)/VLOOKUP(I14,Índices!$B$6:$F$500,VLOOKUP(I12,$L$7:$M$9,2,FALSE)+1,FALSE)</f>
        <v>1.0336626715248016</v>
      </c>
      <c r="J15" s="1441">
        <f>VLOOKUP(J13,Índices!$B$6:$F$500,VLOOKUP(J12,$L$7:$M$9,2,FALSE)+1,FALSE)/VLOOKUP(J14,Índices!$B$6:$F$500,VLOOKUP(J12,$L$7:$M$9,2,FALSE)+1,FALSE)</f>
        <v>1.0336626715248016</v>
      </c>
      <c r="O15" s="271"/>
      <c r="P15" s="291"/>
      <c r="Z15" s="68"/>
    </row>
    <row r="16" spans="2:26" ht="14.25">
      <c r="B16" s="1792" t="s">
        <v>1595</v>
      </c>
      <c r="C16" s="1793"/>
      <c r="D16" s="1442"/>
      <c r="E16" s="1442"/>
      <c r="F16" s="1442"/>
      <c r="G16" s="1442"/>
      <c r="H16" s="1442"/>
      <c r="I16" s="1442"/>
      <c r="J16" s="1442"/>
      <c r="O16" s="271"/>
      <c r="P16" s="291"/>
      <c r="Z16" s="68"/>
    </row>
    <row r="17" spans="1:26" ht="14.25">
      <c r="B17" s="1798" t="s">
        <v>1596</v>
      </c>
      <c r="C17" s="1799"/>
      <c r="D17" s="1443">
        <f t="shared" ref="D17:E17" si="1">D16*D15</f>
        <v>0</v>
      </c>
      <c r="E17" s="1443">
        <f t="shared" si="1"/>
        <v>0</v>
      </c>
      <c r="F17" s="1443">
        <f>F16*F15</f>
        <v>0</v>
      </c>
      <c r="G17" s="1443">
        <f>G16*G15</f>
        <v>0</v>
      </c>
      <c r="H17" s="1443">
        <f>H16*H15</f>
        <v>0</v>
      </c>
      <c r="I17" s="1443">
        <f>I16*I15</f>
        <v>0</v>
      </c>
      <c r="J17" s="1443">
        <f>J16*J15</f>
        <v>0</v>
      </c>
      <c r="O17" s="271"/>
      <c r="P17" s="93"/>
      <c r="Z17" s="68"/>
    </row>
    <row r="18" spans="1:26" ht="14.25">
      <c r="E18" s="294" t="s">
        <v>1597</v>
      </c>
      <c r="F18" s="503"/>
      <c r="M18" s="178"/>
      <c r="N18" s="218"/>
      <c r="O18" s="219"/>
      <c r="P18" s="207"/>
      <c r="Q18" s="217"/>
      <c r="R18" s="217"/>
      <c r="S18" s="217"/>
      <c r="T18" s="217"/>
      <c r="U18" s="217"/>
      <c r="V18" s="217"/>
      <c r="W18" s="217"/>
      <c r="X18" s="217"/>
    </row>
    <row r="19" spans="1:26" ht="14.25">
      <c r="E19" s="295" t="s">
        <v>1598</v>
      </c>
      <c r="F19" s="199">
        <f>F17*(1-F18)</f>
        <v>0</v>
      </c>
      <c r="M19" s="72"/>
      <c r="N19" s="72"/>
      <c r="O19" s="220"/>
      <c r="P19" s="108"/>
      <c r="Q19" s="210"/>
      <c r="R19" s="210"/>
      <c r="S19" s="210"/>
      <c r="T19" s="210"/>
      <c r="U19" s="210"/>
      <c r="V19" s="210"/>
      <c r="W19" s="210"/>
      <c r="X19" s="210"/>
    </row>
    <row r="20" spans="1:26" ht="16.5">
      <c r="B20" s="292" t="s">
        <v>1599</v>
      </c>
      <c r="E20" s="295" t="s">
        <v>1600</v>
      </c>
      <c r="F20" s="142">
        <f>F17-F19</f>
        <v>0</v>
      </c>
      <c r="J20" s="407">
        <v>426068.95</v>
      </c>
      <c r="M20" s="178"/>
      <c r="N20" s="218"/>
      <c r="O20" s="220"/>
      <c r="P20" s="69"/>
      <c r="Z20" s="68"/>
    </row>
    <row r="21" spans="1:26" ht="14.25">
      <c r="B21" s="292"/>
      <c r="E21" s="296"/>
      <c r="M21" s="72"/>
      <c r="N21" s="221"/>
      <c r="O21" s="220"/>
      <c r="P21" s="108"/>
      <c r="Z21" s="68"/>
    </row>
    <row r="22" spans="1:26" ht="14.25" customHeight="1">
      <c r="B22" s="1444" t="s">
        <v>1585</v>
      </c>
      <c r="C22" s="1796" t="str">
        <f>Financeiros!C9</f>
        <v>Repasse de PIS COFINS</v>
      </c>
      <c r="D22" s="1797"/>
      <c r="E22" s="1785" t="s">
        <v>1601</v>
      </c>
      <c r="F22" s="1786"/>
      <c r="G22" s="1785" t="str">
        <f>Financeiros!C27</f>
        <v>Compensação DIC FIC</v>
      </c>
      <c r="H22" s="1786"/>
      <c r="I22" s="1787" t="s">
        <v>1328</v>
      </c>
      <c r="J22" s="1788"/>
      <c r="K22" s="1803" t="s">
        <v>1602</v>
      </c>
      <c r="L22" s="1804"/>
      <c r="M22" s="1805" t="s">
        <v>1603</v>
      </c>
      <c r="N22" s="1806"/>
      <c r="O22" s="1783" t="s">
        <v>1604</v>
      </c>
      <c r="P22" s="1784"/>
      <c r="Q22" s="1783" t="s">
        <v>270</v>
      </c>
      <c r="R22" s="1784"/>
      <c r="S22" s="1783" t="s">
        <v>1605</v>
      </c>
      <c r="T22" s="1784"/>
      <c r="U22" s="1783" t="s">
        <v>1606</v>
      </c>
      <c r="V22" s="1784"/>
      <c r="Z22" s="68"/>
    </row>
    <row r="23" spans="1:26" ht="14.25">
      <c r="B23" s="1445" t="s">
        <v>1058</v>
      </c>
      <c r="C23" s="1446" t="s">
        <v>1607</v>
      </c>
      <c r="D23" s="1447" t="s">
        <v>899</v>
      </c>
      <c r="E23" s="1446" t="s">
        <v>1607</v>
      </c>
      <c r="F23" s="1447" t="s">
        <v>899</v>
      </c>
      <c r="G23" s="1446" t="s">
        <v>1607</v>
      </c>
      <c r="H23" s="1447" t="s">
        <v>899</v>
      </c>
      <c r="I23" s="1446" t="s">
        <v>1607</v>
      </c>
      <c r="J23" s="1447" t="s">
        <v>899</v>
      </c>
      <c r="K23" s="1446" t="s">
        <v>1607</v>
      </c>
      <c r="L23" s="1447" t="s">
        <v>1583</v>
      </c>
      <c r="M23" s="1448" t="s">
        <v>1607</v>
      </c>
      <c r="N23" s="1449" t="s">
        <v>1583</v>
      </c>
      <c r="O23" s="1448" t="s">
        <v>1607</v>
      </c>
      <c r="P23" s="1449" t="s">
        <v>899</v>
      </c>
      <c r="Q23" s="1448" t="s">
        <v>1607</v>
      </c>
      <c r="R23" s="1449" t="s">
        <v>899</v>
      </c>
      <c r="S23" s="1448" t="s">
        <v>1607</v>
      </c>
      <c r="T23" s="1449" t="s">
        <v>899</v>
      </c>
      <c r="U23" s="1448" t="s">
        <v>1607</v>
      </c>
      <c r="V23" s="1449" t="s">
        <v>899</v>
      </c>
      <c r="Z23" s="68"/>
    </row>
    <row r="24" spans="1:26" ht="14.25">
      <c r="B24" s="1450">
        <f>DATE(YEAR(B25),MONTH(B25)-1,1)</f>
        <v>43983</v>
      </c>
      <c r="C24" s="494"/>
      <c r="D24" s="495"/>
      <c r="E24" s="494"/>
      <c r="F24" s="495"/>
      <c r="G24" s="225"/>
      <c r="H24" s="226">
        <f>VLOOKUP($B$48,Índices!$B$6:$F$500,VLOOKUP(H$23,$L$7:$M$9,2,FALSE)+1,FALSE)/VLOOKUP(DATE(YEAR($B24),MONTH($B24)-1,1),Índices!$B$6:$F$500,VLOOKUP(H$23,$L$7:$M$9,2,FALSE)+1,FALSE)*G24</f>
        <v>0</v>
      </c>
      <c r="I24" s="80"/>
      <c r="J24" s="80">
        <f>VLOOKUP($B$48,Índices!$B$6:$F$500,VLOOKUP(J$23,$L$7:$M$9,2,FALSE)+1,FALSE)/VLOOKUP(DATE(YEAR($B24),MONTH($B24)-1,1),Índices!$B$6:$F$500,VLOOKUP(J$23,$L$7:$M$9,2,FALSE)+1,FALSE)*I24</f>
        <v>0</v>
      </c>
      <c r="K24" s="225"/>
      <c r="L24" s="226">
        <f>VLOOKUP($B$48,Índices!$B$6:$F$500,VLOOKUP(L$23,$L$7:$M$9,2,FALSE)+1,FALSE)/VLOOKUP(DATE(YEAR($B24),MONTH($B24)-1,1),Índices!$B$6:$F$500,VLOOKUP(L$23,$L$7:$M$9,2,FALSE)+1,FALSE)*K24</f>
        <v>0</v>
      </c>
      <c r="M24" s="415"/>
      <c r="N24" s="100">
        <f>VLOOKUP($B$48,Índices!$B$6:$F$500,VLOOKUP(N$23,$L$7:$M$9,2,FALSE)+1,FALSE)/VLOOKUP(DATE(YEAR($B24),MONTH($B24)-1,1),Índices!$B$6:$F$500,VLOOKUP(N$23,$L$7:$M$9,2,FALSE)+1,FALSE)*M24</f>
        <v>0</v>
      </c>
      <c r="O24" s="415"/>
      <c r="P24" s="100">
        <f>VLOOKUP($B$48,Índices!$B$6:$F$500,VLOOKUP(P$23,$L$7:$M$9,2,FALSE)+1,FALSE)/VLOOKUP(DATE(YEAR($B24),MONTH($B24)-1,1),Índices!$B$6:$F$500,VLOOKUP(P$23,$L$7:$M$9,2,FALSE)+1,FALSE)*O24</f>
        <v>0</v>
      </c>
      <c r="Q24" s="225"/>
      <c r="R24" s="100">
        <f>VLOOKUP($B$48,Índices!$B$6:$F$500,VLOOKUP(R$23,$L$7:$M$9,2,FALSE)+1,FALSE)/VLOOKUP(DATE(YEAR($B24),MONTH($B24)-1,1),Índices!$B$6:$F$500,VLOOKUP(R$23,$L$7:$M$9,2,FALSE)+1,FALSE)*Q24</f>
        <v>0</v>
      </c>
      <c r="S24" s="225"/>
      <c r="T24" s="100">
        <f>VLOOKUP($B$48,Índices!$B$6:$F$500,VLOOKUP(T$23,$L$7:$M$9,2,FALSE)+1,FALSE)/VLOOKUP(DATE(YEAR($B24),MONTH($B24)-1,1),Índices!$B$6:$F$500,VLOOKUP(T$23,$L$7:$M$9,2,FALSE)+1,FALSE)*S24</f>
        <v>0</v>
      </c>
      <c r="U24" s="225"/>
      <c r="V24" s="100">
        <f>VLOOKUP($B$48,Índices!$B$6:$F$500,VLOOKUP(V$23,$L$7:$M$9,2,FALSE)+1,FALSE)/VLOOKUP(DATE(YEAR($B24),MONTH($B24)-1,1),Índices!$B$6:$F$500,VLOOKUP(V$23,$L$7:$M$9,2,FALSE)+1,FALSE)*U24</f>
        <v>0</v>
      </c>
      <c r="Z24" s="68"/>
    </row>
    <row r="25" spans="1:26" ht="14.25">
      <c r="A25" s="209"/>
      <c r="B25" s="271">
        <f>DATE(YEAR(B26),MONTH(B26)-1,1)</f>
        <v>44013</v>
      </c>
      <c r="C25" s="297"/>
      <c r="D25" s="226">
        <f>VLOOKUP($B$48,Índices!$B$6:$F$500,VLOOKUP(D$23,$L$7:$M$9,2,FALSE)+1,FALSE)/VLOOKUP(DATE(YEAR($B25),MONTH($B25)-1,1),Índices!$B$6:$F$500,VLOOKUP(D$23,$L$7:$M$9,2,FALSE)+1,FALSE)*C25</f>
        <v>0</v>
      </c>
      <c r="E25" s="225"/>
      <c r="F25" s="226"/>
      <c r="G25" s="225"/>
      <c r="H25" s="226">
        <f>VLOOKUP($B$48,Índices!$B$6:$F$500,VLOOKUP(H$23,$L$7:$M$9,2,FALSE)+1,FALSE)/VLOOKUP(DATE(YEAR($B25),MONTH($B25)-1,1),Índices!$B$6:$F$500,VLOOKUP(H$23,$L$7:$M$9,2,FALSE)+1,FALSE)*G25</f>
        <v>0</v>
      </c>
      <c r="I25" s="80"/>
      <c r="J25" s="80">
        <f>VLOOKUP($B$48,Índices!$B$6:$F$500,VLOOKUP(J$23,$L$7:$M$9,2,FALSE)+1,FALSE)/VLOOKUP(DATE(YEAR($B25),MONTH($B25)-1,1),Índices!$B$6:$F$500,VLOOKUP(J$23,$L$7:$M$9,2,FALSE)+1,FALSE)*I25</f>
        <v>0</v>
      </c>
      <c r="K25" s="225"/>
      <c r="L25" s="226">
        <f>VLOOKUP($B$48,Índices!$B$6:$F$500,VLOOKUP(L$23,$L$7:$M$9,2,FALSE)+1,FALSE)/VLOOKUP(DATE(YEAR($B25),MONTH($B25)-1,1),Índices!$B$6:$F$500,VLOOKUP(L$23,$L$7:$M$9,2,FALSE)+1,FALSE)*K25</f>
        <v>0</v>
      </c>
      <c r="M25" s="415"/>
      <c r="N25" s="100">
        <f>VLOOKUP($B$48,Índices!$B$6:$F$500,VLOOKUP(N$23,$L$7:$M$9,2,FALSE)+1,FALSE)/VLOOKUP(DATE(YEAR($B25),MONTH($B25)-1,1),Índices!$B$6:$F$500,VLOOKUP(N$23,$L$7:$M$9,2,FALSE)+1,FALSE)*M25</f>
        <v>0</v>
      </c>
      <c r="O25" s="415"/>
      <c r="P25" s="100">
        <f>VLOOKUP($B$48,Índices!$B$6:$F$500,VLOOKUP(P$23,$L$7:$M$9,2,FALSE)+1,FALSE)/VLOOKUP(DATE(YEAR($B25),MONTH($B25)-1,1),Índices!$B$6:$F$500,VLOOKUP(P$23,$L$7:$M$9,2,FALSE)+1,FALSE)*O25</f>
        <v>0</v>
      </c>
      <c r="Q25" s="225"/>
      <c r="R25" s="100">
        <f>VLOOKUP($B$48,Índices!$B$6:$F$500,VLOOKUP(R$23,$L$7:$M$9,2,FALSE)+1,FALSE)/VLOOKUP(DATE(YEAR($B25),MONTH($B25)-1,1),Índices!$B$6:$F$500,VLOOKUP(R$23,$L$7:$M$9,2,FALSE)+1,FALSE)*Q25</f>
        <v>0</v>
      </c>
      <c r="S25" s="225"/>
      <c r="T25" s="100">
        <f>VLOOKUP($B$48,Índices!$B$6:$F$500,VLOOKUP(T$23,$L$7:$M$9,2,FALSE)+1,FALSE)/VLOOKUP(DATE(YEAR($B25),MONTH($B25)-1,1),Índices!$B$6:$F$500,VLOOKUP(T$23,$L$7:$M$9,2,FALSE)+1,FALSE)*S25</f>
        <v>0</v>
      </c>
      <c r="U25" s="225"/>
      <c r="V25" s="100">
        <f>VLOOKUP($B$48,Índices!$B$6:$F$500,VLOOKUP(V$23,$L$7:$M$9,2,FALSE)+1,FALSE)/VLOOKUP(DATE(YEAR($B25),MONTH($B25)-1,1),Índices!$B$6:$F$500,VLOOKUP(V$23,$L$7:$M$9,2,FALSE)+1,FALSE)*U25</f>
        <v>0</v>
      </c>
      <c r="Z25" s="68"/>
    </row>
    <row r="26" spans="1:26" ht="14.25">
      <c r="A26" s="209"/>
      <c r="B26" s="271">
        <f t="shared" ref="B26:B47" si="2">DATE(YEAR(B27),MONTH(B27)-1,1)</f>
        <v>44044</v>
      </c>
      <c r="C26" s="297"/>
      <c r="D26" s="226">
        <f>VLOOKUP($B$48,Índices!$B$6:$F$500,VLOOKUP(D$23,$L$7:$M$9,2,FALSE)+1,FALSE)/VLOOKUP(DATE(YEAR($B26),MONTH($B26)-1,1),Índices!$B$6:$F$500,VLOOKUP(D$23,$L$7:$M$9,2,FALSE)+1,FALSE)*C26</f>
        <v>0</v>
      </c>
      <c r="E26" s="225"/>
      <c r="F26" s="226"/>
      <c r="G26" s="225"/>
      <c r="H26" s="226">
        <f>VLOOKUP($B$48,Índices!$B$6:$F$500,VLOOKUP(H$23,$L$7:$M$9,2,FALSE)+1,FALSE)/VLOOKUP(DATE(YEAR($B26),MONTH($B26)-1,1),Índices!$B$6:$F$500,VLOOKUP(H$23,$L$7:$M$9,2,FALSE)+1,FALSE)*G26</f>
        <v>0</v>
      </c>
      <c r="I26" s="80"/>
      <c r="J26" s="80">
        <f>VLOOKUP($B$48,Índices!$B$6:$F$500,VLOOKUP(J$23,$L$7:$M$9,2,FALSE)+1,FALSE)/VLOOKUP(DATE(YEAR($B26),MONTH($B26)-1,1),Índices!$B$6:$F$500,VLOOKUP(J$23,$L$7:$M$9,2,FALSE)+1,FALSE)*I26</f>
        <v>0</v>
      </c>
      <c r="K26" s="225"/>
      <c r="L26" s="226">
        <f>VLOOKUP($B$48,Índices!$B$6:$F$500,VLOOKUP(L$23,$L$7:$M$9,2,FALSE)+1,FALSE)/VLOOKUP(DATE(YEAR($B26),MONTH($B26)-1,1),Índices!$B$6:$F$500,VLOOKUP(L$23,$L$7:$M$9,2,FALSE)+1,FALSE)*K26</f>
        <v>0</v>
      </c>
      <c r="M26" s="415"/>
      <c r="N26" s="100">
        <f>VLOOKUP($B$48,Índices!$B$6:$F$500,VLOOKUP(N$23,$L$7:$M$9,2,FALSE)+1,FALSE)/VLOOKUP(DATE(YEAR($B26),MONTH($B26)-1,1),Índices!$B$6:$F$500,VLOOKUP(N$23,$L$7:$M$9,2,FALSE)+1,FALSE)*M26</f>
        <v>0</v>
      </c>
      <c r="O26" s="415"/>
      <c r="P26" s="100">
        <f>VLOOKUP($B$48,Índices!$B$6:$F$500,VLOOKUP(P$23,$L$7:$M$9,2,FALSE)+1,FALSE)/VLOOKUP(DATE(YEAR($B26),MONTH($B26)-1,1),Índices!$B$6:$F$500,VLOOKUP(P$23,$L$7:$M$9,2,FALSE)+1,FALSE)*O26</f>
        <v>0</v>
      </c>
      <c r="Q26" s="225"/>
      <c r="R26" s="100">
        <f>VLOOKUP($B$48,Índices!$B$6:$F$500,VLOOKUP(R$23,$L$7:$M$9,2,FALSE)+1,FALSE)/VLOOKUP(DATE(YEAR($B26),MONTH($B26)-1,1),Índices!$B$6:$F$500,VLOOKUP(R$23,$L$7:$M$9,2,FALSE)+1,FALSE)*Q26</f>
        <v>0</v>
      </c>
      <c r="S26" s="225"/>
      <c r="T26" s="100">
        <f>VLOOKUP($B$48,Índices!$B$6:$F$500,VLOOKUP(T$23,$L$7:$M$9,2,FALSE)+1,FALSE)/VLOOKUP(DATE(YEAR($B26),MONTH($B26)-1,1),Índices!$B$6:$F$500,VLOOKUP(T$23,$L$7:$M$9,2,FALSE)+1,FALSE)*S26</f>
        <v>0</v>
      </c>
      <c r="U26" s="225"/>
      <c r="V26" s="100">
        <f>VLOOKUP($B$48,Índices!$B$6:$F$500,VLOOKUP(V$23,$L$7:$M$9,2,FALSE)+1,FALSE)/VLOOKUP(DATE(YEAR($B26),MONTH($B26)-1,1),Índices!$B$6:$F$500,VLOOKUP(V$23,$L$7:$M$9,2,FALSE)+1,FALSE)*U26</f>
        <v>0</v>
      </c>
      <c r="Z26" s="68"/>
    </row>
    <row r="27" spans="1:26" ht="14.25">
      <c r="A27" s="209"/>
      <c r="B27" s="271">
        <f t="shared" si="2"/>
        <v>44075</v>
      </c>
      <c r="C27" s="297"/>
      <c r="D27" s="226">
        <f>VLOOKUP($B$48,Índices!$B$6:$F$500,VLOOKUP(D$23,$L$7:$M$9,2,FALSE)+1,FALSE)/VLOOKUP(DATE(YEAR($B27),MONTH($B27)-1,1),Índices!$B$6:$F$500,VLOOKUP(D$23,$L$7:$M$9,2,FALSE)+1,FALSE)*C27</f>
        <v>0</v>
      </c>
      <c r="E27" s="225"/>
      <c r="F27" s="226"/>
      <c r="G27" s="225"/>
      <c r="H27" s="226">
        <f>VLOOKUP($B$48,Índices!$B$6:$F$500,VLOOKUP(H$23,$L$7:$M$9,2,FALSE)+1,FALSE)/VLOOKUP(DATE(YEAR($B27),MONTH($B27)-1,1),Índices!$B$6:$F$500,VLOOKUP(H$23,$L$7:$M$9,2,FALSE)+1,FALSE)*G27</f>
        <v>0</v>
      </c>
      <c r="I27" s="80"/>
      <c r="J27" s="80">
        <f>VLOOKUP($B$48,Índices!$B$6:$F$500,VLOOKUP(J$23,$L$7:$M$9,2,FALSE)+1,FALSE)/VLOOKUP(DATE(YEAR($B27),MONTH($B27)-1,1),Índices!$B$6:$F$500,VLOOKUP(J$23,$L$7:$M$9,2,FALSE)+1,FALSE)*I27</f>
        <v>0</v>
      </c>
      <c r="K27" s="225"/>
      <c r="L27" s="226">
        <f>VLOOKUP($B$48,Índices!$B$6:$F$500,VLOOKUP(L$23,$L$7:$M$9,2,FALSE)+1,FALSE)/VLOOKUP(DATE(YEAR($B27),MONTH($B27)-1,1),Índices!$B$6:$F$500,VLOOKUP(L$23,$L$7:$M$9,2,FALSE)+1,FALSE)*K27</f>
        <v>0</v>
      </c>
      <c r="M27" s="415"/>
      <c r="N27" s="100">
        <f>VLOOKUP($B$48,Índices!$B$6:$F$500,VLOOKUP(N$23,$L$7:$M$9,2,FALSE)+1,FALSE)/VLOOKUP(DATE(YEAR($B27),MONTH($B27)-1,1),Índices!$B$6:$F$500,VLOOKUP(N$23,$L$7:$M$9,2,FALSE)+1,FALSE)*M27</f>
        <v>0</v>
      </c>
      <c r="O27" s="415"/>
      <c r="P27" s="100">
        <f>VLOOKUP($B$48,Índices!$B$6:$F$500,VLOOKUP(P$23,$L$7:$M$9,2,FALSE)+1,FALSE)/VLOOKUP(DATE(YEAR($B27),MONTH($B27)-1,1),Índices!$B$6:$F$500,VLOOKUP(P$23,$L$7:$M$9,2,FALSE)+1,FALSE)*O27</f>
        <v>0</v>
      </c>
      <c r="Q27" s="225"/>
      <c r="R27" s="100">
        <f>VLOOKUP($B$48,Índices!$B$6:$F$500,VLOOKUP(R$23,$L$7:$M$9,2,FALSE)+1,FALSE)/VLOOKUP(DATE(YEAR($B27),MONTH($B27)-1,1),Índices!$B$6:$F$500,VLOOKUP(R$23,$L$7:$M$9,2,FALSE)+1,FALSE)*Q27</f>
        <v>0</v>
      </c>
      <c r="S27" s="225"/>
      <c r="T27" s="100">
        <f>VLOOKUP($B$48,Índices!$B$6:$F$500,VLOOKUP(T$23,$L$7:$M$9,2,FALSE)+1,FALSE)/VLOOKUP(DATE(YEAR($B27),MONTH($B27)-1,1),Índices!$B$6:$F$500,VLOOKUP(T$23,$L$7:$M$9,2,FALSE)+1,FALSE)*S27</f>
        <v>0</v>
      </c>
      <c r="U27" s="225"/>
      <c r="V27" s="100">
        <f>VLOOKUP($B$48,Índices!$B$6:$F$500,VLOOKUP(V$23,$L$7:$M$9,2,FALSE)+1,FALSE)/VLOOKUP(DATE(YEAR($B27),MONTH($B27)-1,1),Índices!$B$6:$F$500,VLOOKUP(V$23,$L$7:$M$9,2,FALSE)+1,FALSE)*U27</f>
        <v>0</v>
      </c>
      <c r="Z27" s="68"/>
    </row>
    <row r="28" spans="1:26" ht="14.25">
      <c r="A28" s="209"/>
      <c r="B28" s="271">
        <f t="shared" si="2"/>
        <v>44105</v>
      </c>
      <c r="C28" s="297"/>
      <c r="D28" s="226">
        <f>VLOOKUP($B$48,Índices!$B$6:$F$500,VLOOKUP(D$23,$L$7:$M$9,2,FALSE)+1,FALSE)/VLOOKUP(DATE(YEAR($B28),MONTH($B28)-1,1),Índices!$B$6:$F$500,VLOOKUP(D$23,$L$7:$M$9,2,FALSE)+1,FALSE)*C28</f>
        <v>0</v>
      </c>
      <c r="E28" s="225"/>
      <c r="F28" s="226"/>
      <c r="G28" s="225"/>
      <c r="H28" s="226">
        <f>VLOOKUP($B$48,Índices!$B$6:$F$500,VLOOKUP(H$23,$L$7:$M$9,2,FALSE)+1,FALSE)/VLOOKUP(DATE(YEAR($B28),MONTH($B28)-1,1),Índices!$B$6:$F$500,VLOOKUP(H$23,$L$7:$M$9,2,FALSE)+1,FALSE)*G28</f>
        <v>0</v>
      </c>
      <c r="I28" s="80"/>
      <c r="J28" s="80">
        <f>VLOOKUP($B$48,Índices!$B$6:$F$500,VLOOKUP(J$23,$L$7:$M$9,2,FALSE)+1,FALSE)/VLOOKUP(DATE(YEAR($B28),MONTH($B28)-1,1),Índices!$B$6:$F$500,VLOOKUP(J$23,$L$7:$M$9,2,FALSE)+1,FALSE)*I28</f>
        <v>0</v>
      </c>
      <c r="K28" s="225"/>
      <c r="L28" s="226">
        <f>VLOOKUP($B$48,Índices!$B$6:$F$500,VLOOKUP(L$23,$L$7:$M$9,2,FALSE)+1,FALSE)/VLOOKUP(DATE(YEAR($B28),MONTH($B28)-1,1),Índices!$B$6:$F$500,VLOOKUP(L$23,$L$7:$M$9,2,FALSE)+1,FALSE)*K28</f>
        <v>0</v>
      </c>
      <c r="M28" s="415"/>
      <c r="N28" s="100">
        <f>VLOOKUP($B$48,Índices!$B$6:$F$500,VLOOKUP(N$23,$L$7:$M$9,2,FALSE)+1,FALSE)/VLOOKUP(DATE(YEAR($B28),MONTH($B28)-1,1),Índices!$B$6:$F$500,VLOOKUP(N$23,$L$7:$M$9,2,FALSE)+1,FALSE)*M28</f>
        <v>0</v>
      </c>
      <c r="O28" s="415"/>
      <c r="P28" s="100">
        <f>VLOOKUP($B$48,Índices!$B$6:$F$500,VLOOKUP(P$23,$L$7:$M$9,2,FALSE)+1,FALSE)/VLOOKUP(DATE(YEAR($B28),MONTH($B28)-1,1),Índices!$B$6:$F$500,VLOOKUP(P$23,$L$7:$M$9,2,FALSE)+1,FALSE)*O28</f>
        <v>0</v>
      </c>
      <c r="Q28" s="225"/>
      <c r="R28" s="100">
        <f>VLOOKUP($B$48,Índices!$B$6:$F$500,VLOOKUP(R$23,$L$7:$M$9,2,FALSE)+1,FALSE)/VLOOKUP(DATE(YEAR($B28),MONTH($B28)-1,1),Índices!$B$6:$F$500,VLOOKUP(R$23,$L$7:$M$9,2,FALSE)+1,FALSE)*Q28</f>
        <v>0</v>
      </c>
      <c r="S28" s="225"/>
      <c r="T28" s="100">
        <f>VLOOKUP($B$48,Índices!$B$6:$F$500,VLOOKUP(T$23,$L$7:$M$9,2,FALSE)+1,FALSE)/VLOOKUP(DATE(YEAR($B28),MONTH($B28)-1,1),Índices!$B$6:$F$500,VLOOKUP(T$23,$L$7:$M$9,2,FALSE)+1,FALSE)*S28</f>
        <v>0</v>
      </c>
      <c r="U28" s="225"/>
      <c r="V28" s="100">
        <f>VLOOKUP($B$48,Índices!$B$6:$F$500,VLOOKUP(V$23,$L$7:$M$9,2,FALSE)+1,FALSE)/VLOOKUP(DATE(YEAR($B28),MONTH($B28)-1,1),Índices!$B$6:$F$500,VLOOKUP(V$23,$L$7:$M$9,2,FALSE)+1,FALSE)*U28</f>
        <v>0</v>
      </c>
      <c r="Z28" s="68"/>
    </row>
    <row r="29" spans="1:26" ht="14.25">
      <c r="A29" s="209"/>
      <c r="B29" s="271">
        <f t="shared" si="2"/>
        <v>44136</v>
      </c>
      <c r="C29" s="297"/>
      <c r="D29" s="226">
        <f>VLOOKUP($B$48,Índices!$B$6:$F$500,VLOOKUP(D$23,$L$7:$M$9,2,FALSE)+1,FALSE)/VLOOKUP(DATE(YEAR($B29),MONTH($B29)-1,1),Índices!$B$6:$F$500,VLOOKUP(D$23,$L$7:$M$9,2,FALSE)+1,FALSE)*C29</f>
        <v>0</v>
      </c>
      <c r="E29" s="225"/>
      <c r="F29" s="226"/>
      <c r="G29" s="225"/>
      <c r="H29" s="226">
        <f>VLOOKUP($B$48,Índices!$B$6:$F$500,VLOOKUP(H$23,$L$7:$M$9,2,FALSE)+1,FALSE)/VLOOKUP(DATE(YEAR($B29),MONTH($B29)-1,1),Índices!$B$6:$F$500,VLOOKUP(H$23,$L$7:$M$9,2,FALSE)+1,FALSE)*G29</f>
        <v>0</v>
      </c>
      <c r="I29" s="80"/>
      <c r="J29" s="80">
        <f>VLOOKUP($B$48,Índices!$B$6:$F$500,VLOOKUP(J$23,$L$7:$M$9,2,FALSE)+1,FALSE)/VLOOKUP(DATE(YEAR($B29),MONTH($B29)-1,1),Índices!$B$6:$F$500,VLOOKUP(J$23,$L$7:$M$9,2,FALSE)+1,FALSE)*I29</f>
        <v>0</v>
      </c>
      <c r="K29" s="225"/>
      <c r="L29" s="226">
        <f>VLOOKUP($B$48,Índices!$B$6:$F$500,VLOOKUP(L$23,$L$7:$M$9,2,FALSE)+1,FALSE)/VLOOKUP(DATE(YEAR($B29),MONTH($B29)-1,1),Índices!$B$6:$F$500,VLOOKUP(L$23,$L$7:$M$9,2,FALSE)+1,FALSE)*K29</f>
        <v>0</v>
      </c>
      <c r="M29" s="415"/>
      <c r="N29" s="100">
        <f>VLOOKUP($B$48,Índices!$B$6:$F$500,VLOOKUP(N$23,$L$7:$M$9,2,FALSE)+1,FALSE)/VLOOKUP(DATE(YEAR($B29),MONTH($B29)-1,1),Índices!$B$6:$F$500,VLOOKUP(N$23,$L$7:$M$9,2,FALSE)+1,FALSE)*M29</f>
        <v>0</v>
      </c>
      <c r="O29" s="415"/>
      <c r="P29" s="100">
        <f>VLOOKUP($B$48,Índices!$B$6:$F$500,VLOOKUP(P$23,$L$7:$M$9,2,FALSE)+1,FALSE)/VLOOKUP(DATE(YEAR($B29),MONTH($B29)-1,1),Índices!$B$6:$F$500,VLOOKUP(P$23,$L$7:$M$9,2,FALSE)+1,FALSE)*O29</f>
        <v>0</v>
      </c>
      <c r="Q29" s="225"/>
      <c r="R29" s="100">
        <f>VLOOKUP($B$48,Índices!$B$6:$F$500,VLOOKUP(R$23,$L$7:$M$9,2,FALSE)+1,FALSE)/VLOOKUP(DATE(YEAR($B29),MONTH($B29)-1,1),Índices!$B$6:$F$500,VLOOKUP(R$23,$L$7:$M$9,2,FALSE)+1,FALSE)*Q29</f>
        <v>0</v>
      </c>
      <c r="S29" s="225"/>
      <c r="T29" s="100">
        <f>VLOOKUP($B$48,Índices!$B$6:$F$500,VLOOKUP(T$23,$L$7:$M$9,2,FALSE)+1,FALSE)/VLOOKUP(DATE(YEAR($B29),MONTH($B29)-1,1),Índices!$B$6:$F$500,VLOOKUP(T$23,$L$7:$M$9,2,FALSE)+1,FALSE)*S29</f>
        <v>0</v>
      </c>
      <c r="U29" s="225"/>
      <c r="V29" s="100">
        <f>VLOOKUP($B$48,Índices!$B$6:$F$500,VLOOKUP(V$23,$L$7:$M$9,2,FALSE)+1,FALSE)/VLOOKUP(DATE(YEAR($B29),MONTH($B29)-1,1),Índices!$B$6:$F$500,VLOOKUP(V$23,$L$7:$M$9,2,FALSE)+1,FALSE)*U29</f>
        <v>0</v>
      </c>
      <c r="Z29" s="68"/>
    </row>
    <row r="30" spans="1:26" ht="14.25">
      <c r="A30" s="209"/>
      <c r="B30" s="271">
        <f t="shared" si="2"/>
        <v>44166</v>
      </c>
      <c r="C30" s="297"/>
      <c r="D30" s="226">
        <f>VLOOKUP($B$48,Índices!$B$6:$F$500,VLOOKUP(D$23,$L$7:$M$9,2,FALSE)+1,FALSE)/VLOOKUP(DATE(YEAR($B30),MONTH($B30)-1,1),Índices!$B$6:$F$500,VLOOKUP(D$23,$L$7:$M$9,2,FALSE)+1,FALSE)*C30</f>
        <v>0</v>
      </c>
      <c r="E30" s="225"/>
      <c r="F30" s="226"/>
      <c r="G30" s="225"/>
      <c r="H30" s="226">
        <f>VLOOKUP($B$48,Índices!$B$6:$F$500,VLOOKUP(H$23,$L$7:$M$9,2,FALSE)+1,FALSE)/VLOOKUP(DATE(YEAR($B30),MONTH($B30)-1,1),Índices!$B$6:$F$500,VLOOKUP(H$23,$L$7:$M$9,2,FALSE)+1,FALSE)*G30</f>
        <v>0</v>
      </c>
      <c r="I30" s="80"/>
      <c r="J30" s="80">
        <f>VLOOKUP($B$48,Índices!$B$6:$F$500,VLOOKUP(J$23,$L$7:$M$9,2,FALSE)+1,FALSE)/VLOOKUP(DATE(YEAR($B30),MONTH($B30)-1,1),Índices!$B$6:$F$500,VLOOKUP(J$23,$L$7:$M$9,2,FALSE)+1,FALSE)*I30</f>
        <v>0</v>
      </c>
      <c r="K30" s="225"/>
      <c r="L30" s="226">
        <f>VLOOKUP($B$48,Índices!$B$6:$F$500,VLOOKUP(L$23,$L$7:$M$9,2,FALSE)+1,FALSE)/VLOOKUP(DATE(YEAR($B30),MONTH($B30)-1,1),Índices!$B$6:$F$500,VLOOKUP(L$23,$L$7:$M$9,2,FALSE)+1,FALSE)*K30</f>
        <v>0</v>
      </c>
      <c r="M30" s="415"/>
      <c r="N30" s="100">
        <f>VLOOKUP($B$48,Índices!$B$6:$F$500,VLOOKUP(N$23,$L$7:$M$9,2,FALSE)+1,FALSE)/VLOOKUP(DATE(YEAR($B30),MONTH($B30)-1,1),Índices!$B$6:$F$500,VLOOKUP(N$23,$L$7:$M$9,2,FALSE)+1,FALSE)*M30</f>
        <v>0</v>
      </c>
      <c r="O30" s="415"/>
      <c r="P30" s="100">
        <f>VLOOKUP($B$48,Índices!$B$6:$F$500,VLOOKUP(P$23,$L$7:$M$9,2,FALSE)+1,FALSE)/VLOOKUP(DATE(YEAR($B30),MONTH($B30)-1,1),Índices!$B$6:$F$500,VLOOKUP(P$23,$L$7:$M$9,2,FALSE)+1,FALSE)*O30</f>
        <v>0</v>
      </c>
      <c r="Q30" s="225"/>
      <c r="R30" s="100">
        <f>VLOOKUP($B$48,Índices!$B$6:$F$500,VLOOKUP(R$23,$L$7:$M$9,2,FALSE)+1,FALSE)/VLOOKUP(DATE(YEAR($B30),MONTH($B30)-1,1),Índices!$B$6:$F$500,VLOOKUP(R$23,$L$7:$M$9,2,FALSE)+1,FALSE)*Q30</f>
        <v>0</v>
      </c>
      <c r="S30" s="225"/>
      <c r="T30" s="100">
        <f>VLOOKUP($B$48,Índices!$B$6:$F$500,VLOOKUP(T$23,$L$7:$M$9,2,FALSE)+1,FALSE)/VLOOKUP(DATE(YEAR($B30),MONTH($B30)-1,1),Índices!$B$6:$F$500,VLOOKUP(T$23,$L$7:$M$9,2,FALSE)+1,FALSE)*S30</f>
        <v>0</v>
      </c>
      <c r="U30" s="225"/>
      <c r="V30" s="100">
        <f>VLOOKUP($B$48,Índices!$B$6:$F$500,VLOOKUP(V$23,$L$7:$M$9,2,FALSE)+1,FALSE)/VLOOKUP(DATE(YEAR($B30),MONTH($B30)-1,1),Índices!$B$6:$F$500,VLOOKUP(V$23,$L$7:$M$9,2,FALSE)+1,FALSE)*U30</f>
        <v>0</v>
      </c>
      <c r="Z30" s="68"/>
    </row>
    <row r="31" spans="1:26" ht="14.25">
      <c r="A31" s="209"/>
      <c r="B31" s="271">
        <f t="shared" si="2"/>
        <v>44197</v>
      </c>
      <c r="C31" s="297"/>
      <c r="D31" s="226">
        <f>VLOOKUP($B$48,Índices!$B$6:$F$500,VLOOKUP(D$23,$L$7:$M$9,2,FALSE)+1,FALSE)/VLOOKUP(DATE(YEAR($B31),MONTH($B31)-1,1),Índices!$B$6:$F$500,VLOOKUP(D$23,$L$7:$M$9,2,FALSE)+1,FALSE)*C31</f>
        <v>0</v>
      </c>
      <c r="E31" s="225"/>
      <c r="F31" s="226"/>
      <c r="G31" s="225"/>
      <c r="H31" s="226">
        <f>VLOOKUP($B$48,Índices!$B$6:$F$500,VLOOKUP(H$23,$L$7:$M$9,2,FALSE)+1,FALSE)/VLOOKUP(DATE(YEAR($B31),MONTH($B31)-1,1),Índices!$B$6:$F$500,VLOOKUP(H$23,$L$7:$M$9,2,FALSE)+1,FALSE)*G31</f>
        <v>0</v>
      </c>
      <c r="I31" s="80"/>
      <c r="J31" s="80">
        <f>VLOOKUP($B$48,Índices!$B$6:$F$500,VLOOKUP(J$23,$L$7:$M$9,2,FALSE)+1,FALSE)/VLOOKUP(DATE(YEAR($B31),MONTH($B31)-1,1),Índices!$B$6:$F$500,VLOOKUP(J$23,$L$7:$M$9,2,FALSE)+1,FALSE)*I31</f>
        <v>0</v>
      </c>
      <c r="K31" s="225"/>
      <c r="L31" s="226">
        <f>VLOOKUP($B$48,Índices!$B$6:$F$500,VLOOKUP(L$23,$L$7:$M$9,2,FALSE)+1,FALSE)/VLOOKUP(DATE(YEAR($B31),MONTH($B31)-1,1),Índices!$B$6:$F$500,VLOOKUP(L$23,$L$7:$M$9,2,FALSE)+1,FALSE)*K31</f>
        <v>0</v>
      </c>
      <c r="M31" s="415"/>
      <c r="N31" s="100">
        <f>VLOOKUP($B$48,Índices!$B$6:$F$500,VLOOKUP(N$23,$L$7:$M$9,2,FALSE)+1,FALSE)/VLOOKUP(DATE(YEAR($B31),MONTH($B31)-1,1),Índices!$B$6:$F$500,VLOOKUP(N$23,$L$7:$M$9,2,FALSE)+1,FALSE)*M31</f>
        <v>0</v>
      </c>
      <c r="O31" s="415"/>
      <c r="P31" s="100">
        <f>VLOOKUP($B$48,Índices!$B$6:$F$500,VLOOKUP(P$23,$L$7:$M$9,2,FALSE)+1,FALSE)/VLOOKUP(DATE(YEAR($B31),MONTH($B31)-1,1),Índices!$B$6:$F$500,VLOOKUP(P$23,$L$7:$M$9,2,FALSE)+1,FALSE)*O31</f>
        <v>0</v>
      </c>
      <c r="Q31" s="225"/>
      <c r="R31" s="100">
        <f>VLOOKUP($B$48,Índices!$B$6:$F$500,VLOOKUP(R$23,$L$7:$M$9,2,FALSE)+1,FALSE)/VLOOKUP(DATE(YEAR($B31),MONTH($B31)-1,1),Índices!$B$6:$F$500,VLOOKUP(R$23,$L$7:$M$9,2,FALSE)+1,FALSE)*Q31</f>
        <v>0</v>
      </c>
      <c r="S31" s="225"/>
      <c r="T31" s="100">
        <f>VLOOKUP($B$48,Índices!$B$6:$F$500,VLOOKUP(T$23,$L$7:$M$9,2,FALSE)+1,FALSE)/VLOOKUP(DATE(YEAR($B31),MONTH($B31)-1,1),Índices!$B$6:$F$500,VLOOKUP(T$23,$L$7:$M$9,2,FALSE)+1,FALSE)*S31</f>
        <v>0</v>
      </c>
      <c r="U31" s="225"/>
      <c r="V31" s="100">
        <f>VLOOKUP($B$48,Índices!$B$6:$F$500,VLOOKUP(V$23,$L$7:$M$9,2,FALSE)+1,FALSE)/VLOOKUP(DATE(YEAR($B31),MONTH($B31)-1,1),Índices!$B$6:$F$500,VLOOKUP(V$23,$L$7:$M$9,2,FALSE)+1,FALSE)*U31</f>
        <v>0</v>
      </c>
      <c r="Z31" s="68"/>
    </row>
    <row r="32" spans="1:26" ht="14.25">
      <c r="A32" s="209"/>
      <c r="B32" s="271">
        <f t="shared" si="2"/>
        <v>44228</v>
      </c>
      <c r="C32" s="297"/>
      <c r="D32" s="226">
        <f>VLOOKUP($B$48,Índices!$B$6:$F$500,VLOOKUP(D$23,$L$7:$M$9,2,FALSE)+1,FALSE)/VLOOKUP(DATE(YEAR($B32),MONTH($B32)-1,1),Índices!$B$6:$F$500,VLOOKUP(D$23,$L$7:$M$9,2,FALSE)+1,FALSE)*C32</f>
        <v>0</v>
      </c>
      <c r="E32" s="225"/>
      <c r="F32" s="226"/>
      <c r="G32" s="225"/>
      <c r="H32" s="226">
        <f>VLOOKUP($B$48,Índices!$B$6:$F$500,VLOOKUP(H$23,$L$7:$M$9,2,FALSE)+1,FALSE)/VLOOKUP(DATE(YEAR($B32),MONTH($B32)-1,1),Índices!$B$6:$F$500,VLOOKUP(H$23,$L$7:$M$9,2,FALSE)+1,FALSE)*G32</f>
        <v>0</v>
      </c>
      <c r="I32" s="80"/>
      <c r="J32" s="80">
        <f>VLOOKUP($B$48,Índices!$B$6:$F$500,VLOOKUP(J$23,$L$7:$M$9,2,FALSE)+1,FALSE)/VLOOKUP(DATE(YEAR($B32),MONTH($B32)-1,1),Índices!$B$6:$F$500,VLOOKUP(J$23,$L$7:$M$9,2,FALSE)+1,FALSE)*I32</f>
        <v>0</v>
      </c>
      <c r="K32" s="225"/>
      <c r="L32" s="226">
        <f>VLOOKUP($B$48,Índices!$B$6:$F$500,VLOOKUP(L$23,$L$7:$M$9,2,FALSE)+1,FALSE)/VLOOKUP(DATE(YEAR($B32),MONTH($B32)-1,1),Índices!$B$6:$F$500,VLOOKUP(L$23,$L$7:$M$9,2,FALSE)+1,FALSE)*K32</f>
        <v>0</v>
      </c>
      <c r="M32" s="415"/>
      <c r="N32" s="100">
        <f>VLOOKUP($B$48,Índices!$B$6:$F$500,VLOOKUP(N$23,$L$7:$M$9,2,FALSE)+1,FALSE)/VLOOKUP(DATE(YEAR($B32),MONTH($B32)-1,1),Índices!$B$6:$F$500,VLOOKUP(N$23,$L$7:$M$9,2,FALSE)+1,FALSE)*M32</f>
        <v>0</v>
      </c>
      <c r="O32" s="415"/>
      <c r="P32" s="100">
        <f>VLOOKUP($B$48,Índices!$B$6:$F$500,VLOOKUP(P$23,$L$7:$M$9,2,FALSE)+1,FALSE)/VLOOKUP(DATE(YEAR($B32),MONTH($B32)-1,1),Índices!$B$6:$F$500,VLOOKUP(P$23,$L$7:$M$9,2,FALSE)+1,FALSE)*O32</f>
        <v>0</v>
      </c>
      <c r="Q32" s="225"/>
      <c r="R32" s="100">
        <f>VLOOKUP($B$48,Índices!$B$6:$F$500,VLOOKUP(R$23,$L$7:$M$9,2,FALSE)+1,FALSE)/VLOOKUP(DATE(YEAR($B32),MONTH($B32)-1,1),Índices!$B$6:$F$500,VLOOKUP(R$23,$L$7:$M$9,2,FALSE)+1,FALSE)*Q32</f>
        <v>0</v>
      </c>
      <c r="S32" s="225"/>
      <c r="T32" s="100">
        <f>VLOOKUP($B$48,Índices!$B$6:$F$500,VLOOKUP(T$23,$L$7:$M$9,2,FALSE)+1,FALSE)/VLOOKUP(DATE(YEAR($B32),MONTH($B32)-1,1),Índices!$B$6:$F$500,VLOOKUP(T$23,$L$7:$M$9,2,FALSE)+1,FALSE)*S32</f>
        <v>0</v>
      </c>
      <c r="U32" s="225"/>
      <c r="V32" s="100">
        <f>VLOOKUP($B$48,Índices!$B$6:$F$500,VLOOKUP(V$23,$L$7:$M$9,2,FALSE)+1,FALSE)/VLOOKUP(DATE(YEAR($B32),MONTH($B32)-1,1),Índices!$B$6:$F$500,VLOOKUP(V$23,$L$7:$M$9,2,FALSE)+1,FALSE)*U32</f>
        <v>0</v>
      </c>
      <c r="Z32" s="68"/>
    </row>
    <row r="33" spans="1:26" ht="14.25">
      <c r="A33" s="209"/>
      <c r="B33" s="271">
        <f t="shared" si="2"/>
        <v>44256</v>
      </c>
      <c r="C33" s="297"/>
      <c r="D33" s="226">
        <f>VLOOKUP($B$48,Índices!$B$6:$F$500,VLOOKUP(D$23,$L$7:$M$9,2,FALSE)+1,FALSE)/VLOOKUP(DATE(YEAR($B33),MONTH($B33)-1,1),Índices!$B$6:$F$500,VLOOKUP(D$23,$L$7:$M$9,2,FALSE)+1,FALSE)*C33</f>
        <v>0</v>
      </c>
      <c r="E33" s="225"/>
      <c r="F33" s="226"/>
      <c r="G33" s="225"/>
      <c r="H33" s="226">
        <f>VLOOKUP($B$48,Índices!$B$6:$F$500,VLOOKUP(H$23,$L$7:$M$9,2,FALSE)+1,FALSE)/VLOOKUP(DATE(YEAR($B33),MONTH($B33)-1,1),Índices!$B$6:$F$500,VLOOKUP(H$23,$L$7:$M$9,2,FALSE)+1,FALSE)*G33</f>
        <v>0</v>
      </c>
      <c r="I33" s="80"/>
      <c r="J33" s="80">
        <f>VLOOKUP($B$48,Índices!$B$6:$F$500,VLOOKUP(J$23,$L$7:$M$9,2,FALSE)+1,FALSE)/VLOOKUP(DATE(YEAR($B33),MONTH($B33)-1,1),Índices!$B$6:$F$500,VLOOKUP(J$23,$L$7:$M$9,2,FALSE)+1,FALSE)*I33</f>
        <v>0</v>
      </c>
      <c r="K33" s="225"/>
      <c r="L33" s="226">
        <f>VLOOKUP($B$48,Índices!$B$6:$F$500,VLOOKUP(L$23,$L$7:$M$9,2,FALSE)+1,FALSE)/VLOOKUP(DATE(YEAR($B33),MONTH($B33)-1,1),Índices!$B$6:$F$500,VLOOKUP(L$23,$L$7:$M$9,2,FALSE)+1,FALSE)*K33</f>
        <v>0</v>
      </c>
      <c r="M33" s="415"/>
      <c r="N33" s="100">
        <f>VLOOKUP($B$48,Índices!$B$6:$F$500,VLOOKUP(N$23,$L$7:$M$9,2,FALSE)+1,FALSE)/VLOOKUP(DATE(YEAR($B33),MONTH($B33)-1,1),Índices!$B$6:$F$500,VLOOKUP(N$23,$L$7:$M$9,2,FALSE)+1,FALSE)*M33</f>
        <v>0</v>
      </c>
      <c r="O33" s="415"/>
      <c r="P33" s="100">
        <f>VLOOKUP($B$48,Índices!$B$6:$F$500,VLOOKUP(P$23,$L$7:$M$9,2,FALSE)+1,FALSE)/VLOOKUP(DATE(YEAR($B33),MONTH($B33)-1,1),Índices!$B$6:$F$500,VLOOKUP(P$23,$L$7:$M$9,2,FALSE)+1,FALSE)*O33</f>
        <v>0</v>
      </c>
      <c r="Q33" s="225"/>
      <c r="R33" s="100">
        <f>VLOOKUP($B$48,Índices!$B$6:$F$500,VLOOKUP(R$23,$L$7:$M$9,2,FALSE)+1,FALSE)/VLOOKUP(DATE(YEAR($B33),MONTH($B33)-1,1),Índices!$B$6:$F$500,VLOOKUP(R$23,$L$7:$M$9,2,FALSE)+1,FALSE)*Q33</f>
        <v>0</v>
      </c>
      <c r="S33" s="225"/>
      <c r="T33" s="100">
        <f>VLOOKUP($B$48,Índices!$B$6:$F$500,VLOOKUP(T$23,$L$7:$M$9,2,FALSE)+1,FALSE)/VLOOKUP(DATE(YEAR($B33),MONTH($B33)-1,1),Índices!$B$6:$F$500,VLOOKUP(T$23,$L$7:$M$9,2,FALSE)+1,FALSE)*S33</f>
        <v>0</v>
      </c>
      <c r="U33" s="863"/>
      <c r="V33" s="100">
        <f>VLOOKUP($B$48,Índices!$B$6:$F$500,VLOOKUP(V$23,$L$7:$M$9,2,FALSE)+1,FALSE)/VLOOKUP(DATE(YEAR($B33),MONTH($B33)-1,1),Índices!$B$6:$F$500,VLOOKUP(V$23,$L$7:$M$9,2,FALSE)+1,FALSE)*U33</f>
        <v>0</v>
      </c>
      <c r="Z33" s="68"/>
    </row>
    <row r="34" spans="1:26" ht="14.25">
      <c r="A34" s="209"/>
      <c r="B34" s="271">
        <f t="shared" si="2"/>
        <v>44287</v>
      </c>
      <c r="C34" s="297">
        <f>CAPA!C63</f>
        <v>0</v>
      </c>
      <c r="D34" s="226">
        <f>VLOOKUP($B$48,Índices!$B$6:$F$500,VLOOKUP(D$23,$L$7:$M$9,2,FALSE)+1,FALSE)/VLOOKUP(DATE(YEAR($B34),MONTH($B34)-1,1),Índices!$B$6:$F$500,VLOOKUP(D$23,$L$7:$M$9,2,FALSE)+1,FALSE)*C34</f>
        <v>0</v>
      </c>
      <c r="E34" s="225"/>
      <c r="F34" s="226"/>
      <c r="G34" s="225">
        <f>CAPA!E63</f>
        <v>0</v>
      </c>
      <c r="H34" s="226">
        <f>VLOOKUP($B$48,Índices!$B$6:$F$500,VLOOKUP(H$23,$L$7:$M$9,2,FALSE)+1,FALSE)/VLOOKUP(DATE(YEAR($B34),MONTH($B34)-1,1),Índices!$B$6:$F$500,VLOOKUP(H$23,$L$7:$M$9,2,FALSE)+1,FALSE)*G34</f>
        <v>0</v>
      </c>
      <c r="I34" s="80"/>
      <c r="J34" s="80">
        <f>VLOOKUP($B$48,Índices!$B$6:$F$500,VLOOKUP(J$23,$L$7:$M$9,2,FALSE)+1,FALSE)/VLOOKUP(DATE(YEAR($B34),MONTH($B34)-1,1),Índices!$B$6:$F$500,VLOOKUP(J$23,$L$7:$M$9,2,FALSE)+1,FALSE)*I34</f>
        <v>0</v>
      </c>
      <c r="K34" s="225"/>
      <c r="L34" s="226">
        <f>VLOOKUP($B$48,Índices!$B$6:$F$500,VLOOKUP(L$23,$L$7:$M$9,2,FALSE)+1,FALSE)/VLOOKUP(DATE(YEAR($B34),MONTH($B34)-1,1),Índices!$B$6:$F$500,VLOOKUP(L$23,$L$7:$M$9,2,FALSE)+1,FALSE)*K34</f>
        <v>0</v>
      </c>
      <c r="M34" s="415"/>
      <c r="N34" s="100">
        <f>VLOOKUP($B$48,Índices!$B$6:$F$500,VLOOKUP(N$23,$L$7:$M$9,2,FALSE)+1,FALSE)/VLOOKUP(DATE(YEAR($B34),MONTH($B34)-1,1),Índices!$B$6:$F$500,VLOOKUP(N$23,$L$7:$M$9,2,FALSE)+1,FALSE)*M34</f>
        <v>0</v>
      </c>
      <c r="O34" s="415">
        <f>CAPA!G63</f>
        <v>0</v>
      </c>
      <c r="P34" s="100">
        <f>VLOOKUP($B$48,Índices!$B$6:$F$500,VLOOKUP(P$23,$L$7:$M$9,2,FALSE)+1,FALSE)/VLOOKUP(DATE(YEAR($B34),MONTH($B34)-1,1),Índices!$B$6:$F$500,VLOOKUP(P$23,$L$7:$M$9,2,FALSE)+1,FALSE)*O34</f>
        <v>0</v>
      </c>
      <c r="Q34" s="225">
        <f>CAPA!D63</f>
        <v>0</v>
      </c>
      <c r="R34" s="100">
        <f>VLOOKUP($B$48,Índices!$B$6:$F$500,VLOOKUP(R$23,$L$7:$M$9,2,FALSE)+1,FALSE)/VLOOKUP(DATE(YEAR($B34),MONTH($B34)-1,1),Índices!$B$6:$F$500,VLOOKUP(R$23,$L$7:$M$9,2,FALSE)+1,FALSE)*Q34</f>
        <v>0</v>
      </c>
      <c r="S34" s="225"/>
      <c r="T34" s="100">
        <f>VLOOKUP($B$48,Índices!$B$6:$F$500,VLOOKUP(T$23,$L$7:$M$9,2,FALSE)+1,FALSE)/VLOOKUP(DATE(YEAR($B34),MONTH($B34)-1,1),Índices!$B$6:$F$500,VLOOKUP(T$23,$L$7:$M$9,2,FALSE)+1,FALSE)*S34</f>
        <v>0</v>
      </c>
      <c r="U34" s="863"/>
      <c r="V34" s="100">
        <f>VLOOKUP($B$48,Índices!$B$6:$F$500,VLOOKUP(V$23,$L$7:$M$9,2,FALSE)+1,FALSE)/VLOOKUP(DATE(YEAR($B34),MONTH($B34)-1,1),Índices!$B$6:$F$500,VLOOKUP(V$23,$L$7:$M$9,2,FALSE)+1,FALSE)*U34</f>
        <v>0</v>
      </c>
      <c r="Z34" s="68"/>
    </row>
    <row r="35" spans="1:26" ht="14.25">
      <c r="A35" s="209"/>
      <c r="B35" s="271">
        <f t="shared" si="2"/>
        <v>44317</v>
      </c>
      <c r="C35" s="297">
        <f>CAPA!C64</f>
        <v>0</v>
      </c>
      <c r="D35" s="226">
        <f>VLOOKUP($B$48,Índices!$B$6:$F$500,VLOOKUP(D$23,$L$7:$M$9,2,FALSE)+1,FALSE)/VLOOKUP(DATE(YEAR($B35),MONTH($B35)-1,1),Índices!$B$6:$F$500,VLOOKUP(D$23,$L$7:$M$9,2,FALSE)+1,FALSE)*C35</f>
        <v>0</v>
      </c>
      <c r="E35" s="225"/>
      <c r="F35" s="226"/>
      <c r="G35" s="225">
        <f>CAPA!E64</f>
        <v>0</v>
      </c>
      <c r="H35" s="226">
        <f>VLOOKUP($B$48,Índices!$B$6:$F$500,VLOOKUP(H$23,$L$7:$M$9,2,FALSE)+1,FALSE)/VLOOKUP(DATE(YEAR($B35),MONTH($B35)-1,1),Índices!$B$6:$F$500,VLOOKUP(H$23,$L$7:$M$9,2,FALSE)+1,FALSE)*G35</f>
        <v>0</v>
      </c>
      <c r="I35" s="80"/>
      <c r="J35" s="80">
        <f>VLOOKUP($B$48,Índices!$B$6:$F$500,VLOOKUP(J$23,$L$7:$M$9,2,FALSE)+1,FALSE)/VLOOKUP(DATE(YEAR($B35),MONTH($B35)-1,1),Índices!$B$6:$F$500,VLOOKUP(J$23,$L$7:$M$9,2,FALSE)+1,FALSE)*I35</f>
        <v>0</v>
      </c>
      <c r="K35" s="225">
        <f>CAPA!H64</f>
        <v>0</v>
      </c>
      <c r="L35" s="226">
        <f>VLOOKUP($B$48,Índices!$B$6:$F$500,VLOOKUP(L$23,$L$7:$M$9,2,FALSE)+1,FALSE)/VLOOKUP(DATE(YEAR($B35),MONTH($B35)-1,1),Índices!$B$6:$F$500,VLOOKUP(L$23,$L$7:$M$9,2,FALSE)+1,FALSE)*K35</f>
        <v>0</v>
      </c>
      <c r="M35" s="415"/>
      <c r="N35" s="100">
        <f>VLOOKUP($B$48,Índices!$B$6:$F$500,VLOOKUP(N$23,$L$7:$M$9,2,FALSE)+1,FALSE)/VLOOKUP(DATE(YEAR($B35),MONTH($B35)-1,1),Índices!$B$6:$F$500,VLOOKUP(N$23,$L$7:$M$9,2,FALSE)+1,FALSE)*M35</f>
        <v>0</v>
      </c>
      <c r="O35" s="415">
        <f>CAPA!G64</f>
        <v>0</v>
      </c>
      <c r="P35" s="100">
        <f>VLOOKUP($B$48,Índices!$B$6:$F$500,VLOOKUP(P$23,$L$7:$M$9,2,FALSE)+1,FALSE)/VLOOKUP(DATE(YEAR($B35),MONTH($B35)-1,1),Índices!$B$6:$F$500,VLOOKUP(P$23,$L$7:$M$9,2,FALSE)+1,FALSE)*O35</f>
        <v>0</v>
      </c>
      <c r="Q35" s="225">
        <f>CAPA!D64</f>
        <v>0</v>
      </c>
      <c r="R35" s="100">
        <f>VLOOKUP($B$48,Índices!$B$6:$F$500,VLOOKUP(R$23,$L$7:$M$9,2,FALSE)+1,FALSE)/VLOOKUP(DATE(YEAR($B35),MONTH($B35)-1,1),Índices!$B$6:$F$500,VLOOKUP(R$23,$L$7:$M$9,2,FALSE)+1,FALSE)*Q35</f>
        <v>0</v>
      </c>
      <c r="S35" s="225"/>
      <c r="T35" s="100">
        <f>VLOOKUP($B$48,Índices!$B$6:$F$500,VLOOKUP(T$23,$L$7:$M$9,2,FALSE)+1,FALSE)/VLOOKUP(DATE(YEAR($B35),MONTH($B35)-1,1),Índices!$B$6:$F$500,VLOOKUP(T$23,$L$7:$M$9,2,FALSE)+1,FALSE)*S35</f>
        <v>0</v>
      </c>
      <c r="U35" s="863"/>
      <c r="V35" s="100">
        <f>VLOOKUP($B$48,Índices!$B$6:$F$500,VLOOKUP(V$23,$L$7:$M$9,2,FALSE)+1,FALSE)/VLOOKUP(DATE(YEAR($B35),MONTH($B35)-1,1),Índices!$B$6:$F$500,VLOOKUP(V$23,$L$7:$M$9,2,FALSE)+1,FALSE)*U35</f>
        <v>0</v>
      </c>
      <c r="Z35" s="68"/>
    </row>
    <row r="36" spans="1:26" ht="14.25">
      <c r="A36" s="209"/>
      <c r="B36" s="271">
        <f t="shared" si="2"/>
        <v>44348</v>
      </c>
      <c r="C36" s="297">
        <f>CAPA!C65</f>
        <v>0</v>
      </c>
      <c r="D36" s="226">
        <f>VLOOKUP($B$48,Índices!$B$6:$F$500,VLOOKUP(D$23,$L$7:$M$9,2,FALSE)+1,FALSE)/VLOOKUP(DATE(YEAR($B36),MONTH($B36)-1,1),Índices!$B$6:$F$500,VLOOKUP(D$23,$L$7:$M$9,2,FALSE)+1,FALSE)*C36</f>
        <v>0</v>
      </c>
      <c r="E36" s="225"/>
      <c r="F36" s="226"/>
      <c r="G36" s="225">
        <f>CAPA!E65</f>
        <v>0</v>
      </c>
      <c r="H36" s="226">
        <f>VLOOKUP($B$48,Índices!$B$6:$F$500,VLOOKUP(H$23,$L$7:$M$9,2,FALSE)+1,FALSE)/VLOOKUP(DATE(YEAR($B36),MONTH($B36)-1,1),Índices!$B$6:$F$500,VLOOKUP(H$23,$L$7:$M$9,2,FALSE)+1,FALSE)*G36</f>
        <v>0</v>
      </c>
      <c r="I36" s="80"/>
      <c r="J36" s="80">
        <f>VLOOKUP($B$48,Índices!$B$6:$F$500,VLOOKUP(J$23,$L$7:$M$9,2,FALSE)+1,FALSE)/VLOOKUP(DATE(YEAR($B36),MONTH($B36)-1,1),Índices!$B$6:$F$500,VLOOKUP(J$23,$L$7:$M$9,2,FALSE)+1,FALSE)*I36</f>
        <v>0</v>
      </c>
      <c r="K36" s="225">
        <f>CAPA!H65</f>
        <v>0</v>
      </c>
      <c r="L36" s="226">
        <f>VLOOKUP($B$48,Índices!$B$6:$F$500,VLOOKUP(L$23,$L$7:$M$9,2,FALSE)+1,FALSE)/VLOOKUP(DATE(YEAR($B36),MONTH($B36)-1,1),Índices!$B$6:$F$500,VLOOKUP(L$23,$L$7:$M$9,2,FALSE)+1,FALSE)*K36</f>
        <v>0</v>
      </c>
      <c r="M36" s="415"/>
      <c r="N36" s="100">
        <f>VLOOKUP($B$48,Índices!$B$6:$F$500,VLOOKUP(N$23,$L$7:$M$9,2,FALSE)+1,FALSE)/VLOOKUP(DATE(YEAR($B36),MONTH($B36)-1,1),Índices!$B$6:$F$500,VLOOKUP(N$23,$L$7:$M$9,2,FALSE)+1,FALSE)*M36</f>
        <v>0</v>
      </c>
      <c r="O36" s="415">
        <f>CAPA!G65</f>
        <v>0</v>
      </c>
      <c r="P36" s="100">
        <f>VLOOKUP($B$48,Índices!$B$6:$F$500,VLOOKUP(P$23,$L$7:$M$9,2,FALSE)+1,FALSE)/VLOOKUP(DATE(YEAR($B36),MONTH($B36)-1,1),Índices!$B$6:$F$500,VLOOKUP(P$23,$L$7:$M$9,2,FALSE)+1,FALSE)*O36</f>
        <v>0</v>
      </c>
      <c r="Q36" s="225">
        <f>CAPA!D65</f>
        <v>0</v>
      </c>
      <c r="R36" s="100">
        <f>VLOOKUP($B$48,Índices!$B$6:$F$500,VLOOKUP(R$23,$L$7:$M$9,2,FALSE)+1,FALSE)/VLOOKUP(DATE(YEAR($B36),MONTH($B36)-1,1),Índices!$B$6:$F$500,VLOOKUP(R$23,$L$7:$M$9,2,FALSE)+1,FALSE)*Q36</f>
        <v>0</v>
      </c>
      <c r="S36" s="225"/>
      <c r="T36" s="100">
        <f>VLOOKUP($B$48,Índices!$B$6:$F$500,VLOOKUP(T$23,$L$7:$M$9,2,FALSE)+1,FALSE)/VLOOKUP(DATE(YEAR($B36),MONTH($B36)-1,1),Índices!$B$6:$F$500,VLOOKUP(T$23,$L$7:$M$9,2,FALSE)+1,FALSE)*S36</f>
        <v>0</v>
      </c>
      <c r="U36" s="863"/>
      <c r="V36" s="100">
        <f>VLOOKUP($B$48,Índices!$B$6:$F$500,VLOOKUP(V$23,$L$7:$M$9,2,FALSE)+1,FALSE)/VLOOKUP(DATE(YEAR($B36),MONTH($B36)-1,1),Índices!$B$6:$F$500,VLOOKUP(V$23,$L$7:$M$9,2,FALSE)+1,FALSE)*U36</f>
        <v>0</v>
      </c>
      <c r="Z36" s="68"/>
    </row>
    <row r="37" spans="1:26" s="865" customFormat="1" ht="14.25">
      <c r="A37" s="859"/>
      <c r="B37" s="860">
        <f t="shared" si="2"/>
        <v>44378</v>
      </c>
      <c r="C37" s="861">
        <f>CAPA!C66</f>
        <v>11928.2</v>
      </c>
      <c r="D37" s="862">
        <f>VLOOKUP($B$48,Índices!$B$6:$F$500,VLOOKUP(D$23,$L$7:$M$9,2,FALSE)+1,FALSE)/VLOOKUP(DATE(YEAR($B37),MONTH($B37)-1,1),Índices!$B$6:$F$500,VLOOKUP(D$23,$L$7:$M$9,2,FALSE)+1,FALSE)*C37</f>
        <v>13346.089582632872</v>
      </c>
      <c r="E37" s="863"/>
      <c r="F37" s="862">
        <f>VLOOKUP($B$48,Índices!$B$6:$F$500,VLOOKUP(F$23,$L$7:$M$9,2,FALSE)+1,FALSE)/VLOOKUP(DATE(YEAR($B37),MONTH($B37)-1,1),Índices!$B$6:$F$500,VLOOKUP(H$23,$L$7:$M$9,2,FALSE)+1,FALSE)*E37</f>
        <v>0</v>
      </c>
      <c r="G37" s="863">
        <f>CAPA!E66</f>
        <v>0</v>
      </c>
      <c r="H37" s="862">
        <f>VLOOKUP($B$48,Índices!$B$6:$F$500,VLOOKUP(H$23,$L$7:$M$9,2,FALSE)+1,FALSE)/VLOOKUP(DATE(YEAR($B37),MONTH($B37)-1,1),Índices!$B$6:$F$500,VLOOKUP(H$23,$L$7:$M$9,2,FALSE)+1,FALSE)*G37</f>
        <v>0</v>
      </c>
      <c r="I37" s="864">
        <f>IFERROR(HLOOKUP(B37,'Rede Básica + Ajuste'!$E$70:$P$71,2,FALSE),0)</f>
        <v>0</v>
      </c>
      <c r="J37" s="864">
        <f>VLOOKUP($B$48,Índices!$B$6:$F$500,VLOOKUP(J$23,$L$7:$M$9,2,FALSE)+1,FALSE)/VLOOKUP(DATE(YEAR($B37),MONTH($B37)-1,1),Índices!$B$6:$F$500,VLOOKUP(J$23,$L$7:$M$9,2,FALSE)+1,FALSE)*I37</f>
        <v>0</v>
      </c>
      <c r="K37" s="863">
        <f>CAPA!H66</f>
        <v>0</v>
      </c>
      <c r="L37" s="862">
        <f>VLOOKUP($B$48,Índices!$B$6:$F$500,VLOOKUP(L$23,$L$7:$M$9,2,FALSE)+1,FALSE)/VLOOKUP(DATE(YEAR($B37),MONTH($B37)-1,1),Índices!$B$6:$F$500,VLOOKUP(L$23,$L$7:$M$9,2,FALSE)+1,FALSE)*K37</f>
        <v>0</v>
      </c>
      <c r="M37" s="863"/>
      <c r="N37" s="862">
        <f>VLOOKUP($B$48,Índices!$B$6:$F$500,VLOOKUP(N$23,$L$7:$M$9,2,FALSE)+1,FALSE)/VLOOKUP(DATE(YEAR($B37),MONTH($B37)-1,1),Índices!$B$6:$F$500,VLOOKUP(N$23,$L$7:$M$9,2,FALSE)+1,FALSE)*M37</f>
        <v>0</v>
      </c>
      <c r="O37" s="415">
        <f>CAPA!G66</f>
        <v>0</v>
      </c>
      <c r="P37" s="862">
        <f>VLOOKUP($B$48,Índices!$B$6:$F$500,VLOOKUP(P$23,$L$7:$M$9,2,FALSE)+1,FALSE)/VLOOKUP(DATE(YEAR($B37),MONTH($B37)-1,1),Índices!$B$6:$F$500,VLOOKUP(P$23,$L$7:$M$9,2,FALSE)+1,FALSE)*O37</f>
        <v>0</v>
      </c>
      <c r="Q37" s="863">
        <f>CAPA!D66</f>
        <v>0</v>
      </c>
      <c r="R37" s="862">
        <f>VLOOKUP($B$48,Índices!$B$6:$F$500,VLOOKUP(R$23,$L$7:$M$9,2,FALSE)+1,FALSE)/VLOOKUP(DATE(YEAR($B37),MONTH($B37)-1,1),Índices!$B$6:$F$500,VLOOKUP(R$23,$L$7:$M$9,2,FALSE)+1,FALSE)*Q37</f>
        <v>0</v>
      </c>
      <c r="S37" s="863">
        <f>ICMS!$B$9/12</f>
        <v>0</v>
      </c>
      <c r="T37" s="862">
        <f>VLOOKUP($B$48,Índices!$B$6:$F$500,VLOOKUP(T$23,$L$7:$M$9,2,FALSE)+1,FALSE)/VLOOKUP(DATE(YEAR($B37),MONTH($B37)-1,1),Índices!$B$6:$F$500,VLOOKUP(T$23,$L$7:$M$9,2,FALSE)+1,FALSE)*S37</f>
        <v>0</v>
      </c>
      <c r="U37" s="863">
        <f>ICMS!$B$8/12</f>
        <v>0</v>
      </c>
      <c r="V37" s="862">
        <f>VLOOKUP($B$48,Índices!$B$6:$F$500,VLOOKUP(V$23,$L$7:$M$9,2,FALSE)+1,FALSE)/VLOOKUP(DATE(YEAR($B37),MONTH($B37)-1,1),Índices!$B$6:$F$500,VLOOKUP(V$23,$L$7:$M$9,2,FALSE)+1,FALSE)*U37</f>
        <v>0</v>
      </c>
    </row>
    <row r="38" spans="1:26" ht="14.25">
      <c r="A38" s="209"/>
      <c r="B38" s="271">
        <f t="shared" si="2"/>
        <v>44409</v>
      </c>
      <c r="C38" s="297">
        <f>CAPA!C67</f>
        <v>7627.94</v>
      </c>
      <c r="D38" s="226">
        <f>VLOOKUP($B$48,Índices!$B$6:$F$500,VLOOKUP(D$23,$L$7:$M$9,2,FALSE)+1,FALSE)/VLOOKUP(DATE(YEAR($B38),MONTH($B38)-1,1),Índices!$B$6:$F$500,VLOOKUP(D$23,$L$7:$M$9,2,FALSE)+1,FALSE)*C38</f>
        <v>8453.5122145031128</v>
      </c>
      <c r="E38" s="225"/>
      <c r="F38" s="226">
        <f>VLOOKUP($B$48,Índices!$B$6:$F$500,VLOOKUP(F$23,$L$7:$M$9,2,FALSE)+1,FALSE)/VLOOKUP(DATE(YEAR($B38),MONTH($B38)-1,1),Índices!$B$6:$F$500,VLOOKUP(H$23,$L$7:$M$9,2,FALSE)+1,FALSE)*E38</f>
        <v>0</v>
      </c>
      <c r="G38" s="225">
        <f>CAPA!E67</f>
        <v>0</v>
      </c>
      <c r="H38" s="226">
        <f>VLOOKUP($B$48,Índices!$B$6:$F$500,VLOOKUP(H$23,$L$7:$M$9,2,FALSE)+1,FALSE)/VLOOKUP(DATE(YEAR($B38),MONTH($B38)-1,1),Índices!$B$6:$F$500,VLOOKUP(H$23,$L$7:$M$9,2,FALSE)+1,FALSE)*G38</f>
        <v>0</v>
      </c>
      <c r="I38" s="80">
        <f>IFERROR(HLOOKUP(B38,'Rede Básica + Ajuste'!$E$70:$P$71,2,FALSE),0)</f>
        <v>0</v>
      </c>
      <c r="J38" s="80">
        <f>VLOOKUP($B$48,Índices!$B$6:$F$500,VLOOKUP(J$23,$L$7:$M$9,2,FALSE)+1,FALSE)/VLOOKUP(DATE(YEAR($B38),MONTH($B38)-1,1),Índices!$B$6:$F$500,VLOOKUP(J$23,$L$7:$M$9,2,FALSE)+1,FALSE)*I38</f>
        <v>0</v>
      </c>
      <c r="K38" s="225">
        <f>CAPA!H67</f>
        <v>0</v>
      </c>
      <c r="L38" s="226">
        <f>VLOOKUP($B$48,Índices!$B$6:$F$500,VLOOKUP(L$23,$L$7:$M$9,2,FALSE)+1,FALSE)/VLOOKUP(DATE(YEAR($B38),MONTH($B38)-1,1),Índices!$B$6:$F$500,VLOOKUP(L$23,$L$7:$M$9,2,FALSE)+1,FALSE)*K38</f>
        <v>0</v>
      </c>
      <c r="M38" s="415"/>
      <c r="N38" s="100">
        <f>VLOOKUP($B$48,Índices!$B$6:$F$500,VLOOKUP(N$23,$L$7:$M$9,2,FALSE)+1,FALSE)/VLOOKUP(DATE(YEAR($B38),MONTH($B38)-1,1),Índices!$B$6:$F$500,VLOOKUP(N$23,$L$7:$M$9,2,FALSE)+1,FALSE)*M38</f>
        <v>0</v>
      </c>
      <c r="O38" s="415">
        <f>CAPA!G67</f>
        <v>0</v>
      </c>
      <c r="P38" s="100">
        <f>VLOOKUP($B$48,Índices!$B$6:$F$500,VLOOKUP(P$23,$L$7:$M$9,2,FALSE)+1,FALSE)/VLOOKUP(DATE(YEAR($B38),MONTH($B38)-1,1),Índices!$B$6:$F$500,VLOOKUP(P$23,$L$7:$M$9,2,FALSE)+1,FALSE)*O38</f>
        <v>0</v>
      </c>
      <c r="Q38" s="225">
        <f>CAPA!D67</f>
        <v>0</v>
      </c>
      <c r="R38" s="100">
        <f>VLOOKUP($B$48,Índices!$B$6:$F$500,VLOOKUP(R$23,$L$7:$M$9,2,FALSE)+1,FALSE)/VLOOKUP(DATE(YEAR($B38),MONTH($B38)-1,1),Índices!$B$6:$F$500,VLOOKUP(R$23,$L$7:$M$9,2,FALSE)+1,FALSE)*Q38</f>
        <v>0</v>
      </c>
      <c r="S38" s="863">
        <f>ICMS!$B$9/12</f>
        <v>0</v>
      </c>
      <c r="T38" s="100">
        <f>VLOOKUP($B$48,Índices!$B$6:$F$500,VLOOKUP(T$23,$L$7:$M$9,2,FALSE)+1,FALSE)/VLOOKUP(DATE(YEAR($B38),MONTH($B38)-1,1),Índices!$B$6:$F$500,VLOOKUP(T$23,$L$7:$M$9,2,FALSE)+1,FALSE)*S38</f>
        <v>0</v>
      </c>
      <c r="U38" s="863">
        <f>ICMS!$B$8/12</f>
        <v>0</v>
      </c>
      <c r="V38" s="100">
        <f>VLOOKUP($B$48,Índices!$B$6:$F$500,VLOOKUP(V$23,$L$7:$M$9,2,FALSE)+1,FALSE)/VLOOKUP(DATE(YEAR($B38),MONTH($B38)-1,1),Índices!$B$6:$F$500,VLOOKUP(V$23,$L$7:$M$9,2,FALSE)+1,FALSE)*U38</f>
        <v>0</v>
      </c>
      <c r="Z38" s="68"/>
    </row>
    <row r="39" spans="1:26" ht="14.25">
      <c r="A39" s="209"/>
      <c r="B39" s="271">
        <f t="shared" si="2"/>
        <v>44440</v>
      </c>
      <c r="C39" s="297">
        <f>CAPA!C68</f>
        <v>13874.88</v>
      </c>
      <c r="D39" s="226">
        <f>VLOOKUP($B$48,Índices!$B$6:$F$500,VLOOKUP(D$23,$L$7:$M$9,2,FALSE)+1,FALSE)/VLOOKUP(DATE(YEAR($B39),MONTH($B39)-1,1),Índices!$B$6:$F$500,VLOOKUP(D$23,$L$7:$M$9,2,FALSE)+1,FALSE)*C39</f>
        <v>15243.93836812144</v>
      </c>
      <c r="E39" s="225"/>
      <c r="F39" s="226">
        <f>VLOOKUP($B$48,Índices!$B$6:$F$500,VLOOKUP(F$23,$L$7:$M$9,2,FALSE)+1,FALSE)/VLOOKUP(DATE(YEAR($B39),MONTH($B39)-1,1),Índices!$B$6:$F$500,VLOOKUP(H$23,$L$7:$M$9,2,FALSE)+1,FALSE)*E39</f>
        <v>0</v>
      </c>
      <c r="G39" s="225">
        <f>CAPA!E68</f>
        <v>0</v>
      </c>
      <c r="H39" s="226">
        <f>VLOOKUP($B$48,Índices!$B$6:$F$500,VLOOKUP(H$23,$L$7:$M$9,2,FALSE)+1,FALSE)/VLOOKUP(DATE(YEAR($B39),MONTH($B39)-1,1),Índices!$B$6:$F$500,VLOOKUP(H$23,$L$7:$M$9,2,FALSE)+1,FALSE)*G39</f>
        <v>0</v>
      </c>
      <c r="I39" s="80">
        <f>IFERROR(HLOOKUP(B39,'Rede Básica + Ajuste'!$E$70:$P$71,2,FALSE),0)</f>
        <v>0</v>
      </c>
      <c r="J39" s="80">
        <f>VLOOKUP($B$48,Índices!$B$6:$F$500,VLOOKUP(J$23,$L$7:$M$9,2,FALSE)+1,FALSE)/VLOOKUP(DATE(YEAR($B39),MONTH($B39)-1,1),Índices!$B$6:$F$500,VLOOKUP(J$23,$L$7:$M$9,2,FALSE)+1,FALSE)*I39</f>
        <v>0</v>
      </c>
      <c r="K39" s="225">
        <f>CAPA!H68</f>
        <v>0</v>
      </c>
      <c r="L39" s="226">
        <f>VLOOKUP($B$48,Índices!$B$6:$F$500,VLOOKUP(L$23,$L$7:$M$9,2,FALSE)+1,FALSE)/VLOOKUP(DATE(YEAR($B39),MONTH($B39)-1,1),Índices!$B$6:$F$500,VLOOKUP(L$23,$L$7:$M$9,2,FALSE)+1,FALSE)*K39</f>
        <v>0</v>
      </c>
      <c r="M39" s="415"/>
      <c r="N39" s="100">
        <f>VLOOKUP($B$48,Índices!$B$6:$F$500,VLOOKUP(N$23,$L$7:$M$9,2,FALSE)+1,FALSE)/VLOOKUP(DATE(YEAR($B39),MONTH($B39)-1,1),Índices!$B$6:$F$500,VLOOKUP(N$23,$L$7:$M$9,2,FALSE)+1,FALSE)*M39</f>
        <v>0</v>
      </c>
      <c r="O39" s="415">
        <f>CAPA!G68</f>
        <v>0</v>
      </c>
      <c r="P39" s="100">
        <f>VLOOKUP($B$48,Índices!$B$6:$F$500,VLOOKUP(P$23,$L$7:$M$9,2,FALSE)+1,FALSE)/VLOOKUP(DATE(YEAR($B39),MONTH($B39)-1,1),Índices!$B$6:$F$500,VLOOKUP(P$23,$L$7:$M$9,2,FALSE)+1,FALSE)*O39</f>
        <v>0</v>
      </c>
      <c r="Q39" s="225">
        <f>CAPA!D68</f>
        <v>0</v>
      </c>
      <c r="R39" s="100">
        <f>VLOOKUP($B$48,Índices!$B$6:$F$500,VLOOKUP(R$23,$L$7:$M$9,2,FALSE)+1,FALSE)/VLOOKUP(DATE(YEAR($B39),MONTH($B39)-1,1),Índices!$B$6:$F$500,VLOOKUP(R$23,$L$7:$M$9,2,FALSE)+1,FALSE)*Q39</f>
        <v>0</v>
      </c>
      <c r="S39" s="863">
        <f>ICMS!$B$9/12</f>
        <v>0</v>
      </c>
      <c r="T39" s="100">
        <f>VLOOKUP($B$48,Índices!$B$6:$F$500,VLOOKUP(T$23,$L$7:$M$9,2,FALSE)+1,FALSE)/VLOOKUP(DATE(YEAR($B39),MONTH($B39)-1,1),Índices!$B$6:$F$500,VLOOKUP(T$23,$L$7:$M$9,2,FALSE)+1,FALSE)*S39</f>
        <v>0</v>
      </c>
      <c r="U39" s="863">
        <f>ICMS!$B$8/12</f>
        <v>0</v>
      </c>
      <c r="V39" s="100">
        <f>VLOOKUP($B$48,Índices!$B$6:$F$500,VLOOKUP(V$23,$L$7:$M$9,2,FALSE)+1,FALSE)/VLOOKUP(DATE(YEAR($B39),MONTH($B39)-1,1),Índices!$B$6:$F$500,VLOOKUP(V$23,$L$7:$M$9,2,FALSE)+1,FALSE)*U39</f>
        <v>0</v>
      </c>
      <c r="Z39" s="68"/>
    </row>
    <row r="40" spans="1:26" ht="14.25">
      <c r="A40" s="209"/>
      <c r="B40" s="271">
        <f t="shared" si="2"/>
        <v>44470</v>
      </c>
      <c r="C40" s="297">
        <f>CAPA!C69</f>
        <v>14736.57</v>
      </c>
      <c r="D40" s="226">
        <f>VLOOKUP($B$48,Índices!$B$6:$F$500,VLOOKUP(D$23,$L$7:$M$9,2,FALSE)+1,FALSE)/VLOOKUP(DATE(YEAR($B40),MONTH($B40)-1,1),Índices!$B$6:$F$500,VLOOKUP(D$23,$L$7:$M$9,2,FALSE)+1,FALSE)*C40</f>
        <v>16005.000737608529</v>
      </c>
      <c r="E40" s="225"/>
      <c r="F40" s="226">
        <f>VLOOKUP($B$48,Índices!$B$6:$F$500,VLOOKUP(F$23,$L$7:$M$9,2,FALSE)+1,FALSE)/VLOOKUP(DATE(YEAR($B40),MONTH($B40)-1,1),Índices!$B$6:$F$500,VLOOKUP(H$23,$L$7:$M$9,2,FALSE)+1,FALSE)*E40</f>
        <v>0</v>
      </c>
      <c r="G40" s="225">
        <f>CAPA!E69</f>
        <v>0</v>
      </c>
      <c r="H40" s="226">
        <f>VLOOKUP($B$48,Índices!$B$6:$F$500,VLOOKUP(H$23,$L$7:$M$9,2,FALSE)+1,FALSE)/VLOOKUP(DATE(YEAR($B40),MONTH($B40)-1,1),Índices!$B$6:$F$500,VLOOKUP(H$23,$L$7:$M$9,2,FALSE)+1,FALSE)*G40</f>
        <v>0</v>
      </c>
      <c r="I40" s="80">
        <f>IFERROR(HLOOKUP(B40,'Rede Básica + Ajuste'!$E$70:$P$71,2,FALSE),0)</f>
        <v>0</v>
      </c>
      <c r="J40" s="80">
        <f>VLOOKUP($B$48,Índices!$B$6:$F$500,VLOOKUP(J$23,$L$7:$M$9,2,FALSE)+1,FALSE)/VLOOKUP(DATE(YEAR($B40),MONTH($B40)-1,1),Índices!$B$6:$F$500,VLOOKUP(J$23,$L$7:$M$9,2,FALSE)+1,FALSE)*I40</f>
        <v>0</v>
      </c>
      <c r="K40" s="225">
        <f>CAPA!H69</f>
        <v>0</v>
      </c>
      <c r="L40" s="226">
        <f>VLOOKUP($B$48,Índices!$B$6:$F$500,VLOOKUP(L$23,$L$7:$M$9,2,FALSE)+1,FALSE)/VLOOKUP(DATE(YEAR($B40),MONTH($B40)-1,1),Índices!$B$6:$F$500,VLOOKUP(L$23,$L$7:$M$9,2,FALSE)+1,FALSE)*K40</f>
        <v>0</v>
      </c>
      <c r="M40" s="415"/>
      <c r="N40" s="100">
        <f>VLOOKUP($B$48,Índices!$B$6:$F$500,VLOOKUP(N$23,$L$7:$M$9,2,FALSE)+1,FALSE)/VLOOKUP(DATE(YEAR($B40),MONTH($B40)-1,1),Índices!$B$6:$F$500,VLOOKUP(N$23,$L$7:$M$9,2,FALSE)+1,FALSE)*M40</f>
        <v>0</v>
      </c>
      <c r="O40" s="415">
        <f>CAPA!G69</f>
        <v>0</v>
      </c>
      <c r="P40" s="100">
        <f>VLOOKUP($B$48,Índices!$B$6:$F$500,VLOOKUP(P$23,$L$7:$M$9,2,FALSE)+1,FALSE)/VLOOKUP(DATE(YEAR($B40),MONTH($B40)-1,1),Índices!$B$6:$F$500,VLOOKUP(P$23,$L$7:$M$9,2,FALSE)+1,FALSE)*O40</f>
        <v>0</v>
      </c>
      <c r="Q40" s="225">
        <f>CAPA!D69</f>
        <v>0</v>
      </c>
      <c r="R40" s="100">
        <f>VLOOKUP($B$48,Índices!$B$6:$F$500,VLOOKUP(R$23,$L$7:$M$9,2,FALSE)+1,FALSE)/VLOOKUP(DATE(YEAR($B40),MONTH($B40)-1,1),Índices!$B$6:$F$500,VLOOKUP(R$23,$L$7:$M$9,2,FALSE)+1,FALSE)*Q40</f>
        <v>0</v>
      </c>
      <c r="S40" s="863">
        <f>ICMS!$B$9/12</f>
        <v>0</v>
      </c>
      <c r="T40" s="100">
        <f>VLOOKUP($B$48,Índices!$B$6:$F$500,VLOOKUP(T$23,$L$7:$M$9,2,FALSE)+1,FALSE)/VLOOKUP(DATE(YEAR($B40),MONTH($B40)-1,1),Índices!$B$6:$F$500,VLOOKUP(T$23,$L$7:$M$9,2,FALSE)+1,FALSE)*S40</f>
        <v>0</v>
      </c>
      <c r="U40" s="863">
        <f>ICMS!$B$8/12</f>
        <v>0</v>
      </c>
      <c r="V40" s="100">
        <f>VLOOKUP($B$48,Índices!$B$6:$F$500,VLOOKUP(V$23,$L$7:$M$9,2,FALSE)+1,FALSE)/VLOOKUP(DATE(YEAR($B40),MONTH($B40)-1,1),Índices!$B$6:$F$500,VLOOKUP(V$23,$L$7:$M$9,2,FALSE)+1,FALSE)*U40</f>
        <v>0</v>
      </c>
      <c r="Z40" s="68"/>
    </row>
    <row r="41" spans="1:26" ht="14.25">
      <c r="A41" s="209"/>
      <c r="B41" s="271">
        <f t="shared" si="2"/>
        <v>44501</v>
      </c>
      <c r="C41" s="297">
        <f>CAPA!C70</f>
        <v>14818.48</v>
      </c>
      <c r="D41" s="226">
        <f>VLOOKUP($B$48,Índices!$B$6:$F$500,VLOOKUP(D$23,$L$7:$M$9,2,FALSE)+1,FALSE)/VLOOKUP(DATE(YEAR($B41),MONTH($B41)-1,1),Índices!$B$6:$F$500,VLOOKUP(D$23,$L$7:$M$9,2,FALSE)+1,FALSE)*C41</f>
        <v>15895.277088182957</v>
      </c>
      <c r="E41" s="225"/>
      <c r="F41" s="226">
        <f>VLOOKUP($B$48,Índices!$B$6:$F$500,VLOOKUP(F$23,$L$7:$M$9,2,FALSE)+1,FALSE)/VLOOKUP(DATE(YEAR($B41),MONTH($B41)-1,1),Índices!$B$6:$F$500,VLOOKUP(H$23,$L$7:$M$9,2,FALSE)+1,FALSE)*E41</f>
        <v>0</v>
      </c>
      <c r="G41" s="225">
        <f>CAPA!E70</f>
        <v>0</v>
      </c>
      <c r="H41" s="226">
        <f>VLOOKUP($B$48,Índices!$B$6:$F$500,VLOOKUP(H$23,$L$7:$M$9,2,FALSE)+1,FALSE)/VLOOKUP(DATE(YEAR($B41),MONTH($B41)-1,1),Índices!$B$6:$F$500,VLOOKUP(H$23,$L$7:$M$9,2,FALSE)+1,FALSE)*G41</f>
        <v>0</v>
      </c>
      <c r="I41" s="80">
        <f>IFERROR(HLOOKUP(B41,'Rede Básica + Ajuste'!$E$70:$P$71,2,FALSE),0)</f>
        <v>0</v>
      </c>
      <c r="J41" s="80">
        <f>VLOOKUP($B$48,Índices!$B$6:$F$500,VLOOKUP(J$23,$L$7:$M$9,2,FALSE)+1,FALSE)/VLOOKUP(DATE(YEAR($B41),MONTH($B41)-1,1),Índices!$B$6:$F$500,VLOOKUP(J$23,$L$7:$M$9,2,FALSE)+1,FALSE)*I41</f>
        <v>0</v>
      </c>
      <c r="K41" s="225">
        <f>CAPA!H70</f>
        <v>0</v>
      </c>
      <c r="L41" s="226">
        <f>VLOOKUP($B$48,Índices!$B$6:$F$500,VLOOKUP(L$23,$L$7:$M$9,2,FALSE)+1,FALSE)/VLOOKUP(DATE(YEAR($B41),MONTH($B41)-1,1),Índices!$B$6:$F$500,VLOOKUP(L$23,$L$7:$M$9,2,FALSE)+1,FALSE)*K41</f>
        <v>0</v>
      </c>
      <c r="M41" s="415"/>
      <c r="N41" s="100">
        <f>VLOOKUP($B$48,Índices!$B$6:$F$500,VLOOKUP(N$23,$L$7:$M$9,2,FALSE)+1,FALSE)/VLOOKUP(DATE(YEAR($B41),MONTH($B41)-1,1),Índices!$B$6:$F$500,VLOOKUP(N$23,$L$7:$M$9,2,FALSE)+1,FALSE)*M41</f>
        <v>0</v>
      </c>
      <c r="O41" s="415">
        <f>CAPA!G70</f>
        <v>0</v>
      </c>
      <c r="P41" s="100">
        <f>VLOOKUP($B$48,Índices!$B$6:$F$500,VLOOKUP(P$23,$L$7:$M$9,2,FALSE)+1,FALSE)/VLOOKUP(DATE(YEAR($B41),MONTH($B41)-1,1),Índices!$B$6:$F$500,VLOOKUP(P$23,$L$7:$M$9,2,FALSE)+1,FALSE)*O41</f>
        <v>0</v>
      </c>
      <c r="Q41" s="225">
        <f>CAPA!D70</f>
        <v>0</v>
      </c>
      <c r="R41" s="100">
        <f>VLOOKUP($B$48,Índices!$B$6:$F$500,VLOOKUP(R$23,$L$7:$M$9,2,FALSE)+1,FALSE)/VLOOKUP(DATE(YEAR($B41),MONTH($B41)-1,1),Índices!$B$6:$F$500,VLOOKUP(R$23,$L$7:$M$9,2,FALSE)+1,FALSE)*Q41</f>
        <v>0</v>
      </c>
      <c r="S41" s="863">
        <f>ICMS!$B$9/12</f>
        <v>0</v>
      </c>
      <c r="T41" s="100">
        <f>VLOOKUP($B$48,Índices!$B$6:$F$500,VLOOKUP(T$23,$L$7:$M$9,2,FALSE)+1,FALSE)/VLOOKUP(DATE(YEAR($B41),MONTH($B41)-1,1),Índices!$B$6:$F$500,VLOOKUP(T$23,$L$7:$M$9,2,FALSE)+1,FALSE)*S41</f>
        <v>0</v>
      </c>
      <c r="U41" s="863">
        <f>ICMS!$B$8/12</f>
        <v>0</v>
      </c>
      <c r="V41" s="100">
        <f>VLOOKUP($B$48,Índices!$B$6:$F$500,VLOOKUP(V$23,$L$7:$M$9,2,FALSE)+1,FALSE)/VLOOKUP(DATE(YEAR($B41),MONTH($B41)-1,1),Índices!$B$6:$F$500,VLOOKUP(V$23,$L$7:$M$9,2,FALSE)+1,FALSE)*U41</f>
        <v>0</v>
      </c>
      <c r="Z41" s="68"/>
    </row>
    <row r="42" spans="1:26" ht="14.25">
      <c r="A42" s="209"/>
      <c r="B42" s="271">
        <f t="shared" si="2"/>
        <v>44531</v>
      </c>
      <c r="C42" s="297">
        <f>CAPA!C71</f>
        <v>14864.95</v>
      </c>
      <c r="D42" s="226">
        <f>VLOOKUP($B$48,Índices!$B$6:$F$500,VLOOKUP(D$23,$L$7:$M$9,2,FALSE)+1,FALSE)/VLOOKUP(DATE(YEAR($B42),MONTH($B42)-1,1),Índices!$B$6:$F$500,VLOOKUP(D$23,$L$7:$M$9,2,FALSE)+1,FALSE)*C42</f>
        <v>15795.059895666174</v>
      </c>
      <c r="E42" s="225"/>
      <c r="F42" s="226">
        <f>VLOOKUP($B$48,Índices!$B$6:$F$500,VLOOKUP(F$23,$L$7:$M$9,2,FALSE)+1,FALSE)/VLOOKUP(DATE(YEAR($B42),MONTH($B42)-1,1),Índices!$B$6:$F$500,VLOOKUP(H$23,$L$7:$M$9,2,FALSE)+1,FALSE)*E42</f>
        <v>0</v>
      </c>
      <c r="G42" s="225">
        <f>CAPA!E71</f>
        <v>0</v>
      </c>
      <c r="H42" s="226">
        <f>VLOOKUP($B$48,Índices!$B$6:$F$500,VLOOKUP(H$23,$L$7:$M$9,2,FALSE)+1,FALSE)/VLOOKUP(DATE(YEAR($B42),MONTH($B42)-1,1),Índices!$B$6:$F$500,VLOOKUP(H$23,$L$7:$M$9,2,FALSE)+1,FALSE)*G42</f>
        <v>0</v>
      </c>
      <c r="I42" s="80">
        <f>IFERROR(HLOOKUP(B42,'Rede Básica + Ajuste'!$E$70:$P$71,2,FALSE),0)</f>
        <v>0</v>
      </c>
      <c r="J42" s="80">
        <f>VLOOKUP($B$48,Índices!$B$6:$F$500,VLOOKUP(J$23,$L$7:$M$9,2,FALSE)+1,FALSE)/VLOOKUP(DATE(YEAR($B42),MONTH($B42)-1,1),Índices!$B$6:$F$500,VLOOKUP(J$23,$L$7:$M$9,2,FALSE)+1,FALSE)*I42</f>
        <v>0</v>
      </c>
      <c r="K42" s="225">
        <f>CAPA!H71</f>
        <v>0</v>
      </c>
      <c r="L42" s="226">
        <f>VLOOKUP($B$48,Índices!$B$6:$F$500,VLOOKUP(L$23,$L$7:$M$9,2,FALSE)+1,FALSE)/VLOOKUP(DATE(YEAR($B42),MONTH($B42)-1,1),Índices!$B$6:$F$500,VLOOKUP(L$23,$L$7:$M$9,2,FALSE)+1,FALSE)*K42</f>
        <v>0</v>
      </c>
      <c r="M42" s="415"/>
      <c r="N42" s="100">
        <f>VLOOKUP($B$48,Índices!$B$6:$F$500,VLOOKUP(N$23,$L$7:$M$9,2,FALSE)+1,FALSE)/VLOOKUP(DATE(YEAR($B42),MONTH($B42)-1,1),Índices!$B$6:$F$500,VLOOKUP(N$23,$L$7:$M$9,2,FALSE)+1,FALSE)*M42</f>
        <v>0</v>
      </c>
      <c r="O42" s="415">
        <f>CAPA!G71</f>
        <v>0</v>
      </c>
      <c r="P42" s="100">
        <f>VLOOKUP($B$48,Índices!$B$6:$F$500,VLOOKUP(P$23,$L$7:$M$9,2,FALSE)+1,FALSE)/VLOOKUP(DATE(YEAR($B42),MONTH($B42)-1,1),Índices!$B$6:$F$500,VLOOKUP(P$23,$L$7:$M$9,2,FALSE)+1,FALSE)*O42</f>
        <v>0</v>
      </c>
      <c r="Q42" s="225">
        <f>CAPA!D71</f>
        <v>0</v>
      </c>
      <c r="R42" s="100">
        <f>VLOOKUP($B$48,Índices!$B$6:$F$500,VLOOKUP(R$23,$L$7:$M$9,2,FALSE)+1,FALSE)/VLOOKUP(DATE(YEAR($B42),MONTH($B42)-1,1),Índices!$B$6:$F$500,VLOOKUP(R$23,$L$7:$M$9,2,FALSE)+1,FALSE)*Q42</f>
        <v>0</v>
      </c>
      <c r="S42" s="863">
        <f>ICMS!$B$9/12</f>
        <v>0</v>
      </c>
      <c r="T42" s="100">
        <f>VLOOKUP($B$48,Índices!$B$6:$F$500,VLOOKUP(T$23,$L$7:$M$9,2,FALSE)+1,FALSE)/VLOOKUP(DATE(YEAR($B42),MONTH($B42)-1,1),Índices!$B$6:$F$500,VLOOKUP(T$23,$L$7:$M$9,2,FALSE)+1,FALSE)*S42</f>
        <v>0</v>
      </c>
      <c r="U42" s="863">
        <f>ICMS!$B$8/12</f>
        <v>0</v>
      </c>
      <c r="V42" s="100">
        <f>VLOOKUP($B$48,Índices!$B$6:$F$500,VLOOKUP(V$23,$L$7:$M$9,2,FALSE)+1,FALSE)/VLOOKUP(DATE(YEAR($B42),MONTH($B42)-1,1),Índices!$B$6:$F$500,VLOOKUP(V$23,$L$7:$M$9,2,FALSE)+1,FALSE)*U42</f>
        <v>0</v>
      </c>
      <c r="Z42" s="68"/>
    </row>
    <row r="43" spans="1:26" ht="14.25">
      <c r="A43" s="209"/>
      <c r="B43" s="271">
        <f t="shared" si="2"/>
        <v>44562</v>
      </c>
      <c r="C43" s="297">
        <f>CAPA!C72</f>
        <v>14637.61</v>
      </c>
      <c r="D43" s="226">
        <f>VLOOKUP($B$48,Índices!$B$6:$F$500,VLOOKUP(D$23,$L$7:$M$9,2,FALSE)+1,FALSE)/VLOOKUP(DATE(YEAR($B43),MONTH($B43)-1,1),Índices!$B$6:$F$500,VLOOKUP(D$23,$L$7:$M$9,2,FALSE)+1,FALSE)*C43</f>
        <v>15440.78380508951</v>
      </c>
      <c r="E43" s="225"/>
      <c r="F43" s="226">
        <f>VLOOKUP($B$48,Índices!$B$6:$F$500,VLOOKUP(F$23,$L$7:$M$9,2,FALSE)+1,FALSE)/VLOOKUP(DATE(YEAR($B43),MONTH($B43)-1,1),Índices!$B$6:$F$500,VLOOKUP(H$23,$L$7:$M$9,2,FALSE)+1,FALSE)*E43</f>
        <v>0</v>
      </c>
      <c r="G43" s="225">
        <f>CAPA!E72</f>
        <v>0</v>
      </c>
      <c r="H43" s="226">
        <f>VLOOKUP($B$48,Índices!$B$6:$F$500,VLOOKUP(H$23,$L$7:$M$9,2,FALSE)+1,FALSE)/VLOOKUP(DATE(YEAR($B43),MONTH($B43)-1,1),Índices!$B$6:$F$500,VLOOKUP(H$23,$L$7:$M$9,2,FALSE)+1,FALSE)*G43</f>
        <v>0</v>
      </c>
      <c r="I43" s="80">
        <f>IFERROR(HLOOKUP(B43,'Rede Básica + Ajuste'!$E$70:$P$71,2,FALSE),0)</f>
        <v>0</v>
      </c>
      <c r="J43" s="80">
        <f>VLOOKUP($B$48,Índices!$B$6:$F$500,VLOOKUP(J$23,$L$7:$M$9,2,FALSE)+1,FALSE)/VLOOKUP(DATE(YEAR($B43),MONTH($B43)-1,1),Índices!$B$6:$F$500,VLOOKUP(J$23,$L$7:$M$9,2,FALSE)+1,FALSE)*I43</f>
        <v>0</v>
      </c>
      <c r="K43" s="225">
        <f>CAPA!H72</f>
        <v>0</v>
      </c>
      <c r="L43" s="226">
        <f>VLOOKUP($B$48,Índices!$B$6:$F$500,VLOOKUP(L$23,$L$7:$M$9,2,FALSE)+1,FALSE)/VLOOKUP(DATE(YEAR($B43),MONTH($B43)-1,1),Índices!$B$6:$F$500,VLOOKUP(L$23,$L$7:$M$9,2,FALSE)+1,FALSE)*K43</f>
        <v>0</v>
      </c>
      <c r="M43" s="415"/>
      <c r="N43" s="100">
        <f>VLOOKUP($B$48,Índices!$B$6:$F$500,VLOOKUP(N$23,$L$7:$M$9,2,FALSE)+1,FALSE)/VLOOKUP(DATE(YEAR($B43),MONTH($B43)-1,1),Índices!$B$6:$F$500,VLOOKUP(N$23,$L$7:$M$9,2,FALSE)+1,FALSE)*M43</f>
        <v>0</v>
      </c>
      <c r="O43" s="415">
        <f>CAPA!G72</f>
        <v>0</v>
      </c>
      <c r="P43" s="100">
        <f>VLOOKUP($B$48,Índices!$B$6:$F$500,VLOOKUP(P$23,$L$7:$M$9,2,FALSE)+1,FALSE)/VLOOKUP(DATE(YEAR($B43),MONTH($B43)-1,1),Índices!$B$6:$F$500,VLOOKUP(P$23,$L$7:$M$9,2,FALSE)+1,FALSE)*O43</f>
        <v>0</v>
      </c>
      <c r="Q43" s="225">
        <f>CAPA!D72</f>
        <v>0</v>
      </c>
      <c r="R43" s="100">
        <f>VLOOKUP($B$48,Índices!$B$6:$F$500,VLOOKUP(R$23,$L$7:$M$9,2,FALSE)+1,FALSE)/VLOOKUP(DATE(YEAR($B43),MONTH($B43)-1,1),Índices!$B$6:$F$500,VLOOKUP(R$23,$L$7:$M$9,2,FALSE)+1,FALSE)*Q43</f>
        <v>0</v>
      </c>
      <c r="S43" s="863">
        <f>ICMS!$B$9/12</f>
        <v>0</v>
      </c>
      <c r="T43" s="100">
        <f>VLOOKUP($B$48,Índices!$B$6:$F$500,VLOOKUP(T$23,$L$7:$M$9,2,FALSE)+1,FALSE)/VLOOKUP(DATE(YEAR($B43),MONTH($B43)-1,1),Índices!$B$6:$F$500,VLOOKUP(T$23,$L$7:$M$9,2,FALSE)+1,FALSE)*S43</f>
        <v>0</v>
      </c>
      <c r="U43" s="863">
        <f>ICMS!$B$8/12</f>
        <v>0</v>
      </c>
      <c r="V43" s="100">
        <f>VLOOKUP($B$48,Índices!$B$6:$F$500,VLOOKUP(V$23,$L$7:$M$9,2,FALSE)+1,FALSE)/VLOOKUP(DATE(YEAR($B43),MONTH($B43)-1,1),Índices!$B$6:$F$500,VLOOKUP(V$23,$L$7:$M$9,2,FALSE)+1,FALSE)*U43</f>
        <v>0</v>
      </c>
      <c r="Z43" s="68"/>
    </row>
    <row r="44" spans="1:26" ht="14.25">
      <c r="A44" s="209"/>
      <c r="B44" s="271">
        <f t="shared" si="2"/>
        <v>44593</v>
      </c>
      <c r="C44" s="297">
        <f>CAPA!C73</f>
        <v>16423.16</v>
      </c>
      <c r="D44" s="226">
        <f>VLOOKUP($B$48,Índices!$B$6:$F$500,VLOOKUP(D$23,$L$7:$M$9,2,FALSE)+1,FALSE)/VLOOKUP(DATE(YEAR($B44),MONTH($B44)-1,1),Índices!$B$6:$F$500,VLOOKUP(D$23,$L$7:$M$9,2,FALSE)+1,FALSE)*C44</f>
        <v>17231.254131826448</v>
      </c>
      <c r="E44" s="225"/>
      <c r="F44" s="226">
        <f>VLOOKUP($B$48,Índices!$B$6:$F$500,VLOOKUP(F$23,$L$7:$M$9,2,FALSE)+1,FALSE)/VLOOKUP(DATE(YEAR($B44),MONTH($B44)-1,1),Índices!$B$6:$F$500,VLOOKUP(H$23,$L$7:$M$9,2,FALSE)+1,FALSE)*E44</f>
        <v>0</v>
      </c>
      <c r="G44" s="225">
        <f>CAPA!E73</f>
        <v>0</v>
      </c>
      <c r="H44" s="226">
        <f>VLOOKUP($B$48,Índices!$B$6:$F$500,VLOOKUP(H$23,$L$7:$M$9,2,FALSE)+1,FALSE)/VLOOKUP(DATE(YEAR($B44),MONTH($B44)-1,1),Índices!$B$6:$F$500,VLOOKUP(H$23,$L$7:$M$9,2,FALSE)+1,FALSE)*G44</f>
        <v>0</v>
      </c>
      <c r="I44" s="80">
        <f>IFERROR(HLOOKUP(B44,'Rede Básica + Ajuste'!$E$70:$P$71,2,FALSE),0)</f>
        <v>0</v>
      </c>
      <c r="J44" s="80">
        <f>VLOOKUP($B$48,Índices!$B$6:$F$500,VLOOKUP(J$23,$L$7:$M$9,2,FALSE)+1,FALSE)/VLOOKUP(DATE(YEAR($B44),MONTH($B44)-1,1),Índices!$B$6:$F$500,VLOOKUP(J$23,$L$7:$M$9,2,FALSE)+1,FALSE)*I44</f>
        <v>0</v>
      </c>
      <c r="K44" s="225">
        <f>CAPA!H73</f>
        <v>0</v>
      </c>
      <c r="L44" s="226">
        <f>VLOOKUP($B$48,Índices!$B$6:$F$500,VLOOKUP(L$23,$L$7:$M$9,2,FALSE)+1,FALSE)/VLOOKUP(DATE(YEAR($B44),MONTH($B44)-1,1),Índices!$B$6:$F$500,VLOOKUP(L$23,$L$7:$M$9,2,FALSE)+1,FALSE)*K44</f>
        <v>0</v>
      </c>
      <c r="M44" s="415"/>
      <c r="N44" s="100">
        <f>VLOOKUP($B$48,Índices!$B$6:$F$500,VLOOKUP(N$23,$L$7:$M$9,2,FALSE)+1,FALSE)/VLOOKUP(DATE(YEAR($B44),MONTH($B44)-1,1),Índices!$B$6:$F$500,VLOOKUP(N$23,$L$7:$M$9,2,FALSE)+1,FALSE)*M44</f>
        <v>0</v>
      </c>
      <c r="O44" s="415">
        <f>CAPA!G73</f>
        <v>0</v>
      </c>
      <c r="P44" s="100">
        <f>VLOOKUP($B$48,Índices!$B$6:$F$500,VLOOKUP(P$23,$L$7:$M$9,2,FALSE)+1,FALSE)/VLOOKUP(DATE(YEAR($B44),MONTH($B44)-1,1),Índices!$B$6:$F$500,VLOOKUP(P$23,$L$7:$M$9,2,FALSE)+1,FALSE)*O44</f>
        <v>0</v>
      </c>
      <c r="Q44" s="225">
        <f>CAPA!D73</f>
        <v>0</v>
      </c>
      <c r="R44" s="100">
        <f>VLOOKUP($B$48,Índices!$B$6:$F$500,VLOOKUP(R$23,$L$7:$M$9,2,FALSE)+1,FALSE)/VLOOKUP(DATE(YEAR($B44),MONTH($B44)-1,1),Índices!$B$6:$F$500,VLOOKUP(R$23,$L$7:$M$9,2,FALSE)+1,FALSE)*Q44</f>
        <v>0</v>
      </c>
      <c r="S44" s="863">
        <f>ICMS!$B$9/12</f>
        <v>0</v>
      </c>
      <c r="T44" s="100">
        <f>VLOOKUP($B$48,Índices!$B$6:$F$500,VLOOKUP(T$23,$L$7:$M$9,2,FALSE)+1,FALSE)/VLOOKUP(DATE(YEAR($B44),MONTH($B44)-1,1),Índices!$B$6:$F$500,VLOOKUP(T$23,$L$7:$M$9,2,FALSE)+1,FALSE)*S44</f>
        <v>0</v>
      </c>
      <c r="U44" s="863">
        <f>ICMS!$B$8/12</f>
        <v>0</v>
      </c>
      <c r="V44" s="100">
        <f>VLOOKUP($B$48,Índices!$B$6:$F$500,VLOOKUP(V$23,$L$7:$M$9,2,FALSE)+1,FALSE)/VLOOKUP(DATE(YEAR($B44),MONTH($B44)-1,1),Índices!$B$6:$F$500,VLOOKUP(V$23,$L$7:$M$9,2,FALSE)+1,FALSE)*U44</f>
        <v>0</v>
      </c>
      <c r="Z44" s="68"/>
    </row>
    <row r="45" spans="1:26" ht="14.25">
      <c r="A45" s="209"/>
      <c r="B45" s="271">
        <f t="shared" si="2"/>
        <v>44621</v>
      </c>
      <c r="C45" s="297">
        <f>CAPA!C74</f>
        <v>21485.11</v>
      </c>
      <c r="D45" s="226">
        <f>VLOOKUP($B$48,Índices!$B$6:$F$500,VLOOKUP(D$23,$L$7:$M$9,2,FALSE)+1,FALSE)/VLOOKUP(DATE(YEAR($B45),MONTH($B45)-1,1),Índices!$B$6:$F$500,VLOOKUP(D$23,$L$7:$M$9,2,FALSE)+1,FALSE)*C45</f>
        <v>22316.861037305076</v>
      </c>
      <c r="E45" s="225"/>
      <c r="F45" s="226">
        <f>VLOOKUP($B$48,Índices!$B$6:$F$500,VLOOKUP(F$23,$L$7:$M$9,2,FALSE)+1,FALSE)/VLOOKUP(DATE(YEAR($B45),MONTH($B45)-1,1),Índices!$B$6:$F$500,VLOOKUP(H$23,$L$7:$M$9,2,FALSE)+1,FALSE)*E45</f>
        <v>0</v>
      </c>
      <c r="G45" s="225">
        <f>CAPA!E74</f>
        <v>0</v>
      </c>
      <c r="H45" s="226">
        <f>VLOOKUP($B$48,Índices!$B$6:$F$500,VLOOKUP(H$23,$L$7:$M$9,2,FALSE)+1,FALSE)/VLOOKUP(DATE(YEAR($B45),MONTH($B45)-1,1),Índices!$B$6:$F$500,VLOOKUP(H$23,$L$7:$M$9,2,FALSE)+1,FALSE)*G45</f>
        <v>0</v>
      </c>
      <c r="I45" s="80">
        <f>IFERROR(HLOOKUP(B45,'Rede Básica + Ajuste'!$E$70:$P$71,2,FALSE),0)</f>
        <v>0</v>
      </c>
      <c r="J45" s="80">
        <f>VLOOKUP($B$48,Índices!$B$6:$F$500,VLOOKUP(J$23,$L$7:$M$9,2,FALSE)+1,FALSE)/VLOOKUP(DATE(YEAR($B45),MONTH($B45)-1,1),Índices!$B$6:$F$500,VLOOKUP(J$23,$L$7:$M$9,2,FALSE)+1,FALSE)*I45</f>
        <v>0</v>
      </c>
      <c r="K45" s="225">
        <f>CAPA!H74</f>
        <v>0</v>
      </c>
      <c r="L45" s="226">
        <f>VLOOKUP($B$48,Índices!$B$6:$F$500,VLOOKUP(L$23,$L$7:$M$9,2,FALSE)+1,FALSE)/VLOOKUP(DATE(YEAR($B45),MONTH($B45)-1,1),Índices!$B$6:$F$500,VLOOKUP(L$23,$L$7:$M$9,2,FALSE)+1,FALSE)*K45</f>
        <v>0</v>
      </c>
      <c r="M45" s="415"/>
      <c r="N45" s="100">
        <f>VLOOKUP($B$48,Índices!$B$6:$F$500,VLOOKUP(N$23,$L$7:$M$9,2,FALSE)+1,FALSE)/VLOOKUP(DATE(YEAR($B45),MONTH($B45)-1,1),Índices!$B$6:$F$500,VLOOKUP(N$23,$L$7:$M$9,2,FALSE)+1,FALSE)*M45</f>
        <v>0</v>
      </c>
      <c r="O45" s="415">
        <f>CAPA!G74</f>
        <v>0</v>
      </c>
      <c r="P45" s="100">
        <f>VLOOKUP($B$48,Índices!$B$6:$F$500,VLOOKUP(P$23,$L$7:$M$9,2,FALSE)+1,FALSE)/VLOOKUP(DATE(YEAR($B45),MONTH($B45)-1,1),Índices!$B$6:$F$500,VLOOKUP(P$23,$L$7:$M$9,2,FALSE)+1,FALSE)*O45</f>
        <v>0</v>
      </c>
      <c r="Q45" s="225">
        <f>CAPA!D74</f>
        <v>0</v>
      </c>
      <c r="R45" s="100">
        <f>VLOOKUP($B$48,Índices!$B$6:$F$500,VLOOKUP(R$23,$L$7:$M$9,2,FALSE)+1,FALSE)/VLOOKUP(DATE(YEAR($B45),MONTH($B45)-1,1),Índices!$B$6:$F$500,VLOOKUP(R$23,$L$7:$M$9,2,FALSE)+1,FALSE)*Q45</f>
        <v>0</v>
      </c>
      <c r="S45" s="863">
        <f>ICMS!$B$9/12</f>
        <v>0</v>
      </c>
      <c r="T45" s="100">
        <f>VLOOKUP($B$48,Índices!$B$6:$F$500,VLOOKUP(T$23,$L$7:$M$9,2,FALSE)+1,FALSE)/VLOOKUP(DATE(YEAR($B45),MONTH($B45)-1,1),Índices!$B$6:$F$500,VLOOKUP(T$23,$L$7:$M$9,2,FALSE)+1,FALSE)*S45</f>
        <v>0</v>
      </c>
      <c r="U45" s="863">
        <f>ICMS!$B$8/12</f>
        <v>0</v>
      </c>
      <c r="V45" s="100">
        <f>VLOOKUP($B$48,Índices!$B$6:$F$500,VLOOKUP(V$23,$L$7:$M$9,2,FALSE)+1,FALSE)/VLOOKUP(DATE(YEAR($B45),MONTH($B45)-1,1),Índices!$B$6:$F$500,VLOOKUP(V$23,$L$7:$M$9,2,FALSE)+1,FALSE)*U45</f>
        <v>0</v>
      </c>
      <c r="Z45" s="68"/>
    </row>
    <row r="46" spans="1:26" ht="14.25">
      <c r="A46" s="209"/>
      <c r="B46" s="271">
        <f t="shared" si="2"/>
        <v>44652</v>
      </c>
      <c r="C46" s="297">
        <f>CAPA!C75</f>
        <v>24232.34</v>
      </c>
      <c r="D46" s="226">
        <f>VLOOKUP($B$48,Índices!$B$6:$F$500,VLOOKUP(D$23,$L$7:$M$9,2,FALSE)+1,FALSE)/VLOOKUP(DATE(YEAR($B46),MONTH($B46)-1,1),Índices!$B$6:$F$500,VLOOKUP(D$23,$L$7:$M$9,2,FALSE)+1,FALSE)*C46</f>
        <v>24769.171315863223</v>
      </c>
      <c r="E46" s="225"/>
      <c r="F46" s="226">
        <f>VLOOKUP($B$48,Índices!$B$6:$F$500,VLOOKUP(F$23,$L$7:$M$9,2,FALSE)+1,FALSE)/VLOOKUP(DATE(YEAR($B46),MONTH($B46)-1,1),Índices!$B$6:$F$500,VLOOKUP(H$23,$L$7:$M$9,2,FALSE)+1,FALSE)*E46</f>
        <v>0</v>
      </c>
      <c r="G46" s="225">
        <f>CAPA!E75</f>
        <v>0</v>
      </c>
      <c r="H46" s="226">
        <f>VLOOKUP($B$48,Índices!$B$6:$F$500,VLOOKUP(H$23,$L$7:$M$9,2,FALSE)+1,FALSE)/VLOOKUP(DATE(YEAR($B46),MONTH($B46)-1,1),Índices!$B$6:$F$500,VLOOKUP(H$23,$L$7:$M$9,2,FALSE)+1,FALSE)*G46</f>
        <v>0</v>
      </c>
      <c r="I46" s="80">
        <f>IFERROR(HLOOKUP(B46,'Rede Básica + Ajuste'!$E$70:$P$71,2,FALSE),0)</f>
        <v>0</v>
      </c>
      <c r="J46" s="80">
        <f>VLOOKUP($B$48,Índices!$B$6:$F$500,VLOOKUP(J$23,$L$7:$M$9,2,FALSE)+1,FALSE)/VLOOKUP(DATE(YEAR($B46),MONTH($B46)-1,1),Índices!$B$6:$F$500,VLOOKUP(J$23,$L$7:$M$9,2,FALSE)+1,FALSE)*I46</f>
        <v>0</v>
      </c>
      <c r="K46" s="225">
        <f>CAPA!H75</f>
        <v>0</v>
      </c>
      <c r="L46" s="226">
        <f>VLOOKUP($B$48,Índices!$B$6:$F$500,VLOOKUP(L$23,$L$7:$M$9,2,FALSE)+1,FALSE)/VLOOKUP(DATE(YEAR($B46),MONTH($B46)-1,1),Índices!$B$6:$F$500,VLOOKUP(L$23,$L$7:$M$9,2,FALSE)+1,FALSE)*K46</f>
        <v>0</v>
      </c>
      <c r="M46" s="415"/>
      <c r="N46" s="100">
        <f>VLOOKUP($B$48,Índices!$B$6:$F$500,VLOOKUP(N$23,$L$7:$M$9,2,FALSE)+1,FALSE)/VLOOKUP(DATE(YEAR($B46),MONTH($B46)-1,1),Índices!$B$6:$F$500,VLOOKUP(N$23,$L$7:$M$9,2,FALSE)+1,FALSE)*M46</f>
        <v>0</v>
      </c>
      <c r="O46" s="415">
        <f>CAPA!G75</f>
        <v>0</v>
      </c>
      <c r="P46" s="100">
        <f>VLOOKUP($B$48,Índices!$B$6:$F$500,VLOOKUP(P$23,$L$7:$M$9,2,FALSE)+1,FALSE)/VLOOKUP(DATE(YEAR($B46),MONTH($B46)-1,1),Índices!$B$6:$F$500,VLOOKUP(P$23,$L$7:$M$9,2,FALSE)+1,FALSE)*O46</f>
        <v>0</v>
      </c>
      <c r="Q46" s="225">
        <f>CAPA!D75</f>
        <v>0</v>
      </c>
      <c r="R46" s="100">
        <f>VLOOKUP($B$48,Índices!$B$6:$F$500,VLOOKUP(R$23,$L$7:$M$9,2,FALSE)+1,FALSE)/VLOOKUP(DATE(YEAR($B46),MONTH($B46)-1,1),Índices!$B$6:$F$500,VLOOKUP(R$23,$L$7:$M$9,2,FALSE)+1,FALSE)*Q46</f>
        <v>0</v>
      </c>
      <c r="S46" s="863">
        <f>ICMS!$B$9/12</f>
        <v>0</v>
      </c>
      <c r="T46" s="100">
        <f>VLOOKUP($B$48,Índices!$B$6:$F$500,VLOOKUP(T$23,$L$7:$M$9,2,FALSE)+1,FALSE)/VLOOKUP(DATE(YEAR($B46),MONTH($B46)-1,1),Índices!$B$6:$F$500,VLOOKUP(T$23,$L$7:$M$9,2,FALSE)+1,FALSE)*S46</f>
        <v>0</v>
      </c>
      <c r="U46" s="863">
        <f>ICMS!$B$8/12</f>
        <v>0</v>
      </c>
      <c r="V46" s="100">
        <f>VLOOKUP($B$48,Índices!$B$6:$F$500,VLOOKUP(V$23,$L$7:$M$9,2,FALSE)+1,FALSE)/VLOOKUP(DATE(YEAR($B46),MONTH($B46)-1,1),Índices!$B$6:$F$500,VLOOKUP(V$23,$L$7:$M$9,2,FALSE)+1,FALSE)*U46</f>
        <v>0</v>
      </c>
      <c r="Z46" s="68"/>
    </row>
    <row r="47" spans="1:26" ht="14.25">
      <c r="A47" s="209"/>
      <c r="B47" s="271">
        <f t="shared" si="2"/>
        <v>44682</v>
      </c>
      <c r="C47" s="297">
        <f>CAPA!C76</f>
        <v>18102.25</v>
      </c>
      <c r="D47" s="226">
        <f>VLOOKUP($B$48,Índices!$B$6:$F$500,VLOOKUP(D$23,$L$7:$M$9,2,FALSE)+1,FALSE)/VLOOKUP(DATE(YEAR($B47),MONTH($B47)-1,1),Índices!$B$6:$F$500,VLOOKUP(D$23,$L$7:$M$9,2,FALSE)+1,FALSE)*C47</f>
        <v>18309.197519379966</v>
      </c>
      <c r="E47" s="225"/>
      <c r="F47" s="226">
        <f>VLOOKUP($B$48,Índices!$B$6:$F$500,VLOOKUP(F$23,$L$7:$M$9,2,FALSE)+1,FALSE)/VLOOKUP(DATE(YEAR($B47),MONTH($B47)-1,1),Índices!$B$6:$F$500,VLOOKUP(H$23,$L$7:$M$9,2,FALSE)+1,FALSE)*E47</f>
        <v>0</v>
      </c>
      <c r="G47" s="225">
        <f>CAPA!E76</f>
        <v>0</v>
      </c>
      <c r="H47" s="226">
        <f>VLOOKUP($B$48,Índices!$B$6:$F$500,VLOOKUP(H$23,$L$7:$M$9,2,FALSE)+1,FALSE)/VLOOKUP(DATE(YEAR($B47),MONTH($B47)-1,1),Índices!$B$6:$F$500,VLOOKUP(H$23,$L$7:$M$9,2,FALSE)+1,FALSE)*G47</f>
        <v>0</v>
      </c>
      <c r="I47" s="80">
        <f>IFERROR(HLOOKUP(B47,'Rede Básica + Ajuste'!$E$70:$P$71,2,FALSE),0)</f>
        <v>0</v>
      </c>
      <c r="J47" s="80">
        <f>VLOOKUP($B$48,Índices!$B$6:$F$500,VLOOKUP(J$23,$L$7:$M$9,2,FALSE)+1,FALSE)/VLOOKUP(DATE(YEAR($B47),MONTH($B47)-1,1),Índices!$B$6:$F$500,VLOOKUP(J$23,$L$7:$M$9,2,FALSE)+1,FALSE)*I47</f>
        <v>0</v>
      </c>
      <c r="K47" s="225">
        <f>CAPA!H76</f>
        <v>0</v>
      </c>
      <c r="L47" s="226">
        <f>VLOOKUP($B$48,Índices!$B$6:$F$500,VLOOKUP(L$23,$L$7:$M$9,2,FALSE)+1,FALSE)/VLOOKUP(DATE(YEAR($B47),MONTH($B47)-1,1),Índices!$B$6:$F$500,VLOOKUP(L$23,$L$7:$M$9,2,FALSE)+1,FALSE)*K47</f>
        <v>0</v>
      </c>
      <c r="M47" s="415"/>
      <c r="N47" s="100">
        <f>VLOOKUP($B$48,Índices!$B$6:$F$500,VLOOKUP(N$23,$L$7:$M$9,2,FALSE)+1,FALSE)/VLOOKUP(DATE(YEAR($B47),MONTH($B47)-1,1),Índices!$B$6:$F$500,VLOOKUP(N$23,$L$7:$M$9,2,FALSE)+1,FALSE)*M47</f>
        <v>0</v>
      </c>
      <c r="O47" s="415">
        <f>CAPA!G76</f>
        <v>0</v>
      </c>
      <c r="P47" s="100">
        <f>VLOOKUP($B$48,Índices!$B$6:$F$500,VLOOKUP(P$23,$L$7:$M$9,2,FALSE)+1,FALSE)/VLOOKUP(DATE(YEAR($B47),MONTH($B47)-1,1),Índices!$B$6:$F$500,VLOOKUP(P$23,$L$7:$M$9,2,FALSE)+1,FALSE)*O47</f>
        <v>0</v>
      </c>
      <c r="Q47" s="225">
        <f>CAPA!D76</f>
        <v>0</v>
      </c>
      <c r="R47" s="100">
        <f>VLOOKUP($B$48,Índices!$B$6:$F$500,VLOOKUP(R$23,$L$7:$M$9,2,FALSE)+1,FALSE)/VLOOKUP(DATE(YEAR($B47),MONTH($B47)-1,1),Índices!$B$6:$F$500,VLOOKUP(R$23,$L$7:$M$9,2,FALSE)+1,FALSE)*Q47</f>
        <v>0</v>
      </c>
      <c r="S47" s="863">
        <f>ICMS!$B$9/12</f>
        <v>0</v>
      </c>
      <c r="T47" s="100">
        <f>VLOOKUP($B$48,Índices!$B$6:$F$500,VLOOKUP(T$23,$L$7:$M$9,2,FALSE)+1,FALSE)/VLOOKUP(DATE(YEAR($B47),MONTH($B47)-1,1),Índices!$B$6:$F$500,VLOOKUP(T$23,$L$7:$M$9,2,FALSE)+1,FALSE)*S47</f>
        <v>0</v>
      </c>
      <c r="U47" s="863">
        <f>ICMS!$B$8/12</f>
        <v>0</v>
      </c>
      <c r="V47" s="100">
        <f>VLOOKUP($B$48,Índices!$B$6:$F$500,VLOOKUP(V$23,$L$7:$M$9,2,FALSE)+1,FALSE)/VLOOKUP(DATE(YEAR($B47),MONTH($B47)-1,1),Índices!$B$6:$F$500,VLOOKUP(V$23,$L$7:$M$9,2,FALSE)+1,FALSE)*U47</f>
        <v>0</v>
      </c>
      <c r="Z47" s="68"/>
    </row>
    <row r="48" spans="1:26" ht="14.25">
      <c r="A48" s="209"/>
      <c r="B48" s="1451">
        <f>DATE(YEAR(CAPA!$C$15),MONTH(CAPA!$C$15)-1,1)</f>
        <v>44713</v>
      </c>
      <c r="C48" s="297">
        <f>CAPA!C77</f>
        <v>17440.98</v>
      </c>
      <c r="D48" s="226">
        <f>VLOOKUP($B$48,Índices!$B$6:$F$500,VLOOKUP(D$23,$L$7:$M$9,2,FALSE)+1,FALSE)/VLOOKUP(DATE(YEAR($B48),MONTH($B48)-1,1),Índices!$B$6:$F$500,VLOOKUP(D$23,$L$7:$M$9,2,FALSE)+1,FALSE)*C48</f>
        <v>17557.844639693867</v>
      </c>
      <c r="E48" s="225"/>
      <c r="F48" s="226">
        <f>VLOOKUP($B$48,Índices!$B$6:$F$500,VLOOKUP(F$23,$L$7:$M$9,2,FALSE)+1,FALSE)/VLOOKUP(DATE(YEAR($B48),MONTH($B48)-1,1),Índices!$B$6:$F$500,VLOOKUP(H$23,$L$7:$M$9,2,FALSE)+1,FALSE)*E48</f>
        <v>0</v>
      </c>
      <c r="G48" s="225">
        <f>CAPA!E77</f>
        <v>0</v>
      </c>
      <c r="H48" s="226">
        <f>VLOOKUP($B$48,Índices!$B$6:$F$500,VLOOKUP(H$23,$L$7:$M$9,2,FALSE)+1,FALSE)/VLOOKUP(DATE(YEAR($B48),MONTH($B48)-1,1),Índices!$B$6:$F$500,VLOOKUP(H$23,$L$7:$M$9,2,FALSE)+1,FALSE)*G48</f>
        <v>0</v>
      </c>
      <c r="I48" s="80">
        <f>IFERROR(HLOOKUP(B48,'Rede Básica + Ajuste'!$E$70:$P$71,2,FALSE),0)</f>
        <v>0</v>
      </c>
      <c r="J48" s="80">
        <f>VLOOKUP($B$48,Índices!$B$6:$F$500,VLOOKUP(J$23,$L$7:$M$9,2,FALSE)+1,FALSE)/VLOOKUP(DATE(YEAR($B48),MONTH($B48)-1,1),Índices!$B$6:$F$500,VLOOKUP(J$23,$L$7:$M$9,2,FALSE)+1,FALSE)*I48</f>
        <v>0</v>
      </c>
      <c r="K48" s="225">
        <f>CAPA!H77</f>
        <v>129100.21799999999</v>
      </c>
      <c r="L48" s="226">
        <f>VLOOKUP($B$48,Índices!$B$6:$F$500,VLOOKUP(L$23,$L$7:$M$9,2,FALSE)+1,FALSE)/VLOOKUP(DATE(YEAR($B48),MONTH($B48)-1,1),Índices!$B$6:$F$500,VLOOKUP(L$23,$L$7:$M$9,2,FALSE)+1,FALSE)*K48</f>
        <v>130410.99266452562</v>
      </c>
      <c r="M48" s="415"/>
      <c r="N48" s="100">
        <f>VLOOKUP($B$48,Índices!$B$6:$F$500,VLOOKUP(N$23,$L$7:$M$9,2,FALSE)+1,FALSE)/VLOOKUP(DATE(YEAR($B48),MONTH($B48)-1,1),Índices!$B$6:$F$500,VLOOKUP(N$23,$L$7:$M$9,2,FALSE)+1,FALSE)*M48</f>
        <v>0</v>
      </c>
      <c r="O48" s="415">
        <f>CAPA!G77</f>
        <v>0</v>
      </c>
      <c r="P48" s="100">
        <f>VLOOKUP($B$48,Índices!$B$6:$F$500,VLOOKUP(P$23,$L$7:$M$9,2,FALSE)+1,FALSE)/VLOOKUP(DATE(YEAR($B48),MONTH($B48)-1,1),Índices!$B$6:$F$500,VLOOKUP(P$23,$L$7:$M$9,2,FALSE)+1,FALSE)*O48</f>
        <v>0</v>
      </c>
      <c r="Q48" s="225">
        <f>CAPA!D77</f>
        <v>0</v>
      </c>
      <c r="R48" s="100">
        <f>VLOOKUP($B$48,Índices!$B$6:$F$500,VLOOKUP(R$23,$L$7:$M$9,2,FALSE)+1,FALSE)/VLOOKUP(DATE(YEAR($B48),MONTH($B48)-1,1),Índices!$B$6:$F$500,VLOOKUP(R$23,$L$7:$M$9,2,FALSE)+1,FALSE)*Q48</f>
        <v>0</v>
      </c>
      <c r="S48" s="863">
        <f>ICMS!$B$9/12</f>
        <v>0</v>
      </c>
      <c r="T48" s="100">
        <f>VLOOKUP($B$48,Índices!$B$6:$F$500,VLOOKUP(T$23,$L$7:$M$9,2,FALSE)+1,FALSE)/VLOOKUP(DATE(YEAR($B48),MONTH($B48)-1,1),Índices!$B$6:$F$500,VLOOKUP(T$23,$L$7:$M$9,2,FALSE)+1,FALSE)*S48</f>
        <v>0</v>
      </c>
      <c r="U48" s="863">
        <f>ICMS!$B$8/12</f>
        <v>0</v>
      </c>
      <c r="V48" s="100">
        <f>VLOOKUP($B$48,Índices!$B$6:$F$500,VLOOKUP(V$23,$L$7:$M$9,2,FALSE)+1,FALSE)/VLOOKUP(DATE(YEAR($B48),MONTH($B48)-1,1),Índices!$B$6:$F$500,VLOOKUP(V$23,$L$7:$M$9,2,FALSE)+1,FALSE)*U48</f>
        <v>0</v>
      </c>
      <c r="Z48" s="68"/>
    </row>
    <row r="49" spans="2:30" ht="14.25">
      <c r="C49" s="1452">
        <f t="shared" ref="C49:P49" si="3">SUM(C25:C48)</f>
        <v>190172.47</v>
      </c>
      <c r="D49" s="1453">
        <f t="shared" si="3"/>
        <v>200363.99033587321</v>
      </c>
      <c r="E49" s="1452">
        <f t="shared" si="3"/>
        <v>0</v>
      </c>
      <c r="F49" s="1453">
        <f t="shared" si="3"/>
        <v>0</v>
      </c>
      <c r="G49" s="1452">
        <f t="shared" si="3"/>
        <v>0</v>
      </c>
      <c r="H49" s="1453">
        <f t="shared" si="3"/>
        <v>0</v>
      </c>
      <c r="I49" s="1454">
        <f>SUM(I24:I48)</f>
        <v>0</v>
      </c>
      <c r="J49" s="1454">
        <f>SUM(J24:J48)</f>
        <v>0</v>
      </c>
      <c r="K49" s="1455">
        <f t="shared" si="3"/>
        <v>129100.21799999999</v>
      </c>
      <c r="L49" s="1456">
        <f t="shared" si="3"/>
        <v>130410.99266452562</v>
      </c>
      <c r="M49" s="1457">
        <f t="shared" si="3"/>
        <v>0</v>
      </c>
      <c r="N49" s="1458">
        <f t="shared" si="3"/>
        <v>0</v>
      </c>
      <c r="O49" s="1457">
        <f t="shared" si="3"/>
        <v>0</v>
      </c>
      <c r="P49" s="1458">
        <f t="shared" si="3"/>
        <v>0</v>
      </c>
      <c r="Q49" s="1457">
        <f t="shared" ref="Q49:R49" si="4">SUM(Q25:Q48)</f>
        <v>0</v>
      </c>
      <c r="R49" s="1458">
        <f t="shared" si="4"/>
        <v>0</v>
      </c>
      <c r="S49" s="1457">
        <f>-S51</f>
        <v>0</v>
      </c>
      <c r="T49" s="1458">
        <f t="shared" ref="T49:V49" si="5">SUM(T25:T48)</f>
        <v>0</v>
      </c>
      <c r="U49" s="1457">
        <f>-S52</f>
        <v>0</v>
      </c>
      <c r="V49" s="1458">
        <f t="shared" si="5"/>
        <v>0</v>
      </c>
      <c r="Z49" s="68"/>
    </row>
    <row r="50" spans="2:30" ht="14.25">
      <c r="J50" s="68" t="s">
        <v>982</v>
      </c>
      <c r="M50" s="199"/>
      <c r="N50" s="108"/>
      <c r="S50" s="1374"/>
      <c r="T50" s="68" t="s">
        <v>1608</v>
      </c>
      <c r="Z50" s="68"/>
    </row>
    <row r="51" spans="2:30" ht="14.25">
      <c r="E51" s="143"/>
      <c r="F51" s="143"/>
      <c r="G51" s="143"/>
      <c r="H51" s="143"/>
      <c r="I51" s="143"/>
      <c r="J51" s="143"/>
      <c r="K51" s="143"/>
      <c r="L51" s="143"/>
      <c r="M51" s="199"/>
      <c r="N51" s="108"/>
      <c r="O51" s="143"/>
      <c r="P51" s="143"/>
      <c r="Z51" s="68"/>
    </row>
    <row r="52" spans="2:30" ht="14.25">
      <c r="M52" s="199"/>
      <c r="N52" s="108"/>
      <c r="Z52" s="68"/>
    </row>
    <row r="53" spans="2:30" ht="14.25">
      <c r="C53" s="1789" t="s">
        <v>1609</v>
      </c>
      <c r="D53" s="1790"/>
      <c r="E53" s="1789" t="s">
        <v>1610</v>
      </c>
      <c r="F53" s="1790"/>
      <c r="G53" s="1789" t="s">
        <v>1611</v>
      </c>
      <c r="H53" s="1790"/>
      <c r="I53" s="1789" t="s">
        <v>1612</v>
      </c>
      <c r="J53" s="1790"/>
      <c r="K53" s="1785" t="s">
        <v>1613</v>
      </c>
      <c r="L53" s="1786"/>
      <c r="M53" s="1789" t="s">
        <v>1614</v>
      </c>
      <c r="N53" s="1790"/>
      <c r="O53" s="1789" t="s">
        <v>1615</v>
      </c>
      <c r="P53" s="1790"/>
      <c r="Q53" s="1789" t="s">
        <v>1616</v>
      </c>
      <c r="R53" s="1790"/>
      <c r="S53" s="1789" t="s">
        <v>1617</v>
      </c>
      <c r="T53" s="1790"/>
      <c r="U53" s="1789" t="s">
        <v>1618</v>
      </c>
      <c r="V53" s="1790"/>
      <c r="W53" s="1789" t="s">
        <v>35</v>
      </c>
      <c r="X53" s="1790"/>
      <c r="Z53" s="68"/>
    </row>
    <row r="54" spans="2:30" ht="14.25">
      <c r="C54" s="1448" t="s">
        <v>1607</v>
      </c>
      <c r="D54" s="1449" t="s">
        <v>899</v>
      </c>
      <c r="E54" s="1448" t="s">
        <v>1607</v>
      </c>
      <c r="F54" s="1449" t="s">
        <v>899</v>
      </c>
      <c r="G54" s="1448" t="s">
        <v>1607</v>
      </c>
      <c r="H54" s="1449" t="s">
        <v>899</v>
      </c>
      <c r="I54" s="1448" t="s">
        <v>1607</v>
      </c>
      <c r="J54" s="1449" t="s">
        <v>899</v>
      </c>
      <c r="K54" s="1446" t="s">
        <v>1607</v>
      </c>
      <c r="L54" s="1447" t="s">
        <v>899</v>
      </c>
      <c r="M54" s="1448" t="s">
        <v>1607</v>
      </c>
      <c r="N54" s="1449" t="s">
        <v>899</v>
      </c>
      <c r="O54" s="1448" t="s">
        <v>1607</v>
      </c>
      <c r="P54" s="1449" t="s">
        <v>899</v>
      </c>
      <c r="Q54" s="1448" t="s">
        <v>1607</v>
      </c>
      <c r="R54" s="1449" t="s">
        <v>899</v>
      </c>
      <c r="S54" s="1448" t="s">
        <v>1607</v>
      </c>
      <c r="T54" s="1449" t="s">
        <v>899</v>
      </c>
      <c r="U54" s="1448" t="s">
        <v>1607</v>
      </c>
      <c r="V54" s="1449" t="s">
        <v>899</v>
      </c>
      <c r="W54" s="1448" t="s">
        <v>1607</v>
      </c>
      <c r="X54" s="1459" t="s">
        <v>1583</v>
      </c>
      <c r="Z54" s="68"/>
    </row>
    <row r="55" spans="2:30" ht="14.25">
      <c r="B55" s="271">
        <f t="shared" ref="B55:B79" si="6">B24</f>
        <v>43983</v>
      </c>
      <c r="C55" s="496"/>
      <c r="D55" s="100">
        <f>VLOOKUP($B$79,Índices!$B$6:$F$500,VLOOKUP(D$54,$L$7:$M$9,2,FALSE)+1,FALSE)/VLOOKUP(DATE(YEAR($B55),MONTH($B55)-1,1),Índices!$B$6:$F$500,VLOOKUP(D$54,$L$7:$M$9,2,FALSE)+1,FALSE)*C55</f>
        <v>0</v>
      </c>
      <c r="E55" s="208"/>
      <c r="F55" s="100">
        <f>VLOOKUP($B$48,Índices!$B$6:$F$500,VLOOKUP(F$54,$L$7:$M$9,2,FALSE)+1,FALSE)/VLOOKUP(DATE(YEAR($B55),MONTH($B55)-1,1),Índices!$B$6:$F$500,VLOOKUP(F$54,$L$7:$M$9,2,FALSE)+1,FALSE)*E55</f>
        <v>0</v>
      </c>
      <c r="G55" s="208"/>
      <c r="H55" s="100">
        <f>VLOOKUP($B$48,Índices!$B$6:$F$500,VLOOKUP(H$54,$L$7:$M$9,2,FALSE)+1,FALSE)/VLOOKUP(DATE(YEAR($B55),MONTH($B55)-1,1),Índices!$B$6:$F$500,VLOOKUP(H$54,$L$7:$M$9,2,FALSE)+1,FALSE)*G55</f>
        <v>0</v>
      </c>
      <c r="I55" s="208"/>
      <c r="J55" s="100">
        <f>VLOOKUP($B$48,Índices!$B$6:$F$500,VLOOKUP(J$54,$L$7:$M$9,2,FALSE)+1,FALSE)/VLOOKUP(DATE(YEAR($B55),MONTH($B55)-1,1),Índices!$B$6:$F$500,VLOOKUP(J$54,$L$7:$M$9,2,FALSE)+1,FALSE)*I55</f>
        <v>0</v>
      </c>
      <c r="K55" s="208"/>
      <c r="L55" s="100">
        <f>VLOOKUP($B$48,Índices!$B$6:$F$500,VLOOKUP(L$54,$L$7:$M$9,2,FALSE)+1,FALSE)/VLOOKUP(DATE(YEAR($B55),MONTH($B55)-1,1),Índices!$B$6:$F$500,VLOOKUP(L$54,$L$7:$M$9,2,FALSE)+1,FALSE)*K55</f>
        <v>0</v>
      </c>
      <c r="M55" s="208"/>
      <c r="N55" s="100">
        <f>VLOOKUP($B$48,Índices!$B$6:$F$500,VLOOKUP(N$54,$L$7:$M$9,2,FALSE)+1,FALSE)/VLOOKUP(DATE(YEAR($B55),MONTH($B55)-1,1),Índices!$B$6:$F$500,VLOOKUP(N$54,$L$7:$M$9,2,FALSE)+1,FALSE)*M55</f>
        <v>0</v>
      </c>
      <c r="O55" s="208"/>
      <c r="P55" s="100">
        <f>VLOOKUP($B$48,Índices!$B$6:$F$500,VLOOKUP(P$54,$L$7:$M$9,2,FALSE)+1,FALSE)/VLOOKUP(DATE(YEAR($B55),MONTH($B55)-1,1),Índices!$B$6:$F$500,VLOOKUP(P$54,$L$7:$M$9,2,FALSE)+1,FALSE)*O55</f>
        <v>0</v>
      </c>
      <c r="Q55" s="208"/>
      <c r="R55" s="100">
        <f>VLOOKUP($B$48,Índices!$B$6:$F$500,VLOOKUP(R$54,$L$7:$M$9,2,FALSE)+1,FALSE)/VLOOKUP(DATE(YEAR($B55),MONTH($B55)-1,1),Índices!$B$6:$F$500,VLOOKUP(R$54,$L$7:$M$9,2,FALSE)+1,FALSE)*Q55</f>
        <v>0</v>
      </c>
      <c r="S55" s="208"/>
      <c r="T55" s="100">
        <f>VLOOKUP($B$48,Índices!$B$6:$F$500,VLOOKUP(T$54,$L$7:$M$9,2,FALSE)+1,FALSE)/VLOOKUP(DATE(YEAR($B55),MONTH($B55)-1,1),Índices!$B$6:$F$500,VLOOKUP(T$54,$L$7:$M$9,2,FALSE)+1,FALSE)*S55</f>
        <v>0</v>
      </c>
      <c r="U55" s="208"/>
      <c r="V55" s="100">
        <f>VLOOKUP($B$48,Índices!$B$6:$F$500,VLOOKUP(V$54,$L$7:$M$9,2,FALSE)+1,FALSE)/VLOOKUP(DATE(YEAR($B55),MONTH($B55)-1,1),Índices!$B$6:$F$500,VLOOKUP(V$54,$L$7:$M$9,2,FALSE)+1,FALSE)*U55</f>
        <v>0</v>
      </c>
      <c r="W55" s="208"/>
      <c r="X55" s="100">
        <f>VLOOKUP($B$48,Índices!$B$6:$F$500,VLOOKUP(X$54,$L$7:$M$9,2,FALSE)+1,FALSE)/VLOOKUP(DATE(YEAR($B55),MONTH($B55)-1,1),Índices!$B$6:$F$500,VLOOKUP(X$54,$L$7:$M$9,2,FALSE)+1,FALSE)*W55</f>
        <v>0</v>
      </c>
      <c r="Z55" s="68"/>
    </row>
    <row r="56" spans="2:30" ht="14.25">
      <c r="B56" s="271">
        <f t="shared" si="6"/>
        <v>44013</v>
      </c>
      <c r="C56" s="208"/>
      <c r="D56" s="100">
        <f>VLOOKUP($B$79,Índices!$B$6:$F$500,VLOOKUP(D$54,$L$7:$M$9,2,FALSE)+1,FALSE)/VLOOKUP(DATE(YEAR($B56),MONTH($B56)-1,1),Índices!$B$6:$F$500,VLOOKUP(D$54,$L$7:$M$9,2,FALSE)+1,FALSE)*C56</f>
        <v>0</v>
      </c>
      <c r="E56" s="208"/>
      <c r="F56" s="100">
        <f>VLOOKUP($B$48,Índices!$B$6:$F$500,VLOOKUP(F$54,$L$7:$M$9,2,FALSE)+1,FALSE)/VLOOKUP(DATE(YEAR($B56),MONTH($B56)-1,1),Índices!$B$6:$F$500,VLOOKUP(F$54,$L$7:$M$9,2,FALSE)+1,FALSE)*E56</f>
        <v>0</v>
      </c>
      <c r="G56" s="208"/>
      <c r="H56" s="100">
        <f>VLOOKUP($B$48,Índices!$B$6:$F$500,VLOOKUP(H$54,$L$7:$M$9,2,FALSE)+1,FALSE)/VLOOKUP(DATE(YEAR($B56),MONTH($B56)-1,1),Índices!$B$6:$F$500,VLOOKUP(H$54,$L$7:$M$9,2,FALSE)+1,FALSE)*G56</f>
        <v>0</v>
      </c>
      <c r="I56" s="208"/>
      <c r="J56" s="100">
        <f>VLOOKUP($B$48,Índices!$B$6:$F$500,VLOOKUP(J$54,$L$7:$M$9,2,FALSE)+1,FALSE)/VLOOKUP(DATE(YEAR($B56),MONTH($B56)-1,1),Índices!$B$6:$F$500,VLOOKUP(J$54,$L$7:$M$9,2,FALSE)+1,FALSE)*I56</f>
        <v>0</v>
      </c>
      <c r="K56" s="208"/>
      <c r="L56" s="100">
        <f>VLOOKUP($B$48,Índices!$B$6:$F$500,VLOOKUP(L$54,$L$7:$M$9,2,FALSE)+1,FALSE)/VLOOKUP(DATE(YEAR($B56),MONTH($B56)-1,1),Índices!$B$6:$F$500,VLOOKUP(L$54,$L$7:$M$9,2,FALSE)+1,FALSE)*K56</f>
        <v>0</v>
      </c>
      <c r="M56" s="208"/>
      <c r="N56" s="100">
        <f>VLOOKUP($B$48,Índices!$B$6:$F$500,VLOOKUP(N$54,$L$7:$M$9,2,FALSE)+1,FALSE)/VLOOKUP(DATE(YEAR($B56),MONTH($B56)-1,1),Índices!$B$6:$F$500,VLOOKUP(N$54,$L$7:$M$9,2,FALSE)+1,FALSE)*M56</f>
        <v>0</v>
      </c>
      <c r="O56" s="208"/>
      <c r="P56" s="100">
        <f>VLOOKUP($B$48,Índices!$B$6:$F$500,VLOOKUP(P$54,$L$7:$M$9,2,FALSE)+1,FALSE)/VLOOKUP(DATE(YEAR($B56),MONTH($B56)-1,1),Índices!$B$6:$F$500,VLOOKUP(P$54,$L$7:$M$9,2,FALSE)+1,FALSE)*O56</f>
        <v>0</v>
      </c>
      <c r="Q56" s="208"/>
      <c r="R56" s="100">
        <f>VLOOKUP($B$48,Índices!$B$6:$F$500,VLOOKUP(R$54,$L$7:$M$9,2,FALSE)+1,FALSE)/VLOOKUP(DATE(YEAR($B56),MONTH($B56)-1,1),Índices!$B$6:$F$500,VLOOKUP(R$54,$L$7:$M$9,2,FALSE)+1,FALSE)*Q56</f>
        <v>0</v>
      </c>
      <c r="S56" s="208"/>
      <c r="T56" s="100">
        <f>VLOOKUP($B$48,Índices!$B$6:$F$500,VLOOKUP(T$54,$L$7:$M$9,2,FALSE)+1,FALSE)/VLOOKUP(DATE(YEAR($B56),MONTH($B56)-1,1),Índices!$B$6:$F$500,VLOOKUP(T$54,$L$7:$M$9,2,FALSE)+1,FALSE)*S56</f>
        <v>0</v>
      </c>
      <c r="U56" s="208"/>
      <c r="V56" s="100">
        <f>VLOOKUP($B$48,Índices!$B$6:$F$500,VLOOKUP(V$54,$L$7:$M$9,2,FALSE)+1,FALSE)/VLOOKUP(DATE(YEAR($B56),MONTH($B56)-1,1),Índices!$B$6:$F$500,VLOOKUP(V$54,$L$7:$M$9,2,FALSE)+1,FALSE)*U56</f>
        <v>0</v>
      </c>
      <c r="W56" s="208"/>
      <c r="X56" s="100">
        <f>VLOOKUP($B$48,Índices!$B$6:$F$500,VLOOKUP(X$54,$L$7:$M$9,2,FALSE)+1,FALSE)/VLOOKUP(DATE(YEAR($B56),MONTH($B56)-1,1),Índices!$B$6:$F$500,VLOOKUP(X$54,$L$7:$M$9,2,FALSE)+1,FALSE)*W56</f>
        <v>0</v>
      </c>
      <c r="Z56" s="68"/>
    </row>
    <row r="57" spans="2:30" ht="14.25">
      <c r="B57" s="271">
        <f t="shared" si="6"/>
        <v>44044</v>
      </c>
      <c r="C57" s="208"/>
      <c r="D57" s="100">
        <f>VLOOKUP($B$79,Índices!$B$6:$F$500,VLOOKUP(D$54,$L$7:$M$9,2,FALSE)+1,FALSE)/VLOOKUP(DATE(YEAR($B57),MONTH($B57)-1,1),Índices!$B$6:$F$500,VLOOKUP(D$54,$L$7:$M$9,2,FALSE)+1,FALSE)*C57</f>
        <v>0</v>
      </c>
      <c r="E57" s="208"/>
      <c r="F57" s="100">
        <f>VLOOKUP($B$48,Índices!$B$6:$F$500,VLOOKUP(F$23,$L$7:$M$9,2,FALSE)+1,FALSE)/VLOOKUP(DATE(YEAR($B57),MONTH($B57)-1,1),Índices!$B$6:$F$500,VLOOKUP(F$23,$L$7:$M$9,2,FALSE)+1,FALSE)*E57</f>
        <v>0</v>
      </c>
      <c r="G57" s="208"/>
      <c r="H57" s="100">
        <f>VLOOKUP($B$48,Índices!$B$6:$F$500,VLOOKUP(H$54,$L$7:$M$9,2,FALSE)+1,FALSE)/VLOOKUP(DATE(YEAR($B57),MONTH($B57)-1,1),Índices!$B$6:$F$500,VLOOKUP(H$54,$L$7:$M$9,2,FALSE)+1,FALSE)*G57</f>
        <v>0</v>
      </c>
      <c r="I57" s="208"/>
      <c r="J57" s="100">
        <f>VLOOKUP($B$48,Índices!$B$6:$F$500,VLOOKUP(J$54,$L$7:$M$9,2,FALSE)+1,FALSE)/VLOOKUP(DATE(YEAR($B57),MONTH($B57)-1,1),Índices!$B$6:$F$500,VLOOKUP(J$54,$L$7:$M$9,2,FALSE)+1,FALSE)*I57</f>
        <v>0</v>
      </c>
      <c r="K57" s="208"/>
      <c r="L57" s="100">
        <f>VLOOKUP($B$48,Índices!$B$6:$F$500,VLOOKUP(L$54,$L$7:$M$9,2,FALSE)+1,FALSE)/VLOOKUP(DATE(YEAR($B57),MONTH($B57)-1,1),Índices!$B$6:$F$500,VLOOKUP(L$54,$L$7:$M$9,2,FALSE)+1,FALSE)*K57</f>
        <v>0</v>
      </c>
      <c r="M57" s="208"/>
      <c r="N57" s="100">
        <f>VLOOKUP($B$48,Índices!$B$6:$F$500,VLOOKUP(N$54,$L$7:$M$9,2,FALSE)+1,FALSE)/VLOOKUP(DATE(YEAR($B57),MONTH($B57)-1,1),Índices!$B$6:$F$500,VLOOKUP(N$54,$L$7:$M$9,2,FALSE)+1,FALSE)*M57</f>
        <v>0</v>
      </c>
      <c r="O57" s="208"/>
      <c r="P57" s="100">
        <f>VLOOKUP($B$48,Índices!$B$6:$F$500,VLOOKUP(P$54,$L$7:$M$9,2,FALSE)+1,FALSE)/VLOOKUP(DATE(YEAR($B57),MONTH($B57)-1,1),Índices!$B$6:$F$500,VLOOKUP(P$54,$L$7:$M$9,2,FALSE)+1,FALSE)*O57</f>
        <v>0</v>
      </c>
      <c r="Q57" s="208"/>
      <c r="R57" s="100">
        <f>VLOOKUP($B$48,Índices!$B$6:$F$500,VLOOKUP(R$54,$L$7:$M$9,2,FALSE)+1,FALSE)/VLOOKUP(DATE(YEAR($B57),MONTH($B57)-1,1),Índices!$B$6:$F$500,VLOOKUP(R$54,$L$7:$M$9,2,FALSE)+1,FALSE)*Q57</f>
        <v>0</v>
      </c>
      <c r="S57" s="208"/>
      <c r="T57" s="100">
        <f>VLOOKUP($B$48,Índices!$B$6:$F$500,VLOOKUP(T$54,$L$7:$M$9,2,FALSE)+1,FALSE)/VLOOKUP(DATE(YEAR($B57),MONTH($B57)-1,1),Índices!$B$6:$F$500,VLOOKUP(T$54,$L$7:$M$9,2,FALSE)+1,FALSE)*S57</f>
        <v>0</v>
      </c>
      <c r="U57" s="208"/>
      <c r="V57" s="100">
        <f>VLOOKUP($B$48,Índices!$B$6:$F$500,VLOOKUP(V$54,$L$7:$M$9,2,FALSE)+1,FALSE)/VLOOKUP(DATE(YEAR($B57),MONTH($B57)-1,1),Índices!$B$6:$F$500,VLOOKUP(V$54,$L$7:$M$9,2,FALSE)+1,FALSE)*U57</f>
        <v>0</v>
      </c>
      <c r="W57" s="208"/>
      <c r="X57" s="100">
        <f>VLOOKUP($B$48,Índices!$B$6:$F$500,VLOOKUP(X$54,$L$7:$M$9,2,FALSE)+1,FALSE)/VLOOKUP(DATE(YEAR($B57),MONTH($B57)-1,1),Índices!$B$6:$F$500,VLOOKUP(X$54,$L$7:$M$9,2,FALSE)+1,FALSE)*W57</f>
        <v>0</v>
      </c>
      <c r="Z57" s="68"/>
    </row>
    <row r="58" spans="2:30" ht="14.25">
      <c r="B58" s="271">
        <f t="shared" si="6"/>
        <v>44075</v>
      </c>
      <c r="C58" s="208"/>
      <c r="D58" s="100">
        <f>VLOOKUP($B$79,Índices!$B$6:$F$500,VLOOKUP(D$54,$L$7:$M$9,2,FALSE)+1,FALSE)/VLOOKUP(DATE(YEAR($B58),MONTH($B58)-1,1),Índices!$B$6:$F$500,VLOOKUP(D$54,$L$7:$M$9,2,FALSE)+1,FALSE)*C58</f>
        <v>0</v>
      </c>
      <c r="E58" s="208"/>
      <c r="F58" s="100">
        <f>VLOOKUP($B$48,Índices!$B$6:$F$500,VLOOKUP(F$23,$L$7:$M$9,2,FALSE)+1,FALSE)/VLOOKUP(DATE(YEAR($B58),MONTH($B58)-1,1),Índices!$B$6:$F$500,VLOOKUP(F$23,$L$7:$M$9,2,FALSE)+1,FALSE)*E58</f>
        <v>0</v>
      </c>
      <c r="G58" s="208"/>
      <c r="H58" s="100">
        <f>VLOOKUP($B$48,Índices!$B$6:$F$500,VLOOKUP(H$54,$L$7:$M$9,2,FALSE)+1,FALSE)/VLOOKUP(DATE(YEAR($B58),MONTH($B58)-1,1),Índices!$B$6:$F$500,VLOOKUP(H$54,$L$7:$M$9,2,FALSE)+1,FALSE)*G58</f>
        <v>0</v>
      </c>
      <c r="I58" s="208"/>
      <c r="J58" s="100">
        <f>VLOOKUP($B$48,Índices!$B$6:$F$500,VLOOKUP(J$54,$L$7:$M$9,2,FALSE)+1,FALSE)/VLOOKUP(DATE(YEAR($B58),MONTH($B58)-1,1),Índices!$B$6:$F$500,VLOOKUP(J$54,$L$7:$M$9,2,FALSE)+1,FALSE)*I58</f>
        <v>0</v>
      </c>
      <c r="K58" s="208"/>
      <c r="L58" s="100">
        <f>VLOOKUP($B$48,Índices!$B$6:$F$500,VLOOKUP(L$54,$L$7:$M$9,2,FALSE)+1,FALSE)/VLOOKUP(DATE(YEAR($B58),MONTH($B58)-1,1),Índices!$B$6:$F$500,VLOOKUP(L$54,$L$7:$M$9,2,FALSE)+1,FALSE)*K58</f>
        <v>0</v>
      </c>
      <c r="M58" s="208"/>
      <c r="N58" s="100">
        <f>VLOOKUP($B$48,Índices!$B$6:$F$500,VLOOKUP(N$54,$L$7:$M$9,2,FALSE)+1,FALSE)/VLOOKUP(DATE(YEAR($B58),MONTH($B58)-1,1),Índices!$B$6:$F$500,VLOOKUP(N$54,$L$7:$M$9,2,FALSE)+1,FALSE)*M58</f>
        <v>0</v>
      </c>
      <c r="O58" s="208"/>
      <c r="P58" s="100">
        <f>VLOOKUP($B$48,Índices!$B$6:$F$500,VLOOKUP(P$54,$L$7:$M$9,2,FALSE)+1,FALSE)/VLOOKUP(DATE(YEAR($B58),MONTH($B58)-1,1),Índices!$B$6:$F$500,VLOOKUP(P$54,$L$7:$M$9,2,FALSE)+1,FALSE)*O58</f>
        <v>0</v>
      </c>
      <c r="Q58" s="208"/>
      <c r="R58" s="100">
        <f>VLOOKUP($B$48,Índices!$B$6:$F$500,VLOOKUP(R$54,$L$7:$M$9,2,FALSE)+1,FALSE)/VLOOKUP(DATE(YEAR($B58),MONTH($B58)-1,1),Índices!$B$6:$F$500,VLOOKUP(R$54,$L$7:$M$9,2,FALSE)+1,FALSE)*Q58</f>
        <v>0</v>
      </c>
      <c r="S58" s="208"/>
      <c r="T58" s="100">
        <f>VLOOKUP($B$48,Índices!$B$6:$F$500,VLOOKUP(T$54,$L$7:$M$9,2,FALSE)+1,FALSE)/VLOOKUP(DATE(YEAR($B58),MONTH($B58)-1,1),Índices!$B$6:$F$500,VLOOKUP(T$54,$L$7:$M$9,2,FALSE)+1,FALSE)*S58</f>
        <v>0</v>
      </c>
      <c r="U58" s="208"/>
      <c r="V58" s="100">
        <f>VLOOKUP($B$48,Índices!$B$6:$F$500,VLOOKUP(V$54,$L$7:$M$9,2,FALSE)+1,FALSE)/VLOOKUP(DATE(YEAR($B58),MONTH($B58)-1,1),Índices!$B$6:$F$500,VLOOKUP(V$54,$L$7:$M$9,2,FALSE)+1,FALSE)*U58</f>
        <v>0</v>
      </c>
      <c r="W58" s="208"/>
      <c r="X58" s="100">
        <f>VLOOKUP($B$48,Índices!$B$6:$F$500,VLOOKUP(X$54,$L$7:$M$9,2,FALSE)+1,FALSE)/VLOOKUP(DATE(YEAR($B58),MONTH($B58)-1,1),Índices!$B$6:$F$500,VLOOKUP(X$54,$L$7:$M$9,2,FALSE)+1,FALSE)*W58</f>
        <v>0</v>
      </c>
      <c r="Z58" s="68"/>
    </row>
    <row r="59" spans="2:30" ht="14.25">
      <c r="B59" s="271">
        <f t="shared" si="6"/>
        <v>44105</v>
      </c>
      <c r="C59" s="208"/>
      <c r="D59" s="100">
        <f>VLOOKUP($B$79,Índices!$B$6:$F$500,VLOOKUP(D$54,$L$7:$M$9,2,FALSE)+1,FALSE)/VLOOKUP(DATE(YEAR($B59),MONTH($B59)-1,1),Índices!$B$6:$F$500,VLOOKUP(D$54,$L$7:$M$9,2,FALSE)+1,FALSE)*C59</f>
        <v>0</v>
      </c>
      <c r="E59" s="208"/>
      <c r="F59" s="100">
        <f>VLOOKUP($B$48,Índices!$B$6:$F$500,VLOOKUP(F$23,$L$7:$M$9,2,FALSE)+1,FALSE)/VLOOKUP(DATE(YEAR($B59),MONTH($B59)-1,1),Índices!$B$6:$F$500,VLOOKUP(F$23,$L$7:$M$9,2,FALSE)+1,FALSE)*E59</f>
        <v>0</v>
      </c>
      <c r="G59" s="208"/>
      <c r="H59" s="100">
        <f>VLOOKUP($B$48,Índices!$B$6:$F$500,VLOOKUP(H$54,$L$7:$M$9,2,FALSE)+1,FALSE)/VLOOKUP(DATE(YEAR($B59),MONTH($B59)-1,1),Índices!$B$6:$F$500,VLOOKUP(H$54,$L$7:$M$9,2,FALSE)+1,FALSE)*G59</f>
        <v>0</v>
      </c>
      <c r="I59" s="208"/>
      <c r="J59" s="100">
        <f>VLOOKUP($B$48,Índices!$B$6:$F$500,VLOOKUP(J$54,$L$7:$M$9,2,FALSE)+1,FALSE)/VLOOKUP(DATE(YEAR($B59),MONTH($B59)-1,1),Índices!$B$6:$F$500,VLOOKUP(J$54,$L$7:$M$9,2,FALSE)+1,FALSE)*I59</f>
        <v>0</v>
      </c>
      <c r="K59" s="208"/>
      <c r="L59" s="100">
        <f>VLOOKUP($B$48,Índices!$B$6:$F$500,VLOOKUP(L$54,$L$7:$M$9,2,FALSE)+1,FALSE)/VLOOKUP(DATE(YEAR($B59),MONTH($B59)-1,1),Índices!$B$6:$F$500,VLOOKUP(L$54,$L$7:$M$9,2,FALSE)+1,FALSE)*K59</f>
        <v>0</v>
      </c>
      <c r="M59" s="208"/>
      <c r="N59" s="100">
        <f>VLOOKUP($B$48,Índices!$B$6:$F$500,VLOOKUP(N$54,$L$7:$M$9,2,FALSE)+1,FALSE)/VLOOKUP(DATE(YEAR($B59),MONTH($B59)-1,1),Índices!$B$6:$F$500,VLOOKUP(N$54,$L$7:$M$9,2,FALSE)+1,FALSE)*M59</f>
        <v>0</v>
      </c>
      <c r="O59" s="208"/>
      <c r="P59" s="100">
        <f>VLOOKUP($B$48,Índices!$B$6:$F$500,VLOOKUP(P$54,$L$7:$M$9,2,FALSE)+1,FALSE)/VLOOKUP(DATE(YEAR($B59),MONTH($B59)-1,1),Índices!$B$6:$F$500,VLOOKUP(P$54,$L$7:$M$9,2,FALSE)+1,FALSE)*O59</f>
        <v>0</v>
      </c>
      <c r="Q59" s="208"/>
      <c r="R59" s="100">
        <f>VLOOKUP($B$48,Índices!$B$6:$F$500,VLOOKUP(R$54,$L$7:$M$9,2,FALSE)+1,FALSE)/VLOOKUP(DATE(YEAR($B59),MONTH($B59)-1,1),Índices!$B$6:$F$500,VLOOKUP(R$54,$L$7:$M$9,2,FALSE)+1,FALSE)*Q59</f>
        <v>0</v>
      </c>
      <c r="S59" s="208"/>
      <c r="T59" s="100">
        <f>VLOOKUP($B$48,Índices!$B$6:$F$500,VLOOKUP(T$54,$L$7:$M$9,2,FALSE)+1,FALSE)/VLOOKUP(DATE(YEAR($B59),MONTH($B59)-1,1),Índices!$B$6:$F$500,VLOOKUP(T$54,$L$7:$M$9,2,FALSE)+1,FALSE)*S59</f>
        <v>0</v>
      </c>
      <c r="U59" s="208"/>
      <c r="V59" s="100">
        <f>VLOOKUP($B$48,Índices!$B$6:$F$500,VLOOKUP(V$54,$L$7:$M$9,2,FALSE)+1,FALSE)/VLOOKUP(DATE(YEAR($B59),MONTH($B59)-1,1),Índices!$B$6:$F$500,VLOOKUP(V$54,$L$7:$M$9,2,FALSE)+1,FALSE)*U59</f>
        <v>0</v>
      </c>
      <c r="W59" s="208"/>
      <c r="X59" s="100">
        <f>VLOOKUP($B$48,Índices!$B$6:$F$500,VLOOKUP(X$54,$L$7:$M$9,2,FALSE)+1,FALSE)/VLOOKUP(DATE(YEAR($B59),MONTH($B59)-1,1),Índices!$B$6:$F$500,VLOOKUP(X$54,$L$7:$M$9,2,FALSE)+1,FALSE)*W59</f>
        <v>0</v>
      </c>
      <c r="Z59" s="68"/>
    </row>
    <row r="60" spans="2:30" ht="14.25">
      <c r="B60" s="271">
        <f t="shared" si="6"/>
        <v>44136</v>
      </c>
      <c r="C60" s="208"/>
      <c r="D60" s="100">
        <f>VLOOKUP($B$79,Índices!$B$6:$F$500,VLOOKUP(D$54,$L$7:$M$9,2,FALSE)+1,FALSE)/VLOOKUP(DATE(YEAR($B60),MONTH($B60)-1,1),Índices!$B$6:$F$500,VLOOKUP(D$54,$L$7:$M$9,2,FALSE)+1,FALSE)*C60</f>
        <v>0</v>
      </c>
      <c r="E60" s="208"/>
      <c r="F60" s="100">
        <f>VLOOKUP($B$48,Índices!$B$6:$F$500,VLOOKUP(F$23,$L$7:$M$9,2,FALSE)+1,FALSE)/VLOOKUP(DATE(YEAR($B60),MONTH($B60)-1,1),Índices!$B$6:$F$500,VLOOKUP(F$23,$L$7:$M$9,2,FALSE)+1,FALSE)*E60</f>
        <v>0</v>
      </c>
      <c r="G60" s="208"/>
      <c r="H60" s="100">
        <f>VLOOKUP($B$48,Índices!$B$6:$F$500,VLOOKUP(H$54,$L$7:$M$9,2,FALSE)+1,FALSE)/VLOOKUP(DATE(YEAR($B60),MONTH($B60)-1,1),Índices!$B$6:$F$500,VLOOKUP(H$54,$L$7:$M$9,2,FALSE)+1,FALSE)*G60</f>
        <v>0</v>
      </c>
      <c r="I60" s="208"/>
      <c r="J60" s="100">
        <f>VLOOKUP($B$48,Índices!$B$6:$F$500,VLOOKUP(J$54,$L$7:$M$9,2,FALSE)+1,FALSE)/VLOOKUP(DATE(YEAR($B60),MONTH($B60)-1,1),Índices!$B$6:$F$500,VLOOKUP(J$54,$L$7:$M$9,2,FALSE)+1,FALSE)*I60</f>
        <v>0</v>
      </c>
      <c r="K60" s="208"/>
      <c r="L60" s="100">
        <f>VLOOKUP($B$48,Índices!$B$6:$F$500,VLOOKUP(L$54,$L$7:$M$9,2,FALSE)+1,FALSE)/VLOOKUP(DATE(YEAR($B60),MONTH($B60)-1,1),Índices!$B$6:$F$500,VLOOKUP(L$54,$L$7:$M$9,2,FALSE)+1,FALSE)*K60</f>
        <v>0</v>
      </c>
      <c r="M60" s="208"/>
      <c r="N60" s="100">
        <f>VLOOKUP($B$48,Índices!$B$6:$F$500,VLOOKUP(N$54,$L$7:$M$9,2,FALSE)+1,FALSE)/VLOOKUP(DATE(YEAR($B60),MONTH($B60)-1,1),Índices!$B$6:$F$500,VLOOKUP(N$54,$L$7:$M$9,2,FALSE)+1,FALSE)*M60</f>
        <v>0</v>
      </c>
      <c r="O60" s="208"/>
      <c r="P60" s="100">
        <f>VLOOKUP($B$48,Índices!$B$6:$F$500,VLOOKUP(P$54,$L$7:$M$9,2,FALSE)+1,FALSE)/VLOOKUP(DATE(YEAR($B60),MONTH($B60)-1,1),Índices!$B$6:$F$500,VLOOKUP(P$54,$L$7:$M$9,2,FALSE)+1,FALSE)*O60</f>
        <v>0</v>
      </c>
      <c r="Q60" s="208"/>
      <c r="R60" s="100">
        <f>VLOOKUP($B$48,Índices!$B$6:$F$500,VLOOKUP(R$54,$L$7:$M$9,2,FALSE)+1,FALSE)/VLOOKUP(DATE(YEAR($B60),MONTH($B60)-1,1),Índices!$B$6:$F$500,VLOOKUP(R$54,$L$7:$M$9,2,FALSE)+1,FALSE)*Q60</f>
        <v>0</v>
      </c>
      <c r="S60" s="208"/>
      <c r="T60" s="100">
        <f>VLOOKUP($B$48,Índices!$B$6:$F$500,VLOOKUP(T$54,$L$7:$M$9,2,FALSE)+1,FALSE)/VLOOKUP(DATE(YEAR($B60),MONTH($B60)-1,1),Índices!$B$6:$F$500,VLOOKUP(T$54,$L$7:$M$9,2,FALSE)+1,FALSE)*S60</f>
        <v>0</v>
      </c>
      <c r="U60" s="208"/>
      <c r="V60" s="100">
        <f>VLOOKUP($B$48,Índices!$B$6:$F$500,VLOOKUP(V$54,$L$7:$M$9,2,FALSE)+1,FALSE)/VLOOKUP(DATE(YEAR($B60),MONTH($B60)-1,1),Índices!$B$6:$F$500,VLOOKUP(V$54,$L$7:$M$9,2,FALSE)+1,FALSE)*U60</f>
        <v>0</v>
      </c>
      <c r="W60" s="208"/>
      <c r="X60" s="100">
        <f>VLOOKUP($B$48,Índices!$B$6:$F$500,VLOOKUP(X$54,$L$7:$M$9,2,FALSE)+1,FALSE)/VLOOKUP(DATE(YEAR($B60),MONTH($B60)-1,1),Índices!$B$6:$F$500,VLOOKUP(X$54,$L$7:$M$9,2,FALSE)+1,FALSE)*W60</f>
        <v>0</v>
      </c>
      <c r="Z60" s="68"/>
    </row>
    <row r="61" spans="2:30" ht="14.25">
      <c r="B61" s="271">
        <f t="shared" si="6"/>
        <v>44166</v>
      </c>
      <c r="C61" s="208"/>
      <c r="D61" s="100">
        <f>VLOOKUP($B$79,Índices!$B$6:$F$500,VLOOKUP(D$54,$L$7:$M$9,2,FALSE)+1,FALSE)/VLOOKUP(DATE(YEAR($B61),MONTH($B61)-1,1),Índices!$B$6:$F$500,VLOOKUP(D$54,$L$7:$M$9,2,FALSE)+1,FALSE)*C61</f>
        <v>0</v>
      </c>
      <c r="E61" s="208"/>
      <c r="F61" s="100">
        <f>VLOOKUP($B$48,Índices!$B$6:$F$500,VLOOKUP(F$23,$L$7:$M$9,2,FALSE)+1,FALSE)/VLOOKUP(DATE(YEAR($B61),MONTH($B61)-1,1),Índices!$B$6:$F$500,VLOOKUP(F$23,$L$7:$M$9,2,FALSE)+1,FALSE)*E61</f>
        <v>0</v>
      </c>
      <c r="G61" s="208"/>
      <c r="H61" s="100">
        <f>VLOOKUP($B$48,Índices!$B$6:$F$500,VLOOKUP(H$54,$L$7:$M$9,2,FALSE)+1,FALSE)/VLOOKUP(DATE(YEAR($B61),MONTH($B61)-1,1),Índices!$B$6:$F$500,VLOOKUP(H$54,$L$7:$M$9,2,FALSE)+1,FALSE)*G61</f>
        <v>0</v>
      </c>
      <c r="I61" s="208"/>
      <c r="J61" s="100">
        <f>VLOOKUP($B$48,Índices!$B$6:$F$500,VLOOKUP(J$54,$L$7:$M$9,2,FALSE)+1,FALSE)/VLOOKUP(DATE(YEAR($B61),MONTH($B61)-1,1),Índices!$B$6:$F$500,VLOOKUP(J$54,$L$7:$M$9,2,FALSE)+1,FALSE)*I61</f>
        <v>0</v>
      </c>
      <c r="K61" s="208"/>
      <c r="L61" s="100">
        <f>VLOOKUP($B$48,Índices!$B$6:$F$500,VLOOKUP(L$54,$L$7:$M$9,2,FALSE)+1,FALSE)/VLOOKUP(DATE(YEAR($B61),MONTH($B61)-1,1),Índices!$B$6:$F$500,VLOOKUP(L$54,$L$7:$M$9,2,FALSE)+1,FALSE)*K61</f>
        <v>0</v>
      </c>
      <c r="M61" s="208"/>
      <c r="N61" s="100">
        <f>VLOOKUP($B$48,Índices!$B$6:$F$500,VLOOKUP(N$54,$L$7:$M$9,2,FALSE)+1,FALSE)/VLOOKUP(DATE(YEAR($B61),MONTH($B61)-1,1),Índices!$B$6:$F$500,VLOOKUP(N$54,$L$7:$M$9,2,FALSE)+1,FALSE)*M61</f>
        <v>0</v>
      </c>
      <c r="O61" s="208"/>
      <c r="P61" s="100">
        <f>VLOOKUP($B$48,Índices!$B$6:$F$500,VLOOKUP(P$54,$L$7:$M$9,2,FALSE)+1,FALSE)/VLOOKUP(DATE(YEAR($B61),MONTH($B61)-1,1),Índices!$B$6:$F$500,VLOOKUP(P$54,$L$7:$M$9,2,FALSE)+1,FALSE)*O61</f>
        <v>0</v>
      </c>
      <c r="Q61" s="208"/>
      <c r="R61" s="100">
        <f>VLOOKUP($B$48,Índices!$B$6:$F$500,VLOOKUP(R$54,$L$7:$M$9,2,FALSE)+1,FALSE)/VLOOKUP(DATE(YEAR($B61),MONTH($B61)-1,1),Índices!$B$6:$F$500,VLOOKUP(R$54,$L$7:$M$9,2,FALSE)+1,FALSE)*Q61</f>
        <v>0</v>
      </c>
      <c r="S61" s="208"/>
      <c r="T61" s="100">
        <f>VLOOKUP($B$48,Índices!$B$6:$F$500,VLOOKUP(T$54,$L$7:$M$9,2,FALSE)+1,FALSE)/VLOOKUP(DATE(YEAR($B61),MONTH($B61)-1,1),Índices!$B$6:$F$500,VLOOKUP(T$54,$L$7:$M$9,2,FALSE)+1,FALSE)*S61</f>
        <v>0</v>
      </c>
      <c r="U61" s="208"/>
      <c r="V61" s="100">
        <f>VLOOKUP($B$48,Índices!$B$6:$F$500,VLOOKUP(V$54,$L$7:$M$9,2,FALSE)+1,FALSE)/VLOOKUP(DATE(YEAR($B61),MONTH($B61)-1,1),Índices!$B$6:$F$500,VLOOKUP(V$54,$L$7:$M$9,2,FALSE)+1,FALSE)*U61</f>
        <v>0</v>
      </c>
      <c r="W61" s="208"/>
      <c r="X61" s="100">
        <f>VLOOKUP($B$48,Índices!$B$6:$F$500,VLOOKUP(X$54,$L$7:$M$9,2,FALSE)+1,FALSE)/VLOOKUP(DATE(YEAR($B61),MONTH($B61)-1,1),Índices!$B$6:$F$500,VLOOKUP(X$54,$L$7:$M$9,2,FALSE)+1,FALSE)*W61</f>
        <v>0</v>
      </c>
      <c r="Z61" s="68"/>
    </row>
    <row r="62" spans="2:30" ht="14.25">
      <c r="B62" s="271">
        <f t="shared" si="6"/>
        <v>44197</v>
      </c>
      <c r="C62" s="208"/>
      <c r="D62" s="100">
        <f>VLOOKUP($B$79,Índices!$B$6:$F$500,VLOOKUP(D$54,$L$7:$M$9,2,FALSE)+1,FALSE)/VLOOKUP(DATE(YEAR($B62),MONTH($B62)-1,1),Índices!$B$6:$F$500,VLOOKUP(D$54,$L$7:$M$9,2,FALSE)+1,FALSE)*C62</f>
        <v>0</v>
      </c>
      <c r="E62" s="208"/>
      <c r="F62" s="100">
        <f>VLOOKUP($B$48,Índices!$B$6:$F$500,VLOOKUP(F$23,$L$7:$M$9,2,FALSE)+1,FALSE)/VLOOKUP(DATE(YEAR($B62),MONTH($B62)-1,1),Índices!$B$6:$F$500,VLOOKUP(F$23,$L$7:$M$9,2,FALSE)+1,FALSE)*E62</f>
        <v>0</v>
      </c>
      <c r="G62" s="208"/>
      <c r="H62" s="100">
        <f>VLOOKUP($B$48,Índices!$B$6:$F$500,VLOOKUP(H$54,$L$7:$M$9,2,FALSE)+1,FALSE)/VLOOKUP(DATE(YEAR($B62),MONTH($B62)-1,1),Índices!$B$6:$F$500,VLOOKUP(H$54,$L$7:$M$9,2,FALSE)+1,FALSE)*G62</f>
        <v>0</v>
      </c>
      <c r="I62" s="208"/>
      <c r="J62" s="100">
        <f>VLOOKUP($B$48,Índices!$B$6:$F$500,VLOOKUP(J$54,$L$7:$M$9,2,FALSE)+1,FALSE)/VLOOKUP(DATE(YEAR($B62),MONTH($B62)-1,1),Índices!$B$6:$F$500,VLOOKUP(J$54,$L$7:$M$9,2,FALSE)+1,FALSE)*I62</f>
        <v>0</v>
      </c>
      <c r="K62" s="208"/>
      <c r="L62" s="100">
        <f>VLOOKUP($B$48,Índices!$B$6:$F$500,VLOOKUP(L$54,$L$7:$M$9,2,FALSE)+1,FALSE)/VLOOKUP(DATE(YEAR($B62),MONTH($B62)-1,1),Índices!$B$6:$F$500,VLOOKUP(L$54,$L$7:$M$9,2,FALSE)+1,FALSE)*K62</f>
        <v>0</v>
      </c>
      <c r="M62" s="208"/>
      <c r="N62" s="100">
        <f>VLOOKUP($B$48,Índices!$B$6:$F$500,VLOOKUP(N$54,$L$7:$M$9,2,FALSE)+1,FALSE)/VLOOKUP(DATE(YEAR($B62),MONTH($B62)-1,1),Índices!$B$6:$F$500,VLOOKUP(N$54,$L$7:$M$9,2,FALSE)+1,FALSE)*M62</f>
        <v>0</v>
      </c>
      <c r="O62" s="208"/>
      <c r="P62" s="100">
        <f>VLOOKUP($B$48,Índices!$B$6:$F$500,VLOOKUP(P$54,$L$7:$M$9,2,FALSE)+1,FALSE)/VLOOKUP(DATE(YEAR($B62),MONTH($B62)-1,1),Índices!$B$6:$F$500,VLOOKUP(P$54,$L$7:$M$9,2,FALSE)+1,FALSE)*O62</f>
        <v>0</v>
      </c>
      <c r="Q62" s="208"/>
      <c r="R62" s="100">
        <f>VLOOKUP($B$48,Índices!$B$6:$F$500,VLOOKUP(R$54,$L$7:$M$9,2,FALSE)+1,FALSE)/VLOOKUP(DATE(YEAR($B62),MONTH($B62)-1,1),Índices!$B$6:$F$500,VLOOKUP(R$54,$L$7:$M$9,2,FALSE)+1,FALSE)*Q62</f>
        <v>0</v>
      </c>
      <c r="S62" s="208"/>
      <c r="T62" s="100">
        <f>VLOOKUP($B$48,Índices!$B$6:$F$500,VLOOKUP(T$54,$L$7:$M$9,2,FALSE)+1,FALSE)/VLOOKUP(DATE(YEAR($B62),MONTH($B62)-1,1),Índices!$B$6:$F$500,VLOOKUP(T$54,$L$7:$M$9,2,FALSE)+1,FALSE)*S62</f>
        <v>0</v>
      </c>
      <c r="U62" s="208"/>
      <c r="V62" s="100">
        <f>VLOOKUP($B$48,Índices!$B$6:$F$500,VLOOKUP(V$54,$L$7:$M$9,2,FALSE)+1,FALSE)/VLOOKUP(DATE(YEAR($B62),MONTH($B62)-1,1),Índices!$B$6:$F$500,VLOOKUP(V$54,$L$7:$M$9,2,FALSE)+1,FALSE)*U62</f>
        <v>0</v>
      </c>
      <c r="W62" s="208"/>
      <c r="X62" s="100">
        <f>VLOOKUP($B$48,Índices!$B$6:$F$500,VLOOKUP(X$54,$L$7:$M$9,2,FALSE)+1,FALSE)/VLOOKUP(DATE(YEAR($B62),MONTH($B62)-1,1),Índices!$B$6:$F$500,VLOOKUP(X$54,$L$7:$M$9,2,FALSE)+1,FALSE)*W62</f>
        <v>0</v>
      </c>
      <c r="Z62" s="68"/>
    </row>
    <row r="63" spans="2:30" ht="14.25">
      <c r="B63" s="271">
        <f t="shared" si="6"/>
        <v>44228</v>
      </c>
      <c r="C63" s="208"/>
      <c r="D63" s="100">
        <f>VLOOKUP($B$79,Índices!$B$6:$F$500,VLOOKUP(D$54,$L$7:$M$9,2,FALSE)+1,FALSE)/VLOOKUP(DATE(YEAR($B63),MONTH($B63)-1,1),Índices!$B$6:$F$500,VLOOKUP(D$54,$L$7:$M$9,2,FALSE)+1,FALSE)*C63</f>
        <v>0</v>
      </c>
      <c r="E63" s="208"/>
      <c r="F63" s="100">
        <f>VLOOKUP($B$48,Índices!$B$6:$F$500,VLOOKUP(F$23,$L$7:$M$9,2,FALSE)+1,FALSE)/VLOOKUP(DATE(YEAR($B63),MONTH($B63)-1,1),Índices!$B$6:$F$500,VLOOKUP(F$23,$L$7:$M$9,2,FALSE)+1,FALSE)*E63</f>
        <v>0</v>
      </c>
      <c r="G63" s="208"/>
      <c r="H63" s="100">
        <f>VLOOKUP($B$48,Índices!$B$6:$F$500,VLOOKUP(H$54,$L$7:$M$9,2,FALSE)+1,FALSE)/VLOOKUP(DATE(YEAR($B63),MONTH($B63)-1,1),Índices!$B$6:$F$500,VLOOKUP(H$54,$L$7:$M$9,2,FALSE)+1,FALSE)*G63</f>
        <v>0</v>
      </c>
      <c r="I63" s="208"/>
      <c r="J63" s="100">
        <f>VLOOKUP($B$48,Índices!$B$6:$F$500,VLOOKUP(J$54,$L$7:$M$9,2,FALSE)+1,FALSE)/VLOOKUP(DATE(YEAR($B63),MONTH($B63)-1,1),Índices!$B$6:$F$500,VLOOKUP(J$54,$L$7:$M$9,2,FALSE)+1,FALSE)*I63</f>
        <v>0</v>
      </c>
      <c r="K63" s="208"/>
      <c r="L63" s="100">
        <f>VLOOKUP($B$48,Índices!$B$6:$F$500,VLOOKUP(L$54,$L$7:$M$9,2,FALSE)+1,FALSE)/VLOOKUP(DATE(YEAR($B63),MONTH($B63)-1,1),Índices!$B$6:$F$500,VLOOKUP(L$54,$L$7:$M$9,2,FALSE)+1,FALSE)*K63</f>
        <v>0</v>
      </c>
      <c r="M63" s="208"/>
      <c r="N63" s="100">
        <f>VLOOKUP($B$48,Índices!$B$6:$F$500,VLOOKUP(N$54,$L$7:$M$9,2,FALSE)+1,FALSE)/VLOOKUP(DATE(YEAR($B63),MONTH($B63)-1,1),Índices!$B$6:$F$500,VLOOKUP(N$54,$L$7:$M$9,2,FALSE)+1,FALSE)*M63</f>
        <v>0</v>
      </c>
      <c r="O63" s="208"/>
      <c r="P63" s="100">
        <f>VLOOKUP($B$48,Índices!$B$6:$F$500,VLOOKUP(P$54,$L$7:$M$9,2,FALSE)+1,FALSE)/VLOOKUP(DATE(YEAR($B63),MONTH($B63)-1,1),Índices!$B$6:$F$500,VLOOKUP(P$54,$L$7:$M$9,2,FALSE)+1,FALSE)*O63</f>
        <v>0</v>
      </c>
      <c r="Q63" s="208"/>
      <c r="R63" s="100">
        <f>VLOOKUP($B$48,Índices!$B$6:$F$500,VLOOKUP(R$54,$L$7:$M$9,2,FALSE)+1,FALSE)/VLOOKUP(DATE(YEAR($B63),MONTH($B63)-1,1),Índices!$B$6:$F$500,VLOOKUP(R$54,$L$7:$M$9,2,FALSE)+1,FALSE)*Q63</f>
        <v>0</v>
      </c>
      <c r="S63" s="208"/>
      <c r="T63" s="100">
        <f>VLOOKUP($B$48,Índices!$B$6:$F$500,VLOOKUP(T$54,$L$7:$M$9,2,FALSE)+1,FALSE)/VLOOKUP(DATE(YEAR($B63),MONTH($B63)-1,1),Índices!$B$6:$F$500,VLOOKUP(T$54,$L$7:$M$9,2,FALSE)+1,FALSE)*S63</f>
        <v>0</v>
      </c>
      <c r="U63" s="208"/>
      <c r="V63" s="100">
        <f>VLOOKUP($B$48,Índices!$B$6:$F$500,VLOOKUP(V$54,$L$7:$M$9,2,FALSE)+1,FALSE)/VLOOKUP(DATE(YEAR($B63),MONTH($B63)-1,1),Índices!$B$6:$F$500,VLOOKUP(V$54,$L$7:$M$9,2,FALSE)+1,FALSE)*U63</f>
        <v>0</v>
      </c>
      <c r="W63" s="208"/>
      <c r="X63" s="100">
        <f>VLOOKUP($B$48,Índices!$B$6:$F$500,VLOOKUP(X$54,$L$7:$M$9,2,FALSE)+1,FALSE)/VLOOKUP(DATE(YEAR($B63),MONTH($B63)-1,1),Índices!$B$6:$F$500,VLOOKUP(X$54,$L$7:$M$9,2,FALSE)+1,FALSE)*W63</f>
        <v>0</v>
      </c>
      <c r="Z63" s="68"/>
      <c r="AD63" s="209"/>
    </row>
    <row r="64" spans="2:30" ht="14.25">
      <c r="B64" s="271">
        <f t="shared" si="6"/>
        <v>44256</v>
      </c>
      <c r="C64" s="208"/>
      <c r="D64" s="100">
        <f>VLOOKUP($B$79,Índices!$B$6:$F$500,VLOOKUP(D$54,$L$7:$M$9,2,FALSE)+1,FALSE)/VLOOKUP(DATE(YEAR($B64),MONTH($B64)-1,1),Índices!$B$6:$F$500,VLOOKUP(D$54,$L$7:$M$9,2,FALSE)+1,FALSE)*C64</f>
        <v>0</v>
      </c>
      <c r="E64" s="208"/>
      <c r="F64" s="100">
        <f>VLOOKUP($B$48,Índices!$B$6:$F$500,VLOOKUP(F$23,$L$7:$M$9,2,FALSE)+1,FALSE)/VLOOKUP(DATE(YEAR($B64),MONTH($B64)-1,1),Índices!$B$6:$F$500,VLOOKUP(F$23,$L$7:$M$9,2,FALSE)+1,FALSE)*E64</f>
        <v>0</v>
      </c>
      <c r="G64" s="208"/>
      <c r="H64" s="100">
        <f>VLOOKUP($B$48,Índices!$B$6:$F$500,VLOOKUP(H$54,$L$7:$M$9,2,FALSE)+1,FALSE)/VLOOKUP(DATE(YEAR($B64),MONTH($B64)-1,1),Índices!$B$6:$F$500,VLOOKUP(H$54,$L$7:$M$9,2,FALSE)+1,FALSE)*G64</f>
        <v>0</v>
      </c>
      <c r="I64" s="208"/>
      <c r="J64" s="100">
        <f>VLOOKUP($B$48,Índices!$B$6:$F$500,VLOOKUP(J$54,$L$7:$M$9,2,FALSE)+1,FALSE)/VLOOKUP(DATE(YEAR($B64),MONTH($B64)-1,1),Índices!$B$6:$F$500,VLOOKUP(J$54,$L$7:$M$9,2,FALSE)+1,FALSE)*I64</f>
        <v>0</v>
      </c>
      <c r="K64" s="208"/>
      <c r="L64" s="100">
        <f>VLOOKUP($B$48,Índices!$B$6:$F$500,VLOOKUP(L$54,$L$7:$M$9,2,FALSE)+1,FALSE)/VLOOKUP(DATE(YEAR($B64),MONTH($B64)-1,1),Índices!$B$6:$F$500,VLOOKUP(L$54,$L$7:$M$9,2,FALSE)+1,FALSE)*K64</f>
        <v>0</v>
      </c>
      <c r="M64" s="208"/>
      <c r="N64" s="100">
        <f>VLOOKUP($B$48,Índices!$B$6:$F$500,VLOOKUP(N$54,$L$7:$M$9,2,FALSE)+1,FALSE)/VLOOKUP(DATE(YEAR($B64),MONTH($B64)-1,1),Índices!$B$6:$F$500,VLOOKUP(N$54,$L$7:$M$9,2,FALSE)+1,FALSE)*M64</f>
        <v>0</v>
      </c>
      <c r="O64" s="208"/>
      <c r="P64" s="100">
        <f>VLOOKUP($B$48,Índices!$B$6:$F$500,VLOOKUP(P$54,$L$7:$M$9,2,FALSE)+1,FALSE)/VLOOKUP(DATE(YEAR($B64),MONTH($B64)-1,1),Índices!$B$6:$F$500,VLOOKUP(P$54,$L$7:$M$9,2,FALSE)+1,FALSE)*O64</f>
        <v>0</v>
      </c>
      <c r="Q64" s="208"/>
      <c r="R64" s="100">
        <f>VLOOKUP($B$48,Índices!$B$6:$F$500,VLOOKUP(R$54,$L$7:$M$9,2,FALSE)+1,FALSE)/VLOOKUP(DATE(YEAR($B64),MONTH($B64)-1,1),Índices!$B$6:$F$500,VLOOKUP(R$54,$L$7:$M$9,2,FALSE)+1,FALSE)*Q64</f>
        <v>0</v>
      </c>
      <c r="S64" s="208"/>
      <c r="T64" s="100">
        <f>VLOOKUP($B$48,Índices!$B$6:$F$500,VLOOKUP(T$54,$L$7:$M$9,2,FALSE)+1,FALSE)/VLOOKUP(DATE(YEAR($B64),MONTH($B64)-1,1),Índices!$B$6:$F$500,VLOOKUP(T$54,$L$7:$M$9,2,FALSE)+1,FALSE)*S64</f>
        <v>0</v>
      </c>
      <c r="U64" s="208"/>
      <c r="V64" s="100">
        <f>VLOOKUP($B$48,Índices!$B$6:$F$500,VLOOKUP(V$54,$L$7:$M$9,2,FALSE)+1,FALSE)/VLOOKUP(DATE(YEAR($B64),MONTH($B64)-1,1),Índices!$B$6:$F$500,VLOOKUP(V$54,$L$7:$M$9,2,FALSE)+1,FALSE)*U64</f>
        <v>0</v>
      </c>
      <c r="W64" s="208"/>
      <c r="X64" s="100">
        <f>VLOOKUP($B$48,Índices!$B$6:$F$500,VLOOKUP(X$54,$L$7:$M$9,2,FALSE)+1,FALSE)/VLOOKUP(DATE(YEAR($B64),MONTH($B64)-1,1),Índices!$B$6:$F$500,VLOOKUP(X$54,$L$7:$M$9,2,FALSE)+1,FALSE)*W64</f>
        <v>0</v>
      </c>
      <c r="Z64" s="68"/>
      <c r="AD64" s="209"/>
    </row>
    <row r="65" spans="2:30" ht="14.25">
      <c r="B65" s="271">
        <f t="shared" si="6"/>
        <v>44287</v>
      </c>
      <c r="C65" s="208"/>
      <c r="D65" s="100">
        <f>VLOOKUP($B$79,Índices!$B$6:$F$500,VLOOKUP(D$54,$L$7:$M$9,2,FALSE)+1,FALSE)/VLOOKUP(DATE(YEAR($B65),MONTH($B65)-1,1),Índices!$B$6:$F$500,VLOOKUP(D$54,$L$7:$M$9,2,FALSE)+1,FALSE)*C65</f>
        <v>0</v>
      </c>
      <c r="E65" s="208"/>
      <c r="F65" s="100">
        <f>VLOOKUP($B$48,Índices!$B$6:$F$500,VLOOKUP(F$23,$L$7:$M$9,2,FALSE)+1,FALSE)/VLOOKUP(DATE(YEAR($B65),MONTH($B65)-1,1),Índices!$B$6:$F$500,VLOOKUP(F$23,$L$7:$M$9,2,FALSE)+1,FALSE)*E65</f>
        <v>0</v>
      </c>
      <c r="G65" s="208"/>
      <c r="H65" s="226">
        <f>VLOOKUP($B$48,Índices!$B$6:$F$500,VLOOKUP(H$54,$L$7:$M$9,2,FALSE)+1,FALSE)/VLOOKUP(DATE(YEAR($B65),MONTH($B65)-1,1),Índices!$B$6:$F$500,VLOOKUP(H$54,$L$7:$M$9,2,FALSE)+1,FALSE)*G65</f>
        <v>0</v>
      </c>
      <c r="I65" s="208"/>
      <c r="J65" s="226">
        <f>VLOOKUP($B$48,Índices!$B$6:$F$500,VLOOKUP(J$54,$L$7:$M$9,2,FALSE)+1,FALSE)/VLOOKUP(DATE(YEAR($B65),MONTH($B65)-1,1),Índices!$B$6:$F$500,VLOOKUP(J$54,$L$7:$M$9,2,FALSE)+1,FALSE)*I65</f>
        <v>0</v>
      </c>
      <c r="K65" s="208"/>
      <c r="L65" s="226">
        <f>VLOOKUP($B$48,Índices!$B$6:$F$500,VLOOKUP(L$54,$L$7:$M$9,2,FALSE)+1,FALSE)/VLOOKUP(DATE(YEAR($B65),MONTH($B65)-1,1),Índices!$B$6:$F$500,VLOOKUP(L$54,$L$7:$M$9,2,FALSE)+1,FALSE)*K65</f>
        <v>0</v>
      </c>
      <c r="M65" s="208"/>
      <c r="N65" s="226">
        <f>VLOOKUP($B$48,Índices!$B$6:$F$500,VLOOKUP(N$54,$L$7:$M$9,2,FALSE)+1,FALSE)/VLOOKUP(DATE(YEAR($B65),MONTH($B65)-1,1),Índices!$B$6:$F$500,VLOOKUP(N$54,$L$7:$M$9,2,FALSE)+1,FALSE)*M65</f>
        <v>0</v>
      </c>
      <c r="O65" s="208"/>
      <c r="P65" s="226">
        <f>VLOOKUP($B$48,Índices!$B$6:$F$500,VLOOKUP(P$54,$L$7:$M$9,2,FALSE)+1,FALSE)/VLOOKUP(DATE(YEAR($B65),MONTH($B65)-1,1),Índices!$B$6:$F$500,VLOOKUP(P$54,$L$7:$M$9,2,FALSE)+1,FALSE)*O65</f>
        <v>0</v>
      </c>
      <c r="Q65" s="208"/>
      <c r="R65" s="226">
        <f>VLOOKUP($B$48,Índices!$B$6:$F$500,VLOOKUP(R$54,$L$7:$M$9,2,FALSE)+1,FALSE)/VLOOKUP(DATE(YEAR($B65),MONTH($B65)-1,1),Índices!$B$6:$F$500,VLOOKUP(R$54,$L$7:$M$9,2,FALSE)+1,FALSE)*Q65</f>
        <v>0</v>
      </c>
      <c r="S65" s="208"/>
      <c r="T65" s="226">
        <f>VLOOKUP($B$48,Índices!$B$6:$F$500,VLOOKUP(T$54,$L$7:$M$9,2,FALSE)+1,FALSE)/VLOOKUP(DATE(YEAR($B65),MONTH($B65)-1,1),Índices!$B$6:$F$500,VLOOKUP(T$54,$L$7:$M$9,2,FALSE)+1,FALSE)*S65</f>
        <v>0</v>
      </c>
      <c r="U65" s="208"/>
      <c r="V65" s="226">
        <f>VLOOKUP($B$48,Índices!$B$6:$F$500,VLOOKUP(V$54,$L$7:$M$9,2,FALSE)+1,FALSE)/VLOOKUP(DATE(YEAR($B65),MONTH($B65)-1,1),Índices!$B$6:$F$500,VLOOKUP(V$54,$L$7:$M$9,2,FALSE)+1,FALSE)*U65</f>
        <v>0</v>
      </c>
      <c r="W65" s="208"/>
      <c r="X65" s="226">
        <f>VLOOKUP($B$48,Índices!$B$6:$F$500,VLOOKUP(X$54,$L$7:$M$9,2,FALSE)+1,FALSE)/VLOOKUP(DATE(YEAR($B65),MONTH($B65)-1,1),Índices!$B$6:$F$500,VLOOKUP(X$54,$L$7:$M$9,2,FALSE)+1,FALSE)*W65</f>
        <v>0</v>
      </c>
      <c r="Z65" s="68"/>
      <c r="AD65" s="209"/>
    </row>
    <row r="66" spans="2:30" ht="14.25">
      <c r="B66" s="271">
        <f t="shared" si="6"/>
        <v>44317</v>
      </c>
      <c r="C66" s="208"/>
      <c r="D66" s="100">
        <f>VLOOKUP($B$79,Índices!$B$6:$F$500,VLOOKUP(D$54,$L$7:$M$9,2,FALSE)+1,FALSE)/VLOOKUP(DATE(YEAR($B66),MONTH($B66)-1,1),Índices!$B$6:$F$500,VLOOKUP(D$54,$L$7:$M$9,2,FALSE)+1,FALSE)*C66</f>
        <v>0</v>
      </c>
      <c r="E66" s="208"/>
      <c r="F66" s="100">
        <f>VLOOKUP($B$48,Índices!$B$6:$F$500,VLOOKUP(F$23,$L$7:$M$9,2,FALSE)+1,FALSE)/VLOOKUP(DATE(YEAR($B66),MONTH($B66)-1,1),Índices!$B$6:$F$500,VLOOKUP(F$23,$L$7:$M$9,2,FALSE)+1,FALSE)*E66</f>
        <v>0</v>
      </c>
      <c r="G66" s="208"/>
      <c r="H66" s="226">
        <f>VLOOKUP($B$48,Índices!$B$6:$F$500,VLOOKUP(H$54,$L$7:$M$9,2,FALSE)+1,FALSE)/VLOOKUP(DATE(YEAR($B66),MONTH($B66)-1,1),Índices!$B$6:$F$500,VLOOKUP(H$54,$L$7:$M$9,2,FALSE)+1,FALSE)*G66</f>
        <v>0</v>
      </c>
      <c r="I66" s="208"/>
      <c r="J66" s="226">
        <f>VLOOKUP($B$48,Índices!$B$6:$F$500,VLOOKUP(J$54,$L$7:$M$9,2,FALSE)+1,FALSE)/VLOOKUP(DATE(YEAR($B66),MONTH($B66)-1,1),Índices!$B$6:$F$500,VLOOKUP(J$54,$L$7:$M$9,2,FALSE)+1,FALSE)*I66</f>
        <v>0</v>
      </c>
      <c r="K66" s="208"/>
      <c r="L66" s="226">
        <f>VLOOKUP($B$48,Índices!$B$6:$F$500,VLOOKUP(L$54,$L$7:$M$9,2,FALSE)+1,FALSE)/VLOOKUP(DATE(YEAR($B66),MONTH($B66)-1,1),Índices!$B$6:$F$500,VLOOKUP(L$54,$L$7:$M$9,2,FALSE)+1,FALSE)*K66</f>
        <v>0</v>
      </c>
      <c r="M66" s="208"/>
      <c r="N66" s="226">
        <f>VLOOKUP($B$48,Índices!$B$6:$F$500,VLOOKUP(N$54,$L$7:$M$9,2,FALSE)+1,FALSE)/VLOOKUP(DATE(YEAR($B66),MONTH($B66)-1,1),Índices!$B$6:$F$500,VLOOKUP(N$54,$L$7:$M$9,2,FALSE)+1,FALSE)*M66</f>
        <v>0</v>
      </c>
      <c r="O66" s="208"/>
      <c r="P66" s="226">
        <f>VLOOKUP($B$48,Índices!$B$6:$F$500,VLOOKUP(P$54,$L$7:$M$9,2,FALSE)+1,FALSE)/VLOOKUP(DATE(YEAR($B66),MONTH($B66)-1,1),Índices!$B$6:$F$500,VLOOKUP(P$54,$L$7:$M$9,2,FALSE)+1,FALSE)*O66</f>
        <v>0</v>
      </c>
      <c r="Q66" s="208"/>
      <c r="R66" s="226">
        <f>VLOOKUP($B$48,Índices!$B$6:$F$500,VLOOKUP(R$54,$L$7:$M$9,2,FALSE)+1,FALSE)/VLOOKUP(DATE(YEAR($B66),MONTH($B66)-1,1),Índices!$B$6:$F$500,VLOOKUP(R$54,$L$7:$M$9,2,FALSE)+1,FALSE)*Q66</f>
        <v>0</v>
      </c>
      <c r="S66" s="208"/>
      <c r="T66" s="226">
        <f>VLOOKUP($B$48,Índices!$B$6:$F$500,VLOOKUP(T$54,$L$7:$M$9,2,FALSE)+1,FALSE)/VLOOKUP(DATE(YEAR($B66),MONTH($B66)-1,1),Índices!$B$6:$F$500,VLOOKUP(T$54,$L$7:$M$9,2,FALSE)+1,FALSE)*S66</f>
        <v>0</v>
      </c>
      <c r="U66" s="208"/>
      <c r="V66" s="226">
        <f>VLOOKUP($B$48,Índices!$B$6:$F$500,VLOOKUP(V$54,$L$7:$M$9,2,FALSE)+1,FALSE)/VLOOKUP(DATE(YEAR($B66),MONTH($B66)-1,1),Índices!$B$6:$F$500,VLOOKUP(V$54,$L$7:$M$9,2,FALSE)+1,FALSE)*U66</f>
        <v>0</v>
      </c>
      <c r="W66" s="208"/>
      <c r="X66" s="226">
        <f>VLOOKUP($B$48,Índices!$B$6:$F$500,VLOOKUP(X$54,$L$7:$M$9,2,FALSE)+1,FALSE)/VLOOKUP(DATE(YEAR($B66),MONTH($B66)-1,1),Índices!$B$6:$F$500,VLOOKUP(X$54,$L$7:$M$9,2,FALSE)+1,FALSE)*W66</f>
        <v>0</v>
      </c>
      <c r="Z66" s="68"/>
      <c r="AD66" s="209"/>
    </row>
    <row r="67" spans="2:30" ht="14.25">
      <c r="B67" s="271">
        <f t="shared" si="6"/>
        <v>44348</v>
      </c>
      <c r="C67" s="208"/>
      <c r="D67" s="100">
        <f>VLOOKUP($B$79,Índices!$B$6:$F$500,VLOOKUP(D$54,$L$7:$M$9,2,FALSE)+1,FALSE)/VLOOKUP(DATE(YEAR($B67),MONTH($B67)-1,1),Índices!$B$6:$F$500,VLOOKUP(D$54,$L$7:$M$9,2,FALSE)+1,FALSE)*C67</f>
        <v>0</v>
      </c>
      <c r="E67" s="208"/>
      <c r="F67" s="100">
        <f>VLOOKUP($B$48,Índices!$B$6:$F$500,VLOOKUP(F$23,$L$7:$M$9,2,FALSE)+1,FALSE)/VLOOKUP(DATE(YEAR($B67),MONTH($B67)-1,1),Índices!$B$6:$F$500,VLOOKUP(F$23,$L$7:$M$9,2,FALSE)+1,FALSE)*E67</f>
        <v>0</v>
      </c>
      <c r="G67" s="208"/>
      <c r="H67" s="226">
        <f>VLOOKUP($B$48,Índices!$B$6:$F$500,VLOOKUP(H$54,$L$7:$M$9,2,FALSE)+1,FALSE)/VLOOKUP(DATE(YEAR($B67),MONTH($B67)-1,1),Índices!$B$6:$F$500,VLOOKUP(H$54,$L$7:$M$9,2,FALSE)+1,FALSE)*G67</f>
        <v>0</v>
      </c>
      <c r="I67" s="208"/>
      <c r="J67" s="226">
        <f>VLOOKUP($B$48,Índices!$B$6:$F$500,VLOOKUP(J$54,$L$7:$M$9,2,FALSE)+1,FALSE)/VLOOKUP(DATE(YEAR($B67),MONTH($B67)-1,1),Índices!$B$6:$F$500,VLOOKUP(J$54,$L$7:$M$9,2,FALSE)+1,FALSE)*I67</f>
        <v>0</v>
      </c>
      <c r="K67" s="208"/>
      <c r="L67" s="226">
        <f>VLOOKUP($B$48,Índices!$B$6:$F$500,VLOOKUP(L$54,$L$7:$M$9,2,FALSE)+1,FALSE)/VLOOKUP(DATE(YEAR($B67),MONTH($B67)-1,1),Índices!$B$6:$F$500,VLOOKUP(L$54,$L$7:$M$9,2,FALSE)+1,FALSE)*K67</f>
        <v>0</v>
      </c>
      <c r="M67" s="208"/>
      <c r="N67" s="226">
        <f>VLOOKUP($B$48,Índices!$B$6:$F$500,VLOOKUP(N$54,$L$7:$M$9,2,FALSE)+1,FALSE)/VLOOKUP(DATE(YEAR($B67),MONTH($B67)-1,1),Índices!$B$6:$F$500,VLOOKUP(N$54,$L$7:$M$9,2,FALSE)+1,FALSE)*M67</f>
        <v>0</v>
      </c>
      <c r="O67" s="208"/>
      <c r="P67" s="226">
        <f>VLOOKUP($B$48,Índices!$B$6:$F$500,VLOOKUP(P$54,$L$7:$M$9,2,FALSE)+1,FALSE)/VLOOKUP(DATE(YEAR($B67),MONTH($B67)-1,1),Índices!$B$6:$F$500,VLOOKUP(P$54,$L$7:$M$9,2,FALSE)+1,FALSE)*O67</f>
        <v>0</v>
      </c>
      <c r="Q67" s="208"/>
      <c r="R67" s="226">
        <f>VLOOKUP($B$48,Índices!$B$6:$F$500,VLOOKUP(R$54,$L$7:$M$9,2,FALSE)+1,FALSE)/VLOOKUP(DATE(YEAR($B67),MONTH($B67)-1,1),Índices!$B$6:$F$500,VLOOKUP(R$54,$L$7:$M$9,2,FALSE)+1,FALSE)*Q67</f>
        <v>0</v>
      </c>
      <c r="S67" s="208"/>
      <c r="T67" s="226">
        <f>VLOOKUP($B$48,Índices!$B$6:$F$500,VLOOKUP(T$54,$L$7:$M$9,2,FALSE)+1,FALSE)/VLOOKUP(DATE(YEAR($B67),MONTH($B67)-1,1),Índices!$B$6:$F$500,VLOOKUP(T$54,$L$7:$M$9,2,FALSE)+1,FALSE)*S67</f>
        <v>0</v>
      </c>
      <c r="U67" s="208"/>
      <c r="V67" s="226">
        <f>VLOOKUP($B$48,Índices!$B$6:$F$500,VLOOKUP(V$54,$L$7:$M$9,2,FALSE)+1,FALSE)/VLOOKUP(DATE(YEAR($B67),MONTH($B67)-1,1),Índices!$B$6:$F$500,VLOOKUP(V$54,$L$7:$M$9,2,FALSE)+1,FALSE)*U67</f>
        <v>0</v>
      </c>
      <c r="W67" s="208"/>
      <c r="X67" s="226">
        <f>VLOOKUP($B$48,Índices!$B$6:$F$500,VLOOKUP(X$54,$L$7:$M$9,2,FALSE)+1,FALSE)/VLOOKUP(DATE(YEAR($B67),MONTH($B67)-1,1),Índices!$B$6:$F$500,VLOOKUP(X$54,$L$7:$M$9,2,FALSE)+1,FALSE)*W67</f>
        <v>0</v>
      </c>
      <c r="Z67" s="68"/>
      <c r="AD67" s="209"/>
    </row>
    <row r="68" spans="2:30" ht="14.25">
      <c r="B68" s="271">
        <f t="shared" si="6"/>
        <v>44378</v>
      </c>
      <c r="C68" s="208">
        <f ca="1">Encargos!C31</f>
        <v>0</v>
      </c>
      <c r="D68" s="100">
        <f ca="1">VLOOKUP($B$79,Índices!$B$6:$F$500,VLOOKUP(D$54,$L$7:$M$9,2,FALSE)+1,FALSE)/VLOOKUP(DATE(YEAR($B68),MONTH($B68)-1,1),Índices!$B$6:$F$500,VLOOKUP(D$54,$L$7:$M$9,2,FALSE)+1,FALSE)*C68</f>
        <v>0</v>
      </c>
      <c r="E68" s="208">
        <f ca="1">Encargos!D31</f>
        <v>0</v>
      </c>
      <c r="F68" s="100">
        <f ca="1">VLOOKUP($B$79,Índices!$B$6:$F$500,VLOOKUP(F$54,$L$7:$M$9,2,FALSE)+1,FALSE)/VLOOKUP(DATE(YEAR($B68),MONTH($B68)-1,1),Índices!$B$6:$F$500,VLOOKUP(F$54,$L$7:$M$9,2,FALSE)+1,FALSE)*E68</f>
        <v>0</v>
      </c>
      <c r="G68" s="208">
        <f ca="1">Encargos!E31</f>
        <v>247.23866726333927</v>
      </c>
      <c r="H68" s="226">
        <f ca="1">VLOOKUP($B$48,Índices!$B$6:$F$500,VLOOKUP(H$54,$L$7:$M$9,2,FALSE)+1,FALSE)/VLOOKUP(DATE(YEAR($B68),MONTH($B68)-1,1),Índices!$B$6:$F$500,VLOOKUP(H$54,$L$7:$M$9,2,FALSE)+1,FALSE)*G68</f>
        <v>276.62760530400953</v>
      </c>
      <c r="I68" s="208">
        <f ca="1">Encargos!F31</f>
        <v>7053.3049517922627</v>
      </c>
      <c r="J68" s="226">
        <f ca="1">VLOOKUP($B$48,Índices!$B$6:$F$500,VLOOKUP(J$54,$L$7:$M$9,2,FALSE)+1,FALSE)/VLOOKUP(DATE(YEAR($B68),MONTH($B68)-1,1),Índices!$B$6:$F$500,VLOOKUP(J$54,$L$7:$M$9,2,FALSE)+1,FALSE)*I68</f>
        <v>7891.7221156794458</v>
      </c>
      <c r="K68" s="208">
        <f ca="1">Encargos!L62</f>
        <v>0</v>
      </c>
      <c r="L68" s="226">
        <f ca="1">VLOOKUP($B$48,Índices!$B$6:$F$500,VLOOKUP(L$54,$L$7:$M$9,2,FALSE)+1,FALSE)/VLOOKUP(DATE(YEAR($B68),MONTH($B68)-1,1),Índices!$B$6:$F$500,VLOOKUP(L$54,$L$7:$M$9,2,FALSE)+1,FALSE)*K68</f>
        <v>0</v>
      </c>
      <c r="M68" s="208">
        <f ca="1">Encargos!G31</f>
        <v>1109.7084731990617</v>
      </c>
      <c r="N68" s="226">
        <f ca="1">VLOOKUP($B$48,Índices!$B$6:$F$500,VLOOKUP(N$54,$L$7:$M$9,2,FALSE)+1,FALSE)/VLOOKUP(DATE(YEAR($B68),MONTH($B68)-1,1),Índices!$B$6:$F$500,VLOOKUP(N$54,$L$7:$M$9,2,FALSE)+1,FALSE)*M68</f>
        <v>1241.6180726280097</v>
      </c>
      <c r="O68" s="208">
        <f ca="1">Encargos!H31</f>
        <v>0</v>
      </c>
      <c r="P68" s="226">
        <f ca="1">VLOOKUP($B$48,Índices!$B$6:$F$500,VLOOKUP(P$54,$L$7:$M$9,2,FALSE)+1,FALSE)/VLOOKUP(DATE(YEAR($B68),MONTH($B68)-1,1),Índices!$B$6:$F$500,VLOOKUP(P$54,$L$7:$M$9,2,FALSE)+1,FALSE)*O68</f>
        <v>0</v>
      </c>
      <c r="Q68" s="208">
        <f ca="1">Encargos!I31</f>
        <v>0</v>
      </c>
      <c r="R68" s="226">
        <f ca="1">VLOOKUP($B$48,Índices!$B$6:$F$500,VLOOKUP(R$54,$L$7:$M$9,2,FALSE)+1,FALSE)/VLOOKUP(DATE(YEAR($B68),MONTH($B68)-1,1),Índices!$B$6:$F$500,VLOOKUP(R$54,$L$7:$M$9,2,FALSE)+1,FALSE)*Q68</f>
        <v>0</v>
      </c>
      <c r="S68" s="208"/>
      <c r="T68" s="226">
        <f>VLOOKUP($B$48,Índices!$B$6:$F$500,VLOOKUP(T$54,$L$7:$M$9,2,FALSE)+1,FALSE)/VLOOKUP(DATE(YEAR($B68),MONTH($B68)-1,1),Índices!$B$6:$F$500,VLOOKUP(T$54,$L$7:$M$9,2,FALSE)+1,FALSE)*S68</f>
        <v>0</v>
      </c>
      <c r="U68" s="208"/>
      <c r="V68" s="226">
        <f>VLOOKUP($B$48,Índices!$B$6:$F$500,VLOOKUP(V$54,$L$7:$M$9,2,FALSE)+1,FALSE)/VLOOKUP(DATE(YEAR($B68),MONTH($B68)-1,1),Índices!$B$6:$F$500,VLOOKUP(V$54,$L$7:$M$9,2,FALSE)+1,FALSE)*U68</f>
        <v>0</v>
      </c>
      <c r="W68" s="208">
        <f>CVE!$D$33</f>
        <v>0</v>
      </c>
      <c r="X68" s="226">
        <f>VLOOKUP($B$48,Índices!$B$6:$F$500,VLOOKUP(X$54,$L$7:$M$9,2,FALSE)+1,FALSE)/VLOOKUP(DATE(YEAR($B68),MONTH($B68)-1,1),Índices!$B$6:$F$500,VLOOKUP(X$54,$L$7:$M$9,2,FALSE)+1,FALSE)*W68</f>
        <v>0</v>
      </c>
      <c r="Y68" s="77"/>
      <c r="Z68" s="77"/>
      <c r="AA68" s="77"/>
      <c r="AB68" s="77"/>
      <c r="AD68" s="209"/>
    </row>
    <row r="69" spans="2:30" ht="14.25">
      <c r="B69" s="271">
        <f t="shared" si="6"/>
        <v>44409</v>
      </c>
      <c r="C69" s="208">
        <f ca="1">Encargos!C32</f>
        <v>0</v>
      </c>
      <c r="D69" s="100">
        <f ca="1">VLOOKUP($B$79,Índices!$B$6:$F$500,VLOOKUP(D$54,$L$7:$M$9,2,FALSE)+1,FALSE)/VLOOKUP(DATE(YEAR($B69),MONTH($B69)-1,1),Índices!$B$6:$F$500,VLOOKUP(D$54,$L$7:$M$9,2,FALSE)+1,FALSE)*C69</f>
        <v>0</v>
      </c>
      <c r="E69" s="208">
        <f ca="1">Encargos!D32</f>
        <v>0</v>
      </c>
      <c r="F69" s="100">
        <f ca="1">VLOOKUP($B$79,Índices!$B$6:$F$500,VLOOKUP(F$54,$L$7:$M$9,2,FALSE)+1,FALSE)/VLOOKUP(DATE(YEAR($B69),MONTH($B69)-1,1),Índices!$B$6:$F$500,VLOOKUP(F$54,$L$7:$M$9,2,FALSE)+1,FALSE)*E69</f>
        <v>0</v>
      </c>
      <c r="G69" s="208">
        <f ca="1">Encargos!E32</f>
        <v>2.9125600634902185</v>
      </c>
      <c r="H69" s="226">
        <f ca="1">VLOOKUP($B$48,Índices!$B$6:$F$500,VLOOKUP(H$54,$L$7:$M$9,2,FALSE)+1,FALSE)/VLOOKUP(DATE(YEAR($B69),MONTH($B69)-1,1),Índices!$B$6:$F$500,VLOOKUP(H$54,$L$7:$M$9,2,FALSE)+1,FALSE)*G69</f>
        <v>3.2277865416073706</v>
      </c>
      <c r="I69" s="208">
        <f ca="1">Encargos!F32</f>
        <v>393.28954603889724</v>
      </c>
      <c r="J69" s="226">
        <f ca="1">VLOOKUP($B$48,Índices!$B$6:$F$500,VLOOKUP(J$54,$L$7:$M$9,2,FALSE)+1,FALSE)/VLOOKUP(DATE(YEAR($B69),MONTH($B69)-1,1),Índices!$B$6:$F$500,VLOOKUP(J$54,$L$7:$M$9,2,FALSE)+1,FALSE)*I69</f>
        <v>435.855287440148</v>
      </c>
      <c r="K69" s="208">
        <f ca="1">Encargos!L63</f>
        <v>0</v>
      </c>
      <c r="L69" s="226">
        <f ca="1">VLOOKUP($B$48,Índices!$B$6:$F$500,VLOOKUP(L$54,$L$7:$M$9,2,FALSE)+1,FALSE)/VLOOKUP(DATE(YEAR($B69),MONTH($B69)-1,1),Índices!$B$6:$F$500,VLOOKUP(L$54,$L$7:$M$9,2,FALSE)+1,FALSE)*K69</f>
        <v>0</v>
      </c>
      <c r="M69" s="208">
        <f ca="1">Encargos!G32</f>
        <v>66.617997522758742</v>
      </c>
      <c r="N69" s="226">
        <f ca="1">VLOOKUP($B$48,Índices!$B$6:$F$500,VLOOKUP(N$54,$L$7:$M$9,2,FALSE)+1,FALSE)/VLOOKUP(DATE(YEAR($B69),MONTH($B69)-1,1),Índices!$B$6:$F$500,VLOOKUP(N$54,$L$7:$M$9,2,FALSE)+1,FALSE)*M69</f>
        <v>73.82806573785048</v>
      </c>
      <c r="O69" s="208">
        <f ca="1">Encargos!H32</f>
        <v>0</v>
      </c>
      <c r="P69" s="226">
        <f ca="1">VLOOKUP($B$48,Índices!$B$6:$F$500,VLOOKUP(P$54,$L$7:$M$9,2,FALSE)+1,FALSE)/VLOOKUP(DATE(YEAR($B69),MONTH($B69)-1,1),Índices!$B$6:$F$500,VLOOKUP(P$54,$L$7:$M$9,2,FALSE)+1,FALSE)*O69</f>
        <v>0</v>
      </c>
      <c r="Q69" s="208">
        <f ca="1">Encargos!I32</f>
        <v>0</v>
      </c>
      <c r="R69" s="226">
        <f ca="1">VLOOKUP($B$48,Índices!$B$6:$F$500,VLOOKUP(R$54,$L$7:$M$9,2,FALSE)+1,FALSE)/VLOOKUP(DATE(YEAR($B69),MONTH($B69)-1,1),Índices!$B$6:$F$500,VLOOKUP(R$54,$L$7:$M$9,2,FALSE)+1,FALSE)*Q69</f>
        <v>0</v>
      </c>
      <c r="S69" s="208"/>
      <c r="T69" s="226">
        <f>VLOOKUP($B$48,Índices!$B$6:$F$500,VLOOKUP(T$54,$L$7:$M$9,2,FALSE)+1,FALSE)/VLOOKUP(DATE(YEAR($B69),MONTH($B69)-1,1),Índices!$B$6:$F$500,VLOOKUP(T$54,$L$7:$M$9,2,FALSE)+1,FALSE)*S69</f>
        <v>0</v>
      </c>
      <c r="U69" s="208"/>
      <c r="V69" s="226">
        <f>VLOOKUP($B$48,Índices!$B$6:$F$500,VLOOKUP(V$54,$L$7:$M$9,2,FALSE)+1,FALSE)/VLOOKUP(DATE(YEAR($B69),MONTH($B69)-1,1),Índices!$B$6:$F$500,VLOOKUP(V$54,$L$7:$M$9,2,FALSE)+1,FALSE)*U69</f>
        <v>0</v>
      </c>
      <c r="W69" s="208"/>
      <c r="X69" s="226">
        <f>VLOOKUP($B$48,Índices!$B$6:$F$500,VLOOKUP(X$54,$L$7:$M$9,2,FALSE)+1,FALSE)/VLOOKUP(DATE(YEAR($B69),MONTH($B69)-1,1),Índices!$B$6:$F$500,VLOOKUP(X$54,$L$7:$M$9,2,FALSE)+1,FALSE)*W69</f>
        <v>0</v>
      </c>
      <c r="Y69" s="77"/>
      <c r="Z69" s="77"/>
      <c r="AA69" s="77"/>
      <c r="AB69" s="77"/>
      <c r="AD69" s="209"/>
    </row>
    <row r="70" spans="2:30" ht="14.25">
      <c r="B70" s="271">
        <f t="shared" si="6"/>
        <v>44440</v>
      </c>
      <c r="C70" s="208">
        <f ca="1">Encargos!C33</f>
        <v>0</v>
      </c>
      <c r="D70" s="100">
        <f ca="1">VLOOKUP($B$79,Índices!$B$6:$F$500,VLOOKUP(D$54,$L$7:$M$9,2,FALSE)+1,FALSE)/VLOOKUP(DATE(YEAR($B70),MONTH($B70)-1,1),Índices!$B$6:$F$500,VLOOKUP(D$54,$L$7:$M$9,2,FALSE)+1,FALSE)*C70</f>
        <v>0</v>
      </c>
      <c r="E70" s="208">
        <f ca="1">Encargos!D33</f>
        <v>0</v>
      </c>
      <c r="F70" s="100">
        <f ca="1">VLOOKUP($B$79,Índices!$B$6:$F$500,VLOOKUP(F$54,$L$7:$M$9,2,FALSE)+1,FALSE)/VLOOKUP(DATE(YEAR($B70),MONTH($B70)-1,1),Índices!$B$6:$F$500,VLOOKUP(F$54,$L$7:$M$9,2,FALSE)+1,FALSE)*E70</f>
        <v>0</v>
      </c>
      <c r="G70" s="208">
        <f ca="1">Encargos!E33</f>
        <v>42.049383938617666</v>
      </c>
      <c r="H70" s="226">
        <f ca="1">VLOOKUP($B$48,Índices!$B$6:$F$500,VLOOKUP(H$54,$L$7:$M$9,2,FALSE)+1,FALSE)/VLOOKUP(DATE(YEAR($B70),MONTH($B70)-1,1),Índices!$B$6:$F$500,VLOOKUP(H$54,$L$7:$M$9,2,FALSE)+1,FALSE)*G70</f>
        <v>46.198469260834209</v>
      </c>
      <c r="I70" s="208">
        <f ca="1">Encargos!F33</f>
        <v>643.64727872598451</v>
      </c>
      <c r="J70" s="226">
        <f ca="1">VLOOKUP($B$48,Índices!$B$6:$F$500,VLOOKUP(J$54,$L$7:$M$9,2,FALSE)+1,FALSE)/VLOOKUP(DATE(YEAR($B70),MONTH($B70)-1,1),Índices!$B$6:$F$500,VLOOKUP(J$54,$L$7:$M$9,2,FALSE)+1,FALSE)*I70</f>
        <v>707.15706713917461</v>
      </c>
      <c r="K70" s="208">
        <f ca="1">Encargos!L64</f>
        <v>0</v>
      </c>
      <c r="L70" s="226">
        <f ca="1">VLOOKUP($B$48,Índices!$B$6:$F$500,VLOOKUP(L$54,$L$7:$M$9,2,FALSE)+1,FALSE)/VLOOKUP(DATE(YEAR($B70),MONTH($B70)-1,1),Índices!$B$6:$F$500,VLOOKUP(L$54,$L$7:$M$9,2,FALSE)+1,FALSE)*K70</f>
        <v>0</v>
      </c>
      <c r="M70" s="208">
        <f ca="1">Encargos!G33</f>
        <v>72.672905431694744</v>
      </c>
      <c r="N70" s="226">
        <f ca="1">VLOOKUP($B$48,Índices!$B$6:$F$500,VLOOKUP(N$54,$L$7:$M$9,2,FALSE)+1,FALSE)/VLOOKUP(DATE(YEAR($B70),MONTH($B70)-1,1),Índices!$B$6:$F$500,VLOOKUP(N$54,$L$7:$M$9,2,FALSE)+1,FALSE)*M70</f>
        <v>79.84366649895874</v>
      </c>
      <c r="O70" s="208">
        <f ca="1">Encargos!H33</f>
        <v>0</v>
      </c>
      <c r="P70" s="226">
        <f ca="1">VLOOKUP($B$48,Índices!$B$6:$F$500,VLOOKUP(P$54,$L$7:$M$9,2,FALSE)+1,FALSE)/VLOOKUP(DATE(YEAR($B70),MONTH($B70)-1,1),Índices!$B$6:$F$500,VLOOKUP(P$54,$L$7:$M$9,2,FALSE)+1,FALSE)*O70</f>
        <v>0</v>
      </c>
      <c r="Q70" s="208">
        <f ca="1">Encargos!I33</f>
        <v>0</v>
      </c>
      <c r="R70" s="226">
        <f ca="1">VLOOKUP($B$48,Índices!$B$6:$F$500,VLOOKUP(R$54,$L$7:$M$9,2,FALSE)+1,FALSE)/VLOOKUP(DATE(YEAR($B70),MONTH($B70)-1,1),Índices!$B$6:$F$500,VLOOKUP(R$54,$L$7:$M$9,2,FALSE)+1,FALSE)*Q70</f>
        <v>0</v>
      </c>
      <c r="S70" s="208"/>
      <c r="T70" s="226">
        <f>VLOOKUP($B$48,Índices!$B$6:$F$500,VLOOKUP(T$54,$L$7:$M$9,2,FALSE)+1,FALSE)/VLOOKUP(DATE(YEAR($B70),MONTH($B70)-1,1),Índices!$B$6:$F$500,VLOOKUP(T$54,$L$7:$M$9,2,FALSE)+1,FALSE)*S70</f>
        <v>0</v>
      </c>
      <c r="U70" s="208"/>
      <c r="V70" s="226">
        <f>VLOOKUP($B$48,Índices!$B$6:$F$500,VLOOKUP(V$54,$L$7:$M$9,2,FALSE)+1,FALSE)/VLOOKUP(DATE(YEAR($B70),MONTH($B70)-1,1),Índices!$B$6:$F$500,VLOOKUP(V$54,$L$7:$M$9,2,FALSE)+1,FALSE)*U70</f>
        <v>0</v>
      </c>
      <c r="W70" s="208"/>
      <c r="X70" s="226">
        <f>VLOOKUP($B$48,Índices!$B$6:$F$500,VLOOKUP(X$54,$L$7:$M$9,2,FALSE)+1,FALSE)/VLOOKUP(DATE(YEAR($B70),MONTH($B70)-1,1),Índices!$B$6:$F$500,VLOOKUP(X$54,$L$7:$M$9,2,FALSE)+1,FALSE)*W70</f>
        <v>0</v>
      </c>
      <c r="Y70" s="77"/>
      <c r="Z70" s="77"/>
      <c r="AA70" s="77"/>
      <c r="AB70" s="77"/>
      <c r="AD70" s="209"/>
    </row>
    <row r="71" spans="2:30" ht="14.25">
      <c r="B71" s="271">
        <f t="shared" si="6"/>
        <v>44470</v>
      </c>
      <c r="C71" s="208">
        <f ca="1">Encargos!C34</f>
        <v>0</v>
      </c>
      <c r="D71" s="100">
        <f ca="1">VLOOKUP($B$79,Índices!$B$6:$F$500,VLOOKUP(D$54,$L$7:$M$9,2,FALSE)+1,FALSE)/VLOOKUP(DATE(YEAR($B71),MONTH($B71)-1,1),Índices!$B$6:$F$500,VLOOKUP(D$54,$L$7:$M$9,2,FALSE)+1,FALSE)*C71</f>
        <v>0</v>
      </c>
      <c r="E71" s="208">
        <f ca="1">Encargos!D34</f>
        <v>0</v>
      </c>
      <c r="F71" s="100">
        <f ca="1">VLOOKUP($B$79,Índices!$B$6:$F$500,VLOOKUP(F$54,$L$7:$M$9,2,FALSE)+1,FALSE)/VLOOKUP(DATE(YEAR($B71),MONTH($B71)-1,1),Índices!$B$6:$F$500,VLOOKUP(F$54,$L$7:$M$9,2,FALSE)+1,FALSE)*E71</f>
        <v>0</v>
      </c>
      <c r="G71" s="208">
        <f ca="1">Encargos!E34</f>
        <v>49.442682755318401</v>
      </c>
      <c r="H71" s="226">
        <f ca="1">VLOOKUP($B$48,Índices!$B$6:$F$500,VLOOKUP(H$54,$L$7:$M$9,2,FALSE)+1,FALSE)/VLOOKUP(DATE(YEAR($B71),MONTH($B71)-1,1),Índices!$B$6:$F$500,VLOOKUP(H$54,$L$7:$M$9,2,FALSE)+1,FALSE)*G71</f>
        <v>53.698396164658092</v>
      </c>
      <c r="I71" s="208">
        <f ca="1">Encargos!F34</f>
        <v>2582.4994061434118</v>
      </c>
      <c r="J71" s="226">
        <f ca="1">VLOOKUP($B$48,Índices!$B$6:$F$500,VLOOKUP(J$54,$L$7:$M$9,2,FALSE)+1,FALSE)/VLOOKUP(DATE(YEAR($B71),MONTH($B71)-1,1),Índices!$B$6:$F$500,VLOOKUP(J$54,$L$7:$M$9,2,FALSE)+1,FALSE)*I71</f>
        <v>2804.7846208581032</v>
      </c>
      <c r="K71" s="208">
        <f ca="1">Encargos!L65</f>
        <v>0</v>
      </c>
      <c r="L71" s="226">
        <f ca="1">VLOOKUP($B$48,Índices!$B$6:$F$500,VLOOKUP(L$54,$L$7:$M$9,2,FALSE)+1,FALSE)/VLOOKUP(DATE(YEAR($B71),MONTH($B71)-1,1),Índices!$B$6:$F$500,VLOOKUP(L$54,$L$7:$M$9,2,FALSE)+1,FALSE)*K71</f>
        <v>0</v>
      </c>
      <c r="M71" s="208">
        <f ca="1">Encargos!G34</f>
        <v>446.02142680284669</v>
      </c>
      <c r="N71" s="226">
        <f ca="1">VLOOKUP($B$48,Índices!$B$6:$F$500,VLOOKUP(N$54,$L$7:$M$9,2,FALSE)+1,FALSE)/VLOOKUP(DATE(YEAR($B71),MONTH($B71)-1,1),Índices!$B$6:$F$500,VLOOKUP(N$54,$L$7:$M$9,2,FALSE)+1,FALSE)*M71</f>
        <v>484.41213016114131</v>
      </c>
      <c r="O71" s="208">
        <f ca="1">Encargos!H34</f>
        <v>0</v>
      </c>
      <c r="P71" s="226">
        <f ca="1">VLOOKUP($B$48,Índices!$B$6:$F$500,VLOOKUP(P$54,$L$7:$M$9,2,FALSE)+1,FALSE)/VLOOKUP(DATE(YEAR($B71),MONTH($B71)-1,1),Índices!$B$6:$F$500,VLOOKUP(P$54,$L$7:$M$9,2,FALSE)+1,FALSE)*O71</f>
        <v>0</v>
      </c>
      <c r="Q71" s="208">
        <f ca="1">Encargos!I34</f>
        <v>0</v>
      </c>
      <c r="R71" s="226">
        <f ca="1">VLOOKUP($B$48,Índices!$B$6:$F$500,VLOOKUP(R$54,$L$7:$M$9,2,FALSE)+1,FALSE)/VLOOKUP(DATE(YEAR($B71),MONTH($B71)-1,1),Índices!$B$6:$F$500,VLOOKUP(R$54,$L$7:$M$9,2,FALSE)+1,FALSE)*Q71</f>
        <v>0</v>
      </c>
      <c r="S71" s="208"/>
      <c r="T71" s="226">
        <f>VLOOKUP($B$48,Índices!$B$6:$F$500,VLOOKUP(T$54,$L$7:$M$9,2,FALSE)+1,FALSE)/VLOOKUP(DATE(YEAR($B71),MONTH($B71)-1,1),Índices!$B$6:$F$500,VLOOKUP(T$54,$L$7:$M$9,2,FALSE)+1,FALSE)*S71</f>
        <v>0</v>
      </c>
      <c r="U71" s="208"/>
      <c r="V71" s="226">
        <f>VLOOKUP($B$48,Índices!$B$6:$F$500,VLOOKUP(V$54,$L$7:$M$9,2,FALSE)+1,FALSE)/VLOOKUP(DATE(YEAR($B71),MONTH($B71)-1,1),Índices!$B$6:$F$500,VLOOKUP(V$54,$L$7:$M$9,2,FALSE)+1,FALSE)*U71</f>
        <v>0</v>
      </c>
      <c r="W71" s="208"/>
      <c r="X71" s="226">
        <f>VLOOKUP($B$48,Índices!$B$6:$F$500,VLOOKUP(X$54,$L$7:$M$9,2,FALSE)+1,FALSE)/VLOOKUP(DATE(YEAR($B71),MONTH($B71)-1,1),Índices!$B$6:$F$500,VLOOKUP(X$54,$L$7:$M$9,2,FALSE)+1,FALSE)*W71</f>
        <v>0</v>
      </c>
      <c r="Y71" s="77"/>
      <c r="Z71" s="77"/>
      <c r="AA71" s="77"/>
      <c r="AB71" s="77"/>
      <c r="AD71" s="209"/>
    </row>
    <row r="72" spans="2:30" ht="14.25">
      <c r="B72" s="271">
        <f t="shared" si="6"/>
        <v>44501</v>
      </c>
      <c r="C72" s="208">
        <f ca="1">Encargos!C35</f>
        <v>0</v>
      </c>
      <c r="D72" s="100">
        <f ca="1">VLOOKUP($B$79,Índices!$B$6:$F$500,VLOOKUP(D$54,$L$7:$M$9,2,FALSE)+1,FALSE)/VLOOKUP(DATE(YEAR($B72),MONTH($B72)-1,1),Índices!$B$6:$F$500,VLOOKUP(D$54,$L$7:$M$9,2,FALSE)+1,FALSE)*C72</f>
        <v>0</v>
      </c>
      <c r="E72" s="208">
        <f ca="1">Encargos!D35</f>
        <v>0</v>
      </c>
      <c r="F72" s="100">
        <f ca="1">VLOOKUP($B$79,Índices!$B$6:$F$500,VLOOKUP(F$54,$L$7:$M$9,2,FALSE)+1,FALSE)/VLOOKUP(DATE(YEAR($B72),MONTH($B72)-1,1),Índices!$B$6:$F$500,VLOOKUP(F$54,$L$7:$M$9,2,FALSE)+1,FALSE)*E72</f>
        <v>0</v>
      </c>
      <c r="G72" s="208">
        <f ca="1">Encargos!E35</f>
        <v>162.12737904613414</v>
      </c>
      <c r="H72" s="226">
        <f ca="1">VLOOKUP($B$48,Índices!$B$6:$F$500,VLOOKUP(H$54,$L$7:$M$9,2,FALSE)+1,FALSE)/VLOOKUP(DATE(YEAR($B72),MONTH($B72)-1,1),Índices!$B$6:$F$500,VLOOKUP(H$54,$L$7:$M$9,2,FALSE)+1,FALSE)*G72</f>
        <v>173.90849894990373</v>
      </c>
      <c r="I72" s="208">
        <f ca="1">Encargos!F35</f>
        <v>4293.8016774965799</v>
      </c>
      <c r="J72" s="226">
        <f ca="1">VLOOKUP($B$48,Índices!$B$6:$F$500,VLOOKUP(J$54,$L$7:$M$9,2,FALSE)+1,FALSE)/VLOOKUP(DATE(YEAR($B72),MONTH($B72)-1,1),Índices!$B$6:$F$500,VLOOKUP(J$54,$L$7:$M$9,2,FALSE)+1,FALSE)*I72</f>
        <v>4605.8143227586725</v>
      </c>
      <c r="K72" s="208">
        <f ca="1">Encargos!L66</f>
        <v>0</v>
      </c>
      <c r="L72" s="226">
        <f ca="1">VLOOKUP($B$48,Índices!$B$6:$F$500,VLOOKUP(L$54,$L$7:$M$9,2,FALSE)+1,FALSE)/VLOOKUP(DATE(YEAR($B72),MONTH($B72)-1,1),Índices!$B$6:$F$500,VLOOKUP(L$54,$L$7:$M$9,2,FALSE)+1,FALSE)*K72</f>
        <v>0</v>
      </c>
      <c r="M72" s="208">
        <f ca="1">Encargos!G35</f>
        <v>647.5618772249054</v>
      </c>
      <c r="N72" s="226">
        <f ca="1">VLOOKUP($B$48,Índices!$B$6:$F$500,VLOOKUP(N$54,$L$7:$M$9,2,FALSE)+1,FALSE)/VLOOKUP(DATE(YEAR($B72),MONTH($B72)-1,1),Índices!$B$6:$F$500,VLOOKUP(N$54,$L$7:$M$9,2,FALSE)+1,FALSE)*M72</f>
        <v>694.61749587230156</v>
      </c>
      <c r="O72" s="208">
        <f ca="1">Encargos!H35</f>
        <v>0</v>
      </c>
      <c r="P72" s="226">
        <f ca="1">VLOOKUP($B$48,Índices!$B$6:$F$500,VLOOKUP(P$54,$L$7:$M$9,2,FALSE)+1,FALSE)/VLOOKUP(DATE(YEAR($B72),MONTH($B72)-1,1),Índices!$B$6:$F$500,VLOOKUP(P$54,$L$7:$M$9,2,FALSE)+1,FALSE)*O72</f>
        <v>0</v>
      </c>
      <c r="Q72" s="208">
        <f ca="1">Encargos!I35</f>
        <v>0</v>
      </c>
      <c r="R72" s="226">
        <f ca="1">VLOOKUP($B$48,Índices!$B$6:$F$500,VLOOKUP(R$54,$L$7:$M$9,2,FALSE)+1,FALSE)/VLOOKUP(DATE(YEAR($B72),MONTH($B72)-1,1),Índices!$B$6:$F$500,VLOOKUP(R$54,$L$7:$M$9,2,FALSE)+1,FALSE)*Q72</f>
        <v>0</v>
      </c>
      <c r="S72" s="208"/>
      <c r="T72" s="226">
        <f>VLOOKUP($B$48,Índices!$B$6:$F$500,VLOOKUP(T$54,$L$7:$M$9,2,FALSE)+1,FALSE)/VLOOKUP(DATE(YEAR($B72),MONTH($B72)-1,1),Índices!$B$6:$F$500,VLOOKUP(T$54,$L$7:$M$9,2,FALSE)+1,FALSE)*S72</f>
        <v>0</v>
      </c>
      <c r="U72" s="208"/>
      <c r="V72" s="226">
        <f>VLOOKUP($B$48,Índices!$B$6:$F$500,VLOOKUP(V$54,$L$7:$M$9,2,FALSE)+1,FALSE)/VLOOKUP(DATE(YEAR($B72),MONTH($B72)-1,1),Índices!$B$6:$F$500,VLOOKUP(V$54,$L$7:$M$9,2,FALSE)+1,FALSE)*U72</f>
        <v>0</v>
      </c>
      <c r="W72" s="208"/>
      <c r="X72" s="226">
        <f>VLOOKUP($B$48,Índices!$B$6:$F$500,VLOOKUP(X$54,$L$7:$M$9,2,FALSE)+1,FALSE)/VLOOKUP(DATE(YEAR($B72),MONTH($B72)-1,1),Índices!$B$6:$F$500,VLOOKUP(X$54,$L$7:$M$9,2,FALSE)+1,FALSE)*W72</f>
        <v>0</v>
      </c>
      <c r="Y72" s="77"/>
      <c r="Z72" s="77"/>
      <c r="AA72" s="77"/>
      <c r="AB72" s="77"/>
      <c r="AD72" s="209"/>
    </row>
    <row r="73" spans="2:30" ht="14.25">
      <c r="B73" s="271">
        <f t="shared" si="6"/>
        <v>44531</v>
      </c>
      <c r="C73" s="208">
        <f ca="1">Encargos!C36</f>
        <v>0</v>
      </c>
      <c r="D73" s="100">
        <f ca="1">VLOOKUP($B$79,Índices!$B$6:$F$500,VLOOKUP(D$54,$L$7:$M$9,2,FALSE)+1,FALSE)/VLOOKUP(DATE(YEAR($B73),MONTH($B73)-1,1),Índices!$B$6:$F$500,VLOOKUP(D$54,$L$7:$M$9,2,FALSE)+1,FALSE)*C73</f>
        <v>0</v>
      </c>
      <c r="E73" s="208">
        <f ca="1">Encargos!D36</f>
        <v>0</v>
      </c>
      <c r="F73" s="100">
        <f ca="1">VLOOKUP($B$79,Índices!$B$6:$F$500,VLOOKUP(F$54,$L$7:$M$9,2,FALSE)+1,FALSE)/VLOOKUP(DATE(YEAR($B73),MONTH($B73)-1,1),Índices!$B$6:$F$500,VLOOKUP(F$54,$L$7:$M$9,2,FALSE)+1,FALSE)*E73</f>
        <v>0</v>
      </c>
      <c r="G73" s="208">
        <f ca="1">Encargos!E36</f>
        <v>262.87325353004462</v>
      </c>
      <c r="H73" s="226">
        <f ca="1">VLOOKUP($B$48,Índices!$B$6:$F$500,VLOOKUP(H$54,$L$7:$M$9,2,FALSE)+1,FALSE)/VLOOKUP(DATE(YEAR($B73),MONTH($B73)-1,1),Índices!$B$6:$F$500,VLOOKUP(H$54,$L$7:$M$9,2,FALSE)+1,FALSE)*G73</f>
        <v>279.32140938756567</v>
      </c>
      <c r="I73" s="208">
        <f ca="1">Encargos!F36</f>
        <v>7099.1747773567186</v>
      </c>
      <c r="J73" s="226">
        <f ca="1">VLOOKUP($B$48,Índices!$B$6:$F$500,VLOOKUP(J$54,$L$7:$M$9,2,FALSE)+1,FALSE)/VLOOKUP(DATE(YEAR($B73),MONTH($B73)-1,1),Índices!$B$6:$F$500,VLOOKUP(J$54,$L$7:$M$9,2,FALSE)+1,FALSE)*I73</f>
        <v>7543.3749066193923</v>
      </c>
      <c r="K73" s="208">
        <f ca="1">Encargos!L67</f>
        <v>0</v>
      </c>
      <c r="L73" s="226">
        <f ca="1">VLOOKUP($B$48,Índices!$B$6:$F$500,VLOOKUP(L$54,$L$7:$M$9,2,FALSE)+1,FALSE)/VLOOKUP(DATE(YEAR($B73),MONTH($B73)-1,1),Índices!$B$6:$F$500,VLOOKUP(L$54,$L$7:$M$9,2,FALSE)+1,FALSE)*K73</f>
        <v>0</v>
      </c>
      <c r="M73" s="208">
        <f ca="1">Encargos!G36</f>
        <v>1090.2209355690593</v>
      </c>
      <c r="N73" s="226">
        <f ca="1">VLOOKUP($B$48,Índices!$B$6:$F$500,VLOOKUP(N$54,$L$7:$M$9,2,FALSE)+1,FALSE)/VLOOKUP(DATE(YEAR($B73),MONTH($B73)-1,1),Índices!$B$6:$F$500,VLOOKUP(N$54,$L$7:$M$9,2,FALSE)+1,FALSE)*M73</f>
        <v>1158.4367910300743</v>
      </c>
      <c r="O73" s="208">
        <f ca="1">Encargos!H36</f>
        <v>0</v>
      </c>
      <c r="P73" s="226">
        <f ca="1">VLOOKUP($B$48,Índices!$B$6:$F$500,VLOOKUP(P$54,$L$7:$M$9,2,FALSE)+1,FALSE)/VLOOKUP(DATE(YEAR($B73),MONTH($B73)-1,1),Índices!$B$6:$F$500,VLOOKUP(P$54,$L$7:$M$9,2,FALSE)+1,FALSE)*O73</f>
        <v>0</v>
      </c>
      <c r="Q73" s="208">
        <f ca="1">Encargos!I36</f>
        <v>0</v>
      </c>
      <c r="R73" s="226">
        <f ca="1">VLOOKUP($B$48,Índices!$B$6:$F$500,VLOOKUP(R$54,$L$7:$M$9,2,FALSE)+1,FALSE)/VLOOKUP(DATE(YEAR($B73),MONTH($B73)-1,1),Índices!$B$6:$F$500,VLOOKUP(R$54,$L$7:$M$9,2,FALSE)+1,FALSE)*Q73</f>
        <v>0</v>
      </c>
      <c r="S73" s="208"/>
      <c r="T73" s="226">
        <f>VLOOKUP($B$48,Índices!$B$6:$F$500,VLOOKUP(T$54,$L$7:$M$9,2,FALSE)+1,FALSE)/VLOOKUP(DATE(YEAR($B73),MONTH($B73)-1,1),Índices!$B$6:$F$500,VLOOKUP(T$54,$L$7:$M$9,2,FALSE)+1,FALSE)*S73</f>
        <v>0</v>
      </c>
      <c r="U73" s="208"/>
      <c r="V73" s="226">
        <f>VLOOKUP($B$48,Índices!$B$6:$F$500,VLOOKUP(V$54,$L$7:$M$9,2,FALSE)+1,FALSE)/VLOOKUP(DATE(YEAR($B73),MONTH($B73)-1,1),Índices!$B$6:$F$500,VLOOKUP(V$54,$L$7:$M$9,2,FALSE)+1,FALSE)*U73</f>
        <v>0</v>
      </c>
      <c r="W73" s="208"/>
      <c r="X73" s="226">
        <f>VLOOKUP($B$48,Índices!$B$6:$F$500,VLOOKUP(X$54,$L$7:$M$9,2,FALSE)+1,FALSE)/VLOOKUP(DATE(YEAR($B73),MONTH($B73)-1,1),Índices!$B$6:$F$500,VLOOKUP(X$54,$L$7:$M$9,2,FALSE)+1,FALSE)*W73</f>
        <v>0</v>
      </c>
      <c r="Y73" s="77"/>
      <c r="Z73" s="77"/>
      <c r="AA73" s="77"/>
      <c r="AB73" s="77"/>
      <c r="AD73" s="209"/>
    </row>
    <row r="74" spans="2:30" ht="14.25">
      <c r="B74" s="271">
        <f t="shared" si="6"/>
        <v>44562</v>
      </c>
      <c r="C74" s="208">
        <f ca="1">Encargos!C37</f>
        <v>0</v>
      </c>
      <c r="D74" s="100">
        <f ca="1">VLOOKUP($B$79,Índices!$B$6:$F$500,VLOOKUP(D$54,$L$7:$M$9,2,FALSE)+1,FALSE)/VLOOKUP(DATE(YEAR($B74),MONTH($B74)-1,1),Índices!$B$6:$F$500,VLOOKUP(D$54,$L$7:$M$9,2,FALSE)+1,FALSE)*C74</f>
        <v>0</v>
      </c>
      <c r="E74" s="208">
        <f ca="1">Encargos!D37</f>
        <v>0</v>
      </c>
      <c r="F74" s="100">
        <f ca="1">VLOOKUP($B$79,Índices!$B$6:$F$500,VLOOKUP(F$54,$L$7:$M$9,2,FALSE)+1,FALSE)/VLOOKUP(DATE(YEAR($B74),MONTH($B74)-1,1),Índices!$B$6:$F$500,VLOOKUP(F$54,$L$7:$M$9,2,FALSE)+1,FALSE)*E74</f>
        <v>0</v>
      </c>
      <c r="G74" s="208">
        <f ca="1">Encargos!E37</f>
        <v>-53.457800085321651</v>
      </c>
      <c r="H74" s="226">
        <f ca="1">VLOOKUP($B$48,Índices!$B$6:$F$500,VLOOKUP(H$54,$L$7:$M$9,2,FALSE)+1,FALSE)/VLOOKUP(DATE(YEAR($B74),MONTH($B74)-1,1),Índices!$B$6:$F$500,VLOOKUP(H$54,$L$7:$M$9,2,FALSE)+1,FALSE)*G74</f>
        <v>-56.391059320008331</v>
      </c>
      <c r="I74" s="208">
        <f ca="1">Encargos!F37</f>
        <v>-1715.3134279077931</v>
      </c>
      <c r="J74" s="226">
        <f ca="1">VLOOKUP($B$48,Índices!$B$6:$F$500,VLOOKUP(J$54,$L$7:$M$9,2,FALSE)+1,FALSE)/VLOOKUP(DATE(YEAR($B74),MONTH($B74)-1,1),Índices!$B$6:$F$500,VLOOKUP(J$54,$L$7:$M$9,2,FALSE)+1,FALSE)*I74</f>
        <v>-1809.4336301002159</v>
      </c>
      <c r="K74" s="208">
        <f ca="1">Encargos!L68</f>
        <v>0</v>
      </c>
      <c r="L74" s="226">
        <f ca="1">VLOOKUP($B$48,Índices!$B$6:$F$500,VLOOKUP(L$54,$L$7:$M$9,2,FALSE)+1,FALSE)/VLOOKUP(DATE(YEAR($B74),MONTH($B74)-1,1),Índices!$B$6:$F$500,VLOOKUP(L$54,$L$7:$M$9,2,FALSE)+1,FALSE)*K74</f>
        <v>0</v>
      </c>
      <c r="M74" s="208">
        <f ca="1">Encargos!G37</f>
        <v>-301.86052850037413</v>
      </c>
      <c r="N74" s="226">
        <f ca="1">VLOOKUP($B$48,Índices!$B$6:$F$500,VLOOKUP(N$54,$L$7:$M$9,2,FALSE)+1,FALSE)/VLOOKUP(DATE(YEAR($B74),MONTH($B74)-1,1),Índices!$B$6:$F$500,VLOOKUP(N$54,$L$7:$M$9,2,FALSE)+1,FALSE)*M74</f>
        <v>-318.42378365486832</v>
      </c>
      <c r="O74" s="208">
        <f ca="1">Encargos!H37</f>
        <v>0</v>
      </c>
      <c r="P74" s="226">
        <f ca="1">VLOOKUP($B$48,Índices!$B$6:$F$500,VLOOKUP(P$54,$L$7:$M$9,2,FALSE)+1,FALSE)/VLOOKUP(DATE(YEAR($B74),MONTH($B74)-1,1),Índices!$B$6:$F$500,VLOOKUP(P$54,$L$7:$M$9,2,FALSE)+1,FALSE)*O74</f>
        <v>0</v>
      </c>
      <c r="Q74" s="208">
        <f ca="1">Encargos!I37</f>
        <v>0</v>
      </c>
      <c r="R74" s="226">
        <f ca="1">VLOOKUP($B$48,Índices!$B$6:$F$500,VLOOKUP(R$54,$L$7:$M$9,2,FALSE)+1,FALSE)/VLOOKUP(DATE(YEAR($B74),MONTH($B74)-1,1),Índices!$B$6:$F$500,VLOOKUP(R$54,$L$7:$M$9,2,FALSE)+1,FALSE)*Q74</f>
        <v>0</v>
      </c>
      <c r="S74" s="208"/>
      <c r="T74" s="226">
        <f>VLOOKUP($B$48,Índices!$B$6:$F$500,VLOOKUP(T$54,$L$7:$M$9,2,FALSE)+1,FALSE)/VLOOKUP(DATE(YEAR($B74),MONTH($B74)-1,1),Índices!$B$6:$F$500,VLOOKUP(T$54,$L$7:$M$9,2,FALSE)+1,FALSE)*S74</f>
        <v>0</v>
      </c>
      <c r="U74" s="208"/>
      <c r="V74" s="226">
        <f>VLOOKUP($B$48,Índices!$B$6:$F$500,VLOOKUP(V$54,$L$7:$M$9,2,FALSE)+1,FALSE)/VLOOKUP(DATE(YEAR($B74),MONTH($B74)-1,1),Índices!$B$6:$F$500,VLOOKUP(V$54,$L$7:$M$9,2,FALSE)+1,FALSE)*U74</f>
        <v>0</v>
      </c>
      <c r="W74" s="208"/>
      <c r="X74" s="226">
        <f>VLOOKUP($B$48,Índices!$B$6:$F$500,VLOOKUP(X$54,$L$7:$M$9,2,FALSE)+1,FALSE)/VLOOKUP(DATE(YEAR($B74),MONTH($B74)-1,1),Índices!$B$6:$F$500,VLOOKUP(X$54,$L$7:$M$9,2,FALSE)+1,FALSE)*W74</f>
        <v>0</v>
      </c>
      <c r="Y74" s="77"/>
      <c r="Z74" s="77"/>
      <c r="AA74" s="77"/>
      <c r="AB74" s="77"/>
      <c r="AD74" s="209"/>
    </row>
    <row r="75" spans="2:30" ht="14.25">
      <c r="B75" s="271">
        <f t="shared" si="6"/>
        <v>44593</v>
      </c>
      <c r="C75" s="208">
        <f ca="1">Encargos!C38</f>
        <v>0</v>
      </c>
      <c r="D75" s="100">
        <f ca="1">VLOOKUP($B$79,Índices!$B$6:$F$500,VLOOKUP(D$54,$L$7:$M$9,2,FALSE)+1,FALSE)/VLOOKUP(DATE(YEAR($B75),MONTH($B75)-1,1),Índices!$B$6:$F$500,VLOOKUP(D$54,$L$7:$M$9,2,FALSE)+1,FALSE)*C75</f>
        <v>0</v>
      </c>
      <c r="E75" s="208">
        <f ca="1">Encargos!D38</f>
        <v>0</v>
      </c>
      <c r="F75" s="100">
        <f ca="1">VLOOKUP($B$79,Índices!$B$6:$F$500,VLOOKUP(F$54,$L$7:$M$9,2,FALSE)+1,FALSE)/VLOOKUP(DATE(YEAR($B75),MONTH($B75)-1,1),Índices!$B$6:$F$500,VLOOKUP(F$54,$L$7:$M$9,2,FALSE)+1,FALSE)*E75</f>
        <v>0</v>
      </c>
      <c r="G75" s="208">
        <f ca="1">Encargos!E38</f>
        <v>82.287414881126551</v>
      </c>
      <c r="H75" s="226">
        <f ca="1">VLOOKUP($B$48,Índices!$B$6:$F$500,VLOOKUP(H$54,$L$7:$M$9,2,FALSE)+1,FALSE)/VLOOKUP(DATE(YEAR($B75),MONTH($B75)-1,1),Índices!$B$6:$F$500,VLOOKUP(H$54,$L$7:$M$9,2,FALSE)+1,FALSE)*G75</f>
        <v>86.336329772572938</v>
      </c>
      <c r="I75" s="208">
        <f ca="1">Encargos!F38</f>
        <v>1210.2377110200905</v>
      </c>
      <c r="J75" s="226">
        <f ca="1">VLOOKUP($B$48,Índices!$B$6:$F$500,VLOOKUP(J$54,$L$7:$M$9,2,FALSE)+1,FALSE)/VLOOKUP(DATE(YEAR($B75),MONTH($B75)-1,1),Índices!$B$6:$F$500,VLOOKUP(J$54,$L$7:$M$9,2,FALSE)+1,FALSE)*I75</f>
        <v>1269.7869081533102</v>
      </c>
      <c r="K75" s="208">
        <f ca="1">Encargos!L69</f>
        <v>0</v>
      </c>
      <c r="L75" s="226">
        <f ca="1">VLOOKUP($B$48,Índices!$B$6:$F$500,VLOOKUP(L$54,$L$7:$M$9,2,FALSE)+1,FALSE)/VLOOKUP(DATE(YEAR($B75),MONTH($B75)-1,1),Índices!$B$6:$F$500,VLOOKUP(L$54,$L$7:$M$9,2,FALSE)+1,FALSE)*K75</f>
        <v>0</v>
      </c>
      <c r="M75" s="208">
        <f ca="1">Encargos!G38</f>
        <v>89.741974658167237</v>
      </c>
      <c r="N75" s="226">
        <f ca="1">VLOOKUP($B$48,Índices!$B$6:$F$500,VLOOKUP(N$54,$L$7:$M$9,2,FALSE)+1,FALSE)/VLOOKUP(DATE(YEAR($B75),MONTH($B75)-1,1),Índices!$B$6:$F$500,VLOOKUP(N$54,$L$7:$M$9,2,FALSE)+1,FALSE)*M75</f>
        <v>94.157687779136822</v>
      </c>
      <c r="O75" s="208">
        <f ca="1">Encargos!H38</f>
        <v>0</v>
      </c>
      <c r="P75" s="226">
        <f ca="1">VLOOKUP($B$48,Índices!$B$6:$F$500,VLOOKUP(P$54,$L$7:$M$9,2,FALSE)+1,FALSE)/VLOOKUP(DATE(YEAR($B75),MONTH($B75)-1,1),Índices!$B$6:$F$500,VLOOKUP(P$54,$L$7:$M$9,2,FALSE)+1,FALSE)*O75</f>
        <v>0</v>
      </c>
      <c r="Q75" s="208">
        <f ca="1">Encargos!I38</f>
        <v>0</v>
      </c>
      <c r="R75" s="226">
        <f ca="1">VLOOKUP($B$48,Índices!$B$6:$F$500,VLOOKUP(R$54,$L$7:$M$9,2,FALSE)+1,FALSE)/VLOOKUP(DATE(YEAR($B75),MONTH($B75)-1,1),Índices!$B$6:$F$500,VLOOKUP(R$54,$L$7:$M$9,2,FALSE)+1,FALSE)*Q75</f>
        <v>0</v>
      </c>
      <c r="S75" s="208"/>
      <c r="T75" s="226">
        <f>VLOOKUP($B$48,Índices!$B$6:$F$500,VLOOKUP(T$54,$L$7:$M$9,2,FALSE)+1,FALSE)/VLOOKUP(DATE(YEAR($B75),MONTH($B75)-1,1),Índices!$B$6:$F$500,VLOOKUP(T$54,$L$7:$M$9,2,FALSE)+1,FALSE)*S75</f>
        <v>0</v>
      </c>
      <c r="U75" s="208"/>
      <c r="V75" s="226">
        <f>VLOOKUP($B$48,Índices!$B$6:$F$500,VLOOKUP(V$54,$L$7:$M$9,2,FALSE)+1,FALSE)/VLOOKUP(DATE(YEAR($B75),MONTH($B75)-1,1),Índices!$B$6:$F$500,VLOOKUP(V$54,$L$7:$M$9,2,FALSE)+1,FALSE)*U75</f>
        <v>0</v>
      </c>
      <c r="W75" s="208"/>
      <c r="X75" s="226">
        <f>VLOOKUP($B$48,Índices!$B$6:$F$500,VLOOKUP(X$54,$L$7:$M$9,2,FALSE)+1,FALSE)/VLOOKUP(DATE(YEAR($B75),MONTH($B75)-1,1),Índices!$B$6:$F$500,VLOOKUP(X$54,$L$7:$M$9,2,FALSE)+1,FALSE)*W75</f>
        <v>0</v>
      </c>
      <c r="Y75" s="77"/>
      <c r="Z75" s="77"/>
      <c r="AA75" s="77"/>
      <c r="AB75" s="77"/>
      <c r="AD75" s="209"/>
    </row>
    <row r="76" spans="2:30" ht="14.25">
      <c r="B76" s="271">
        <f t="shared" si="6"/>
        <v>44621</v>
      </c>
      <c r="C76" s="208">
        <f ca="1">Encargos!C39</f>
        <v>0</v>
      </c>
      <c r="D76" s="100">
        <f ca="1">VLOOKUP($B$79,Índices!$B$6:$F$500,VLOOKUP(D$54,$L$7:$M$9,2,FALSE)+1,FALSE)/VLOOKUP(DATE(YEAR($B76),MONTH($B76)-1,1),Índices!$B$6:$F$500,VLOOKUP(D$54,$L$7:$M$9,2,FALSE)+1,FALSE)*C76</f>
        <v>0</v>
      </c>
      <c r="E76" s="208">
        <f ca="1">Encargos!D39</f>
        <v>0</v>
      </c>
      <c r="F76" s="100">
        <f ca="1">VLOOKUP($B$79,Índices!$B$6:$F$500,VLOOKUP(F$54,$L$7:$M$9,2,FALSE)+1,FALSE)/VLOOKUP(DATE(YEAR($B76),MONTH($B76)-1,1),Índices!$B$6:$F$500,VLOOKUP(F$54,$L$7:$M$9,2,FALSE)+1,FALSE)*E76</f>
        <v>0</v>
      </c>
      <c r="G76" s="208">
        <f ca="1">Encargos!E39</f>
        <v>128.3930245842862</v>
      </c>
      <c r="H76" s="226">
        <f ca="1">VLOOKUP($B$48,Índices!$B$6:$F$500,VLOOKUP(H$54,$L$7:$M$9,2,FALSE)+1,FALSE)/VLOOKUP(DATE(YEAR($B76),MONTH($B76)-1,1),Índices!$B$6:$F$500,VLOOKUP(H$54,$L$7:$M$9,2,FALSE)+1,FALSE)*G76</f>
        <v>133.36349163708306</v>
      </c>
      <c r="I76" s="208">
        <f ca="1">Encargos!F39</f>
        <v>2511.3854191487335</v>
      </c>
      <c r="J76" s="226">
        <f ca="1">VLOOKUP($B$48,Índices!$B$6:$F$500,VLOOKUP(J$54,$L$7:$M$9,2,FALSE)+1,FALSE)/VLOOKUP(DATE(YEAR($B76),MONTH($B76)-1,1),Índices!$B$6:$F$500,VLOOKUP(J$54,$L$7:$M$9,2,FALSE)+1,FALSE)*I76</f>
        <v>2608.608446047353</v>
      </c>
      <c r="K76" s="208">
        <f ca="1">Encargos!L70</f>
        <v>0</v>
      </c>
      <c r="L76" s="226">
        <f ca="1">VLOOKUP($B$48,Índices!$B$6:$F$500,VLOOKUP(L$54,$L$7:$M$9,2,FALSE)+1,FALSE)/VLOOKUP(DATE(YEAR($B76),MONTH($B76)-1,1),Índices!$B$6:$F$500,VLOOKUP(L$54,$L$7:$M$9,2,FALSE)+1,FALSE)*K76</f>
        <v>0</v>
      </c>
      <c r="M76" s="208">
        <f ca="1">Encargos!G39</f>
        <v>214.62250218733243</v>
      </c>
      <c r="N76" s="226">
        <f ca="1">VLOOKUP($B$48,Índices!$B$6:$F$500,VLOOKUP(N$54,$L$7:$M$9,2,FALSE)+1,FALSE)/VLOOKUP(DATE(YEAR($B76),MONTH($B76)-1,1),Índices!$B$6:$F$500,VLOOKUP(N$54,$L$7:$M$9,2,FALSE)+1,FALSE)*M76</f>
        <v>222.93116287481902</v>
      </c>
      <c r="O76" s="208">
        <f ca="1">Encargos!H39</f>
        <v>0</v>
      </c>
      <c r="P76" s="226">
        <f ca="1">VLOOKUP($B$48,Índices!$B$6:$F$500,VLOOKUP(P$54,$L$7:$M$9,2,FALSE)+1,FALSE)/VLOOKUP(DATE(YEAR($B76),MONTH($B76)-1,1),Índices!$B$6:$F$500,VLOOKUP(P$54,$L$7:$M$9,2,FALSE)+1,FALSE)*O76</f>
        <v>0</v>
      </c>
      <c r="Q76" s="208">
        <f ca="1">Encargos!I39</f>
        <v>0</v>
      </c>
      <c r="R76" s="226">
        <f ca="1">VLOOKUP($B$48,Índices!$B$6:$F$500,VLOOKUP(R$54,$L$7:$M$9,2,FALSE)+1,FALSE)/VLOOKUP(DATE(YEAR($B76),MONTH($B76)-1,1),Índices!$B$6:$F$500,VLOOKUP(R$54,$L$7:$M$9,2,FALSE)+1,FALSE)*Q76</f>
        <v>0</v>
      </c>
      <c r="S76" s="208"/>
      <c r="T76" s="226">
        <f>VLOOKUP($B$48,Índices!$B$6:$F$500,VLOOKUP(T$54,$L$7:$M$9,2,FALSE)+1,FALSE)/VLOOKUP(DATE(YEAR($B76),MONTH($B76)-1,1),Índices!$B$6:$F$500,VLOOKUP(T$54,$L$7:$M$9,2,FALSE)+1,FALSE)*S76</f>
        <v>0</v>
      </c>
      <c r="U76" s="208"/>
      <c r="V76" s="226">
        <f>VLOOKUP($B$48,Índices!$B$6:$F$500,VLOOKUP(V$54,$L$7:$M$9,2,FALSE)+1,FALSE)/VLOOKUP(DATE(YEAR($B76),MONTH($B76)-1,1),Índices!$B$6:$F$500,VLOOKUP(V$54,$L$7:$M$9,2,FALSE)+1,FALSE)*U76</f>
        <v>0</v>
      </c>
      <c r="W76" s="208"/>
      <c r="X76" s="226">
        <f>VLOOKUP($B$48,Índices!$B$6:$F$500,VLOOKUP(X$54,$L$7:$M$9,2,FALSE)+1,FALSE)/VLOOKUP(DATE(YEAR($B76),MONTH($B76)-1,1),Índices!$B$6:$F$500,VLOOKUP(X$54,$L$7:$M$9,2,FALSE)+1,FALSE)*W76</f>
        <v>0</v>
      </c>
      <c r="Y76" s="77"/>
      <c r="Z76" s="77"/>
      <c r="AA76" s="77"/>
      <c r="AB76" s="77"/>
      <c r="AD76" s="209"/>
    </row>
    <row r="77" spans="2:30" ht="14.25">
      <c r="B77" s="271">
        <f t="shared" si="6"/>
        <v>44652</v>
      </c>
      <c r="C77" s="208">
        <f ca="1">Encargos!C40</f>
        <v>0</v>
      </c>
      <c r="D77" s="100">
        <f ca="1">VLOOKUP($B$79,Índices!$B$6:$F$500,VLOOKUP(D$54,$L$7:$M$9,2,FALSE)+1,FALSE)/VLOOKUP(DATE(YEAR($B77),MONTH($B77)-1,1),Índices!$B$6:$F$500,VLOOKUP(D$54,$L$7:$M$9,2,FALSE)+1,FALSE)*C77</f>
        <v>0</v>
      </c>
      <c r="E77" s="208">
        <f ca="1">Encargos!D40</f>
        <v>0</v>
      </c>
      <c r="F77" s="100">
        <f ca="1">VLOOKUP($B$79,Índices!$B$6:$F$500,VLOOKUP(F$54,$L$7:$M$9,2,FALSE)+1,FALSE)/VLOOKUP(DATE(YEAR($B77),MONTH($B77)-1,1),Índices!$B$6:$F$500,VLOOKUP(F$54,$L$7:$M$9,2,FALSE)+1,FALSE)*E77</f>
        <v>0</v>
      </c>
      <c r="G77" s="208">
        <f ca="1">Encargos!E40</f>
        <v>29.64886220467497</v>
      </c>
      <c r="H77" s="226">
        <f ca="1">VLOOKUP($B$48,Índices!$B$6:$F$500,VLOOKUP(H$54,$L$7:$M$9,2,FALSE)+1,FALSE)/VLOOKUP(DATE(YEAR($B77),MONTH($B77)-1,1),Índices!$B$6:$F$500,VLOOKUP(H$54,$L$7:$M$9,2,FALSE)+1,FALSE)*G77</f>
        <v>30.305688483572634</v>
      </c>
      <c r="I77" s="208">
        <f ca="1">Encargos!F40</f>
        <v>3119.8965625513229</v>
      </c>
      <c r="J77" s="226">
        <f ca="1">VLOOKUP($B$48,Índices!$B$6:$F$500,VLOOKUP(J$54,$L$7:$M$9,2,FALSE)+1,FALSE)/VLOOKUP(DATE(YEAR($B77),MONTH($B77)-1,1),Índices!$B$6:$F$500,VLOOKUP(J$54,$L$7:$M$9,2,FALSE)+1,FALSE)*I77</f>
        <v>3189.0132131526088</v>
      </c>
      <c r="K77" s="208">
        <f ca="1">Encargos!L71</f>
        <v>0</v>
      </c>
      <c r="L77" s="226">
        <f ca="1">VLOOKUP($B$48,Índices!$B$6:$F$500,VLOOKUP(L$54,$L$7:$M$9,2,FALSE)+1,FALSE)/VLOOKUP(DATE(YEAR($B77),MONTH($B77)-1,1),Índices!$B$6:$F$500,VLOOKUP(L$54,$L$7:$M$9,2,FALSE)+1,FALSE)*K77</f>
        <v>0</v>
      </c>
      <c r="M77" s="208">
        <f ca="1">Encargos!G40</f>
        <v>362.22085906298344</v>
      </c>
      <c r="N77" s="226">
        <f ca="1">VLOOKUP($B$48,Índices!$B$6:$F$500,VLOOKUP(N$54,$L$7:$M$9,2,FALSE)+1,FALSE)/VLOOKUP(DATE(YEAR($B77),MONTH($B77)-1,1),Índices!$B$6:$F$500,VLOOKUP(N$54,$L$7:$M$9,2,FALSE)+1,FALSE)*M77</f>
        <v>370.24532143037709</v>
      </c>
      <c r="O77" s="208">
        <f ca="1">Encargos!H40</f>
        <v>0</v>
      </c>
      <c r="P77" s="226">
        <f ca="1">VLOOKUP($B$48,Índices!$B$6:$F$500,VLOOKUP(P$54,$L$7:$M$9,2,FALSE)+1,FALSE)/VLOOKUP(DATE(YEAR($B77),MONTH($B77)-1,1),Índices!$B$6:$F$500,VLOOKUP(P$54,$L$7:$M$9,2,FALSE)+1,FALSE)*O77</f>
        <v>0</v>
      </c>
      <c r="Q77" s="208">
        <f ca="1">Encargos!I40</f>
        <v>0</v>
      </c>
      <c r="R77" s="226">
        <f ca="1">VLOOKUP($B$48,Índices!$B$6:$F$500,VLOOKUP(R$54,$L$7:$M$9,2,FALSE)+1,FALSE)/VLOOKUP(DATE(YEAR($B77),MONTH($B77)-1,1),Índices!$B$6:$F$500,VLOOKUP(R$54,$L$7:$M$9,2,FALSE)+1,FALSE)*Q77</f>
        <v>0</v>
      </c>
      <c r="S77" s="208"/>
      <c r="T77" s="226">
        <f>VLOOKUP($B$48,Índices!$B$6:$F$500,VLOOKUP(T$54,$L$7:$M$9,2,FALSE)+1,FALSE)/VLOOKUP(DATE(YEAR($B77),MONTH($B77)-1,1),Índices!$B$6:$F$500,VLOOKUP(T$54,$L$7:$M$9,2,FALSE)+1,FALSE)*S77</f>
        <v>0</v>
      </c>
      <c r="U77" s="208"/>
      <c r="V77" s="226">
        <f>VLOOKUP($B$48,Índices!$B$6:$F$500,VLOOKUP(V$54,$L$7:$M$9,2,FALSE)+1,FALSE)/VLOOKUP(DATE(YEAR($B77),MONTH($B77)-1,1),Índices!$B$6:$F$500,VLOOKUP(V$54,$L$7:$M$9,2,FALSE)+1,FALSE)*U77</f>
        <v>0</v>
      </c>
      <c r="W77" s="208"/>
      <c r="X77" s="226">
        <f>VLOOKUP($B$48,Índices!$B$6:$F$500,VLOOKUP(X$54,$L$7:$M$9,2,FALSE)+1,FALSE)/VLOOKUP(DATE(YEAR($B77),MONTH($B77)-1,1),Índices!$B$6:$F$500,VLOOKUP(X$54,$L$7:$M$9,2,FALSE)+1,FALSE)*W77</f>
        <v>0</v>
      </c>
      <c r="Y77" s="77"/>
      <c r="Z77" s="77"/>
      <c r="AA77" s="77"/>
      <c r="AB77" s="77"/>
      <c r="AD77" s="209"/>
    </row>
    <row r="78" spans="2:30" ht="14.25">
      <c r="B78" s="271">
        <f t="shared" si="6"/>
        <v>44682</v>
      </c>
      <c r="C78" s="208">
        <f ca="1">Encargos!C41</f>
        <v>0</v>
      </c>
      <c r="D78" s="100">
        <f ca="1">VLOOKUP($B$79,Índices!$B$6:$F$500,VLOOKUP(D$54,$L$7:$M$9,2,FALSE)+1,FALSE)/VLOOKUP(DATE(YEAR($B78),MONTH($B78)-1,1),Índices!$B$6:$F$500,VLOOKUP(D$54,$L$7:$M$9,2,FALSE)+1,FALSE)*C78</f>
        <v>0</v>
      </c>
      <c r="E78" s="208">
        <f ca="1">Encargos!D41</f>
        <v>0</v>
      </c>
      <c r="F78" s="100">
        <f ca="1">VLOOKUP($B$79,Índices!$B$6:$F$500,VLOOKUP(F$54,$L$7:$M$9,2,FALSE)+1,FALSE)/VLOOKUP(DATE(YEAR($B78),MONTH($B78)-1,1),Índices!$B$6:$F$500,VLOOKUP(F$54,$L$7:$M$9,2,FALSE)+1,FALSE)*E78</f>
        <v>0</v>
      </c>
      <c r="G78" s="208">
        <f ca="1">Encargos!E41</f>
        <v>211.289256781728</v>
      </c>
      <c r="H78" s="226">
        <f ca="1">VLOOKUP($B$48,Índices!$B$6:$F$500,VLOOKUP(H$54,$L$7:$M$9,2,FALSE)+1,FALSE)/VLOOKUP(DATE(YEAR($B78),MONTH($B78)-1,1),Índices!$B$6:$F$500,VLOOKUP(H$54,$L$7:$M$9,2,FALSE)+1,FALSE)*G78</f>
        <v>213.70474588184624</v>
      </c>
      <c r="I78" s="208">
        <f ca="1">Encargos!F41</f>
        <v>8126.5039836061333</v>
      </c>
      <c r="J78" s="226">
        <f ca="1">VLOOKUP($B$48,Índices!$B$6:$F$500,VLOOKUP(J$54,$L$7:$M$9,2,FALSE)+1,FALSE)/VLOOKUP(DATE(YEAR($B78),MONTH($B78)-1,1),Índices!$B$6:$F$500,VLOOKUP(J$54,$L$7:$M$9,2,FALSE)+1,FALSE)*I78</f>
        <v>8219.4073431685465</v>
      </c>
      <c r="K78" s="208">
        <f ca="1">Encargos!L72</f>
        <v>0</v>
      </c>
      <c r="L78" s="226">
        <f ca="1">VLOOKUP($B$48,Índices!$B$6:$F$500,VLOOKUP(L$54,$L$7:$M$9,2,FALSE)+1,FALSE)/VLOOKUP(DATE(YEAR($B78),MONTH($B78)-1,1),Índices!$B$6:$F$500,VLOOKUP(L$54,$L$7:$M$9,2,FALSE)+1,FALSE)*K78</f>
        <v>0</v>
      </c>
      <c r="M78" s="208">
        <f ca="1">Encargos!G41</f>
        <v>1141.9192987141414</v>
      </c>
      <c r="N78" s="226">
        <f ca="1">VLOOKUP($B$48,Índices!$B$6:$F$500,VLOOKUP(N$54,$L$7:$M$9,2,FALSE)+1,FALSE)/VLOOKUP(DATE(YEAR($B78),MONTH($B78)-1,1),Índices!$B$6:$F$500,VLOOKUP(N$54,$L$7:$M$9,2,FALSE)+1,FALSE)*M78</f>
        <v>1154.9738839839836</v>
      </c>
      <c r="O78" s="208">
        <f ca="1">Encargos!H41</f>
        <v>0</v>
      </c>
      <c r="P78" s="226">
        <f ca="1">VLOOKUP($B$48,Índices!$B$6:$F$500,VLOOKUP(P$54,$L$7:$M$9,2,FALSE)+1,FALSE)/VLOOKUP(DATE(YEAR($B78),MONTH($B78)-1,1),Índices!$B$6:$F$500,VLOOKUP(P$54,$L$7:$M$9,2,FALSE)+1,FALSE)*O78</f>
        <v>0</v>
      </c>
      <c r="Q78" s="208">
        <f ca="1">Encargos!I41</f>
        <v>0</v>
      </c>
      <c r="R78" s="226">
        <f ca="1">VLOOKUP($B$48,Índices!$B$6:$F$500,VLOOKUP(R$54,$L$7:$M$9,2,FALSE)+1,FALSE)/VLOOKUP(DATE(YEAR($B78),MONTH($B78)-1,1),Índices!$B$6:$F$500,VLOOKUP(R$54,$L$7:$M$9,2,FALSE)+1,FALSE)*Q78</f>
        <v>0</v>
      </c>
      <c r="S78" s="208"/>
      <c r="T78" s="226">
        <f>VLOOKUP($B$48,Índices!$B$6:$F$500,VLOOKUP(T$54,$L$7:$M$9,2,FALSE)+1,FALSE)/VLOOKUP(DATE(YEAR($B78),MONTH($B78)-1,1),Índices!$B$6:$F$500,VLOOKUP(T$54,$L$7:$M$9,2,FALSE)+1,FALSE)*S78</f>
        <v>0</v>
      </c>
      <c r="U78" s="208"/>
      <c r="V78" s="226">
        <f>VLOOKUP($B$48,Índices!$B$6:$F$500,VLOOKUP(V$54,$L$7:$M$9,2,FALSE)+1,FALSE)/VLOOKUP(DATE(YEAR($B78),MONTH($B78)-1,1),Índices!$B$6:$F$500,VLOOKUP(V$54,$L$7:$M$9,2,FALSE)+1,FALSE)*U78</f>
        <v>0</v>
      </c>
      <c r="W78" s="208"/>
      <c r="X78" s="226">
        <f>VLOOKUP($B$48,Índices!$B$6:$F$500,VLOOKUP(X$54,$L$7:$M$9,2,FALSE)+1,FALSE)/VLOOKUP(DATE(YEAR($B78),MONTH($B78)-1,1),Índices!$B$6:$F$500,VLOOKUP(X$54,$L$7:$M$9,2,FALSE)+1,FALSE)*W78</f>
        <v>0</v>
      </c>
      <c r="Y78" s="77"/>
      <c r="Z78" s="77"/>
      <c r="AA78" s="77"/>
      <c r="AB78" s="77"/>
      <c r="AD78" s="209"/>
    </row>
    <row r="79" spans="2:30" ht="14.25">
      <c r="B79" s="271">
        <f t="shared" si="6"/>
        <v>44713</v>
      </c>
      <c r="C79" s="208">
        <f ca="1">Encargos!C42</f>
        <v>0</v>
      </c>
      <c r="D79" s="100">
        <f ca="1">VLOOKUP($B$79,Índices!$B$6:$F$500,VLOOKUP(D$54,$L$7:$M$9,2,FALSE)+1,FALSE)/VLOOKUP(DATE(YEAR($B79),MONTH($B79)-1,1),Índices!$B$6:$F$500,VLOOKUP(D$54,$L$7:$M$9,2,FALSE)+1,FALSE)*C79</f>
        <v>0</v>
      </c>
      <c r="E79" s="208">
        <f ca="1">Encargos!D42</f>
        <v>0</v>
      </c>
      <c r="F79" s="100">
        <f ca="1">VLOOKUP($B$79,Índices!$B$6:$F$500,VLOOKUP(F$54,$L$7:$M$9,2,FALSE)+1,FALSE)/VLOOKUP(DATE(YEAR($B79),MONTH($B79)-1,1),Índices!$B$6:$F$500,VLOOKUP(F$54,$L$7:$M$9,2,FALSE)+1,FALSE)*E79</f>
        <v>0</v>
      </c>
      <c r="G79" s="208">
        <f ca="1">Encargos!E42</f>
        <v>79.237438003662646</v>
      </c>
      <c r="H79" s="226">
        <f ca="1">VLOOKUP($B$48,Índices!$B$6:$F$500,VLOOKUP(H$54,$L$7:$M$9,2,FALSE)+1,FALSE)/VLOOKUP(DATE(YEAR($B79),MONTH($B79)-1,1),Índices!$B$6:$F$500,VLOOKUP(H$54,$L$7:$M$9,2,FALSE)+1,FALSE)*G79</f>
        <v>79.768374604849228</v>
      </c>
      <c r="I79" s="208">
        <f ca="1">Encargos!F42</f>
        <v>5608.2796318540204</v>
      </c>
      <c r="J79" s="226">
        <f ca="1">VLOOKUP($B$48,Índices!$B$6:$F$500,VLOOKUP(J$54,$L$7:$M$9,2,FALSE)+1,FALSE)/VLOOKUP(DATE(YEAR($B79),MONTH($B79)-1,1),Índices!$B$6:$F$500,VLOOKUP(J$54,$L$7:$M$9,2,FALSE)+1,FALSE)*I79</f>
        <v>5645.8583446602433</v>
      </c>
      <c r="K79" s="208">
        <f ca="1">Encargos!L73</f>
        <v>0</v>
      </c>
      <c r="L79" s="226">
        <f ca="1">VLOOKUP($B$48,Índices!$B$6:$F$500,VLOOKUP(L$54,$L$7:$M$9,2,FALSE)+1,FALSE)/VLOOKUP(DATE(YEAR($B79),MONTH($B79)-1,1),Índices!$B$6:$F$500,VLOOKUP(L$54,$L$7:$M$9,2,FALSE)+1,FALSE)*K79</f>
        <v>0</v>
      </c>
      <c r="M79" s="208">
        <f ca="1">Encargos!G42</f>
        <v>770.19159037968166</v>
      </c>
      <c r="N79" s="226">
        <f ca="1">VLOOKUP($B$48,Índices!$B$6:$F$500,VLOOKUP(N$54,$L$7:$M$9,2,FALSE)+1,FALSE)/VLOOKUP(DATE(YEAR($B79),MONTH($B79)-1,1),Índices!$B$6:$F$500,VLOOKUP(N$54,$L$7:$M$9,2,FALSE)+1,FALSE)*M79</f>
        <v>775.35231888834164</v>
      </c>
      <c r="O79" s="208">
        <f ca="1">Encargos!H42</f>
        <v>0</v>
      </c>
      <c r="P79" s="226">
        <f ca="1">VLOOKUP($B$48,Índices!$B$6:$F$500,VLOOKUP(P$54,$L$7:$M$9,2,FALSE)+1,FALSE)/VLOOKUP(DATE(YEAR($B79),MONTH($B79)-1,1),Índices!$B$6:$F$500,VLOOKUP(P$54,$L$7:$M$9,2,FALSE)+1,FALSE)*O79</f>
        <v>0</v>
      </c>
      <c r="Q79" s="208">
        <f ca="1">Encargos!I42</f>
        <v>0</v>
      </c>
      <c r="R79" s="226">
        <f ca="1">VLOOKUP($B$48,Índices!$B$6:$F$500,VLOOKUP(R$54,$L$7:$M$9,2,FALSE)+1,FALSE)/VLOOKUP(DATE(YEAR($B79),MONTH($B79)-1,1),Índices!$B$6:$F$500,VLOOKUP(R$54,$L$7:$M$9,2,FALSE)+1,FALSE)*Q79</f>
        <v>0</v>
      </c>
      <c r="S79" s="208"/>
      <c r="T79" s="226">
        <f>VLOOKUP($B$48,Índices!$B$6:$F$500,VLOOKUP(T$54,$L$7:$M$9,2,FALSE)+1,FALSE)/VLOOKUP(DATE(YEAR($B79),MONTH($B79)-1,1),Índices!$B$6:$F$500,VLOOKUP(T$54,$L$7:$M$9,2,FALSE)+1,FALSE)*S79</f>
        <v>0</v>
      </c>
      <c r="U79" s="208"/>
      <c r="V79" s="226">
        <f>VLOOKUP($B$48,Índices!$B$6:$F$500,VLOOKUP(V$54,$L$7:$M$9,2,FALSE)+1,FALSE)/VLOOKUP(DATE(YEAR($B79),MONTH($B79)-1,1),Índices!$B$6:$F$500,VLOOKUP(V$54,$L$7:$M$9,2,FALSE)+1,FALSE)*U79</f>
        <v>0</v>
      </c>
      <c r="W79" s="208"/>
      <c r="X79" s="226">
        <f>VLOOKUP($B$48,Índices!$B$6:$F$500,VLOOKUP(X$54,$L$7:$M$9,2,FALSE)+1,FALSE)/VLOOKUP(DATE(YEAR($B79),MONTH($B79)-1,1),Índices!$B$6:$F$500,VLOOKUP(X$54,$L$7:$M$9,2,FALSE)+1,FALSE)*W79</f>
        <v>0</v>
      </c>
      <c r="Y79" s="77"/>
      <c r="Z79" s="77"/>
      <c r="AA79" s="77"/>
      <c r="AB79" s="77"/>
      <c r="AD79" s="209"/>
    </row>
    <row r="80" spans="2:30" ht="14.25">
      <c r="C80" s="1457">
        <f ca="1">SUM(C56:C79)</f>
        <v>0</v>
      </c>
      <c r="D80" s="1458">
        <f ca="1">SUM(D56:D79)</f>
        <v>0</v>
      </c>
      <c r="E80" s="1457">
        <f ca="1">SUM(E56:E79)</f>
        <v>0</v>
      </c>
      <c r="F80" s="1458">
        <f ca="1">SUM(F56:F79)</f>
        <v>0</v>
      </c>
      <c r="G80" s="1457">
        <f ca="1">SUM(G55:G79)</f>
        <v>1244.042122967101</v>
      </c>
      <c r="H80" s="1457">
        <f t="shared" ref="H80:N80" ca="1" si="7">SUM(H55:H79)</f>
        <v>1320.0697366684942</v>
      </c>
      <c r="I80" s="1457">
        <f t="shared" ca="1" si="7"/>
        <v>40926.707517826362</v>
      </c>
      <c r="J80" s="1457">
        <f t="shared" ca="1" si="7"/>
        <v>43111.948945576783</v>
      </c>
      <c r="K80" s="1457">
        <f t="shared" ca="1" si="7"/>
        <v>0</v>
      </c>
      <c r="L80" s="1457">
        <f t="shared" ca="1" si="7"/>
        <v>0</v>
      </c>
      <c r="M80" s="1457">
        <f t="shared" ca="1" si="7"/>
        <v>5709.6393122522586</v>
      </c>
      <c r="N80" s="1457">
        <f t="shared" ca="1" si="7"/>
        <v>6031.9928132301266</v>
      </c>
      <c r="O80" s="1457">
        <f t="shared" ref="O80:R80" ca="1" si="8">SUM(O55:O79)</f>
        <v>0</v>
      </c>
      <c r="P80" s="1457">
        <f t="shared" ca="1" si="8"/>
        <v>0</v>
      </c>
      <c r="Q80" s="1457">
        <f t="shared" ca="1" si="8"/>
        <v>0</v>
      </c>
      <c r="R80" s="1457">
        <f t="shared" ca="1" si="8"/>
        <v>0</v>
      </c>
      <c r="S80" s="1457">
        <f t="shared" ref="S80:X80" si="9">SUM(S55:S79)</f>
        <v>0</v>
      </c>
      <c r="T80" s="1457">
        <f t="shared" si="9"/>
        <v>0</v>
      </c>
      <c r="U80" s="1457">
        <f t="shared" si="9"/>
        <v>0</v>
      </c>
      <c r="V80" s="1460">
        <f t="shared" si="9"/>
        <v>0</v>
      </c>
      <c r="W80" s="1457">
        <f t="shared" si="9"/>
        <v>0</v>
      </c>
      <c r="X80" s="1460">
        <f t="shared" si="9"/>
        <v>0</v>
      </c>
      <c r="Y80" s="77"/>
      <c r="Z80" s="77"/>
      <c r="AA80" s="77"/>
      <c r="AB80" s="77"/>
      <c r="AD80" s="209"/>
    </row>
    <row r="81" spans="8:24" ht="14.25">
      <c r="H81" s="77"/>
      <c r="I81" s="77"/>
      <c r="J81" s="77"/>
      <c r="K81" s="77"/>
      <c r="L81" s="77"/>
      <c r="M81" s="77"/>
      <c r="N81" s="77"/>
      <c r="O81" s="77"/>
      <c r="P81" s="77"/>
      <c r="S81" s="77"/>
      <c r="T81" s="77"/>
      <c r="U81" s="77"/>
      <c r="V81" s="77"/>
      <c r="W81" s="77"/>
      <c r="X81" s="77"/>
    </row>
    <row r="82" spans="8:24" ht="14.25">
      <c r="H82" s="77"/>
      <c r="I82" s="77"/>
      <c r="J82" s="77"/>
      <c r="K82" s="77"/>
      <c r="L82" s="77"/>
      <c r="M82" s="77"/>
      <c r="N82" s="77"/>
      <c r="O82" s="77"/>
      <c r="P82" s="77"/>
      <c r="S82" s="77"/>
      <c r="T82" s="77"/>
      <c r="U82" s="77"/>
      <c r="V82" s="77"/>
      <c r="W82" s="77"/>
      <c r="X82" s="77"/>
    </row>
    <row r="83" spans="8:24" ht="26.25" customHeight="1">
      <c r="H83" s="77"/>
      <c r="I83" s="77"/>
      <c r="J83" s="77"/>
      <c r="K83" s="77"/>
      <c r="L83" s="77"/>
      <c r="M83" s="77"/>
      <c r="N83" s="77"/>
      <c r="O83" s="77"/>
      <c r="P83" s="77"/>
      <c r="S83" s="77"/>
      <c r="T83" s="77"/>
      <c r="U83" s="77"/>
      <c r="V83" s="77"/>
      <c r="W83" s="77"/>
      <c r="X83" s="77"/>
    </row>
    <row r="84" spans="8:24" ht="26.25" customHeight="1">
      <c r="H84" s="77"/>
      <c r="I84" s="77"/>
      <c r="J84" s="77"/>
      <c r="K84" s="77"/>
      <c r="L84" s="77"/>
      <c r="M84" s="77"/>
      <c r="N84" s="77"/>
      <c r="O84" s="77"/>
      <c r="P84" s="77"/>
      <c r="S84" s="77"/>
      <c r="T84" s="77"/>
      <c r="U84" s="77"/>
      <c r="V84" s="77"/>
      <c r="W84" s="77"/>
      <c r="X84" s="77"/>
    </row>
    <row r="85" spans="8:24" ht="26.25" customHeight="1">
      <c r="H85" s="77"/>
      <c r="I85" s="77"/>
      <c r="J85" s="77"/>
      <c r="K85" s="77"/>
      <c r="L85" s="77"/>
      <c r="M85" s="77"/>
      <c r="N85" s="77"/>
      <c r="O85" s="77"/>
      <c r="P85" s="77"/>
      <c r="S85" s="77"/>
      <c r="T85" s="77"/>
      <c r="U85" s="77"/>
      <c r="V85" s="77"/>
      <c r="W85" s="77"/>
      <c r="X85" s="77"/>
    </row>
    <row r="86" spans="8:24" ht="26.25" customHeight="1">
      <c r="H86" s="77"/>
      <c r="I86" s="77"/>
      <c r="J86" s="77"/>
      <c r="K86" s="77"/>
      <c r="L86" s="77"/>
      <c r="M86" s="77"/>
      <c r="N86" s="77"/>
      <c r="O86" s="77"/>
      <c r="P86" s="77"/>
    </row>
    <row r="87" spans="8:24" ht="26.25" customHeight="1">
      <c r="H87" s="77"/>
      <c r="I87" s="77"/>
      <c r="J87" s="77"/>
      <c r="K87" s="77"/>
      <c r="L87" s="77"/>
      <c r="M87" s="77"/>
      <c r="N87" s="77"/>
      <c r="O87" s="77"/>
      <c r="P87" s="77"/>
    </row>
    <row r="88" spans="8:24" ht="26.25" customHeight="1">
      <c r="H88" s="77"/>
      <c r="I88" s="77"/>
      <c r="J88" s="77"/>
      <c r="K88" s="77"/>
      <c r="L88" s="77"/>
      <c r="M88" s="77"/>
      <c r="N88" s="77"/>
      <c r="O88" s="77"/>
      <c r="P88" s="77"/>
    </row>
    <row r="89" spans="8:24" ht="26.25" customHeight="1">
      <c r="H89" s="77"/>
      <c r="I89" s="77"/>
      <c r="J89" s="77"/>
      <c r="K89" s="77"/>
      <c r="L89" s="77"/>
      <c r="M89" s="77"/>
      <c r="N89" s="77"/>
      <c r="O89" s="77"/>
      <c r="P89" s="77"/>
    </row>
    <row r="90" spans="8:24" ht="26.25" customHeight="1">
      <c r="H90" s="77"/>
      <c r="I90" s="77"/>
      <c r="J90" s="77"/>
      <c r="K90" s="77"/>
      <c r="L90" s="77"/>
      <c r="M90" s="77"/>
      <c r="N90" s="77"/>
      <c r="O90" s="77"/>
      <c r="P90" s="77"/>
    </row>
    <row r="91" spans="8:24" ht="26.25" customHeight="1">
      <c r="H91" s="77"/>
      <c r="I91" s="77"/>
      <c r="J91" s="77"/>
      <c r="K91" s="77"/>
      <c r="L91" s="77"/>
      <c r="M91" s="77"/>
      <c r="N91" s="77"/>
      <c r="O91" s="77"/>
      <c r="P91" s="77"/>
    </row>
    <row r="92" spans="8:24" ht="26.25" customHeight="1">
      <c r="H92" s="77"/>
      <c r="I92" s="77"/>
      <c r="J92" s="77"/>
      <c r="K92" s="77"/>
      <c r="L92" s="77"/>
      <c r="M92" s="77"/>
      <c r="N92" s="77"/>
      <c r="O92" s="77"/>
      <c r="P92" s="77"/>
    </row>
    <row r="93" spans="8:24" ht="26.25" customHeight="1">
      <c r="H93" s="77"/>
      <c r="I93" s="77"/>
      <c r="J93" s="77"/>
      <c r="K93" s="77"/>
      <c r="L93" s="77"/>
      <c r="M93" s="77"/>
      <c r="N93" s="77"/>
      <c r="O93" s="77"/>
      <c r="P93" s="77"/>
    </row>
    <row r="94" spans="8:24" ht="26.25" customHeight="1">
      <c r="H94" s="77"/>
      <c r="I94" s="77"/>
      <c r="J94" s="77"/>
      <c r="K94" s="77"/>
      <c r="L94" s="77"/>
      <c r="M94" s="77"/>
      <c r="N94" s="77"/>
      <c r="O94" s="77"/>
      <c r="P94" s="77"/>
    </row>
    <row r="95" spans="8:24" ht="26.25" customHeight="1">
      <c r="H95" s="77"/>
      <c r="I95" s="77"/>
      <c r="J95" s="77"/>
      <c r="K95" s="77"/>
      <c r="L95" s="77"/>
      <c r="M95" s="77"/>
      <c r="N95" s="77"/>
      <c r="O95" s="77"/>
      <c r="P95" s="77"/>
    </row>
    <row r="96" spans="8:24" ht="26.25" customHeight="1">
      <c r="H96" s="77"/>
      <c r="I96" s="77"/>
      <c r="J96" s="77"/>
      <c r="K96" s="77"/>
      <c r="L96" s="77"/>
      <c r="M96" s="77"/>
      <c r="N96" s="77"/>
      <c r="O96" s="77"/>
      <c r="P96" s="77"/>
    </row>
    <row r="97" spans="8:16" ht="26.25" customHeight="1">
      <c r="H97" s="77"/>
      <c r="I97" s="77"/>
      <c r="J97" s="77"/>
      <c r="K97" s="77"/>
      <c r="L97" s="77"/>
      <c r="M97" s="77"/>
      <c r="N97" s="77"/>
      <c r="O97" s="77"/>
      <c r="P97" s="77"/>
    </row>
    <row r="98" spans="8:16" ht="26.25" customHeight="1">
      <c r="H98" s="77"/>
      <c r="I98" s="77"/>
      <c r="J98" s="77"/>
      <c r="K98" s="77"/>
      <c r="L98" s="77"/>
      <c r="M98" s="77"/>
      <c r="N98" s="77"/>
      <c r="O98" s="77"/>
      <c r="P98" s="77"/>
    </row>
    <row r="99" spans="8:16" ht="26.25" customHeight="1">
      <c r="H99" s="77"/>
      <c r="I99" s="77"/>
      <c r="J99" s="77"/>
      <c r="K99" s="77"/>
      <c r="L99" s="77"/>
      <c r="M99" s="77"/>
      <c r="N99" s="77"/>
      <c r="O99" s="77"/>
      <c r="P99" s="77"/>
    </row>
    <row r="100" spans="8:16" ht="26.25" customHeight="1">
      <c r="H100" s="77"/>
      <c r="I100" s="77"/>
      <c r="J100" s="77"/>
      <c r="K100" s="77"/>
      <c r="L100" s="77"/>
      <c r="M100" s="77"/>
      <c r="N100" s="77"/>
      <c r="O100" s="77"/>
      <c r="P100" s="77"/>
    </row>
  </sheetData>
  <mergeCells count="29">
    <mergeCell ref="O4:P4"/>
    <mergeCell ref="B16:C16"/>
    <mergeCell ref="B11:C11"/>
    <mergeCell ref="C22:D22"/>
    <mergeCell ref="B14:C14"/>
    <mergeCell ref="B15:C15"/>
    <mergeCell ref="B17:C17"/>
    <mergeCell ref="B12:C12"/>
    <mergeCell ref="B13:C13"/>
    <mergeCell ref="K22:L22"/>
    <mergeCell ref="M22:N22"/>
    <mergeCell ref="O22:P22"/>
    <mergeCell ref="E22:F22"/>
    <mergeCell ref="W53:X53"/>
    <mergeCell ref="O53:P53"/>
    <mergeCell ref="Q53:R53"/>
    <mergeCell ref="C53:D53"/>
    <mergeCell ref="E53:F53"/>
    <mergeCell ref="G53:H53"/>
    <mergeCell ref="I53:J53"/>
    <mergeCell ref="K53:L53"/>
    <mergeCell ref="S22:T22"/>
    <mergeCell ref="U22:V22"/>
    <mergeCell ref="G22:H22"/>
    <mergeCell ref="I22:J22"/>
    <mergeCell ref="M53:N53"/>
    <mergeCell ref="S53:T53"/>
    <mergeCell ref="U53:V53"/>
    <mergeCell ref="Q22:R22"/>
  </mergeCells>
  <phoneticPr fontId="110" type="noConversion"/>
  <dataValidations count="3">
    <dataValidation type="list" allowBlank="1" showErrorMessage="1" prompt="_x000a_" sqref="H23 J23 L54 J54 F54 H54 D54 N23 F23:F24 D23:D24 D12:J12 L23 P23 R23 T23 V23 T54 N54 P54 R54" xr:uid="{00000000-0002-0000-0900-000000000000}">
      <formula1>$L$7:$L$9</formula1>
    </dataValidation>
    <dataValidation allowBlank="1" showInputMessage="1" showErrorMessage="1" prompt="Para a Calculadora Base Anual: Uitilizar o mês do número índice._x000a__x000a_Para a Calculadora Base Mensal: Utilizar mês de competência._x000a_" sqref="D9" xr:uid="{00000000-0002-0000-0900-000001000000}"/>
    <dataValidation allowBlank="1" showInputMessage="1" showErrorMessage="1" prompt="Inserir Descrição" sqref="G11:J11 D11:E11" xr:uid="{00000000-0002-0000-0900-000002000000}"/>
  </dataValidations>
  <pageMargins left="0.78740157499999996" right="0.78740157499999996" top="0.984251969" bottom="0.984251969" header="0.49212598499999999" footer="0.49212598499999999"/>
  <pageSetup paperSize="9" orientation="portrait" r:id="rId1"/>
  <headerFooter alignWithMargins="0"/>
  <ignoredErrors>
    <ignoredError sqref="K35:K48 L70:L71 L69 L68 J70:J71 J69 J68 H77:H79 H68 H69 H70:H71 N37 N38:N45 N48 N46:N47 H76 H72:H75 J72:J75 J76 J77:J79 L72:L75 L76 L77:L79" formula="1"/>
  </ignoredError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Plan14">
    <tabColor theme="6" tint="-0.249977111117893"/>
  </sheetPr>
  <dimension ref="B1:R50009"/>
  <sheetViews>
    <sheetView topLeftCell="A67" zoomScale="70" zoomScaleNormal="70" workbookViewId="0">
      <selection activeCell="G75" sqref="G75"/>
    </sheetView>
  </sheetViews>
  <sheetFormatPr defaultRowHeight="15.75"/>
  <cols>
    <col min="1" max="1" width="2.85546875" customWidth="1"/>
    <col min="2" max="2" width="22" customWidth="1"/>
    <col min="3" max="3" width="10.85546875" customWidth="1"/>
    <col min="4" max="4" width="14.28515625" customWidth="1"/>
    <col min="5" max="5" width="17.140625" style="233" customWidth="1"/>
    <col min="6" max="6" width="15.7109375" style="233" customWidth="1"/>
    <col min="7" max="7" width="13.140625" style="233" bestFit="1" customWidth="1"/>
    <col min="8" max="8" width="15.140625" style="233" customWidth="1"/>
    <col min="9" max="9" width="8.28515625" customWidth="1"/>
    <col min="10" max="10" width="9.5703125" customWidth="1"/>
    <col min="11" max="11" width="14.140625" customWidth="1"/>
    <col min="12" max="12" width="17.5703125" customWidth="1"/>
    <col min="13" max="13" width="22" customWidth="1"/>
    <col min="14" max="14" width="24.42578125" customWidth="1"/>
    <col min="15" max="15" width="11" customWidth="1"/>
    <col min="16" max="16" width="10.7109375" customWidth="1"/>
    <col min="17" max="17" width="12.42578125" style="8" bestFit="1" customWidth="1"/>
    <col min="18" max="18" width="15.42578125" style="8" customWidth="1"/>
  </cols>
  <sheetData>
    <row r="1" spans="2:18">
      <c r="B1" s="9" t="s">
        <v>1619</v>
      </c>
      <c r="C1" s="9" t="s">
        <v>1620</v>
      </c>
      <c r="D1" s="9" t="s">
        <v>1621</v>
      </c>
      <c r="E1" s="234" t="s">
        <v>1622</v>
      </c>
      <c r="F1" s="234" t="s">
        <v>1623</v>
      </c>
      <c r="G1" s="234" t="s">
        <v>1624</v>
      </c>
      <c r="H1" s="234" t="s">
        <v>1625</v>
      </c>
      <c r="I1" s="9" t="s">
        <v>270</v>
      </c>
      <c r="J1" s="9" t="s">
        <v>1626</v>
      </c>
      <c r="K1" s="9" t="s">
        <v>1627</v>
      </c>
      <c r="L1" s="9" t="s">
        <v>1628</v>
      </c>
      <c r="M1" s="9" t="s">
        <v>1629</v>
      </c>
      <c r="N1" s="9" t="s">
        <v>1097</v>
      </c>
      <c r="O1" s="9" t="s">
        <v>1009</v>
      </c>
      <c r="P1" s="9" t="s">
        <v>1630</v>
      </c>
      <c r="Q1" s="8" t="s">
        <v>1003</v>
      </c>
      <c r="R1" s="17" t="s">
        <v>1631</v>
      </c>
    </row>
    <row r="2" spans="2:18" hidden="1">
      <c r="E2" s="235"/>
      <c r="F2" s="235"/>
    </row>
    <row r="3" spans="2:18" hidden="1"/>
    <row r="4" spans="2:18" hidden="1"/>
    <row r="5" spans="2:18" hidden="1"/>
    <row r="6" spans="2:18" hidden="1"/>
    <row r="7" spans="2:18" hidden="1">
      <c r="E7" s="235"/>
      <c r="F7" s="235"/>
    </row>
    <row r="8" spans="2:18" hidden="1"/>
    <row r="9" spans="2:18" hidden="1"/>
    <row r="10" spans="2:18" hidden="1"/>
    <row r="11" spans="2:18" hidden="1"/>
    <row r="12" spans="2:18" hidden="1"/>
    <row r="13" spans="2:18" hidden="1"/>
    <row r="14" spans="2:18" hidden="1">
      <c r="E14" s="235"/>
      <c r="F14" s="235"/>
    </row>
    <row r="15" spans="2:18" hidden="1">
      <c r="E15" s="235"/>
      <c r="F15" s="235"/>
    </row>
    <row r="16" spans="2:18" hidden="1">
      <c r="E16" s="235"/>
      <c r="F16" s="235"/>
    </row>
    <row r="17" spans="5:6" hidden="1"/>
    <row r="18" spans="5:6" hidden="1"/>
    <row r="19" spans="5:6" hidden="1"/>
    <row r="20" spans="5:6" hidden="1"/>
    <row r="21" spans="5:6" hidden="1"/>
    <row r="22" spans="5:6" hidden="1"/>
    <row r="23" spans="5:6" hidden="1">
      <c r="E23" s="235"/>
      <c r="F23" s="235"/>
    </row>
    <row r="24" spans="5:6" hidden="1">
      <c r="E24" s="235"/>
      <c r="F24" s="235"/>
    </row>
    <row r="25" spans="5:6" hidden="1">
      <c r="E25" s="235"/>
      <c r="F25" s="235"/>
    </row>
    <row r="26" spans="5:6" hidden="1"/>
    <row r="27" spans="5:6" hidden="1"/>
    <row r="28" spans="5:6" hidden="1"/>
    <row r="29" spans="5:6" hidden="1"/>
    <row r="30" spans="5:6" hidden="1"/>
    <row r="31" spans="5:6" hidden="1"/>
    <row r="32" spans="5:6" hidden="1"/>
    <row r="33" spans="5:6" hidden="1"/>
    <row r="34" spans="5:6" hidden="1"/>
    <row r="35" spans="5:6" hidden="1"/>
    <row r="36" spans="5:6" hidden="1"/>
    <row r="37" spans="5:6" hidden="1"/>
    <row r="38" spans="5:6" hidden="1">
      <c r="E38" s="235"/>
      <c r="F38" s="235"/>
    </row>
    <row r="39" spans="5:6" hidden="1">
      <c r="E39" s="235"/>
      <c r="F39" s="235"/>
    </row>
    <row r="40" spans="5:6" hidden="1">
      <c r="E40" s="235"/>
      <c r="F40" s="235"/>
    </row>
    <row r="41" spans="5:6" hidden="1"/>
    <row r="42" spans="5:6" hidden="1"/>
    <row r="43" spans="5:6" hidden="1"/>
    <row r="44" spans="5:6" hidden="1"/>
    <row r="45" spans="5:6" hidden="1"/>
    <row r="46" spans="5:6" hidden="1"/>
    <row r="47" spans="5:6" hidden="1"/>
    <row r="48" spans="5:6" hidden="1"/>
    <row r="49" hidden="1"/>
    <row r="50" hidden="1"/>
    <row r="51" hidden="1"/>
    <row r="52" hidden="1"/>
    <row r="53" hidden="1"/>
    <row r="54" hidden="1"/>
    <row r="55" hidden="1"/>
    <row r="56" hidden="1"/>
    <row r="57" hidden="1"/>
    <row r="718" spans="18:18">
      <c r="R718" s="8">
        <f t="shared" ref="R718:R741" si="0">IF(P718&gt;0,P718+21916,0)</f>
        <v>0</v>
      </c>
    </row>
    <row r="719" spans="18:18">
      <c r="R719" s="8">
        <f t="shared" si="0"/>
        <v>0</v>
      </c>
    </row>
    <row r="720" spans="18:18">
      <c r="R720" s="8">
        <f t="shared" si="0"/>
        <v>0</v>
      </c>
    </row>
    <row r="721" spans="18:18">
      <c r="R721" s="8">
        <f t="shared" si="0"/>
        <v>0</v>
      </c>
    </row>
    <row r="722" spans="18:18">
      <c r="R722" s="8">
        <f t="shared" si="0"/>
        <v>0</v>
      </c>
    </row>
    <row r="723" spans="18:18">
      <c r="R723" s="8">
        <f t="shared" si="0"/>
        <v>0</v>
      </c>
    </row>
    <row r="724" spans="18:18">
      <c r="R724" s="8">
        <f t="shared" si="0"/>
        <v>0</v>
      </c>
    </row>
    <row r="725" spans="18:18">
      <c r="R725" s="8">
        <f t="shared" si="0"/>
        <v>0</v>
      </c>
    </row>
    <row r="726" spans="18:18">
      <c r="R726" s="8">
        <f t="shared" si="0"/>
        <v>0</v>
      </c>
    </row>
    <row r="727" spans="18:18">
      <c r="R727" s="8">
        <f t="shared" si="0"/>
        <v>0</v>
      </c>
    </row>
    <row r="728" spans="18:18">
      <c r="R728" s="8">
        <f t="shared" si="0"/>
        <v>0</v>
      </c>
    </row>
    <row r="729" spans="18:18">
      <c r="R729" s="8">
        <f t="shared" si="0"/>
        <v>0</v>
      </c>
    </row>
    <row r="730" spans="18:18">
      <c r="R730" s="8">
        <f t="shared" si="0"/>
        <v>0</v>
      </c>
    </row>
    <row r="731" spans="18:18">
      <c r="R731" s="8">
        <f t="shared" si="0"/>
        <v>0</v>
      </c>
    </row>
    <row r="732" spans="18:18">
      <c r="R732" s="8">
        <f t="shared" si="0"/>
        <v>0</v>
      </c>
    </row>
    <row r="733" spans="18:18">
      <c r="R733" s="8">
        <f t="shared" si="0"/>
        <v>0</v>
      </c>
    </row>
    <row r="734" spans="18:18">
      <c r="R734" s="8">
        <f t="shared" si="0"/>
        <v>0</v>
      </c>
    </row>
    <row r="735" spans="18:18">
      <c r="R735" s="8">
        <f t="shared" si="0"/>
        <v>0</v>
      </c>
    </row>
    <row r="736" spans="18:18">
      <c r="R736" s="8">
        <f t="shared" si="0"/>
        <v>0</v>
      </c>
    </row>
    <row r="737" spans="18:18">
      <c r="R737" s="8">
        <f t="shared" si="0"/>
        <v>0</v>
      </c>
    </row>
    <row r="738" spans="18:18">
      <c r="R738" s="8">
        <f t="shared" si="0"/>
        <v>0</v>
      </c>
    </row>
    <row r="739" spans="18:18">
      <c r="R739" s="8">
        <f t="shared" si="0"/>
        <v>0</v>
      </c>
    </row>
    <row r="740" spans="18:18">
      <c r="R740" s="8">
        <f t="shared" si="0"/>
        <v>0</v>
      </c>
    </row>
    <row r="741" spans="18:18">
      <c r="R741" s="8">
        <f t="shared" si="0"/>
        <v>0</v>
      </c>
    </row>
    <row r="742" spans="18:18">
      <c r="R742" s="8">
        <f t="shared" ref="R742:R805" si="1">IF(P742&gt;0,P742+21916,0)</f>
        <v>0</v>
      </c>
    </row>
    <row r="743" spans="18:18">
      <c r="R743" s="8">
        <f t="shared" si="1"/>
        <v>0</v>
      </c>
    </row>
    <row r="744" spans="18:18">
      <c r="R744" s="8">
        <f t="shared" si="1"/>
        <v>0</v>
      </c>
    </row>
    <row r="745" spans="18:18">
      <c r="R745" s="8">
        <f t="shared" si="1"/>
        <v>0</v>
      </c>
    </row>
    <row r="746" spans="18:18">
      <c r="R746" s="8">
        <f t="shared" si="1"/>
        <v>0</v>
      </c>
    </row>
    <row r="747" spans="18:18">
      <c r="R747" s="8">
        <f t="shared" si="1"/>
        <v>0</v>
      </c>
    </row>
    <row r="748" spans="18:18">
      <c r="R748" s="8">
        <f t="shared" si="1"/>
        <v>0</v>
      </c>
    </row>
    <row r="749" spans="18:18">
      <c r="R749" s="8">
        <f t="shared" si="1"/>
        <v>0</v>
      </c>
    </row>
    <row r="750" spans="18:18">
      <c r="R750" s="8">
        <f t="shared" si="1"/>
        <v>0</v>
      </c>
    </row>
    <row r="751" spans="18:18">
      <c r="R751" s="8">
        <f t="shared" si="1"/>
        <v>0</v>
      </c>
    </row>
    <row r="752" spans="18:18">
      <c r="R752" s="8">
        <f t="shared" si="1"/>
        <v>0</v>
      </c>
    </row>
    <row r="753" spans="18:18">
      <c r="R753" s="8">
        <f t="shared" si="1"/>
        <v>0</v>
      </c>
    </row>
    <row r="754" spans="18:18">
      <c r="R754" s="8">
        <f t="shared" si="1"/>
        <v>0</v>
      </c>
    </row>
    <row r="755" spans="18:18">
      <c r="R755" s="8">
        <f t="shared" si="1"/>
        <v>0</v>
      </c>
    </row>
    <row r="756" spans="18:18">
      <c r="R756" s="8">
        <f t="shared" si="1"/>
        <v>0</v>
      </c>
    </row>
    <row r="757" spans="18:18">
      <c r="R757" s="8">
        <f t="shared" si="1"/>
        <v>0</v>
      </c>
    </row>
    <row r="758" spans="18:18">
      <c r="R758" s="8">
        <f t="shared" si="1"/>
        <v>0</v>
      </c>
    </row>
    <row r="759" spans="18:18">
      <c r="R759" s="8">
        <f t="shared" si="1"/>
        <v>0</v>
      </c>
    </row>
    <row r="760" spans="18:18">
      <c r="R760" s="8">
        <f t="shared" si="1"/>
        <v>0</v>
      </c>
    </row>
    <row r="761" spans="18:18">
      <c r="R761" s="8">
        <f t="shared" si="1"/>
        <v>0</v>
      </c>
    </row>
    <row r="762" spans="18:18">
      <c r="R762" s="8">
        <f t="shared" si="1"/>
        <v>0</v>
      </c>
    </row>
    <row r="763" spans="18:18">
      <c r="R763" s="8">
        <f t="shared" si="1"/>
        <v>0</v>
      </c>
    </row>
    <row r="764" spans="18:18">
      <c r="R764" s="8">
        <f t="shared" si="1"/>
        <v>0</v>
      </c>
    </row>
    <row r="765" spans="18:18">
      <c r="R765" s="8">
        <f t="shared" si="1"/>
        <v>0</v>
      </c>
    </row>
    <row r="766" spans="18:18">
      <c r="R766" s="8">
        <f t="shared" si="1"/>
        <v>0</v>
      </c>
    </row>
    <row r="767" spans="18:18">
      <c r="R767" s="8">
        <f t="shared" si="1"/>
        <v>0</v>
      </c>
    </row>
    <row r="768" spans="18:18">
      <c r="R768" s="8">
        <f t="shared" si="1"/>
        <v>0</v>
      </c>
    </row>
    <row r="769" spans="18:18">
      <c r="R769" s="8">
        <f t="shared" si="1"/>
        <v>0</v>
      </c>
    </row>
    <row r="770" spans="18:18">
      <c r="R770" s="8">
        <f t="shared" si="1"/>
        <v>0</v>
      </c>
    </row>
    <row r="771" spans="18:18">
      <c r="R771" s="8">
        <f t="shared" si="1"/>
        <v>0</v>
      </c>
    </row>
    <row r="772" spans="18:18">
      <c r="R772" s="8">
        <f t="shared" si="1"/>
        <v>0</v>
      </c>
    </row>
    <row r="773" spans="18:18">
      <c r="R773" s="8">
        <f t="shared" si="1"/>
        <v>0</v>
      </c>
    </row>
    <row r="774" spans="18:18">
      <c r="R774" s="8">
        <f t="shared" si="1"/>
        <v>0</v>
      </c>
    </row>
    <row r="775" spans="18:18">
      <c r="R775" s="8">
        <f t="shared" si="1"/>
        <v>0</v>
      </c>
    </row>
    <row r="776" spans="18:18">
      <c r="R776" s="8">
        <f t="shared" si="1"/>
        <v>0</v>
      </c>
    </row>
    <row r="777" spans="18:18">
      <c r="R777" s="8">
        <f t="shared" si="1"/>
        <v>0</v>
      </c>
    </row>
    <row r="778" spans="18:18">
      <c r="R778" s="8">
        <f t="shared" si="1"/>
        <v>0</v>
      </c>
    </row>
    <row r="779" spans="18:18">
      <c r="R779" s="8">
        <f t="shared" si="1"/>
        <v>0</v>
      </c>
    </row>
    <row r="780" spans="18:18">
      <c r="R780" s="8">
        <f t="shared" si="1"/>
        <v>0</v>
      </c>
    </row>
    <row r="781" spans="18:18">
      <c r="R781" s="8">
        <f t="shared" si="1"/>
        <v>0</v>
      </c>
    </row>
    <row r="782" spans="18:18">
      <c r="R782" s="8">
        <f t="shared" si="1"/>
        <v>0</v>
      </c>
    </row>
    <row r="783" spans="18:18">
      <c r="R783" s="8">
        <f t="shared" si="1"/>
        <v>0</v>
      </c>
    </row>
    <row r="784" spans="18:18">
      <c r="R784" s="8">
        <f t="shared" si="1"/>
        <v>0</v>
      </c>
    </row>
    <row r="785" spans="18:18">
      <c r="R785" s="8">
        <f t="shared" si="1"/>
        <v>0</v>
      </c>
    </row>
    <row r="786" spans="18:18">
      <c r="R786" s="8">
        <f t="shared" si="1"/>
        <v>0</v>
      </c>
    </row>
    <row r="787" spans="18:18">
      <c r="R787" s="8">
        <f t="shared" si="1"/>
        <v>0</v>
      </c>
    </row>
    <row r="788" spans="18:18">
      <c r="R788" s="8">
        <f t="shared" si="1"/>
        <v>0</v>
      </c>
    </row>
    <row r="789" spans="18:18">
      <c r="R789" s="8">
        <f t="shared" si="1"/>
        <v>0</v>
      </c>
    </row>
    <row r="790" spans="18:18">
      <c r="R790" s="8">
        <f t="shared" si="1"/>
        <v>0</v>
      </c>
    </row>
    <row r="791" spans="18:18">
      <c r="R791" s="8">
        <f t="shared" si="1"/>
        <v>0</v>
      </c>
    </row>
    <row r="792" spans="18:18">
      <c r="R792" s="8">
        <f t="shared" si="1"/>
        <v>0</v>
      </c>
    </row>
    <row r="793" spans="18:18">
      <c r="R793" s="8">
        <f t="shared" si="1"/>
        <v>0</v>
      </c>
    </row>
    <row r="794" spans="18:18">
      <c r="R794" s="8">
        <f t="shared" si="1"/>
        <v>0</v>
      </c>
    </row>
    <row r="795" spans="18:18">
      <c r="R795" s="8">
        <f t="shared" si="1"/>
        <v>0</v>
      </c>
    </row>
    <row r="796" spans="18:18">
      <c r="R796" s="8">
        <f t="shared" si="1"/>
        <v>0</v>
      </c>
    </row>
    <row r="797" spans="18:18">
      <c r="R797" s="8">
        <f t="shared" si="1"/>
        <v>0</v>
      </c>
    </row>
    <row r="798" spans="18:18">
      <c r="R798" s="8">
        <f t="shared" si="1"/>
        <v>0</v>
      </c>
    </row>
    <row r="799" spans="18:18">
      <c r="R799" s="8">
        <f t="shared" si="1"/>
        <v>0</v>
      </c>
    </row>
    <row r="800" spans="18:18">
      <c r="R800" s="8">
        <f t="shared" si="1"/>
        <v>0</v>
      </c>
    </row>
    <row r="801" spans="18:18">
      <c r="R801" s="8">
        <f t="shared" si="1"/>
        <v>0</v>
      </c>
    </row>
    <row r="802" spans="18:18">
      <c r="R802" s="8">
        <f t="shared" si="1"/>
        <v>0</v>
      </c>
    </row>
    <row r="803" spans="18:18">
      <c r="R803" s="8">
        <f t="shared" si="1"/>
        <v>0</v>
      </c>
    </row>
    <row r="804" spans="18:18">
      <c r="R804" s="8">
        <f t="shared" si="1"/>
        <v>0</v>
      </c>
    </row>
    <row r="805" spans="18:18">
      <c r="R805" s="8">
        <f t="shared" si="1"/>
        <v>0</v>
      </c>
    </row>
    <row r="806" spans="18:18">
      <c r="R806" s="8">
        <f t="shared" ref="R806:R869" si="2">IF(P806&gt;0,P806+21916,0)</f>
        <v>0</v>
      </c>
    </row>
    <row r="807" spans="18:18">
      <c r="R807" s="8">
        <f t="shared" si="2"/>
        <v>0</v>
      </c>
    </row>
    <row r="808" spans="18:18">
      <c r="R808" s="8">
        <f t="shared" si="2"/>
        <v>0</v>
      </c>
    </row>
    <row r="809" spans="18:18">
      <c r="R809" s="8">
        <f t="shared" si="2"/>
        <v>0</v>
      </c>
    </row>
    <row r="810" spans="18:18">
      <c r="R810" s="8">
        <f t="shared" si="2"/>
        <v>0</v>
      </c>
    </row>
    <row r="811" spans="18:18">
      <c r="R811" s="8">
        <f t="shared" si="2"/>
        <v>0</v>
      </c>
    </row>
    <row r="812" spans="18:18">
      <c r="R812" s="8">
        <f t="shared" si="2"/>
        <v>0</v>
      </c>
    </row>
    <row r="813" spans="18:18">
      <c r="R813" s="8">
        <f t="shared" si="2"/>
        <v>0</v>
      </c>
    </row>
    <row r="814" spans="18:18">
      <c r="R814" s="8">
        <f t="shared" si="2"/>
        <v>0</v>
      </c>
    </row>
    <row r="815" spans="18:18">
      <c r="R815" s="8">
        <f t="shared" si="2"/>
        <v>0</v>
      </c>
    </row>
    <row r="816" spans="18:18">
      <c r="R816" s="8">
        <f t="shared" si="2"/>
        <v>0</v>
      </c>
    </row>
    <row r="817" spans="18:18">
      <c r="R817" s="8">
        <f t="shared" si="2"/>
        <v>0</v>
      </c>
    </row>
    <row r="818" spans="18:18">
      <c r="R818" s="8">
        <f t="shared" si="2"/>
        <v>0</v>
      </c>
    </row>
    <row r="819" spans="18:18">
      <c r="R819" s="8">
        <f t="shared" si="2"/>
        <v>0</v>
      </c>
    </row>
    <row r="820" spans="18:18">
      <c r="R820" s="8">
        <f t="shared" si="2"/>
        <v>0</v>
      </c>
    </row>
    <row r="821" spans="18:18">
      <c r="R821" s="8">
        <f t="shared" si="2"/>
        <v>0</v>
      </c>
    </row>
    <row r="822" spans="18:18">
      <c r="R822" s="8">
        <f t="shared" si="2"/>
        <v>0</v>
      </c>
    </row>
    <row r="823" spans="18:18">
      <c r="R823" s="8">
        <f t="shared" si="2"/>
        <v>0</v>
      </c>
    </row>
    <row r="824" spans="18:18">
      <c r="R824" s="8">
        <f t="shared" si="2"/>
        <v>0</v>
      </c>
    </row>
    <row r="825" spans="18:18">
      <c r="R825" s="8">
        <f t="shared" si="2"/>
        <v>0</v>
      </c>
    </row>
    <row r="826" spans="18:18">
      <c r="R826" s="8">
        <f t="shared" si="2"/>
        <v>0</v>
      </c>
    </row>
    <row r="827" spans="18:18">
      <c r="R827" s="8">
        <f t="shared" si="2"/>
        <v>0</v>
      </c>
    </row>
    <row r="828" spans="18:18">
      <c r="R828" s="8">
        <f t="shared" si="2"/>
        <v>0</v>
      </c>
    </row>
    <row r="829" spans="18:18">
      <c r="R829" s="8">
        <f t="shared" si="2"/>
        <v>0</v>
      </c>
    </row>
    <row r="830" spans="18:18">
      <c r="R830" s="8">
        <f t="shared" si="2"/>
        <v>0</v>
      </c>
    </row>
    <row r="831" spans="18:18">
      <c r="R831" s="8">
        <f t="shared" si="2"/>
        <v>0</v>
      </c>
    </row>
    <row r="832" spans="18:18">
      <c r="R832" s="8">
        <f t="shared" si="2"/>
        <v>0</v>
      </c>
    </row>
    <row r="833" spans="18:18">
      <c r="R833" s="8">
        <f t="shared" si="2"/>
        <v>0</v>
      </c>
    </row>
    <row r="834" spans="18:18">
      <c r="R834" s="8">
        <f t="shared" si="2"/>
        <v>0</v>
      </c>
    </row>
    <row r="835" spans="18:18">
      <c r="R835" s="8">
        <f t="shared" si="2"/>
        <v>0</v>
      </c>
    </row>
    <row r="836" spans="18:18">
      <c r="R836" s="8">
        <f t="shared" si="2"/>
        <v>0</v>
      </c>
    </row>
    <row r="837" spans="18:18">
      <c r="R837" s="8">
        <f t="shared" si="2"/>
        <v>0</v>
      </c>
    </row>
    <row r="838" spans="18:18">
      <c r="R838" s="8">
        <f t="shared" si="2"/>
        <v>0</v>
      </c>
    </row>
    <row r="839" spans="18:18">
      <c r="R839" s="8">
        <f t="shared" si="2"/>
        <v>0</v>
      </c>
    </row>
    <row r="840" spans="18:18">
      <c r="R840" s="8">
        <f t="shared" si="2"/>
        <v>0</v>
      </c>
    </row>
    <row r="841" spans="18:18">
      <c r="R841" s="8">
        <f t="shared" si="2"/>
        <v>0</v>
      </c>
    </row>
    <row r="842" spans="18:18">
      <c r="R842" s="8">
        <f t="shared" si="2"/>
        <v>0</v>
      </c>
    </row>
    <row r="843" spans="18:18">
      <c r="R843" s="8">
        <f t="shared" si="2"/>
        <v>0</v>
      </c>
    </row>
    <row r="844" spans="18:18">
      <c r="R844" s="8">
        <f t="shared" si="2"/>
        <v>0</v>
      </c>
    </row>
    <row r="845" spans="18:18">
      <c r="R845" s="8">
        <f t="shared" si="2"/>
        <v>0</v>
      </c>
    </row>
    <row r="846" spans="18:18">
      <c r="R846" s="8">
        <f t="shared" si="2"/>
        <v>0</v>
      </c>
    </row>
    <row r="847" spans="18:18">
      <c r="R847" s="8">
        <f t="shared" si="2"/>
        <v>0</v>
      </c>
    </row>
    <row r="848" spans="18:18">
      <c r="R848" s="8">
        <f t="shared" si="2"/>
        <v>0</v>
      </c>
    </row>
    <row r="849" spans="18:18">
      <c r="R849" s="8">
        <f t="shared" si="2"/>
        <v>0</v>
      </c>
    </row>
    <row r="850" spans="18:18">
      <c r="R850" s="8">
        <f t="shared" si="2"/>
        <v>0</v>
      </c>
    </row>
    <row r="851" spans="18:18">
      <c r="R851" s="8">
        <f t="shared" si="2"/>
        <v>0</v>
      </c>
    </row>
    <row r="852" spans="18:18">
      <c r="R852" s="8">
        <f t="shared" si="2"/>
        <v>0</v>
      </c>
    </row>
    <row r="853" spans="18:18">
      <c r="R853" s="8">
        <f t="shared" si="2"/>
        <v>0</v>
      </c>
    </row>
    <row r="854" spans="18:18">
      <c r="R854" s="8">
        <f t="shared" si="2"/>
        <v>0</v>
      </c>
    </row>
    <row r="855" spans="18:18">
      <c r="R855" s="8">
        <f t="shared" si="2"/>
        <v>0</v>
      </c>
    </row>
    <row r="856" spans="18:18">
      <c r="R856" s="8">
        <f t="shared" si="2"/>
        <v>0</v>
      </c>
    </row>
    <row r="857" spans="18:18">
      <c r="R857" s="8">
        <f t="shared" si="2"/>
        <v>0</v>
      </c>
    </row>
    <row r="858" spans="18:18">
      <c r="R858" s="8">
        <f t="shared" si="2"/>
        <v>0</v>
      </c>
    </row>
    <row r="859" spans="18:18">
      <c r="R859" s="8">
        <f t="shared" si="2"/>
        <v>0</v>
      </c>
    </row>
    <row r="860" spans="18:18">
      <c r="R860" s="8">
        <f t="shared" si="2"/>
        <v>0</v>
      </c>
    </row>
    <row r="861" spans="18:18">
      <c r="R861" s="8">
        <f t="shared" si="2"/>
        <v>0</v>
      </c>
    </row>
    <row r="862" spans="18:18">
      <c r="R862" s="8">
        <f t="shared" si="2"/>
        <v>0</v>
      </c>
    </row>
    <row r="863" spans="18:18">
      <c r="R863" s="8">
        <f t="shared" si="2"/>
        <v>0</v>
      </c>
    </row>
    <row r="864" spans="18:18">
      <c r="R864" s="8">
        <f t="shared" si="2"/>
        <v>0</v>
      </c>
    </row>
    <row r="865" spans="18:18">
      <c r="R865" s="8">
        <f t="shared" si="2"/>
        <v>0</v>
      </c>
    </row>
    <row r="866" spans="18:18">
      <c r="R866" s="8">
        <f t="shared" si="2"/>
        <v>0</v>
      </c>
    </row>
    <row r="867" spans="18:18">
      <c r="R867" s="8">
        <f t="shared" si="2"/>
        <v>0</v>
      </c>
    </row>
    <row r="868" spans="18:18">
      <c r="R868" s="8">
        <f t="shared" si="2"/>
        <v>0</v>
      </c>
    </row>
    <row r="869" spans="18:18">
      <c r="R869" s="8">
        <f t="shared" si="2"/>
        <v>0</v>
      </c>
    </row>
    <row r="870" spans="18:18">
      <c r="R870" s="8">
        <f t="shared" ref="R870:R933" si="3">IF(P870&gt;0,P870+21916,0)</f>
        <v>0</v>
      </c>
    </row>
    <row r="871" spans="18:18">
      <c r="R871" s="8">
        <f t="shared" si="3"/>
        <v>0</v>
      </c>
    </row>
    <row r="872" spans="18:18">
      <c r="R872" s="8">
        <f t="shared" si="3"/>
        <v>0</v>
      </c>
    </row>
    <row r="873" spans="18:18">
      <c r="R873" s="8">
        <f t="shared" si="3"/>
        <v>0</v>
      </c>
    </row>
    <row r="874" spans="18:18">
      <c r="R874" s="8">
        <f t="shared" si="3"/>
        <v>0</v>
      </c>
    </row>
    <row r="875" spans="18:18">
      <c r="R875" s="8">
        <f t="shared" si="3"/>
        <v>0</v>
      </c>
    </row>
    <row r="876" spans="18:18">
      <c r="R876" s="8">
        <f t="shared" si="3"/>
        <v>0</v>
      </c>
    </row>
    <row r="877" spans="18:18">
      <c r="R877" s="8">
        <f t="shared" si="3"/>
        <v>0</v>
      </c>
    </row>
    <row r="878" spans="18:18">
      <c r="R878" s="8">
        <f t="shared" si="3"/>
        <v>0</v>
      </c>
    </row>
    <row r="879" spans="18:18">
      <c r="R879" s="8">
        <f t="shared" si="3"/>
        <v>0</v>
      </c>
    </row>
    <row r="880" spans="18:18">
      <c r="R880" s="8">
        <f t="shared" si="3"/>
        <v>0</v>
      </c>
    </row>
    <row r="881" spans="18:18">
      <c r="R881" s="8">
        <f t="shared" si="3"/>
        <v>0</v>
      </c>
    </row>
    <row r="882" spans="18:18">
      <c r="R882" s="8">
        <f t="shared" si="3"/>
        <v>0</v>
      </c>
    </row>
    <row r="883" spans="18:18">
      <c r="R883" s="8">
        <f t="shared" si="3"/>
        <v>0</v>
      </c>
    </row>
    <row r="884" spans="18:18">
      <c r="R884" s="8">
        <f t="shared" si="3"/>
        <v>0</v>
      </c>
    </row>
    <row r="885" spans="18:18">
      <c r="R885" s="8">
        <f t="shared" si="3"/>
        <v>0</v>
      </c>
    </row>
    <row r="886" spans="18:18">
      <c r="R886" s="8">
        <f t="shared" si="3"/>
        <v>0</v>
      </c>
    </row>
    <row r="887" spans="18:18">
      <c r="R887" s="8">
        <f t="shared" si="3"/>
        <v>0</v>
      </c>
    </row>
    <row r="888" spans="18:18">
      <c r="R888" s="8">
        <f t="shared" si="3"/>
        <v>0</v>
      </c>
    </row>
    <row r="889" spans="18:18">
      <c r="R889" s="8">
        <f t="shared" si="3"/>
        <v>0</v>
      </c>
    </row>
    <row r="890" spans="18:18">
      <c r="R890" s="8">
        <f t="shared" si="3"/>
        <v>0</v>
      </c>
    </row>
    <row r="891" spans="18:18">
      <c r="R891" s="8">
        <f t="shared" si="3"/>
        <v>0</v>
      </c>
    </row>
    <row r="892" spans="18:18">
      <c r="R892" s="8">
        <f t="shared" si="3"/>
        <v>0</v>
      </c>
    </row>
    <row r="893" spans="18:18">
      <c r="R893" s="8">
        <f t="shared" si="3"/>
        <v>0</v>
      </c>
    </row>
    <row r="894" spans="18:18">
      <c r="R894" s="8">
        <f t="shared" si="3"/>
        <v>0</v>
      </c>
    </row>
    <row r="895" spans="18:18">
      <c r="R895" s="8">
        <f t="shared" si="3"/>
        <v>0</v>
      </c>
    </row>
    <row r="896" spans="18:18">
      <c r="R896" s="8">
        <f t="shared" si="3"/>
        <v>0</v>
      </c>
    </row>
    <row r="897" spans="18:18">
      <c r="R897" s="8">
        <f t="shared" si="3"/>
        <v>0</v>
      </c>
    </row>
    <row r="898" spans="18:18">
      <c r="R898" s="8">
        <f t="shared" si="3"/>
        <v>0</v>
      </c>
    </row>
    <row r="899" spans="18:18">
      <c r="R899" s="8">
        <f t="shared" si="3"/>
        <v>0</v>
      </c>
    </row>
    <row r="900" spans="18:18">
      <c r="R900" s="8">
        <f t="shared" si="3"/>
        <v>0</v>
      </c>
    </row>
    <row r="901" spans="18:18">
      <c r="R901" s="8">
        <f t="shared" si="3"/>
        <v>0</v>
      </c>
    </row>
    <row r="902" spans="18:18">
      <c r="R902" s="8">
        <f t="shared" si="3"/>
        <v>0</v>
      </c>
    </row>
    <row r="903" spans="18:18">
      <c r="R903" s="8">
        <f t="shared" si="3"/>
        <v>0</v>
      </c>
    </row>
    <row r="904" spans="18:18">
      <c r="R904" s="8">
        <f t="shared" si="3"/>
        <v>0</v>
      </c>
    </row>
    <row r="905" spans="18:18">
      <c r="R905" s="8">
        <f t="shared" si="3"/>
        <v>0</v>
      </c>
    </row>
    <row r="906" spans="18:18">
      <c r="R906" s="8">
        <f t="shared" si="3"/>
        <v>0</v>
      </c>
    </row>
    <row r="907" spans="18:18">
      <c r="R907" s="8">
        <f t="shared" si="3"/>
        <v>0</v>
      </c>
    </row>
    <row r="908" spans="18:18">
      <c r="R908" s="8">
        <f t="shared" si="3"/>
        <v>0</v>
      </c>
    </row>
    <row r="909" spans="18:18">
      <c r="R909" s="8">
        <f t="shared" si="3"/>
        <v>0</v>
      </c>
    </row>
    <row r="910" spans="18:18">
      <c r="R910" s="8">
        <f t="shared" si="3"/>
        <v>0</v>
      </c>
    </row>
    <row r="911" spans="18:18">
      <c r="R911" s="8">
        <f t="shared" si="3"/>
        <v>0</v>
      </c>
    </row>
    <row r="912" spans="18:18">
      <c r="R912" s="8">
        <f t="shared" si="3"/>
        <v>0</v>
      </c>
    </row>
    <row r="913" spans="18:18">
      <c r="R913" s="8">
        <f t="shared" si="3"/>
        <v>0</v>
      </c>
    </row>
    <row r="914" spans="18:18">
      <c r="R914" s="8">
        <f t="shared" si="3"/>
        <v>0</v>
      </c>
    </row>
    <row r="915" spans="18:18">
      <c r="R915" s="8">
        <f t="shared" si="3"/>
        <v>0</v>
      </c>
    </row>
    <row r="916" spans="18:18">
      <c r="R916" s="8">
        <f t="shared" si="3"/>
        <v>0</v>
      </c>
    </row>
    <row r="917" spans="18:18">
      <c r="R917" s="8">
        <f t="shared" si="3"/>
        <v>0</v>
      </c>
    </row>
    <row r="918" spans="18:18">
      <c r="R918" s="8">
        <f t="shared" si="3"/>
        <v>0</v>
      </c>
    </row>
    <row r="919" spans="18:18">
      <c r="R919" s="8">
        <f t="shared" si="3"/>
        <v>0</v>
      </c>
    </row>
    <row r="920" spans="18:18">
      <c r="R920" s="8">
        <f t="shared" si="3"/>
        <v>0</v>
      </c>
    </row>
    <row r="921" spans="18:18">
      <c r="R921" s="8">
        <f t="shared" si="3"/>
        <v>0</v>
      </c>
    </row>
    <row r="922" spans="18:18">
      <c r="R922" s="8">
        <f t="shared" si="3"/>
        <v>0</v>
      </c>
    </row>
    <row r="923" spans="18:18">
      <c r="R923" s="8">
        <f t="shared" si="3"/>
        <v>0</v>
      </c>
    </row>
    <row r="924" spans="18:18">
      <c r="R924" s="8">
        <f t="shared" si="3"/>
        <v>0</v>
      </c>
    </row>
    <row r="925" spans="18:18">
      <c r="R925" s="8">
        <f t="shared" si="3"/>
        <v>0</v>
      </c>
    </row>
    <row r="926" spans="18:18">
      <c r="R926" s="8">
        <f t="shared" si="3"/>
        <v>0</v>
      </c>
    </row>
    <row r="927" spans="18:18">
      <c r="R927" s="8">
        <f t="shared" si="3"/>
        <v>0</v>
      </c>
    </row>
    <row r="928" spans="18:18">
      <c r="R928" s="8">
        <f t="shared" si="3"/>
        <v>0</v>
      </c>
    </row>
    <row r="929" spans="18:18">
      <c r="R929" s="8">
        <f t="shared" si="3"/>
        <v>0</v>
      </c>
    </row>
    <row r="930" spans="18:18">
      <c r="R930" s="8">
        <f t="shared" si="3"/>
        <v>0</v>
      </c>
    </row>
    <row r="931" spans="18:18">
      <c r="R931" s="8">
        <f t="shared" si="3"/>
        <v>0</v>
      </c>
    </row>
    <row r="932" spans="18:18">
      <c r="R932" s="8">
        <f t="shared" si="3"/>
        <v>0</v>
      </c>
    </row>
    <row r="933" spans="18:18">
      <c r="R933" s="8">
        <f t="shared" si="3"/>
        <v>0</v>
      </c>
    </row>
    <row r="934" spans="18:18">
      <c r="R934" s="8">
        <f t="shared" ref="R934:R997" si="4">IF(P934&gt;0,P934+21916,0)</f>
        <v>0</v>
      </c>
    </row>
    <row r="935" spans="18:18">
      <c r="R935" s="8">
        <f t="shared" si="4"/>
        <v>0</v>
      </c>
    </row>
    <row r="936" spans="18:18">
      <c r="R936" s="8">
        <f t="shared" si="4"/>
        <v>0</v>
      </c>
    </row>
    <row r="937" spans="18:18">
      <c r="R937" s="8">
        <f t="shared" si="4"/>
        <v>0</v>
      </c>
    </row>
    <row r="938" spans="18:18">
      <c r="R938" s="8">
        <f t="shared" si="4"/>
        <v>0</v>
      </c>
    </row>
    <row r="939" spans="18:18">
      <c r="R939" s="8">
        <f t="shared" si="4"/>
        <v>0</v>
      </c>
    </row>
    <row r="940" spans="18:18">
      <c r="R940" s="8">
        <f t="shared" si="4"/>
        <v>0</v>
      </c>
    </row>
    <row r="941" spans="18:18">
      <c r="R941" s="8">
        <f t="shared" si="4"/>
        <v>0</v>
      </c>
    </row>
    <row r="942" spans="18:18">
      <c r="R942" s="8">
        <f t="shared" si="4"/>
        <v>0</v>
      </c>
    </row>
    <row r="943" spans="18:18">
      <c r="R943" s="8">
        <f t="shared" si="4"/>
        <v>0</v>
      </c>
    </row>
    <row r="944" spans="18:18">
      <c r="R944" s="8">
        <f t="shared" si="4"/>
        <v>0</v>
      </c>
    </row>
    <row r="945" spans="18:18">
      <c r="R945" s="8">
        <f t="shared" si="4"/>
        <v>0</v>
      </c>
    </row>
    <row r="946" spans="18:18">
      <c r="R946" s="8">
        <f t="shared" si="4"/>
        <v>0</v>
      </c>
    </row>
    <row r="947" spans="18:18">
      <c r="R947" s="8">
        <f t="shared" si="4"/>
        <v>0</v>
      </c>
    </row>
    <row r="948" spans="18:18">
      <c r="R948" s="8">
        <f t="shared" si="4"/>
        <v>0</v>
      </c>
    </row>
    <row r="949" spans="18:18">
      <c r="R949" s="8">
        <f t="shared" si="4"/>
        <v>0</v>
      </c>
    </row>
    <row r="950" spans="18:18">
      <c r="R950" s="8">
        <f t="shared" si="4"/>
        <v>0</v>
      </c>
    </row>
    <row r="951" spans="18:18">
      <c r="R951" s="8">
        <f t="shared" si="4"/>
        <v>0</v>
      </c>
    </row>
    <row r="952" spans="18:18">
      <c r="R952" s="8">
        <f t="shared" si="4"/>
        <v>0</v>
      </c>
    </row>
    <row r="953" spans="18:18">
      <c r="R953" s="8">
        <f t="shared" si="4"/>
        <v>0</v>
      </c>
    </row>
    <row r="954" spans="18:18">
      <c r="R954" s="8">
        <f t="shared" si="4"/>
        <v>0</v>
      </c>
    </row>
    <row r="955" spans="18:18">
      <c r="R955" s="8">
        <f t="shared" si="4"/>
        <v>0</v>
      </c>
    </row>
    <row r="956" spans="18:18">
      <c r="R956" s="8">
        <f t="shared" si="4"/>
        <v>0</v>
      </c>
    </row>
    <row r="957" spans="18:18">
      <c r="R957" s="8">
        <f t="shared" si="4"/>
        <v>0</v>
      </c>
    </row>
    <row r="958" spans="18:18">
      <c r="R958" s="8">
        <f t="shared" si="4"/>
        <v>0</v>
      </c>
    </row>
    <row r="959" spans="18:18">
      <c r="R959" s="8">
        <f t="shared" si="4"/>
        <v>0</v>
      </c>
    </row>
    <row r="960" spans="18:18">
      <c r="R960" s="8">
        <f t="shared" si="4"/>
        <v>0</v>
      </c>
    </row>
    <row r="961" spans="18:18">
      <c r="R961" s="8">
        <f t="shared" si="4"/>
        <v>0</v>
      </c>
    </row>
    <row r="962" spans="18:18">
      <c r="R962" s="8">
        <f t="shared" si="4"/>
        <v>0</v>
      </c>
    </row>
    <row r="963" spans="18:18">
      <c r="R963" s="8">
        <f t="shared" si="4"/>
        <v>0</v>
      </c>
    </row>
    <row r="964" spans="18:18">
      <c r="R964" s="8">
        <f t="shared" si="4"/>
        <v>0</v>
      </c>
    </row>
    <row r="965" spans="18:18">
      <c r="R965" s="8">
        <f t="shared" si="4"/>
        <v>0</v>
      </c>
    </row>
    <row r="966" spans="18:18">
      <c r="R966" s="8">
        <f t="shared" si="4"/>
        <v>0</v>
      </c>
    </row>
    <row r="967" spans="18:18">
      <c r="R967" s="8">
        <f t="shared" si="4"/>
        <v>0</v>
      </c>
    </row>
    <row r="968" spans="18:18">
      <c r="R968" s="8">
        <f t="shared" si="4"/>
        <v>0</v>
      </c>
    </row>
    <row r="969" spans="18:18">
      <c r="R969" s="8">
        <f t="shared" si="4"/>
        <v>0</v>
      </c>
    </row>
    <row r="970" spans="18:18">
      <c r="R970" s="8">
        <f t="shared" si="4"/>
        <v>0</v>
      </c>
    </row>
    <row r="971" spans="18:18">
      <c r="R971" s="8">
        <f t="shared" si="4"/>
        <v>0</v>
      </c>
    </row>
    <row r="972" spans="18:18">
      <c r="R972" s="8">
        <f t="shared" si="4"/>
        <v>0</v>
      </c>
    </row>
    <row r="973" spans="18:18">
      <c r="R973" s="8">
        <f t="shared" si="4"/>
        <v>0</v>
      </c>
    </row>
    <row r="974" spans="18:18">
      <c r="R974" s="8">
        <f t="shared" si="4"/>
        <v>0</v>
      </c>
    </row>
    <row r="975" spans="18:18">
      <c r="R975" s="8">
        <f t="shared" si="4"/>
        <v>0</v>
      </c>
    </row>
    <row r="976" spans="18:18">
      <c r="R976" s="8">
        <f t="shared" si="4"/>
        <v>0</v>
      </c>
    </row>
    <row r="977" spans="18:18">
      <c r="R977" s="8">
        <f t="shared" si="4"/>
        <v>0</v>
      </c>
    </row>
    <row r="978" spans="18:18">
      <c r="R978" s="8">
        <f t="shared" si="4"/>
        <v>0</v>
      </c>
    </row>
    <row r="979" spans="18:18">
      <c r="R979" s="8">
        <f t="shared" si="4"/>
        <v>0</v>
      </c>
    </row>
    <row r="980" spans="18:18">
      <c r="R980" s="8">
        <f t="shared" si="4"/>
        <v>0</v>
      </c>
    </row>
    <row r="981" spans="18:18">
      <c r="R981" s="8">
        <f t="shared" si="4"/>
        <v>0</v>
      </c>
    </row>
    <row r="982" spans="18:18">
      <c r="R982" s="8">
        <f t="shared" si="4"/>
        <v>0</v>
      </c>
    </row>
    <row r="983" spans="18:18">
      <c r="R983" s="8">
        <f t="shared" si="4"/>
        <v>0</v>
      </c>
    </row>
    <row r="984" spans="18:18">
      <c r="R984" s="8">
        <f t="shared" si="4"/>
        <v>0</v>
      </c>
    </row>
    <row r="985" spans="18:18">
      <c r="R985" s="8">
        <f t="shared" si="4"/>
        <v>0</v>
      </c>
    </row>
    <row r="986" spans="18:18">
      <c r="R986" s="8">
        <f t="shared" si="4"/>
        <v>0</v>
      </c>
    </row>
    <row r="987" spans="18:18">
      <c r="R987" s="8">
        <f t="shared" si="4"/>
        <v>0</v>
      </c>
    </row>
    <row r="988" spans="18:18">
      <c r="R988" s="8">
        <f t="shared" si="4"/>
        <v>0</v>
      </c>
    </row>
    <row r="989" spans="18:18">
      <c r="R989" s="8">
        <f t="shared" si="4"/>
        <v>0</v>
      </c>
    </row>
    <row r="990" spans="18:18">
      <c r="R990" s="8">
        <f t="shared" si="4"/>
        <v>0</v>
      </c>
    </row>
    <row r="991" spans="18:18">
      <c r="R991" s="8">
        <f t="shared" si="4"/>
        <v>0</v>
      </c>
    </row>
    <row r="992" spans="18:18">
      <c r="R992" s="8">
        <f t="shared" si="4"/>
        <v>0</v>
      </c>
    </row>
    <row r="993" spans="18:18">
      <c r="R993" s="8">
        <f t="shared" si="4"/>
        <v>0</v>
      </c>
    </row>
    <row r="994" spans="18:18">
      <c r="R994" s="8">
        <f t="shared" si="4"/>
        <v>0</v>
      </c>
    </row>
    <row r="995" spans="18:18">
      <c r="R995" s="8">
        <f t="shared" si="4"/>
        <v>0</v>
      </c>
    </row>
    <row r="996" spans="18:18">
      <c r="R996" s="8">
        <f t="shared" si="4"/>
        <v>0</v>
      </c>
    </row>
    <row r="997" spans="18:18">
      <c r="R997" s="8">
        <f t="shared" si="4"/>
        <v>0</v>
      </c>
    </row>
    <row r="998" spans="18:18">
      <c r="R998" s="8">
        <f t="shared" ref="R998:R1061" si="5">IF(P998&gt;0,P998+21916,0)</f>
        <v>0</v>
      </c>
    </row>
    <row r="999" spans="18:18">
      <c r="R999" s="8">
        <f t="shared" si="5"/>
        <v>0</v>
      </c>
    </row>
    <row r="1000" spans="18:18">
      <c r="R1000" s="8">
        <f t="shared" si="5"/>
        <v>0</v>
      </c>
    </row>
    <row r="1001" spans="18:18">
      <c r="R1001" s="8">
        <f t="shared" si="5"/>
        <v>0</v>
      </c>
    </row>
    <row r="1002" spans="18:18">
      <c r="R1002" s="8">
        <f t="shared" si="5"/>
        <v>0</v>
      </c>
    </row>
    <row r="1003" spans="18:18">
      <c r="R1003" s="8">
        <f t="shared" si="5"/>
        <v>0</v>
      </c>
    </row>
    <row r="1004" spans="18:18">
      <c r="R1004" s="8">
        <f t="shared" si="5"/>
        <v>0</v>
      </c>
    </row>
    <row r="1005" spans="18:18">
      <c r="R1005" s="8">
        <f t="shared" si="5"/>
        <v>0</v>
      </c>
    </row>
    <row r="1006" spans="18:18">
      <c r="R1006" s="8">
        <f t="shared" si="5"/>
        <v>0</v>
      </c>
    </row>
    <row r="1007" spans="18:18">
      <c r="R1007" s="8">
        <f t="shared" si="5"/>
        <v>0</v>
      </c>
    </row>
    <row r="1008" spans="18:18">
      <c r="R1008" s="8">
        <f t="shared" si="5"/>
        <v>0</v>
      </c>
    </row>
    <row r="1009" spans="18:18">
      <c r="R1009" s="8">
        <f t="shared" si="5"/>
        <v>0</v>
      </c>
    </row>
    <row r="1010" spans="18:18">
      <c r="R1010" s="8">
        <f t="shared" si="5"/>
        <v>0</v>
      </c>
    </row>
    <row r="1011" spans="18:18">
      <c r="R1011" s="8">
        <f t="shared" si="5"/>
        <v>0</v>
      </c>
    </row>
    <row r="1012" spans="18:18">
      <c r="R1012" s="8">
        <f t="shared" si="5"/>
        <v>0</v>
      </c>
    </row>
    <row r="1013" spans="18:18">
      <c r="R1013" s="8">
        <f t="shared" si="5"/>
        <v>0</v>
      </c>
    </row>
    <row r="1014" spans="18:18">
      <c r="R1014" s="8">
        <f t="shared" si="5"/>
        <v>0</v>
      </c>
    </row>
    <row r="1015" spans="18:18">
      <c r="R1015" s="8">
        <f t="shared" si="5"/>
        <v>0</v>
      </c>
    </row>
    <row r="1016" spans="18:18">
      <c r="R1016" s="8">
        <f t="shared" si="5"/>
        <v>0</v>
      </c>
    </row>
    <row r="1017" spans="18:18">
      <c r="R1017" s="8">
        <f t="shared" si="5"/>
        <v>0</v>
      </c>
    </row>
    <row r="1018" spans="18:18">
      <c r="R1018" s="8">
        <f t="shared" si="5"/>
        <v>0</v>
      </c>
    </row>
    <row r="1019" spans="18:18">
      <c r="R1019" s="8">
        <f t="shared" si="5"/>
        <v>0</v>
      </c>
    </row>
    <row r="1020" spans="18:18">
      <c r="R1020" s="8">
        <f t="shared" si="5"/>
        <v>0</v>
      </c>
    </row>
    <row r="1021" spans="18:18">
      <c r="R1021" s="8">
        <f t="shared" si="5"/>
        <v>0</v>
      </c>
    </row>
    <row r="1022" spans="18:18">
      <c r="R1022" s="8">
        <f t="shared" si="5"/>
        <v>0</v>
      </c>
    </row>
    <row r="1023" spans="18:18">
      <c r="R1023" s="8">
        <f t="shared" si="5"/>
        <v>0</v>
      </c>
    </row>
    <row r="1024" spans="18:18">
      <c r="R1024" s="8">
        <f t="shared" si="5"/>
        <v>0</v>
      </c>
    </row>
    <row r="1025" spans="18:18">
      <c r="R1025" s="8">
        <f t="shared" si="5"/>
        <v>0</v>
      </c>
    </row>
    <row r="1026" spans="18:18">
      <c r="R1026" s="8">
        <f t="shared" si="5"/>
        <v>0</v>
      </c>
    </row>
    <row r="1027" spans="18:18">
      <c r="R1027" s="8">
        <f t="shared" si="5"/>
        <v>0</v>
      </c>
    </row>
    <row r="1028" spans="18:18">
      <c r="R1028" s="8">
        <f t="shared" si="5"/>
        <v>0</v>
      </c>
    </row>
    <row r="1029" spans="18:18">
      <c r="R1029" s="8">
        <f t="shared" si="5"/>
        <v>0</v>
      </c>
    </row>
    <row r="1030" spans="18:18">
      <c r="R1030" s="8">
        <f t="shared" si="5"/>
        <v>0</v>
      </c>
    </row>
    <row r="1031" spans="18:18">
      <c r="R1031" s="8">
        <f t="shared" si="5"/>
        <v>0</v>
      </c>
    </row>
    <row r="1032" spans="18:18">
      <c r="R1032" s="8">
        <f t="shared" si="5"/>
        <v>0</v>
      </c>
    </row>
    <row r="1033" spans="18:18">
      <c r="R1033" s="8">
        <f t="shared" si="5"/>
        <v>0</v>
      </c>
    </row>
    <row r="1034" spans="18:18">
      <c r="R1034" s="8">
        <f t="shared" si="5"/>
        <v>0</v>
      </c>
    </row>
    <row r="1035" spans="18:18">
      <c r="R1035" s="8">
        <f t="shared" si="5"/>
        <v>0</v>
      </c>
    </row>
    <row r="1036" spans="18:18">
      <c r="R1036" s="8">
        <f t="shared" si="5"/>
        <v>0</v>
      </c>
    </row>
    <row r="1037" spans="18:18">
      <c r="R1037" s="8">
        <f t="shared" si="5"/>
        <v>0</v>
      </c>
    </row>
    <row r="1038" spans="18:18">
      <c r="R1038" s="8">
        <f t="shared" si="5"/>
        <v>0</v>
      </c>
    </row>
    <row r="1039" spans="18:18">
      <c r="R1039" s="8">
        <f t="shared" si="5"/>
        <v>0</v>
      </c>
    </row>
    <row r="1040" spans="18:18">
      <c r="R1040" s="8">
        <f t="shared" si="5"/>
        <v>0</v>
      </c>
    </row>
    <row r="1041" spans="18:18">
      <c r="R1041" s="8">
        <f t="shared" si="5"/>
        <v>0</v>
      </c>
    </row>
    <row r="1042" spans="18:18">
      <c r="R1042" s="8">
        <f t="shared" si="5"/>
        <v>0</v>
      </c>
    </row>
    <row r="1043" spans="18:18">
      <c r="R1043" s="8">
        <f t="shared" si="5"/>
        <v>0</v>
      </c>
    </row>
    <row r="1044" spans="18:18">
      <c r="R1044" s="8">
        <f t="shared" si="5"/>
        <v>0</v>
      </c>
    </row>
    <row r="1045" spans="18:18">
      <c r="R1045" s="8">
        <f t="shared" si="5"/>
        <v>0</v>
      </c>
    </row>
    <row r="1046" spans="18:18">
      <c r="R1046" s="8">
        <f t="shared" si="5"/>
        <v>0</v>
      </c>
    </row>
    <row r="1047" spans="18:18">
      <c r="R1047" s="8">
        <f t="shared" si="5"/>
        <v>0</v>
      </c>
    </row>
    <row r="1048" spans="18:18">
      <c r="R1048" s="8">
        <f t="shared" si="5"/>
        <v>0</v>
      </c>
    </row>
    <row r="1049" spans="18:18">
      <c r="R1049" s="8">
        <f t="shared" si="5"/>
        <v>0</v>
      </c>
    </row>
    <row r="1050" spans="18:18">
      <c r="R1050" s="8">
        <f t="shared" si="5"/>
        <v>0</v>
      </c>
    </row>
    <row r="1051" spans="18:18">
      <c r="R1051" s="8">
        <f t="shared" si="5"/>
        <v>0</v>
      </c>
    </row>
    <row r="1052" spans="18:18">
      <c r="R1052" s="8">
        <f t="shared" si="5"/>
        <v>0</v>
      </c>
    </row>
    <row r="1053" spans="18:18">
      <c r="R1053" s="8">
        <f t="shared" si="5"/>
        <v>0</v>
      </c>
    </row>
    <row r="1054" spans="18:18">
      <c r="R1054" s="8">
        <f t="shared" si="5"/>
        <v>0</v>
      </c>
    </row>
    <row r="1055" spans="18:18">
      <c r="R1055" s="8">
        <f t="shared" si="5"/>
        <v>0</v>
      </c>
    </row>
    <row r="1056" spans="18:18">
      <c r="R1056" s="8">
        <f t="shared" si="5"/>
        <v>0</v>
      </c>
    </row>
    <row r="1057" spans="18:18">
      <c r="R1057" s="8">
        <f t="shared" si="5"/>
        <v>0</v>
      </c>
    </row>
    <row r="1058" spans="18:18">
      <c r="R1058" s="8">
        <f t="shared" si="5"/>
        <v>0</v>
      </c>
    </row>
    <row r="1059" spans="18:18">
      <c r="R1059" s="8">
        <f t="shared" si="5"/>
        <v>0</v>
      </c>
    </row>
    <row r="1060" spans="18:18">
      <c r="R1060" s="8">
        <f t="shared" si="5"/>
        <v>0</v>
      </c>
    </row>
    <row r="1061" spans="18:18">
      <c r="R1061" s="8">
        <f t="shared" si="5"/>
        <v>0</v>
      </c>
    </row>
    <row r="1062" spans="18:18">
      <c r="R1062" s="8">
        <f t="shared" ref="R1062:R1125" si="6">IF(P1062&gt;0,P1062+21916,0)</f>
        <v>0</v>
      </c>
    </row>
    <row r="1063" spans="18:18">
      <c r="R1063" s="8">
        <f t="shared" si="6"/>
        <v>0</v>
      </c>
    </row>
    <row r="1064" spans="18:18">
      <c r="R1064" s="8">
        <f t="shared" si="6"/>
        <v>0</v>
      </c>
    </row>
    <row r="1065" spans="18:18">
      <c r="R1065" s="8">
        <f t="shared" si="6"/>
        <v>0</v>
      </c>
    </row>
    <row r="1066" spans="18:18">
      <c r="R1066" s="8">
        <f t="shared" si="6"/>
        <v>0</v>
      </c>
    </row>
    <row r="1067" spans="18:18">
      <c r="R1067" s="8">
        <f t="shared" si="6"/>
        <v>0</v>
      </c>
    </row>
    <row r="1068" spans="18:18">
      <c r="R1068" s="8">
        <f t="shared" si="6"/>
        <v>0</v>
      </c>
    </row>
    <row r="1069" spans="18:18">
      <c r="R1069" s="8">
        <f t="shared" si="6"/>
        <v>0</v>
      </c>
    </row>
    <row r="1070" spans="18:18">
      <c r="R1070" s="8">
        <f t="shared" si="6"/>
        <v>0</v>
      </c>
    </row>
    <row r="1071" spans="18:18">
      <c r="R1071" s="8">
        <f t="shared" si="6"/>
        <v>0</v>
      </c>
    </row>
    <row r="1072" spans="18:18">
      <c r="R1072" s="8">
        <f t="shared" si="6"/>
        <v>0</v>
      </c>
    </row>
    <row r="1073" spans="18:18">
      <c r="R1073" s="8">
        <f t="shared" si="6"/>
        <v>0</v>
      </c>
    </row>
    <row r="1074" spans="18:18">
      <c r="R1074" s="8">
        <f t="shared" si="6"/>
        <v>0</v>
      </c>
    </row>
    <row r="1075" spans="18:18">
      <c r="R1075" s="8">
        <f t="shared" si="6"/>
        <v>0</v>
      </c>
    </row>
    <row r="1076" spans="18:18">
      <c r="R1076" s="8">
        <f t="shared" si="6"/>
        <v>0</v>
      </c>
    </row>
    <row r="1077" spans="18:18">
      <c r="R1077" s="8">
        <f t="shared" si="6"/>
        <v>0</v>
      </c>
    </row>
    <row r="1078" spans="18:18">
      <c r="R1078" s="8">
        <f t="shared" si="6"/>
        <v>0</v>
      </c>
    </row>
    <row r="1079" spans="18:18">
      <c r="R1079" s="8">
        <f t="shared" si="6"/>
        <v>0</v>
      </c>
    </row>
    <row r="1080" spans="18:18">
      <c r="R1080" s="8">
        <f t="shared" si="6"/>
        <v>0</v>
      </c>
    </row>
    <row r="1081" spans="18:18">
      <c r="R1081" s="8">
        <f t="shared" si="6"/>
        <v>0</v>
      </c>
    </row>
    <row r="1082" spans="18:18">
      <c r="R1082" s="8">
        <f t="shared" si="6"/>
        <v>0</v>
      </c>
    </row>
    <row r="1083" spans="18:18">
      <c r="R1083" s="8">
        <f t="shared" si="6"/>
        <v>0</v>
      </c>
    </row>
    <row r="1084" spans="18:18">
      <c r="R1084" s="8">
        <f t="shared" si="6"/>
        <v>0</v>
      </c>
    </row>
    <row r="1085" spans="18:18">
      <c r="R1085" s="8">
        <f t="shared" si="6"/>
        <v>0</v>
      </c>
    </row>
    <row r="1086" spans="18:18">
      <c r="R1086" s="8">
        <f t="shared" si="6"/>
        <v>0</v>
      </c>
    </row>
    <row r="1087" spans="18:18">
      <c r="R1087" s="8">
        <f t="shared" si="6"/>
        <v>0</v>
      </c>
    </row>
    <row r="1088" spans="18:18">
      <c r="R1088" s="8">
        <f t="shared" si="6"/>
        <v>0</v>
      </c>
    </row>
    <row r="1089" spans="18:18">
      <c r="R1089" s="8">
        <f t="shared" si="6"/>
        <v>0</v>
      </c>
    </row>
    <row r="1090" spans="18:18">
      <c r="R1090" s="8">
        <f t="shared" si="6"/>
        <v>0</v>
      </c>
    </row>
    <row r="1091" spans="18:18">
      <c r="R1091" s="8">
        <f t="shared" si="6"/>
        <v>0</v>
      </c>
    </row>
    <row r="1092" spans="18:18">
      <c r="R1092" s="8">
        <f t="shared" si="6"/>
        <v>0</v>
      </c>
    </row>
    <row r="1093" spans="18:18">
      <c r="R1093" s="8">
        <f t="shared" si="6"/>
        <v>0</v>
      </c>
    </row>
    <row r="1094" spans="18:18">
      <c r="R1094" s="8">
        <f t="shared" si="6"/>
        <v>0</v>
      </c>
    </row>
    <row r="1095" spans="18:18">
      <c r="R1095" s="8">
        <f t="shared" si="6"/>
        <v>0</v>
      </c>
    </row>
    <row r="1096" spans="18:18">
      <c r="R1096" s="8">
        <f t="shared" si="6"/>
        <v>0</v>
      </c>
    </row>
    <row r="1097" spans="18:18">
      <c r="R1097" s="8">
        <f t="shared" si="6"/>
        <v>0</v>
      </c>
    </row>
    <row r="1098" spans="18:18">
      <c r="R1098" s="8">
        <f t="shared" si="6"/>
        <v>0</v>
      </c>
    </row>
    <row r="1099" spans="18:18">
      <c r="R1099" s="8">
        <f t="shared" si="6"/>
        <v>0</v>
      </c>
    </row>
    <row r="1100" spans="18:18">
      <c r="R1100" s="8">
        <f t="shared" si="6"/>
        <v>0</v>
      </c>
    </row>
    <row r="1101" spans="18:18">
      <c r="R1101" s="8">
        <f t="shared" si="6"/>
        <v>0</v>
      </c>
    </row>
    <row r="1102" spans="18:18">
      <c r="R1102" s="8">
        <f t="shared" si="6"/>
        <v>0</v>
      </c>
    </row>
    <row r="1103" spans="18:18">
      <c r="R1103" s="8">
        <f t="shared" si="6"/>
        <v>0</v>
      </c>
    </row>
    <row r="1104" spans="18:18">
      <c r="R1104" s="8">
        <f t="shared" si="6"/>
        <v>0</v>
      </c>
    </row>
    <row r="1105" spans="18:18">
      <c r="R1105" s="8">
        <f t="shared" si="6"/>
        <v>0</v>
      </c>
    </row>
    <row r="1106" spans="18:18">
      <c r="R1106" s="8">
        <f t="shared" si="6"/>
        <v>0</v>
      </c>
    </row>
    <row r="1107" spans="18:18">
      <c r="R1107" s="8">
        <f t="shared" si="6"/>
        <v>0</v>
      </c>
    </row>
    <row r="1108" spans="18:18">
      <c r="R1108" s="8">
        <f t="shared" si="6"/>
        <v>0</v>
      </c>
    </row>
    <row r="1109" spans="18:18">
      <c r="R1109" s="8">
        <f t="shared" si="6"/>
        <v>0</v>
      </c>
    </row>
    <row r="1110" spans="18:18">
      <c r="R1110" s="8">
        <f t="shared" si="6"/>
        <v>0</v>
      </c>
    </row>
    <row r="1111" spans="18:18">
      <c r="R1111" s="8">
        <f t="shared" si="6"/>
        <v>0</v>
      </c>
    </row>
    <row r="1112" spans="18:18">
      <c r="R1112" s="8">
        <f t="shared" si="6"/>
        <v>0</v>
      </c>
    </row>
    <row r="1113" spans="18:18">
      <c r="R1113" s="8">
        <f t="shared" si="6"/>
        <v>0</v>
      </c>
    </row>
    <row r="1114" spans="18:18">
      <c r="R1114" s="8">
        <f t="shared" si="6"/>
        <v>0</v>
      </c>
    </row>
    <row r="1115" spans="18:18">
      <c r="R1115" s="8">
        <f t="shared" si="6"/>
        <v>0</v>
      </c>
    </row>
    <row r="1116" spans="18:18">
      <c r="R1116" s="8">
        <f t="shared" si="6"/>
        <v>0</v>
      </c>
    </row>
    <row r="1117" spans="18:18">
      <c r="R1117" s="8">
        <f t="shared" si="6"/>
        <v>0</v>
      </c>
    </row>
    <row r="1118" spans="18:18">
      <c r="R1118" s="8">
        <f t="shared" si="6"/>
        <v>0</v>
      </c>
    </row>
    <row r="1119" spans="18:18">
      <c r="R1119" s="8">
        <f t="shared" si="6"/>
        <v>0</v>
      </c>
    </row>
    <row r="1120" spans="18:18">
      <c r="R1120" s="8">
        <f t="shared" si="6"/>
        <v>0</v>
      </c>
    </row>
    <row r="1121" spans="18:18">
      <c r="R1121" s="8">
        <f t="shared" si="6"/>
        <v>0</v>
      </c>
    </row>
    <row r="1122" spans="18:18">
      <c r="R1122" s="8">
        <f t="shared" si="6"/>
        <v>0</v>
      </c>
    </row>
    <row r="1123" spans="18:18">
      <c r="R1123" s="8">
        <f t="shared" si="6"/>
        <v>0</v>
      </c>
    </row>
    <row r="1124" spans="18:18">
      <c r="R1124" s="8">
        <f t="shared" si="6"/>
        <v>0</v>
      </c>
    </row>
    <row r="1125" spans="18:18">
      <c r="R1125" s="8">
        <f t="shared" si="6"/>
        <v>0</v>
      </c>
    </row>
    <row r="1126" spans="18:18">
      <c r="R1126" s="8">
        <f t="shared" ref="R1126:R1189" si="7">IF(P1126&gt;0,P1126+21916,0)</f>
        <v>0</v>
      </c>
    </row>
    <row r="1127" spans="18:18">
      <c r="R1127" s="8">
        <f t="shared" si="7"/>
        <v>0</v>
      </c>
    </row>
    <row r="1128" spans="18:18">
      <c r="R1128" s="8">
        <f t="shared" si="7"/>
        <v>0</v>
      </c>
    </row>
    <row r="1129" spans="18:18">
      <c r="R1129" s="8">
        <f t="shared" si="7"/>
        <v>0</v>
      </c>
    </row>
    <row r="1130" spans="18:18">
      <c r="R1130" s="8">
        <f t="shared" si="7"/>
        <v>0</v>
      </c>
    </row>
    <row r="1131" spans="18:18">
      <c r="R1131" s="8">
        <f t="shared" si="7"/>
        <v>0</v>
      </c>
    </row>
    <row r="1132" spans="18:18">
      <c r="R1132" s="8">
        <f t="shared" si="7"/>
        <v>0</v>
      </c>
    </row>
    <row r="1133" spans="18:18">
      <c r="R1133" s="8">
        <f t="shared" si="7"/>
        <v>0</v>
      </c>
    </row>
    <row r="1134" spans="18:18">
      <c r="R1134" s="8">
        <f t="shared" si="7"/>
        <v>0</v>
      </c>
    </row>
    <row r="1135" spans="18:18">
      <c r="R1135" s="8">
        <f t="shared" si="7"/>
        <v>0</v>
      </c>
    </row>
    <row r="1136" spans="18:18">
      <c r="R1136" s="8">
        <f t="shared" si="7"/>
        <v>0</v>
      </c>
    </row>
    <row r="1137" spans="18:18">
      <c r="R1137" s="8">
        <f t="shared" si="7"/>
        <v>0</v>
      </c>
    </row>
    <row r="1138" spans="18:18">
      <c r="R1138" s="8">
        <f t="shared" si="7"/>
        <v>0</v>
      </c>
    </row>
    <row r="1139" spans="18:18">
      <c r="R1139" s="8">
        <f t="shared" si="7"/>
        <v>0</v>
      </c>
    </row>
    <row r="1140" spans="18:18">
      <c r="R1140" s="8">
        <f t="shared" si="7"/>
        <v>0</v>
      </c>
    </row>
    <row r="1141" spans="18:18">
      <c r="R1141" s="8">
        <f t="shared" si="7"/>
        <v>0</v>
      </c>
    </row>
    <row r="1142" spans="18:18">
      <c r="R1142" s="8">
        <f t="shared" si="7"/>
        <v>0</v>
      </c>
    </row>
    <row r="1143" spans="18:18">
      <c r="R1143" s="8">
        <f t="shared" si="7"/>
        <v>0</v>
      </c>
    </row>
    <row r="1144" spans="18:18">
      <c r="R1144" s="8">
        <f t="shared" si="7"/>
        <v>0</v>
      </c>
    </row>
    <row r="1145" spans="18:18">
      <c r="R1145" s="8">
        <f t="shared" si="7"/>
        <v>0</v>
      </c>
    </row>
    <row r="1146" spans="18:18">
      <c r="R1146" s="8">
        <f t="shared" si="7"/>
        <v>0</v>
      </c>
    </row>
    <row r="1147" spans="18:18">
      <c r="R1147" s="8">
        <f t="shared" si="7"/>
        <v>0</v>
      </c>
    </row>
    <row r="1148" spans="18:18">
      <c r="R1148" s="8">
        <f t="shared" si="7"/>
        <v>0</v>
      </c>
    </row>
    <row r="1149" spans="18:18">
      <c r="R1149" s="8">
        <f t="shared" si="7"/>
        <v>0</v>
      </c>
    </row>
    <row r="1150" spans="18:18">
      <c r="R1150" s="8">
        <f t="shared" si="7"/>
        <v>0</v>
      </c>
    </row>
    <row r="1151" spans="18:18">
      <c r="R1151" s="8">
        <f t="shared" si="7"/>
        <v>0</v>
      </c>
    </row>
    <row r="1152" spans="18:18">
      <c r="R1152" s="8">
        <f t="shared" si="7"/>
        <v>0</v>
      </c>
    </row>
    <row r="1153" spans="18:18">
      <c r="R1153" s="8">
        <f t="shared" si="7"/>
        <v>0</v>
      </c>
    </row>
    <row r="1154" spans="18:18">
      <c r="R1154" s="8">
        <f t="shared" si="7"/>
        <v>0</v>
      </c>
    </row>
    <row r="1155" spans="18:18">
      <c r="R1155" s="8">
        <f t="shared" si="7"/>
        <v>0</v>
      </c>
    </row>
    <row r="1156" spans="18:18">
      <c r="R1156" s="8">
        <f t="shared" si="7"/>
        <v>0</v>
      </c>
    </row>
    <row r="1157" spans="18:18">
      <c r="R1157" s="8">
        <f t="shared" si="7"/>
        <v>0</v>
      </c>
    </row>
    <row r="1158" spans="18:18">
      <c r="R1158" s="8">
        <f t="shared" si="7"/>
        <v>0</v>
      </c>
    </row>
    <row r="1159" spans="18:18">
      <c r="R1159" s="8">
        <f t="shared" si="7"/>
        <v>0</v>
      </c>
    </row>
    <row r="1160" spans="18:18">
      <c r="R1160" s="8">
        <f t="shared" si="7"/>
        <v>0</v>
      </c>
    </row>
    <row r="1161" spans="18:18">
      <c r="R1161" s="8">
        <f t="shared" si="7"/>
        <v>0</v>
      </c>
    </row>
    <row r="1162" spans="18:18">
      <c r="R1162" s="8">
        <f t="shared" si="7"/>
        <v>0</v>
      </c>
    </row>
    <row r="1163" spans="18:18">
      <c r="R1163" s="8">
        <f t="shared" si="7"/>
        <v>0</v>
      </c>
    </row>
    <row r="1164" spans="18:18">
      <c r="R1164" s="8">
        <f t="shared" si="7"/>
        <v>0</v>
      </c>
    </row>
    <row r="1165" spans="18:18">
      <c r="R1165" s="8">
        <f t="shared" si="7"/>
        <v>0</v>
      </c>
    </row>
    <row r="1166" spans="18:18">
      <c r="R1166" s="8">
        <f t="shared" si="7"/>
        <v>0</v>
      </c>
    </row>
    <row r="1167" spans="18:18">
      <c r="R1167" s="8">
        <f t="shared" si="7"/>
        <v>0</v>
      </c>
    </row>
    <row r="1168" spans="18:18">
      <c r="R1168" s="8">
        <f t="shared" si="7"/>
        <v>0</v>
      </c>
    </row>
    <row r="1169" spans="18:18">
      <c r="R1169" s="8">
        <f t="shared" si="7"/>
        <v>0</v>
      </c>
    </row>
    <row r="1170" spans="18:18">
      <c r="R1170" s="8">
        <f t="shared" si="7"/>
        <v>0</v>
      </c>
    </row>
    <row r="1171" spans="18:18">
      <c r="R1171" s="8">
        <f t="shared" si="7"/>
        <v>0</v>
      </c>
    </row>
    <row r="1172" spans="18:18">
      <c r="R1172" s="8">
        <f t="shared" si="7"/>
        <v>0</v>
      </c>
    </row>
    <row r="1173" spans="18:18">
      <c r="R1173" s="8">
        <f t="shared" si="7"/>
        <v>0</v>
      </c>
    </row>
    <row r="1174" spans="18:18">
      <c r="R1174" s="8">
        <f t="shared" si="7"/>
        <v>0</v>
      </c>
    </row>
    <row r="1175" spans="18:18">
      <c r="R1175" s="8">
        <f t="shared" si="7"/>
        <v>0</v>
      </c>
    </row>
    <row r="1176" spans="18:18">
      <c r="R1176" s="8">
        <f t="shared" si="7"/>
        <v>0</v>
      </c>
    </row>
    <row r="1177" spans="18:18">
      <c r="R1177" s="8">
        <f t="shared" si="7"/>
        <v>0</v>
      </c>
    </row>
    <row r="1178" spans="18:18">
      <c r="R1178" s="8">
        <f t="shared" si="7"/>
        <v>0</v>
      </c>
    </row>
    <row r="1179" spans="18:18">
      <c r="R1179" s="8">
        <f t="shared" si="7"/>
        <v>0</v>
      </c>
    </row>
    <row r="1180" spans="18:18">
      <c r="R1180" s="8">
        <f t="shared" si="7"/>
        <v>0</v>
      </c>
    </row>
    <row r="1181" spans="18:18">
      <c r="R1181" s="8">
        <f t="shared" si="7"/>
        <v>0</v>
      </c>
    </row>
    <row r="1182" spans="18:18">
      <c r="R1182" s="8">
        <f t="shared" si="7"/>
        <v>0</v>
      </c>
    </row>
    <row r="1183" spans="18:18">
      <c r="R1183" s="8">
        <f t="shared" si="7"/>
        <v>0</v>
      </c>
    </row>
    <row r="1184" spans="18:18">
      <c r="R1184" s="8">
        <f t="shared" si="7"/>
        <v>0</v>
      </c>
    </row>
    <row r="1185" spans="18:18">
      <c r="R1185" s="8">
        <f t="shared" si="7"/>
        <v>0</v>
      </c>
    </row>
    <row r="1186" spans="18:18">
      <c r="R1186" s="8">
        <f t="shared" si="7"/>
        <v>0</v>
      </c>
    </row>
    <row r="1187" spans="18:18">
      <c r="R1187" s="8">
        <f t="shared" si="7"/>
        <v>0</v>
      </c>
    </row>
    <row r="1188" spans="18:18">
      <c r="R1188" s="8">
        <f t="shared" si="7"/>
        <v>0</v>
      </c>
    </row>
    <row r="1189" spans="18:18">
      <c r="R1189" s="8">
        <f t="shared" si="7"/>
        <v>0</v>
      </c>
    </row>
    <row r="1190" spans="18:18">
      <c r="R1190" s="8">
        <f t="shared" ref="R1190:R1228" si="8">IF(P1190&gt;0,P1190+21916,0)</f>
        <v>0</v>
      </c>
    </row>
    <row r="1191" spans="18:18">
      <c r="R1191" s="8">
        <f t="shared" si="8"/>
        <v>0</v>
      </c>
    </row>
    <row r="1192" spans="18:18">
      <c r="R1192" s="8">
        <f t="shared" si="8"/>
        <v>0</v>
      </c>
    </row>
    <row r="1193" spans="18:18">
      <c r="R1193" s="8">
        <f t="shared" si="8"/>
        <v>0</v>
      </c>
    </row>
    <row r="1194" spans="18:18">
      <c r="R1194" s="8">
        <f t="shared" si="8"/>
        <v>0</v>
      </c>
    </row>
    <row r="1195" spans="18:18">
      <c r="R1195" s="8">
        <f t="shared" si="8"/>
        <v>0</v>
      </c>
    </row>
    <row r="1196" spans="18:18">
      <c r="R1196" s="8">
        <f t="shared" si="8"/>
        <v>0</v>
      </c>
    </row>
    <row r="1197" spans="18:18">
      <c r="R1197" s="8">
        <f t="shared" si="8"/>
        <v>0</v>
      </c>
    </row>
    <row r="1198" spans="18:18">
      <c r="R1198" s="8">
        <f t="shared" si="8"/>
        <v>0</v>
      </c>
    </row>
    <row r="1199" spans="18:18">
      <c r="R1199" s="8">
        <f t="shared" si="8"/>
        <v>0</v>
      </c>
    </row>
    <row r="1200" spans="18:18">
      <c r="R1200" s="8">
        <f t="shared" si="8"/>
        <v>0</v>
      </c>
    </row>
    <row r="1201" spans="18:18">
      <c r="R1201" s="8">
        <f t="shared" si="8"/>
        <v>0</v>
      </c>
    </row>
    <row r="1202" spans="18:18">
      <c r="R1202" s="8">
        <f t="shared" si="8"/>
        <v>0</v>
      </c>
    </row>
    <row r="1203" spans="18:18">
      <c r="R1203" s="8">
        <f t="shared" si="8"/>
        <v>0</v>
      </c>
    </row>
    <row r="1204" spans="18:18">
      <c r="R1204" s="8">
        <f t="shared" si="8"/>
        <v>0</v>
      </c>
    </row>
    <row r="1205" spans="18:18">
      <c r="R1205" s="8">
        <f t="shared" si="8"/>
        <v>0</v>
      </c>
    </row>
    <row r="1206" spans="18:18">
      <c r="R1206" s="8">
        <f t="shared" si="8"/>
        <v>0</v>
      </c>
    </row>
    <row r="1207" spans="18:18">
      <c r="R1207" s="8">
        <f t="shared" si="8"/>
        <v>0</v>
      </c>
    </row>
    <row r="1208" spans="18:18">
      <c r="R1208" s="8">
        <f t="shared" si="8"/>
        <v>0</v>
      </c>
    </row>
    <row r="1209" spans="18:18">
      <c r="R1209" s="8">
        <f t="shared" si="8"/>
        <v>0</v>
      </c>
    </row>
    <row r="1210" spans="18:18">
      <c r="R1210" s="8">
        <f t="shared" si="8"/>
        <v>0</v>
      </c>
    </row>
    <row r="1211" spans="18:18">
      <c r="R1211" s="8">
        <f t="shared" si="8"/>
        <v>0</v>
      </c>
    </row>
    <row r="1212" spans="18:18">
      <c r="R1212" s="8">
        <f t="shared" si="8"/>
        <v>0</v>
      </c>
    </row>
    <row r="1213" spans="18:18">
      <c r="R1213" s="8">
        <f t="shared" si="8"/>
        <v>0</v>
      </c>
    </row>
    <row r="1214" spans="18:18">
      <c r="R1214" s="8">
        <f t="shared" si="8"/>
        <v>0</v>
      </c>
    </row>
    <row r="1215" spans="18:18">
      <c r="R1215" s="8">
        <f t="shared" si="8"/>
        <v>0</v>
      </c>
    </row>
    <row r="1216" spans="18:18">
      <c r="R1216" s="8">
        <f t="shared" si="8"/>
        <v>0</v>
      </c>
    </row>
    <row r="1217" spans="18:18">
      <c r="R1217" s="8">
        <f t="shared" si="8"/>
        <v>0</v>
      </c>
    </row>
    <row r="1218" spans="18:18">
      <c r="R1218" s="8">
        <f t="shared" si="8"/>
        <v>0</v>
      </c>
    </row>
    <row r="1219" spans="18:18">
      <c r="R1219" s="8">
        <f t="shared" si="8"/>
        <v>0</v>
      </c>
    </row>
    <row r="1220" spans="18:18">
      <c r="R1220" s="8">
        <f t="shared" si="8"/>
        <v>0</v>
      </c>
    </row>
    <row r="1221" spans="18:18">
      <c r="R1221" s="8">
        <f t="shared" si="8"/>
        <v>0</v>
      </c>
    </row>
    <row r="1222" spans="18:18">
      <c r="R1222" s="8">
        <f t="shared" si="8"/>
        <v>0</v>
      </c>
    </row>
    <row r="1223" spans="18:18">
      <c r="R1223" s="8">
        <f t="shared" si="8"/>
        <v>0</v>
      </c>
    </row>
    <row r="1224" spans="18:18">
      <c r="R1224" s="8">
        <f t="shared" si="8"/>
        <v>0</v>
      </c>
    </row>
    <row r="1225" spans="18:18">
      <c r="R1225" s="8">
        <f t="shared" si="8"/>
        <v>0</v>
      </c>
    </row>
    <row r="1226" spans="18:18">
      <c r="R1226" s="8">
        <f t="shared" si="8"/>
        <v>0</v>
      </c>
    </row>
    <row r="1227" spans="18:18">
      <c r="R1227" s="8">
        <f t="shared" si="8"/>
        <v>0</v>
      </c>
    </row>
    <row r="1228" spans="18:18">
      <c r="R1228" s="8">
        <f t="shared" si="8"/>
        <v>0</v>
      </c>
    </row>
    <row r="50001" spans="2:18" ht="3" customHeight="1"/>
    <row r="50002" spans="2:18">
      <c r="B50002" s="236"/>
      <c r="C50002" s="236"/>
      <c r="D50002" s="236"/>
      <c r="E50002" s="237"/>
      <c r="F50002" s="237"/>
      <c r="G50002" s="237"/>
      <c r="H50002" s="237"/>
      <c r="I50002" s="236"/>
      <c r="J50002" s="236"/>
      <c r="K50002" s="236"/>
      <c r="L50002" s="236"/>
      <c r="M50002" s="236"/>
      <c r="N50002" s="236"/>
      <c r="O50002" s="236"/>
      <c r="P50002" s="236"/>
      <c r="Q50002" s="238"/>
      <c r="R50002" s="238"/>
    </row>
    <row r="50003" spans="2:18">
      <c r="B50003" s="239"/>
      <c r="C50003" s="239"/>
      <c r="D50003" s="239"/>
      <c r="E50003" s="240"/>
      <c r="F50003" s="240"/>
      <c r="G50003" s="240"/>
      <c r="H50003" s="240"/>
      <c r="I50003" s="239"/>
      <c r="J50003" s="239"/>
      <c r="K50003" s="239"/>
      <c r="L50003" s="239"/>
      <c r="M50003" s="239"/>
      <c r="N50003" s="239"/>
      <c r="O50003" s="239"/>
      <c r="P50003" s="239"/>
      <c r="Q50003" s="241"/>
      <c r="R50003" s="241"/>
    </row>
    <row r="50004" spans="2:18">
      <c r="B50004" s="236"/>
      <c r="C50004" s="236"/>
      <c r="D50004" s="236"/>
      <c r="E50004" s="237"/>
      <c r="F50004" s="237"/>
      <c r="G50004" s="237"/>
      <c r="H50004" s="237"/>
      <c r="I50004" s="236"/>
      <c r="J50004" s="236"/>
      <c r="K50004" s="236"/>
      <c r="L50004" s="236"/>
      <c r="M50004" s="236"/>
      <c r="N50004" s="236"/>
      <c r="O50004" s="236"/>
      <c r="P50004" s="236"/>
      <c r="Q50004" s="238"/>
      <c r="R50004" s="238"/>
    </row>
    <row r="50009" spans="2:18">
      <c r="G50009" s="233">
        <f>SUM(G112:G50001)</f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Plan5">
    <tabColor theme="8" tint="0.39997558519241921"/>
  </sheetPr>
  <dimension ref="A1:U1"/>
  <sheetViews>
    <sheetView topLeftCell="G1" zoomScale="70" zoomScaleNormal="70" workbookViewId="0">
      <selection activeCell="M168" sqref="M168"/>
    </sheetView>
  </sheetViews>
  <sheetFormatPr defaultColWidth="17.140625" defaultRowHeight="15.75"/>
  <cols>
    <col min="4" max="4" width="36" customWidth="1"/>
    <col min="5" max="6" width="29.5703125" customWidth="1"/>
  </cols>
  <sheetData>
    <row r="1" spans="1:21">
      <c r="A1" t="s">
        <v>1620</v>
      </c>
      <c r="B1" t="s">
        <v>1096</v>
      </c>
      <c r="C1" t="s">
        <v>1632</v>
      </c>
      <c r="D1" t="s">
        <v>1013</v>
      </c>
      <c r="E1" t="s">
        <v>1633</v>
      </c>
      <c r="F1" t="s">
        <v>66</v>
      </c>
      <c r="G1" t="s">
        <v>638</v>
      </c>
      <c r="H1" t="s">
        <v>1097</v>
      </c>
      <c r="I1" t="s">
        <v>158</v>
      </c>
      <c r="J1" t="s">
        <v>1624</v>
      </c>
      <c r="K1" t="s">
        <v>1634</v>
      </c>
      <c r="L1" t="s">
        <v>1635</v>
      </c>
      <c r="M1" t="s">
        <v>1636</v>
      </c>
      <c r="N1" t="s">
        <v>1107</v>
      </c>
      <c r="O1" t="s">
        <v>1637</v>
      </c>
      <c r="P1" t="s">
        <v>1638</v>
      </c>
      <c r="Q1" t="s">
        <v>1639</v>
      </c>
      <c r="R1" t="s">
        <v>1640</v>
      </c>
      <c r="S1" t="s">
        <v>270</v>
      </c>
      <c r="T1" t="s">
        <v>1641</v>
      </c>
      <c r="U1" t="s">
        <v>1642</v>
      </c>
    </row>
  </sheetData>
  <dataConsolidate/>
  <pageMargins left="0.511811024" right="0.511811024" top="0.78740157499999996" bottom="0.78740157499999996" header="0.31496062000000002" footer="0.3149606200000000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Plan3">
    <tabColor theme="8" tint="0.59999389629810485"/>
  </sheetPr>
  <dimension ref="A1"/>
  <sheetViews>
    <sheetView workbookViewId="0">
      <selection activeCell="A9" sqref="A9"/>
    </sheetView>
  </sheetViews>
  <sheetFormatPr defaultRowHeight="15.75"/>
  <cols>
    <col min="1" max="1" width="41.28515625" bestFit="1" customWidth="1"/>
    <col min="2" max="2" width="34.28515625" bestFit="1" customWidth="1"/>
    <col min="3" max="3" width="18.140625" bestFit="1" customWidth="1"/>
    <col min="4" max="4" width="34.28515625" bestFit="1" customWidth="1"/>
    <col min="5" max="5" width="11.5703125" customWidth="1"/>
    <col min="6" max="6" width="7.85546875" bestFit="1" customWidth="1"/>
    <col min="7" max="7" width="11.28515625" bestFit="1" customWidth="1"/>
    <col min="8" max="8" width="7" bestFit="1" customWidth="1"/>
    <col min="9" max="9" width="12.85546875" bestFit="1" customWidth="1"/>
    <col min="14" max="14" width="12.85546875" bestFit="1" customWidth="1"/>
  </cols>
  <sheetData/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Plan11">
    <tabColor theme="1"/>
  </sheetPr>
  <dimension ref="B2:O3692"/>
  <sheetViews>
    <sheetView showGridLines="0" zoomScale="115" workbookViewId="0">
      <pane xSplit="1" ySplit="6" topLeftCell="B398" activePane="bottomRight" state="frozen"/>
      <selection pane="topRight" activeCell="B1" sqref="B1"/>
      <selection pane="bottomLeft" activeCell="A7" sqref="A7"/>
      <selection pane="bottomRight" activeCell="E358" sqref="E358"/>
    </sheetView>
  </sheetViews>
  <sheetFormatPr defaultColWidth="9.140625" defaultRowHeight="12.75"/>
  <cols>
    <col min="1" max="1" width="9.140625" style="1"/>
    <col min="2" max="2" width="18.85546875" style="2" customWidth="1"/>
    <col min="3" max="4" width="13.42578125" style="2" customWidth="1"/>
    <col min="5" max="5" width="13.42578125" style="1" customWidth="1"/>
    <col min="6" max="6" width="14.5703125" style="1" customWidth="1"/>
    <col min="7" max="7" width="18.85546875" style="4" bestFit="1" customWidth="1"/>
    <col min="8" max="8" width="6.140625" style="1" customWidth="1"/>
    <col min="9" max="9" width="12.85546875" style="1" bestFit="1" customWidth="1"/>
    <col min="10" max="16384" width="9.140625" style="1"/>
  </cols>
  <sheetData>
    <row r="2" spans="2:15" ht="15">
      <c r="B2" s="1677" t="s">
        <v>1643</v>
      </c>
      <c r="D2" s="3" t="s">
        <v>1644</v>
      </c>
    </row>
    <row r="3" spans="2:15">
      <c r="B3" s="5"/>
    </row>
    <row r="6" spans="2:15">
      <c r="B6" s="1461" t="s">
        <v>1645</v>
      </c>
      <c r="C6" s="1461" t="s">
        <v>1646</v>
      </c>
      <c r="D6" s="1461" t="s">
        <v>899</v>
      </c>
      <c r="E6" s="6" t="s">
        <v>1647</v>
      </c>
      <c r="F6" s="6" t="s">
        <v>1648</v>
      </c>
      <c r="G6" s="1462" t="s">
        <v>1649</v>
      </c>
      <c r="K6" s="1644" t="s">
        <v>1650</v>
      </c>
      <c r="L6" s="1567" t="s">
        <v>36</v>
      </c>
      <c r="M6" s="1568" t="s">
        <v>1651</v>
      </c>
      <c r="N6" s="1567" t="s">
        <v>1546</v>
      </c>
      <c r="O6" s="1645" t="s">
        <v>1652</v>
      </c>
    </row>
    <row r="7" spans="2:15">
      <c r="B7" s="1463">
        <v>32629</v>
      </c>
      <c r="C7" s="1464">
        <v>2.5789999999999999E-5</v>
      </c>
      <c r="D7" s="1464">
        <v>3.4132578959999998E-4</v>
      </c>
      <c r="E7" s="1464">
        <v>0</v>
      </c>
      <c r="F7" s="1464">
        <v>1</v>
      </c>
      <c r="K7" s="1646">
        <v>42064</v>
      </c>
      <c r="L7" s="1647"/>
      <c r="M7" s="1648">
        <v>0</v>
      </c>
      <c r="N7" s="1649">
        <v>1</v>
      </c>
      <c r="O7" s="1649">
        <v>1</v>
      </c>
    </row>
    <row r="8" spans="2:15">
      <c r="B8" s="1463">
        <v>32660</v>
      </c>
      <c r="C8" s="1464">
        <v>3.0859999999999999E-5</v>
      </c>
      <c r="D8" s="1464">
        <v>4.3911559890000003E-4</v>
      </c>
      <c r="E8" s="1464">
        <v>0</v>
      </c>
      <c r="F8" s="1464">
        <v>1</v>
      </c>
      <c r="G8" s="10"/>
      <c r="K8" s="1646">
        <v>42065</v>
      </c>
      <c r="L8" s="1647" t="s">
        <v>1653</v>
      </c>
      <c r="M8" s="1648">
        <v>4.5512999999999998E-2</v>
      </c>
      <c r="N8" s="1649">
        <v>1.00045513</v>
      </c>
      <c r="O8" s="1649">
        <v>1.00045513</v>
      </c>
    </row>
    <row r="9" spans="2:15">
      <c r="B9" s="1463">
        <v>32690</v>
      </c>
      <c r="C9" s="1464">
        <v>4.1940000000000002E-5</v>
      </c>
      <c r="D9" s="1464">
        <v>5.6092617030000002E-4</v>
      </c>
      <c r="E9" s="1464">
        <v>0</v>
      </c>
      <c r="F9" s="1464">
        <v>1</v>
      </c>
      <c r="K9" s="1646">
        <v>42066</v>
      </c>
      <c r="L9" s="1647" t="s">
        <v>1653</v>
      </c>
      <c r="M9" s="1648">
        <v>4.5512999999999998E-2</v>
      </c>
      <c r="N9" s="1649">
        <v>1.0009104671433169</v>
      </c>
      <c r="O9" s="1649">
        <v>1.0009104671433169</v>
      </c>
    </row>
    <row r="10" spans="2:15">
      <c r="B10" s="1463">
        <v>32721</v>
      </c>
      <c r="C10" s="1464">
        <v>5.7429999999999997E-5</v>
      </c>
      <c r="D10" s="1464">
        <v>7.5001448160000002E-4</v>
      </c>
      <c r="E10" s="1464">
        <v>0</v>
      </c>
      <c r="F10" s="1464">
        <v>1</v>
      </c>
      <c r="K10" s="1646">
        <v>42067</v>
      </c>
      <c r="L10" s="1647" t="s">
        <v>1653</v>
      </c>
      <c r="M10" s="1648">
        <v>4.5512999999999998E-2</v>
      </c>
      <c r="N10" s="1649">
        <v>1.0013660115242278</v>
      </c>
      <c r="O10" s="1649">
        <v>1.0013660115242278</v>
      </c>
    </row>
    <row r="11" spans="2:15">
      <c r="B11" s="1463">
        <v>32752</v>
      </c>
      <c r="C11" s="1464">
        <v>8.0350000000000001E-5</v>
      </c>
      <c r="D11" s="1464">
        <v>1.031719911E-3</v>
      </c>
      <c r="E11" s="1464">
        <v>0</v>
      </c>
      <c r="F11" s="1464">
        <v>1</v>
      </c>
      <c r="K11" s="1646">
        <v>42068</v>
      </c>
      <c r="L11" s="1647" t="s">
        <v>1653</v>
      </c>
      <c r="M11" s="1648">
        <v>4.7279000000000002E-2</v>
      </c>
      <c r="N11" s="1649">
        <v>1.0018394473608161</v>
      </c>
      <c r="O11" s="1649">
        <v>1.0018394473608161</v>
      </c>
    </row>
    <row r="12" spans="2:15">
      <c r="B12" s="1463">
        <v>32782</v>
      </c>
      <c r="C12" s="1464">
        <v>1.13E-4</v>
      </c>
      <c r="D12" s="1464">
        <v>1.4420348808E-3</v>
      </c>
      <c r="E12" s="1464">
        <v>0</v>
      </c>
      <c r="F12" s="1464">
        <v>1</v>
      </c>
      <c r="K12" s="1646">
        <v>42069</v>
      </c>
      <c r="L12" s="1647" t="s">
        <v>1653</v>
      </c>
      <c r="M12" s="1648">
        <v>4.7279000000000002E-2</v>
      </c>
      <c r="N12" s="1649">
        <v>1.0023131070331337</v>
      </c>
      <c r="O12" s="1649">
        <v>1.0023131070331337</v>
      </c>
    </row>
    <row r="13" spans="2:15">
      <c r="B13" s="1463">
        <v>32813</v>
      </c>
      <c r="C13" s="1464">
        <v>1.5873999999999999E-4</v>
      </c>
      <c r="D13" s="1464">
        <v>2.1316159802999999E-3</v>
      </c>
      <c r="E13" s="1464">
        <v>0</v>
      </c>
      <c r="F13" s="1464">
        <v>1</v>
      </c>
      <c r="K13" s="1646">
        <v>42070</v>
      </c>
      <c r="L13" s="1647"/>
      <c r="M13" s="1648">
        <v>0</v>
      </c>
      <c r="N13" s="1649">
        <v>1.0023131070331337</v>
      </c>
      <c r="O13" s="1649">
        <v>1.0023131070331337</v>
      </c>
    </row>
    <row r="14" spans="2:15">
      <c r="B14" s="1463">
        <v>32843</v>
      </c>
      <c r="C14" s="1464">
        <v>2.3356000000000001E-4</v>
      </c>
      <c r="D14" s="1464">
        <v>3.2293981927000001E-3</v>
      </c>
      <c r="E14" s="1464">
        <v>0</v>
      </c>
      <c r="F14" s="1464">
        <v>1</v>
      </c>
      <c r="K14" s="1646">
        <v>42071</v>
      </c>
      <c r="L14" s="1647"/>
      <c r="M14" s="1648">
        <v>0</v>
      </c>
      <c r="N14" s="1649">
        <v>1.0023131070331337</v>
      </c>
      <c r="O14" s="1649">
        <v>1.0023131070331337</v>
      </c>
    </row>
    <row r="15" spans="2:15">
      <c r="B15" s="1463">
        <v>32874</v>
      </c>
      <c r="C15" s="1464">
        <v>3.7711E-4</v>
      </c>
      <c r="D15" s="1464">
        <v>5.4108567453999999E-3</v>
      </c>
      <c r="E15" s="1464">
        <v>0</v>
      </c>
      <c r="F15" s="1464">
        <v>1</v>
      </c>
      <c r="K15" s="1646">
        <v>42072</v>
      </c>
      <c r="L15" s="1647" t="s">
        <v>1653</v>
      </c>
      <c r="M15" s="1648">
        <v>4.7279000000000002E-2</v>
      </c>
      <c r="N15" s="1649">
        <v>1.0027869906470077</v>
      </c>
      <c r="O15" s="1649">
        <v>1.0027869906470077</v>
      </c>
    </row>
    <row r="16" spans="2:15">
      <c r="B16" s="1463">
        <v>32905</v>
      </c>
      <c r="C16" s="1464">
        <v>6.8364999999999995E-4</v>
      </c>
      <c r="D16" s="1464">
        <v>9.5084984832999996E-3</v>
      </c>
      <c r="E16" s="1464">
        <v>0</v>
      </c>
      <c r="F16" s="1464">
        <v>1</v>
      </c>
      <c r="K16" s="1646">
        <v>42073</v>
      </c>
      <c r="L16" s="1647" t="s">
        <v>1653</v>
      </c>
      <c r="M16" s="1648">
        <v>4.7279000000000002E-2</v>
      </c>
      <c r="N16" s="1649">
        <v>1.0032610983083157</v>
      </c>
      <c r="O16" s="1649">
        <v>1.0032610983083157</v>
      </c>
    </row>
    <row r="17" spans="2:15">
      <c r="B17" s="1463">
        <v>32933</v>
      </c>
      <c r="C17" s="1464">
        <v>1.2575500000000001E-3</v>
      </c>
      <c r="D17" s="1464">
        <v>1.7342550351000002E-2</v>
      </c>
      <c r="E17" s="1464">
        <v>0</v>
      </c>
      <c r="F17" s="1464">
        <v>1</v>
      </c>
      <c r="K17" s="1646">
        <v>42074</v>
      </c>
      <c r="L17" s="1647" t="s">
        <v>1653</v>
      </c>
      <c r="M17" s="1648">
        <v>4.7279000000000002E-2</v>
      </c>
      <c r="N17" s="1649">
        <v>1.0037354301229848</v>
      </c>
      <c r="O17" s="1649">
        <v>1.0037354301229848</v>
      </c>
    </row>
    <row r="18" spans="2:15">
      <c r="B18" s="1463">
        <v>32964</v>
      </c>
      <c r="C18" s="1464">
        <v>1.61407E-3</v>
      </c>
      <c r="D18" s="1464">
        <v>2.00341140678E-2</v>
      </c>
      <c r="E18" s="1464">
        <v>0</v>
      </c>
      <c r="F18" s="1464">
        <v>1</v>
      </c>
      <c r="K18" s="1646">
        <v>42075</v>
      </c>
      <c r="L18" s="1647" t="s">
        <v>1653</v>
      </c>
      <c r="M18" s="1648">
        <v>4.7279000000000002E-2</v>
      </c>
      <c r="N18" s="1649">
        <v>1.0042099861969926</v>
      </c>
      <c r="O18" s="1649">
        <v>1.0042099861969926</v>
      </c>
    </row>
    <row r="19" spans="2:15">
      <c r="B19" s="1463">
        <v>32994</v>
      </c>
      <c r="C19" s="1464">
        <v>1.70973E-3</v>
      </c>
      <c r="D19" s="1464">
        <v>2.1554703244099999E-2</v>
      </c>
      <c r="E19" s="1464">
        <v>0</v>
      </c>
      <c r="F19" s="1464">
        <v>1</v>
      </c>
      <c r="K19" s="1646">
        <v>42076</v>
      </c>
      <c r="L19" s="1647" t="s">
        <v>1653</v>
      </c>
      <c r="M19" s="1648">
        <v>4.7279000000000002E-2</v>
      </c>
      <c r="N19" s="1649">
        <v>1.0046847666363665</v>
      </c>
      <c r="O19" s="1649">
        <v>1.0046847666363665</v>
      </c>
    </row>
    <row r="20" spans="2:15">
      <c r="B20" s="1463">
        <v>33025</v>
      </c>
      <c r="C20" s="1464">
        <v>1.87962E-3</v>
      </c>
      <c r="D20" s="1464">
        <v>2.4087380951899998E-2</v>
      </c>
      <c r="E20" s="1464">
        <v>0</v>
      </c>
      <c r="F20" s="1464">
        <v>1</v>
      </c>
      <c r="K20" s="1646">
        <v>42077</v>
      </c>
      <c r="L20" s="1647"/>
      <c r="M20" s="1648">
        <v>0</v>
      </c>
      <c r="N20" s="1649">
        <v>1.0046847666363665</v>
      </c>
      <c r="O20" s="1649">
        <v>1.0046847666363665</v>
      </c>
    </row>
    <row r="21" spans="2:15">
      <c r="B21" s="1463">
        <v>33055</v>
      </c>
      <c r="C21" s="1464">
        <v>2.10539E-3</v>
      </c>
      <c r="D21" s="1464">
        <v>2.7199470492E-2</v>
      </c>
      <c r="E21" s="1464">
        <v>0</v>
      </c>
      <c r="F21" s="1464">
        <v>1</v>
      </c>
      <c r="K21" s="1646">
        <v>42078</v>
      </c>
      <c r="L21" s="1647"/>
      <c r="M21" s="1648">
        <v>0</v>
      </c>
      <c r="N21" s="1649">
        <v>1.0046847666363665</v>
      </c>
      <c r="O21" s="1649">
        <v>1.0046847666363665</v>
      </c>
    </row>
    <row r="22" spans="2:15">
      <c r="B22" s="1463">
        <v>33086</v>
      </c>
      <c r="C22" s="1464">
        <v>2.39215E-3</v>
      </c>
      <c r="D22" s="1464">
        <v>3.0702762318699998E-2</v>
      </c>
      <c r="E22" s="1464">
        <v>0</v>
      </c>
      <c r="F22" s="1464">
        <v>1</v>
      </c>
      <c r="K22" s="1646">
        <v>42079</v>
      </c>
      <c r="L22" s="1647" t="s">
        <v>1653</v>
      </c>
      <c r="M22" s="1648">
        <v>4.7279000000000002E-2</v>
      </c>
      <c r="N22" s="1649">
        <v>1.0051597715471845</v>
      </c>
      <c r="O22" s="1649">
        <v>1.0051597715471845</v>
      </c>
    </row>
    <row r="23" spans="2:15">
      <c r="B23" s="1463">
        <v>33117</v>
      </c>
      <c r="C23" s="1464">
        <v>2.6984000000000001E-3</v>
      </c>
      <c r="D23" s="1464">
        <v>3.51270304097E-2</v>
      </c>
      <c r="E23" s="1464">
        <v>0</v>
      </c>
      <c r="F23" s="1464">
        <v>1</v>
      </c>
      <c r="K23" s="1646">
        <v>42080</v>
      </c>
      <c r="L23" s="1647" t="s">
        <v>1653</v>
      </c>
      <c r="M23" s="1648">
        <v>4.7279000000000002E-2</v>
      </c>
      <c r="N23" s="1649">
        <v>1.0056350010355741</v>
      </c>
      <c r="O23" s="1649">
        <v>1.0056350010355741</v>
      </c>
    </row>
    <row r="24" spans="2:15">
      <c r="B24" s="1463">
        <v>33147</v>
      </c>
      <c r="C24" s="1464">
        <v>3.0483699999999999E-3</v>
      </c>
      <c r="D24" s="1464">
        <v>4.0171272055300002E-2</v>
      </c>
      <c r="E24" s="1464">
        <v>0</v>
      </c>
      <c r="F24" s="1464">
        <v>1</v>
      </c>
      <c r="K24" s="1646">
        <v>42081</v>
      </c>
      <c r="L24" s="1647" t="s">
        <v>1653</v>
      </c>
      <c r="M24" s="1648">
        <v>4.7279000000000002E-2</v>
      </c>
      <c r="N24" s="1649">
        <v>1.0061104552077136</v>
      </c>
      <c r="O24" s="1649">
        <v>1.0061104552077136</v>
      </c>
    </row>
    <row r="25" spans="2:15">
      <c r="B25" s="1463">
        <v>33178</v>
      </c>
      <c r="C25" s="1464">
        <v>3.5622900000000001E-3</v>
      </c>
      <c r="D25" s="1464">
        <v>4.6924062784199999E-2</v>
      </c>
      <c r="E25" s="1464">
        <v>0</v>
      </c>
      <c r="F25" s="1464">
        <v>1</v>
      </c>
      <c r="K25" s="1646">
        <v>42082</v>
      </c>
      <c r="L25" s="1647" t="s">
        <v>1653</v>
      </c>
      <c r="M25" s="1648">
        <v>4.7279000000000002E-2</v>
      </c>
      <c r="N25" s="1649">
        <v>1.0065861341698312</v>
      </c>
      <c r="O25" s="1649">
        <v>1.0065861341698312</v>
      </c>
    </row>
    <row r="26" spans="2:15">
      <c r="B26" s="1463">
        <v>33208</v>
      </c>
      <c r="C26" s="1464">
        <v>4.2034799999999999E-3</v>
      </c>
      <c r="D26" s="1464">
        <v>5.5576860018600002E-2</v>
      </c>
      <c r="E26" s="1464">
        <v>0</v>
      </c>
      <c r="F26" s="1464">
        <v>1</v>
      </c>
      <c r="K26" s="1646">
        <v>42083</v>
      </c>
      <c r="L26" s="1647" t="s">
        <v>1653</v>
      </c>
      <c r="M26" s="1648">
        <v>4.7279000000000002E-2</v>
      </c>
      <c r="N26" s="1649">
        <v>1.0070620380282054</v>
      </c>
      <c r="O26" s="1649">
        <v>1.0070620380282054</v>
      </c>
    </row>
    <row r="27" spans="2:15">
      <c r="B27" s="1463">
        <v>33239</v>
      </c>
      <c r="C27" s="1464">
        <v>4.9475200000000004E-3</v>
      </c>
      <c r="D27" s="1464">
        <v>6.7109058472399993E-2</v>
      </c>
      <c r="E27" s="1464">
        <v>0</v>
      </c>
      <c r="F27" s="1464">
        <v>1</v>
      </c>
      <c r="K27" s="1646">
        <v>42084</v>
      </c>
      <c r="L27" s="1647"/>
      <c r="M27" s="1648">
        <v>0</v>
      </c>
      <c r="N27" s="1649">
        <v>1.0070620380282054</v>
      </c>
      <c r="O27" s="1649">
        <v>1.0070620380282054</v>
      </c>
    </row>
    <row r="28" spans="2:15">
      <c r="B28" s="1463">
        <v>33270</v>
      </c>
      <c r="C28" s="1464">
        <v>5.9873900000000004E-3</v>
      </c>
      <c r="D28" s="1464">
        <v>8.1014388849100005E-2</v>
      </c>
      <c r="E28" s="1464">
        <v>0</v>
      </c>
      <c r="F28" s="1464">
        <v>1</v>
      </c>
      <c r="K28" s="1646">
        <v>42085</v>
      </c>
      <c r="L28" s="1647"/>
      <c r="M28" s="1648">
        <v>0</v>
      </c>
      <c r="N28" s="1649">
        <v>1.0070620380282054</v>
      </c>
      <c r="O28" s="1649">
        <v>1.0070620380282054</v>
      </c>
    </row>
    <row r="29" spans="2:15">
      <c r="B29" s="1463">
        <v>33298</v>
      </c>
      <c r="C29" s="1464">
        <v>6.5374099999999996E-3</v>
      </c>
      <c r="D29" s="1464">
        <v>9.0673647120300002E-2</v>
      </c>
      <c r="E29" s="1464">
        <v>0</v>
      </c>
      <c r="F29" s="1464">
        <v>1</v>
      </c>
      <c r="K29" s="1646">
        <v>42086</v>
      </c>
      <c r="L29" s="1647" t="s">
        <v>1653</v>
      </c>
      <c r="M29" s="1648">
        <v>4.7279000000000002E-2</v>
      </c>
      <c r="N29" s="1649">
        <v>1.0075381668891645</v>
      </c>
      <c r="O29" s="1649">
        <v>1.0075381668891645</v>
      </c>
    </row>
    <row r="30" spans="2:15">
      <c r="B30" s="1463">
        <v>33329</v>
      </c>
      <c r="C30" s="1464">
        <v>7.0477600000000001E-3</v>
      </c>
      <c r="D30" s="1464">
        <v>9.5197603525800006E-2</v>
      </c>
      <c r="E30" s="1464">
        <v>0</v>
      </c>
      <c r="F30" s="1464">
        <v>1</v>
      </c>
      <c r="K30" s="1646">
        <v>42087</v>
      </c>
      <c r="L30" s="1647" t="s">
        <v>1653</v>
      </c>
      <c r="M30" s="1648">
        <v>4.7279000000000002E-2</v>
      </c>
      <c r="N30" s="1649">
        <v>1.008014520859088</v>
      </c>
      <c r="O30" s="1649">
        <v>1.008014520859088</v>
      </c>
    </row>
    <row r="31" spans="2:15">
      <c r="B31" s="1463">
        <v>33359</v>
      </c>
      <c r="C31" s="1464">
        <v>7.57502E-3</v>
      </c>
      <c r="D31" s="1464">
        <v>0.10227253780620001</v>
      </c>
      <c r="E31" s="1464">
        <v>0</v>
      </c>
      <c r="F31" s="1464">
        <v>1</v>
      </c>
      <c r="K31" s="1646">
        <v>42088</v>
      </c>
      <c r="L31" s="1647" t="s">
        <v>1653</v>
      </c>
      <c r="M31" s="1648">
        <v>4.7279000000000002E-2</v>
      </c>
      <c r="N31" s="1649">
        <v>1.008491100044405</v>
      </c>
      <c r="O31" s="1649">
        <v>1.008491100044405</v>
      </c>
    </row>
    <row r="32" spans="2:15">
      <c r="B32" s="1463">
        <v>33390</v>
      </c>
      <c r="C32" s="1464">
        <v>8.2174099999999996E-3</v>
      </c>
      <c r="D32" s="1464">
        <v>0.113715813284</v>
      </c>
      <c r="E32" s="1464">
        <v>0</v>
      </c>
      <c r="F32" s="1464">
        <v>1</v>
      </c>
      <c r="K32" s="1646">
        <v>42089</v>
      </c>
      <c r="L32" s="1647" t="s">
        <v>1653</v>
      </c>
      <c r="M32" s="1648">
        <v>4.7279000000000002E-2</v>
      </c>
      <c r="N32" s="1649">
        <v>1.0089679045515949</v>
      </c>
      <c r="O32" s="1649">
        <v>1.0089679045515949</v>
      </c>
    </row>
    <row r="33" spans="2:15">
      <c r="B33" s="1463">
        <v>33420</v>
      </c>
      <c r="C33" s="1464">
        <v>9.3037399999999996E-3</v>
      </c>
      <c r="D33" s="1464">
        <v>0.12782677804270001</v>
      </c>
      <c r="E33" s="1464">
        <v>0</v>
      </c>
      <c r="F33" s="1464">
        <v>1</v>
      </c>
      <c r="K33" s="1646">
        <v>42090</v>
      </c>
      <c r="L33" s="1647" t="s">
        <v>1653</v>
      </c>
      <c r="M33" s="1648">
        <v>4.7279000000000002E-2</v>
      </c>
      <c r="N33" s="1649">
        <v>1.0094449344871876</v>
      </c>
      <c r="O33" s="1649">
        <v>1.0094449344871876</v>
      </c>
    </row>
    <row r="34" spans="2:15">
      <c r="B34" s="1463">
        <v>33451</v>
      </c>
      <c r="C34" s="1464">
        <v>1.072268E-2</v>
      </c>
      <c r="D34" s="1464">
        <v>0.14780665921940001</v>
      </c>
      <c r="E34" s="1465">
        <v>0</v>
      </c>
      <c r="F34" s="1465">
        <v>1</v>
      </c>
      <c r="K34" s="1646">
        <v>42091</v>
      </c>
      <c r="L34" s="1647"/>
      <c r="M34" s="1648">
        <v>0</v>
      </c>
      <c r="N34" s="1649">
        <v>1.0094449344871876</v>
      </c>
      <c r="O34" s="1649">
        <v>1.0094449344871876</v>
      </c>
    </row>
    <row r="35" spans="2:15">
      <c r="B35" s="1463">
        <v>33482</v>
      </c>
      <c r="C35" s="1464">
        <v>1.232337E-2</v>
      </c>
      <c r="D35" s="1464">
        <v>0.17090995992909999</v>
      </c>
      <c r="E35" s="1465">
        <v>0</v>
      </c>
      <c r="F35" s="1465">
        <v>1</v>
      </c>
      <c r="K35" s="1646">
        <v>42092</v>
      </c>
      <c r="L35" s="1647"/>
      <c r="M35" s="1648">
        <v>0</v>
      </c>
      <c r="N35" s="1649">
        <v>1.0094449344871876</v>
      </c>
      <c r="O35" s="1649">
        <v>1.0094449344871876</v>
      </c>
    </row>
    <row r="36" spans="2:15">
      <c r="B36" s="1463">
        <v>33512</v>
      </c>
      <c r="C36" s="1464">
        <v>1.5112230000000001E-2</v>
      </c>
      <c r="D36" s="1464">
        <v>0.20548432454660001</v>
      </c>
      <c r="E36" s="1465">
        <v>0</v>
      </c>
      <c r="F36" s="1465">
        <v>1</v>
      </c>
      <c r="K36" s="1646">
        <v>42093</v>
      </c>
      <c r="L36" s="1647" t="s">
        <v>1653</v>
      </c>
      <c r="M36" s="1648">
        <v>4.7279000000000002E-2</v>
      </c>
      <c r="N36" s="1649">
        <v>1.0099221899577637</v>
      </c>
      <c r="O36" s="1649">
        <v>1.0099221899577637</v>
      </c>
    </row>
    <row r="37" spans="2:15">
      <c r="B37" s="1463">
        <v>33543</v>
      </c>
      <c r="C37" s="1464">
        <v>1.8984250000000001E-2</v>
      </c>
      <c r="D37" s="1464">
        <v>0.2572875157699</v>
      </c>
      <c r="E37" s="1465">
        <v>0</v>
      </c>
      <c r="F37" s="1465">
        <v>1</v>
      </c>
      <c r="K37" s="1646">
        <v>42094</v>
      </c>
      <c r="L37" s="1647" t="s">
        <v>1653</v>
      </c>
      <c r="M37" s="1648">
        <v>4.7279000000000002E-2</v>
      </c>
      <c r="N37" s="1649">
        <v>1.0103996710699537</v>
      </c>
      <c r="O37" s="1649">
        <v>1.0103996710699537</v>
      </c>
    </row>
    <row r="38" spans="2:15">
      <c r="B38" s="1463">
        <v>33573</v>
      </c>
      <c r="C38" s="1464">
        <v>2.347107E-2</v>
      </c>
      <c r="D38" s="1464">
        <v>0.31828867732630001</v>
      </c>
      <c r="E38" s="1465">
        <v>0</v>
      </c>
      <c r="F38" s="1465">
        <v>1</v>
      </c>
      <c r="K38" s="1646">
        <v>42095</v>
      </c>
      <c r="L38" s="1647" t="s">
        <v>1653</v>
      </c>
      <c r="M38" s="1648">
        <v>4.7279000000000002E-2</v>
      </c>
      <c r="N38" s="1649">
        <v>1.0108773779304387</v>
      </c>
      <c r="O38" s="1649">
        <v>1.0108773779304387</v>
      </c>
    </row>
    <row r="39" spans="2:15">
      <c r="B39" s="1463">
        <v>33604</v>
      </c>
      <c r="C39" s="1464">
        <v>2.9000140000000001E-2</v>
      </c>
      <c r="D39" s="1464">
        <v>0.40085366056990002</v>
      </c>
      <c r="E39" s="1465">
        <v>0</v>
      </c>
      <c r="F39" s="1465">
        <v>1</v>
      </c>
      <c r="K39" s="1646">
        <v>42096</v>
      </c>
      <c r="L39" s="1647" t="s">
        <v>1653</v>
      </c>
      <c r="M39" s="1648">
        <v>4.7279000000000002E-2</v>
      </c>
      <c r="N39" s="1649">
        <v>1.0113553106459503</v>
      </c>
      <c r="O39" s="1649">
        <v>1.0113553106459503</v>
      </c>
    </row>
    <row r="40" spans="2:15">
      <c r="B40" s="1463">
        <v>33635</v>
      </c>
      <c r="C40" s="1464">
        <v>3.7078809999999997E-2</v>
      </c>
      <c r="D40" s="1464">
        <v>0.49834103072840003</v>
      </c>
      <c r="E40" s="1465">
        <v>0</v>
      </c>
      <c r="F40" s="1465">
        <v>1</v>
      </c>
      <c r="K40" s="1646">
        <v>42097</v>
      </c>
      <c r="L40" s="1647"/>
      <c r="M40" s="1648">
        <v>0</v>
      </c>
      <c r="N40" s="1649">
        <v>1.0113553106459503</v>
      </c>
      <c r="O40" s="1649">
        <v>1.0113553106459503</v>
      </c>
    </row>
    <row r="41" spans="2:15">
      <c r="B41" s="1463">
        <v>33664</v>
      </c>
      <c r="C41" s="1464">
        <v>4.501144E-2</v>
      </c>
      <c r="D41" s="1464">
        <v>0.60498746741809994</v>
      </c>
      <c r="E41" s="1465">
        <v>0</v>
      </c>
      <c r="F41" s="1465">
        <v>1</v>
      </c>
      <c r="K41" s="1646">
        <v>42098</v>
      </c>
      <c r="L41" s="1647"/>
      <c r="M41" s="1648">
        <v>0</v>
      </c>
      <c r="N41" s="1649">
        <v>1.0113553106459503</v>
      </c>
      <c r="O41" s="1649">
        <v>1.0113553106459503</v>
      </c>
    </row>
    <row r="42" spans="2:15">
      <c r="B42" s="1463">
        <v>33695</v>
      </c>
      <c r="C42" s="1464">
        <v>5.3986060000000002E-2</v>
      </c>
      <c r="D42" s="1464">
        <v>0.72556146522830001</v>
      </c>
      <c r="E42" s="1465">
        <v>0</v>
      </c>
      <c r="F42" s="1465">
        <v>1</v>
      </c>
      <c r="K42" s="1646">
        <v>42099</v>
      </c>
      <c r="L42" s="1647"/>
      <c r="M42" s="1648">
        <v>0</v>
      </c>
      <c r="N42" s="1649">
        <v>1.0113553106459503</v>
      </c>
      <c r="O42" s="1649">
        <v>1.0113553106459503</v>
      </c>
    </row>
    <row r="43" spans="2:15">
      <c r="B43" s="1463">
        <v>33725</v>
      </c>
      <c r="C43" s="1464">
        <v>6.5012799999999996E-2</v>
      </c>
      <c r="D43" s="1464">
        <v>0.90593616441860003</v>
      </c>
      <c r="E43" s="1465">
        <v>0</v>
      </c>
      <c r="F43" s="1465">
        <v>1</v>
      </c>
      <c r="K43" s="1646">
        <v>42100</v>
      </c>
      <c r="L43" s="1647" t="s">
        <v>1653</v>
      </c>
      <c r="M43" s="1648">
        <v>4.7279000000000002E-2</v>
      </c>
      <c r="N43" s="1649">
        <v>1.0118334693232705</v>
      </c>
      <c r="O43" s="1649">
        <v>1.0118334693232705</v>
      </c>
    </row>
    <row r="44" spans="2:15">
      <c r="B44" s="1463">
        <v>33756</v>
      </c>
      <c r="C44" s="1464">
        <v>8.0361459999999996E-2</v>
      </c>
      <c r="D44" s="1464">
        <v>1.0890285720637001</v>
      </c>
      <c r="E44" s="1465">
        <v>0</v>
      </c>
      <c r="F44" s="1465">
        <v>1</v>
      </c>
      <c r="K44" s="1646">
        <v>42101</v>
      </c>
      <c r="L44" s="1647" t="s">
        <v>1653</v>
      </c>
      <c r="M44" s="1648">
        <v>4.7279000000000002E-2</v>
      </c>
      <c r="N44" s="1649">
        <v>1.0123118540692317</v>
      </c>
      <c r="O44" s="1649">
        <v>1.0123118540692317</v>
      </c>
    </row>
    <row r="45" spans="2:15">
      <c r="B45" s="1463">
        <v>33786</v>
      </c>
      <c r="C45" s="1464">
        <v>9.7908469999999997E-2</v>
      </c>
      <c r="D45" s="1464">
        <v>1.3267641484791</v>
      </c>
      <c r="E45" s="1465">
        <v>0</v>
      </c>
      <c r="F45" s="1465">
        <v>1</v>
      </c>
      <c r="K45" s="1646">
        <v>42102</v>
      </c>
      <c r="L45" s="1647" t="s">
        <v>1653</v>
      </c>
      <c r="M45" s="1648">
        <v>4.7279000000000002E-2</v>
      </c>
      <c r="N45" s="1649">
        <v>1.0127904649907171</v>
      </c>
      <c r="O45" s="1649">
        <v>1.0127904649907171</v>
      </c>
    </row>
    <row r="46" spans="2:15">
      <c r="B46" s="1463">
        <v>33817</v>
      </c>
      <c r="C46" s="1464">
        <v>0.12202180999999999</v>
      </c>
      <c r="D46" s="1464">
        <v>1.6205100844213001</v>
      </c>
      <c r="E46" s="1465">
        <v>0</v>
      </c>
      <c r="F46" s="1465">
        <v>1</v>
      </c>
      <c r="K46" s="1646">
        <v>42103</v>
      </c>
      <c r="L46" s="1647" t="s">
        <v>1653</v>
      </c>
      <c r="M46" s="1648">
        <v>4.7279000000000002E-2</v>
      </c>
      <c r="N46" s="1649">
        <v>1.0132693021946599</v>
      </c>
      <c r="O46" s="1649">
        <v>1.0132693021946599</v>
      </c>
    </row>
    <row r="47" spans="2:15">
      <c r="B47" s="1463">
        <v>33848</v>
      </c>
      <c r="C47" s="1464">
        <v>0.15285811999999999</v>
      </c>
      <c r="D47" s="1464">
        <v>2.0196408623306001</v>
      </c>
      <c r="E47" s="1465">
        <v>0</v>
      </c>
      <c r="F47" s="1465">
        <v>1</v>
      </c>
      <c r="K47" s="1646">
        <v>42104</v>
      </c>
      <c r="L47" s="1647" t="s">
        <v>1653</v>
      </c>
      <c r="M47" s="1648">
        <v>4.7279000000000002E-2</v>
      </c>
      <c r="N47" s="1649">
        <v>1.0137483657880444</v>
      </c>
      <c r="O47" s="1649">
        <v>1.0137483657880444</v>
      </c>
    </row>
    <row r="48" spans="2:15">
      <c r="B48" s="1463">
        <v>33878</v>
      </c>
      <c r="C48" s="1464">
        <v>0.19376498</v>
      </c>
      <c r="D48" s="1464">
        <v>2.5293973801068002</v>
      </c>
      <c r="E48" s="1465">
        <v>0</v>
      </c>
      <c r="F48" s="1465">
        <v>1</v>
      </c>
      <c r="K48" s="1646">
        <v>42105</v>
      </c>
      <c r="L48" s="1647"/>
      <c r="M48" s="1648">
        <v>0</v>
      </c>
      <c r="N48" s="1649">
        <v>1.0137483657880444</v>
      </c>
      <c r="O48" s="1649">
        <v>1.0137483657880444</v>
      </c>
    </row>
    <row r="49" spans="2:15">
      <c r="B49" s="1463">
        <v>33909</v>
      </c>
      <c r="C49" s="1464">
        <v>0.23916162999999999</v>
      </c>
      <c r="D49" s="1464">
        <v>3.0982598885127999</v>
      </c>
      <c r="E49" s="1465">
        <v>0</v>
      </c>
      <c r="F49" s="1465">
        <v>1</v>
      </c>
      <c r="K49" s="1646">
        <v>42106</v>
      </c>
      <c r="L49" s="1647"/>
      <c r="M49" s="1648">
        <v>0</v>
      </c>
      <c r="N49" s="1649">
        <v>1.0137483657880444</v>
      </c>
      <c r="O49" s="1649">
        <v>1.0137483657880444</v>
      </c>
    </row>
    <row r="50" spans="2:15">
      <c r="B50" s="1463">
        <v>33939</v>
      </c>
      <c r="C50" s="1464">
        <v>0.29913278999999998</v>
      </c>
      <c r="D50" s="1464">
        <v>3.8802596550900001</v>
      </c>
      <c r="E50" s="1465">
        <v>0</v>
      </c>
      <c r="F50" s="1465">
        <v>1</v>
      </c>
      <c r="K50" s="1646">
        <v>42107</v>
      </c>
      <c r="L50" s="1647" t="s">
        <v>1653</v>
      </c>
      <c r="M50" s="1648">
        <v>4.7279000000000002E-2</v>
      </c>
      <c r="N50" s="1649">
        <v>1.0142276558779053</v>
      </c>
      <c r="O50" s="1649">
        <v>1.0142276558779053</v>
      </c>
    </row>
    <row r="51" spans="2:15">
      <c r="B51" s="1463">
        <v>33970</v>
      </c>
      <c r="C51" s="1464">
        <v>0.37638683000000001</v>
      </c>
      <c r="D51" s="1464">
        <v>5.0579166458253004</v>
      </c>
      <c r="E51" s="1465">
        <v>0</v>
      </c>
      <c r="F51" s="1465">
        <v>1</v>
      </c>
      <c r="K51" s="1646">
        <v>42108</v>
      </c>
      <c r="L51" s="1647" t="s">
        <v>1653</v>
      </c>
      <c r="M51" s="1648">
        <v>4.7279000000000002E-2</v>
      </c>
      <c r="N51" s="1649">
        <v>1.0147071725713277</v>
      </c>
      <c r="O51" s="1649">
        <v>1.0147071725713277</v>
      </c>
    </row>
    <row r="52" spans="2:15">
      <c r="B52" s="1463">
        <v>34001</v>
      </c>
      <c r="C52" s="1464">
        <v>0.48335073000000001</v>
      </c>
      <c r="D52" s="1464">
        <v>6.3213843084293</v>
      </c>
      <c r="E52" s="1465">
        <v>0</v>
      </c>
      <c r="F52" s="1465">
        <v>1</v>
      </c>
      <c r="K52" s="1646">
        <v>42109</v>
      </c>
      <c r="L52" s="1647" t="s">
        <v>1653</v>
      </c>
      <c r="M52" s="1648">
        <v>4.7279000000000002E-2</v>
      </c>
      <c r="N52" s="1649">
        <v>1.0151869159754476</v>
      </c>
      <c r="O52" s="1649">
        <v>1.0151869159754476</v>
      </c>
    </row>
    <row r="53" spans="2:15">
      <c r="B53" s="1463">
        <v>34029</v>
      </c>
      <c r="C53" s="1464">
        <v>0.61023090000000002</v>
      </c>
      <c r="D53" s="1464">
        <v>8.0445948724788998</v>
      </c>
      <c r="E53" s="1465">
        <v>0</v>
      </c>
      <c r="F53" s="1465">
        <v>1</v>
      </c>
      <c r="K53" s="1646">
        <v>42110</v>
      </c>
      <c r="L53" s="1647" t="s">
        <v>1653</v>
      </c>
      <c r="M53" s="1648">
        <v>4.7279000000000002E-2</v>
      </c>
      <c r="N53" s="1649">
        <v>1.0156668861974516</v>
      </c>
      <c r="O53" s="1649">
        <v>1.0156668861974516</v>
      </c>
    </row>
    <row r="54" spans="2:15">
      <c r="B54" s="1463">
        <v>34060</v>
      </c>
      <c r="C54" s="1464">
        <v>0.78617482000000005</v>
      </c>
      <c r="D54" s="1464">
        <v>10.2769672819025</v>
      </c>
      <c r="E54" s="1465">
        <v>0</v>
      </c>
      <c r="F54" s="1465">
        <v>1</v>
      </c>
      <c r="K54" s="1646">
        <v>42111</v>
      </c>
      <c r="L54" s="1647" t="s">
        <v>1653</v>
      </c>
      <c r="M54" s="1648">
        <v>4.7279000000000002E-2</v>
      </c>
      <c r="N54" s="1649">
        <v>1.0161470833445767</v>
      </c>
      <c r="O54" s="1649">
        <v>1.0161470833445767</v>
      </c>
    </row>
    <row r="55" spans="2:15">
      <c r="B55" s="1463">
        <v>34090</v>
      </c>
      <c r="C55" s="1464">
        <v>1.01968087</v>
      </c>
      <c r="D55" s="1464">
        <v>13.1226581300609</v>
      </c>
      <c r="E55" s="1465">
        <v>0</v>
      </c>
      <c r="F55" s="1465">
        <v>1</v>
      </c>
      <c r="K55" s="1646">
        <v>42112</v>
      </c>
      <c r="L55" s="1647"/>
      <c r="M55" s="1648">
        <v>0</v>
      </c>
      <c r="N55" s="1649">
        <v>1.0161470833445767</v>
      </c>
      <c r="O55" s="1649">
        <v>1.0161470833445767</v>
      </c>
    </row>
    <row r="56" spans="2:15">
      <c r="B56" s="1463">
        <v>34121</v>
      </c>
      <c r="C56" s="1464">
        <v>1.3408208699999999</v>
      </c>
      <c r="D56" s="1464">
        <v>17.068642979808899</v>
      </c>
      <c r="E56" s="1465">
        <v>0</v>
      </c>
      <c r="F56" s="1465">
        <v>1</v>
      </c>
      <c r="K56" s="1646">
        <v>42113</v>
      </c>
      <c r="L56" s="1647"/>
      <c r="M56" s="1648">
        <v>0</v>
      </c>
      <c r="N56" s="1649">
        <v>1.0161470833445767</v>
      </c>
      <c r="O56" s="1649">
        <v>1.0161470833445767</v>
      </c>
    </row>
    <row r="57" spans="2:15">
      <c r="B57" s="1463">
        <v>34151</v>
      </c>
      <c r="C57" s="1464">
        <v>1.75984608</v>
      </c>
      <c r="D57" s="1464">
        <v>22.312130761236201</v>
      </c>
      <c r="E57" s="1465">
        <v>0</v>
      </c>
      <c r="F57" s="1465">
        <v>1</v>
      </c>
      <c r="K57" s="1646">
        <v>42114</v>
      </c>
      <c r="L57" s="1647" t="s">
        <v>1653</v>
      </c>
      <c r="M57" s="1648">
        <v>4.7279000000000002E-2</v>
      </c>
      <c r="N57" s="1649">
        <v>1.0166275075241111</v>
      </c>
      <c r="O57" s="1649">
        <v>1.0166275075241111</v>
      </c>
    </row>
    <row r="58" spans="2:15">
      <c r="B58" s="1463">
        <v>34182</v>
      </c>
      <c r="C58" s="1464">
        <v>2.31923637</v>
      </c>
      <c r="D58" s="1464">
        <v>29.666210936414501</v>
      </c>
      <c r="E58" s="1465">
        <v>0</v>
      </c>
      <c r="F58" s="1465">
        <v>1</v>
      </c>
      <c r="K58" s="1646">
        <v>42115</v>
      </c>
      <c r="L58" s="1647"/>
      <c r="M58" s="1648">
        <v>0</v>
      </c>
      <c r="N58" s="1649">
        <v>1.0166275075241111</v>
      </c>
      <c r="O58" s="1649">
        <v>1.0166275075241111</v>
      </c>
    </row>
    <row r="59" spans="2:15">
      <c r="B59" s="1463">
        <v>34213</v>
      </c>
      <c r="C59" s="1464">
        <v>3.1375231000000001</v>
      </c>
      <c r="D59" s="1464">
        <v>40.254080730946797</v>
      </c>
      <c r="E59" s="1465">
        <v>0</v>
      </c>
      <c r="F59" s="1465">
        <v>1</v>
      </c>
      <c r="K59" s="1646">
        <v>42116</v>
      </c>
      <c r="L59" s="1647" t="s">
        <v>1653</v>
      </c>
      <c r="M59" s="1648">
        <v>4.7279000000000002E-2</v>
      </c>
      <c r="N59" s="1649">
        <v>1.0171081588433935</v>
      </c>
      <c r="O59" s="1649">
        <v>1.0171081588433935</v>
      </c>
    </row>
    <row r="60" spans="2:15">
      <c r="B60" s="1463">
        <v>34243</v>
      </c>
      <c r="C60" s="1464">
        <v>4.2367972299999996</v>
      </c>
      <c r="D60" s="1464">
        <v>53.908264834853298</v>
      </c>
      <c r="E60" s="1465">
        <v>0</v>
      </c>
      <c r="F60" s="1465">
        <v>1</v>
      </c>
      <c r="K60" s="1646">
        <v>42117</v>
      </c>
      <c r="L60" s="1647" t="s">
        <v>1653</v>
      </c>
      <c r="M60" s="1648">
        <v>4.7279000000000002E-2</v>
      </c>
      <c r="N60" s="1649">
        <v>1.0175890374098129</v>
      </c>
      <c r="O60" s="1649">
        <v>1.0175890374098129</v>
      </c>
    </row>
    <row r="61" spans="2:15">
      <c r="B61" s="1463">
        <v>34274</v>
      </c>
      <c r="C61" s="1464">
        <v>5.7685216500000003</v>
      </c>
      <c r="D61" s="1464">
        <v>73.078046584524003</v>
      </c>
      <c r="E61" s="1465">
        <v>0</v>
      </c>
      <c r="F61" s="1465">
        <v>1</v>
      </c>
      <c r="K61" s="1646">
        <v>42118</v>
      </c>
      <c r="L61" s="1647" t="s">
        <v>1653</v>
      </c>
      <c r="M61" s="1648">
        <v>4.7279000000000002E-2</v>
      </c>
      <c r="N61" s="1649">
        <v>1.0180701433308097</v>
      </c>
      <c r="O61" s="1649">
        <v>1.0180701433308097</v>
      </c>
    </row>
    <row r="62" spans="2:15">
      <c r="B62" s="1463">
        <v>34304</v>
      </c>
      <c r="C62" s="1464">
        <v>7.9792505900000004</v>
      </c>
      <c r="D62" s="1464">
        <v>100</v>
      </c>
      <c r="E62" s="1465">
        <v>0</v>
      </c>
      <c r="F62" s="1465">
        <v>1</v>
      </c>
      <c r="K62" s="1646">
        <v>42119</v>
      </c>
      <c r="L62" s="1647"/>
      <c r="M62" s="1648">
        <v>0</v>
      </c>
      <c r="N62" s="1649">
        <v>1.0180701433308097</v>
      </c>
      <c r="O62" s="1649">
        <v>1.0180701433308097</v>
      </c>
    </row>
    <row r="63" spans="2:15">
      <c r="B63" s="1463">
        <v>34335</v>
      </c>
      <c r="C63" s="1464">
        <v>11.0967647</v>
      </c>
      <c r="D63" s="1464">
        <v>141.31</v>
      </c>
      <c r="E63" s="1465">
        <v>0</v>
      </c>
      <c r="F63" s="1465">
        <v>1</v>
      </c>
      <c r="K63" s="1646">
        <v>42120</v>
      </c>
      <c r="L63" s="1647"/>
      <c r="M63" s="1648">
        <v>0</v>
      </c>
      <c r="N63" s="1649">
        <v>1.0180701433308097</v>
      </c>
      <c r="O63" s="1649">
        <v>1.0180701433308097</v>
      </c>
    </row>
    <row r="64" spans="2:15">
      <c r="B64" s="1463">
        <v>34366</v>
      </c>
      <c r="C64" s="1464">
        <v>15.62186911</v>
      </c>
      <c r="D64" s="1464">
        <v>198.22</v>
      </c>
      <c r="E64" s="1465">
        <v>0</v>
      </c>
      <c r="F64" s="1465">
        <v>1</v>
      </c>
      <c r="K64" s="1646">
        <v>42121</v>
      </c>
      <c r="L64" s="1647" t="s">
        <v>1653</v>
      </c>
      <c r="M64" s="1648">
        <v>4.7314000000000002E-2</v>
      </c>
      <c r="N64" s="1649">
        <v>1.0185518330384251</v>
      </c>
      <c r="O64" s="1649">
        <v>1.0185518330384251</v>
      </c>
    </row>
    <row r="65" spans="2:15">
      <c r="B65" s="1463">
        <v>34394</v>
      </c>
      <c r="C65" s="1464">
        <v>22.762782099999999</v>
      </c>
      <c r="D65" s="1464">
        <v>282.95999999999998</v>
      </c>
      <c r="E65" s="1465">
        <v>0</v>
      </c>
      <c r="F65" s="1465">
        <v>1</v>
      </c>
      <c r="K65" s="1646">
        <v>42122</v>
      </c>
      <c r="L65" s="1647" t="s">
        <v>1653</v>
      </c>
      <c r="M65" s="1648">
        <v>4.7350000000000003E-2</v>
      </c>
      <c r="N65" s="1649">
        <v>1.0190341173313688</v>
      </c>
      <c r="O65" s="1649">
        <v>1.0190341173313688</v>
      </c>
    </row>
    <row r="66" spans="2:15">
      <c r="B66" s="1463">
        <v>34425</v>
      </c>
      <c r="C66" s="1464">
        <v>32.074938510000003</v>
      </c>
      <c r="D66" s="1464">
        <v>403.73</v>
      </c>
      <c r="E66" s="1465">
        <v>0</v>
      </c>
      <c r="F66" s="1465">
        <v>1</v>
      </c>
      <c r="K66" s="1646">
        <v>42123</v>
      </c>
      <c r="L66" s="1647" t="s">
        <v>1653</v>
      </c>
      <c r="M66" s="1648">
        <v>4.7350000000000003E-2</v>
      </c>
      <c r="N66" s="1649">
        <v>1.0195166299859253</v>
      </c>
      <c r="O66" s="1649">
        <v>1.0195166299859253</v>
      </c>
    </row>
    <row r="67" spans="2:15">
      <c r="B67" s="1463">
        <v>34455</v>
      </c>
      <c r="C67" s="1464">
        <v>45.731576959999998</v>
      </c>
      <c r="D67" s="1464">
        <v>581.49</v>
      </c>
      <c r="E67" s="1465">
        <v>0</v>
      </c>
      <c r="F67" s="1465">
        <v>1</v>
      </c>
      <c r="K67" s="1646">
        <v>42124</v>
      </c>
      <c r="L67" s="1647" t="s">
        <v>1653</v>
      </c>
      <c r="M67" s="1648">
        <v>4.9036999999999997E-2</v>
      </c>
      <c r="N67" s="1649">
        <v>1.0200165703557715</v>
      </c>
      <c r="O67" s="1649">
        <v>1.0200165703557715</v>
      </c>
    </row>
    <row r="68" spans="2:15">
      <c r="B68" s="1463">
        <v>34486</v>
      </c>
      <c r="C68" s="1464">
        <v>66.408212939999999</v>
      </c>
      <c r="D68" s="1464">
        <v>857.29</v>
      </c>
      <c r="E68" s="1465">
        <v>0</v>
      </c>
      <c r="F68" s="1465">
        <v>1</v>
      </c>
      <c r="K68" s="1646">
        <v>42125</v>
      </c>
      <c r="L68" s="1647"/>
      <c r="M68" s="1648">
        <v>0</v>
      </c>
      <c r="N68" s="1649">
        <v>1.0200165703557715</v>
      </c>
      <c r="O68" s="1649">
        <v>1.0200165703557715</v>
      </c>
    </row>
    <row r="69" spans="2:15">
      <c r="B69" s="1463">
        <v>34516</v>
      </c>
      <c r="C69" s="1464">
        <v>92.968426030000003</v>
      </c>
      <c r="D69" s="1464">
        <v>915.93</v>
      </c>
      <c r="E69" s="1465">
        <v>0</v>
      </c>
      <c r="F69" s="1465">
        <v>1</v>
      </c>
      <c r="K69" s="1646">
        <v>42126</v>
      </c>
      <c r="L69" s="1647"/>
      <c r="M69" s="1648">
        <v>0</v>
      </c>
      <c r="N69" s="1649">
        <v>1.0200165703557715</v>
      </c>
      <c r="O69" s="1649">
        <v>1.0200165703557715</v>
      </c>
    </row>
    <row r="70" spans="2:15">
      <c r="B70" s="1463">
        <v>34547</v>
      </c>
      <c r="C70" s="1464">
        <v>100</v>
      </c>
      <c r="D70" s="1464">
        <v>932.97</v>
      </c>
      <c r="E70" s="1465">
        <v>1.0417031360600404</v>
      </c>
      <c r="F70" s="1465">
        <v>1.0417031360600404</v>
      </c>
      <c r="K70" s="1646">
        <v>42127</v>
      </c>
      <c r="L70" s="1647"/>
      <c r="M70" s="1648">
        <v>0</v>
      </c>
      <c r="N70" s="1649">
        <v>1.0200165703557715</v>
      </c>
      <c r="O70" s="1649">
        <v>1.0200165703557715</v>
      </c>
    </row>
    <row r="71" spans="2:15">
      <c r="B71" s="1463">
        <v>34578</v>
      </c>
      <c r="C71" s="1464">
        <v>101.751</v>
      </c>
      <c r="D71" s="1464">
        <v>947.24</v>
      </c>
      <c r="E71" s="1465">
        <v>1.040191380612066</v>
      </c>
      <c r="F71" s="1465">
        <v>1.0835706232862121</v>
      </c>
      <c r="K71" s="1646">
        <v>42128</v>
      </c>
      <c r="L71" s="1647" t="s">
        <v>1653</v>
      </c>
      <c r="M71" s="1648">
        <v>4.9036999999999997E-2</v>
      </c>
      <c r="N71" s="1649">
        <v>1.020516755881377</v>
      </c>
      <c r="O71" s="1649">
        <v>1.020516755881377</v>
      </c>
    </row>
    <row r="72" spans="2:15">
      <c r="B72" s="1463">
        <v>34608</v>
      </c>
      <c r="C72" s="1464">
        <v>103.602</v>
      </c>
      <c r="D72" s="1464">
        <v>972.06</v>
      </c>
      <c r="E72" s="1465">
        <v>1.0400235119965635</v>
      </c>
      <c r="F72" s="1465">
        <v>1.1269389251264317</v>
      </c>
      <c r="K72" s="1646">
        <v>42129</v>
      </c>
      <c r="L72" s="1647" t="s">
        <v>1653</v>
      </c>
      <c r="M72" s="1648">
        <v>4.9036999999999997E-2</v>
      </c>
      <c r="N72" s="1649">
        <v>1.0210171866829587</v>
      </c>
      <c r="O72" s="1649">
        <v>1.0210171866829587</v>
      </c>
    </row>
    <row r="73" spans="2:15">
      <c r="B73" s="1463">
        <v>34639</v>
      </c>
      <c r="C73" s="1464">
        <v>106.553</v>
      </c>
      <c r="D73" s="1464">
        <v>999.37</v>
      </c>
      <c r="E73" s="1465">
        <v>1.0448704061969656</v>
      </c>
      <c r="F73" s="1465">
        <v>1.1775051324560264</v>
      </c>
      <c r="K73" s="1646">
        <v>42130</v>
      </c>
      <c r="L73" s="1647" t="s">
        <v>1653</v>
      </c>
      <c r="M73" s="1648">
        <v>4.9036999999999997E-2</v>
      </c>
      <c r="N73" s="1649">
        <v>1.0215178628807926</v>
      </c>
      <c r="O73" s="1649">
        <v>1.0215178628807926</v>
      </c>
    </row>
    <row r="74" spans="2:15">
      <c r="B74" s="1463">
        <v>34669</v>
      </c>
      <c r="C74" s="1464">
        <v>107.45</v>
      </c>
      <c r="D74" s="1464">
        <v>1016.46</v>
      </c>
      <c r="E74" s="1465">
        <v>1.0379749903132509</v>
      </c>
      <c r="F74" s="1465">
        <v>1.2222208784548472</v>
      </c>
      <c r="K74" s="1646">
        <v>42131</v>
      </c>
      <c r="L74" s="1647" t="s">
        <v>1653</v>
      </c>
      <c r="M74" s="1648">
        <v>4.9036999999999997E-2</v>
      </c>
      <c r="N74" s="1649">
        <v>1.0220187845952136</v>
      </c>
      <c r="O74" s="1649">
        <v>1.0220187845952136</v>
      </c>
    </row>
    <row r="75" spans="2:15">
      <c r="B75" s="1463">
        <v>34700</v>
      </c>
      <c r="C75" s="1464">
        <v>108.44199999999999</v>
      </c>
      <c r="D75" s="1464">
        <v>1033.74</v>
      </c>
      <c r="E75" s="1465">
        <v>1.033745155557255</v>
      </c>
      <c r="F75" s="1465">
        <v>1.2634649121236308</v>
      </c>
      <c r="K75" s="1646">
        <v>42132</v>
      </c>
      <c r="L75" s="1647" t="s">
        <v>1653</v>
      </c>
      <c r="M75" s="1648">
        <v>4.9036999999999997E-2</v>
      </c>
      <c r="N75" s="1649">
        <v>1.0225199519466155</v>
      </c>
      <c r="O75" s="1649">
        <v>1.0225199519466155</v>
      </c>
    </row>
    <row r="76" spans="2:15">
      <c r="B76" s="1463">
        <v>34731</v>
      </c>
      <c r="C76" s="1464">
        <v>109.9455</v>
      </c>
      <c r="D76" s="1464">
        <v>1044.28</v>
      </c>
      <c r="E76" s="1465">
        <v>1.0361946548110796</v>
      </c>
      <c r="F76" s="1465">
        <v>1.3091955884838566</v>
      </c>
      <c r="K76" s="1646">
        <v>42133</v>
      </c>
      <c r="L76" s="1647"/>
      <c r="M76" s="1648">
        <v>0</v>
      </c>
      <c r="N76" s="1649">
        <v>1.0225199519466155</v>
      </c>
      <c r="O76" s="1649">
        <v>1.0225199519466155</v>
      </c>
    </row>
    <row r="77" spans="2:15">
      <c r="B77" s="1463">
        <v>34759</v>
      </c>
      <c r="C77" s="1464">
        <v>111.178</v>
      </c>
      <c r="D77" s="1464">
        <v>1060.47</v>
      </c>
      <c r="E77" s="1465">
        <v>1.0426211014987152</v>
      </c>
      <c r="F77" s="1465">
        <v>1.3649949465422972</v>
      </c>
      <c r="K77" s="1646">
        <v>42134</v>
      </c>
      <c r="L77" s="1647"/>
      <c r="M77" s="1648">
        <v>0</v>
      </c>
      <c r="N77" s="1649">
        <v>1.0225199519466155</v>
      </c>
      <c r="O77" s="1649">
        <v>1.0225199519466155</v>
      </c>
    </row>
    <row r="78" spans="2:15">
      <c r="B78" s="1463">
        <v>34790</v>
      </c>
      <c r="C78" s="1464">
        <v>113.518</v>
      </c>
      <c r="D78" s="1464">
        <v>1086.24</v>
      </c>
      <c r="E78" s="1465">
        <v>1.0502446731743562</v>
      </c>
      <c r="F78" s="1465">
        <v>1.4335786715159629</v>
      </c>
      <c r="K78" s="1646">
        <v>42135</v>
      </c>
      <c r="L78" s="1647" t="s">
        <v>1653</v>
      </c>
      <c r="M78" s="1648">
        <v>4.9036999999999997E-2</v>
      </c>
      <c r="N78" s="1649">
        <v>1.0230213650554516</v>
      </c>
      <c r="O78" s="1649">
        <v>1.0230213650554516</v>
      </c>
    </row>
    <row r="79" spans="2:15">
      <c r="B79" s="1463">
        <v>34820</v>
      </c>
      <c r="C79" s="1464">
        <v>114.17100000000001</v>
      </c>
      <c r="D79" s="1464">
        <v>1115.24</v>
      </c>
      <c r="E79" s="1465">
        <v>1.0450356278102417</v>
      </c>
      <c r="F79" s="1465">
        <v>1.4981407870030565</v>
      </c>
      <c r="K79" s="1646">
        <v>42136</v>
      </c>
      <c r="L79" s="1647" t="s">
        <v>1653</v>
      </c>
      <c r="M79" s="1648">
        <v>4.9036999999999997E-2</v>
      </c>
      <c r="N79" s="1649">
        <v>1.0235230240422339</v>
      </c>
      <c r="O79" s="1649">
        <v>1.0235230240422339</v>
      </c>
    </row>
    <row r="80" spans="2:15">
      <c r="B80" s="1463">
        <v>34851</v>
      </c>
      <c r="C80" s="1464">
        <v>116.98399999999999</v>
      </c>
      <c r="D80" s="1464">
        <v>1140.44</v>
      </c>
      <c r="E80" s="1465">
        <v>1.0423602226147934</v>
      </c>
      <c r="F80" s="1465">
        <v>1.5616023642488079</v>
      </c>
      <c r="K80" s="1646">
        <v>42137</v>
      </c>
      <c r="L80" s="1647" t="s">
        <v>1653</v>
      </c>
      <c r="M80" s="1648">
        <v>4.9036999999999997E-2</v>
      </c>
      <c r="N80" s="1649">
        <v>1.0240249290275336</v>
      </c>
      <c r="O80" s="1649">
        <v>1.0240249290275336</v>
      </c>
    </row>
    <row r="81" spans="2:15">
      <c r="B81" s="1463">
        <v>34881</v>
      </c>
      <c r="C81" s="1464">
        <v>119.114</v>
      </c>
      <c r="D81" s="1464">
        <v>1167.3499999999999</v>
      </c>
      <c r="E81" s="1465">
        <v>1.0402311780170954</v>
      </c>
      <c r="F81" s="1465">
        <v>1.6244274669568188</v>
      </c>
      <c r="K81" s="1646">
        <v>42138</v>
      </c>
      <c r="L81" s="1647" t="s">
        <v>1653</v>
      </c>
      <c r="M81" s="1648">
        <v>4.9036999999999997E-2</v>
      </c>
      <c r="N81" s="1649">
        <v>1.024527080131981</v>
      </c>
      <c r="O81" s="1649">
        <v>1.024527080131981</v>
      </c>
    </row>
    <row r="82" spans="2:15">
      <c r="B82" s="1463">
        <v>34912</v>
      </c>
      <c r="C82" s="1464">
        <v>121.729</v>
      </c>
      <c r="D82" s="1464">
        <v>1178.9100000000001</v>
      </c>
      <c r="E82" s="1464">
        <v>1.0383979241220025</v>
      </c>
      <c r="F82" s="1464">
        <v>1.6868021095747234</v>
      </c>
      <c r="G82" s="7">
        <v>41036.512291666666</v>
      </c>
      <c r="K82" s="1646">
        <v>42139</v>
      </c>
      <c r="L82" s="1647" t="s">
        <v>1653</v>
      </c>
      <c r="M82" s="1648">
        <v>4.9036999999999997E-2</v>
      </c>
      <c r="N82" s="1649">
        <v>1.0250294774762654</v>
      </c>
      <c r="O82" s="1649">
        <v>1.0250294774762654</v>
      </c>
    </row>
    <row r="83" spans="2:15">
      <c r="B83" s="1463">
        <v>34943</v>
      </c>
      <c r="C83" s="1464">
        <v>120.869</v>
      </c>
      <c r="D83" s="1464">
        <v>1190.58</v>
      </c>
      <c r="E83" s="1464">
        <v>1.0349384575781275</v>
      </c>
      <c r="F83" s="1464">
        <v>1.745736373522796</v>
      </c>
      <c r="K83" s="1646">
        <v>42140</v>
      </c>
      <c r="L83" s="1647"/>
      <c r="M83" s="1648">
        <v>0</v>
      </c>
      <c r="N83" s="1649">
        <v>1.0250294774762654</v>
      </c>
      <c r="O83" s="1649">
        <v>1.0250294774762654</v>
      </c>
    </row>
    <row r="84" spans="2:15">
      <c r="B84" s="1463">
        <v>34973</v>
      </c>
      <c r="C84" s="1464">
        <v>121.503</v>
      </c>
      <c r="D84" s="1464">
        <v>1207.3699999999999</v>
      </c>
      <c r="E84" s="1464">
        <v>1.0324041438440343</v>
      </c>
      <c r="F84" s="1464">
        <v>1.8023054660841915</v>
      </c>
      <c r="K84" s="1646">
        <v>42141</v>
      </c>
      <c r="L84" s="1647"/>
      <c r="M84" s="1648">
        <v>0</v>
      </c>
      <c r="N84" s="1649">
        <v>1.0250294774762654</v>
      </c>
      <c r="O84" s="1649">
        <v>1.0250294774762654</v>
      </c>
    </row>
    <row r="85" spans="2:15">
      <c r="B85" s="1463">
        <v>35004</v>
      </c>
      <c r="C85" s="1464">
        <v>122.955</v>
      </c>
      <c r="D85" s="1464">
        <v>1225.1199999999999</v>
      </c>
      <c r="E85" s="1464">
        <v>1.0316999077357936</v>
      </c>
      <c r="F85" s="1464">
        <v>1.8594383830707768</v>
      </c>
      <c r="K85" s="1646">
        <v>42142</v>
      </c>
      <c r="L85" s="1647" t="s">
        <v>1653</v>
      </c>
      <c r="M85" s="1648">
        <v>4.9036999999999997E-2</v>
      </c>
      <c r="N85" s="1649">
        <v>1.0255321211811355</v>
      </c>
      <c r="O85" s="1649">
        <v>1.0255321211811355</v>
      </c>
    </row>
    <row r="86" spans="2:15">
      <c r="B86" s="1463">
        <v>35034</v>
      </c>
      <c r="C86" s="1464">
        <v>123.833</v>
      </c>
      <c r="D86" s="1464">
        <v>1244.23</v>
      </c>
      <c r="E86" s="1464">
        <v>1.0292086837764389</v>
      </c>
      <c r="F86" s="1464">
        <v>1.913750130803664</v>
      </c>
      <c r="K86" s="1646">
        <v>42143</v>
      </c>
      <c r="L86" s="1647" t="s">
        <v>1653</v>
      </c>
      <c r="M86" s="1648">
        <v>4.9036999999999997E-2</v>
      </c>
      <c r="N86" s="1649">
        <v>1.0260350113673991</v>
      </c>
      <c r="O86" s="1649">
        <v>1.0260350113673991</v>
      </c>
    </row>
    <row r="87" spans="2:15">
      <c r="B87" s="1463">
        <v>35065</v>
      </c>
      <c r="C87" s="1464">
        <v>125.977</v>
      </c>
      <c r="D87" s="1464">
        <v>1260.9000000000001</v>
      </c>
      <c r="E87" s="1464">
        <v>1.0271429062533448</v>
      </c>
      <c r="F87" s="1464">
        <v>1.9656948711963942</v>
      </c>
      <c r="K87" s="1646">
        <v>42144</v>
      </c>
      <c r="L87" s="1647" t="s">
        <v>1653</v>
      </c>
      <c r="M87" s="1648">
        <v>4.9036999999999997E-2</v>
      </c>
      <c r="N87" s="1649">
        <v>1.0265381481559233</v>
      </c>
      <c r="O87" s="1649">
        <v>1.0265381481559233</v>
      </c>
    </row>
    <row r="88" spans="2:15">
      <c r="B88" s="1463">
        <v>35096</v>
      </c>
      <c r="C88" s="1464">
        <v>127.202</v>
      </c>
      <c r="D88" s="1464">
        <v>1273.8900000000001</v>
      </c>
      <c r="E88" s="1464">
        <v>1.026088709032714</v>
      </c>
      <c r="F88" s="1464">
        <v>2.0169773127381352</v>
      </c>
      <c r="K88" s="1646">
        <v>42145</v>
      </c>
      <c r="L88" s="1647" t="s">
        <v>1653</v>
      </c>
      <c r="M88" s="1648">
        <v>4.9036999999999997E-2</v>
      </c>
      <c r="N88" s="1649">
        <v>1.0270415316676345</v>
      </c>
      <c r="O88" s="1649">
        <v>1.0270415316676345</v>
      </c>
    </row>
    <row r="89" spans="2:15">
      <c r="B89" s="1463">
        <v>35125</v>
      </c>
      <c r="C89" s="1464">
        <v>127.715</v>
      </c>
      <c r="D89" s="1464">
        <v>1278.3499999999999</v>
      </c>
      <c r="E89" s="1464">
        <v>1.0222082178682002</v>
      </c>
      <c r="F89" s="1464">
        <v>2.0617707843346404</v>
      </c>
      <c r="K89" s="1646">
        <v>42146</v>
      </c>
      <c r="L89" s="1647" t="s">
        <v>1653</v>
      </c>
      <c r="M89" s="1648">
        <v>4.9036999999999997E-2</v>
      </c>
      <c r="N89" s="1649">
        <v>1.0275451620235183</v>
      </c>
      <c r="O89" s="1649">
        <v>1.0275451620235183</v>
      </c>
    </row>
    <row r="90" spans="2:15">
      <c r="B90" s="1463">
        <v>35156</v>
      </c>
      <c r="C90" s="1464">
        <v>128.13</v>
      </c>
      <c r="D90" s="1464">
        <v>1294.46</v>
      </c>
      <c r="E90" s="1464">
        <v>1.0227569082086725</v>
      </c>
      <c r="F90" s="1464">
        <v>2.1086903128210666</v>
      </c>
      <c r="K90" s="1646">
        <v>42147</v>
      </c>
      <c r="L90" s="1647"/>
      <c r="M90" s="1648">
        <v>0</v>
      </c>
      <c r="N90" s="1649">
        <v>1.0275451620235183</v>
      </c>
      <c r="O90" s="1649">
        <v>1.0275451620235183</v>
      </c>
    </row>
    <row r="91" spans="2:15">
      <c r="B91" s="1463">
        <v>35186</v>
      </c>
      <c r="C91" s="1464">
        <v>130.12100000000001</v>
      </c>
      <c r="D91" s="1464">
        <v>1310.25</v>
      </c>
      <c r="E91" s="1464">
        <v>1.0210626514511167</v>
      </c>
      <c r="F91" s="1464">
        <v>2.1531049218983629</v>
      </c>
      <c r="K91" s="1646">
        <v>42148</v>
      </c>
      <c r="L91" s="1647"/>
      <c r="M91" s="1648">
        <v>0</v>
      </c>
      <c r="N91" s="1649">
        <v>1.0275451620235183</v>
      </c>
      <c r="O91" s="1649">
        <v>1.0275451620235183</v>
      </c>
    </row>
    <row r="92" spans="2:15">
      <c r="B92" s="1463">
        <v>35217</v>
      </c>
      <c r="C92" s="1464">
        <v>131.44499999999999</v>
      </c>
      <c r="D92" s="1464">
        <v>1325.84</v>
      </c>
      <c r="E92" s="1464">
        <v>1.020826552130859</v>
      </c>
      <c r="F92" s="1464">
        <v>2.1979466737974884</v>
      </c>
      <c r="K92" s="1646">
        <v>42149</v>
      </c>
      <c r="L92" s="1647" t="s">
        <v>1653</v>
      </c>
      <c r="M92" s="1648">
        <v>4.9036999999999997E-2</v>
      </c>
      <c r="N92" s="1649">
        <v>1.0280490393446198</v>
      </c>
      <c r="O92" s="1649">
        <v>1.0280490393446198</v>
      </c>
    </row>
    <row r="93" spans="2:15">
      <c r="B93" s="1463">
        <v>35247</v>
      </c>
      <c r="C93" s="1464">
        <v>133.21299999999999</v>
      </c>
      <c r="D93" s="1464">
        <v>1340.56</v>
      </c>
      <c r="E93" s="1464">
        <v>1.0192856968560815</v>
      </c>
      <c r="F93" s="1464">
        <v>2.2403356070541793</v>
      </c>
      <c r="K93" s="1646">
        <v>42150</v>
      </c>
      <c r="L93" s="1647" t="s">
        <v>1653</v>
      </c>
      <c r="M93" s="1648">
        <v>4.9036999999999997E-2</v>
      </c>
      <c r="N93" s="1649">
        <v>1.0285531637520433</v>
      </c>
      <c r="O93" s="1649">
        <v>1.0285531637520433</v>
      </c>
    </row>
    <row r="94" spans="2:15">
      <c r="B94" s="1463">
        <v>35278</v>
      </c>
      <c r="C94" s="1464">
        <v>133.58699999999999</v>
      </c>
      <c r="D94" s="1464">
        <v>1346.46</v>
      </c>
      <c r="E94" s="1464">
        <v>1.0196791435025818</v>
      </c>
      <c r="F94" s="1464">
        <v>2.2844234929593421</v>
      </c>
      <c r="K94" s="1646">
        <v>42151</v>
      </c>
      <c r="L94" s="1647" t="s">
        <v>1653</v>
      </c>
      <c r="M94" s="1648">
        <v>4.9036999999999997E-2</v>
      </c>
      <c r="N94" s="1649">
        <v>1.0290575353669524</v>
      </c>
      <c r="O94" s="1649">
        <v>1.0290575353669524</v>
      </c>
    </row>
    <row r="95" spans="2:15">
      <c r="B95" s="1463">
        <v>35309</v>
      </c>
      <c r="C95" s="1464">
        <v>133.72200000000001</v>
      </c>
      <c r="D95" s="1464">
        <v>1348.48</v>
      </c>
      <c r="E95" s="1464">
        <v>1.0190405257020327</v>
      </c>
      <c r="F95" s="1464">
        <v>2.3279201171913617</v>
      </c>
      <c r="K95" s="1646">
        <v>42152</v>
      </c>
      <c r="L95" s="1647" t="s">
        <v>1653</v>
      </c>
      <c r="M95" s="1648">
        <v>4.9036999999999997E-2</v>
      </c>
      <c r="N95" s="1649">
        <v>1.0295621543105704</v>
      </c>
      <c r="O95" s="1649">
        <v>1.0295621543105704</v>
      </c>
    </row>
    <row r="96" spans="2:15">
      <c r="B96" s="1463">
        <v>35339</v>
      </c>
      <c r="C96" s="1464">
        <v>133.97800000000001</v>
      </c>
      <c r="D96" s="1464">
        <v>1352.53</v>
      </c>
      <c r="E96" s="1464">
        <v>1.0194350405573067</v>
      </c>
      <c r="F96" s="1464">
        <v>2.3731633390831459</v>
      </c>
      <c r="K96" s="1646">
        <v>42153</v>
      </c>
      <c r="L96" s="1647" t="s">
        <v>1653</v>
      </c>
      <c r="M96" s="1648">
        <v>4.9036999999999997E-2</v>
      </c>
      <c r="N96" s="1649">
        <v>1.0300670207041798</v>
      </c>
      <c r="O96" s="1649">
        <v>1.0300670207041798</v>
      </c>
    </row>
    <row r="97" spans="2:15">
      <c r="B97" s="1463">
        <v>35370</v>
      </c>
      <c r="C97" s="1464">
        <v>134.24199999999999</v>
      </c>
      <c r="D97" s="1464">
        <v>1356.86</v>
      </c>
      <c r="E97" s="1464">
        <v>1.018952291397875</v>
      </c>
      <c r="F97" s="1464">
        <v>2.4181402222202037</v>
      </c>
      <c r="K97" s="1646">
        <v>42154</v>
      </c>
      <c r="L97" s="1647"/>
      <c r="M97" s="1648">
        <v>0</v>
      </c>
      <c r="N97" s="1649">
        <v>1.0300670207041798</v>
      </c>
      <c r="O97" s="1649">
        <v>1.0300670207041798</v>
      </c>
    </row>
    <row r="98" spans="2:15">
      <c r="B98" s="1463">
        <v>35400</v>
      </c>
      <c r="C98" s="1464">
        <v>135.22499999999999</v>
      </c>
      <c r="D98" s="1464">
        <v>1363.24</v>
      </c>
      <c r="E98" s="1464">
        <v>1.0189221360623306</v>
      </c>
      <c r="F98" s="1464">
        <v>2.4638966005228489</v>
      </c>
      <c r="K98" s="1646">
        <v>42155</v>
      </c>
      <c r="L98" s="1647"/>
      <c r="M98" s="1648">
        <v>0</v>
      </c>
      <c r="N98" s="1649">
        <v>1.0300670207041798</v>
      </c>
      <c r="O98" s="1649">
        <v>1.0300670207041798</v>
      </c>
    </row>
    <row r="99" spans="2:15">
      <c r="B99" s="1463">
        <v>35431</v>
      </c>
      <c r="C99" s="1464">
        <v>137.613</v>
      </c>
      <c r="D99" s="1464">
        <v>1379.33</v>
      </c>
      <c r="E99" s="1464">
        <v>1.0182168360386268</v>
      </c>
      <c r="F99" s="1464">
        <v>2.5087810009107034</v>
      </c>
      <c r="K99" s="1646">
        <v>42156</v>
      </c>
      <c r="L99" s="1647" t="s">
        <v>1653</v>
      </c>
      <c r="M99" s="1648">
        <v>4.9036999999999997E-2</v>
      </c>
      <c r="N99" s="1649">
        <v>1.0305721346691226</v>
      </c>
      <c r="O99" s="1649">
        <v>1.0305721346691226</v>
      </c>
    </row>
    <row r="100" spans="2:15">
      <c r="B100" s="1463">
        <v>35462</v>
      </c>
      <c r="C100" s="1464">
        <v>138.20400000000001</v>
      </c>
      <c r="D100" s="1464">
        <v>1386.23</v>
      </c>
      <c r="E100" s="1464">
        <v>1.018615977536991</v>
      </c>
      <c r="F100" s="1464">
        <v>2.5554844116688868</v>
      </c>
      <c r="K100" s="1646">
        <v>42157</v>
      </c>
      <c r="L100" s="1647" t="s">
        <v>1653</v>
      </c>
      <c r="M100" s="1648">
        <v>4.9036999999999997E-2</v>
      </c>
      <c r="N100" s="1649">
        <v>1.0310774963268003</v>
      </c>
      <c r="O100" s="1649">
        <v>1.0310774963268003</v>
      </c>
    </row>
    <row r="101" spans="2:15">
      <c r="B101" s="1463">
        <v>35490</v>
      </c>
      <c r="C101" s="1464">
        <v>139.79499999999999</v>
      </c>
      <c r="D101" s="1464">
        <v>1393.3</v>
      </c>
      <c r="E101" s="1464">
        <v>1.0181653196053577</v>
      </c>
      <c r="F101" s="1464">
        <v>2.6019056027533618</v>
      </c>
      <c r="K101" s="1646">
        <v>42158</v>
      </c>
      <c r="L101" s="1647" t="s">
        <v>1653</v>
      </c>
      <c r="M101" s="1648">
        <v>4.9036999999999997E-2</v>
      </c>
      <c r="N101" s="1649">
        <v>1.0315831057986742</v>
      </c>
      <c r="O101" s="1649">
        <v>1.0315831057986742</v>
      </c>
    </row>
    <row r="102" spans="2:15">
      <c r="B102" s="1463">
        <v>35521</v>
      </c>
      <c r="C102" s="1464">
        <v>140.74199999999999</v>
      </c>
      <c r="D102" s="1464">
        <v>1405.56</v>
      </c>
      <c r="E102" s="1464">
        <v>1.0174130782041242</v>
      </c>
      <c r="F102" s="1464">
        <v>2.6472127884938548</v>
      </c>
      <c r="K102" s="1646">
        <v>42159</v>
      </c>
      <c r="L102" s="1647"/>
      <c r="M102" s="1648">
        <v>0</v>
      </c>
      <c r="N102" s="1649">
        <v>1.0315831057986742</v>
      </c>
      <c r="O102" s="1649">
        <v>1.0315831057986742</v>
      </c>
    </row>
    <row r="103" spans="2:15">
      <c r="B103" s="1463">
        <v>35551</v>
      </c>
      <c r="C103" s="1464">
        <v>141.04</v>
      </c>
      <c r="D103" s="1464">
        <v>1411.32</v>
      </c>
      <c r="E103" s="1464">
        <v>1.0173859708262292</v>
      </c>
      <c r="F103" s="1464">
        <v>2.6932371528054295</v>
      </c>
      <c r="K103" s="1646">
        <v>42160</v>
      </c>
      <c r="L103" s="1647" t="s">
        <v>1653</v>
      </c>
      <c r="M103" s="1648">
        <v>5.0788E-2</v>
      </c>
      <c r="N103" s="1649">
        <v>1.0321070262264471</v>
      </c>
      <c r="O103" s="1649">
        <v>1.0321070262264471</v>
      </c>
    </row>
    <row r="104" spans="2:15">
      <c r="B104" s="1463">
        <v>35582</v>
      </c>
      <c r="C104" s="1464">
        <v>142.09</v>
      </c>
      <c r="D104" s="1464">
        <v>1418.94</v>
      </c>
      <c r="E104" s="1464">
        <v>1.0160683269749473</v>
      </c>
      <c r="F104" s="1464">
        <v>2.7365129679977831</v>
      </c>
      <c r="K104" s="1646">
        <v>42161</v>
      </c>
      <c r="L104" s="1647"/>
      <c r="M104" s="1648">
        <v>0</v>
      </c>
      <c r="N104" s="1649">
        <v>1.0321070262264471</v>
      </c>
      <c r="O104" s="1649">
        <v>1.0321070262264471</v>
      </c>
    </row>
    <row r="105" spans="2:15">
      <c r="B105" s="1463">
        <v>35612</v>
      </c>
      <c r="C105" s="1464">
        <v>142.221</v>
      </c>
      <c r="D105" s="1464">
        <v>1422.06</v>
      </c>
      <c r="E105" s="1464">
        <v>1.0160384417373229</v>
      </c>
      <c r="F105" s="1464">
        <v>2.7804023717984441</v>
      </c>
      <c r="K105" s="1646">
        <v>42162</v>
      </c>
      <c r="L105" s="1647"/>
      <c r="M105" s="1648">
        <v>0</v>
      </c>
      <c r="N105" s="1649">
        <v>1.0321070262264471</v>
      </c>
      <c r="O105" s="1649">
        <v>1.0321070262264471</v>
      </c>
    </row>
    <row r="106" spans="2:15">
      <c r="B106" s="1463">
        <v>35643</v>
      </c>
      <c r="C106" s="1464">
        <v>142.35300000000001</v>
      </c>
      <c r="D106" s="1464">
        <v>1421.78</v>
      </c>
      <c r="E106" s="1464">
        <v>1.0158585469231169</v>
      </c>
      <c r="F106" s="1464">
        <v>2.8244955132767555</v>
      </c>
      <c r="K106" s="1646">
        <v>42163</v>
      </c>
      <c r="L106" s="1647" t="s">
        <v>1653</v>
      </c>
      <c r="M106" s="1648">
        <v>5.0788E-2</v>
      </c>
      <c r="N106" s="1649">
        <v>1.0326312127429271</v>
      </c>
      <c r="O106" s="1649">
        <v>1.0326312127429271</v>
      </c>
    </row>
    <row r="107" spans="2:15">
      <c r="B107" s="1463">
        <v>35674</v>
      </c>
      <c r="C107" s="1464">
        <v>143.042</v>
      </c>
      <c r="D107" s="1464">
        <v>1422.63</v>
      </c>
      <c r="E107" s="1464">
        <v>1.0159028051900765</v>
      </c>
      <c r="F107" s="1464">
        <v>2.869412915184641</v>
      </c>
      <c r="K107" s="1646">
        <v>42164</v>
      </c>
      <c r="L107" s="1647" t="s">
        <v>1653</v>
      </c>
      <c r="M107" s="1648">
        <v>5.0788E-2</v>
      </c>
      <c r="N107" s="1649">
        <v>1.033155665483255</v>
      </c>
      <c r="O107" s="1649">
        <v>1.033155665483255</v>
      </c>
    </row>
    <row r="108" spans="2:15">
      <c r="B108" s="1463">
        <v>35704</v>
      </c>
      <c r="C108" s="1464">
        <v>143.56700000000001</v>
      </c>
      <c r="D108" s="1464">
        <v>1425.9</v>
      </c>
      <c r="E108" s="1464">
        <v>1.0167288802763557</v>
      </c>
      <c r="F108" s="1464">
        <v>2.9174149803061935</v>
      </c>
      <c r="K108" s="1646">
        <v>42165</v>
      </c>
      <c r="L108" s="1647" t="s">
        <v>1653</v>
      </c>
      <c r="M108" s="1648">
        <v>5.0788E-2</v>
      </c>
      <c r="N108" s="1649">
        <v>1.0336803845826406</v>
      </c>
      <c r="O108" s="1649">
        <v>1.0336803845826406</v>
      </c>
    </row>
    <row r="109" spans="2:15">
      <c r="B109" s="1463">
        <v>35735</v>
      </c>
      <c r="C109" s="1464">
        <v>144.48099999999999</v>
      </c>
      <c r="D109" s="1464">
        <v>1428.32</v>
      </c>
      <c r="E109" s="1464">
        <v>1.0304347964479648</v>
      </c>
      <c r="F109" s="1464">
        <v>3.0062059113860555</v>
      </c>
      <c r="K109" s="1646">
        <v>42166</v>
      </c>
      <c r="L109" s="1647" t="s">
        <v>1653</v>
      </c>
      <c r="M109" s="1648">
        <v>5.0788E-2</v>
      </c>
      <c r="N109" s="1649">
        <v>1.0342053701763625</v>
      </c>
      <c r="O109" s="1649">
        <v>1.0342053701763625</v>
      </c>
    </row>
    <row r="110" spans="2:15">
      <c r="B110" s="1463">
        <v>35765</v>
      </c>
      <c r="C110" s="1464">
        <v>145.69499999999999</v>
      </c>
      <c r="D110" s="1464">
        <v>1434.46</v>
      </c>
      <c r="E110" s="1464">
        <v>1.0311549813439238</v>
      </c>
      <c r="F110" s="1464">
        <v>3.0998642004712815</v>
      </c>
      <c r="K110" s="1646">
        <v>42167</v>
      </c>
      <c r="L110" s="1647" t="s">
        <v>1653</v>
      </c>
      <c r="M110" s="1648">
        <v>5.0788E-2</v>
      </c>
      <c r="N110" s="1649">
        <v>1.0347306223997677</v>
      </c>
      <c r="O110" s="1649">
        <v>1.0347306223997677</v>
      </c>
    </row>
    <row r="111" spans="2:15">
      <c r="B111" s="1463">
        <v>35796</v>
      </c>
      <c r="C111" s="1464">
        <v>147.09100000000001</v>
      </c>
      <c r="D111" s="1464">
        <v>1444.64</v>
      </c>
      <c r="E111" s="1464">
        <v>1.0280960413836384</v>
      </c>
      <c r="F111" s="1464">
        <v>3.1869581133313818</v>
      </c>
      <c r="K111" s="1646">
        <v>42168</v>
      </c>
      <c r="L111" s="1647"/>
      <c r="M111" s="1648">
        <v>0</v>
      </c>
      <c r="N111" s="1649">
        <v>1.0347306223997677</v>
      </c>
      <c r="O111" s="1649">
        <v>1.0347306223997677</v>
      </c>
    </row>
    <row r="112" spans="2:15">
      <c r="B112" s="1463">
        <v>35827</v>
      </c>
      <c r="C112" s="1464">
        <v>147.35599999999999</v>
      </c>
      <c r="D112" s="1464">
        <v>1451.29</v>
      </c>
      <c r="E112" s="1464">
        <v>1.0236711069024262</v>
      </c>
      <c r="F112" s="1464">
        <v>3.2623969395256034</v>
      </c>
      <c r="K112" s="1646">
        <v>42169</v>
      </c>
      <c r="L112" s="1647"/>
      <c r="M112" s="1648">
        <v>0</v>
      </c>
      <c r="N112" s="1649">
        <v>1.0347306223997677</v>
      </c>
      <c r="O112" s="1649">
        <v>1.0347306223997677</v>
      </c>
    </row>
    <row r="113" spans="2:15">
      <c r="B113" s="1463">
        <v>35855</v>
      </c>
      <c r="C113" s="1464">
        <v>147.63499999999999</v>
      </c>
      <c r="D113" s="1464">
        <v>1456.22</v>
      </c>
      <c r="E113" s="1464">
        <v>1.0220072916308196</v>
      </c>
      <c r="F113" s="1464">
        <v>3.3341934603892365</v>
      </c>
      <c r="K113" s="1646">
        <v>42170</v>
      </c>
      <c r="L113" s="1647" t="s">
        <v>1653</v>
      </c>
      <c r="M113" s="1648">
        <v>5.0788E-2</v>
      </c>
      <c r="N113" s="1649">
        <v>1.0352561413882722</v>
      </c>
      <c r="O113" s="1649">
        <v>1.0352561413882722</v>
      </c>
    </row>
    <row r="114" spans="2:15">
      <c r="B114" s="1463">
        <v>35886</v>
      </c>
      <c r="C114" s="1464">
        <v>147.821</v>
      </c>
      <c r="D114" s="1464">
        <v>1459.71</v>
      </c>
      <c r="E114" s="1464">
        <v>1.0199031041694671</v>
      </c>
      <c r="F114" s="1464">
        <v>3.4005542601525192</v>
      </c>
      <c r="K114" s="1646">
        <v>42171</v>
      </c>
      <c r="L114" s="1647" t="s">
        <v>1653</v>
      </c>
      <c r="M114" s="1648">
        <v>5.0788E-2</v>
      </c>
      <c r="N114" s="1649">
        <v>1.0357819272773605</v>
      </c>
      <c r="O114" s="1649">
        <v>1.0357819272773605</v>
      </c>
    </row>
    <row r="115" spans="2:15">
      <c r="B115" s="1463">
        <v>35916</v>
      </c>
      <c r="C115" s="1464">
        <v>148.02099999999999</v>
      </c>
      <c r="D115" s="1464">
        <v>1467.01</v>
      </c>
      <c r="E115" s="1464">
        <v>1.0171306475499944</v>
      </c>
      <c r="F115" s="1464">
        <v>3.4588079566578238</v>
      </c>
      <c r="K115" s="1646">
        <v>42172</v>
      </c>
      <c r="L115" s="1647" t="s">
        <v>1653</v>
      </c>
      <c r="M115" s="1648">
        <v>5.0788E-2</v>
      </c>
      <c r="N115" s="1649">
        <v>1.0363079802025861</v>
      </c>
      <c r="O115" s="1649">
        <v>1.0363079802025861</v>
      </c>
    </row>
    <row r="116" spans="2:15">
      <c r="B116" s="1463">
        <v>35947</v>
      </c>
      <c r="C116" s="1464">
        <v>148.58799999999999</v>
      </c>
      <c r="D116" s="1464">
        <v>1467.3</v>
      </c>
      <c r="E116" s="1464">
        <v>1.0167959651913006</v>
      </c>
      <c r="F116" s="1464">
        <v>3.5169019747012422</v>
      </c>
      <c r="K116" s="1646">
        <v>42173</v>
      </c>
      <c r="L116" s="1647" t="s">
        <v>1653</v>
      </c>
      <c r="M116" s="1648">
        <v>5.0788E-2</v>
      </c>
      <c r="N116" s="1649">
        <v>1.0368343002995715</v>
      </c>
      <c r="O116" s="1649">
        <v>1.0368343002995715</v>
      </c>
    </row>
    <row r="117" spans="2:15">
      <c r="B117" s="1463">
        <v>35977</v>
      </c>
      <c r="C117" s="1464">
        <v>148.339</v>
      </c>
      <c r="D117" s="1464">
        <v>1465.54</v>
      </c>
      <c r="E117" s="1464">
        <v>1.0170373206405035</v>
      </c>
      <c r="F117" s="1464">
        <v>3.5768205613054471</v>
      </c>
      <c r="K117" s="1646">
        <v>42174</v>
      </c>
      <c r="L117" s="1647" t="s">
        <v>1653</v>
      </c>
      <c r="M117" s="1648">
        <v>5.0788E-2</v>
      </c>
      <c r="N117" s="1649">
        <v>1.0373608877040077</v>
      </c>
      <c r="O117" s="1649">
        <v>1.0373608877040077</v>
      </c>
    </row>
    <row r="118" spans="2:15">
      <c r="B118" s="1463">
        <v>36008</v>
      </c>
      <c r="C118" s="1464">
        <v>148.10900000000001</v>
      </c>
      <c r="D118" s="1464">
        <v>1458.07</v>
      </c>
      <c r="E118" s="1464">
        <v>1.0147631694962493</v>
      </c>
      <c r="F118" s="1464">
        <v>3.6296257695096692</v>
      </c>
      <c r="K118" s="1646">
        <v>42175</v>
      </c>
      <c r="L118" s="1647"/>
      <c r="M118" s="1648">
        <v>0</v>
      </c>
      <c r="N118" s="1649">
        <v>1.0373608877040077</v>
      </c>
      <c r="O118" s="1649">
        <v>1.0373608877040077</v>
      </c>
    </row>
    <row r="119" spans="2:15">
      <c r="B119" s="1463">
        <v>36039</v>
      </c>
      <c r="C119" s="1464">
        <v>147.98400000000001</v>
      </c>
      <c r="D119" s="1464">
        <v>1454.86</v>
      </c>
      <c r="E119" s="1464">
        <v>1.0255896332244516</v>
      </c>
      <c r="F119" s="1464">
        <v>3.7225065616934394</v>
      </c>
      <c r="K119" s="1646">
        <v>42176</v>
      </c>
      <c r="L119" s="1647"/>
      <c r="M119" s="1648">
        <v>0</v>
      </c>
      <c r="N119" s="1649">
        <v>1.0373608877040077</v>
      </c>
      <c r="O119" s="1649">
        <v>1.0373608877040077</v>
      </c>
    </row>
    <row r="120" spans="2:15">
      <c r="B120" s="1463">
        <v>36069</v>
      </c>
      <c r="C120" s="1464">
        <v>148.1</v>
      </c>
      <c r="D120" s="1464">
        <v>1455.15</v>
      </c>
      <c r="E120" s="1464">
        <v>1.0308188720930029</v>
      </c>
      <c r="F120" s="1464">
        <v>3.8372300152836338</v>
      </c>
      <c r="K120" s="1646">
        <v>42177</v>
      </c>
      <c r="L120" s="1647" t="s">
        <v>1653</v>
      </c>
      <c r="M120" s="1648">
        <v>5.0788E-2</v>
      </c>
      <c r="N120" s="1649">
        <v>1.0378877425516548</v>
      </c>
      <c r="O120" s="1649">
        <v>1.0378877425516548</v>
      </c>
    </row>
    <row r="121" spans="2:15">
      <c r="B121" s="1463">
        <v>36100</v>
      </c>
      <c r="C121" s="1464">
        <v>147.62799999999999</v>
      </c>
      <c r="D121" s="1464">
        <v>1453.4</v>
      </c>
      <c r="E121" s="1464">
        <v>1.0277678356785036</v>
      </c>
      <c r="F121" s="1464">
        <v>3.9437815878086515</v>
      </c>
      <c r="K121" s="1646">
        <v>42178</v>
      </c>
      <c r="L121" s="1647" t="s">
        <v>1653</v>
      </c>
      <c r="M121" s="1648">
        <v>5.0788E-2</v>
      </c>
      <c r="N121" s="1649">
        <v>1.038414864978342</v>
      </c>
      <c r="O121" s="1649">
        <v>1.038414864978342</v>
      </c>
    </row>
    <row r="122" spans="2:15">
      <c r="B122" s="1463">
        <v>36130</v>
      </c>
      <c r="C122" s="1464">
        <v>148.291</v>
      </c>
      <c r="D122" s="1464">
        <v>1458.2</v>
      </c>
      <c r="E122" s="1464">
        <v>1.025049538167373</v>
      </c>
      <c r="F122" s="1464">
        <v>4.0425714952162473</v>
      </c>
      <c r="K122" s="1646">
        <v>42179</v>
      </c>
      <c r="L122" s="1647" t="s">
        <v>1653</v>
      </c>
      <c r="M122" s="1648">
        <v>5.0788E-2</v>
      </c>
      <c r="N122" s="1649">
        <v>1.0389422551199672</v>
      </c>
      <c r="O122" s="1649">
        <v>1.0389422551199672</v>
      </c>
    </row>
    <row r="123" spans="2:15">
      <c r="B123" s="1463">
        <v>36161</v>
      </c>
      <c r="C123" s="1464">
        <v>149.53299999999999</v>
      </c>
      <c r="D123" s="1464">
        <v>1468.41</v>
      </c>
      <c r="E123" s="1464">
        <v>1.022811290449001</v>
      </c>
      <c r="F123" s="1464">
        <v>4.1347877677544771</v>
      </c>
      <c r="K123" s="1646">
        <v>42180</v>
      </c>
      <c r="L123" s="1647" t="s">
        <v>1653</v>
      </c>
      <c r="M123" s="1648">
        <v>5.0788E-2</v>
      </c>
      <c r="N123" s="1649">
        <v>1.0394699131124976</v>
      </c>
      <c r="O123" s="1649">
        <v>1.0394699131124976</v>
      </c>
    </row>
    <row r="124" spans="2:15">
      <c r="B124" s="1463">
        <v>36192</v>
      </c>
      <c r="C124" s="1464">
        <v>154.93299999999999</v>
      </c>
      <c r="D124" s="1464">
        <v>1483.83</v>
      </c>
      <c r="E124" s="1464">
        <v>1.0264662861429437</v>
      </c>
      <c r="F124" s="1464">
        <v>4.2442202439562102</v>
      </c>
      <c r="K124" s="1646">
        <v>42181</v>
      </c>
      <c r="L124" s="1647" t="s">
        <v>1653</v>
      </c>
      <c r="M124" s="1648">
        <v>5.0788E-2</v>
      </c>
      <c r="N124" s="1649">
        <v>1.0399978390919691</v>
      </c>
      <c r="O124" s="1649">
        <v>1.0399978390919691</v>
      </c>
    </row>
    <row r="125" spans="2:15">
      <c r="B125" s="1463">
        <v>36220</v>
      </c>
      <c r="C125" s="1464">
        <v>159.32499999999999</v>
      </c>
      <c r="D125" s="1464">
        <v>1500.15</v>
      </c>
      <c r="E125" s="1464">
        <v>1.033345195070198</v>
      </c>
      <c r="F125" s="1464">
        <v>4.3857445959118131</v>
      </c>
      <c r="K125" s="1646">
        <v>42182</v>
      </c>
      <c r="L125" s="1647"/>
      <c r="M125" s="1648">
        <v>0</v>
      </c>
      <c r="N125" s="1649">
        <v>1.0399978390919691</v>
      </c>
      <c r="O125" s="1649">
        <v>1.0399978390919691</v>
      </c>
    </row>
    <row r="126" spans="2:15">
      <c r="B126" s="1463">
        <v>36251</v>
      </c>
      <c r="C126" s="1464">
        <v>160.459</v>
      </c>
      <c r="D126" s="1464">
        <v>1508.55</v>
      </c>
      <c r="E126" s="1464">
        <v>1.027563660965396</v>
      </c>
      <c r="F126" s="1464">
        <v>4.5066317730343437</v>
      </c>
      <c r="K126" s="1646">
        <v>42183</v>
      </c>
      <c r="L126" s="1647"/>
      <c r="M126" s="1648">
        <v>0</v>
      </c>
      <c r="N126" s="1649">
        <v>1.0399978390919691</v>
      </c>
      <c r="O126" s="1649">
        <v>1.0399978390919691</v>
      </c>
    </row>
    <row r="127" spans="2:15">
      <c r="B127" s="1463">
        <v>36281</v>
      </c>
      <c r="C127" s="1464">
        <v>159.99600000000001</v>
      </c>
      <c r="D127" s="1464">
        <v>1513.08</v>
      </c>
      <c r="E127" s="1464">
        <v>1.0201883000304468</v>
      </c>
      <c r="F127" s="1464">
        <v>4.5976130073951058</v>
      </c>
      <c r="K127" s="1646">
        <v>42184</v>
      </c>
      <c r="L127" s="1647" t="s">
        <v>1653</v>
      </c>
      <c r="M127" s="1648">
        <v>5.0788E-2</v>
      </c>
      <c r="N127" s="1649">
        <v>1.0405260331944872</v>
      </c>
      <c r="O127" s="1649">
        <v>1.0405260331944872</v>
      </c>
    </row>
    <row r="128" spans="2:15">
      <c r="B128" s="1463">
        <v>36312</v>
      </c>
      <c r="C128" s="1464">
        <v>160.57300000000001</v>
      </c>
      <c r="D128" s="1464">
        <v>1515.95</v>
      </c>
      <c r="E128" s="1464">
        <v>1.0175637707499077</v>
      </c>
      <c r="F128" s="1464">
        <v>4.6783644282537873</v>
      </c>
      <c r="K128" s="1646">
        <v>42185</v>
      </c>
      <c r="L128" s="1647" t="s">
        <v>1653</v>
      </c>
      <c r="M128" s="1648">
        <v>5.0788E-2</v>
      </c>
      <c r="N128" s="1649">
        <v>1.041054495556226</v>
      </c>
      <c r="O128" s="1649">
        <v>1.041054495556226</v>
      </c>
    </row>
    <row r="129" spans="2:15">
      <c r="B129" s="1463">
        <v>36342</v>
      </c>
      <c r="C129" s="1464">
        <v>163.06</v>
      </c>
      <c r="D129" s="1464">
        <v>1532.47</v>
      </c>
      <c r="E129" s="1464">
        <v>1.0165876375704719</v>
      </c>
      <c r="F129" s="1464">
        <v>4.7559674418122491</v>
      </c>
      <c r="K129" s="1646">
        <v>42186</v>
      </c>
      <c r="L129" s="1647" t="s">
        <v>1653</v>
      </c>
      <c r="M129" s="1648">
        <v>5.0788E-2</v>
      </c>
      <c r="N129" s="1649">
        <v>1.041583226313429</v>
      </c>
      <c r="O129" s="1649">
        <v>1.041583226313429</v>
      </c>
    </row>
    <row r="130" spans="2:15">
      <c r="B130" s="1463">
        <v>36373</v>
      </c>
      <c r="C130" s="1464">
        <v>165.60300000000001</v>
      </c>
      <c r="D130" s="1464">
        <v>1541.05</v>
      </c>
      <c r="E130" s="1464">
        <v>1.0156847483880824</v>
      </c>
      <c r="F130" s="1464">
        <v>4.8305635944789866</v>
      </c>
      <c r="K130" s="1646">
        <v>42187</v>
      </c>
      <c r="L130" s="1647" t="s">
        <v>1653</v>
      </c>
      <c r="M130" s="1648">
        <v>5.0788E-2</v>
      </c>
      <c r="N130" s="1649">
        <v>1.0421122256024091</v>
      </c>
      <c r="O130" s="1649">
        <v>1.0421122256024091</v>
      </c>
    </row>
    <row r="131" spans="2:15">
      <c r="B131" s="1463">
        <v>36404</v>
      </c>
      <c r="C131" s="1464">
        <v>167.99700000000001</v>
      </c>
      <c r="D131" s="1464">
        <v>1545.83</v>
      </c>
      <c r="E131" s="1464">
        <v>1.0155901672784533</v>
      </c>
      <c r="F131" s="1464">
        <v>4.9058728889661207</v>
      </c>
      <c r="K131" s="1646">
        <v>42188</v>
      </c>
      <c r="L131" s="1647" t="s">
        <v>1653</v>
      </c>
      <c r="M131" s="1648">
        <v>5.0788E-2</v>
      </c>
      <c r="N131" s="1649">
        <v>1.042641493559548</v>
      </c>
      <c r="O131" s="1649">
        <v>1.042641493559548</v>
      </c>
    </row>
    <row r="132" spans="2:15">
      <c r="B132" s="1463">
        <v>36434</v>
      </c>
      <c r="C132" s="1464">
        <v>170.86099999999999</v>
      </c>
      <c r="D132" s="1464">
        <v>1564.23</v>
      </c>
      <c r="E132" s="1464">
        <v>1.0145370189540868</v>
      </c>
      <c r="F132" s="1464">
        <v>4.9771896561393616</v>
      </c>
      <c r="K132" s="1646">
        <v>42189</v>
      </c>
      <c r="L132" s="1647"/>
      <c r="M132" s="1648">
        <v>0</v>
      </c>
      <c r="N132" s="1649">
        <v>1.042641493559548</v>
      </c>
      <c r="O132" s="1649">
        <v>1.042641493559548</v>
      </c>
    </row>
    <row r="133" spans="2:15">
      <c r="B133" s="1463">
        <v>36465</v>
      </c>
      <c r="C133" s="1464">
        <v>174.93899999999999</v>
      </c>
      <c r="D133" s="1464">
        <v>1579.09</v>
      </c>
      <c r="E133" s="1464">
        <v>1.0152599173733607</v>
      </c>
      <c r="F133" s="1464">
        <v>5.0531411590435944</v>
      </c>
      <c r="K133" s="1646">
        <v>42190</v>
      </c>
      <c r="L133" s="1647"/>
      <c r="M133" s="1648">
        <v>0</v>
      </c>
      <c r="N133" s="1649">
        <v>1.042641493559548</v>
      </c>
      <c r="O133" s="1649">
        <v>1.042641493559548</v>
      </c>
    </row>
    <row r="134" spans="2:15">
      <c r="B134" s="1463">
        <v>36495</v>
      </c>
      <c r="C134" s="1464">
        <v>178.09899999999999</v>
      </c>
      <c r="D134" s="1464">
        <v>1588.56</v>
      </c>
      <c r="E134" s="1464">
        <v>1.0159962861507461</v>
      </c>
      <c r="F134" s="1464">
        <v>5.1339726509837682</v>
      </c>
      <c r="K134" s="1646">
        <v>42191</v>
      </c>
      <c r="L134" s="1647" t="s">
        <v>1653</v>
      </c>
      <c r="M134" s="1648">
        <v>5.0788E-2</v>
      </c>
      <c r="N134" s="1649">
        <v>1.0431710303212971</v>
      </c>
      <c r="O134" s="1649">
        <v>1.0431710303212971</v>
      </c>
    </row>
    <row r="135" spans="2:15">
      <c r="B135" s="1463">
        <v>36526</v>
      </c>
      <c r="C135" s="1464">
        <v>180.30099999999999</v>
      </c>
      <c r="D135" s="1464">
        <v>1598.41</v>
      </c>
      <c r="E135" s="1464">
        <v>1.0145573263269665</v>
      </c>
      <c r="F135" s="1464">
        <v>5.20870956621786</v>
      </c>
      <c r="K135" s="1646">
        <v>42192</v>
      </c>
      <c r="L135" s="1647" t="s">
        <v>1653</v>
      </c>
      <c r="M135" s="1648">
        <v>5.0788E-2</v>
      </c>
      <c r="N135" s="1649">
        <v>1.0437008360241766</v>
      </c>
      <c r="O135" s="1649">
        <v>1.0437008360241766</v>
      </c>
    </row>
    <row r="136" spans="2:15">
      <c r="B136" s="1463">
        <v>36557</v>
      </c>
      <c r="C136" s="1464">
        <v>180.935</v>
      </c>
      <c r="D136" s="1464">
        <v>1600.49</v>
      </c>
      <c r="E136" s="1464">
        <v>1.0145089461247463</v>
      </c>
      <c r="F136" s="1464">
        <v>5.2842824526935654</v>
      </c>
      <c r="K136" s="1646">
        <v>42193</v>
      </c>
      <c r="L136" s="1647" t="s">
        <v>1653</v>
      </c>
      <c r="M136" s="1648">
        <v>5.0788E-2</v>
      </c>
      <c r="N136" s="1649">
        <v>1.0442309108047767</v>
      </c>
      <c r="O136" s="1649">
        <v>1.0442309108047767</v>
      </c>
    </row>
    <row r="137" spans="2:15">
      <c r="B137" s="1463">
        <v>36586</v>
      </c>
      <c r="C137" s="1464">
        <v>181.214</v>
      </c>
      <c r="D137" s="1464">
        <v>1604.01</v>
      </c>
      <c r="E137" s="1464">
        <v>1.0158860407835757</v>
      </c>
      <c r="F137" s="1464">
        <v>5.3682287792489891</v>
      </c>
      <c r="K137" s="1646">
        <v>42194</v>
      </c>
      <c r="L137" s="1647" t="s">
        <v>1653</v>
      </c>
      <c r="M137" s="1648">
        <v>5.0788E-2</v>
      </c>
      <c r="N137" s="1649">
        <v>1.0447612547997562</v>
      </c>
      <c r="O137" s="1649">
        <v>1.0447612547997562</v>
      </c>
    </row>
    <row r="138" spans="2:15">
      <c r="B138" s="1463">
        <v>36617</v>
      </c>
      <c r="C138" s="1464">
        <v>181.63499999999999</v>
      </c>
      <c r="D138" s="1464">
        <v>1610.75</v>
      </c>
      <c r="E138" s="1464">
        <v>1.0136441914221253</v>
      </c>
      <c r="F138" s="1464">
        <v>5.4414739203108242</v>
      </c>
      <c r="K138" s="1646">
        <v>42195</v>
      </c>
      <c r="L138" s="1647" t="s">
        <v>1653</v>
      </c>
      <c r="M138" s="1648">
        <v>5.0788E-2</v>
      </c>
      <c r="N138" s="1649">
        <v>1.0452918681458438</v>
      </c>
      <c r="O138" s="1649">
        <v>1.0452918681458438</v>
      </c>
    </row>
    <row r="139" spans="2:15">
      <c r="B139" s="1463">
        <v>36647</v>
      </c>
      <c r="C139" s="1464">
        <v>182.18899999999999</v>
      </c>
      <c r="D139" s="1464">
        <v>1610.91</v>
      </c>
      <c r="E139" s="1464">
        <v>1.0156265899953318</v>
      </c>
      <c r="F139" s="1464">
        <v>5.5265056022338124</v>
      </c>
      <c r="K139" s="1646">
        <v>42196</v>
      </c>
      <c r="L139" s="1647"/>
      <c r="M139" s="1648">
        <v>0</v>
      </c>
      <c r="N139" s="1649">
        <v>1.0452918681458438</v>
      </c>
      <c r="O139" s="1649">
        <v>1.0452918681458438</v>
      </c>
    </row>
    <row r="140" spans="2:15">
      <c r="B140" s="1463">
        <v>36678</v>
      </c>
      <c r="C140" s="1464">
        <v>183.745</v>
      </c>
      <c r="D140" s="1464">
        <v>1614.62</v>
      </c>
      <c r="E140" s="1464">
        <v>1.0145668910909638</v>
      </c>
      <c r="F140" s="1464">
        <v>5.6070096074551534</v>
      </c>
      <c r="K140" s="1646">
        <v>42197</v>
      </c>
      <c r="L140" s="1647"/>
      <c r="M140" s="1648">
        <v>0</v>
      </c>
      <c r="N140" s="1649">
        <v>1.0452918681458438</v>
      </c>
      <c r="O140" s="1649">
        <v>1.0452918681458438</v>
      </c>
    </row>
    <row r="141" spans="2:15">
      <c r="B141" s="1463">
        <v>36708</v>
      </c>
      <c r="C141" s="1464">
        <v>186.63399999999999</v>
      </c>
      <c r="D141" s="1464">
        <v>1640.62</v>
      </c>
      <c r="E141" s="1464">
        <v>1.0130599958288005</v>
      </c>
      <c r="F141" s="1464">
        <v>5.6802371295405623</v>
      </c>
      <c r="K141" s="1646">
        <v>42198</v>
      </c>
      <c r="L141" s="1647" t="s">
        <v>1653</v>
      </c>
      <c r="M141" s="1648">
        <v>5.0788E-2</v>
      </c>
      <c r="N141" s="1649">
        <v>1.0458227509798377</v>
      </c>
      <c r="O141" s="1649">
        <v>1.0458227509798377</v>
      </c>
    </row>
    <row r="142" spans="2:15">
      <c r="B142" s="1463">
        <v>36739</v>
      </c>
      <c r="C142" s="1464">
        <v>191.08699999999999</v>
      </c>
      <c r="D142" s="1464">
        <v>1662.11</v>
      </c>
      <c r="E142" s="1464">
        <v>1.0140543715890855</v>
      </c>
      <c r="F142" s="1464">
        <v>5.7600692928732462</v>
      </c>
      <c r="K142" s="1646">
        <v>42199</v>
      </c>
      <c r="L142" s="1647" t="s">
        <v>1653</v>
      </c>
      <c r="M142" s="1648">
        <v>5.0788E-2</v>
      </c>
      <c r="N142" s="1649">
        <v>1.0463539034386053</v>
      </c>
      <c r="O142" s="1649">
        <v>1.0463539034386053</v>
      </c>
    </row>
    <row r="143" spans="2:15">
      <c r="B143" s="1463">
        <v>36770</v>
      </c>
      <c r="C143" s="1464">
        <v>193.297</v>
      </c>
      <c r="D143" s="1464">
        <v>1665.93</v>
      </c>
      <c r="E143" s="1464">
        <v>1.0128508890656427</v>
      </c>
      <c r="F143" s="1464">
        <v>5.8340913043663756</v>
      </c>
      <c r="K143" s="1646">
        <v>42200</v>
      </c>
      <c r="L143" s="1647" t="s">
        <v>1653</v>
      </c>
      <c r="M143" s="1648">
        <v>5.0788E-2</v>
      </c>
      <c r="N143" s="1649">
        <v>1.0468853256590838</v>
      </c>
      <c r="O143" s="1649">
        <v>1.0468853256590838</v>
      </c>
    </row>
    <row r="144" spans="2:15">
      <c r="B144" s="1463">
        <v>36800</v>
      </c>
      <c r="C144" s="1464">
        <v>194.04</v>
      </c>
      <c r="D144" s="1464">
        <v>1668.26</v>
      </c>
      <c r="E144" s="1464">
        <v>1.013495295624836</v>
      </c>
      <c r="F144" s="1464">
        <v>5.9128240912210845</v>
      </c>
      <c r="K144" s="1646">
        <v>42201</v>
      </c>
      <c r="L144" s="1647" t="s">
        <v>1653</v>
      </c>
      <c r="M144" s="1648">
        <v>5.0788E-2</v>
      </c>
      <c r="N144" s="1649">
        <v>1.0474170177782796</v>
      </c>
      <c r="O144" s="1649">
        <v>1.0474170177782796</v>
      </c>
    </row>
    <row r="145" spans="2:15">
      <c r="B145" s="1463">
        <v>36831</v>
      </c>
      <c r="C145" s="1464">
        <v>194.59899999999999</v>
      </c>
      <c r="D145" s="1464">
        <v>1673.6</v>
      </c>
      <c r="E145" s="1464">
        <v>1.013431060777086</v>
      </c>
      <c r="F145" s="1464">
        <v>5.992239590954493</v>
      </c>
      <c r="K145" s="1646">
        <v>42202</v>
      </c>
      <c r="L145" s="1647" t="s">
        <v>1653</v>
      </c>
      <c r="M145" s="1648">
        <v>5.0788E-2</v>
      </c>
      <c r="N145" s="1649">
        <v>1.0479489799332689</v>
      </c>
      <c r="O145" s="1649">
        <v>1.0479489799332689</v>
      </c>
    </row>
    <row r="146" spans="2:15">
      <c r="B146" s="1463">
        <v>36861</v>
      </c>
      <c r="C146" s="1464">
        <v>195.827</v>
      </c>
      <c r="D146" s="1464">
        <v>1683.47</v>
      </c>
      <c r="E146" s="1464">
        <v>1.0125716392096709</v>
      </c>
      <c r="F146" s="1464">
        <v>6.0675718651498789</v>
      </c>
      <c r="K146" s="1646">
        <v>42203</v>
      </c>
      <c r="L146" s="1647"/>
      <c r="M146" s="1648">
        <v>0</v>
      </c>
      <c r="N146" s="1649">
        <v>1.0479489799332689</v>
      </c>
      <c r="O146" s="1649">
        <v>1.0479489799332689</v>
      </c>
    </row>
    <row r="147" spans="2:15">
      <c r="B147" s="1463">
        <v>36892</v>
      </c>
      <c r="C147" s="1464">
        <v>197.04499999999999</v>
      </c>
      <c r="D147" s="1464">
        <v>1693.07</v>
      </c>
      <c r="E147" s="1464">
        <v>1.0126506879847863</v>
      </c>
      <c r="F147" s="1464">
        <v>6.144330823641158</v>
      </c>
      <c r="K147" s="1646">
        <v>42204</v>
      </c>
      <c r="L147" s="1647"/>
      <c r="M147" s="1648">
        <v>0</v>
      </c>
      <c r="N147" s="1649">
        <v>1.0479489799332689</v>
      </c>
      <c r="O147" s="1649">
        <v>1.0479489799332689</v>
      </c>
    </row>
    <row r="148" spans="2:15">
      <c r="B148" s="1463">
        <v>36923</v>
      </c>
      <c r="C148" s="1464">
        <v>197.49100000000001</v>
      </c>
      <c r="D148" s="1464">
        <v>1700.86</v>
      </c>
      <c r="E148" s="1464">
        <v>1.0101583510827936</v>
      </c>
      <c r="F148" s="1464">
        <v>6.206747093316535</v>
      </c>
      <c r="K148" s="1646">
        <v>42205</v>
      </c>
      <c r="L148" s="1647" t="s">
        <v>1653</v>
      </c>
      <c r="M148" s="1648">
        <v>5.0788E-2</v>
      </c>
      <c r="N148" s="1649">
        <v>1.0484812122611973</v>
      </c>
      <c r="O148" s="1649">
        <v>1.0484812122611973</v>
      </c>
    </row>
    <row r="149" spans="2:15">
      <c r="B149" s="1463">
        <v>36951</v>
      </c>
      <c r="C149" s="1464">
        <v>198.60599999999999</v>
      </c>
      <c r="D149" s="1464">
        <v>1707.32</v>
      </c>
      <c r="E149" s="1464">
        <v>1.0125785495836725</v>
      </c>
      <c r="F149" s="1464">
        <v>6.2848189693831324</v>
      </c>
      <c r="K149" s="1646">
        <v>42206</v>
      </c>
      <c r="L149" s="1647" t="s">
        <v>1653</v>
      </c>
      <c r="M149" s="1648">
        <v>5.0788E-2</v>
      </c>
      <c r="N149" s="1649">
        <v>1.0490137148992804</v>
      </c>
      <c r="O149" s="1649">
        <v>1.0490137148992804</v>
      </c>
    </row>
    <row r="150" spans="2:15">
      <c r="B150" s="1463">
        <v>36982</v>
      </c>
      <c r="C150" s="1464">
        <v>200.59100000000001</v>
      </c>
      <c r="D150" s="1464">
        <v>1717.22</v>
      </c>
      <c r="E150" s="1464">
        <v>1.0118637336714187</v>
      </c>
      <c r="F150" s="1464">
        <v>6.3593803878089741</v>
      </c>
      <c r="K150" s="1646">
        <v>42207</v>
      </c>
      <c r="L150" s="1647" t="s">
        <v>1653</v>
      </c>
      <c r="M150" s="1648">
        <v>5.0788E-2</v>
      </c>
      <c r="N150" s="1649">
        <v>1.0495464879848035</v>
      </c>
      <c r="O150" s="1649">
        <v>1.0495464879848035</v>
      </c>
    </row>
    <row r="151" spans="2:15">
      <c r="B151" s="1463">
        <v>37012</v>
      </c>
      <c r="C151" s="1464">
        <v>202.32400000000001</v>
      </c>
      <c r="D151" s="1464">
        <v>1724.26</v>
      </c>
      <c r="E151" s="1464">
        <v>1.0133677002760824</v>
      </c>
      <c r="F151" s="1464">
        <v>6.4443906787748011</v>
      </c>
      <c r="K151" s="1646">
        <v>42208</v>
      </c>
      <c r="L151" s="1647" t="s">
        <v>1653</v>
      </c>
      <c r="M151" s="1648">
        <v>5.0788E-2</v>
      </c>
      <c r="N151" s="1649">
        <v>1.0500795316551212</v>
      </c>
      <c r="O151" s="1649">
        <v>1.0500795316551212</v>
      </c>
    </row>
    <row r="152" spans="2:15">
      <c r="B152" s="1463">
        <v>37043</v>
      </c>
      <c r="C152" s="1464">
        <v>204.31</v>
      </c>
      <c r="D152" s="1464">
        <v>1733.23</v>
      </c>
      <c r="E152" s="1464">
        <v>1.0127331554566117</v>
      </c>
      <c r="F152" s="1464">
        <v>6.5264481071107801</v>
      </c>
      <c r="K152" s="1646">
        <v>42209</v>
      </c>
      <c r="L152" s="1647" t="s">
        <v>1653</v>
      </c>
      <c r="M152" s="1648">
        <v>5.0788E-2</v>
      </c>
      <c r="N152" s="1649">
        <v>1.0506128460476583</v>
      </c>
      <c r="O152" s="1649">
        <v>1.0506128460476583</v>
      </c>
    </row>
    <row r="153" spans="2:15">
      <c r="B153" s="1463">
        <v>37073</v>
      </c>
      <c r="C153" s="1464">
        <v>207.34100000000001</v>
      </c>
      <c r="D153" s="1464">
        <v>1756.28</v>
      </c>
      <c r="E153" s="1464">
        <v>1.014979822756394</v>
      </c>
      <c r="F153" s="1464">
        <v>6.6242131429841029</v>
      </c>
      <c r="K153" s="1646">
        <v>42210</v>
      </c>
      <c r="L153" s="1647"/>
      <c r="M153" s="1648">
        <v>0</v>
      </c>
      <c r="N153" s="1649">
        <v>1.0506128460476583</v>
      </c>
      <c r="O153" s="1649">
        <v>1.0506128460476583</v>
      </c>
    </row>
    <row r="154" spans="2:15">
      <c r="B154" s="1463">
        <v>37104</v>
      </c>
      <c r="C154" s="1464">
        <v>210.21100000000001</v>
      </c>
      <c r="D154" s="1464">
        <v>1768.57</v>
      </c>
      <c r="E154" s="1464">
        <v>1.0160000122718875</v>
      </c>
      <c r="F154" s="1464">
        <v>6.7302006345634471</v>
      </c>
      <c r="K154" s="1646">
        <v>42211</v>
      </c>
      <c r="L154" s="1647"/>
      <c r="M154" s="1648">
        <v>0</v>
      </c>
      <c r="N154" s="1649">
        <v>1.0506128460476583</v>
      </c>
      <c r="O154" s="1649">
        <v>1.0506128460476583</v>
      </c>
    </row>
    <row r="155" spans="2:15">
      <c r="B155" s="1463">
        <v>37135</v>
      </c>
      <c r="C155" s="1464">
        <v>210.85300000000001</v>
      </c>
      <c r="D155" s="1464">
        <v>1773.52</v>
      </c>
      <c r="E155" s="1464">
        <v>1.013243107438228</v>
      </c>
      <c r="F155" s="1464">
        <v>6.8193294046478012</v>
      </c>
      <c r="K155" s="1646">
        <v>42212</v>
      </c>
      <c r="L155" s="1647" t="s">
        <v>1653</v>
      </c>
      <c r="M155" s="1648">
        <v>5.0788E-2</v>
      </c>
      <c r="N155" s="1649">
        <v>1.051146431299909</v>
      </c>
      <c r="O155" s="1649">
        <v>1.051146431299909</v>
      </c>
    </row>
    <row r="156" spans="2:15">
      <c r="B156" s="1463">
        <v>37165</v>
      </c>
      <c r="C156" s="1464">
        <v>213.339</v>
      </c>
      <c r="D156" s="1464">
        <v>1788.24</v>
      </c>
      <c r="E156" s="1464">
        <v>1.0153493751182632</v>
      </c>
      <c r="F156" s="1464">
        <v>6.9240018497347426</v>
      </c>
      <c r="K156" s="1646">
        <v>42213</v>
      </c>
      <c r="L156" s="1647" t="s">
        <v>1653</v>
      </c>
      <c r="M156" s="1648">
        <v>5.0788E-2</v>
      </c>
      <c r="N156" s="1649">
        <v>1.0516802875494375</v>
      </c>
      <c r="O156" s="1649">
        <v>1.0516802875494375</v>
      </c>
    </row>
    <row r="157" spans="2:15">
      <c r="B157" s="1463">
        <v>37196</v>
      </c>
      <c r="C157" s="1464">
        <v>215.685</v>
      </c>
      <c r="D157" s="1464">
        <v>1800.94</v>
      </c>
      <c r="E157" s="1464">
        <v>1.0139343824698488</v>
      </c>
      <c r="F157" s="1464">
        <v>7.0204835397308871</v>
      </c>
      <c r="K157" s="1646">
        <v>42214</v>
      </c>
      <c r="L157" s="1647" t="s">
        <v>1653</v>
      </c>
      <c r="M157" s="1648">
        <v>5.0788E-2</v>
      </c>
      <c r="N157" s="1649">
        <v>1.0522144149338781</v>
      </c>
      <c r="O157" s="1649">
        <v>1.0522144149338781</v>
      </c>
    </row>
    <row r="158" spans="2:15">
      <c r="B158" s="1463">
        <v>37226</v>
      </c>
      <c r="C158" s="1464">
        <v>216.16300000000001</v>
      </c>
      <c r="D158" s="1464">
        <v>1812.65</v>
      </c>
      <c r="E158" s="1464">
        <v>1.0139354159682339</v>
      </c>
      <c r="F158" s="1464">
        <v>7.1183168981551761</v>
      </c>
      <c r="K158" s="1646">
        <v>42215</v>
      </c>
      <c r="L158" s="1647" t="s">
        <v>1653</v>
      </c>
      <c r="M158" s="1648">
        <v>5.2531000000000001E-2</v>
      </c>
      <c r="N158" s="1649">
        <v>1.0527671536881871</v>
      </c>
      <c r="O158" s="1649">
        <v>1.0527671536881871</v>
      </c>
    </row>
    <row r="159" spans="2:15">
      <c r="B159" s="1463">
        <v>37257</v>
      </c>
      <c r="C159" s="1464">
        <v>216.94399999999999</v>
      </c>
      <c r="D159" s="1464">
        <v>1822.08</v>
      </c>
      <c r="E159" s="1464">
        <v>1.0153395939759675</v>
      </c>
      <c r="F159" s="1464">
        <v>7.2275089891651447</v>
      </c>
      <c r="K159" s="1646">
        <v>42216</v>
      </c>
      <c r="L159" s="1647" t="s">
        <v>1653</v>
      </c>
      <c r="M159" s="1648">
        <v>5.2531000000000001E-2</v>
      </c>
      <c r="N159" s="1649">
        <v>1.0533201828016909</v>
      </c>
      <c r="O159" s="1649">
        <v>1.0533201828016909</v>
      </c>
    </row>
    <row r="160" spans="2:15">
      <c r="B160" s="1463">
        <v>37288</v>
      </c>
      <c r="C160" s="1464">
        <v>217.07400000000001</v>
      </c>
      <c r="D160" s="1464">
        <v>1828.64</v>
      </c>
      <c r="E160" s="1464">
        <v>1.012482154231837</v>
      </c>
      <c r="F160" s="1464">
        <v>7.3177238710798918</v>
      </c>
      <c r="K160" s="1646">
        <v>42217</v>
      </c>
      <c r="L160" s="1647"/>
      <c r="M160" s="1648">
        <v>0</v>
      </c>
      <c r="N160" s="1649">
        <v>1.0533201828016909</v>
      </c>
      <c r="O160" s="1649">
        <v>1.0533201828016909</v>
      </c>
    </row>
    <row r="161" spans="2:15">
      <c r="B161" s="1463">
        <v>37316</v>
      </c>
      <c r="C161" s="1464">
        <v>217.27600000000001</v>
      </c>
      <c r="D161" s="1464">
        <v>1839.61</v>
      </c>
      <c r="E161" s="1464">
        <v>1.013713327882185</v>
      </c>
      <c r="F161" s="1464">
        <v>7.4180742178753025</v>
      </c>
      <c r="K161" s="1646">
        <v>42218</v>
      </c>
      <c r="L161" s="1647"/>
      <c r="M161" s="1648">
        <v>0</v>
      </c>
      <c r="N161" s="1649">
        <v>1.0533201828016909</v>
      </c>
      <c r="O161" s="1649">
        <v>1.0533201828016909</v>
      </c>
    </row>
    <row r="162" spans="2:15">
      <c r="B162" s="1463">
        <v>37347</v>
      </c>
      <c r="C162" s="1464">
        <v>218.48599999999999</v>
      </c>
      <c r="D162" s="1464">
        <v>1854.33</v>
      </c>
      <c r="E162" s="1464">
        <v>1.0148356719718208</v>
      </c>
      <c r="F162" s="1464">
        <v>7.5281263336343214</v>
      </c>
      <c r="K162" s="1646">
        <v>42219</v>
      </c>
      <c r="L162" s="1647" t="s">
        <v>1653</v>
      </c>
      <c r="M162" s="1648">
        <v>5.2531000000000001E-2</v>
      </c>
      <c r="N162" s="1649">
        <v>1.0538735024269186</v>
      </c>
      <c r="O162" s="1649">
        <v>1.0538735024269186</v>
      </c>
    </row>
    <row r="163" spans="2:15">
      <c r="B163" s="1463">
        <v>37377</v>
      </c>
      <c r="C163" s="1464">
        <v>220.292</v>
      </c>
      <c r="D163" s="1464">
        <v>1858.22</v>
      </c>
      <c r="E163" s="1464">
        <v>1.0141498936566418</v>
      </c>
      <c r="F163" s="1464">
        <v>7.6346485206890113</v>
      </c>
      <c r="K163" s="1646">
        <v>42220</v>
      </c>
      <c r="L163" s="1647" t="s">
        <v>1653</v>
      </c>
      <c r="M163" s="1648">
        <v>5.2531000000000001E-2</v>
      </c>
      <c r="N163" s="1649">
        <v>1.0544271127164784</v>
      </c>
      <c r="O163" s="1649">
        <v>1.0544271127164784</v>
      </c>
    </row>
    <row r="164" spans="2:15">
      <c r="B164" s="1463">
        <v>37408</v>
      </c>
      <c r="C164" s="1464">
        <v>223.68799999999999</v>
      </c>
      <c r="D164" s="1464">
        <v>1866.02</v>
      </c>
      <c r="E164" s="1464">
        <v>1.0132903281280037</v>
      </c>
      <c r="F164" s="1464">
        <v>7.7361155046709458</v>
      </c>
      <c r="K164" s="1646">
        <v>42221</v>
      </c>
      <c r="L164" s="1647" t="s">
        <v>1653</v>
      </c>
      <c r="M164" s="1648">
        <v>5.2531000000000001E-2</v>
      </c>
      <c r="N164" s="1649">
        <v>1.0549810138230595</v>
      </c>
      <c r="O164" s="1649">
        <v>1.0549810138230595</v>
      </c>
    </row>
    <row r="165" spans="2:15">
      <c r="B165" s="1463">
        <v>37438</v>
      </c>
      <c r="C165" s="1464">
        <v>228.05699999999999</v>
      </c>
      <c r="D165" s="1464">
        <v>1888.23</v>
      </c>
      <c r="E165" s="1464">
        <v>1.0153543455443825</v>
      </c>
      <c r="F165" s="1464">
        <v>7.8548984953009189</v>
      </c>
      <c r="K165" s="1646">
        <v>42222</v>
      </c>
      <c r="L165" s="1647" t="s">
        <v>1653</v>
      </c>
      <c r="M165" s="1648">
        <v>5.2531000000000001E-2</v>
      </c>
      <c r="N165" s="1649">
        <v>1.055535205899431</v>
      </c>
      <c r="O165" s="1649">
        <v>1.055535205899431</v>
      </c>
    </row>
    <row r="166" spans="2:15">
      <c r="B166" s="1463">
        <v>37469</v>
      </c>
      <c r="C166" s="1464">
        <v>233.34800000000001</v>
      </c>
      <c r="D166" s="1464">
        <v>1900.5</v>
      </c>
      <c r="E166" s="1464">
        <v>1.0144340404848073</v>
      </c>
      <c r="F166" s="1464">
        <v>7.9682764181861447</v>
      </c>
      <c r="K166" s="1646">
        <v>42223</v>
      </c>
      <c r="L166" s="1647" t="s">
        <v>1653</v>
      </c>
      <c r="M166" s="1648">
        <v>5.2531000000000001E-2</v>
      </c>
      <c r="N166" s="1649">
        <v>1.0560896890984419</v>
      </c>
      <c r="O166" s="1649">
        <v>1.0560896890984419</v>
      </c>
    </row>
    <row r="167" spans="2:15">
      <c r="B167" s="1463">
        <v>37500</v>
      </c>
      <c r="C167" s="1464">
        <v>238.94300000000001</v>
      </c>
      <c r="D167" s="1464">
        <v>1914.18</v>
      </c>
      <c r="E167" s="1464">
        <v>1.0138126637754254</v>
      </c>
      <c r="F167" s="1464">
        <v>8.0783395412202008</v>
      </c>
      <c r="K167" s="1646">
        <v>42224</v>
      </c>
      <c r="L167" s="1647"/>
      <c r="M167" s="1648">
        <v>0</v>
      </c>
      <c r="N167" s="1649">
        <v>1.0560896890984419</v>
      </c>
      <c r="O167" s="1649">
        <v>1.0560896890984419</v>
      </c>
    </row>
    <row r="168" spans="2:15">
      <c r="B168" s="1463">
        <v>37530</v>
      </c>
      <c r="C168" s="1464">
        <v>248.19900000000001</v>
      </c>
      <c r="D168" s="1464">
        <v>1939.26</v>
      </c>
      <c r="E168" s="1464">
        <v>1.0164592520111337</v>
      </c>
      <c r="F168" s="1464">
        <v>8.2113029675606501</v>
      </c>
      <c r="K168" s="1646">
        <v>42225</v>
      </c>
      <c r="L168" s="1647"/>
      <c r="M168" s="1648">
        <v>0</v>
      </c>
      <c r="N168" s="1649">
        <v>1.0560896890984419</v>
      </c>
      <c r="O168" s="1649">
        <v>1.0560896890984419</v>
      </c>
    </row>
    <row r="169" spans="2:15">
      <c r="B169" s="1463">
        <v>37561</v>
      </c>
      <c r="C169" s="1464">
        <v>261.08</v>
      </c>
      <c r="D169" s="1464">
        <v>1997.83</v>
      </c>
      <c r="E169" s="1464">
        <v>1.0154093077816833</v>
      </c>
      <c r="F169" s="1464">
        <v>8.337833462276441</v>
      </c>
      <c r="K169" s="1646">
        <v>42226</v>
      </c>
      <c r="L169" s="1647" t="s">
        <v>1653</v>
      </c>
      <c r="M169" s="1648">
        <v>5.2531000000000001E-2</v>
      </c>
      <c r="N169" s="1649">
        <v>1.0566444635730223</v>
      </c>
      <c r="O169" s="1649">
        <v>1.0566444635730223</v>
      </c>
    </row>
    <row r="170" spans="2:15">
      <c r="B170" s="1463">
        <v>37591</v>
      </c>
      <c r="C170" s="1464">
        <v>270.86700000000002</v>
      </c>
      <c r="D170" s="1464">
        <v>2039.78</v>
      </c>
      <c r="E170" s="1464">
        <v>1.0174244857414556</v>
      </c>
      <c r="F170" s="1464">
        <v>8.483115922554509</v>
      </c>
      <c r="K170" s="1646">
        <v>42227</v>
      </c>
      <c r="L170" s="1647" t="s">
        <v>1653</v>
      </c>
      <c r="M170" s="1648">
        <v>5.2531000000000001E-2</v>
      </c>
      <c r="N170" s="1649">
        <v>1.0571995294761818</v>
      </c>
      <c r="O170" s="1649">
        <v>1.0571995294761818</v>
      </c>
    </row>
    <row r="171" spans="2:15">
      <c r="B171" s="1463">
        <v>37622</v>
      </c>
      <c r="C171" s="1464">
        <v>277.173</v>
      </c>
      <c r="D171" s="1464">
        <v>2085.6799999999998</v>
      </c>
      <c r="E171" s="1464">
        <v>1.0197126646415859</v>
      </c>
      <c r="F171" s="1464">
        <v>8.6503407418515241</v>
      </c>
      <c r="K171" s="1646">
        <v>42228</v>
      </c>
      <c r="L171" s="1647" t="s">
        <v>1653</v>
      </c>
      <c r="M171" s="1648">
        <v>5.2531000000000001E-2</v>
      </c>
      <c r="N171" s="1649">
        <v>1.0577548869610109</v>
      </c>
      <c r="O171" s="1649">
        <v>1.0577548869610109</v>
      </c>
    </row>
    <row r="172" spans="2:15">
      <c r="B172" s="1463">
        <v>37653</v>
      </c>
      <c r="C172" s="1464">
        <v>283.50599999999997</v>
      </c>
      <c r="D172" s="1464">
        <v>2118.4299999999998</v>
      </c>
      <c r="E172" s="1464">
        <v>1.0183037986307939</v>
      </c>
      <c r="F172" s="1464">
        <v>8.8086748368781276</v>
      </c>
      <c r="K172" s="1646">
        <v>42229</v>
      </c>
      <c r="L172" s="1647" t="s">
        <v>1653</v>
      </c>
      <c r="M172" s="1648">
        <v>5.2531000000000001E-2</v>
      </c>
      <c r="N172" s="1649">
        <v>1.0583105361806804</v>
      </c>
      <c r="O172" s="1649">
        <v>1.0583105361806804</v>
      </c>
    </row>
    <row r="173" spans="2:15">
      <c r="B173" s="1463">
        <v>37681</v>
      </c>
      <c r="C173" s="1464">
        <v>287.85500000000002</v>
      </c>
      <c r="D173" s="1464">
        <v>2144.4899999999998</v>
      </c>
      <c r="E173" s="1464">
        <v>1.0177701866474056</v>
      </c>
      <c r="F173" s="1464">
        <v>8.9652066328457565</v>
      </c>
      <c r="K173" s="1646">
        <v>42230</v>
      </c>
      <c r="L173" s="1647" t="s">
        <v>1653</v>
      </c>
      <c r="M173" s="1648">
        <v>5.2531000000000001E-2</v>
      </c>
      <c r="N173" s="1649">
        <v>1.0588664772884415</v>
      </c>
      <c r="O173" s="1649">
        <v>1.0588664772884415</v>
      </c>
    </row>
    <row r="174" spans="2:15">
      <c r="B174" s="1463">
        <v>37712</v>
      </c>
      <c r="C174" s="1464">
        <v>290.512</v>
      </c>
      <c r="D174" s="1464">
        <v>2165.29</v>
      </c>
      <c r="E174" s="1464">
        <v>1.0187159495984839</v>
      </c>
      <c r="F174" s="1464">
        <v>9.1329989883260918</v>
      </c>
      <c r="K174" s="1646">
        <v>42231</v>
      </c>
      <c r="L174" s="1647"/>
      <c r="M174" s="1648">
        <v>0</v>
      </c>
      <c r="N174" s="1649">
        <v>1.0588664772884415</v>
      </c>
      <c r="O174" s="1649">
        <v>1.0588664772884415</v>
      </c>
    </row>
    <row r="175" spans="2:15">
      <c r="B175" s="1463">
        <v>37742</v>
      </c>
      <c r="C175" s="1464">
        <v>289.74700000000001</v>
      </c>
      <c r="D175" s="1464">
        <v>2178.5</v>
      </c>
      <c r="E175" s="1464">
        <v>1.0196535248447016</v>
      </c>
      <c r="F175" s="1464">
        <v>9.312494610849793</v>
      </c>
      <c r="K175" s="1646">
        <v>42232</v>
      </c>
      <c r="L175" s="1647"/>
      <c r="M175" s="1648">
        <v>0</v>
      </c>
      <c r="N175" s="1649">
        <v>1.0588664772884415</v>
      </c>
      <c r="O175" s="1649">
        <v>1.0588664772884415</v>
      </c>
    </row>
    <row r="176" spans="2:15">
      <c r="B176" s="1463">
        <v>37773</v>
      </c>
      <c r="C176" s="1464">
        <v>286.84300000000002</v>
      </c>
      <c r="D176" s="1464">
        <v>2175.23</v>
      </c>
      <c r="E176" s="1464">
        <v>1.0185667947451373</v>
      </c>
      <c r="F176" s="1464">
        <v>9.4853977868546391</v>
      </c>
      <c r="K176" s="1646">
        <v>42233</v>
      </c>
      <c r="L176" s="1647" t="s">
        <v>1653</v>
      </c>
      <c r="M176" s="1648">
        <v>5.2531000000000001E-2</v>
      </c>
      <c r="N176" s="1649">
        <v>1.0594227104376259</v>
      </c>
      <c r="O176" s="1649">
        <v>1.0594227104376259</v>
      </c>
    </row>
    <row r="177" spans="2:15">
      <c r="B177" s="1463">
        <v>37803</v>
      </c>
      <c r="C177" s="1464">
        <v>285.649</v>
      </c>
      <c r="D177" s="1464">
        <v>2179.58</v>
      </c>
      <c r="E177" s="1464">
        <v>1.0208424747911398</v>
      </c>
      <c r="F177" s="1464">
        <v>9.6830969511110894</v>
      </c>
      <c r="K177" s="1646">
        <v>42234</v>
      </c>
      <c r="L177" s="1647" t="s">
        <v>1653</v>
      </c>
      <c r="M177" s="1648">
        <v>5.2531000000000001E-2</v>
      </c>
      <c r="N177" s="1649">
        <v>1.059979235781646</v>
      </c>
      <c r="O177" s="1649">
        <v>1.059979235781646</v>
      </c>
    </row>
    <row r="178" spans="2:15">
      <c r="B178" s="1463">
        <v>37834</v>
      </c>
      <c r="C178" s="1464">
        <v>286.73500000000001</v>
      </c>
      <c r="D178" s="1464">
        <v>2186.9899999999998</v>
      </c>
      <c r="E178" s="1464">
        <v>1.0177426111342931</v>
      </c>
      <c r="F178" s="1464">
        <v>9.8549003748903132</v>
      </c>
      <c r="K178" s="1646">
        <v>42235</v>
      </c>
      <c r="L178" s="1647" t="s">
        <v>1653</v>
      </c>
      <c r="M178" s="1648">
        <v>5.2531000000000001E-2</v>
      </c>
      <c r="N178" s="1649">
        <v>1.0605360534739945</v>
      </c>
      <c r="O178" s="1649">
        <v>1.0605360534739945</v>
      </c>
    </row>
    <row r="179" spans="2:15">
      <c r="B179" s="1463">
        <v>37865</v>
      </c>
      <c r="C179" s="1464">
        <v>290.12700000000001</v>
      </c>
      <c r="D179" s="1464">
        <v>2204.0500000000002</v>
      </c>
      <c r="E179" s="1464">
        <v>1.0167950902831471</v>
      </c>
      <c r="F179" s="1464">
        <v>10.020414316418016</v>
      </c>
      <c r="K179" s="1646">
        <v>42236</v>
      </c>
      <c r="L179" s="1647" t="s">
        <v>1653</v>
      </c>
      <c r="M179" s="1648">
        <v>5.2531000000000001E-2</v>
      </c>
      <c r="N179" s="1649">
        <v>1.061093163668245</v>
      </c>
      <c r="O179" s="1649">
        <v>1.061093163668245</v>
      </c>
    </row>
    <row r="180" spans="2:15">
      <c r="B180" s="1463">
        <v>37895</v>
      </c>
      <c r="C180" s="1464">
        <v>291.22899999999998</v>
      </c>
      <c r="D180" s="1464">
        <v>2210.44</v>
      </c>
      <c r="E180" s="1464">
        <v>1.0164205992977207</v>
      </c>
      <c r="F180" s="1464">
        <v>10.18495552470506</v>
      </c>
      <c r="K180" s="1646">
        <v>42237</v>
      </c>
      <c r="L180" s="1647" t="s">
        <v>1653</v>
      </c>
      <c r="M180" s="1648">
        <v>5.2531000000000001E-2</v>
      </c>
      <c r="N180" s="1649">
        <v>1.0616505665180516</v>
      </c>
      <c r="O180" s="1649">
        <v>1.0616505665180516</v>
      </c>
    </row>
    <row r="181" spans="2:15">
      <c r="B181" s="1463">
        <v>37926</v>
      </c>
      <c r="C181" s="1464">
        <v>292.65699999999998</v>
      </c>
      <c r="D181" s="1464">
        <v>2217.96</v>
      </c>
      <c r="E181" s="1464">
        <v>1.0134353138584866</v>
      </c>
      <c r="F181" s="1464">
        <v>10.3217935988142</v>
      </c>
      <c r="K181" s="1646">
        <v>42238</v>
      </c>
      <c r="L181" s="1647"/>
      <c r="M181" s="1648">
        <v>0</v>
      </c>
      <c r="N181" s="1649">
        <v>1.0616505665180516</v>
      </c>
      <c r="O181" s="1649">
        <v>1.0616505665180516</v>
      </c>
    </row>
    <row r="182" spans="2:15">
      <c r="B182" s="1463">
        <v>37956</v>
      </c>
      <c r="C182" s="1464">
        <v>294.45499999999998</v>
      </c>
      <c r="D182" s="1464">
        <v>2229.4899999999998</v>
      </c>
      <c r="E182" s="1464">
        <v>1.0137325047762002</v>
      </c>
      <c r="F182" s="1464">
        <v>10.463537678708869</v>
      </c>
      <c r="K182" s="1646">
        <v>42239</v>
      </c>
      <c r="L182" s="1647"/>
      <c r="M182" s="1648">
        <v>0</v>
      </c>
      <c r="N182" s="1649">
        <v>1.0616505665180516</v>
      </c>
      <c r="O182" s="1649">
        <v>1.0616505665180516</v>
      </c>
    </row>
    <row r="183" spans="2:15">
      <c r="B183" s="1463">
        <v>37987</v>
      </c>
      <c r="C183" s="1464">
        <v>297.03899999999999</v>
      </c>
      <c r="D183" s="1464">
        <v>2246.4299999999998</v>
      </c>
      <c r="E183" s="1464">
        <v>1.0126755135884871</v>
      </c>
      <c r="F183" s="1464">
        <v>10.59616839273899</v>
      </c>
      <c r="K183" s="1646">
        <v>42240</v>
      </c>
      <c r="L183" s="1647" t="s">
        <v>1653</v>
      </c>
      <c r="M183" s="1648">
        <v>5.2531000000000001E-2</v>
      </c>
      <c r="N183" s="1649">
        <v>1.0622082621771491</v>
      </c>
      <c r="O183" s="1649">
        <v>1.0622082621771491</v>
      </c>
    </row>
    <row r="184" spans="2:15">
      <c r="B184" s="1463">
        <v>38018</v>
      </c>
      <c r="C184" s="1464">
        <v>299.09699999999998</v>
      </c>
      <c r="D184" s="1464">
        <v>2260.13</v>
      </c>
      <c r="E184" s="1464">
        <v>1.0108439419169848</v>
      </c>
      <c r="F184" s="1464">
        <v>10.711072627332442</v>
      </c>
      <c r="K184" s="1646">
        <v>42241</v>
      </c>
      <c r="L184" s="1647" t="s">
        <v>1653</v>
      </c>
      <c r="M184" s="1648">
        <v>5.2531000000000001E-2</v>
      </c>
      <c r="N184" s="1649">
        <v>1.0627662507993534</v>
      </c>
      <c r="O184" s="1649">
        <v>1.0627662507993534</v>
      </c>
    </row>
    <row r="185" spans="2:15">
      <c r="B185" s="1463">
        <v>38047</v>
      </c>
      <c r="C185" s="1464">
        <v>302.48399999999998</v>
      </c>
      <c r="D185" s="1464">
        <v>2270.75</v>
      </c>
      <c r="E185" s="1464">
        <v>1.0137912342986635</v>
      </c>
      <c r="F185" s="1464">
        <v>10.858791539525985</v>
      </c>
      <c r="K185" s="1646">
        <v>42242</v>
      </c>
      <c r="L185" s="1647" t="s">
        <v>1653</v>
      </c>
      <c r="M185" s="1648">
        <v>5.2531000000000001E-2</v>
      </c>
      <c r="N185" s="1649">
        <v>1.0633245325385607</v>
      </c>
      <c r="O185" s="1649">
        <v>1.0633245325385607</v>
      </c>
    </row>
    <row r="186" spans="2:15">
      <c r="B186" s="1463">
        <v>38078</v>
      </c>
      <c r="C186" s="1464">
        <v>306.15100000000001</v>
      </c>
      <c r="D186" s="1464">
        <v>2279.15</v>
      </c>
      <c r="E186" s="1464">
        <v>1.011818501098614</v>
      </c>
      <c r="F186" s="1464">
        <v>10.987126179265493</v>
      </c>
      <c r="K186" s="1646">
        <v>42243</v>
      </c>
      <c r="L186" s="1647" t="s">
        <v>1653</v>
      </c>
      <c r="M186" s="1648">
        <v>5.2531000000000001E-2</v>
      </c>
      <c r="N186" s="1649">
        <v>1.0638831075487485</v>
      </c>
      <c r="O186" s="1649">
        <v>1.0638831075487485</v>
      </c>
    </row>
    <row r="187" spans="2:15">
      <c r="B187" s="1463">
        <v>38108</v>
      </c>
      <c r="C187" s="1464">
        <v>310.15199999999999</v>
      </c>
      <c r="D187" s="1464">
        <v>2290.77</v>
      </c>
      <c r="E187" s="1464">
        <v>1.0122780474663127</v>
      </c>
      <c r="F187" s="1464">
        <v>11.122026636012881</v>
      </c>
      <c r="K187" s="1646">
        <v>42244</v>
      </c>
      <c r="L187" s="1647" t="s">
        <v>1653</v>
      </c>
      <c r="M187" s="1648">
        <v>5.2531000000000001E-2</v>
      </c>
      <c r="N187" s="1649">
        <v>1.0644419759839749</v>
      </c>
      <c r="O187" s="1649">
        <v>1.0644419759839749</v>
      </c>
    </row>
    <row r="188" spans="2:15">
      <c r="B188" s="1463">
        <v>38139</v>
      </c>
      <c r="C188" s="1464">
        <v>314.41899999999998</v>
      </c>
      <c r="D188" s="1464">
        <v>2307.0300000000002</v>
      </c>
      <c r="E188" s="1464">
        <v>1.0122988884857291</v>
      </c>
      <c r="F188" s="1464">
        <v>11.258815201344513</v>
      </c>
      <c r="K188" s="1646">
        <v>42245</v>
      </c>
      <c r="L188" s="1647"/>
      <c r="M188" s="1648">
        <v>0</v>
      </c>
      <c r="N188" s="1649">
        <v>1.0644419759839749</v>
      </c>
      <c r="O188" s="1649">
        <v>1.0644419759839749</v>
      </c>
    </row>
    <row r="189" spans="2:15">
      <c r="B189" s="1463">
        <v>38169</v>
      </c>
      <c r="C189" s="1464">
        <v>318.53199999999998</v>
      </c>
      <c r="D189" s="1464">
        <v>2328.02</v>
      </c>
      <c r="E189" s="1464">
        <v>1.012868893920805</v>
      </c>
      <c r="F189" s="1464">
        <v>11.403703699844563</v>
      </c>
      <c r="K189" s="1646">
        <v>42246</v>
      </c>
      <c r="L189" s="1647"/>
      <c r="M189" s="1648">
        <v>0</v>
      </c>
      <c r="N189" s="1649">
        <v>1.0644419759839749</v>
      </c>
      <c r="O189" s="1649">
        <v>1.0644419759839749</v>
      </c>
    </row>
    <row r="190" spans="2:15">
      <c r="B190" s="1463">
        <v>38200</v>
      </c>
      <c r="C190" s="1464">
        <v>322.41199999999998</v>
      </c>
      <c r="D190" s="1464">
        <v>2344.08</v>
      </c>
      <c r="E190" s="1464">
        <v>1.0129358583775749</v>
      </c>
      <c r="F190" s="1464">
        <v>11.551220395885579</v>
      </c>
      <c r="K190" s="1646">
        <v>42247</v>
      </c>
      <c r="L190" s="1647" t="s">
        <v>1653</v>
      </c>
      <c r="M190" s="1648">
        <v>5.2531000000000001E-2</v>
      </c>
      <c r="N190" s="1649">
        <v>1.065001137998379</v>
      </c>
      <c r="O190" s="1649">
        <v>1.065001137998379</v>
      </c>
    </row>
    <row r="191" spans="2:15">
      <c r="B191" s="1463">
        <v>38231</v>
      </c>
      <c r="C191" s="1464">
        <v>324.65100000000001</v>
      </c>
      <c r="D191" s="1464">
        <v>2351.8200000000002</v>
      </c>
      <c r="E191" s="1464">
        <v>1.0125132709021758</v>
      </c>
      <c r="F191" s="1464">
        <v>11.695763945950034</v>
      </c>
      <c r="K191" s="1646">
        <v>42248</v>
      </c>
      <c r="L191" s="1647" t="s">
        <v>1653</v>
      </c>
      <c r="M191" s="1648">
        <v>5.2531000000000001E-2</v>
      </c>
      <c r="N191" s="1649">
        <v>1.065560593746181</v>
      </c>
      <c r="O191" s="1649">
        <v>1.065560593746181</v>
      </c>
    </row>
    <row r="192" spans="2:15">
      <c r="B192" s="1463">
        <v>38261</v>
      </c>
      <c r="C192" s="1464">
        <v>325.92500000000001</v>
      </c>
      <c r="D192" s="1464">
        <v>2362.17</v>
      </c>
      <c r="E192" s="1464">
        <v>1.0121322386789289</v>
      </c>
      <c r="F192" s="1464">
        <v>11.837659745674712</v>
      </c>
      <c r="K192" s="1646">
        <v>42249</v>
      </c>
      <c r="L192" s="1647" t="s">
        <v>1653</v>
      </c>
      <c r="M192" s="1648">
        <v>5.2531000000000001E-2</v>
      </c>
      <c r="N192" s="1649">
        <v>1.0661203433816817</v>
      </c>
      <c r="O192" s="1649">
        <v>1.0661203433816817</v>
      </c>
    </row>
    <row r="193" spans="2:15">
      <c r="B193" s="1463">
        <v>38292</v>
      </c>
      <c r="C193" s="1464">
        <v>328.58800000000002</v>
      </c>
      <c r="D193" s="1464">
        <v>2378.4699999999998</v>
      </c>
      <c r="E193" s="1464">
        <v>1.0125098562166484</v>
      </c>
      <c r="F193" s="1464">
        <v>11.985747167034708</v>
      </c>
      <c r="K193" s="1646">
        <v>42250</v>
      </c>
      <c r="L193" s="1647" t="s">
        <v>1653</v>
      </c>
      <c r="M193" s="1648">
        <v>5.2531000000000001E-2</v>
      </c>
      <c r="N193" s="1649">
        <v>1.0666803870592636</v>
      </c>
      <c r="O193" s="1649">
        <v>1.0666803870592636</v>
      </c>
    </row>
    <row r="194" spans="2:15">
      <c r="B194" s="1463">
        <v>38322</v>
      </c>
      <c r="C194" s="1464">
        <v>331.005</v>
      </c>
      <c r="D194" s="1464">
        <v>2398.92</v>
      </c>
      <c r="E194" s="1464">
        <v>1.0148282315457626</v>
      </c>
      <c r="F194" s="1464">
        <v>12.163474601276468</v>
      </c>
      <c r="K194" s="1646">
        <v>42251</v>
      </c>
      <c r="L194" s="1647" t="s">
        <v>1653</v>
      </c>
      <c r="M194" s="1648">
        <v>5.2531000000000001E-2</v>
      </c>
      <c r="N194" s="1649">
        <v>1.0672407249333897</v>
      </c>
      <c r="O194" s="1649">
        <v>1.0672407249333897</v>
      </c>
    </row>
    <row r="195" spans="2:15">
      <c r="B195" s="1463">
        <v>38353</v>
      </c>
      <c r="C195" s="1464">
        <v>332.298</v>
      </c>
      <c r="D195" s="1464">
        <v>2412.83</v>
      </c>
      <c r="E195" s="1464">
        <v>1.0138388229391033</v>
      </c>
      <c r="F195" s="1464">
        <v>12.331802772607814</v>
      </c>
      <c r="K195" s="1646">
        <v>42252</v>
      </c>
      <c r="L195" s="1647"/>
      <c r="M195" s="1648">
        <v>0</v>
      </c>
      <c r="N195" s="1649">
        <v>1.0672407249333897</v>
      </c>
      <c r="O195" s="1649">
        <v>1.0672407249333897</v>
      </c>
    </row>
    <row r="196" spans="2:15">
      <c r="B196" s="1463">
        <v>38384</v>
      </c>
      <c r="C196" s="1464">
        <v>333.28800000000001</v>
      </c>
      <c r="D196" s="1464">
        <v>2427.0700000000002</v>
      </c>
      <c r="E196" s="1464">
        <v>1.0121818576713373</v>
      </c>
      <c r="F196" s="1464">
        <v>12.482027038814724</v>
      </c>
      <c r="K196" s="1646">
        <v>42253</v>
      </c>
      <c r="L196" s="1647"/>
      <c r="M196" s="1648">
        <v>0</v>
      </c>
      <c r="N196" s="1649">
        <v>1.0672407249333897</v>
      </c>
      <c r="O196" s="1649">
        <v>1.0672407249333897</v>
      </c>
    </row>
    <row r="197" spans="2:15">
      <c r="B197" s="1463">
        <v>38412</v>
      </c>
      <c r="C197" s="1464">
        <v>336.12299999999999</v>
      </c>
      <c r="D197" s="1464">
        <v>2441.87</v>
      </c>
      <c r="E197" s="1464">
        <v>1.0152817807540921</v>
      </c>
      <c r="F197" s="1464">
        <v>12.672774639388541</v>
      </c>
      <c r="G197" s="67"/>
      <c r="K197" s="1646">
        <v>42254</v>
      </c>
      <c r="L197" s="1647"/>
      <c r="M197" s="1648">
        <v>0</v>
      </c>
      <c r="N197" s="1649">
        <v>1.0672407249333897</v>
      </c>
      <c r="O197" s="1649">
        <v>1.0672407249333897</v>
      </c>
    </row>
    <row r="198" spans="2:15">
      <c r="B198" s="1463">
        <v>38443</v>
      </c>
      <c r="C198" s="1464">
        <v>339.03</v>
      </c>
      <c r="D198" s="1464">
        <v>2463.11</v>
      </c>
      <c r="E198" s="1464">
        <v>1.0141152901477553</v>
      </c>
      <c r="F198" s="1464">
        <v>12.851654530400625</v>
      </c>
      <c r="K198" s="1646">
        <v>42255</v>
      </c>
      <c r="L198" s="1647" t="s">
        <v>1653</v>
      </c>
      <c r="M198" s="1648">
        <v>5.2531000000000001E-2</v>
      </c>
      <c r="N198" s="1649">
        <v>1.0678013571586045</v>
      </c>
      <c r="O198" s="1649">
        <v>1.0678013571586045</v>
      </c>
    </row>
    <row r="199" spans="2:15">
      <c r="B199" s="1463">
        <v>38473</v>
      </c>
      <c r="C199" s="1464">
        <v>338.29899999999998</v>
      </c>
      <c r="D199" s="1464">
        <v>2475.1799999999998</v>
      </c>
      <c r="E199" s="1464">
        <v>1.0150306502044895</v>
      </c>
      <c r="F199" s="1464">
        <v>13.044823254196018</v>
      </c>
      <c r="K199" s="1646">
        <v>42256</v>
      </c>
      <c r="L199" s="1647" t="s">
        <v>1653</v>
      </c>
      <c r="M199" s="1648">
        <v>5.2531000000000001E-2</v>
      </c>
      <c r="N199" s="1649">
        <v>1.0683622838895335</v>
      </c>
      <c r="O199" s="1649">
        <v>1.0683622838895335</v>
      </c>
    </row>
    <row r="200" spans="2:15">
      <c r="B200" s="1463">
        <v>38504</v>
      </c>
      <c r="C200" s="1464">
        <v>336.80099999999999</v>
      </c>
      <c r="D200" s="1464">
        <v>2474.6799999999998</v>
      </c>
      <c r="E200" s="1464">
        <v>1.0158560276185216</v>
      </c>
      <c r="F200" s="1464">
        <v>13.251662331993282</v>
      </c>
      <c r="K200" s="1646">
        <v>42257</v>
      </c>
      <c r="L200" s="1647" t="s">
        <v>1653</v>
      </c>
      <c r="M200" s="1648">
        <v>5.2531000000000001E-2</v>
      </c>
      <c r="N200" s="1649">
        <v>1.0689235052808834</v>
      </c>
      <c r="O200" s="1649">
        <v>1.0689235052808834</v>
      </c>
    </row>
    <row r="201" spans="2:15">
      <c r="B201" s="1463">
        <v>38534</v>
      </c>
      <c r="C201" s="1464">
        <v>335.66300000000001</v>
      </c>
      <c r="D201" s="1464">
        <v>2480.87</v>
      </c>
      <c r="E201" s="1464">
        <v>1.0151134516871545</v>
      </c>
      <c r="F201" s="1464">
        <v>13.451940690422347</v>
      </c>
      <c r="K201" s="1646">
        <v>42258</v>
      </c>
      <c r="L201" s="1647" t="s">
        <v>1653</v>
      </c>
      <c r="M201" s="1648">
        <v>5.2531000000000001E-2</v>
      </c>
      <c r="N201" s="1649">
        <v>1.0694850214874425</v>
      </c>
      <c r="O201" s="1649">
        <v>1.0694850214874425</v>
      </c>
    </row>
    <row r="202" spans="2:15">
      <c r="B202" s="1463">
        <v>38565</v>
      </c>
      <c r="C202" s="1464">
        <v>333.47399999999999</v>
      </c>
      <c r="D202" s="1464">
        <v>2485.09</v>
      </c>
      <c r="E202" s="1464">
        <v>1.0165848332092207</v>
      </c>
      <c r="F202" s="1464">
        <v>13.675038883113331</v>
      </c>
      <c r="K202" s="1646">
        <v>42259</v>
      </c>
      <c r="L202" s="1647"/>
      <c r="M202" s="1648">
        <v>0</v>
      </c>
      <c r="N202" s="1649">
        <v>1.0694850214874425</v>
      </c>
      <c r="O202" s="1649">
        <v>1.0694850214874425</v>
      </c>
    </row>
    <row r="203" spans="2:15">
      <c r="B203" s="1463">
        <v>38596</v>
      </c>
      <c r="C203" s="1464">
        <v>331.69</v>
      </c>
      <c r="D203" s="1464">
        <v>2493.79</v>
      </c>
      <c r="E203" s="1464">
        <v>1.0150313602253485</v>
      </c>
      <c r="F203" s="1464">
        <v>13.880593318661054</v>
      </c>
      <c r="K203" s="1646">
        <v>42260</v>
      </c>
      <c r="L203" s="1647"/>
      <c r="M203" s="1648">
        <v>0</v>
      </c>
      <c r="N203" s="1649">
        <v>1.0694850214874425</v>
      </c>
      <c r="O203" s="1649">
        <v>1.0694850214874425</v>
      </c>
    </row>
    <row r="204" spans="2:15">
      <c r="B204" s="1463">
        <v>38626</v>
      </c>
      <c r="C204" s="1464">
        <v>333.69400000000002</v>
      </c>
      <c r="D204" s="1464">
        <v>2512.4899999999998</v>
      </c>
      <c r="E204" s="1464">
        <v>1.0140716431638075</v>
      </c>
      <c r="F204" s="1464">
        <v>14.075916074743184</v>
      </c>
      <c r="K204" s="1646">
        <v>42261</v>
      </c>
      <c r="L204" s="1647" t="s">
        <v>1653</v>
      </c>
      <c r="M204" s="1648">
        <v>5.2531000000000001E-2</v>
      </c>
      <c r="N204" s="1649">
        <v>1.0700468326640802</v>
      </c>
      <c r="O204" s="1649">
        <v>1.0700468326640802</v>
      </c>
    </row>
    <row r="205" spans="2:15">
      <c r="B205" s="1463">
        <v>38657</v>
      </c>
      <c r="C205" s="1464">
        <v>335.03300000000002</v>
      </c>
      <c r="D205" s="1464">
        <v>2526.31</v>
      </c>
      <c r="E205" s="1464">
        <v>1.0138104099310956</v>
      </c>
      <c r="F205" s="1464">
        <v>14.270310245891086</v>
      </c>
      <c r="K205" s="1646">
        <v>42262</v>
      </c>
      <c r="L205" s="1647" t="s">
        <v>1653</v>
      </c>
      <c r="M205" s="1648">
        <v>5.2531000000000001E-2</v>
      </c>
      <c r="N205" s="1649">
        <v>1.0706089389657469</v>
      </c>
      <c r="O205" s="1649">
        <v>1.0706089389657469</v>
      </c>
    </row>
    <row r="206" spans="2:15">
      <c r="B206" s="1463">
        <v>38687</v>
      </c>
      <c r="C206" s="1464">
        <v>335.00599999999997</v>
      </c>
      <c r="D206" s="1464">
        <v>2535.4</v>
      </c>
      <c r="E206" s="1464">
        <v>1.0147357208231795</v>
      </c>
      <c r="F206" s="1464">
        <v>14.480593553734694</v>
      </c>
      <c r="K206" s="1646">
        <v>42263</v>
      </c>
      <c r="L206" s="1647" t="s">
        <v>1653</v>
      </c>
      <c r="M206" s="1648">
        <v>5.2531000000000001E-2</v>
      </c>
      <c r="N206" s="1649">
        <v>1.071171340547475</v>
      </c>
      <c r="O206" s="1649">
        <v>1.071171340547475</v>
      </c>
    </row>
    <row r="207" spans="2:15">
      <c r="B207" s="1463">
        <v>38718</v>
      </c>
      <c r="C207" s="1464">
        <v>338.08300000000003</v>
      </c>
      <c r="D207" s="1464">
        <v>2550.36</v>
      </c>
      <c r="E207" s="1464">
        <v>1.0142931741687891</v>
      </c>
      <c r="F207" s="1464">
        <v>14.687567199465668</v>
      </c>
      <c r="K207" s="1646">
        <v>42264</v>
      </c>
      <c r="L207" s="1647" t="s">
        <v>1653</v>
      </c>
      <c r="M207" s="1648">
        <v>5.2531000000000001E-2</v>
      </c>
      <c r="N207" s="1649">
        <v>1.071734037564378</v>
      </c>
      <c r="O207" s="1649">
        <v>1.071734037564378</v>
      </c>
    </row>
    <row r="208" spans="2:15">
      <c r="B208" s="1463">
        <v>38749</v>
      </c>
      <c r="C208" s="1464">
        <v>338.12799999999999</v>
      </c>
      <c r="D208" s="1464">
        <v>2560.8200000000002</v>
      </c>
      <c r="E208" s="1464">
        <v>1.0114506306443078</v>
      </c>
      <c r="F208" s="1464">
        <v>14.855749106530201</v>
      </c>
      <c r="K208" s="1646">
        <v>42265</v>
      </c>
      <c r="L208" s="1647" t="s">
        <v>1653</v>
      </c>
      <c r="M208" s="1648">
        <v>5.2531000000000001E-2</v>
      </c>
      <c r="N208" s="1649">
        <v>1.072297030171651</v>
      </c>
      <c r="O208" s="1649">
        <v>1.072297030171651</v>
      </c>
    </row>
    <row r="209" spans="2:15">
      <c r="B209" s="1463">
        <v>38777</v>
      </c>
      <c r="C209" s="1464">
        <v>337.339</v>
      </c>
      <c r="D209" s="1464">
        <v>2571.83</v>
      </c>
      <c r="E209" s="1464">
        <v>1.0142230199009199</v>
      </c>
      <c r="F209" s="1464">
        <v>15.067042721715453</v>
      </c>
      <c r="K209" s="1646">
        <v>42266</v>
      </c>
      <c r="L209" s="1647"/>
      <c r="M209" s="1648">
        <v>0</v>
      </c>
      <c r="N209" s="1649">
        <v>1.072297030171651</v>
      </c>
      <c r="O209" s="1649">
        <v>1.072297030171651</v>
      </c>
    </row>
    <row r="210" spans="2:15">
      <c r="B210" s="1463">
        <v>38808</v>
      </c>
      <c r="C210" s="1464">
        <v>335.92099999999999</v>
      </c>
      <c r="D210" s="1464">
        <v>2577.23</v>
      </c>
      <c r="E210" s="1464">
        <v>1.0107787821533378</v>
      </c>
      <c r="F210" s="1464">
        <v>15.229447092907858</v>
      </c>
      <c r="K210" s="1646">
        <v>42267</v>
      </c>
      <c r="L210" s="1647"/>
      <c r="M210" s="1648">
        <v>0</v>
      </c>
      <c r="N210" s="1649">
        <v>1.072297030171651</v>
      </c>
      <c r="O210" s="1649">
        <v>1.072297030171651</v>
      </c>
    </row>
    <row r="211" spans="2:15">
      <c r="B211" s="1463">
        <v>38838</v>
      </c>
      <c r="C211" s="1464">
        <v>337.185</v>
      </c>
      <c r="D211" s="1464">
        <v>2579.81</v>
      </c>
      <c r="E211" s="1464">
        <v>1.0128136552027243</v>
      </c>
      <c r="F211" s="1464">
        <v>15.424591976884511</v>
      </c>
      <c r="K211" s="1646">
        <v>42268</v>
      </c>
      <c r="L211" s="1647" t="s">
        <v>1653</v>
      </c>
      <c r="M211" s="1648">
        <v>5.2531000000000001E-2</v>
      </c>
      <c r="N211" s="1649">
        <v>1.0728603185245704</v>
      </c>
      <c r="O211" s="1649">
        <v>1.0728603185245704</v>
      </c>
    </row>
    <row r="212" spans="2:15">
      <c r="B212" s="1463">
        <v>38869</v>
      </c>
      <c r="C212" s="1464">
        <v>339.71199999999999</v>
      </c>
      <c r="D212" s="1464">
        <v>2574.39</v>
      </c>
      <c r="E212" s="1464">
        <v>1.0118439390435949</v>
      </c>
      <c r="F212" s="1464">
        <v>15.607279904031055</v>
      </c>
      <c r="K212" s="1646">
        <v>42269</v>
      </c>
      <c r="L212" s="1647" t="s">
        <v>1653</v>
      </c>
      <c r="M212" s="1648">
        <v>5.2531000000000001E-2</v>
      </c>
      <c r="N212" s="1649">
        <v>1.0734239027784946</v>
      </c>
      <c r="O212" s="1649">
        <v>1.0734239027784946</v>
      </c>
    </row>
    <row r="213" spans="2:15">
      <c r="B213" s="1463">
        <v>38899</v>
      </c>
      <c r="C213" s="1464">
        <v>340.31200000000001</v>
      </c>
      <c r="D213" s="1464">
        <v>2579.2800000000002</v>
      </c>
      <c r="E213" s="1464">
        <v>1.0116996590630269</v>
      </c>
      <c r="F213" s="1464">
        <v>15.78987975780945</v>
      </c>
      <c r="K213" s="1646">
        <v>42270</v>
      </c>
      <c r="L213" s="1647" t="s">
        <v>1653</v>
      </c>
      <c r="M213" s="1648">
        <v>5.2531000000000001E-2</v>
      </c>
      <c r="N213" s="1649">
        <v>1.0739877830888631</v>
      </c>
      <c r="O213" s="1649">
        <v>1.0739877830888631</v>
      </c>
    </row>
    <row r="214" spans="2:15">
      <c r="B214" s="1463">
        <v>38930</v>
      </c>
      <c r="C214" s="1464">
        <v>341.57400000000001</v>
      </c>
      <c r="D214" s="1464">
        <v>2580.5700000000002</v>
      </c>
      <c r="E214" s="1464">
        <v>1.012562646303421</v>
      </c>
      <c r="F214" s="1464">
        <v>15.988242432380357</v>
      </c>
      <c r="K214" s="1646">
        <v>42271</v>
      </c>
      <c r="L214" s="1647" t="s">
        <v>1653</v>
      </c>
      <c r="M214" s="1648">
        <v>5.2531000000000001E-2</v>
      </c>
      <c r="N214" s="1649">
        <v>1.0745519596111974</v>
      </c>
      <c r="O214" s="1649">
        <v>1.0745519596111974</v>
      </c>
    </row>
    <row r="215" spans="2:15" ht="13.5" customHeight="1">
      <c r="B215" s="1463">
        <v>38961</v>
      </c>
      <c r="C215" s="1464">
        <v>342.56099999999998</v>
      </c>
      <c r="D215" s="1464">
        <v>2585.9899999999998</v>
      </c>
      <c r="E215" s="1464">
        <v>1.0105730983323107</v>
      </c>
      <c r="F215" s="1464">
        <v>16.157287691778738</v>
      </c>
      <c r="K215" s="1646">
        <v>42272</v>
      </c>
      <c r="L215" s="1647" t="s">
        <v>1653</v>
      </c>
      <c r="M215" s="1648">
        <v>5.2531000000000001E-2</v>
      </c>
      <c r="N215" s="1649">
        <v>1.0751164325011009</v>
      </c>
      <c r="O215" s="1649">
        <v>1.0751164325011009</v>
      </c>
    </row>
    <row r="216" spans="2:15">
      <c r="B216" s="1463">
        <v>38991</v>
      </c>
      <c r="C216" s="1464">
        <v>344.15499999999997</v>
      </c>
      <c r="D216" s="1464">
        <v>2594.52</v>
      </c>
      <c r="E216" s="1464">
        <v>1.0109424441222723</v>
      </c>
      <c r="F216" s="1464">
        <v>16.334087909513503</v>
      </c>
      <c r="K216" s="1646">
        <v>42273</v>
      </c>
      <c r="L216" s="1647"/>
      <c r="M216" s="1648">
        <v>0</v>
      </c>
      <c r="N216" s="1649">
        <v>1.0751164325011009</v>
      </c>
      <c r="O216" s="1649">
        <v>1.0751164325011009</v>
      </c>
    </row>
    <row r="217" spans="2:15">
      <c r="B217" s="1463">
        <v>39022</v>
      </c>
      <c r="C217" s="1464">
        <v>346.74599999999998</v>
      </c>
      <c r="D217" s="1464">
        <v>2602.56</v>
      </c>
      <c r="E217" s="1464">
        <v>1.0102060517349183</v>
      </c>
      <c r="F217" s="1464">
        <v>16.500794455760701</v>
      </c>
      <c r="K217" s="1646">
        <v>42274</v>
      </c>
      <c r="L217" s="1647"/>
      <c r="M217" s="1648">
        <v>0</v>
      </c>
      <c r="N217" s="1649">
        <v>1.0751164325011009</v>
      </c>
      <c r="O217" s="1649">
        <v>1.0751164325011009</v>
      </c>
    </row>
    <row r="218" spans="2:15">
      <c r="B218" s="1463">
        <v>39052</v>
      </c>
      <c r="C218" s="1464">
        <v>347.84199999999998</v>
      </c>
      <c r="D218" s="1464">
        <v>2615.0500000000002</v>
      </c>
      <c r="E218" s="1464">
        <v>1.0098788606332807</v>
      </c>
      <c r="F218" s="1464">
        <v>16.663803504527571</v>
      </c>
      <c r="K218" s="1646">
        <v>42275</v>
      </c>
      <c r="L218" s="1647" t="s">
        <v>1653</v>
      </c>
      <c r="M218" s="1648">
        <v>5.2531000000000001E-2</v>
      </c>
      <c r="N218" s="1649">
        <v>1.0756812019142581</v>
      </c>
      <c r="O218" s="1649">
        <v>1.0756812019142581</v>
      </c>
    </row>
    <row r="219" spans="2:15">
      <c r="B219" s="1463">
        <v>39083</v>
      </c>
      <c r="C219" s="1464">
        <v>349.59300000000002</v>
      </c>
      <c r="D219" s="1464">
        <v>2626.56</v>
      </c>
      <c r="E219" s="1464">
        <v>1.0108280266006449</v>
      </c>
      <c r="F219" s="1464">
        <v>16.844239612142516</v>
      </c>
      <c r="K219" s="1646">
        <v>42276</v>
      </c>
      <c r="L219" s="1647" t="s">
        <v>1653</v>
      </c>
      <c r="M219" s="1648">
        <v>5.2531000000000001E-2</v>
      </c>
      <c r="N219" s="1649">
        <v>1.0762462680064357</v>
      </c>
      <c r="O219" s="1649">
        <v>1.0762462680064357</v>
      </c>
    </row>
    <row r="220" spans="2:15">
      <c r="B220" s="1463">
        <v>39114</v>
      </c>
      <c r="C220" s="1464">
        <v>350.524</v>
      </c>
      <c r="D220" s="1464">
        <v>2638.12</v>
      </c>
      <c r="E220" s="1464">
        <v>1.008724844950982</v>
      </c>
      <c r="F220" s="1464">
        <v>16.991202991075649</v>
      </c>
      <c r="K220" s="1646">
        <v>42277</v>
      </c>
      <c r="L220" s="1647" t="s">
        <v>1653</v>
      </c>
      <c r="M220" s="1648">
        <v>5.2531000000000001E-2</v>
      </c>
      <c r="N220" s="1649">
        <v>1.0768116309334823</v>
      </c>
      <c r="O220" s="1649">
        <v>1.0768116309334823</v>
      </c>
    </row>
    <row r="221" spans="2:15">
      <c r="B221" s="1463">
        <v>39142</v>
      </c>
      <c r="C221" s="1464">
        <v>351.71699999999998</v>
      </c>
      <c r="D221" s="1464">
        <v>2647.88</v>
      </c>
      <c r="E221" s="1464">
        <v>1.0105222327764332</v>
      </c>
      <c r="F221" s="1464">
        <v>17.169988384099376</v>
      </c>
      <c r="K221" s="1646">
        <v>42278</v>
      </c>
      <c r="L221" s="1647" t="s">
        <v>1653</v>
      </c>
      <c r="M221" s="1648">
        <v>5.2531000000000001E-2</v>
      </c>
      <c r="N221" s="1649">
        <v>1.0773772908513279</v>
      </c>
      <c r="O221" s="1649">
        <v>1.0773772908513279</v>
      </c>
    </row>
    <row r="222" spans="2:15">
      <c r="B222" s="1463">
        <v>39173</v>
      </c>
      <c r="C222" s="1464">
        <v>351.86900000000003</v>
      </c>
      <c r="D222" s="1464">
        <v>2654.5</v>
      </c>
      <c r="E222" s="1464">
        <v>1.0094482340398951</v>
      </c>
      <c r="F222" s="1464">
        <v>17.332214452814629</v>
      </c>
      <c r="K222" s="1646">
        <v>42279</v>
      </c>
      <c r="L222" s="1647" t="s">
        <v>1653</v>
      </c>
      <c r="M222" s="1648">
        <v>5.2531000000000001E-2</v>
      </c>
      <c r="N222" s="1649">
        <v>1.0779432479159849</v>
      </c>
      <c r="O222" s="1649">
        <v>1.0779432479159849</v>
      </c>
    </row>
    <row r="223" spans="2:15">
      <c r="B223" s="1463">
        <v>39203</v>
      </c>
      <c r="C223" s="1464">
        <v>352.02</v>
      </c>
      <c r="D223" s="1464">
        <v>2661.93</v>
      </c>
      <c r="E223" s="1464">
        <v>1.0102807696314628</v>
      </c>
      <c r="F223" s="1464">
        <v>17.510402956807127</v>
      </c>
      <c r="K223" s="1646">
        <v>42280</v>
      </c>
      <c r="L223" s="1647"/>
      <c r="M223" s="1648">
        <v>0</v>
      </c>
      <c r="N223" s="1649">
        <v>1.0779432479159849</v>
      </c>
      <c r="O223" s="1649">
        <v>1.0779432479159849</v>
      </c>
    </row>
    <row r="224" spans="2:15">
      <c r="B224" s="1463">
        <v>39234</v>
      </c>
      <c r="C224" s="1464">
        <v>352.93599999999998</v>
      </c>
      <c r="D224" s="1464">
        <v>2669.38</v>
      </c>
      <c r="E224" s="1464">
        <v>1.0090562894719608</v>
      </c>
      <c r="F224" s="1464">
        <v>17.668982234754651</v>
      </c>
      <c r="K224" s="1646">
        <v>42281</v>
      </c>
      <c r="L224" s="1647"/>
      <c r="M224" s="1648">
        <v>0</v>
      </c>
      <c r="N224" s="1649">
        <v>1.0779432479159849</v>
      </c>
      <c r="O224" s="1649">
        <v>1.0779432479159849</v>
      </c>
    </row>
    <row r="225" spans="2:15">
      <c r="B225" s="1463">
        <v>39264</v>
      </c>
      <c r="C225" s="1464">
        <v>353.92</v>
      </c>
      <c r="D225" s="1464">
        <v>2675.79</v>
      </c>
      <c r="E225" s="1464">
        <v>1.0097263257608722</v>
      </c>
      <c r="F225" s="1464">
        <v>17.840836511832936</v>
      </c>
      <c r="K225" s="1646">
        <v>42282</v>
      </c>
      <c r="L225" s="1647" t="s">
        <v>1653</v>
      </c>
      <c r="M225" s="1648">
        <v>5.2531000000000001E-2</v>
      </c>
      <c r="N225" s="1649">
        <v>1.0785095022835478</v>
      </c>
      <c r="O225" s="1649">
        <v>1.0785095022835478</v>
      </c>
    </row>
    <row r="226" spans="2:15">
      <c r="B226" s="1463">
        <v>39295</v>
      </c>
      <c r="C226" s="1464">
        <v>357.404</v>
      </c>
      <c r="D226" s="1464">
        <v>2688.37</v>
      </c>
      <c r="E226" s="1464">
        <v>1.0099263513682912</v>
      </c>
      <c r="F226" s="1464">
        <v>18.017930923753628</v>
      </c>
      <c r="K226" s="1646">
        <v>42283</v>
      </c>
      <c r="L226" s="1647" t="s">
        <v>1653</v>
      </c>
      <c r="M226" s="1648">
        <v>5.2531000000000001E-2</v>
      </c>
      <c r="N226" s="1649">
        <v>1.0790760541101925</v>
      </c>
      <c r="O226" s="1649">
        <v>1.0790760541101925</v>
      </c>
    </row>
    <row r="227" spans="2:15">
      <c r="B227" s="1463">
        <v>39326</v>
      </c>
      <c r="C227" s="1464">
        <v>361.99700000000001</v>
      </c>
      <c r="D227" s="1464">
        <v>2693.21</v>
      </c>
      <c r="E227" s="1464">
        <v>1.0080496134415582</v>
      </c>
      <c r="F227" s="1464">
        <v>18.162968302706542</v>
      </c>
      <c r="K227" s="1646">
        <v>42284</v>
      </c>
      <c r="L227" s="1647" t="s">
        <v>1653</v>
      </c>
      <c r="M227" s="1648">
        <v>5.2531000000000001E-2</v>
      </c>
      <c r="N227" s="1649">
        <v>1.0796429035521771</v>
      </c>
      <c r="O227" s="1649">
        <v>1.0796429035521771</v>
      </c>
    </row>
    <row r="228" spans="2:15">
      <c r="B228" s="1463">
        <v>39356</v>
      </c>
      <c r="C228" s="1464">
        <v>365.79399999999998</v>
      </c>
      <c r="D228" s="1464">
        <v>2701.29</v>
      </c>
      <c r="E228" s="1464">
        <v>1.0092949262855189</v>
      </c>
      <c r="F228" s="1464">
        <v>18.331791754206414</v>
      </c>
      <c r="K228" s="1646">
        <v>42285</v>
      </c>
      <c r="L228" s="1647" t="s">
        <v>1653</v>
      </c>
      <c r="M228" s="1648">
        <v>5.2531000000000001E-2</v>
      </c>
      <c r="N228" s="1649">
        <v>1.0802100507658421</v>
      </c>
      <c r="O228" s="1649">
        <v>1.0802100507658421</v>
      </c>
    </row>
    <row r="229" spans="2:15">
      <c r="B229" s="1463">
        <v>39387</v>
      </c>
      <c r="C229" s="1464">
        <v>368.334</v>
      </c>
      <c r="D229" s="1464">
        <v>2711.55</v>
      </c>
      <c r="E229" s="1464">
        <v>1.0084467048252397</v>
      </c>
      <c r="F229" s="1464">
        <v>18.486634988071959</v>
      </c>
      <c r="K229" s="1646">
        <v>42286</v>
      </c>
      <c r="L229" s="1647" t="s">
        <v>1653</v>
      </c>
      <c r="M229" s="1648">
        <v>5.2531000000000001E-2</v>
      </c>
      <c r="N229" s="1649">
        <v>1.08077749590761</v>
      </c>
      <c r="O229" s="1649">
        <v>1.08077749590761</v>
      </c>
    </row>
    <row r="230" spans="2:15">
      <c r="B230" s="1463">
        <v>39417</v>
      </c>
      <c r="C230" s="1464">
        <v>374.815</v>
      </c>
      <c r="D230" s="1464">
        <v>2731.62</v>
      </c>
      <c r="E230" s="1464">
        <v>1.0084467048252395</v>
      </c>
      <c r="F230" s="1464">
        <v>18.642786137028146</v>
      </c>
      <c r="K230" s="1646">
        <v>42287</v>
      </c>
      <c r="L230" s="1647"/>
      <c r="M230" s="1648">
        <v>0</v>
      </c>
      <c r="N230" s="1649">
        <v>1.08077749590761</v>
      </c>
      <c r="O230" s="1649">
        <v>1.08077749590761</v>
      </c>
    </row>
    <row r="231" spans="2:15">
      <c r="B231" s="1463">
        <v>39448</v>
      </c>
      <c r="C231" s="1464">
        <v>378.9</v>
      </c>
      <c r="D231" s="1464">
        <v>2746.37</v>
      </c>
      <c r="E231" s="1464">
        <v>1.0092938367057227</v>
      </c>
      <c r="F231" s="1464">
        <v>18.816049147125398</v>
      </c>
      <c r="K231" s="1646">
        <v>42288</v>
      </c>
      <c r="L231" s="1647"/>
      <c r="M231" s="1648">
        <v>0</v>
      </c>
      <c r="N231" s="1649">
        <v>1.08077749590761</v>
      </c>
      <c r="O231" s="1649">
        <v>1.08077749590761</v>
      </c>
    </row>
    <row r="232" spans="2:15">
      <c r="B232" s="1463">
        <v>39479</v>
      </c>
      <c r="C232" s="1464">
        <v>380.90600000000001</v>
      </c>
      <c r="D232" s="1464">
        <v>2759.83</v>
      </c>
      <c r="E232" s="1464">
        <v>1.0080223173492819</v>
      </c>
      <c r="F232" s="1464">
        <v>18.966997464643324</v>
      </c>
      <c r="K232" s="1646">
        <v>42289</v>
      </c>
      <c r="L232" s="1647"/>
      <c r="M232" s="1648">
        <v>0</v>
      </c>
      <c r="N232" s="1649">
        <v>1.08077749590761</v>
      </c>
      <c r="O232" s="1649">
        <v>1.08077749590761</v>
      </c>
    </row>
    <row r="233" spans="2:15">
      <c r="B233" s="1463">
        <v>39508</v>
      </c>
      <c r="C233" s="1464">
        <v>383.73099999999999</v>
      </c>
      <c r="D233" s="1464">
        <v>2773.08</v>
      </c>
      <c r="E233" s="1464">
        <v>1.0084459790490408</v>
      </c>
      <c r="F233" s="1464">
        <v>19.12719232785291</v>
      </c>
      <c r="K233" s="1646">
        <v>42290</v>
      </c>
      <c r="L233" s="1647" t="s">
        <v>1653</v>
      </c>
      <c r="M233" s="1648">
        <v>5.2531000000000001E-2</v>
      </c>
      <c r="N233" s="1649">
        <v>1.0813452391339853</v>
      </c>
      <c r="O233" s="1649">
        <v>1.0813452391339853</v>
      </c>
    </row>
    <row r="234" spans="2:15">
      <c r="B234" s="1463">
        <v>39539</v>
      </c>
      <c r="C234" s="1464">
        <v>386.38</v>
      </c>
      <c r="D234" s="1464">
        <v>2788.33</v>
      </c>
      <c r="E234" s="1464">
        <v>1.0090142575644072</v>
      </c>
      <c r="F234" s="1464">
        <v>19.299609765980129</v>
      </c>
      <c r="K234" s="1646">
        <v>42291</v>
      </c>
      <c r="L234" s="1647" t="s">
        <v>1653</v>
      </c>
      <c r="M234" s="1648">
        <v>5.2531000000000001E-2</v>
      </c>
      <c r="N234" s="1649">
        <v>1.0819132806015548</v>
      </c>
      <c r="O234" s="1649">
        <v>1.0819132806015548</v>
      </c>
    </row>
    <row r="235" spans="2:15">
      <c r="B235" s="1463">
        <v>39569</v>
      </c>
      <c r="C235" s="1464">
        <v>392.59199999999998</v>
      </c>
      <c r="D235" s="1464">
        <v>2810.36</v>
      </c>
      <c r="E235" s="1464">
        <v>1.0087678287685495</v>
      </c>
      <c r="F235" s="1464">
        <v>19.46882543970807</v>
      </c>
      <c r="K235" s="1646">
        <v>42292</v>
      </c>
      <c r="L235" s="1647" t="s">
        <v>1653</v>
      </c>
      <c r="M235" s="1648">
        <v>5.2531000000000001E-2</v>
      </c>
      <c r="N235" s="1649">
        <v>1.0824816204669876</v>
      </c>
      <c r="O235" s="1649">
        <v>1.0824816204669876</v>
      </c>
    </row>
    <row r="236" spans="2:15">
      <c r="B236" s="1463">
        <v>39600</v>
      </c>
      <c r="C236" s="1464">
        <v>400.38200000000001</v>
      </c>
      <c r="D236" s="1464">
        <v>2831.16</v>
      </c>
      <c r="E236" s="1464">
        <v>1.0095559246898425</v>
      </c>
      <c r="F236" s="1464">
        <v>19.654868069409609</v>
      </c>
      <c r="K236" s="1646">
        <v>42293</v>
      </c>
      <c r="L236" s="1647" t="s">
        <v>1653</v>
      </c>
      <c r="M236" s="1648">
        <v>5.2531000000000001E-2</v>
      </c>
      <c r="N236" s="1649">
        <v>1.0830502588870352</v>
      </c>
      <c r="O236" s="1649">
        <v>1.0830502588870352</v>
      </c>
    </row>
    <row r="237" spans="2:15">
      <c r="B237" s="1463">
        <v>39630</v>
      </c>
      <c r="C237" s="1464">
        <v>407.44600000000003</v>
      </c>
      <c r="D237" s="1464">
        <v>2846.16</v>
      </c>
      <c r="E237" s="1464">
        <v>1.0106967121371</v>
      </c>
      <c r="F237" s="1464">
        <v>19.865110535240763</v>
      </c>
      <c r="K237" s="1646">
        <v>42294</v>
      </c>
      <c r="L237" s="1647"/>
      <c r="M237" s="1648">
        <v>0</v>
      </c>
      <c r="N237" s="1649">
        <v>1.0830502588870352</v>
      </c>
      <c r="O237" s="1649">
        <v>1.0830502588870352</v>
      </c>
    </row>
    <row r="238" spans="2:15">
      <c r="B238" s="1463">
        <v>39661</v>
      </c>
      <c r="C238" s="1464">
        <v>406.12700000000001</v>
      </c>
      <c r="D238" s="1464">
        <v>2854.13</v>
      </c>
      <c r="E238" s="1464">
        <v>1.0101765713502602</v>
      </c>
      <c r="F238" s="1464">
        <v>20.067269249983447</v>
      </c>
      <c r="K238" s="1646">
        <v>42295</v>
      </c>
      <c r="L238" s="1647"/>
      <c r="M238" s="1648">
        <v>0</v>
      </c>
      <c r="N238" s="1649">
        <v>1.0830502588870352</v>
      </c>
      <c r="O238" s="1649">
        <v>1.0830502588870352</v>
      </c>
    </row>
    <row r="239" spans="2:15">
      <c r="B239" s="1463">
        <v>39692</v>
      </c>
      <c r="C239" s="1464">
        <v>406.55700000000002</v>
      </c>
      <c r="D239" s="1464">
        <v>2861.55</v>
      </c>
      <c r="E239" s="1464">
        <v>1.011030909274969</v>
      </c>
      <c r="F239" s="1464">
        <v>20.288629476476387</v>
      </c>
      <c r="K239" s="1646">
        <v>42296</v>
      </c>
      <c r="L239" s="1647" t="s">
        <v>1653</v>
      </c>
      <c r="M239" s="1648">
        <v>5.2531000000000001E-2</v>
      </c>
      <c r="N239" s="1649">
        <v>1.0836191960185311</v>
      </c>
      <c r="O239" s="1649">
        <v>1.0836191960185311</v>
      </c>
    </row>
    <row r="240" spans="2:15">
      <c r="B240" s="1463">
        <v>39722</v>
      </c>
      <c r="C240" s="1464">
        <v>410.524</v>
      </c>
      <c r="D240" s="1464">
        <v>2874.43</v>
      </c>
      <c r="E240" s="1464">
        <v>1.0117587656900342</v>
      </c>
      <c r="F240" s="1464">
        <v>20.527198716662195</v>
      </c>
      <c r="K240" s="1646">
        <v>42297</v>
      </c>
      <c r="L240" s="1647" t="s">
        <v>1653</v>
      </c>
      <c r="M240" s="1648">
        <v>5.2531000000000001E-2</v>
      </c>
      <c r="N240" s="1649">
        <v>1.0841884320183917</v>
      </c>
      <c r="O240" s="1649">
        <v>1.0841884320183917</v>
      </c>
    </row>
    <row r="241" spans="2:15">
      <c r="B241" s="1463">
        <v>39753</v>
      </c>
      <c r="C241" s="1464">
        <v>412.10399999999998</v>
      </c>
      <c r="D241" s="1464">
        <v>2884.78</v>
      </c>
      <c r="E241" s="1464">
        <v>1.0101996908301405</v>
      </c>
      <c r="F241" s="1464">
        <v>20.736569797181005</v>
      </c>
      <c r="K241" s="1646">
        <v>42298</v>
      </c>
      <c r="L241" s="1647" t="s">
        <v>1653</v>
      </c>
      <c r="M241" s="1648">
        <v>5.2531000000000001E-2</v>
      </c>
      <c r="N241" s="1649">
        <v>1.0847579670436152</v>
      </c>
      <c r="O241" s="1649">
        <v>1.0847579670436152</v>
      </c>
    </row>
    <row r="242" spans="2:15">
      <c r="B242" s="1463">
        <v>39783</v>
      </c>
      <c r="C242" s="1464">
        <v>411.57499999999999</v>
      </c>
      <c r="D242" s="1464">
        <v>2892.86</v>
      </c>
      <c r="E242" s="1464">
        <v>1.0112409294280835</v>
      </c>
      <c r="F242" s="1464">
        <v>20.969668114851643</v>
      </c>
      <c r="K242" s="1646">
        <v>42299</v>
      </c>
      <c r="L242" s="1647" t="s">
        <v>1653</v>
      </c>
      <c r="M242" s="1648">
        <v>5.2531000000000001E-2</v>
      </c>
      <c r="N242" s="1649">
        <v>1.0853278012512828</v>
      </c>
      <c r="O242" s="1649">
        <v>1.0853278012512828</v>
      </c>
    </row>
    <row r="243" spans="2:15">
      <c r="B243" s="1463">
        <v>39814</v>
      </c>
      <c r="C243" s="1464">
        <v>409.78199999999998</v>
      </c>
      <c r="D243" s="1464">
        <v>2906.74</v>
      </c>
      <c r="E243" s="1464">
        <v>1.0104780743150839</v>
      </c>
      <c r="F243" s="1464">
        <v>21.189389855721704</v>
      </c>
      <c r="K243" s="1646">
        <v>42300</v>
      </c>
      <c r="L243" s="1647" t="s">
        <v>1653</v>
      </c>
      <c r="M243" s="1648">
        <v>5.2531000000000001E-2</v>
      </c>
      <c r="N243" s="1649">
        <v>1.0858979347985582</v>
      </c>
      <c r="O243" s="1649">
        <v>1.0858979347985582</v>
      </c>
    </row>
    <row r="244" spans="2:15">
      <c r="B244" s="1463">
        <v>39845</v>
      </c>
      <c r="C244" s="1464">
        <v>410.84899999999999</v>
      </c>
      <c r="D244" s="1464">
        <v>2922.73</v>
      </c>
      <c r="E244" s="1464">
        <v>1.0085508573858042</v>
      </c>
      <c r="F244" s="1464">
        <v>21.370577306470185</v>
      </c>
      <c r="K244" s="1646">
        <v>42301</v>
      </c>
      <c r="L244" s="1647"/>
      <c r="M244" s="1648">
        <v>0</v>
      </c>
      <c r="N244" s="1649">
        <v>1.0858979347985582</v>
      </c>
      <c r="O244" s="1649">
        <v>1.0858979347985582</v>
      </c>
    </row>
    <row r="245" spans="2:15">
      <c r="B245" s="1463">
        <v>39873</v>
      </c>
      <c r="C245" s="1464">
        <v>407.80799999999999</v>
      </c>
      <c r="D245" s="1464">
        <v>2928.57</v>
      </c>
      <c r="E245" s="1464">
        <v>1.0097088387156097</v>
      </c>
      <c r="F245" s="1464">
        <v>21.578060794798173</v>
      </c>
      <c r="K245" s="1646">
        <v>42302</v>
      </c>
      <c r="L245" s="1647"/>
      <c r="M245" s="1648">
        <v>0</v>
      </c>
      <c r="N245" s="1649">
        <v>1.0858979347985582</v>
      </c>
      <c r="O245" s="1649">
        <v>1.0858979347985582</v>
      </c>
    </row>
    <row r="246" spans="2:15">
      <c r="B246" s="1463">
        <v>39904</v>
      </c>
      <c r="C246" s="1464">
        <v>407.18099999999998</v>
      </c>
      <c r="D246" s="1464">
        <v>2942.63</v>
      </c>
      <c r="E246" s="1464">
        <v>1.008395669248594</v>
      </c>
      <c r="F246" s="1464">
        <v>21.759223056257351</v>
      </c>
      <c r="K246" s="1646">
        <v>42303</v>
      </c>
      <c r="L246" s="1647" t="s">
        <v>1653</v>
      </c>
      <c r="M246" s="1648">
        <v>5.2531000000000001E-2</v>
      </c>
      <c r="N246" s="1649">
        <v>1.0864683678426872</v>
      </c>
      <c r="O246" s="1649">
        <v>1.0864683678426872</v>
      </c>
    </row>
    <row r="247" spans="2:15">
      <c r="B247" s="1463">
        <v>39934</v>
      </c>
      <c r="C247" s="1464">
        <v>406.88499999999999</v>
      </c>
      <c r="D247" s="1464">
        <v>2956.46</v>
      </c>
      <c r="E247" s="1464">
        <v>1.0077089274459567</v>
      </c>
      <c r="F247" s="1464">
        <v>21.926963328078429</v>
      </c>
      <c r="K247" s="1646">
        <v>42304</v>
      </c>
      <c r="L247" s="1647" t="s">
        <v>1653</v>
      </c>
      <c r="M247" s="1648">
        <v>5.2531000000000001E-2</v>
      </c>
      <c r="N247" s="1649">
        <v>1.0870391005409987</v>
      </c>
      <c r="O247" s="1649">
        <v>1.0870391005409987</v>
      </c>
    </row>
    <row r="248" spans="2:15">
      <c r="B248" s="1463">
        <v>39965</v>
      </c>
      <c r="C248" s="1464">
        <v>406.48599999999999</v>
      </c>
      <c r="D248" s="1464">
        <v>2967.1</v>
      </c>
      <c r="E248" s="1464">
        <v>1.0076218232644543</v>
      </c>
      <c r="F248" s="1464">
        <v>22.094086767291213</v>
      </c>
      <c r="K248" s="1646">
        <v>42305</v>
      </c>
      <c r="L248" s="1647" t="s">
        <v>1653</v>
      </c>
      <c r="M248" s="1648">
        <v>5.2531000000000001E-2</v>
      </c>
      <c r="N248" s="1649">
        <v>1.0876101330509038</v>
      </c>
      <c r="O248" s="1649">
        <v>1.0876101330509038</v>
      </c>
    </row>
    <row r="249" spans="2:15">
      <c r="B249" s="1463">
        <v>39995</v>
      </c>
      <c r="C249" s="1464">
        <v>404.71800000000002</v>
      </c>
      <c r="D249" s="1464">
        <v>2974.22</v>
      </c>
      <c r="E249" s="1464">
        <v>1.0079014252372847</v>
      </c>
      <c r="F249" s="1464">
        <v>22.268661542069044</v>
      </c>
      <c r="K249" s="1646">
        <v>42306</v>
      </c>
      <c r="L249" s="1647" t="s">
        <v>1653</v>
      </c>
      <c r="M249" s="1648">
        <v>5.2531000000000001E-2</v>
      </c>
      <c r="N249" s="1649">
        <v>1.0881814655298967</v>
      </c>
      <c r="O249" s="1649">
        <v>1.0881814655298967</v>
      </c>
    </row>
    <row r="250" spans="2:15">
      <c r="B250" s="1463">
        <v>40026</v>
      </c>
      <c r="C250" s="1464">
        <v>403.25299999999999</v>
      </c>
      <c r="D250" s="1464">
        <v>2978.68</v>
      </c>
      <c r="E250" s="1464">
        <v>1.0069374854840563</v>
      </c>
      <c r="F250" s="1464">
        <v>22.423150058266511</v>
      </c>
      <c r="K250" s="1646">
        <v>42307</v>
      </c>
      <c r="L250" s="1647" t="s">
        <v>1653</v>
      </c>
      <c r="M250" s="1648">
        <v>5.2531000000000001E-2</v>
      </c>
      <c r="N250" s="1649">
        <v>1.0887530981355542</v>
      </c>
      <c r="O250" s="1649">
        <v>1.0887530981355542</v>
      </c>
    </row>
    <row r="251" spans="2:15">
      <c r="B251" s="1463">
        <v>40057</v>
      </c>
      <c r="C251" s="1464">
        <v>404.94499999999999</v>
      </c>
      <c r="D251" s="1464">
        <v>2985.83</v>
      </c>
      <c r="E251" s="1464">
        <v>1.0069374854840563</v>
      </c>
      <c r="F251" s="1464">
        <v>22.578710336302549</v>
      </c>
      <c r="K251" s="1646">
        <v>42308</v>
      </c>
      <c r="L251" s="1647"/>
      <c r="M251" s="1648">
        <v>0</v>
      </c>
      <c r="N251" s="1649">
        <v>1.0887530981355542</v>
      </c>
      <c r="O251" s="1649">
        <v>1.0887530981355542</v>
      </c>
    </row>
    <row r="252" spans="2:15">
      <c r="B252" s="1463">
        <v>40087</v>
      </c>
      <c r="C252" s="1464">
        <v>405.12900000000002</v>
      </c>
      <c r="D252" s="1464">
        <v>2994.19</v>
      </c>
      <c r="E252" s="1464">
        <v>1.006937485484056</v>
      </c>
      <c r="F252" s="1464">
        <v>22.735349811509355</v>
      </c>
      <c r="K252" s="1646">
        <v>42309</v>
      </c>
      <c r="L252" s="1647"/>
      <c r="M252" s="1648">
        <v>0</v>
      </c>
      <c r="N252" s="1649">
        <v>1.0887530981355542</v>
      </c>
      <c r="O252" s="1649">
        <v>1.0887530981355542</v>
      </c>
    </row>
    <row r="253" spans="2:15">
      <c r="B253" s="1463">
        <v>40118</v>
      </c>
      <c r="C253" s="1464">
        <v>405.548</v>
      </c>
      <c r="D253" s="1464">
        <v>3006.47</v>
      </c>
      <c r="E253" s="1464">
        <v>1.006606040313162</v>
      </c>
      <c r="F253" s="1464">
        <v>22.885540448898027</v>
      </c>
      <c r="K253" s="1646">
        <v>42310</v>
      </c>
      <c r="L253" s="1647"/>
      <c r="M253" s="1648">
        <v>0</v>
      </c>
      <c r="N253" s="1649">
        <v>1.0887530981355542</v>
      </c>
      <c r="O253" s="1649">
        <v>1.0887530981355542</v>
      </c>
    </row>
    <row r="254" spans="2:15">
      <c r="B254" s="1463">
        <v>40148</v>
      </c>
      <c r="C254" s="1464">
        <v>404.49900000000002</v>
      </c>
      <c r="D254" s="1464">
        <v>3017.59</v>
      </c>
      <c r="E254" s="1464">
        <v>1.0072686672230315</v>
      </c>
      <c r="F254" s="1464">
        <v>23.051887826640293</v>
      </c>
      <c r="K254" s="1646">
        <v>42311</v>
      </c>
      <c r="L254" s="1647" t="s">
        <v>1653</v>
      </c>
      <c r="M254" s="1648">
        <v>5.2531000000000001E-2</v>
      </c>
      <c r="N254" s="1649">
        <v>1.0893250310255358</v>
      </c>
      <c r="O254" s="1649">
        <v>1.0893250310255358</v>
      </c>
    </row>
    <row r="255" spans="2:15">
      <c r="B255" s="1463">
        <v>40179</v>
      </c>
      <c r="C255" s="1464">
        <v>407.04899999999998</v>
      </c>
      <c r="D255" s="1464">
        <v>3040.22</v>
      </c>
      <c r="E255" s="1464">
        <v>1.0066056679915218</v>
      </c>
      <c r="F255" s="1464">
        <v>23.204160944200883</v>
      </c>
      <c r="K255" s="1646">
        <v>42312</v>
      </c>
      <c r="L255" s="1647" t="s">
        <v>1653</v>
      </c>
      <c r="M255" s="1648">
        <v>5.2531000000000001E-2</v>
      </c>
      <c r="N255" s="1649">
        <v>1.0898972643575837</v>
      </c>
      <c r="O255" s="1649">
        <v>1.0898972643575837</v>
      </c>
    </row>
    <row r="256" spans="2:15">
      <c r="B256" s="1463">
        <v>40210</v>
      </c>
      <c r="C256" s="1464">
        <v>411.84300000000002</v>
      </c>
      <c r="D256" s="1464">
        <v>3063.93</v>
      </c>
      <c r="E256" s="1464">
        <v>1.0059434772325486</v>
      </c>
      <c r="F256" s="1464">
        <v>23.342074346473133</v>
      </c>
      <c r="K256" s="1646">
        <v>42313</v>
      </c>
      <c r="L256" s="1647" t="s">
        <v>1653</v>
      </c>
      <c r="M256" s="1648">
        <v>5.2531000000000001E-2</v>
      </c>
      <c r="N256" s="1649">
        <v>1.0904697982895235</v>
      </c>
      <c r="O256" s="1649">
        <v>1.0904697982895235</v>
      </c>
    </row>
    <row r="257" spans="2:15">
      <c r="B257" s="1463">
        <v>40238</v>
      </c>
      <c r="C257" s="1464">
        <v>415.73399999999998</v>
      </c>
      <c r="D257" s="1464">
        <v>3079.86</v>
      </c>
      <c r="E257" s="1464">
        <v>1.0076007032666325</v>
      </c>
      <c r="F257" s="1464">
        <v>23.519490527208351</v>
      </c>
      <c r="K257" s="1646">
        <v>42314</v>
      </c>
      <c r="L257" s="1647" t="s">
        <v>1653</v>
      </c>
      <c r="M257" s="1648">
        <v>5.2531000000000001E-2</v>
      </c>
      <c r="N257" s="1649">
        <v>1.0910426329792631</v>
      </c>
      <c r="O257" s="1649">
        <v>1.0910426329792631</v>
      </c>
    </row>
    <row r="258" spans="2:15">
      <c r="B258" s="1463">
        <v>40269</v>
      </c>
      <c r="C258" s="1464">
        <v>418.91699999999997</v>
      </c>
      <c r="D258" s="1464">
        <v>3097.42</v>
      </c>
      <c r="E258" s="1464">
        <v>1.0066591320264642</v>
      </c>
      <c r="F258" s="1464">
        <v>23.676109919824206</v>
      </c>
      <c r="K258" s="1646">
        <v>42315</v>
      </c>
      <c r="L258" s="1647"/>
      <c r="M258" s="1648">
        <v>0</v>
      </c>
      <c r="N258" s="1649">
        <v>1.0910426329792631</v>
      </c>
      <c r="O258" s="1649">
        <v>1.0910426329792631</v>
      </c>
    </row>
    <row r="259" spans="2:15">
      <c r="B259" s="1463">
        <v>40299</v>
      </c>
      <c r="C259" s="1464">
        <v>423.88499999999999</v>
      </c>
      <c r="D259" s="1464">
        <v>3110.74</v>
      </c>
      <c r="E259" s="1464">
        <v>1.0075136425194853</v>
      </c>
      <c r="F259" s="1464">
        <v>23.854003746013806</v>
      </c>
      <c r="K259" s="1646">
        <v>42316</v>
      </c>
      <c r="L259" s="1647"/>
      <c r="M259" s="1648">
        <v>0</v>
      </c>
      <c r="N259" s="1649">
        <v>1.0910426329792631</v>
      </c>
      <c r="O259" s="1649">
        <v>1.0910426329792631</v>
      </c>
    </row>
    <row r="260" spans="2:15">
      <c r="B260" s="1463">
        <v>40330</v>
      </c>
      <c r="C260" s="1464">
        <v>427.48899999999998</v>
      </c>
      <c r="D260" s="1464">
        <v>3110.74</v>
      </c>
      <c r="E260" s="1464">
        <v>1.0079257581819461</v>
      </c>
      <c r="F260" s="1464">
        <v>24.043064811375949</v>
      </c>
      <c r="K260" s="1646">
        <v>42317</v>
      </c>
      <c r="L260" s="1647" t="s">
        <v>1653</v>
      </c>
      <c r="M260" s="1648">
        <v>5.2531000000000001E-2</v>
      </c>
      <c r="N260" s="1649">
        <v>1.0916157685847934</v>
      </c>
      <c r="O260" s="1649">
        <v>1.0916157685847934</v>
      </c>
    </row>
    <row r="261" spans="2:15">
      <c r="B261" s="1463">
        <v>40360</v>
      </c>
      <c r="C261" s="1464">
        <v>428.15</v>
      </c>
      <c r="D261" s="1464">
        <v>3111.05</v>
      </c>
      <c r="E261" s="1464">
        <v>1.0086102956499179</v>
      </c>
      <c r="F261" s="1464">
        <v>24.250082707732034</v>
      </c>
      <c r="K261" s="1646">
        <v>42318</v>
      </c>
      <c r="L261" s="1647" t="s">
        <v>1653</v>
      </c>
      <c r="M261" s="1648">
        <v>5.2531000000000001E-2</v>
      </c>
      <c r="N261" s="1649">
        <v>1.0921892052641886</v>
      </c>
      <c r="O261" s="1649">
        <v>1.0921892052641886</v>
      </c>
    </row>
    <row r="262" spans="2:15">
      <c r="B262" s="1463">
        <v>40391</v>
      </c>
      <c r="C262" s="1464">
        <v>431.44499999999999</v>
      </c>
      <c r="D262" s="1464">
        <v>3112.29</v>
      </c>
      <c r="E262" s="1464">
        <v>1.0088820963555043</v>
      </c>
      <c r="F262" s="1464">
        <v>24.465474278971058</v>
      </c>
      <c r="K262" s="1646">
        <v>42319</v>
      </c>
      <c r="L262" s="1647" t="s">
        <v>1653</v>
      </c>
      <c r="M262" s="1648">
        <v>5.2531000000000001E-2</v>
      </c>
      <c r="N262" s="1649">
        <v>1.0927629431756058</v>
      </c>
      <c r="O262" s="1649">
        <v>1.0927629431756058</v>
      </c>
    </row>
    <row r="263" spans="2:15">
      <c r="B263" s="1463">
        <v>40422</v>
      </c>
      <c r="C263" s="1464">
        <v>436.423</v>
      </c>
      <c r="D263" s="1464">
        <v>3126.29</v>
      </c>
      <c r="E263" s="1464">
        <v>1.0084766584844942</v>
      </c>
      <c r="F263" s="1464">
        <v>24.672859749095071</v>
      </c>
      <c r="K263" s="1646">
        <v>42320</v>
      </c>
      <c r="L263" s="1647" t="s">
        <v>1653</v>
      </c>
      <c r="M263" s="1648">
        <v>5.2531000000000001E-2</v>
      </c>
      <c r="N263" s="1649">
        <v>1.0933369824772854</v>
      </c>
      <c r="O263" s="1649">
        <v>1.0933369824772854</v>
      </c>
    </row>
    <row r="264" spans="2:15">
      <c r="B264" s="1463">
        <v>40452</v>
      </c>
      <c r="C264" s="1464">
        <v>440.82900000000001</v>
      </c>
      <c r="D264" s="1464">
        <v>3149.74</v>
      </c>
      <c r="E264" s="1464">
        <v>1.0080713835461668</v>
      </c>
      <c r="F264" s="1464">
        <v>24.872003863310798</v>
      </c>
      <c r="K264" s="1646">
        <v>42321</v>
      </c>
      <c r="L264" s="1647" t="s">
        <v>1653</v>
      </c>
      <c r="M264" s="1648">
        <v>5.2531000000000001E-2</v>
      </c>
      <c r="N264" s="1649">
        <v>1.0939113233275506</v>
      </c>
      <c r="O264" s="1649">
        <v>1.0939113233275506</v>
      </c>
    </row>
    <row r="265" spans="2:15">
      <c r="B265" s="1463">
        <v>40483</v>
      </c>
      <c r="C265" s="1464">
        <v>447.20600000000002</v>
      </c>
      <c r="D265" s="1464">
        <v>3175.88</v>
      </c>
      <c r="E265" s="1464">
        <v>1.008071383546167</v>
      </c>
      <c r="F265" s="1464">
        <v>25.072755346053327</v>
      </c>
      <c r="K265" s="1646">
        <v>42322</v>
      </c>
      <c r="L265" s="1647"/>
      <c r="M265" s="1648">
        <v>0</v>
      </c>
      <c r="N265" s="1649">
        <v>1.0939113233275506</v>
      </c>
      <c r="O265" s="1649">
        <v>1.0939113233275506</v>
      </c>
    </row>
    <row r="266" spans="2:15">
      <c r="B266" s="1463">
        <v>40513</v>
      </c>
      <c r="C266" s="1464">
        <v>450.30099999999999</v>
      </c>
      <c r="D266" s="1464">
        <v>3195.89</v>
      </c>
      <c r="E266" s="1464">
        <v>1.0092887868177591</v>
      </c>
      <c r="F266" s="1464">
        <v>25.305650825396647</v>
      </c>
      <c r="K266" s="1646">
        <v>42323</v>
      </c>
      <c r="L266" s="1647"/>
      <c r="M266" s="1648">
        <v>0</v>
      </c>
      <c r="N266" s="1649">
        <v>1.0939113233275506</v>
      </c>
      <c r="O266" s="1649">
        <v>1.0939113233275506</v>
      </c>
    </row>
    <row r="267" spans="2:15">
      <c r="B267" s="1463">
        <v>40544</v>
      </c>
      <c r="C267" s="1464">
        <v>453.875</v>
      </c>
      <c r="D267" s="1464">
        <v>3222.42</v>
      </c>
      <c r="E267" s="1464">
        <v>1.0086232010755674</v>
      </c>
      <c r="F267" s="1464">
        <v>25.52386654081214</v>
      </c>
      <c r="K267" s="1646">
        <v>42324</v>
      </c>
      <c r="L267" s="1647" t="s">
        <v>1653</v>
      </c>
      <c r="M267" s="1648">
        <v>5.2531000000000001E-2</v>
      </c>
      <c r="N267" s="1649">
        <v>1.0944859658848078</v>
      </c>
      <c r="O267" s="1649">
        <v>1.0944859658848078</v>
      </c>
    </row>
    <row r="268" spans="2:15">
      <c r="B268" s="1463">
        <v>40575</v>
      </c>
      <c r="C268" s="1464">
        <v>458.39699999999999</v>
      </c>
      <c r="D268" s="1464">
        <v>3248.2</v>
      </c>
      <c r="E268" s="1464">
        <v>1.0084390842010735</v>
      </c>
      <c r="F268" s="1464">
        <v>25.739264599687019</v>
      </c>
      <c r="K268" s="1646">
        <v>42325</v>
      </c>
      <c r="L268" s="1647" t="s">
        <v>1653</v>
      </c>
      <c r="M268" s="1648">
        <v>5.2531000000000001E-2</v>
      </c>
      <c r="N268" s="1649">
        <v>1.0950609103075468</v>
      </c>
      <c r="O268" s="1649">
        <v>1.0950609103075468</v>
      </c>
    </row>
    <row r="269" spans="2:15">
      <c r="B269" s="1463">
        <v>40603</v>
      </c>
      <c r="C269" s="1464">
        <v>461.24900000000002</v>
      </c>
      <c r="D269" s="1464">
        <v>3273.86</v>
      </c>
      <c r="E269" s="1464">
        <v>1.0092045846073012</v>
      </c>
      <c r="F269" s="1464">
        <v>25.97618383842455</v>
      </c>
      <c r="K269" s="1646">
        <v>42326</v>
      </c>
      <c r="L269" s="1647" t="s">
        <v>1653</v>
      </c>
      <c r="M269" s="1648">
        <v>5.2531000000000001E-2</v>
      </c>
      <c r="N269" s="1649">
        <v>1.0956361567543405</v>
      </c>
      <c r="O269" s="1649">
        <v>1.0956361567543405</v>
      </c>
    </row>
    <row r="270" spans="2:15">
      <c r="B270" s="1463">
        <v>40634</v>
      </c>
      <c r="C270" s="1464">
        <v>463.31099999999998</v>
      </c>
      <c r="D270" s="1464">
        <v>3299.07</v>
      </c>
      <c r="E270" s="1464">
        <v>1.0084015541577225</v>
      </c>
      <c r="F270" s="1464">
        <v>26.194424153754028</v>
      </c>
      <c r="K270" s="1646">
        <v>42327</v>
      </c>
      <c r="L270" s="1647" t="s">
        <v>1653</v>
      </c>
      <c r="M270" s="1648">
        <v>5.2531000000000001E-2</v>
      </c>
      <c r="N270" s="1649">
        <v>1.0962117053838452</v>
      </c>
      <c r="O270" s="1649">
        <v>1.0962117053838452</v>
      </c>
    </row>
    <row r="271" spans="2:15">
      <c r="B271" s="1463">
        <v>40664</v>
      </c>
      <c r="C271" s="1464">
        <v>465.31099999999998</v>
      </c>
      <c r="D271" s="1464">
        <v>3314.58</v>
      </c>
      <c r="E271" s="1464">
        <v>1.0098798495673293</v>
      </c>
      <c r="F271" s="1464">
        <v>26.453221123895936</v>
      </c>
      <c r="K271" s="1646">
        <v>42328</v>
      </c>
      <c r="L271" s="1647" t="s">
        <v>1653</v>
      </c>
      <c r="M271" s="1648">
        <v>5.2531000000000001E-2</v>
      </c>
      <c r="N271" s="1649">
        <v>1.0967875563548004</v>
      </c>
      <c r="O271" s="1649">
        <v>1.0967875563548004</v>
      </c>
    </row>
    <row r="272" spans="2:15">
      <c r="B272" s="1463">
        <v>40695</v>
      </c>
      <c r="C272" s="1464">
        <v>464.46300000000002</v>
      </c>
      <c r="D272" s="1464">
        <v>3319.55</v>
      </c>
      <c r="E272" s="1464">
        <v>1.0095627565914342</v>
      </c>
      <c r="F272" s="1464">
        <v>26.706186838563141</v>
      </c>
      <c r="K272" s="1646">
        <v>42329</v>
      </c>
      <c r="L272" s="1647"/>
      <c r="M272" s="1648">
        <v>0</v>
      </c>
      <c r="N272" s="1649">
        <v>1.0967875563548004</v>
      </c>
      <c r="O272" s="1649">
        <v>1.0967875563548004</v>
      </c>
    </row>
    <row r="273" spans="2:15">
      <c r="B273" s="1463">
        <v>40725</v>
      </c>
      <c r="C273" s="1464">
        <v>463.92700000000002</v>
      </c>
      <c r="D273" s="1464">
        <v>3324.86</v>
      </c>
      <c r="E273" s="1464">
        <v>1.0096788504099796</v>
      </c>
      <c r="F273" s="1464">
        <v>26.96467202599456</v>
      </c>
      <c r="K273" s="1646">
        <v>42330</v>
      </c>
      <c r="L273" s="1647"/>
      <c r="M273" s="1648">
        <v>0</v>
      </c>
      <c r="N273" s="1649">
        <v>1.0967875563548004</v>
      </c>
      <c r="O273" s="1649">
        <v>1.0967875563548004</v>
      </c>
    </row>
    <row r="274" spans="2:15">
      <c r="B274" s="1463">
        <v>40756</v>
      </c>
      <c r="C274" s="1464">
        <v>465.96800000000002</v>
      </c>
      <c r="D274" s="1464">
        <v>3337.16</v>
      </c>
      <c r="E274" s="1464">
        <v>1.0107406292787873</v>
      </c>
      <c r="F274" s="1464">
        <v>27.254289571849853</v>
      </c>
      <c r="K274" s="1646">
        <v>42331</v>
      </c>
      <c r="L274" s="1647" t="s">
        <v>1653</v>
      </c>
      <c r="M274" s="1648">
        <v>5.2531000000000001E-2</v>
      </c>
      <c r="N274" s="1649">
        <v>1.0973637098260292</v>
      </c>
      <c r="O274" s="1649">
        <v>1.0973637098260292</v>
      </c>
    </row>
    <row r="275" spans="2:15">
      <c r="B275" s="1463">
        <v>40787</v>
      </c>
      <c r="C275" s="1464">
        <v>468.97500000000002</v>
      </c>
      <c r="D275" s="1464">
        <v>3354.85</v>
      </c>
      <c r="E275" s="1464">
        <v>1.00941760689889</v>
      </c>
      <c r="F275" s="1464">
        <v>27.510959757346054</v>
      </c>
      <c r="K275" s="1646">
        <v>42332</v>
      </c>
      <c r="L275" s="1647" t="s">
        <v>1653</v>
      </c>
      <c r="M275" s="1648">
        <v>5.2531000000000001E-2</v>
      </c>
      <c r="N275" s="1649">
        <v>1.0979401659564378</v>
      </c>
      <c r="O275" s="1649">
        <v>1.0979401659564378</v>
      </c>
    </row>
    <row r="276" spans="2:15">
      <c r="B276" s="1463">
        <v>40817</v>
      </c>
      <c r="C276" s="1464">
        <v>471.46600000000001</v>
      </c>
      <c r="D276" s="1464">
        <v>3369.28</v>
      </c>
      <c r="E276" s="1464">
        <v>1.0088195463919019</v>
      </c>
      <c r="F276" s="1464">
        <v>27.753593943211712</v>
      </c>
      <c r="K276" s="1646">
        <v>42333</v>
      </c>
      <c r="L276" s="1647" t="s">
        <v>1653</v>
      </c>
      <c r="M276" s="1648">
        <v>5.2531000000000001E-2</v>
      </c>
      <c r="N276" s="1649">
        <v>1.0985169249050164</v>
      </c>
      <c r="O276" s="1649">
        <v>1.0985169249050164</v>
      </c>
    </row>
    <row r="277" spans="2:15">
      <c r="B277" s="1463">
        <v>40848</v>
      </c>
      <c r="C277" s="1464">
        <v>473.80799999999999</v>
      </c>
      <c r="D277" s="1464">
        <v>3386.8</v>
      </c>
      <c r="E277" s="1464">
        <v>1.0086047745492386</v>
      </c>
      <c r="F277" s="1464">
        <v>27.992407362024164</v>
      </c>
      <c r="K277" s="1646">
        <v>42334</v>
      </c>
      <c r="L277" s="1647" t="s">
        <v>1653</v>
      </c>
      <c r="M277" s="1648">
        <v>5.2531000000000001E-2</v>
      </c>
      <c r="N277" s="1649">
        <v>1.0990939868308383</v>
      </c>
      <c r="O277" s="1649">
        <v>1.0990939868308383</v>
      </c>
    </row>
    <row r="278" spans="2:15">
      <c r="B278" s="1463">
        <v>40878</v>
      </c>
      <c r="C278" s="1464">
        <v>473.25200000000001</v>
      </c>
      <c r="D278" s="1464">
        <v>3403.73</v>
      </c>
      <c r="E278" s="1464">
        <v>1.0090732804800764</v>
      </c>
      <c r="F278" s="1464">
        <v>28.246390325332364</v>
      </c>
      <c r="K278" s="1646">
        <v>42335</v>
      </c>
      <c r="L278" s="1647" t="s">
        <v>1653</v>
      </c>
      <c r="M278" s="1648">
        <v>5.2531000000000001E-2</v>
      </c>
      <c r="N278" s="1649">
        <v>1.0996713518930603</v>
      </c>
      <c r="O278" s="1649">
        <v>1.0996713518930603</v>
      </c>
    </row>
    <row r="279" spans="2:15">
      <c r="B279" s="1463">
        <v>40909</v>
      </c>
      <c r="C279" s="1464">
        <v>474.42899999999997</v>
      </c>
      <c r="D279" s="1464">
        <v>3422.79</v>
      </c>
      <c r="E279" s="1464">
        <v>1.0089101617717657</v>
      </c>
      <c r="F279" s="1464">
        <v>28.498070232599513</v>
      </c>
      <c r="K279" s="1646">
        <v>42336</v>
      </c>
      <c r="L279" s="1647"/>
      <c r="M279" s="1648">
        <v>0</v>
      </c>
      <c r="N279" s="1649">
        <v>1.0996713518930603</v>
      </c>
      <c r="O279" s="1649">
        <v>1.0996713518930603</v>
      </c>
    </row>
    <row r="280" spans="2:15">
      <c r="B280" s="1463">
        <v>40940</v>
      </c>
      <c r="C280" s="1464">
        <v>474.13799999999998</v>
      </c>
      <c r="D280" s="1464">
        <v>3438.19</v>
      </c>
      <c r="E280" s="1464">
        <v>1.0074877292470876</v>
      </c>
      <c r="F280" s="1464">
        <v>28.711456066565706</v>
      </c>
      <c r="K280" s="1646">
        <v>42337</v>
      </c>
      <c r="L280" s="1647"/>
      <c r="M280" s="1648">
        <v>0</v>
      </c>
      <c r="N280" s="1649">
        <v>1.0996713518930603</v>
      </c>
      <c r="O280" s="1649">
        <v>1.0996713518930603</v>
      </c>
    </row>
    <row r="281" spans="2:15">
      <c r="B281" s="1463">
        <v>40969</v>
      </c>
      <c r="C281" s="1464">
        <v>476.166</v>
      </c>
      <c r="D281" s="1464">
        <v>3445.41</v>
      </c>
      <c r="E281" s="1464">
        <v>1.0082113884808406</v>
      </c>
      <c r="F281" s="1464">
        <v>28.947216986178862</v>
      </c>
      <c r="K281" s="1646">
        <v>42338</v>
      </c>
      <c r="L281" s="1647" t="s">
        <v>1653</v>
      </c>
      <c r="M281" s="1648">
        <v>5.2531000000000001E-2</v>
      </c>
      <c r="N281" s="1649">
        <v>1.1002490202509232</v>
      </c>
      <c r="O281" s="1649">
        <v>1.1002490202509232</v>
      </c>
    </row>
    <row r="282" spans="2:15">
      <c r="B282" s="1463">
        <v>41000</v>
      </c>
      <c r="C282" s="1464">
        <v>480.22899999999998</v>
      </c>
      <c r="D282" s="1464">
        <v>3467.46</v>
      </c>
      <c r="E282" s="1464">
        <v>1.0071187588624242</v>
      </c>
      <c r="F282" s="1464">
        <v>29.15328524364174</v>
      </c>
      <c r="K282" s="1646">
        <v>42339</v>
      </c>
      <c r="L282" s="1647" t="s">
        <v>1653</v>
      </c>
      <c r="M282" s="1648">
        <v>5.2531000000000001E-2</v>
      </c>
      <c r="N282" s="1649">
        <v>1.1008269920637512</v>
      </c>
      <c r="O282" s="1649">
        <v>1.1008269920637512</v>
      </c>
    </row>
    <row r="283" spans="2:15">
      <c r="B283" s="1463">
        <v>41030</v>
      </c>
      <c r="C283" s="1464">
        <v>485.14</v>
      </c>
      <c r="D283" s="1464">
        <v>3479.94</v>
      </c>
      <c r="E283" s="1464">
        <v>1.007447242329657</v>
      </c>
      <c r="F283" s="1464">
        <v>29.370396823556753</v>
      </c>
      <c r="G283" s="11"/>
      <c r="K283" s="1646">
        <v>42340</v>
      </c>
      <c r="L283" s="1647" t="s">
        <v>1653</v>
      </c>
      <c r="M283" s="1648">
        <v>5.2531000000000001E-2</v>
      </c>
      <c r="N283" s="1649">
        <v>1.1014052674909522</v>
      </c>
      <c r="O283" s="1649">
        <v>1.1014052674909522</v>
      </c>
    </row>
    <row r="284" spans="2:15">
      <c r="B284" s="1463">
        <v>41061</v>
      </c>
      <c r="C284" s="1464">
        <v>488.34199999999998</v>
      </c>
      <c r="D284" s="1464">
        <v>3482.72</v>
      </c>
      <c r="E284" s="1464">
        <v>1.0064150263426446</v>
      </c>
      <c r="F284" s="1464">
        <v>29.558808692873793</v>
      </c>
      <c r="K284" s="1646">
        <v>42341</v>
      </c>
      <c r="L284" s="1647" t="s">
        <v>1653</v>
      </c>
      <c r="M284" s="1648">
        <v>5.2531000000000001E-2</v>
      </c>
      <c r="N284" s="1649">
        <v>1.101983846692018</v>
      </c>
      <c r="O284" s="1649">
        <v>1.101983846692018</v>
      </c>
    </row>
    <row r="285" spans="2:15">
      <c r="B285" s="1463">
        <v>41091</v>
      </c>
      <c r="C285" s="1464">
        <v>494.89100000000002</v>
      </c>
      <c r="D285" s="1464">
        <v>3497.7</v>
      </c>
      <c r="E285" s="1464">
        <v>1.0067996486835762</v>
      </c>
      <c r="F285" s="1464">
        <v>29.759798207490373</v>
      </c>
      <c r="K285" s="1646">
        <v>42342</v>
      </c>
      <c r="L285" s="1647" t="s">
        <v>1653</v>
      </c>
      <c r="M285" s="1648">
        <v>5.2531000000000001E-2</v>
      </c>
      <c r="N285" s="1649">
        <v>1.1025627298265237</v>
      </c>
      <c r="O285" s="1649">
        <v>1.1025627298265237</v>
      </c>
    </row>
    <row r="286" spans="2:15">
      <c r="B286" s="1463">
        <v>41122</v>
      </c>
      <c r="C286" s="1464">
        <v>501.95699999999999</v>
      </c>
      <c r="D286" s="1464">
        <v>3512.04</v>
      </c>
      <c r="E286" s="1464">
        <v>1.0069181066014252</v>
      </c>
      <c r="F286" s="1464">
        <v>29.965679663926696</v>
      </c>
      <c r="K286" s="1646">
        <v>42343</v>
      </c>
      <c r="L286" s="1647"/>
      <c r="M286" s="1648">
        <v>0</v>
      </c>
      <c r="N286" s="1649">
        <v>1.1025627298265237</v>
      </c>
      <c r="O286" s="1649">
        <v>1.1025627298265237</v>
      </c>
    </row>
    <row r="287" spans="2:15">
      <c r="B287" s="1463">
        <v>41153</v>
      </c>
      <c r="C287" s="1464">
        <v>506.80399999999997</v>
      </c>
      <c r="D287" s="1464">
        <v>3532.06</v>
      </c>
      <c r="E287" s="1464">
        <v>1.0053899533259578</v>
      </c>
      <c r="F287" s="1464">
        <v>30.127193278695866</v>
      </c>
      <c r="K287" s="1646">
        <v>42344</v>
      </c>
      <c r="L287" s="1647"/>
      <c r="M287" s="1648">
        <v>0</v>
      </c>
      <c r="N287" s="1649">
        <v>1.1025627298265237</v>
      </c>
      <c r="O287" s="1649">
        <v>1.1025627298265237</v>
      </c>
    </row>
    <row r="288" spans="2:15">
      <c r="B288" s="1463">
        <v>41183</v>
      </c>
      <c r="C288" s="1464">
        <v>506.92599999999999</v>
      </c>
      <c r="D288" s="1464">
        <v>3552.9</v>
      </c>
      <c r="E288" s="1464">
        <v>1.0061133864051108</v>
      </c>
      <c r="F288" s="1464">
        <v>30.311372452509993</v>
      </c>
      <c r="K288" s="1646">
        <v>42345</v>
      </c>
      <c r="L288" s="1647" t="s">
        <v>1653</v>
      </c>
      <c r="M288" s="1648">
        <v>5.2531000000000001E-2</v>
      </c>
      <c r="N288" s="1649">
        <v>1.1031419170541288</v>
      </c>
      <c r="O288" s="1649">
        <v>1.1031419170541288</v>
      </c>
    </row>
    <row r="289" spans="2:15">
      <c r="B289" s="1463">
        <v>41214</v>
      </c>
      <c r="C289" s="1464">
        <v>506.79500000000002</v>
      </c>
      <c r="D289" s="1464">
        <v>3574.22</v>
      </c>
      <c r="E289" s="1464">
        <v>1.0054884576647556</v>
      </c>
      <c r="F289" s="1464">
        <v>30.477735136976232</v>
      </c>
      <c r="K289" s="1646">
        <v>42346</v>
      </c>
      <c r="L289" s="1647" t="s">
        <v>1653</v>
      </c>
      <c r="M289" s="1648">
        <v>5.2531000000000001E-2</v>
      </c>
      <c r="N289" s="1649">
        <v>1.1037214085345766</v>
      </c>
      <c r="O289" s="1649">
        <v>1.1037214085345766</v>
      </c>
    </row>
    <row r="290" spans="2:15">
      <c r="B290" s="1463">
        <v>41244</v>
      </c>
      <c r="C290" s="1464">
        <v>510.25200000000001</v>
      </c>
      <c r="D290" s="1464">
        <v>3602.46</v>
      </c>
      <c r="E290" s="1464">
        <v>1.0055015154231364</v>
      </c>
      <c r="F290" s="1464">
        <v>30.645408866894574</v>
      </c>
      <c r="K290" s="1646">
        <v>42347</v>
      </c>
      <c r="L290" s="1647" t="s">
        <v>1653</v>
      </c>
      <c r="M290" s="1648">
        <v>5.2531000000000001E-2</v>
      </c>
      <c r="N290" s="1649">
        <v>1.1043012044276939</v>
      </c>
      <c r="O290" s="1649">
        <v>1.1043012044276939</v>
      </c>
    </row>
    <row r="291" spans="2:15">
      <c r="B291" s="1463">
        <v>41275</v>
      </c>
      <c r="C291" s="1464">
        <v>511.97699999999998</v>
      </c>
      <c r="D291" s="1464">
        <v>3633.44</v>
      </c>
      <c r="E291" s="1464">
        <v>1.0060143970219473</v>
      </c>
      <c r="F291" s="1464">
        <v>30.82972252271998</v>
      </c>
      <c r="K291" s="1646">
        <v>42348</v>
      </c>
      <c r="L291" s="1647" t="s">
        <v>1653</v>
      </c>
      <c r="M291" s="1648">
        <v>5.2531000000000001E-2</v>
      </c>
      <c r="N291" s="1649">
        <v>1.1048813048933919</v>
      </c>
      <c r="O291" s="1649">
        <v>1.1048813048933919</v>
      </c>
    </row>
    <row r="292" spans="2:15">
      <c r="B292" s="1463">
        <v>41306</v>
      </c>
      <c r="C292" s="1464">
        <v>513.46699999999998</v>
      </c>
      <c r="D292" s="1464">
        <v>3655.24</v>
      </c>
      <c r="E292" s="1464">
        <v>1.0049274991744226</v>
      </c>
      <c r="F292" s="1464">
        <v>30.98163595499836</v>
      </c>
      <c r="K292" s="1646">
        <v>42349</v>
      </c>
      <c r="L292" s="1647" t="s">
        <v>1653</v>
      </c>
      <c r="M292" s="1648">
        <v>5.2531000000000001E-2</v>
      </c>
      <c r="N292" s="1649">
        <v>1.1054617100916655</v>
      </c>
      <c r="O292" s="1649">
        <v>1.1054617100916655</v>
      </c>
    </row>
    <row r="293" spans="2:15">
      <c r="B293" s="1463">
        <v>41334</v>
      </c>
      <c r="C293" s="1464">
        <v>514.52599999999995</v>
      </c>
      <c r="D293" s="1464">
        <v>3672.42</v>
      </c>
      <c r="E293" s="1464">
        <v>1.0054940366101026</v>
      </c>
      <c r="F293" s="1464">
        <v>31.151850197175992</v>
      </c>
      <c r="K293" s="1646">
        <v>42350</v>
      </c>
      <c r="L293" s="1647"/>
      <c r="M293" s="1648">
        <v>0</v>
      </c>
      <c r="N293" s="1649">
        <v>1.1054617100916655</v>
      </c>
      <c r="O293" s="1649">
        <v>1.1054617100916655</v>
      </c>
    </row>
    <row r="294" spans="2:15">
      <c r="B294" s="1463">
        <v>41365</v>
      </c>
      <c r="C294" s="1464">
        <v>515.27599999999995</v>
      </c>
      <c r="D294" s="1464">
        <v>3692.62</v>
      </c>
      <c r="E294" s="1464">
        <v>1.0061364605097283</v>
      </c>
      <c r="F294" s="1464">
        <v>31.343012295715933</v>
      </c>
      <c r="K294" s="1646">
        <v>42351</v>
      </c>
      <c r="L294" s="1647"/>
      <c r="M294" s="1648">
        <v>0</v>
      </c>
      <c r="N294" s="1649">
        <v>1.1054617100916655</v>
      </c>
      <c r="O294" s="1649">
        <v>1.1054617100916655</v>
      </c>
    </row>
    <row r="295" spans="2:15">
      <c r="B295" s="1463">
        <v>41395</v>
      </c>
      <c r="C295" s="1464">
        <v>515.29899999999998</v>
      </c>
      <c r="D295" s="1464">
        <v>3706.28</v>
      </c>
      <c r="E295" s="1464">
        <v>1.0059853629993882</v>
      </c>
      <c r="F295" s="1464">
        <v>31.530611601800082</v>
      </c>
      <c r="K295" s="1646">
        <v>42352</v>
      </c>
      <c r="L295" s="1647" t="s">
        <v>1653</v>
      </c>
      <c r="M295" s="1648">
        <v>5.2531000000000001E-2</v>
      </c>
      <c r="N295" s="1649">
        <v>1.1060424201825938</v>
      </c>
      <c r="O295" s="1649">
        <v>1.1060424201825938</v>
      </c>
    </row>
    <row r="296" spans="2:15">
      <c r="B296" s="1463">
        <v>41426</v>
      </c>
      <c r="C296" s="1464">
        <v>519.15300000000002</v>
      </c>
      <c r="D296" s="1464">
        <v>3715.92</v>
      </c>
      <c r="E296" s="1464">
        <v>1.0060527337434972</v>
      </c>
      <c r="F296" s="1464">
        <v>31.721457998595405</v>
      </c>
      <c r="G296" s="66"/>
      <c r="K296" s="1646">
        <v>42353</v>
      </c>
      <c r="L296" s="1647" t="s">
        <v>1653</v>
      </c>
      <c r="M296" s="1648">
        <v>5.2531000000000001E-2</v>
      </c>
      <c r="N296" s="1649">
        <v>1.10662343532634</v>
      </c>
      <c r="O296" s="1649">
        <v>1.10662343532634</v>
      </c>
    </row>
    <row r="297" spans="2:15">
      <c r="B297" s="1463">
        <v>41456</v>
      </c>
      <c r="C297" s="1464">
        <v>520.50800000000004</v>
      </c>
      <c r="D297" s="1464">
        <v>3717.03</v>
      </c>
      <c r="E297" s="1464">
        <v>1.0072409169740031</v>
      </c>
      <c r="F297" s="1464">
        <v>31.951150442257561</v>
      </c>
      <c r="K297" s="1646">
        <v>42354</v>
      </c>
      <c r="L297" s="1647" t="s">
        <v>1653</v>
      </c>
      <c r="M297" s="1648">
        <v>5.2531000000000001E-2</v>
      </c>
      <c r="N297" s="1649">
        <v>1.1072047556831512</v>
      </c>
      <c r="O297" s="1649">
        <v>1.1072047556831512</v>
      </c>
    </row>
    <row r="298" spans="2:15">
      <c r="B298" s="1463">
        <v>41487</v>
      </c>
      <c r="C298" s="1464">
        <v>521.27</v>
      </c>
      <c r="D298" s="1464">
        <v>3725.95</v>
      </c>
      <c r="E298" s="1464">
        <v>1.0071031495053051</v>
      </c>
      <c r="F298" s="1464">
        <v>32.178104240715413</v>
      </c>
      <c r="K298" s="1646">
        <v>42355</v>
      </c>
      <c r="L298" s="1647" t="s">
        <v>1653</v>
      </c>
      <c r="M298" s="1648">
        <v>5.2531000000000001E-2</v>
      </c>
      <c r="N298" s="1649">
        <v>1.1077863814133591</v>
      </c>
      <c r="O298" s="1649">
        <v>1.1077863814133591</v>
      </c>
    </row>
    <row r="299" spans="2:15">
      <c r="B299" s="1463">
        <v>41518</v>
      </c>
      <c r="C299" s="1464">
        <v>529.08500000000004</v>
      </c>
      <c r="D299" s="1464">
        <v>3738.99</v>
      </c>
      <c r="E299" s="1464">
        <v>1.0071302882501354</v>
      </c>
      <c r="F299" s="1464">
        <v>32.407543399294617</v>
      </c>
      <c r="K299" s="1646">
        <v>42356</v>
      </c>
      <c r="L299" s="1647" t="s">
        <v>1653</v>
      </c>
      <c r="M299" s="1648">
        <v>5.2531000000000001E-2</v>
      </c>
      <c r="N299" s="1649">
        <v>1.1083683126773793</v>
      </c>
      <c r="O299" s="1649">
        <v>1.1083683126773793</v>
      </c>
    </row>
    <row r="300" spans="2:15">
      <c r="B300" s="1463">
        <v>41548</v>
      </c>
      <c r="C300" s="1464">
        <v>533.62099999999998</v>
      </c>
      <c r="D300" s="1464">
        <v>3760.3</v>
      </c>
      <c r="E300" s="1464">
        <v>1.0081051023495244</v>
      </c>
      <c r="F300" s="1464">
        <v>32.670209855442558</v>
      </c>
      <c r="G300" s="67"/>
      <c r="K300" s="1646">
        <v>42357</v>
      </c>
      <c r="L300" s="1647"/>
      <c r="M300" s="1648">
        <v>0</v>
      </c>
      <c r="N300" s="1649">
        <v>1.1083683126773793</v>
      </c>
      <c r="O300" s="1649">
        <v>1.1083683126773793</v>
      </c>
    </row>
    <row r="301" spans="2:15">
      <c r="B301" s="1463">
        <v>41579</v>
      </c>
      <c r="C301" s="1464">
        <v>535.16800000000001</v>
      </c>
      <c r="D301" s="1464">
        <v>3780.61</v>
      </c>
      <c r="E301" s="1464">
        <v>1.0071920752752215</v>
      </c>
      <c r="F301" s="1464">
        <v>32.905176463980183</v>
      </c>
      <c r="G301" s="67"/>
      <c r="K301" s="1646">
        <v>42358</v>
      </c>
      <c r="L301" s="1647"/>
      <c r="M301" s="1648">
        <v>0</v>
      </c>
      <c r="N301" s="1649">
        <v>1.1083683126773793</v>
      </c>
      <c r="O301" s="1649">
        <v>1.1083683126773793</v>
      </c>
    </row>
    <row r="302" spans="2:15">
      <c r="B302" s="1463">
        <v>41609</v>
      </c>
      <c r="C302" s="1464">
        <v>538.37</v>
      </c>
      <c r="D302" s="1464">
        <v>3815.39</v>
      </c>
      <c r="E302" s="1464">
        <v>1.0078974581644051</v>
      </c>
      <c r="F302" s="1464">
        <v>33.165043718496833</v>
      </c>
      <c r="G302" s="66"/>
      <c r="K302" s="1646">
        <v>42359</v>
      </c>
      <c r="L302" s="1647" t="s">
        <v>1653</v>
      </c>
      <c r="M302" s="1648">
        <v>5.2531000000000001E-2</v>
      </c>
      <c r="N302" s="1649">
        <v>1.1089505496357119</v>
      </c>
      <c r="O302" s="1649">
        <v>1.1089505496357119</v>
      </c>
    </row>
    <row r="303" spans="2:15">
      <c r="B303" s="1463">
        <v>41640</v>
      </c>
      <c r="C303" s="1464">
        <v>540.95899999999995</v>
      </c>
      <c r="D303" s="1464">
        <v>3836.38</v>
      </c>
      <c r="E303" s="1464">
        <v>1.0084934395272054</v>
      </c>
      <c r="F303" s="1464">
        <v>33.446729011737006</v>
      </c>
      <c r="K303" s="1646">
        <v>42360</v>
      </c>
      <c r="L303" s="1647" t="s">
        <v>1653</v>
      </c>
      <c r="M303" s="1648">
        <v>5.2531000000000001E-2</v>
      </c>
      <c r="N303" s="1649">
        <v>1.109533092448941</v>
      </c>
      <c r="O303" s="1649">
        <v>1.109533092448941</v>
      </c>
    </row>
    <row r="304" spans="2:15">
      <c r="B304" s="1463">
        <v>41671</v>
      </c>
      <c r="C304" s="1464">
        <v>543.03800000000001</v>
      </c>
      <c r="D304" s="1464">
        <v>3862.84</v>
      </c>
      <c r="E304" s="1464">
        <v>1.007901464239193</v>
      </c>
      <c r="F304" s="1464">
        <v>33.711007144941227</v>
      </c>
      <c r="K304" s="1646">
        <v>42361</v>
      </c>
      <c r="L304" s="1647" t="s">
        <v>1653</v>
      </c>
      <c r="M304" s="1648">
        <v>5.2531000000000001E-2</v>
      </c>
      <c r="N304" s="1649">
        <v>1.1101159412777355</v>
      </c>
      <c r="O304" s="1649">
        <v>1.1101159412777355</v>
      </c>
    </row>
    <row r="305" spans="2:15">
      <c r="B305" s="1463">
        <v>41699</v>
      </c>
      <c r="C305" s="1464">
        <v>552.08699999999999</v>
      </c>
      <c r="D305" s="1464">
        <v>3898.38</v>
      </c>
      <c r="E305" s="1464">
        <v>1.0076595732083427</v>
      </c>
      <c r="F305" s="1464">
        <v>33.969219072094866</v>
      </c>
      <c r="K305" s="1646">
        <v>42362</v>
      </c>
      <c r="L305" s="1647" t="s">
        <v>1653</v>
      </c>
      <c r="M305" s="1648">
        <v>5.2531000000000001E-2</v>
      </c>
      <c r="N305" s="1649">
        <v>1.110699096282848</v>
      </c>
      <c r="O305" s="1649">
        <v>1.110699096282848</v>
      </c>
    </row>
    <row r="306" spans="2:15">
      <c r="B306" s="1463">
        <v>41730</v>
      </c>
      <c r="C306" s="1464">
        <v>556.41999999999996</v>
      </c>
      <c r="D306" s="1464">
        <v>3924.5</v>
      </c>
      <c r="E306" s="1464">
        <v>1.0082266762081393</v>
      </c>
      <c r="F306" s="1464">
        <v>34.248672838444342</v>
      </c>
      <c r="K306" s="1646">
        <v>42363</v>
      </c>
      <c r="L306" s="1647"/>
      <c r="M306" s="1648">
        <v>0</v>
      </c>
      <c r="N306" s="1649">
        <v>1.110699096282848</v>
      </c>
      <c r="O306" s="1649">
        <v>1.110699096282848</v>
      </c>
    </row>
    <row r="307" spans="2:15">
      <c r="B307" s="1463">
        <v>41760</v>
      </c>
      <c r="C307" s="1464">
        <v>555.67899999999997</v>
      </c>
      <c r="D307" s="1464">
        <v>3942.55</v>
      </c>
      <c r="E307" s="1464">
        <v>1.0086587318278823</v>
      </c>
      <c r="F307" s="1464">
        <v>34.545222912013308</v>
      </c>
      <c r="K307" s="1646">
        <v>42364</v>
      </c>
      <c r="L307" s="1647"/>
      <c r="M307" s="1648">
        <v>0</v>
      </c>
      <c r="N307" s="1649">
        <v>1.110699096282848</v>
      </c>
      <c r="O307" s="1649">
        <v>1.110699096282848</v>
      </c>
    </row>
    <row r="308" spans="2:15">
      <c r="B308" s="1463">
        <v>41791</v>
      </c>
      <c r="C308" s="1464">
        <v>551.55399999999997</v>
      </c>
      <c r="D308" s="1464">
        <v>3958.32</v>
      </c>
      <c r="E308" s="1464">
        <v>1.0082447163000285</v>
      </c>
      <c r="F308" s="1464">
        <v>34.830038474444102</v>
      </c>
      <c r="K308" s="1646">
        <v>42365</v>
      </c>
      <c r="L308" s="1647"/>
      <c r="M308" s="1648">
        <v>0</v>
      </c>
      <c r="N308" s="1649">
        <v>1.110699096282848</v>
      </c>
      <c r="O308" s="1649">
        <v>1.110699096282848</v>
      </c>
    </row>
    <row r="309" spans="2:15">
      <c r="B309" s="1463">
        <v>41821</v>
      </c>
      <c r="C309" s="1464">
        <v>548.202</v>
      </c>
      <c r="D309" s="1464">
        <v>3958.72</v>
      </c>
      <c r="E309" s="1464">
        <v>1.0094872729749897</v>
      </c>
      <c r="F309" s="1464">
        <v>35.160480557180549</v>
      </c>
      <c r="K309" s="1646">
        <v>42366</v>
      </c>
      <c r="L309" s="1647" t="s">
        <v>1653</v>
      </c>
      <c r="M309" s="1648">
        <v>5.2531000000000001E-2</v>
      </c>
      <c r="N309" s="1649">
        <v>1.1112825576251164</v>
      </c>
      <c r="O309" s="1649">
        <v>1.1112825576251164</v>
      </c>
    </row>
    <row r="310" spans="2:15">
      <c r="B310" s="1463">
        <v>41852</v>
      </c>
      <c r="C310" s="1464">
        <v>546.745</v>
      </c>
      <c r="D310" s="1464">
        <v>3968.62</v>
      </c>
      <c r="E310" s="1464">
        <v>1.0086598207325679</v>
      </c>
      <c r="F310" s="1464">
        <v>35.464964015676671</v>
      </c>
      <c r="K310" s="1646">
        <v>42367</v>
      </c>
      <c r="L310" s="1647" t="s">
        <v>1653</v>
      </c>
      <c r="M310" s="1648">
        <v>5.2531000000000001E-2</v>
      </c>
      <c r="N310" s="1649">
        <v>1.1118663254654624</v>
      </c>
      <c r="O310" s="1649">
        <v>1.1118663254654624</v>
      </c>
    </row>
    <row r="311" spans="2:15">
      <c r="B311" s="1463">
        <v>41883</v>
      </c>
      <c r="C311" s="1464">
        <v>547.83900000000006</v>
      </c>
      <c r="D311" s="1464">
        <v>3991.24</v>
      </c>
      <c r="E311" s="1464">
        <v>1.0090729173629331</v>
      </c>
      <c r="F311" s="1464">
        <v>35.786734703470302</v>
      </c>
      <c r="K311" s="1646">
        <v>42368</v>
      </c>
      <c r="L311" s="1647" t="s">
        <v>1653</v>
      </c>
      <c r="M311" s="1648">
        <v>5.2531000000000001E-2</v>
      </c>
      <c r="N311" s="1649">
        <v>1.1124503999648927</v>
      </c>
      <c r="O311" s="1649">
        <v>1.1124503999648927</v>
      </c>
    </row>
    <row r="312" spans="2:15">
      <c r="B312" s="1463">
        <v>41913</v>
      </c>
      <c r="C312" s="1464">
        <v>549.39599999999996</v>
      </c>
      <c r="D312" s="1464">
        <v>4008</v>
      </c>
      <c r="E312" s="1464">
        <v>1.009505315279368</v>
      </c>
      <c r="F312" s="1464">
        <v>36.126898899645887</v>
      </c>
      <c r="K312" s="1646">
        <v>42369</v>
      </c>
      <c r="L312" s="1647" t="s">
        <v>1653</v>
      </c>
      <c r="M312" s="1648">
        <v>5.2531000000000001E-2</v>
      </c>
      <c r="N312" s="1649">
        <v>1.1130347812844983</v>
      </c>
      <c r="O312" s="1649">
        <v>1.1130347812844983</v>
      </c>
    </row>
    <row r="313" spans="2:15">
      <c r="B313" s="1463">
        <v>41944</v>
      </c>
      <c r="C313" s="1464">
        <v>554.76900000000001</v>
      </c>
      <c r="D313" s="1464">
        <v>4028.44</v>
      </c>
      <c r="E313" s="1464">
        <v>1.0084249317586502</v>
      </c>
      <c r="F313" s="1464">
        <v>36.431265557527063</v>
      </c>
      <c r="K313" s="1646">
        <v>42370</v>
      </c>
      <c r="L313" s="1647"/>
      <c r="M313" s="1648">
        <v>0</v>
      </c>
      <c r="N313" s="1649">
        <v>1.1130347812844983</v>
      </c>
      <c r="O313" s="1649">
        <v>1.1130347812844983</v>
      </c>
    </row>
    <row r="314" spans="2:15">
      <c r="B314" s="1463">
        <v>41974</v>
      </c>
      <c r="C314" s="1464">
        <v>558.21299999999997</v>
      </c>
      <c r="D314" s="1464">
        <v>4059.86</v>
      </c>
      <c r="E314" s="1464">
        <v>1.0096129495106978</v>
      </c>
      <c r="F314" s="1464">
        <v>36.781477473942395</v>
      </c>
      <c r="K314" s="1646">
        <v>42371</v>
      </c>
      <c r="L314" s="1647"/>
      <c r="M314" s="1648">
        <v>0</v>
      </c>
      <c r="N314" s="1649">
        <v>1.1130347812844983</v>
      </c>
      <c r="O314" s="1649">
        <v>1.1130347812844983</v>
      </c>
    </row>
    <row r="315" spans="2:15">
      <c r="B315" s="1463">
        <v>42005</v>
      </c>
      <c r="C315" s="1464">
        <v>562.48199999999997</v>
      </c>
      <c r="D315" s="1464">
        <v>4110.2</v>
      </c>
      <c r="E315" s="1464">
        <v>1.0093507541041149</v>
      </c>
      <c r="F315" s="1464">
        <v>37.12541202538727</v>
      </c>
      <c r="K315" s="1646">
        <v>42372</v>
      </c>
      <c r="L315" s="1647"/>
      <c r="M315" s="1648">
        <v>0</v>
      </c>
      <c r="N315" s="1649">
        <v>1.1130347812844983</v>
      </c>
      <c r="O315" s="1649">
        <v>1.1130347812844983</v>
      </c>
    </row>
    <row r="316" spans="2:15">
      <c r="B316" s="1463">
        <v>42036</v>
      </c>
      <c r="C316" s="1464">
        <v>564.00400000000002</v>
      </c>
      <c r="D316" s="1464">
        <v>4160.34</v>
      </c>
      <c r="E316" s="1464">
        <v>1.0082241099890967</v>
      </c>
      <c r="F316" s="1464">
        <v>37.43073549727459</v>
      </c>
      <c r="K316" s="1646">
        <v>42373</v>
      </c>
      <c r="L316" s="1647" t="s">
        <v>1653</v>
      </c>
      <c r="M316" s="1648">
        <v>5.2531000000000001E-2</v>
      </c>
      <c r="N316" s="1649">
        <v>1.1136194695854549</v>
      </c>
      <c r="O316" s="1649">
        <v>1.1136194695854549</v>
      </c>
    </row>
    <row r="317" spans="2:15">
      <c r="B317" s="1463">
        <v>42064</v>
      </c>
      <c r="C317" s="1464">
        <v>569.53599999999994</v>
      </c>
      <c r="D317" s="1464">
        <v>4215.26</v>
      </c>
      <c r="E317" s="1464">
        <v>1.0103996710699541</v>
      </c>
      <c r="F317" s="1464">
        <v>37.820002834352699</v>
      </c>
      <c r="K317" s="1646">
        <v>42374</v>
      </c>
      <c r="L317" s="1647" t="s">
        <v>1653</v>
      </c>
      <c r="M317" s="1648">
        <v>5.2531000000000001E-2</v>
      </c>
      <c r="N317" s="1649">
        <v>1.1142044650290228</v>
      </c>
      <c r="O317" s="1649">
        <v>1.1142044650290228</v>
      </c>
    </row>
    <row r="318" spans="2:15">
      <c r="B318" s="1463">
        <v>42095</v>
      </c>
      <c r="C318" s="1464">
        <v>576.17499999999995</v>
      </c>
      <c r="D318" s="1464">
        <v>4245.1899999999996</v>
      </c>
      <c r="E318" s="1464">
        <v>1.0095179160892187</v>
      </c>
      <c r="F318" s="1464">
        <v>38.179970447824083</v>
      </c>
      <c r="K318" s="1646">
        <v>42375</v>
      </c>
      <c r="L318" s="1647" t="s">
        <v>1653</v>
      </c>
      <c r="M318" s="1648">
        <v>5.2531000000000001E-2</v>
      </c>
      <c r="N318" s="1649">
        <v>1.1147897677765473</v>
      </c>
      <c r="O318" s="1649">
        <v>1.1147897677765473</v>
      </c>
    </row>
    <row r="319" spans="2:15">
      <c r="B319" s="1463">
        <v>42125</v>
      </c>
      <c r="C319" s="1464">
        <v>578.51599999999996</v>
      </c>
      <c r="D319" s="1464">
        <v>4276.6000000000004</v>
      </c>
      <c r="E319" s="1464">
        <v>1.0098532226245138</v>
      </c>
      <c r="F319" s="1464">
        <v>38.556166196443854</v>
      </c>
      <c r="K319" s="1646">
        <v>42376</v>
      </c>
      <c r="L319" s="1647" t="s">
        <v>1653</v>
      </c>
      <c r="M319" s="1648">
        <v>5.2531000000000001E-2</v>
      </c>
      <c r="N319" s="1649">
        <v>1.115375377989458</v>
      </c>
      <c r="O319" s="1649">
        <v>1.115375377989458</v>
      </c>
    </row>
    <row r="320" spans="2:15">
      <c r="B320" s="1463">
        <v>42156</v>
      </c>
      <c r="C320" s="1464">
        <v>582.40099999999995</v>
      </c>
      <c r="D320" s="1464">
        <v>4310.3900000000003</v>
      </c>
      <c r="E320" s="1464">
        <v>1.0106667572412273</v>
      </c>
      <c r="F320" s="1464">
        <v>38.967435461413736</v>
      </c>
      <c r="K320" s="1646">
        <v>42377</v>
      </c>
      <c r="L320" s="1647" t="s">
        <v>1653</v>
      </c>
      <c r="M320" s="1648">
        <v>5.2531000000000001E-2</v>
      </c>
      <c r="N320" s="1649">
        <v>1.1159612958292695</v>
      </c>
      <c r="O320" s="1649">
        <v>1.1159612958292695</v>
      </c>
    </row>
    <row r="321" spans="2:15">
      <c r="B321" s="1463">
        <v>42186</v>
      </c>
      <c r="C321" s="1464">
        <v>586.42600000000004</v>
      </c>
      <c r="D321" s="1464">
        <v>4337.1099999999997</v>
      </c>
      <c r="E321" s="1464">
        <v>1.0117819838421735</v>
      </c>
      <c r="F321" s="1464">
        <v>39.426549156391054</v>
      </c>
      <c r="K321" s="1646">
        <v>42378</v>
      </c>
      <c r="L321" s="1647"/>
      <c r="M321" s="1648">
        <v>0</v>
      </c>
      <c r="N321" s="1649">
        <v>1.1159612958292695</v>
      </c>
      <c r="O321" s="1649">
        <v>1.1159612958292695</v>
      </c>
    </row>
    <row r="322" spans="2:15">
      <c r="B322" s="1463">
        <v>42217</v>
      </c>
      <c r="C322" s="1464">
        <v>588.04200000000003</v>
      </c>
      <c r="D322" s="1464">
        <v>4346.6499999999996</v>
      </c>
      <c r="E322" s="1464">
        <v>1.0110896528780247</v>
      </c>
      <c r="F322" s="1464">
        <v>39.863775900713804</v>
      </c>
      <c r="K322" s="1646">
        <v>42379</v>
      </c>
      <c r="L322" s="1647"/>
      <c r="M322" s="1648">
        <v>0</v>
      </c>
      <c r="N322" s="1649">
        <v>1.1159612958292695</v>
      </c>
      <c r="O322" s="1649">
        <v>1.1159612958292695</v>
      </c>
    </row>
    <row r="323" spans="2:15">
      <c r="B323" s="1463">
        <v>42248</v>
      </c>
      <c r="C323" s="1464">
        <v>593.60599999999999</v>
      </c>
      <c r="D323" s="1464">
        <v>4370.12</v>
      </c>
      <c r="E323" s="1464">
        <v>1.0110896528780244</v>
      </c>
      <c r="F323" s="1464">
        <v>40.305851337860076</v>
      </c>
      <c r="K323" s="1646">
        <v>42380</v>
      </c>
      <c r="L323" s="1647" t="s">
        <v>1653</v>
      </c>
      <c r="M323" s="1648">
        <v>5.2531000000000001E-2</v>
      </c>
      <c r="N323" s="1649">
        <v>1.1165475214575815</v>
      </c>
      <c r="O323" s="1649">
        <v>1.1165475214575815</v>
      </c>
    </row>
    <row r="324" spans="2:15">
      <c r="B324" s="1463">
        <v>42278</v>
      </c>
      <c r="C324" s="1464">
        <v>604.83199999999999</v>
      </c>
      <c r="D324" s="1464">
        <v>4405.95</v>
      </c>
      <c r="E324" s="1464">
        <v>1.0110896528780242</v>
      </c>
      <c r="F324" s="1464">
        <v>40.752829238150191</v>
      </c>
      <c r="K324" s="1646">
        <v>42381</v>
      </c>
      <c r="L324" s="1647" t="s">
        <v>1653</v>
      </c>
      <c r="M324" s="1648">
        <v>5.2531000000000001E-2</v>
      </c>
      <c r="N324" s="1649">
        <v>1.1171340550360784</v>
      </c>
      <c r="O324" s="1649">
        <v>1.1171340550360784</v>
      </c>
    </row>
    <row r="325" spans="2:15">
      <c r="B325" s="1463">
        <v>42309</v>
      </c>
      <c r="C325" s="1464">
        <v>614.05100000000004</v>
      </c>
      <c r="D325" s="1464">
        <v>4450.45</v>
      </c>
      <c r="E325" s="1464">
        <v>1.0105587962367735</v>
      </c>
      <c r="F325" s="1464">
        <v>41.183130058147846</v>
      </c>
      <c r="K325" s="1646">
        <v>42382</v>
      </c>
      <c r="L325" s="1647" t="s">
        <v>1653</v>
      </c>
      <c r="M325" s="1648">
        <v>5.2531000000000001E-2</v>
      </c>
      <c r="N325" s="1649">
        <v>1.1177208967265295</v>
      </c>
      <c r="O325" s="1649">
        <v>1.1177208967265295</v>
      </c>
    </row>
    <row r="326" spans="2:15">
      <c r="B326" s="1463">
        <v>42339</v>
      </c>
      <c r="C326" s="1464">
        <v>617.04399999999998</v>
      </c>
      <c r="D326" s="1464">
        <v>4493.17</v>
      </c>
      <c r="E326" s="1464">
        <v>1.0116207883835777</v>
      </c>
      <c r="F326" s="1464">
        <v>41.66171049752694</v>
      </c>
      <c r="K326" s="1646">
        <v>42383</v>
      </c>
      <c r="L326" s="1647" t="s">
        <v>1653</v>
      </c>
      <c r="M326" s="1648">
        <v>5.2531000000000001E-2</v>
      </c>
      <c r="N326" s="1649">
        <v>1.1183080466907889</v>
      </c>
      <c r="O326" s="1649">
        <v>1.1183080466907889</v>
      </c>
    </row>
    <row r="327" spans="2:15">
      <c r="B327" s="1463">
        <v>42370</v>
      </c>
      <c r="C327" s="1464">
        <v>624.05999999999995</v>
      </c>
      <c r="D327" s="1464">
        <v>4550.2299999999996</v>
      </c>
      <c r="E327" s="1464">
        <v>1.0105587962367735</v>
      </c>
      <c r="F327" s="1464">
        <v>42.101608009545771</v>
      </c>
      <c r="K327" s="1646">
        <v>42384</v>
      </c>
      <c r="L327" s="1647" t="s">
        <v>1653</v>
      </c>
      <c r="M327" s="1648">
        <v>5.2531000000000001E-2</v>
      </c>
      <c r="N327" s="1649">
        <v>1.118895505090796</v>
      </c>
      <c r="O327" s="1649">
        <v>1.118895505090796</v>
      </c>
    </row>
    <row r="328" spans="2:15">
      <c r="B328" s="1463">
        <v>42401</v>
      </c>
      <c r="C328" s="1464">
        <v>632.11400000000003</v>
      </c>
      <c r="D328" s="1464">
        <v>4591.18</v>
      </c>
      <c r="E328" s="1464">
        <v>1.0100282183134115</v>
      </c>
      <c r="F328" s="1464">
        <v>42.523812126011173</v>
      </c>
      <c r="K328" s="1646">
        <v>42385</v>
      </c>
      <c r="L328" s="1647"/>
      <c r="M328" s="1648">
        <v>0</v>
      </c>
      <c r="N328" s="1649">
        <v>1.118895505090796</v>
      </c>
      <c r="O328" s="1649">
        <v>1.118895505090796</v>
      </c>
    </row>
    <row r="329" spans="2:15">
      <c r="B329" s="1463">
        <v>42430</v>
      </c>
      <c r="C329" s="1464">
        <v>635.34900000000005</v>
      </c>
      <c r="D329" s="1464">
        <v>4610.92</v>
      </c>
      <c r="E329" s="1464">
        <v>1.0116207883835779</v>
      </c>
      <c r="F329" s="1464">
        <v>43.017972347990572</v>
      </c>
      <c r="K329" s="1646">
        <v>42386</v>
      </c>
      <c r="L329" s="1647"/>
      <c r="M329" s="1648">
        <v>0</v>
      </c>
      <c r="N329" s="1649">
        <v>1.118895505090796</v>
      </c>
      <c r="O329" s="1649">
        <v>1.118895505090796</v>
      </c>
    </row>
    <row r="330" spans="2:15">
      <c r="B330" s="1463">
        <v>42461</v>
      </c>
      <c r="C330" s="1464">
        <v>637.43399999999997</v>
      </c>
      <c r="D330" s="1464">
        <v>4639.05</v>
      </c>
      <c r="E330" s="1464">
        <v>1.0105587962367735</v>
      </c>
      <c r="F330" s="1464">
        <v>43.472190352532159</v>
      </c>
      <c r="K330" s="1646">
        <v>42387</v>
      </c>
      <c r="L330" s="1647" t="s">
        <v>1653</v>
      </c>
      <c r="M330" s="1648">
        <v>5.2531000000000001E-2</v>
      </c>
      <c r="N330" s="1649">
        <v>1.1194832720885752</v>
      </c>
      <c r="O330" s="1649">
        <v>1.1194832720885752</v>
      </c>
    </row>
    <row r="331" spans="2:15">
      <c r="B331" s="1463">
        <v>42491</v>
      </c>
      <c r="C331" s="1464">
        <v>642.65099999999995</v>
      </c>
      <c r="D331" s="1464">
        <v>4675.2299999999996</v>
      </c>
      <c r="E331" s="1464">
        <v>1.0110896528780244</v>
      </c>
      <c r="F331" s="1464">
        <v>43.954281853389141</v>
      </c>
      <c r="K331" s="1646">
        <v>42388</v>
      </c>
      <c r="L331" s="1647" t="s">
        <v>1653</v>
      </c>
      <c r="M331" s="1648">
        <v>5.2531000000000001E-2</v>
      </c>
      <c r="N331" s="1649">
        <v>1.1200713478462361</v>
      </c>
      <c r="O331" s="1649">
        <v>1.1200713478462361</v>
      </c>
    </row>
    <row r="332" spans="2:15">
      <c r="B332" s="1463">
        <v>42522</v>
      </c>
      <c r="C332" s="1464">
        <v>653.49599999999998</v>
      </c>
      <c r="D332" s="1464">
        <v>4691.59</v>
      </c>
      <c r="E332" s="1464">
        <v>1.0116207883835777</v>
      </c>
      <c r="F332" s="1464">
        <v>44.465065261359506</v>
      </c>
      <c r="K332" s="1646">
        <v>42389</v>
      </c>
      <c r="L332" s="1647" t="s">
        <v>1653</v>
      </c>
      <c r="M332" s="1648">
        <v>5.2531000000000001E-2</v>
      </c>
      <c r="N332" s="1649">
        <v>1.1206597325259733</v>
      </c>
      <c r="O332" s="1649">
        <v>1.1206597325259733</v>
      </c>
    </row>
    <row r="333" spans="2:15">
      <c r="B333" s="1463">
        <v>42552</v>
      </c>
      <c r="C333" s="1464">
        <v>654.64099999999996</v>
      </c>
      <c r="D333" s="1464">
        <v>4715.99</v>
      </c>
      <c r="E333" s="1464">
        <v>1.0110896528780242</v>
      </c>
      <c r="F333" s="1464">
        <v>44.958167400306678</v>
      </c>
      <c r="K333" s="1646">
        <v>42390</v>
      </c>
      <c r="L333" s="1647" t="s">
        <v>1653</v>
      </c>
      <c r="M333" s="1648">
        <v>5.2531000000000001E-2</v>
      </c>
      <c r="N333" s="1649">
        <v>1.1212484262900666</v>
      </c>
      <c r="O333" s="1649">
        <v>1.1212484262900666</v>
      </c>
    </row>
    <row r="334" spans="2:15">
      <c r="B334" s="1463">
        <v>42583</v>
      </c>
      <c r="C334" s="1464">
        <v>655.60199999999998</v>
      </c>
      <c r="D334" s="1464">
        <v>4736.74</v>
      </c>
      <c r="E334" s="1464">
        <v>1.0121522028999232</v>
      </c>
      <c r="F334" s="1464">
        <v>45.504508172563916</v>
      </c>
      <c r="K334" s="1646">
        <v>42391</v>
      </c>
      <c r="L334" s="1647" t="s">
        <v>1653</v>
      </c>
      <c r="M334" s="1648">
        <v>5.2531000000000001E-2</v>
      </c>
      <c r="N334" s="1649">
        <v>1.121837429300881</v>
      </c>
      <c r="O334" s="1649">
        <v>1.121837429300881</v>
      </c>
    </row>
    <row r="335" spans="2:15">
      <c r="B335" s="1463">
        <v>42614</v>
      </c>
      <c r="C335" s="1464">
        <v>656.89400000000001</v>
      </c>
      <c r="D335" s="1464">
        <v>4740.53</v>
      </c>
      <c r="E335" s="1464">
        <v>1.0110896528780247</v>
      </c>
      <c r="F335" s="1464">
        <v>46.009137372582884</v>
      </c>
      <c r="K335" s="1646">
        <v>42392</v>
      </c>
      <c r="L335" s="1647"/>
      <c r="M335" s="1648">
        <v>0</v>
      </c>
      <c r="N335" s="1649">
        <v>1.121837429300881</v>
      </c>
      <c r="O335" s="1649">
        <v>1.121837429300881</v>
      </c>
    </row>
    <row r="336" spans="2:15">
      <c r="B336" s="1463">
        <v>42644</v>
      </c>
      <c r="C336" s="1464">
        <v>657.92700000000002</v>
      </c>
      <c r="D336" s="1464">
        <v>4752.8599999999997</v>
      </c>
      <c r="E336" s="1464">
        <v>1.0104884196148551</v>
      </c>
      <c r="F336" s="1464">
        <v>46.491700511464046</v>
      </c>
      <c r="K336" s="1646">
        <v>42393</v>
      </c>
      <c r="L336" s="1647"/>
      <c r="M336" s="1648">
        <v>0</v>
      </c>
      <c r="N336" s="1649">
        <v>1.121837429300881</v>
      </c>
      <c r="O336" s="1649">
        <v>1.121837429300881</v>
      </c>
    </row>
    <row r="337" spans="2:15">
      <c r="B337" s="1463">
        <v>42675</v>
      </c>
      <c r="C337" s="1464">
        <v>657.75199999999995</v>
      </c>
      <c r="D337" s="1464">
        <v>4761.42</v>
      </c>
      <c r="E337" s="1464">
        <v>1.0103828638714687</v>
      </c>
      <c r="F337" s="1464">
        <v>46.974417509027667</v>
      </c>
      <c r="K337" s="1646">
        <v>42394</v>
      </c>
      <c r="L337" s="1647" t="s">
        <v>1653</v>
      </c>
      <c r="M337" s="1648">
        <v>5.2531000000000001E-2</v>
      </c>
      <c r="N337" s="1649">
        <v>1.1224267417208671</v>
      </c>
      <c r="O337" s="1649">
        <v>1.1224267417208671</v>
      </c>
    </row>
    <row r="338" spans="2:15">
      <c r="B338" s="1463">
        <v>42705</v>
      </c>
      <c r="C338" s="1464">
        <v>661.30399999999997</v>
      </c>
      <c r="D338" s="1464">
        <v>4775.7</v>
      </c>
      <c r="E338" s="1464">
        <v>1.0112331468569866</v>
      </c>
      <c r="F338" s="1464">
        <v>47.502088039427981</v>
      </c>
      <c r="K338" s="1646">
        <v>42395</v>
      </c>
      <c r="L338" s="1647" t="s">
        <v>1653</v>
      </c>
      <c r="M338" s="1648">
        <v>5.2531000000000001E-2</v>
      </c>
      <c r="N338" s="1649">
        <v>1.1230163637125605</v>
      </c>
      <c r="O338" s="1649">
        <v>1.1230163637125605</v>
      </c>
    </row>
    <row r="339" spans="2:15">
      <c r="B339" s="1463">
        <v>42736</v>
      </c>
      <c r="C339" s="1464">
        <v>665.54200000000003</v>
      </c>
      <c r="D339" s="1464">
        <v>4793.8500000000004</v>
      </c>
      <c r="E339" s="1464">
        <v>1.0108612048503447</v>
      </c>
      <c r="F339" s="1464">
        <v>48.018017948443315</v>
      </c>
      <c r="K339" s="1646">
        <v>42396</v>
      </c>
      <c r="L339" s="1647" t="s">
        <v>1653</v>
      </c>
      <c r="M339" s="1648">
        <v>5.2531000000000001E-2</v>
      </c>
      <c r="N339" s="1649">
        <v>1.1236062954385824</v>
      </c>
      <c r="O339" s="1649">
        <v>1.1236062954385824</v>
      </c>
    </row>
    <row r="340" spans="2:15">
      <c r="B340" s="1463">
        <v>42767</v>
      </c>
      <c r="C340" s="1464">
        <v>666.09900000000005</v>
      </c>
      <c r="D340" s="1464">
        <v>4809.67</v>
      </c>
      <c r="E340" s="1464">
        <v>1.0086508422083289</v>
      </c>
      <c r="F340" s="1464">
        <v>48.433414244872004</v>
      </c>
      <c r="K340" s="1646">
        <v>42397</v>
      </c>
      <c r="L340" s="1647" t="s">
        <v>1653</v>
      </c>
      <c r="M340" s="1648">
        <v>5.2531000000000001E-2</v>
      </c>
      <c r="N340" s="1649">
        <v>1.1241965370616391</v>
      </c>
      <c r="O340" s="1649">
        <v>1.1241965370616391</v>
      </c>
    </row>
    <row r="341" spans="2:15">
      <c r="B341" s="1463">
        <v>42795</v>
      </c>
      <c r="C341" s="1464">
        <v>666.197</v>
      </c>
      <c r="D341" s="1464">
        <v>4821.6899999999996</v>
      </c>
      <c r="E341" s="1464">
        <v>1.0105205646045978</v>
      </c>
      <c r="F341" s="1464">
        <v>48.94296110845643</v>
      </c>
      <c r="K341" s="1646">
        <v>42398</v>
      </c>
      <c r="L341" s="1647" t="s">
        <v>1653</v>
      </c>
      <c r="M341" s="1648">
        <v>5.2531000000000001E-2</v>
      </c>
      <c r="N341" s="1649">
        <v>1.124787088744523</v>
      </c>
      <c r="O341" s="1649">
        <v>1.124787088744523</v>
      </c>
    </row>
    <row r="342" spans="2:15">
      <c r="B342" s="1463">
        <v>42826</v>
      </c>
      <c r="C342" s="1464">
        <v>658.89800000000002</v>
      </c>
      <c r="D342" s="1464">
        <v>4828.4399999999996</v>
      </c>
      <c r="E342" s="1464">
        <v>1.0078658059100756</v>
      </c>
      <c r="F342" s="1464">
        <v>49.327936941199923</v>
      </c>
      <c r="K342" s="1646">
        <v>42399</v>
      </c>
      <c r="L342" s="1647"/>
      <c r="M342" s="1648">
        <v>0</v>
      </c>
      <c r="N342" s="1649">
        <v>1.124787088744523</v>
      </c>
      <c r="O342" s="1649">
        <v>1.124787088744523</v>
      </c>
    </row>
    <row r="343" spans="2:15">
      <c r="B343" s="1463">
        <v>42856</v>
      </c>
      <c r="C343" s="1464">
        <v>652.75800000000004</v>
      </c>
      <c r="D343" s="1464">
        <v>4843.41</v>
      </c>
      <c r="E343" s="1464">
        <v>1.0092713189779878</v>
      </c>
      <c r="F343" s="1464">
        <v>49.785271979107854</v>
      </c>
      <c r="K343" s="1646">
        <v>42400</v>
      </c>
      <c r="L343" s="1647"/>
      <c r="M343" s="1648">
        <v>0</v>
      </c>
      <c r="N343" s="1649">
        <v>1.124787088744523</v>
      </c>
      <c r="O343" s="1649">
        <v>1.124787088744523</v>
      </c>
    </row>
    <row r="344" spans="2:15">
      <c r="B344" s="1463">
        <v>42887</v>
      </c>
      <c r="C344" s="1464">
        <v>648.40899999999999</v>
      </c>
      <c r="D344" s="1464">
        <v>4832.2700000000004</v>
      </c>
      <c r="E344" s="1464">
        <v>1.0080886926571575</v>
      </c>
      <c r="F344" s="1464">
        <v>50.187969742999854</v>
      </c>
      <c r="K344" s="1646">
        <v>42401</v>
      </c>
      <c r="L344" s="1647" t="s">
        <v>1653</v>
      </c>
      <c r="M344" s="1648">
        <v>5.2531000000000001E-2</v>
      </c>
      <c r="N344" s="1649">
        <v>1.1253779506501114</v>
      </c>
      <c r="O344" s="1649">
        <v>1.1253779506501114</v>
      </c>
    </row>
    <row r="345" spans="2:15">
      <c r="B345" s="1463">
        <v>42917</v>
      </c>
      <c r="C345" s="1464">
        <v>643.76599999999996</v>
      </c>
      <c r="D345" s="1464">
        <v>4843.87</v>
      </c>
      <c r="E345" s="1464">
        <v>1.0079792299470567</v>
      </c>
      <c r="F345" s="1464">
        <v>50.588431094155176</v>
      </c>
      <c r="K345" s="1646">
        <v>42402</v>
      </c>
      <c r="L345" s="1647" t="s">
        <v>1653</v>
      </c>
      <c r="M345" s="1648">
        <v>5.2531000000000001E-2</v>
      </c>
      <c r="N345" s="1649">
        <v>1.1259691229413673</v>
      </c>
      <c r="O345" s="1649">
        <v>1.1259691229413673</v>
      </c>
    </row>
    <row r="346" spans="2:15">
      <c r="B346" s="1463">
        <v>42948</v>
      </c>
      <c r="C346" s="1464">
        <v>644.38300000000004</v>
      </c>
      <c r="D346" s="1464">
        <v>4853.07</v>
      </c>
      <c r="E346" s="1464">
        <v>1.0080228940119034</v>
      </c>
      <c r="F346" s="1464">
        <v>50.994296715052059</v>
      </c>
      <c r="K346" s="1646">
        <v>42403</v>
      </c>
      <c r="L346" s="1647" t="s">
        <v>1653</v>
      </c>
      <c r="M346" s="1648">
        <v>5.2531000000000001E-2</v>
      </c>
      <c r="N346" s="1649">
        <v>1.1265606057813395</v>
      </c>
      <c r="O346" s="1649">
        <v>1.1265606057813395</v>
      </c>
    </row>
    <row r="347" spans="2:15">
      <c r="B347" s="1463">
        <v>42979</v>
      </c>
      <c r="C347" s="1464">
        <v>647.4</v>
      </c>
      <c r="D347" s="1464">
        <v>4860.83</v>
      </c>
      <c r="E347" s="1464">
        <v>1.0063846003708505</v>
      </c>
      <c r="F347" s="1464">
        <v>51.319874920770239</v>
      </c>
      <c r="K347" s="1646">
        <v>42404</v>
      </c>
      <c r="L347" s="1647" t="s">
        <v>1653</v>
      </c>
      <c r="M347" s="1648">
        <v>5.2531000000000001E-2</v>
      </c>
      <c r="N347" s="1649">
        <v>1.1271523993331625</v>
      </c>
      <c r="O347" s="1649">
        <v>1.1271523993331625</v>
      </c>
    </row>
    <row r="348" spans="2:15">
      <c r="B348" s="1463">
        <v>43009</v>
      </c>
      <c r="C348" s="1464">
        <v>648.67200000000003</v>
      </c>
      <c r="D348" s="1464">
        <v>4881.25</v>
      </c>
      <c r="E348" s="1464">
        <v>1.0064393014601032</v>
      </c>
      <c r="F348" s="1464">
        <v>51.650339066279869</v>
      </c>
      <c r="K348" s="1646">
        <v>42405</v>
      </c>
      <c r="L348" s="1647" t="s">
        <v>1653</v>
      </c>
      <c r="M348" s="1648">
        <v>5.2531000000000001E-2</v>
      </c>
      <c r="N348" s="1649">
        <v>1.1277445037600562</v>
      </c>
      <c r="O348" s="1649">
        <v>1.1277445037600562</v>
      </c>
    </row>
    <row r="349" spans="2:15">
      <c r="B349" s="1463">
        <v>43040</v>
      </c>
      <c r="C349" s="1464">
        <v>652.07299999999998</v>
      </c>
      <c r="D349" s="1464">
        <v>4894.92</v>
      </c>
      <c r="E349" s="1464">
        <v>1.0056818783789492</v>
      </c>
      <c r="F349" s="1464">
        <v>51.943810011085958</v>
      </c>
      <c r="K349" s="1646">
        <v>42406</v>
      </c>
      <c r="L349" s="1647"/>
      <c r="M349" s="1648">
        <v>0</v>
      </c>
      <c r="N349" s="1649">
        <v>1.1277445037600562</v>
      </c>
      <c r="O349" s="1649">
        <v>1.1277445037600562</v>
      </c>
    </row>
    <row r="350" spans="2:15">
      <c r="B350" s="1463">
        <v>43070</v>
      </c>
      <c r="C350" s="1464">
        <v>657.85900000000004</v>
      </c>
      <c r="D350" s="1464">
        <v>4916.46</v>
      </c>
      <c r="E350" s="1464">
        <v>1.0053840004998948</v>
      </c>
      <c r="F350" s="1464">
        <v>52.223475510152085</v>
      </c>
      <c r="K350" s="1646">
        <v>42407</v>
      </c>
      <c r="L350" s="1647"/>
      <c r="M350" s="1648">
        <v>0</v>
      </c>
      <c r="N350" s="1649">
        <v>1.1277445037600562</v>
      </c>
      <c r="O350" s="1649">
        <v>1.1277445037600562</v>
      </c>
    </row>
    <row r="351" spans="2:15">
      <c r="B351" s="1463">
        <v>43101</v>
      </c>
      <c r="C351" s="1464">
        <v>662.82600000000002</v>
      </c>
      <c r="D351" s="1464">
        <v>4930.72</v>
      </c>
      <c r="E351" s="1464">
        <v>1.0058420473548675</v>
      </c>
      <c r="F351" s="1464">
        <v>52.528567527118156</v>
      </c>
      <c r="K351" s="1646">
        <v>42408</v>
      </c>
      <c r="L351" s="1647"/>
      <c r="M351" s="1648">
        <v>0</v>
      </c>
      <c r="N351" s="1649">
        <v>1.1277445037600562</v>
      </c>
      <c r="O351" s="1649">
        <v>1.1277445037600562</v>
      </c>
    </row>
    <row r="352" spans="2:15">
      <c r="B352" s="1463">
        <v>43132</v>
      </c>
      <c r="C352" s="1464">
        <v>663.31100000000004</v>
      </c>
      <c r="D352" s="1464">
        <v>4946.5</v>
      </c>
      <c r="E352" s="1464">
        <v>1.0046560161193037</v>
      </c>
      <c r="F352" s="1464">
        <v>52.773141384248348</v>
      </c>
      <c r="K352" s="1646">
        <v>42409</v>
      </c>
      <c r="L352" s="1647"/>
      <c r="M352" s="1648">
        <v>0</v>
      </c>
      <c r="N352" s="1649">
        <v>1.1277445037600562</v>
      </c>
      <c r="O352" s="1649">
        <v>1.1277445037600562</v>
      </c>
    </row>
    <row r="353" spans="2:15">
      <c r="B353" s="1463">
        <v>43160</v>
      </c>
      <c r="C353" s="1464">
        <v>667.524</v>
      </c>
      <c r="D353" s="1464">
        <v>4950.95</v>
      </c>
      <c r="E353" s="1464">
        <v>1.0053234480536677</v>
      </c>
      <c r="F353" s="1464">
        <v>53.054076461036253</v>
      </c>
      <c r="K353" s="1646">
        <v>42410</v>
      </c>
      <c r="L353" s="1647" t="s">
        <v>1653</v>
      </c>
      <c r="M353" s="1648">
        <v>5.2531000000000001E-2</v>
      </c>
      <c r="N353" s="1649">
        <v>1.1283369192253263</v>
      </c>
      <c r="O353" s="1649">
        <v>1.1283369192253263</v>
      </c>
    </row>
    <row r="354" spans="2:15">
      <c r="B354" s="1463">
        <v>43191</v>
      </c>
      <c r="C354" s="1464">
        <v>671.327</v>
      </c>
      <c r="D354" s="1464">
        <v>4961.84</v>
      </c>
      <c r="E354" s="1464">
        <v>1.0051829489023658</v>
      </c>
      <c r="F354" s="1464">
        <v>53.329053028396011</v>
      </c>
      <c r="K354" s="1646">
        <v>42411</v>
      </c>
      <c r="L354" s="1647" t="s">
        <v>1653</v>
      </c>
      <c r="M354" s="1648">
        <v>5.2531000000000001E-2</v>
      </c>
      <c r="N354" s="1649">
        <v>1.1289296458923646</v>
      </c>
      <c r="O354" s="1649">
        <v>1.1289296458923646</v>
      </c>
    </row>
    <row r="355" spans="2:15">
      <c r="B355" s="1463">
        <v>43221</v>
      </c>
      <c r="C355" s="1464">
        <v>680.57899999999995</v>
      </c>
      <c r="D355" s="1464">
        <v>4981.6899999999996</v>
      </c>
      <c r="E355" s="1464">
        <v>1.0051829489023656</v>
      </c>
      <c r="F355" s="1464">
        <v>53.605454785253734</v>
      </c>
      <c r="G355" s="502"/>
      <c r="K355" s="1646">
        <v>42412</v>
      </c>
      <c r="L355" s="1647" t="s">
        <v>1653</v>
      </c>
      <c r="M355" s="1648">
        <v>5.2531000000000001E-2</v>
      </c>
      <c r="N355" s="1649">
        <v>1.1295226839246482</v>
      </c>
      <c r="O355" s="1649">
        <v>1.1295226839246482</v>
      </c>
    </row>
    <row r="356" spans="2:15">
      <c r="B356" s="1463">
        <v>43252</v>
      </c>
      <c r="C356" s="1464">
        <v>693.28700000000003</v>
      </c>
      <c r="D356" s="1464">
        <v>5044.46</v>
      </c>
      <c r="E356" s="1464">
        <v>1.0051829489023654</v>
      </c>
      <c r="F356" s="1464">
        <v>53.88328911829376</v>
      </c>
      <c r="G356" s="10"/>
      <c r="I356" s="10"/>
      <c r="K356" s="1646">
        <v>42413</v>
      </c>
      <c r="L356" s="1647"/>
      <c r="M356" s="1648">
        <v>0</v>
      </c>
      <c r="N356" s="1649">
        <v>1.1295226839246482</v>
      </c>
      <c r="O356" s="1649">
        <v>1.1295226839246482</v>
      </c>
    </row>
    <row r="357" spans="2:15">
      <c r="B357" s="1463">
        <v>43282</v>
      </c>
      <c r="C357" s="1464">
        <v>696.8</v>
      </c>
      <c r="D357" s="1464">
        <v>5061.1099999999997</v>
      </c>
      <c r="E357" s="1464">
        <v>1.0054304249443857</v>
      </c>
      <c r="F357" s="1464">
        <v>54.175898275607288</v>
      </c>
      <c r="G357" s="10"/>
      <c r="K357" s="1646">
        <v>42414</v>
      </c>
      <c r="L357" s="1647"/>
      <c r="M357" s="1648">
        <v>0</v>
      </c>
      <c r="N357" s="1649">
        <v>1.1295226839246482</v>
      </c>
      <c r="O357" s="1649">
        <v>1.1295226839246482</v>
      </c>
    </row>
    <row r="358" spans="2:15">
      <c r="B358" s="1463">
        <v>43313</v>
      </c>
      <c r="C358" s="1464">
        <v>701.67700000000002</v>
      </c>
      <c r="D358" s="1464">
        <v>5056.5600000000004</v>
      </c>
      <c r="E358" s="1464">
        <v>1.0056779619150069</v>
      </c>
      <c r="F358" s="1464">
        <v>54.483506962727475</v>
      </c>
      <c r="K358" s="1646">
        <v>42415</v>
      </c>
      <c r="L358" s="1647" t="s">
        <v>1653</v>
      </c>
      <c r="M358" s="1648">
        <v>5.2531000000000001E-2</v>
      </c>
      <c r="N358" s="1649">
        <v>1.1301160334857405</v>
      </c>
      <c r="O358" s="1649">
        <v>1.1301160334857405</v>
      </c>
    </row>
    <row r="359" spans="2:15">
      <c r="B359" s="1463">
        <v>43344</v>
      </c>
      <c r="C359" s="1464">
        <v>712.37300000000005</v>
      </c>
      <c r="D359" s="1464">
        <v>5080.83</v>
      </c>
      <c r="E359" s="1464">
        <v>1.0046881795441467</v>
      </c>
      <c r="F359" s="1464">
        <v>54.738935425563504</v>
      </c>
      <c r="K359" s="1646">
        <v>42416</v>
      </c>
      <c r="L359" s="1647" t="s">
        <v>1653</v>
      </c>
      <c r="M359" s="1648">
        <v>5.2531000000000001E-2</v>
      </c>
      <c r="N359" s="1649">
        <v>1.1307096947392909</v>
      </c>
      <c r="O359" s="1649">
        <v>1.1307096947392909</v>
      </c>
    </row>
    <row r="360" spans="2:15">
      <c r="B360" s="1463">
        <v>43374</v>
      </c>
      <c r="C360" s="1464">
        <v>718.68399999999997</v>
      </c>
      <c r="D360" s="1464">
        <v>5103.6899999999996</v>
      </c>
      <c r="E360" s="1464">
        <v>1.0054304249443855</v>
      </c>
      <c r="F360" s="1464">
        <v>55.036191105927593</v>
      </c>
      <c r="K360" s="1646">
        <v>42417</v>
      </c>
      <c r="L360" s="1647" t="s">
        <v>1653</v>
      </c>
      <c r="M360" s="1648">
        <v>5.2531000000000001E-2</v>
      </c>
      <c r="N360" s="1649">
        <v>1.1313036678490345</v>
      </c>
      <c r="O360" s="1649">
        <v>1.1313036678490345</v>
      </c>
    </row>
    <row r="361" spans="2:15">
      <c r="B361" s="1463">
        <v>43405</v>
      </c>
      <c r="C361" s="1464">
        <v>715.16600000000005</v>
      </c>
      <c r="D361" s="1464">
        <v>5092.97</v>
      </c>
      <c r="E361" s="1464">
        <v>1.0049355337739507</v>
      </c>
      <c r="F361" s="1464">
        <v>55.307824085920508</v>
      </c>
      <c r="K361" s="1646">
        <v>42418</v>
      </c>
      <c r="L361" s="1647" t="s">
        <v>1653</v>
      </c>
      <c r="M361" s="1648">
        <v>5.2531000000000001E-2</v>
      </c>
      <c r="N361" s="1649">
        <v>1.1318979529787923</v>
      </c>
      <c r="O361" s="1649">
        <v>1.1318979529787923</v>
      </c>
    </row>
    <row r="362" spans="2:15">
      <c r="B362" s="1463">
        <v>43435</v>
      </c>
      <c r="C362" s="1464">
        <v>707.44100000000003</v>
      </c>
      <c r="D362" s="1464">
        <v>5100.6099999999997</v>
      </c>
      <c r="E362" s="1464">
        <v>1.0049355337739507</v>
      </c>
      <c r="F362" s="1464">
        <v>55.580797719660296</v>
      </c>
      <c r="K362" s="1646">
        <v>42419</v>
      </c>
      <c r="L362" s="1647" t="s">
        <v>1653</v>
      </c>
      <c r="M362" s="1648">
        <v>5.2531000000000001E-2</v>
      </c>
      <c r="N362" s="1649">
        <v>1.1324925502924716</v>
      </c>
      <c r="O362" s="1649">
        <v>1.1324925502924716</v>
      </c>
    </row>
    <row r="363" spans="2:15">
      <c r="B363" s="1463">
        <v>43466</v>
      </c>
      <c r="C363" s="1464">
        <v>707.48800000000006</v>
      </c>
      <c r="D363" s="1464">
        <v>5116.93</v>
      </c>
      <c r="E363" s="1464">
        <v>1.0054304249443855</v>
      </c>
      <c r="F363" s="1464">
        <v>55.882625070025988</v>
      </c>
      <c r="K363" s="1646">
        <v>42420</v>
      </c>
      <c r="L363" s="1647"/>
      <c r="M363" s="1648">
        <v>0</v>
      </c>
      <c r="N363" s="1649">
        <v>1.1324925502924716</v>
      </c>
      <c r="O363" s="1649">
        <v>1.1324925502924716</v>
      </c>
    </row>
    <row r="364" spans="2:15">
      <c r="B364" s="1463">
        <v>43497</v>
      </c>
      <c r="C364" s="1464">
        <v>713.74699999999996</v>
      </c>
      <c r="D364" s="1464">
        <v>5138.93</v>
      </c>
      <c r="E364" s="1464">
        <v>1.0049355337739507</v>
      </c>
      <c r="F364" s="1464">
        <v>56.158435653436129</v>
      </c>
      <c r="K364" s="1646">
        <v>42421</v>
      </c>
      <c r="L364" s="1647"/>
      <c r="M364" s="1648">
        <v>0</v>
      </c>
      <c r="N364" s="1649">
        <v>1.1324925502924716</v>
      </c>
      <c r="O364" s="1649">
        <v>1.1324925502924716</v>
      </c>
    </row>
    <row r="365" spans="2:15">
      <c r="B365" s="1463">
        <v>43525</v>
      </c>
      <c r="C365" s="1464">
        <v>722.70699999999999</v>
      </c>
      <c r="D365" s="1464">
        <v>5177.47</v>
      </c>
      <c r="E365" s="1464">
        <v>1.0046881795441467</v>
      </c>
      <c r="F365" s="1464">
        <v>56.421716482697846</v>
      </c>
      <c r="K365" s="1646">
        <v>42422</v>
      </c>
      <c r="L365" s="1647" t="s">
        <v>1653</v>
      </c>
      <c r="M365" s="1648">
        <v>5.2531000000000001E-2</v>
      </c>
      <c r="N365" s="1649">
        <v>1.1330874599540657</v>
      </c>
      <c r="O365" s="1649">
        <v>1.1330874599540657</v>
      </c>
    </row>
    <row r="366" spans="2:15">
      <c r="B366" s="1463">
        <v>43556</v>
      </c>
      <c r="C366" s="1464">
        <v>729.346</v>
      </c>
      <c r="D366" s="1464">
        <v>5206.9799999999996</v>
      </c>
      <c r="E366" s="1464">
        <v>1.0051829489023654</v>
      </c>
      <c r="F366" s="1464">
        <v>56.714147356211413</v>
      </c>
      <c r="K366" s="1646">
        <v>42423</v>
      </c>
      <c r="L366" s="1647" t="s">
        <v>1653</v>
      </c>
      <c r="M366" s="1648">
        <v>5.2531000000000001E-2</v>
      </c>
      <c r="N366" s="1649">
        <v>1.1336826821276542</v>
      </c>
      <c r="O366" s="1649">
        <v>1.1336826821276542</v>
      </c>
    </row>
    <row r="367" spans="2:15">
      <c r="B367" s="1463">
        <v>43586</v>
      </c>
      <c r="C367" s="1464">
        <v>732.59500000000003</v>
      </c>
      <c r="D367" s="1464">
        <v>5213.75</v>
      </c>
      <c r="E367" s="1464">
        <v>1.0054304249443855</v>
      </c>
      <c r="F367" s="1464">
        <v>57.022129276714139</v>
      </c>
      <c r="K367" s="1646">
        <v>42424</v>
      </c>
      <c r="L367" s="1647" t="s">
        <v>1653</v>
      </c>
      <c r="M367" s="1648">
        <v>5.2531000000000001E-2</v>
      </c>
      <c r="N367" s="1649">
        <v>1.1342782169774026</v>
      </c>
      <c r="O367" s="1649">
        <v>1.1342782169774026</v>
      </c>
    </row>
    <row r="368" spans="2:15">
      <c r="B368" s="1463">
        <v>43617</v>
      </c>
      <c r="C368" s="1464">
        <v>738.42100000000005</v>
      </c>
      <c r="D368" s="1464">
        <v>5214.2700000000004</v>
      </c>
      <c r="E368" s="1464">
        <v>1.0046881795441465</v>
      </c>
      <c r="F368" s="1464">
        <v>57.289459256752906</v>
      </c>
      <c r="K368" s="1646">
        <v>42425</v>
      </c>
      <c r="L368" s="1647" t="s">
        <v>1653</v>
      </c>
      <c r="M368" s="1648">
        <v>5.2531000000000001E-2</v>
      </c>
      <c r="N368" s="1649">
        <v>1.134874064667563</v>
      </c>
      <c r="O368" s="1649">
        <v>1.134874064667563</v>
      </c>
    </row>
    <row r="369" spans="2:15">
      <c r="B369" s="1463">
        <v>43647</v>
      </c>
      <c r="C369" s="1464">
        <v>741.346</v>
      </c>
      <c r="D369" s="1464">
        <v>5224.18</v>
      </c>
      <c r="E369" s="1464">
        <v>1.0056779619150069</v>
      </c>
      <c r="F369" s="1464">
        <v>57.61474662454409</v>
      </c>
      <c r="K369" s="1646">
        <v>42426</v>
      </c>
      <c r="L369" s="1647" t="s">
        <v>1653</v>
      </c>
      <c r="M369" s="1648">
        <v>5.2531000000000001E-2</v>
      </c>
      <c r="N369" s="1649">
        <v>1.1354702253624736</v>
      </c>
      <c r="O369" s="1649">
        <v>1.1354702253624736</v>
      </c>
    </row>
    <row r="370" spans="2:15">
      <c r="B370" s="1463">
        <v>43678</v>
      </c>
      <c r="C370" s="1464">
        <v>736.40200000000004</v>
      </c>
      <c r="D370" s="1464">
        <v>5229.93</v>
      </c>
      <c r="E370" s="1464">
        <v>1.0050171948996307</v>
      </c>
      <c r="F370" s="1464">
        <v>57.903811037452265</v>
      </c>
      <c r="K370" s="1646">
        <v>42427</v>
      </c>
      <c r="L370" s="1647"/>
      <c r="M370" s="1648">
        <v>0</v>
      </c>
      <c r="N370" s="1649">
        <v>1.1354702253624736</v>
      </c>
      <c r="O370" s="1649">
        <v>1.1354702253624736</v>
      </c>
    </row>
    <row r="371" spans="2:15">
      <c r="B371" s="1463">
        <v>43709</v>
      </c>
      <c r="C371" s="1464">
        <v>736.36199999999997</v>
      </c>
      <c r="D371" s="1464">
        <v>5227.84</v>
      </c>
      <c r="E371" s="1464">
        <v>1.0046375999081099</v>
      </c>
      <c r="F371" s="1464">
        <v>58.172345746198765</v>
      </c>
      <c r="K371" s="1646">
        <v>42428</v>
      </c>
      <c r="L371" s="1647"/>
      <c r="M371" s="1648">
        <v>0</v>
      </c>
      <c r="N371" s="1649">
        <v>1.1354702253624736</v>
      </c>
      <c r="O371" s="1649">
        <v>1.1354702253624736</v>
      </c>
    </row>
    <row r="372" spans="2:15">
      <c r="B372" s="1463">
        <v>43739</v>
      </c>
      <c r="C372" s="1464">
        <v>741.33299999999997</v>
      </c>
      <c r="D372" s="1464">
        <v>5233.07</v>
      </c>
      <c r="E372" s="1464">
        <v>1.0047926409835022</v>
      </c>
      <c r="F372" s="1464">
        <v>58.451144914528456</v>
      </c>
      <c r="K372" s="1646">
        <v>42429</v>
      </c>
      <c r="L372" s="1647" t="s">
        <v>1653</v>
      </c>
      <c r="M372" s="1648">
        <v>5.2531000000000001E-2</v>
      </c>
      <c r="N372" s="1649">
        <v>1.1360666992265587</v>
      </c>
      <c r="O372" s="1649">
        <v>1.1360666992265587</v>
      </c>
    </row>
    <row r="373" spans="2:15">
      <c r="B373" s="1463">
        <v>43770</v>
      </c>
      <c r="C373" s="1464">
        <v>743.55799999999999</v>
      </c>
      <c r="D373" s="1464">
        <v>5259.76</v>
      </c>
      <c r="E373" s="1464">
        <v>1.0038038559813272</v>
      </c>
      <c r="F373" s="1464">
        <v>58.673484651727009</v>
      </c>
      <c r="K373" s="1646">
        <v>42430</v>
      </c>
      <c r="L373" s="1647" t="s">
        <v>1653</v>
      </c>
      <c r="M373" s="1648">
        <v>5.2531000000000001E-2</v>
      </c>
      <c r="N373" s="1649">
        <v>1.1366634864243295</v>
      </c>
      <c r="O373" s="1649">
        <v>1.1366634864243295</v>
      </c>
    </row>
    <row r="374" spans="2:15">
      <c r="B374" s="1463">
        <v>43800</v>
      </c>
      <c r="C374" s="1464">
        <v>759.11199999999997</v>
      </c>
      <c r="D374" s="1464">
        <v>5320.25</v>
      </c>
      <c r="E374" s="1464">
        <v>1.0037470387078873</v>
      </c>
      <c r="F374" s="1464">
        <v>58.893336469843661</v>
      </c>
      <c r="K374" s="1646">
        <v>42431</v>
      </c>
      <c r="L374" s="1647" t="s">
        <v>1653</v>
      </c>
      <c r="M374" s="1648">
        <v>5.2531000000000001E-2</v>
      </c>
      <c r="N374" s="1649">
        <v>1.1372605871203831</v>
      </c>
      <c r="O374" s="1649">
        <v>1.1372605871203831</v>
      </c>
    </row>
    <row r="375" spans="2:15">
      <c r="B375" s="1463">
        <v>43831</v>
      </c>
      <c r="C375" s="1464">
        <v>762.73299999999995</v>
      </c>
      <c r="D375" s="1464">
        <v>5331.42</v>
      </c>
      <c r="E375" s="1464">
        <v>1.00376633367529</v>
      </c>
      <c r="F375" s="1464">
        <v>59.115148426240218</v>
      </c>
      <c r="K375" s="1646">
        <v>42432</v>
      </c>
      <c r="L375" s="1647" t="s">
        <v>1653</v>
      </c>
      <c r="M375" s="1648">
        <v>5.2531000000000001E-2</v>
      </c>
      <c r="N375" s="1649">
        <v>1.1378580014794033</v>
      </c>
      <c r="O375" s="1649">
        <v>1.1378580014794033</v>
      </c>
    </row>
    <row r="376" spans="2:15">
      <c r="B376" s="1463">
        <v>43862</v>
      </c>
      <c r="C376" s="1464">
        <v>762.423</v>
      </c>
      <c r="D376" s="1464">
        <v>5344.75</v>
      </c>
      <c r="E376" s="1464">
        <v>1.0029372863155552</v>
      </c>
      <c r="F376" s="1464">
        <v>59.288786542754629</v>
      </c>
      <c r="K376" s="1646">
        <v>42433</v>
      </c>
      <c r="L376" s="1647" t="s">
        <v>1653</v>
      </c>
      <c r="M376" s="1648">
        <v>5.2531000000000001E-2</v>
      </c>
      <c r="N376" s="1649">
        <v>1.1384557296661604</v>
      </c>
      <c r="O376" s="1649">
        <v>1.1384557296661604</v>
      </c>
    </row>
    <row r="377" spans="2:15">
      <c r="B377" s="1463">
        <v>43891</v>
      </c>
      <c r="C377" s="1464">
        <v>771.90800000000002</v>
      </c>
      <c r="D377" s="1464">
        <v>5348.49</v>
      </c>
      <c r="E377" s="1464">
        <v>1.0033836914846632</v>
      </c>
      <c r="F377" s="1464">
        <v>59.489401504915364</v>
      </c>
      <c r="K377" s="1646">
        <v>42434</v>
      </c>
      <c r="L377" s="1647"/>
      <c r="M377" s="1648">
        <v>0</v>
      </c>
      <c r="N377" s="1649">
        <v>1.1384557296661604</v>
      </c>
      <c r="O377" s="1649">
        <v>1.1384557296661604</v>
      </c>
    </row>
    <row r="378" spans="2:15">
      <c r="B378" s="1463">
        <v>43922</v>
      </c>
      <c r="C378" s="1464">
        <v>778.101</v>
      </c>
      <c r="D378" s="1464">
        <v>5331.91</v>
      </c>
      <c r="E378" s="1464">
        <v>1.0028492490278405</v>
      </c>
      <c r="F378" s="1464">
        <v>59.658901624320052</v>
      </c>
      <c r="K378" s="1646">
        <v>42435</v>
      </c>
      <c r="L378" s="1647"/>
      <c r="M378" s="1648">
        <v>0</v>
      </c>
      <c r="N378" s="1649">
        <v>1.1384557296661604</v>
      </c>
      <c r="O378" s="1649">
        <v>1.1384557296661604</v>
      </c>
    </row>
    <row r="379" spans="2:15">
      <c r="B379" s="1463">
        <v>43952</v>
      </c>
      <c r="C379" s="1464">
        <v>780.28</v>
      </c>
      <c r="D379" s="1464">
        <v>5311.65</v>
      </c>
      <c r="E379" s="1464">
        <v>1.0023580961930716</v>
      </c>
      <c r="F379" s="1464">
        <v>59.799583053123193</v>
      </c>
      <c r="K379" s="1646">
        <v>42436</v>
      </c>
      <c r="L379" s="1647" t="s">
        <v>1653</v>
      </c>
      <c r="M379" s="1648">
        <v>5.2531000000000001E-2</v>
      </c>
      <c r="N379" s="1649">
        <v>1.1390537718455114</v>
      </c>
      <c r="O379" s="1649">
        <v>1.1390537718455114</v>
      </c>
    </row>
    <row r="380" spans="2:15">
      <c r="B380" s="1463">
        <v>43983</v>
      </c>
      <c r="C380" s="1464">
        <v>792.42899999999997</v>
      </c>
      <c r="D380" s="1464">
        <v>5325.46</v>
      </c>
      <c r="E380" s="1464">
        <v>1.0021233217736718</v>
      </c>
      <c r="F380" s="1464">
        <v>59.926556809876388</v>
      </c>
      <c r="K380" s="1646">
        <v>42437</v>
      </c>
      <c r="L380" s="1647" t="s">
        <v>1653</v>
      </c>
      <c r="M380" s="1648">
        <v>5.2531000000000001E-2</v>
      </c>
      <c r="N380" s="1649">
        <v>1.1396521281823995</v>
      </c>
      <c r="O380" s="1649">
        <v>1.1396521281823995</v>
      </c>
    </row>
    <row r="381" spans="2:15">
      <c r="B381" s="1463">
        <v>44013</v>
      </c>
      <c r="C381" s="1464">
        <v>810.08299999999997</v>
      </c>
      <c r="D381" s="1464">
        <v>5344.63</v>
      </c>
      <c r="E381" s="1464">
        <v>1.0019434641302636</v>
      </c>
      <c r="F381" s="1464">
        <v>60.043021923486585</v>
      </c>
      <c r="K381" s="1646">
        <v>42438</v>
      </c>
      <c r="L381" s="1647" t="s">
        <v>1653</v>
      </c>
      <c r="M381" s="1648">
        <v>5.2531000000000001E-2</v>
      </c>
      <c r="N381" s="1649">
        <v>1.1402507988418549</v>
      </c>
      <c r="O381" s="1649">
        <v>1.1402507988418549</v>
      </c>
    </row>
    <row r="382" spans="2:15">
      <c r="B382" s="1463">
        <v>44044</v>
      </c>
      <c r="C382" s="1464">
        <v>832.31299999999999</v>
      </c>
      <c r="D382" s="1464">
        <v>5357.46</v>
      </c>
      <c r="E382" s="1464">
        <v>1.0015988959789295</v>
      </c>
      <c r="F382" s="1464">
        <v>60.13902446980282</v>
      </c>
      <c r="K382" s="1646">
        <v>42439</v>
      </c>
      <c r="L382" s="1647" t="s">
        <v>1653</v>
      </c>
      <c r="M382" s="1648">
        <v>5.2531000000000001E-2</v>
      </c>
      <c r="N382" s="1649">
        <v>1.1408497839889944</v>
      </c>
      <c r="O382" s="1649">
        <v>1.1408497839889944</v>
      </c>
    </row>
    <row r="383" spans="2:15">
      <c r="B383" s="1463">
        <v>44075</v>
      </c>
      <c r="C383" s="1464">
        <v>868.44200000000001</v>
      </c>
      <c r="D383" s="1464">
        <v>5391.75</v>
      </c>
      <c r="E383" s="1464">
        <v>1.0015696620595307</v>
      </c>
      <c r="F383" s="1464">
        <v>60.233422414810256</v>
      </c>
      <c r="K383" s="1646">
        <v>42440</v>
      </c>
      <c r="L383" s="1647" t="s">
        <v>1653</v>
      </c>
      <c r="M383" s="1648">
        <v>5.2531000000000001E-2</v>
      </c>
      <c r="N383" s="1649">
        <v>1.1414490837890217</v>
      </c>
      <c r="O383" s="1649">
        <v>1.1414490837890217</v>
      </c>
    </row>
    <row r="384" spans="2:15">
      <c r="B384" s="1463">
        <v>44105</v>
      </c>
      <c r="C384" s="1464">
        <v>896.505</v>
      </c>
      <c r="D384" s="1464">
        <v>5438.12</v>
      </c>
      <c r="E384" s="1464">
        <v>1.00156966205953</v>
      </c>
      <c r="F384" s="1464">
        <v>60.327968532690427</v>
      </c>
      <c r="K384" s="1646">
        <v>42441</v>
      </c>
      <c r="L384" s="1647"/>
      <c r="M384" s="1648">
        <v>0</v>
      </c>
      <c r="N384" s="1649">
        <v>1.1414490837890217</v>
      </c>
      <c r="O384" s="1649">
        <v>1.1414490837890217</v>
      </c>
    </row>
    <row r="385" spans="2:15">
      <c r="B385" s="1463">
        <v>44136</v>
      </c>
      <c r="C385" s="1464">
        <v>925.88699999999994</v>
      </c>
      <c r="D385" s="1464">
        <v>5486.52</v>
      </c>
      <c r="E385" s="1464">
        <v>1.0014948604084073</v>
      </c>
      <c r="F385" s="1464">
        <v>60.418150424369585</v>
      </c>
      <c r="K385" s="1646">
        <v>42442</v>
      </c>
      <c r="L385" s="1647"/>
      <c r="M385" s="1648">
        <v>0</v>
      </c>
      <c r="N385" s="1649">
        <v>1.1414490837890217</v>
      </c>
      <c r="O385" s="1649">
        <v>1.1414490837890217</v>
      </c>
    </row>
    <row r="386" spans="2:15">
      <c r="B386" s="1463">
        <v>44166</v>
      </c>
      <c r="C386" s="1464">
        <v>934.75800000000004</v>
      </c>
      <c r="D386" s="1464">
        <v>5560.59</v>
      </c>
      <c r="E386" s="1464">
        <v>1.0016444692975899</v>
      </c>
      <c r="F386" s="1464">
        <v>60.517506217759632</v>
      </c>
      <c r="K386" s="1646">
        <v>42443</v>
      </c>
      <c r="L386" s="1647" t="s">
        <v>1653</v>
      </c>
      <c r="M386" s="1648">
        <v>5.2531000000000001E-2</v>
      </c>
      <c r="N386" s="1649">
        <v>1.1420486984072269</v>
      </c>
      <c r="O386" s="1649">
        <v>1.1420486984072269</v>
      </c>
    </row>
    <row r="387" spans="2:15">
      <c r="B387" s="1463">
        <v>44197</v>
      </c>
      <c r="C387" s="1464">
        <v>958.84400000000005</v>
      </c>
      <c r="D387" s="1464">
        <v>5574.49</v>
      </c>
      <c r="E387" s="1464">
        <v>1.0014948604084077</v>
      </c>
      <c r="F387" s="1464">
        <v>60.607971441820126</v>
      </c>
      <c r="K387" s="1646">
        <v>42444</v>
      </c>
      <c r="L387" s="1647" t="s">
        <v>1653</v>
      </c>
      <c r="M387" s="1648">
        <v>5.2531000000000001E-2</v>
      </c>
      <c r="N387" s="1649">
        <v>1.1426486280089871</v>
      </c>
      <c r="O387" s="1649">
        <v>1.1426486280089871</v>
      </c>
    </row>
    <row r="388" spans="2:15">
      <c r="B388" s="1463">
        <v>44228</v>
      </c>
      <c r="C388" s="1464">
        <v>983.06299999999999</v>
      </c>
      <c r="D388" s="1464">
        <v>5622.43</v>
      </c>
      <c r="E388" s="1464">
        <v>1.0013452738652961</v>
      </c>
      <c r="F388" s="1464">
        <v>60.689505761829423</v>
      </c>
      <c r="K388" s="1646">
        <v>42445</v>
      </c>
      <c r="L388" s="1647" t="s">
        <v>1653</v>
      </c>
      <c r="M388" s="1648">
        <v>5.2531000000000001E-2</v>
      </c>
      <c r="N388" s="1649">
        <v>1.1432488727597665</v>
      </c>
      <c r="O388" s="1649">
        <v>1.1432488727597665</v>
      </c>
    </row>
    <row r="389" spans="2:15">
      <c r="B389" s="1463">
        <v>44256</v>
      </c>
      <c r="C389" s="1464">
        <v>1011.948</v>
      </c>
      <c r="D389" s="1464">
        <v>5674.72</v>
      </c>
      <c r="E389" s="1464">
        <v>1.0020107988327946</v>
      </c>
      <c r="F389" s="1464">
        <v>60.811540149178192</v>
      </c>
      <c r="K389" s="1646">
        <v>42446</v>
      </c>
      <c r="L389" s="1647" t="s">
        <v>1653</v>
      </c>
      <c r="M389" s="1648">
        <v>5.2531000000000001E-2</v>
      </c>
      <c r="N389" s="1649">
        <v>1.1438494328251159</v>
      </c>
      <c r="O389" s="1649">
        <v>1.1438494328251159</v>
      </c>
    </row>
    <row r="390" spans="2:15">
      <c r="B390" s="1463">
        <v>44287</v>
      </c>
      <c r="C390" s="1464">
        <v>1027.211</v>
      </c>
      <c r="D390" s="1464">
        <v>5692.31</v>
      </c>
      <c r="E390" s="1464">
        <v>1.0020778480243349</v>
      </c>
      <c r="F390" s="1464">
        <v>60.937897287733925</v>
      </c>
      <c r="K390" s="1646">
        <v>42447</v>
      </c>
      <c r="L390" s="1647" t="s">
        <v>1653</v>
      </c>
      <c r="M390" s="1648">
        <v>5.2531000000000001E-2</v>
      </c>
      <c r="N390" s="1649">
        <v>1.1444503083706732</v>
      </c>
      <c r="O390" s="1649">
        <v>1.1444503083706732</v>
      </c>
    </row>
    <row r="391" spans="2:15">
      <c r="B391" s="1463">
        <v>44317</v>
      </c>
      <c r="C391" s="1464">
        <v>1069.289</v>
      </c>
      <c r="D391" s="1464">
        <v>5739.56</v>
      </c>
      <c r="E391" s="1464">
        <v>1.0027032626398216</v>
      </c>
      <c r="F391" s="1464">
        <v>61.102628428821141</v>
      </c>
      <c r="K391" s="1646">
        <v>42448</v>
      </c>
      <c r="L391" s="1647"/>
      <c r="M391" s="1648">
        <v>0</v>
      </c>
      <c r="N391" s="1649">
        <v>1.1444503083706732</v>
      </c>
      <c r="O391" s="1649">
        <v>1.1444503083706732</v>
      </c>
    </row>
    <row r="392" spans="2:15">
      <c r="B392" s="1463">
        <v>44348</v>
      </c>
      <c r="C392" s="1464">
        <v>1075.7329999999999</v>
      </c>
      <c r="D392" s="1464">
        <v>5769.98</v>
      </c>
      <c r="E392" s="1464">
        <v>1.0030777896833167</v>
      </c>
      <c r="F392" s="1464">
        <v>61.290689468222901</v>
      </c>
      <c r="K392" s="1646">
        <v>42449</v>
      </c>
      <c r="L392" s="1647"/>
      <c r="M392" s="1648">
        <v>0</v>
      </c>
      <c r="N392" s="1649">
        <v>1.1444503083706732</v>
      </c>
      <c r="O392" s="1649">
        <v>1.1444503083706732</v>
      </c>
    </row>
    <row r="393" spans="2:15">
      <c r="B393" s="1463">
        <v>44378</v>
      </c>
      <c r="C393" s="1464">
        <v>1084.095</v>
      </c>
      <c r="D393" s="1464">
        <v>5825.37</v>
      </c>
      <c r="E393" s="1464">
        <v>1.003556161780192</v>
      </c>
      <c r="F393" s="1464">
        <v>61.508649075591414</v>
      </c>
      <c r="K393" s="1646">
        <v>42450</v>
      </c>
      <c r="L393" s="1647" t="s">
        <v>1653</v>
      </c>
      <c r="M393" s="1648">
        <v>5.2531000000000001E-2</v>
      </c>
      <c r="N393" s="1649">
        <v>1.1450514995621635</v>
      </c>
      <c r="O393" s="1649">
        <v>1.1450514995621635</v>
      </c>
    </row>
    <row r="394" spans="2:15">
      <c r="B394" s="1463">
        <v>44409</v>
      </c>
      <c r="C394" s="1464">
        <v>1091.29</v>
      </c>
      <c r="D394" s="1464">
        <v>5876.05</v>
      </c>
      <c r="E394" s="1464">
        <v>1.0042795247734253</v>
      </c>
      <c r="F394" s="1464">
        <v>61.771876863090334</v>
      </c>
      <c r="K394" s="1646">
        <v>42451</v>
      </c>
      <c r="L394" s="1647" t="s">
        <v>1653</v>
      </c>
      <c r="M394" s="1648">
        <v>5.2531000000000001E-2</v>
      </c>
      <c r="N394" s="1649">
        <v>1.1456530065653985</v>
      </c>
      <c r="O394" s="1649">
        <v>1.1456530065653985</v>
      </c>
    </row>
    <row r="395" spans="2:15">
      <c r="B395" s="1463">
        <v>44440</v>
      </c>
      <c r="C395" s="1464">
        <v>1084.3119999999999</v>
      </c>
      <c r="D395" s="1464">
        <v>5944.21</v>
      </c>
      <c r="E395" s="1464">
        <v>1.0044199933223523</v>
      </c>
      <c r="F395" s="1464">
        <v>62.044908146334365</v>
      </c>
      <c r="K395" s="1646">
        <v>42452</v>
      </c>
      <c r="L395" s="1647" t="s">
        <v>1653</v>
      </c>
      <c r="M395" s="1648">
        <v>5.2531000000000001E-2</v>
      </c>
      <c r="N395" s="1649">
        <v>1.1462548295462773</v>
      </c>
      <c r="O395" s="1649">
        <v>1.1462548295462773</v>
      </c>
    </row>
    <row r="396" spans="2:15">
      <c r="B396" s="1463">
        <v>44470</v>
      </c>
      <c r="C396" s="1464">
        <v>1091.2829999999999</v>
      </c>
      <c r="D396" s="1464">
        <v>6018.51</v>
      </c>
      <c r="E396" s="1464">
        <v>1.0048599610251685</v>
      </c>
      <c r="F396" s="1464">
        <v>62.34644398173571</v>
      </c>
      <c r="K396" s="1646">
        <v>42453</v>
      </c>
      <c r="L396" s="1647" t="s">
        <v>1653</v>
      </c>
      <c r="M396" s="1648">
        <v>5.2531000000000001E-2</v>
      </c>
      <c r="N396" s="1649">
        <v>1.1468569686707863</v>
      </c>
      <c r="O396" s="1649">
        <v>1.1468569686707863</v>
      </c>
    </row>
    <row r="397" spans="2:15">
      <c r="B397" s="1463">
        <v>44501</v>
      </c>
      <c r="C397" s="1464">
        <v>1091.4829999999999</v>
      </c>
      <c r="D397" s="1464">
        <v>6075.69</v>
      </c>
      <c r="E397" s="1464">
        <v>1.0058674909390046</v>
      </c>
      <c r="F397" s="1464">
        <v>62.712261176877703</v>
      </c>
      <c r="K397" s="1646">
        <v>42454</v>
      </c>
      <c r="L397" s="1647"/>
      <c r="M397" s="1648">
        <v>0</v>
      </c>
      <c r="N397" s="1649">
        <v>1.1468569686707863</v>
      </c>
      <c r="O397" s="1649">
        <v>1.1468569686707863</v>
      </c>
    </row>
    <row r="398" spans="2:15">
      <c r="B398" s="1463">
        <v>44531</v>
      </c>
      <c r="C398" s="1464">
        <v>1100.9880000000001</v>
      </c>
      <c r="D398" s="1464">
        <v>6120.04</v>
      </c>
      <c r="E398" s="1464">
        <v>1.0076908308186336</v>
      </c>
      <c r="F398" s="1464">
        <v>63.194570567843037</v>
      </c>
      <c r="K398" s="1646">
        <v>42455</v>
      </c>
      <c r="L398" s="1647"/>
      <c r="M398" s="1648">
        <v>0</v>
      </c>
      <c r="N398" s="1649">
        <v>1.1468569686707863</v>
      </c>
      <c r="O398" s="1649">
        <v>1.1468569686707863</v>
      </c>
    </row>
    <row r="399" spans="2:15">
      <c r="B399" s="1463">
        <v>44562</v>
      </c>
      <c r="C399" s="1464">
        <v>1120.999</v>
      </c>
      <c r="D399" s="1464">
        <v>6153.09</v>
      </c>
      <c r="E399" s="1464">
        <v>1.0073227032460901</v>
      </c>
      <c r="F399" s="1464">
        <v>63.65732565487545</v>
      </c>
      <c r="K399" s="1646">
        <v>42456</v>
      </c>
      <c r="L399" s="1647"/>
      <c r="M399" s="1648">
        <v>0</v>
      </c>
      <c r="N399" s="1649">
        <v>1.1468569686707863</v>
      </c>
      <c r="O399" s="1649">
        <v>1.1468569686707863</v>
      </c>
    </row>
    <row r="400" spans="2:15">
      <c r="B400" s="1463">
        <v>44593</v>
      </c>
      <c r="C400" s="1464">
        <v>1141.546</v>
      </c>
      <c r="D400" s="1464">
        <v>6215.24</v>
      </c>
      <c r="E400" s="1464">
        <v>1.0075504098703885</v>
      </c>
      <c r="F400" s="1464">
        <v>64.13796455482256</v>
      </c>
      <c r="K400" s="1646">
        <v>42457</v>
      </c>
      <c r="L400" s="1647" t="s">
        <v>1653</v>
      </c>
      <c r="M400" s="1648">
        <v>5.2531000000000001E-2</v>
      </c>
      <c r="N400" s="1649">
        <v>1.1474594241049989</v>
      </c>
      <c r="O400" s="1649">
        <v>1.1474594241049989</v>
      </c>
    </row>
    <row r="401" spans="2:15">
      <c r="B401" s="1463">
        <v>44621</v>
      </c>
      <c r="C401" s="1464">
        <v>1161.4179999999999</v>
      </c>
      <c r="D401" s="1464">
        <v>6315.93</v>
      </c>
      <c r="E401" s="1464">
        <v>1.0092705386289318</v>
      </c>
      <c r="F401" s="1464">
        <v>64.732558032809095</v>
      </c>
      <c r="K401" s="1646">
        <v>42458</v>
      </c>
      <c r="L401" s="1647" t="s">
        <v>1653</v>
      </c>
      <c r="M401" s="1648">
        <v>5.2531000000000001E-2</v>
      </c>
      <c r="N401" s="1649">
        <v>1.1480621960150754</v>
      </c>
      <c r="O401" s="1649">
        <v>1.1480621960150754</v>
      </c>
    </row>
    <row r="402" spans="2:15">
      <c r="B402" s="1463">
        <v>44652</v>
      </c>
      <c r="C402" s="1464">
        <v>1177.809</v>
      </c>
      <c r="D402" s="1464">
        <v>6382.88</v>
      </c>
      <c r="E402" s="1464">
        <v>1.0083432052372134</v>
      </c>
      <c r="F402" s="1464">
        <v>65.272635050006656</v>
      </c>
      <c r="K402" s="1646">
        <v>42459</v>
      </c>
      <c r="L402" s="1647" t="s">
        <v>1653</v>
      </c>
      <c r="M402" s="1648">
        <v>5.2531000000000001E-2</v>
      </c>
      <c r="N402" s="1649">
        <v>1.148665284567264</v>
      </c>
      <c r="O402" s="1649">
        <v>1.148665284567264</v>
      </c>
    </row>
    <row r="403" spans="2:15">
      <c r="B403" s="1463">
        <v>44682</v>
      </c>
      <c r="C403" s="1464">
        <v>1183.953</v>
      </c>
      <c r="D403" s="1464">
        <v>6412.88</v>
      </c>
      <c r="E403" s="1464">
        <v>1.0103459230153136</v>
      </c>
      <c r="F403" s="1464">
        <v>65.947940707240676</v>
      </c>
      <c r="K403" s="1646">
        <v>42460</v>
      </c>
      <c r="L403" s="1647" t="s">
        <v>1653</v>
      </c>
      <c r="M403" s="1648">
        <v>5.2531000000000001E-2</v>
      </c>
      <c r="N403" s="1649">
        <v>1.1492686899279001</v>
      </c>
      <c r="O403" s="1649">
        <v>1.1492686899279001</v>
      </c>
    </row>
    <row r="404" spans="2:15">
      <c r="B404" s="1463">
        <v>44713</v>
      </c>
      <c r="C404" s="1464">
        <v>1190.8820000000001</v>
      </c>
      <c r="D404" s="1464">
        <v>6455.85</v>
      </c>
      <c r="E404" s="1464">
        <v>1.0101531560893695</v>
      </c>
      <c r="F404" s="1464">
        <v>66.617520443013774</v>
      </c>
      <c r="K404" s="1646">
        <v>42461</v>
      </c>
      <c r="L404" s="1647" t="s">
        <v>1653</v>
      </c>
      <c r="M404" s="1648">
        <v>5.2531000000000001E-2</v>
      </c>
      <c r="N404" s="1649">
        <v>1.1498724122634061</v>
      </c>
      <c r="O404" s="1649">
        <v>1.1498724122634061</v>
      </c>
    </row>
    <row r="405" spans="2:15">
      <c r="B405" s="1463">
        <v>44743</v>
      </c>
      <c r="C405" s="1464">
        <v>1197.0638684620001</v>
      </c>
      <c r="D405" s="1464">
        <v>6491.3184399000011</v>
      </c>
      <c r="E405" s="1464">
        <v>1.0103484243492924</v>
      </c>
      <c r="F405" s="1464">
        <v>67.306906813655743</v>
      </c>
      <c r="K405" s="1646">
        <v>42462</v>
      </c>
      <c r="L405" s="1647"/>
      <c r="M405" s="1648">
        <v>0</v>
      </c>
      <c r="N405" s="1649">
        <v>1.1498724122634061</v>
      </c>
      <c r="O405" s="1649">
        <v>1.1498724122634061</v>
      </c>
    </row>
    <row r="406" spans="2:15">
      <c r="B406" s="1463">
        <v>44774</v>
      </c>
      <c r="C406" s="1464">
        <v>1203.249097470343</v>
      </c>
      <c r="D406" s="1464">
        <v>6514.7391168311606</v>
      </c>
      <c r="E406" s="1464">
        <v>1.0113395564141356</v>
      </c>
      <c r="F406" s="1464">
        <v>68.070137280530162</v>
      </c>
      <c r="K406" s="1646">
        <v>42463</v>
      </c>
      <c r="L406" s="1647"/>
      <c r="M406" s="1648">
        <v>0</v>
      </c>
      <c r="N406" s="1649">
        <v>1.1498724122634061</v>
      </c>
      <c r="O406" s="1649">
        <v>1.1498724122634061</v>
      </c>
    </row>
    <row r="407" spans="2:15">
      <c r="B407" s="1463">
        <v>44805</v>
      </c>
      <c r="C407" s="1464">
        <v>1210.3554866400029</v>
      </c>
      <c r="D407" s="1464">
        <v>6541.5407535578033</v>
      </c>
      <c r="E407" s="1464">
        <v>1.0103484243492922</v>
      </c>
      <c r="F407" s="1464">
        <v>68.774555946623664</v>
      </c>
      <c r="K407" s="1646">
        <v>42464</v>
      </c>
      <c r="L407" s="1647" t="s">
        <v>1653</v>
      </c>
      <c r="M407" s="1648">
        <v>5.2531000000000001E-2</v>
      </c>
      <c r="N407" s="1649">
        <v>1.1504764517402921</v>
      </c>
      <c r="O407" s="1649">
        <v>1.1504764517402921</v>
      </c>
    </row>
    <row r="408" spans="2:15">
      <c r="B408" s="1463">
        <v>44835</v>
      </c>
      <c r="C408" s="1464">
        <v>1217.5885710281636</v>
      </c>
      <c r="D408" s="1464">
        <v>6571.7430472169799</v>
      </c>
      <c r="E408" s="1464">
        <v>1.0098532226245143</v>
      </c>
      <c r="F408" s="1464">
        <v>69.452206957267862</v>
      </c>
      <c r="K408" s="1646">
        <v>42465</v>
      </c>
      <c r="L408" s="1647" t="s">
        <v>1653</v>
      </c>
      <c r="M408" s="1648">
        <v>5.2531000000000001E-2</v>
      </c>
      <c r="N408" s="1649">
        <v>1.1510808085251558</v>
      </c>
      <c r="O408" s="1649">
        <v>1.1510808085251558</v>
      </c>
    </row>
    <row r="409" spans="2:15">
      <c r="B409" s="1463">
        <v>44866</v>
      </c>
      <c r="C409" s="1464">
        <v>1224.992727128586</v>
      </c>
      <c r="D409" s="1464">
        <v>6602.2359349560666</v>
      </c>
      <c r="E409" s="1464">
        <v>1.0098532226245134</v>
      </c>
      <c r="F409" s="1464">
        <v>70.136535014181604</v>
      </c>
      <c r="K409" s="1646">
        <v>42466</v>
      </c>
      <c r="L409" s="1647" t="s">
        <v>1653</v>
      </c>
      <c r="M409" s="1648">
        <v>5.2531000000000001E-2</v>
      </c>
      <c r="N409" s="1649">
        <v>1.1516854827846821</v>
      </c>
      <c r="O409" s="1649">
        <v>1.1516854827846821</v>
      </c>
    </row>
    <row r="410" spans="2:15">
      <c r="B410" s="1463">
        <v>44896</v>
      </c>
      <c r="C410" s="1464">
        <v>1232.3194086295421</v>
      </c>
      <c r="D410" s="1464">
        <v>6643.9422593571835</v>
      </c>
      <c r="E410" s="1464">
        <v>1.0108438689061403</v>
      </c>
      <c r="F410" s="1464">
        <v>70.897086405406313</v>
      </c>
      <c r="K410" s="1646">
        <v>42467</v>
      </c>
      <c r="L410" s="1647" t="s">
        <v>1653</v>
      </c>
      <c r="M410" s="1648">
        <v>5.2531000000000001E-2</v>
      </c>
      <c r="N410" s="1649">
        <v>1.1522904746856437</v>
      </c>
      <c r="O410" s="1649">
        <v>1.1522904746856437</v>
      </c>
    </row>
    <row r="411" spans="2:15">
      <c r="B411" s="1463">
        <v>44927</v>
      </c>
      <c r="C411" s="1464">
        <v>1238.1470471129512</v>
      </c>
      <c r="D411" s="1464">
        <v>6675.3880380707214</v>
      </c>
      <c r="E411" s="1464">
        <v>1.0108438689061405</v>
      </c>
      <c r="F411" s="1464">
        <v>71.665885116213857</v>
      </c>
      <c r="K411" s="1646">
        <v>42468</v>
      </c>
      <c r="L411" s="1647" t="s">
        <v>1653</v>
      </c>
      <c r="M411" s="1648">
        <v>5.2531000000000001E-2</v>
      </c>
      <c r="N411" s="1649">
        <v>1.1528957843949008</v>
      </c>
      <c r="O411" s="1649">
        <v>1.1528957843949008</v>
      </c>
    </row>
    <row r="412" spans="2:15">
      <c r="B412" s="1463">
        <v>44958</v>
      </c>
      <c r="C412" s="1464">
        <v>1242.8891503033938</v>
      </c>
      <c r="D412" s="1464">
        <v>6708.8651090816456</v>
      </c>
      <c r="E412" s="1464">
        <v>1.0088635471951473</v>
      </c>
      <c r="F412" s="1464">
        <v>72.301099071223419</v>
      </c>
      <c r="K412" s="1646">
        <v>42469</v>
      </c>
      <c r="L412" s="1647"/>
      <c r="M412" s="1648">
        <v>0</v>
      </c>
      <c r="N412" s="1649">
        <v>1.1528957843949008</v>
      </c>
      <c r="O412" s="1649">
        <v>1.1528957843949008</v>
      </c>
    </row>
    <row r="413" spans="2:15">
      <c r="B413" s="1463">
        <v>44986</v>
      </c>
      <c r="C413" s="1464">
        <v>1247.4530392633078</v>
      </c>
      <c r="D413" s="1464">
        <v>6733.7617075014477</v>
      </c>
      <c r="E413" s="1464">
        <v>1.0113395564141363</v>
      </c>
      <c r="F413" s="1464">
        <v>73.120961462945615</v>
      </c>
      <c r="K413" s="1646">
        <v>42470</v>
      </c>
      <c r="L413" s="1647"/>
      <c r="M413" s="1648">
        <v>0</v>
      </c>
      <c r="N413" s="1649">
        <v>1.1528957843949008</v>
      </c>
      <c r="O413" s="1649">
        <v>1.1528957843949008</v>
      </c>
    </row>
    <row r="414" spans="2:15">
      <c r="B414" s="1463">
        <v>45017</v>
      </c>
      <c r="C414" s="1464">
        <v>1251.4698380497357</v>
      </c>
      <c r="D414" s="1464">
        <v>6758.8113010533525</v>
      </c>
      <c r="E414" s="1464">
        <v>1.0088635471951479</v>
      </c>
      <c r="F414" s="1464">
        <v>73.769072555827023</v>
      </c>
      <c r="K414" s="1646">
        <v>42471</v>
      </c>
      <c r="L414" s="1647" t="s">
        <v>1653</v>
      </c>
      <c r="M414" s="1648">
        <v>5.2531000000000001E-2</v>
      </c>
      <c r="N414" s="1649">
        <v>1.1535014120794014</v>
      </c>
      <c r="O414" s="1649">
        <v>1.1535014120794014</v>
      </c>
    </row>
    <row r="415" spans="2:15">
      <c r="B415" s="1463">
        <v>45047</v>
      </c>
      <c r="C415" s="1464">
        <v>1255.0803285325092</v>
      </c>
      <c r="D415" s="1464">
        <v>6776.8505684158645</v>
      </c>
      <c r="E415" s="1464">
        <v>1.0108438689061405</v>
      </c>
      <c r="F415" s="1464">
        <v>74.569014707949975</v>
      </c>
      <c r="K415" s="1646">
        <v>42472</v>
      </c>
      <c r="L415" s="1647" t="s">
        <v>1653</v>
      </c>
      <c r="M415" s="1648">
        <v>5.2531000000000001E-2</v>
      </c>
      <c r="N415" s="1649">
        <v>1.1541073579061809</v>
      </c>
      <c r="O415" s="1649">
        <v>1.1541073579061809</v>
      </c>
    </row>
    <row r="416" spans="2:15">
      <c r="B416" s="1463">
        <v>45078</v>
      </c>
      <c r="C416" s="1464">
        <v>1259.3250102036061</v>
      </c>
      <c r="D416" s="1464">
        <v>6793.2031088374515</v>
      </c>
      <c r="E416" s="1464">
        <v>1.010348424349292</v>
      </c>
      <c r="F416" s="1464">
        <v>75.34068651545644</v>
      </c>
      <c r="K416" s="1646">
        <v>42473</v>
      </c>
      <c r="L416" s="1647" t="s">
        <v>1653</v>
      </c>
      <c r="M416" s="1648">
        <v>5.2531000000000001E-2</v>
      </c>
      <c r="N416" s="1649">
        <v>1.1547136220423626</v>
      </c>
      <c r="O416" s="1649">
        <v>1.1547136220423626</v>
      </c>
    </row>
    <row r="417" spans="2:15">
      <c r="B417" s="1463">
        <v>45108</v>
      </c>
      <c r="C417" s="1464" t="e">
        <v>#N/A</v>
      </c>
      <c r="D417" s="1464" t="e">
        <v>#N/A</v>
      </c>
      <c r="E417" s="1464" t="e">
        <v>#N/A</v>
      </c>
      <c r="F417" s="1464" t="e">
        <f t="shared" ref="F417:F419" si="0">F416*E417</f>
        <v>#N/A</v>
      </c>
      <c r="K417" s="1646">
        <v>42474</v>
      </c>
      <c r="L417" s="1647" t="s">
        <v>1653</v>
      </c>
      <c r="M417" s="1648">
        <v>5.2531000000000001E-2</v>
      </c>
      <c r="N417" s="1649">
        <v>1.1553202046551576</v>
      </c>
      <c r="O417" s="1649">
        <v>1.1553202046551576</v>
      </c>
    </row>
    <row r="418" spans="2:15">
      <c r="B418" s="1463">
        <v>45139</v>
      </c>
      <c r="C418" s="1464" t="e">
        <v>#N/A</v>
      </c>
      <c r="D418" s="1464" t="e">
        <v>#N/A</v>
      </c>
      <c r="E418" s="1464" t="e">
        <v>#N/A</v>
      </c>
      <c r="F418" s="1464" t="e">
        <f t="shared" si="0"/>
        <v>#N/A</v>
      </c>
      <c r="K418" s="1646">
        <v>42475</v>
      </c>
      <c r="L418" s="1647" t="s">
        <v>1653</v>
      </c>
      <c r="M418" s="1648">
        <v>5.2531000000000001E-2</v>
      </c>
      <c r="N418" s="1649">
        <v>1.155927105911865</v>
      </c>
      <c r="O418" s="1649">
        <v>1.155927105911865</v>
      </c>
    </row>
    <row r="419" spans="2:15">
      <c r="B419" s="1463">
        <v>45170</v>
      </c>
      <c r="C419" s="1464" t="e">
        <v>#N/A</v>
      </c>
      <c r="D419" s="1464" t="e">
        <v>#N/A</v>
      </c>
      <c r="E419" s="1464" t="e">
        <v>#N/A</v>
      </c>
      <c r="F419" s="1464" t="e">
        <f t="shared" si="0"/>
        <v>#N/A</v>
      </c>
      <c r="K419" s="1646">
        <v>42476</v>
      </c>
      <c r="L419" s="1647"/>
      <c r="M419" s="1648">
        <v>0</v>
      </c>
      <c r="N419" s="1649">
        <v>1.155927105911865</v>
      </c>
      <c r="O419" s="1649">
        <v>1.155927105911865</v>
      </c>
    </row>
    <row r="420" spans="2:15">
      <c r="B420" s="1463">
        <v>45200</v>
      </c>
      <c r="C420" s="1464" t="e">
        <v>#N/A</v>
      </c>
      <c r="D420" s="1464" t="e">
        <v>#N/A</v>
      </c>
      <c r="E420" s="1464" t="e">
        <v>#N/A</v>
      </c>
      <c r="F420" s="1464" t="e">
        <f t="shared" ref="F420:F483" si="1">F419*E420</f>
        <v>#N/A</v>
      </c>
      <c r="K420" s="1646">
        <v>42477</v>
      </c>
      <c r="L420" s="1647"/>
      <c r="M420" s="1648">
        <v>0</v>
      </c>
      <c r="N420" s="1649">
        <v>1.155927105911865</v>
      </c>
      <c r="O420" s="1649">
        <v>1.155927105911865</v>
      </c>
    </row>
    <row r="421" spans="2:15">
      <c r="B421" s="1463">
        <v>45231</v>
      </c>
      <c r="C421" s="1464" t="e">
        <v>#N/A</v>
      </c>
      <c r="D421" s="1464" t="e">
        <v>#N/A</v>
      </c>
      <c r="E421" s="1464" t="e">
        <v>#N/A</v>
      </c>
      <c r="F421" s="1464" t="e">
        <f t="shared" si="1"/>
        <v>#N/A</v>
      </c>
      <c r="K421" s="1646">
        <v>42478</v>
      </c>
      <c r="L421" s="1647" t="s">
        <v>1653</v>
      </c>
      <c r="M421" s="1648">
        <v>5.2531000000000001E-2</v>
      </c>
      <c r="N421" s="1649">
        <v>1.1565343259798715</v>
      </c>
      <c r="O421" s="1649">
        <v>1.1565343259798715</v>
      </c>
    </row>
    <row r="422" spans="2:15">
      <c r="B422" s="1463">
        <v>45261</v>
      </c>
      <c r="C422" s="1464" t="e">
        <v>#N/A</v>
      </c>
      <c r="D422" s="1464" t="e">
        <v>#N/A</v>
      </c>
      <c r="E422" s="1464" t="e">
        <v>#N/A</v>
      </c>
      <c r="F422" s="1464" t="e">
        <f t="shared" si="1"/>
        <v>#N/A</v>
      </c>
      <c r="K422" s="1646">
        <v>42479</v>
      </c>
      <c r="L422" s="1647" t="s">
        <v>1653</v>
      </c>
      <c r="M422" s="1648">
        <v>5.2531000000000001E-2</v>
      </c>
      <c r="N422" s="1649">
        <v>1.1571418650266521</v>
      </c>
      <c r="O422" s="1649">
        <v>1.1571418650266521</v>
      </c>
    </row>
    <row r="423" spans="2:15">
      <c r="B423" s="1463">
        <v>45292</v>
      </c>
      <c r="C423" s="1464" t="e">
        <v>#N/A</v>
      </c>
      <c r="D423" s="1464" t="e">
        <v>#N/A</v>
      </c>
      <c r="E423" s="1464" t="e">
        <v>#N/A</v>
      </c>
      <c r="F423" s="1464" t="e">
        <f t="shared" si="1"/>
        <v>#N/A</v>
      </c>
      <c r="K423" s="1646">
        <v>42480</v>
      </c>
      <c r="L423" s="1647" t="s">
        <v>1653</v>
      </c>
      <c r="M423" s="1648">
        <v>5.2531000000000001E-2</v>
      </c>
      <c r="N423" s="1649">
        <v>1.1577497232197693</v>
      </c>
      <c r="O423" s="1649">
        <v>1.1577497232197693</v>
      </c>
    </row>
    <row r="424" spans="2:15">
      <c r="B424" s="1463">
        <v>45323</v>
      </c>
      <c r="C424" s="1464" t="e">
        <v>#N/A</v>
      </c>
      <c r="D424" s="1464" t="e">
        <v>#N/A</v>
      </c>
      <c r="E424" s="1464" t="e">
        <v>#N/A</v>
      </c>
      <c r="F424" s="1464" t="e">
        <f t="shared" si="1"/>
        <v>#N/A</v>
      </c>
      <c r="K424" s="1646">
        <v>42481</v>
      </c>
      <c r="L424" s="1647"/>
      <c r="M424" s="1648">
        <v>0</v>
      </c>
      <c r="N424" s="1649">
        <v>1.1577497232197693</v>
      </c>
      <c r="O424" s="1649">
        <v>1.1577497232197693</v>
      </c>
    </row>
    <row r="425" spans="2:15">
      <c r="B425" s="1463">
        <v>45352</v>
      </c>
      <c r="C425" s="1464" t="e">
        <v>#N/A</v>
      </c>
      <c r="D425" s="1464" t="e">
        <v>#N/A</v>
      </c>
      <c r="E425" s="1464" t="e">
        <v>#N/A</v>
      </c>
      <c r="F425" s="1464" t="e">
        <f t="shared" si="1"/>
        <v>#N/A</v>
      </c>
      <c r="K425" s="1646">
        <v>42482</v>
      </c>
      <c r="L425" s="1647" t="s">
        <v>1653</v>
      </c>
      <c r="M425" s="1648">
        <v>5.2531000000000001E-2</v>
      </c>
      <c r="N425" s="1649">
        <v>1.1583579007268738</v>
      </c>
      <c r="O425" s="1649">
        <v>1.1583579007268738</v>
      </c>
    </row>
    <row r="426" spans="2:15">
      <c r="B426" s="1463">
        <v>45383</v>
      </c>
      <c r="C426" s="1464" t="e">
        <v>#N/A</v>
      </c>
      <c r="D426" s="1464" t="e">
        <v>#N/A</v>
      </c>
      <c r="E426" s="1464" t="e">
        <v>#N/A</v>
      </c>
      <c r="F426" s="1464" t="e">
        <f t="shared" si="1"/>
        <v>#N/A</v>
      </c>
      <c r="K426" s="1646">
        <v>42483</v>
      </c>
      <c r="L426" s="1647"/>
      <c r="M426" s="1648">
        <v>0</v>
      </c>
      <c r="N426" s="1649">
        <v>1.1583579007268738</v>
      </c>
      <c r="O426" s="1649">
        <v>1.1583579007268738</v>
      </c>
    </row>
    <row r="427" spans="2:15">
      <c r="B427" s="1463">
        <v>45413</v>
      </c>
      <c r="C427" s="1464" t="e">
        <v>#N/A</v>
      </c>
      <c r="D427" s="1464" t="e">
        <v>#N/A</v>
      </c>
      <c r="E427" s="1464" t="e">
        <v>#N/A</v>
      </c>
      <c r="F427" s="1464" t="e">
        <f t="shared" si="1"/>
        <v>#N/A</v>
      </c>
      <c r="K427" s="1646">
        <v>42484</v>
      </c>
      <c r="L427" s="1647"/>
      <c r="M427" s="1648">
        <v>0</v>
      </c>
      <c r="N427" s="1649">
        <v>1.1583579007268738</v>
      </c>
      <c r="O427" s="1649">
        <v>1.1583579007268738</v>
      </c>
    </row>
    <row r="428" spans="2:15">
      <c r="B428" s="1463">
        <v>45444</v>
      </c>
      <c r="C428" s="1464" t="e">
        <v>#N/A</v>
      </c>
      <c r="D428" s="1464" t="e">
        <v>#N/A</v>
      </c>
      <c r="E428" s="1464" t="e">
        <v>#N/A</v>
      </c>
      <c r="F428" s="1464" t="e">
        <f t="shared" si="1"/>
        <v>#N/A</v>
      </c>
      <c r="K428" s="1646">
        <v>42485</v>
      </c>
      <c r="L428" s="1647" t="s">
        <v>1653</v>
      </c>
      <c r="M428" s="1648">
        <v>5.2531000000000001E-2</v>
      </c>
      <c r="N428" s="1649">
        <v>1.1589663977157048</v>
      </c>
      <c r="O428" s="1649">
        <v>1.1589663977157048</v>
      </c>
    </row>
    <row r="429" spans="2:15">
      <c r="B429" s="1463">
        <v>45474</v>
      </c>
      <c r="C429" s="1464" t="e">
        <v>#N/A</v>
      </c>
      <c r="D429" s="1464" t="e">
        <v>#N/A</v>
      </c>
      <c r="E429" s="1464" t="e">
        <v>#N/A</v>
      </c>
      <c r="F429" s="1464" t="e">
        <f t="shared" si="1"/>
        <v>#N/A</v>
      </c>
      <c r="K429" s="1646">
        <v>42486</v>
      </c>
      <c r="L429" s="1647" t="s">
        <v>1653</v>
      </c>
      <c r="M429" s="1648">
        <v>5.2531000000000001E-2</v>
      </c>
      <c r="N429" s="1649">
        <v>1.1595752143540887</v>
      </c>
      <c r="O429" s="1649">
        <v>1.1595752143540887</v>
      </c>
    </row>
    <row r="430" spans="2:15">
      <c r="B430" s="1463">
        <v>45505</v>
      </c>
      <c r="C430" s="1464" t="e">
        <v>#N/A</v>
      </c>
      <c r="D430" s="1464" t="e">
        <v>#N/A</v>
      </c>
      <c r="E430" s="1464" t="e">
        <v>#N/A</v>
      </c>
      <c r="F430" s="1464" t="e">
        <f t="shared" si="1"/>
        <v>#N/A</v>
      </c>
      <c r="K430" s="1646">
        <v>42487</v>
      </c>
      <c r="L430" s="1647" t="s">
        <v>1653</v>
      </c>
      <c r="M430" s="1648">
        <v>5.2531000000000001E-2</v>
      </c>
      <c r="N430" s="1649">
        <v>1.160184350809941</v>
      </c>
      <c r="O430" s="1649">
        <v>1.160184350809941</v>
      </c>
    </row>
    <row r="431" spans="2:15">
      <c r="B431" s="1463">
        <v>45536</v>
      </c>
      <c r="C431" s="1464" t="e">
        <v>#N/A</v>
      </c>
      <c r="D431" s="1464" t="e">
        <v>#N/A</v>
      </c>
      <c r="E431" s="1464" t="e">
        <v>#N/A</v>
      </c>
      <c r="F431" s="1464" t="e">
        <f t="shared" si="1"/>
        <v>#N/A</v>
      </c>
      <c r="K431" s="1646">
        <v>42488</v>
      </c>
      <c r="L431" s="1647" t="s">
        <v>1653</v>
      </c>
      <c r="M431" s="1648">
        <v>5.2531000000000001E-2</v>
      </c>
      <c r="N431" s="1649">
        <v>1.1607938072512649</v>
      </c>
      <c r="O431" s="1649">
        <v>1.1607938072512649</v>
      </c>
    </row>
    <row r="432" spans="2:15">
      <c r="B432" s="1463">
        <v>45566</v>
      </c>
      <c r="C432" s="1464" t="e">
        <v>#N/A</v>
      </c>
      <c r="D432" s="1464" t="e">
        <v>#N/A</v>
      </c>
      <c r="E432" s="1464" t="e">
        <v>#N/A</v>
      </c>
      <c r="F432" s="1464" t="e">
        <f t="shared" si="1"/>
        <v>#N/A</v>
      </c>
      <c r="K432" s="1646">
        <v>42489</v>
      </c>
      <c r="L432" s="1647" t="s">
        <v>1653</v>
      </c>
      <c r="M432" s="1648">
        <v>5.2531000000000001E-2</v>
      </c>
      <c r="N432" s="1649">
        <v>1.1614035838461521</v>
      </c>
      <c r="O432" s="1649">
        <v>1.1614035838461521</v>
      </c>
    </row>
    <row r="433" spans="2:15">
      <c r="B433" s="1463">
        <v>45597</v>
      </c>
      <c r="C433" s="1464" t="e">
        <v>#N/A</v>
      </c>
      <c r="D433" s="1464" t="e">
        <v>#N/A</v>
      </c>
      <c r="E433" s="1464" t="e">
        <v>#N/A</v>
      </c>
      <c r="F433" s="1464" t="e">
        <f t="shared" si="1"/>
        <v>#N/A</v>
      </c>
      <c r="K433" s="1646">
        <v>42490</v>
      </c>
      <c r="L433" s="1647"/>
      <c r="M433" s="1648">
        <v>0</v>
      </c>
      <c r="N433" s="1649">
        <v>1.1614035838461521</v>
      </c>
      <c r="O433" s="1649">
        <v>1.1614035838461521</v>
      </c>
    </row>
    <row r="434" spans="2:15">
      <c r="B434" s="1463">
        <v>45627</v>
      </c>
      <c r="C434" s="1464" t="e">
        <v>#N/A</v>
      </c>
      <c r="D434" s="1464" t="e">
        <v>#N/A</v>
      </c>
      <c r="E434" s="1464" t="e">
        <v>#N/A</v>
      </c>
      <c r="F434" s="1464" t="e">
        <f t="shared" si="1"/>
        <v>#N/A</v>
      </c>
      <c r="K434" s="1646">
        <v>42491</v>
      </c>
      <c r="L434" s="1647"/>
      <c r="M434" s="1648">
        <v>0</v>
      </c>
      <c r="N434" s="1649">
        <v>1.1614035838461521</v>
      </c>
      <c r="O434" s="1649">
        <v>1.1614035838461521</v>
      </c>
    </row>
    <row r="435" spans="2:15">
      <c r="B435" s="1463">
        <v>45658</v>
      </c>
      <c r="C435" s="1464" t="e">
        <v>#N/A</v>
      </c>
      <c r="D435" s="1464" t="e">
        <v>#N/A</v>
      </c>
      <c r="E435" s="1464" t="e">
        <v>#N/A</v>
      </c>
      <c r="F435" s="1464" t="e">
        <f t="shared" si="1"/>
        <v>#N/A</v>
      </c>
      <c r="K435" s="1646">
        <v>42492</v>
      </c>
      <c r="L435" s="1647" t="s">
        <v>1653</v>
      </c>
      <c r="M435" s="1648">
        <v>5.2531000000000001E-2</v>
      </c>
      <c r="N435" s="1649">
        <v>1.1620136807627823</v>
      </c>
      <c r="O435" s="1649">
        <v>1.1620136807627823</v>
      </c>
    </row>
    <row r="436" spans="2:15">
      <c r="B436" s="1463">
        <v>45689</v>
      </c>
      <c r="C436" s="1464" t="e">
        <v>#N/A</v>
      </c>
      <c r="D436" s="1464" t="e">
        <v>#N/A</v>
      </c>
      <c r="E436" s="1464" t="e">
        <v>#N/A</v>
      </c>
      <c r="F436" s="1464" t="e">
        <f t="shared" si="1"/>
        <v>#N/A</v>
      </c>
      <c r="K436" s="1646">
        <v>42493</v>
      </c>
      <c r="L436" s="1647" t="s">
        <v>1653</v>
      </c>
      <c r="M436" s="1648">
        <v>5.2531000000000001E-2</v>
      </c>
      <c r="N436" s="1649">
        <v>1.1626240981694238</v>
      </c>
      <c r="O436" s="1649">
        <v>1.1626240981694238</v>
      </c>
    </row>
    <row r="437" spans="2:15">
      <c r="B437" s="1463">
        <v>45717</v>
      </c>
      <c r="C437" s="1464" t="e">
        <v>#N/A</v>
      </c>
      <c r="D437" s="1464" t="e">
        <v>#N/A</v>
      </c>
      <c r="E437" s="1464" t="e">
        <v>#N/A</v>
      </c>
      <c r="F437" s="1464" t="e">
        <f t="shared" si="1"/>
        <v>#N/A</v>
      </c>
      <c r="K437" s="1646">
        <v>42494</v>
      </c>
      <c r="L437" s="1647" t="s">
        <v>1653</v>
      </c>
      <c r="M437" s="1648">
        <v>5.2531000000000001E-2</v>
      </c>
      <c r="N437" s="1649">
        <v>1.1632348362344331</v>
      </c>
      <c r="O437" s="1649">
        <v>1.1632348362344331</v>
      </c>
    </row>
    <row r="438" spans="2:15">
      <c r="B438" s="1463">
        <v>45748</v>
      </c>
      <c r="C438" s="1464" t="e">
        <v>#N/A</v>
      </c>
      <c r="D438" s="1464" t="e">
        <v>#N/A</v>
      </c>
      <c r="E438" s="1464" t="e">
        <v>#N/A</v>
      </c>
      <c r="F438" s="1464" t="e">
        <f t="shared" si="1"/>
        <v>#N/A</v>
      </c>
      <c r="K438" s="1646">
        <v>42495</v>
      </c>
      <c r="L438" s="1647" t="s">
        <v>1653</v>
      </c>
      <c r="M438" s="1648">
        <v>5.2531000000000001E-2</v>
      </c>
      <c r="N438" s="1649">
        <v>1.1638458951262554</v>
      </c>
      <c r="O438" s="1649">
        <v>1.1638458951262554</v>
      </c>
    </row>
    <row r="439" spans="2:15">
      <c r="B439" s="1463">
        <v>45778</v>
      </c>
      <c r="C439" s="1464" t="e">
        <v>#N/A</v>
      </c>
      <c r="D439" s="1464" t="e">
        <v>#N/A</v>
      </c>
      <c r="E439" s="1464" t="e">
        <v>#N/A</v>
      </c>
      <c r="F439" s="1464" t="e">
        <f t="shared" si="1"/>
        <v>#N/A</v>
      </c>
      <c r="K439" s="1646">
        <v>42496</v>
      </c>
      <c r="L439" s="1647" t="s">
        <v>1653</v>
      </c>
      <c r="M439" s="1648">
        <v>5.2531000000000001E-2</v>
      </c>
      <c r="N439" s="1649">
        <v>1.1644572750134241</v>
      </c>
      <c r="O439" s="1649">
        <v>1.1644572750134241</v>
      </c>
    </row>
    <row r="440" spans="2:15">
      <c r="B440" s="1463">
        <v>45809</v>
      </c>
      <c r="C440" s="1464" t="e">
        <v>#N/A</v>
      </c>
      <c r="D440" s="1464" t="e">
        <v>#N/A</v>
      </c>
      <c r="E440" s="1464" t="e">
        <v>#N/A</v>
      </c>
      <c r="F440" s="1464" t="e">
        <f t="shared" si="1"/>
        <v>#N/A</v>
      </c>
      <c r="K440" s="1646">
        <v>42497</v>
      </c>
      <c r="L440" s="1647"/>
      <c r="M440" s="1648">
        <v>0</v>
      </c>
      <c r="N440" s="1649">
        <v>1.1644572750134241</v>
      </c>
      <c r="O440" s="1649">
        <v>1.1644572750134241</v>
      </c>
    </row>
    <row r="441" spans="2:15">
      <c r="B441" s="1463">
        <v>45839</v>
      </c>
      <c r="C441" s="1464" t="e">
        <v>#N/A</v>
      </c>
      <c r="D441" s="1464" t="e">
        <v>#N/A</v>
      </c>
      <c r="E441" s="1464" t="e">
        <v>#N/A</v>
      </c>
      <c r="F441" s="1464" t="e">
        <f t="shared" si="1"/>
        <v>#N/A</v>
      </c>
      <c r="K441" s="1646">
        <v>42498</v>
      </c>
      <c r="L441" s="1647"/>
      <c r="M441" s="1648">
        <v>0</v>
      </c>
      <c r="N441" s="1649">
        <v>1.1644572750134241</v>
      </c>
      <c r="O441" s="1649">
        <v>1.1644572750134241</v>
      </c>
    </row>
    <row r="442" spans="2:15">
      <c r="B442" s="1463">
        <v>45870</v>
      </c>
      <c r="C442" s="1464" t="e">
        <v>#N/A</v>
      </c>
      <c r="D442" s="1464" t="e">
        <v>#N/A</v>
      </c>
      <c r="E442" s="1464" t="e">
        <v>#N/A</v>
      </c>
      <c r="F442" s="1464" t="e">
        <f t="shared" si="1"/>
        <v>#N/A</v>
      </c>
      <c r="K442" s="1646">
        <v>42499</v>
      </c>
      <c r="L442" s="1647" t="s">
        <v>1653</v>
      </c>
      <c r="M442" s="1648">
        <v>5.2531000000000001E-2</v>
      </c>
      <c r="N442" s="1649">
        <v>1.1650689760645614</v>
      </c>
      <c r="O442" s="1649">
        <v>1.1650689760645614</v>
      </c>
    </row>
    <row r="443" spans="2:15">
      <c r="B443" s="1463">
        <v>45901</v>
      </c>
      <c r="C443" s="1464" t="e">
        <v>#N/A</v>
      </c>
      <c r="D443" s="1464" t="e">
        <v>#N/A</v>
      </c>
      <c r="E443" s="1464" t="e">
        <v>#N/A</v>
      </c>
      <c r="F443" s="1464" t="e">
        <f t="shared" si="1"/>
        <v>#N/A</v>
      </c>
      <c r="K443" s="1646">
        <v>42500</v>
      </c>
      <c r="L443" s="1647" t="s">
        <v>1653</v>
      </c>
      <c r="M443" s="1648">
        <v>5.2531000000000001E-2</v>
      </c>
      <c r="N443" s="1649">
        <v>1.1656809984483778</v>
      </c>
      <c r="O443" s="1649">
        <v>1.1656809984483778</v>
      </c>
    </row>
    <row r="444" spans="2:15">
      <c r="B444" s="1463">
        <v>45931</v>
      </c>
      <c r="C444" s="1464" t="e">
        <v>#N/A</v>
      </c>
      <c r="D444" s="1464" t="e">
        <v>#N/A</v>
      </c>
      <c r="E444" s="1464" t="e">
        <v>#N/A</v>
      </c>
      <c r="F444" s="1464" t="e">
        <f t="shared" si="1"/>
        <v>#N/A</v>
      </c>
      <c r="K444" s="1646">
        <v>42501</v>
      </c>
      <c r="L444" s="1647" t="s">
        <v>1653</v>
      </c>
      <c r="M444" s="1648">
        <v>5.2531000000000001E-2</v>
      </c>
      <c r="N444" s="1649">
        <v>1.1662933423336728</v>
      </c>
      <c r="O444" s="1649">
        <v>1.1662933423336728</v>
      </c>
    </row>
    <row r="445" spans="2:15">
      <c r="B445" s="1463">
        <v>45962</v>
      </c>
      <c r="C445" s="1464" t="e">
        <v>#N/A</v>
      </c>
      <c r="D445" s="1464" t="e">
        <v>#N/A</v>
      </c>
      <c r="E445" s="1464" t="e">
        <v>#N/A</v>
      </c>
      <c r="F445" s="1464" t="e">
        <f t="shared" si="1"/>
        <v>#N/A</v>
      </c>
      <c r="K445" s="1646">
        <v>42502</v>
      </c>
      <c r="L445" s="1647" t="s">
        <v>1653</v>
      </c>
      <c r="M445" s="1648">
        <v>5.2531000000000001E-2</v>
      </c>
      <c r="N445" s="1649">
        <v>1.1669060078893341</v>
      </c>
      <c r="O445" s="1649">
        <v>1.1669060078893341</v>
      </c>
    </row>
    <row r="446" spans="2:15">
      <c r="B446" s="1463">
        <v>45992</v>
      </c>
      <c r="C446" s="1464" t="e">
        <v>#N/A</v>
      </c>
      <c r="D446" s="1464" t="e">
        <v>#N/A</v>
      </c>
      <c r="E446" s="1464" t="e">
        <v>#N/A</v>
      </c>
      <c r="F446" s="1464" t="e">
        <f t="shared" si="1"/>
        <v>#N/A</v>
      </c>
      <c r="K446" s="1646">
        <v>42503</v>
      </c>
      <c r="L446" s="1647" t="s">
        <v>1653</v>
      </c>
      <c r="M446" s="1648">
        <v>5.2531000000000001E-2</v>
      </c>
      <c r="N446" s="1649">
        <v>1.1675189952843383</v>
      </c>
      <c r="O446" s="1649">
        <v>1.1675189952843383</v>
      </c>
    </row>
    <row r="447" spans="2:15">
      <c r="B447" s="1463">
        <v>46023</v>
      </c>
      <c r="C447" s="1464" t="e">
        <v>#N/A</v>
      </c>
      <c r="D447" s="1464" t="e">
        <v>#N/A</v>
      </c>
      <c r="E447" s="1464" t="e">
        <v>#N/A</v>
      </c>
      <c r="F447" s="1464" t="e">
        <f t="shared" si="1"/>
        <v>#N/A</v>
      </c>
      <c r="K447" s="1646">
        <v>42504</v>
      </c>
      <c r="L447" s="1647"/>
      <c r="M447" s="1648">
        <v>0</v>
      </c>
      <c r="N447" s="1649">
        <v>1.1675189952843383</v>
      </c>
      <c r="O447" s="1649">
        <v>1.1675189952843383</v>
      </c>
    </row>
    <row r="448" spans="2:15">
      <c r="B448" s="1463">
        <v>46054</v>
      </c>
      <c r="C448" s="1464" t="e">
        <v>#N/A</v>
      </c>
      <c r="D448" s="1464" t="e">
        <v>#N/A</v>
      </c>
      <c r="E448" s="1464" t="e">
        <v>#N/A</v>
      </c>
      <c r="F448" s="1464" t="e">
        <f t="shared" si="1"/>
        <v>#N/A</v>
      </c>
      <c r="K448" s="1646">
        <v>42505</v>
      </c>
      <c r="L448" s="1647"/>
      <c r="M448" s="1648">
        <v>0</v>
      </c>
      <c r="N448" s="1649">
        <v>1.1675189952843383</v>
      </c>
      <c r="O448" s="1649">
        <v>1.1675189952843383</v>
      </c>
    </row>
    <row r="449" spans="2:15">
      <c r="B449" s="1463">
        <v>46082</v>
      </c>
      <c r="C449" s="1464" t="e">
        <v>#N/A</v>
      </c>
      <c r="D449" s="1464" t="e">
        <v>#N/A</v>
      </c>
      <c r="E449" s="1464" t="e">
        <v>#N/A</v>
      </c>
      <c r="F449" s="1464" t="e">
        <f t="shared" si="1"/>
        <v>#N/A</v>
      </c>
      <c r="K449" s="1646">
        <v>42506</v>
      </c>
      <c r="L449" s="1647" t="s">
        <v>1653</v>
      </c>
      <c r="M449" s="1648">
        <v>5.2531000000000001E-2</v>
      </c>
      <c r="N449" s="1649">
        <v>1.1681323046877512</v>
      </c>
      <c r="O449" s="1649">
        <v>1.1681323046877512</v>
      </c>
    </row>
    <row r="450" spans="2:15">
      <c r="B450" s="1463">
        <v>46113</v>
      </c>
      <c r="C450" s="1464" t="e">
        <v>#N/A</v>
      </c>
      <c r="D450" s="1464" t="e">
        <v>#N/A</v>
      </c>
      <c r="E450" s="1464" t="e">
        <v>#N/A</v>
      </c>
      <c r="F450" s="1464" t="e">
        <f t="shared" si="1"/>
        <v>#N/A</v>
      </c>
      <c r="K450" s="1646">
        <v>42507</v>
      </c>
      <c r="L450" s="1647" t="s">
        <v>1653</v>
      </c>
      <c r="M450" s="1648">
        <v>5.2531000000000001E-2</v>
      </c>
      <c r="N450" s="1649">
        <v>1.1687459362687267</v>
      </c>
      <c r="O450" s="1649">
        <v>1.1687459362687267</v>
      </c>
    </row>
    <row r="451" spans="2:15">
      <c r="B451" s="1463">
        <v>46143</v>
      </c>
      <c r="C451" s="1464" t="e">
        <v>#N/A</v>
      </c>
      <c r="D451" s="1464" t="e">
        <v>#N/A</v>
      </c>
      <c r="E451" s="1464" t="e">
        <v>#N/A</v>
      </c>
      <c r="F451" s="1464" t="e">
        <f t="shared" si="1"/>
        <v>#N/A</v>
      </c>
      <c r="K451" s="1646">
        <v>42508</v>
      </c>
      <c r="L451" s="1647" t="s">
        <v>1653</v>
      </c>
      <c r="M451" s="1648">
        <v>5.2531000000000001E-2</v>
      </c>
      <c r="N451" s="1649">
        <v>1.1693598901965081</v>
      </c>
      <c r="O451" s="1649">
        <v>1.1693598901965081</v>
      </c>
    </row>
    <row r="452" spans="2:15">
      <c r="B452" s="1463">
        <v>46174</v>
      </c>
      <c r="C452" s="1464" t="e">
        <v>#N/A</v>
      </c>
      <c r="D452" s="1464" t="e">
        <v>#N/A</v>
      </c>
      <c r="E452" s="1464" t="e">
        <v>#N/A</v>
      </c>
      <c r="F452" s="1464" t="e">
        <f t="shared" si="1"/>
        <v>#N/A</v>
      </c>
      <c r="K452" s="1646">
        <v>42509</v>
      </c>
      <c r="L452" s="1647" t="s">
        <v>1653</v>
      </c>
      <c r="M452" s="1648">
        <v>5.2531000000000001E-2</v>
      </c>
      <c r="N452" s="1649">
        <v>1.1699741666404273</v>
      </c>
      <c r="O452" s="1649">
        <v>1.1699741666404273</v>
      </c>
    </row>
    <row r="453" spans="2:15">
      <c r="B453" s="1463">
        <v>46204</v>
      </c>
      <c r="C453" s="1464" t="e">
        <v>#N/A</v>
      </c>
      <c r="D453" s="1464" t="e">
        <v>#N/A</v>
      </c>
      <c r="E453" s="1464" t="e">
        <v>#N/A</v>
      </c>
      <c r="F453" s="1464" t="e">
        <f t="shared" si="1"/>
        <v>#N/A</v>
      </c>
      <c r="K453" s="1646">
        <v>42510</v>
      </c>
      <c r="L453" s="1647" t="s">
        <v>1653</v>
      </c>
      <c r="M453" s="1648">
        <v>5.2531000000000001E-2</v>
      </c>
      <c r="N453" s="1649">
        <v>1.1705887657699052</v>
      </c>
      <c r="O453" s="1649">
        <v>1.1705887657699052</v>
      </c>
    </row>
    <row r="454" spans="2:15">
      <c r="B454" s="1463">
        <v>46235</v>
      </c>
      <c r="C454" s="1464" t="e">
        <v>#N/A</v>
      </c>
      <c r="D454" s="1464" t="e">
        <v>#N/A</v>
      </c>
      <c r="E454" s="1464" t="e">
        <v>#N/A</v>
      </c>
      <c r="F454" s="1464" t="e">
        <f t="shared" si="1"/>
        <v>#N/A</v>
      </c>
      <c r="K454" s="1646">
        <v>42511</v>
      </c>
      <c r="L454" s="1647"/>
      <c r="M454" s="1648">
        <v>0</v>
      </c>
      <c r="N454" s="1649">
        <v>1.1705887657699052</v>
      </c>
      <c r="O454" s="1649">
        <v>1.1705887657699052</v>
      </c>
    </row>
    <row r="455" spans="2:15">
      <c r="B455" s="1463">
        <v>46266</v>
      </c>
      <c r="C455" s="1464" t="e">
        <v>#N/A</v>
      </c>
      <c r="D455" s="1464" t="e">
        <v>#N/A</v>
      </c>
      <c r="E455" s="1464" t="e">
        <v>#N/A</v>
      </c>
      <c r="F455" s="1464" t="e">
        <f t="shared" si="1"/>
        <v>#N/A</v>
      </c>
      <c r="K455" s="1646">
        <v>42512</v>
      </c>
      <c r="L455" s="1647"/>
      <c r="M455" s="1648">
        <v>0</v>
      </c>
      <c r="N455" s="1649">
        <v>1.1705887657699052</v>
      </c>
      <c r="O455" s="1649">
        <v>1.1705887657699052</v>
      </c>
    </row>
    <row r="456" spans="2:15">
      <c r="B456" s="1463">
        <v>46296</v>
      </c>
      <c r="C456" s="1464" t="e">
        <v>#N/A</v>
      </c>
      <c r="D456" s="1464" t="e">
        <v>#N/A</v>
      </c>
      <c r="E456" s="1464" t="e">
        <v>#N/A</v>
      </c>
      <c r="F456" s="1464" t="e">
        <f t="shared" si="1"/>
        <v>#N/A</v>
      </c>
      <c r="K456" s="1646">
        <v>42513</v>
      </c>
      <c r="L456" s="1647" t="s">
        <v>1653</v>
      </c>
      <c r="M456" s="1648">
        <v>5.2531000000000001E-2</v>
      </c>
      <c r="N456" s="1649">
        <v>1.1712036877544518</v>
      </c>
      <c r="O456" s="1649">
        <v>1.1712036877544518</v>
      </c>
    </row>
    <row r="457" spans="2:15">
      <c r="B457" s="1463">
        <v>46327</v>
      </c>
      <c r="C457" s="1464" t="e">
        <v>#N/A</v>
      </c>
      <c r="D457" s="1464" t="e">
        <v>#N/A</v>
      </c>
      <c r="E457" s="1464" t="e">
        <v>#N/A</v>
      </c>
      <c r="F457" s="1464" t="e">
        <f t="shared" si="1"/>
        <v>#N/A</v>
      </c>
      <c r="K457" s="1646">
        <v>42514</v>
      </c>
      <c r="L457" s="1647" t="s">
        <v>1653</v>
      </c>
      <c r="M457" s="1648">
        <v>5.2531000000000001E-2</v>
      </c>
      <c r="N457" s="1649">
        <v>1.1718189327636661</v>
      </c>
      <c r="O457" s="1649">
        <v>1.1718189327636661</v>
      </c>
    </row>
    <row r="458" spans="2:15">
      <c r="B458" s="1463">
        <v>46357</v>
      </c>
      <c r="C458" s="1464" t="e">
        <v>#N/A</v>
      </c>
      <c r="D458" s="1464" t="e">
        <v>#N/A</v>
      </c>
      <c r="E458" s="1464" t="e">
        <v>#N/A</v>
      </c>
      <c r="F458" s="1464" t="e">
        <f t="shared" si="1"/>
        <v>#N/A</v>
      </c>
      <c r="K458" s="1646">
        <v>42515</v>
      </c>
      <c r="L458" s="1647" t="s">
        <v>1653</v>
      </c>
      <c r="M458" s="1648">
        <v>5.2531000000000001E-2</v>
      </c>
      <c r="N458" s="1649">
        <v>1.1724345009672361</v>
      </c>
      <c r="O458" s="1649">
        <v>1.1724345009672361</v>
      </c>
    </row>
    <row r="459" spans="2:15">
      <c r="B459" s="1463">
        <v>46388</v>
      </c>
      <c r="C459" s="1464" t="e">
        <v>#N/A</v>
      </c>
      <c r="D459" s="1464" t="e">
        <v>#N/A</v>
      </c>
      <c r="E459" s="1464" t="e">
        <v>#N/A</v>
      </c>
      <c r="F459" s="1464" t="e">
        <f t="shared" si="1"/>
        <v>#N/A</v>
      </c>
      <c r="K459" s="1646">
        <v>42516</v>
      </c>
      <c r="L459" s="1647"/>
      <c r="M459" s="1648">
        <v>0</v>
      </c>
      <c r="N459" s="1649">
        <v>1.1724345009672361</v>
      </c>
      <c r="O459" s="1649">
        <v>1.1724345009672361</v>
      </c>
    </row>
    <row r="460" spans="2:15">
      <c r="B460" s="1463">
        <v>46419</v>
      </c>
      <c r="C460" s="1464" t="e">
        <v>#N/A</v>
      </c>
      <c r="D460" s="1464" t="e">
        <v>#N/A</v>
      </c>
      <c r="E460" s="1464" t="e">
        <v>#N/A</v>
      </c>
      <c r="F460" s="1464" t="e">
        <f t="shared" si="1"/>
        <v>#N/A</v>
      </c>
      <c r="K460" s="1646">
        <v>42517</v>
      </c>
      <c r="L460" s="1647" t="s">
        <v>1653</v>
      </c>
      <c r="M460" s="1648">
        <v>5.2531000000000001E-2</v>
      </c>
      <c r="N460" s="1649">
        <v>1.1730503925349391</v>
      </c>
      <c r="O460" s="1649">
        <v>1.1730503925349391</v>
      </c>
    </row>
    <row r="461" spans="2:15">
      <c r="B461" s="1463">
        <v>46447</v>
      </c>
      <c r="C461" s="1464" t="e">
        <v>#N/A</v>
      </c>
      <c r="D461" s="1464" t="e">
        <v>#N/A</v>
      </c>
      <c r="E461" s="1464" t="e">
        <v>#N/A</v>
      </c>
      <c r="F461" s="1464" t="e">
        <f t="shared" si="1"/>
        <v>#N/A</v>
      </c>
      <c r="K461" s="1646">
        <v>42518</v>
      </c>
      <c r="L461" s="1647"/>
      <c r="M461" s="1648">
        <v>0</v>
      </c>
      <c r="N461" s="1649">
        <v>1.1730503925349391</v>
      </c>
      <c r="O461" s="1649">
        <v>1.1730503925349391</v>
      </c>
    </row>
    <row r="462" spans="2:15">
      <c r="B462" s="1463">
        <v>46478</v>
      </c>
      <c r="C462" s="1464" t="e">
        <v>#N/A</v>
      </c>
      <c r="D462" s="1464" t="e">
        <v>#N/A</v>
      </c>
      <c r="E462" s="1464" t="e">
        <v>#N/A</v>
      </c>
      <c r="F462" s="1464" t="e">
        <f t="shared" si="1"/>
        <v>#N/A</v>
      </c>
      <c r="K462" s="1646">
        <v>42519</v>
      </c>
      <c r="L462" s="1647"/>
      <c r="M462" s="1648">
        <v>0</v>
      </c>
      <c r="N462" s="1649">
        <v>1.1730503925349391</v>
      </c>
      <c r="O462" s="1649">
        <v>1.1730503925349391</v>
      </c>
    </row>
    <row r="463" spans="2:15">
      <c r="B463" s="1463">
        <v>46508</v>
      </c>
      <c r="C463" s="1464" t="e">
        <v>#N/A</v>
      </c>
      <c r="D463" s="1464" t="e">
        <v>#N/A</v>
      </c>
      <c r="E463" s="1464" t="e">
        <v>#N/A</v>
      </c>
      <c r="F463" s="1464" t="e">
        <f t="shared" si="1"/>
        <v>#N/A</v>
      </c>
      <c r="K463" s="1646">
        <v>42520</v>
      </c>
      <c r="L463" s="1647" t="s">
        <v>1653</v>
      </c>
      <c r="M463" s="1648">
        <v>5.2531000000000001E-2</v>
      </c>
      <c r="N463" s="1649">
        <v>1.1736666076366418</v>
      </c>
      <c r="O463" s="1649">
        <v>1.1736666076366418</v>
      </c>
    </row>
    <row r="464" spans="2:15">
      <c r="B464" s="1463">
        <v>46539</v>
      </c>
      <c r="C464" s="1464" t="e">
        <v>#N/A</v>
      </c>
      <c r="D464" s="1464" t="e">
        <v>#N/A</v>
      </c>
      <c r="E464" s="1464" t="e">
        <v>#N/A</v>
      </c>
      <c r="F464" s="1464" t="e">
        <f t="shared" si="1"/>
        <v>#N/A</v>
      </c>
      <c r="K464" s="1646">
        <v>42521</v>
      </c>
      <c r="L464" s="1647" t="s">
        <v>1653</v>
      </c>
      <c r="M464" s="1648">
        <v>5.2531000000000001E-2</v>
      </c>
      <c r="N464" s="1649">
        <v>1.1742831464422994</v>
      </c>
      <c r="O464" s="1649">
        <v>1.1742831464422994</v>
      </c>
    </row>
    <row r="465" spans="2:15">
      <c r="B465" s="1463">
        <v>46569</v>
      </c>
      <c r="C465" s="1464" t="e">
        <v>#N/A</v>
      </c>
      <c r="D465" s="1464" t="e">
        <v>#N/A</v>
      </c>
      <c r="E465" s="1464" t="e">
        <v>#N/A</v>
      </c>
      <c r="F465" s="1464" t="e">
        <f t="shared" si="1"/>
        <v>#N/A</v>
      </c>
      <c r="K465" s="1646">
        <v>42522</v>
      </c>
      <c r="L465" s="1647" t="s">
        <v>1653</v>
      </c>
      <c r="M465" s="1648">
        <v>5.2531000000000001E-2</v>
      </c>
      <c r="N465" s="1649">
        <v>1.174900009121957</v>
      </c>
      <c r="O465" s="1649">
        <v>1.174900009121957</v>
      </c>
    </row>
    <row r="466" spans="2:15">
      <c r="B466" s="1463">
        <v>46600</v>
      </c>
      <c r="C466" s="1464" t="e">
        <v>#N/A</v>
      </c>
      <c r="D466" s="1464" t="e">
        <v>#N/A</v>
      </c>
      <c r="E466" s="1464" t="e">
        <v>#N/A</v>
      </c>
      <c r="F466" s="1464" t="e">
        <f t="shared" si="1"/>
        <v>#N/A</v>
      </c>
      <c r="K466" s="1646">
        <v>42523</v>
      </c>
      <c r="L466" s="1647" t="s">
        <v>1653</v>
      </c>
      <c r="M466" s="1648">
        <v>5.2531000000000001E-2</v>
      </c>
      <c r="N466" s="1649">
        <v>1.1755171958457489</v>
      </c>
      <c r="O466" s="1649">
        <v>1.1755171958457489</v>
      </c>
    </row>
    <row r="467" spans="2:15">
      <c r="B467" s="1463">
        <v>46631</v>
      </c>
      <c r="C467" s="1464" t="e">
        <v>#N/A</v>
      </c>
      <c r="D467" s="1464" t="e">
        <v>#N/A</v>
      </c>
      <c r="E467" s="1464" t="e">
        <v>#N/A</v>
      </c>
      <c r="F467" s="1464" t="e">
        <f t="shared" si="1"/>
        <v>#N/A</v>
      </c>
      <c r="K467" s="1646">
        <v>42524</v>
      </c>
      <c r="L467" s="1647" t="s">
        <v>1653</v>
      </c>
      <c r="M467" s="1648">
        <v>5.2531000000000001E-2</v>
      </c>
      <c r="N467" s="1649">
        <v>1.1761347067838985</v>
      </c>
      <c r="O467" s="1649">
        <v>1.1761347067838985</v>
      </c>
    </row>
    <row r="468" spans="2:15">
      <c r="B468" s="1463">
        <v>46661</v>
      </c>
      <c r="C468" s="1464" t="e">
        <v>#N/A</v>
      </c>
      <c r="D468" s="1464" t="e">
        <v>#N/A</v>
      </c>
      <c r="E468" s="1464" t="e">
        <v>#N/A</v>
      </c>
      <c r="F468" s="1464" t="e">
        <f t="shared" si="1"/>
        <v>#N/A</v>
      </c>
      <c r="K468" s="1646">
        <v>42525</v>
      </c>
      <c r="L468" s="1647"/>
      <c r="M468" s="1648">
        <v>0</v>
      </c>
      <c r="N468" s="1649">
        <v>1.1761347067838985</v>
      </c>
      <c r="O468" s="1649">
        <v>1.1761347067838985</v>
      </c>
    </row>
    <row r="469" spans="2:15">
      <c r="B469" s="1463">
        <v>46692</v>
      </c>
      <c r="C469" s="1464" t="e">
        <v>#N/A</v>
      </c>
      <c r="D469" s="1464" t="e">
        <v>#N/A</v>
      </c>
      <c r="E469" s="1464" t="e">
        <v>#N/A</v>
      </c>
      <c r="F469" s="1464" t="e">
        <f t="shared" si="1"/>
        <v>#N/A</v>
      </c>
      <c r="K469" s="1646">
        <v>42526</v>
      </c>
      <c r="L469" s="1647"/>
      <c r="M469" s="1648">
        <v>0</v>
      </c>
      <c r="N469" s="1649">
        <v>1.1761347067838985</v>
      </c>
      <c r="O469" s="1649">
        <v>1.1761347067838985</v>
      </c>
    </row>
    <row r="470" spans="2:15">
      <c r="B470" s="1463">
        <v>46722</v>
      </c>
      <c r="C470" s="1464" t="e">
        <v>#N/A</v>
      </c>
      <c r="D470" s="1464" t="e">
        <v>#N/A</v>
      </c>
      <c r="E470" s="1464" t="e">
        <v>#N/A</v>
      </c>
      <c r="F470" s="1464" t="e">
        <f t="shared" si="1"/>
        <v>#N/A</v>
      </c>
      <c r="K470" s="1646">
        <v>42527</v>
      </c>
      <c r="L470" s="1647" t="s">
        <v>1653</v>
      </c>
      <c r="M470" s="1648">
        <v>5.2531000000000001E-2</v>
      </c>
      <c r="N470" s="1649">
        <v>1.1767525421067191</v>
      </c>
      <c r="O470" s="1649">
        <v>1.1767525421067191</v>
      </c>
    </row>
    <row r="471" spans="2:15">
      <c r="B471" s="1463">
        <v>46753</v>
      </c>
      <c r="C471" s="1464" t="e">
        <v>#N/A</v>
      </c>
      <c r="D471" s="1464" t="e">
        <v>#N/A</v>
      </c>
      <c r="E471" s="1464" t="e">
        <v>#N/A</v>
      </c>
      <c r="F471" s="1464" t="e">
        <f t="shared" si="1"/>
        <v>#N/A</v>
      </c>
      <c r="K471" s="1646">
        <v>42528</v>
      </c>
      <c r="L471" s="1647" t="s">
        <v>1653</v>
      </c>
      <c r="M471" s="1648">
        <v>5.2531000000000001E-2</v>
      </c>
      <c r="N471" s="1649">
        <v>1.1773707019846131</v>
      </c>
      <c r="O471" s="1649">
        <v>1.1773707019846131</v>
      </c>
    </row>
    <row r="472" spans="2:15">
      <c r="B472" s="1463">
        <v>46784</v>
      </c>
      <c r="C472" s="1464" t="e">
        <v>#N/A</v>
      </c>
      <c r="D472" s="1464" t="e">
        <v>#N/A</v>
      </c>
      <c r="E472" s="1464" t="e">
        <v>#N/A</v>
      </c>
      <c r="F472" s="1464" t="e">
        <f t="shared" si="1"/>
        <v>#N/A</v>
      </c>
      <c r="K472" s="1646">
        <v>42529</v>
      </c>
      <c r="L472" s="1647" t="s">
        <v>1653</v>
      </c>
      <c r="M472" s="1648">
        <v>5.2531000000000001E-2</v>
      </c>
      <c r="N472" s="1649">
        <v>1.1779891865880727</v>
      </c>
      <c r="O472" s="1649">
        <v>1.1779891865880727</v>
      </c>
    </row>
    <row r="473" spans="2:15">
      <c r="B473" s="1463">
        <v>46813</v>
      </c>
      <c r="C473" s="1464" t="e">
        <v>#N/A</v>
      </c>
      <c r="D473" s="1464" t="e">
        <v>#N/A</v>
      </c>
      <c r="E473" s="1464" t="e">
        <v>#N/A</v>
      </c>
      <c r="F473" s="1464" t="e">
        <f t="shared" si="1"/>
        <v>#N/A</v>
      </c>
      <c r="K473" s="1646">
        <v>42530</v>
      </c>
      <c r="L473" s="1647" t="s">
        <v>1653</v>
      </c>
      <c r="M473" s="1648">
        <v>5.2531000000000001E-2</v>
      </c>
      <c r="N473" s="1649">
        <v>1.1786079960876794</v>
      </c>
      <c r="O473" s="1649">
        <v>1.1786079960876794</v>
      </c>
    </row>
    <row r="474" spans="2:15">
      <c r="B474" s="1463">
        <v>46844</v>
      </c>
      <c r="C474" s="1464" t="e">
        <v>#N/A</v>
      </c>
      <c r="D474" s="1464" t="e">
        <v>#N/A</v>
      </c>
      <c r="E474" s="1464" t="e">
        <v>#N/A</v>
      </c>
      <c r="F474" s="1464" t="e">
        <f t="shared" si="1"/>
        <v>#N/A</v>
      </c>
      <c r="K474" s="1646">
        <v>42531</v>
      </c>
      <c r="L474" s="1647" t="s">
        <v>1653</v>
      </c>
      <c r="M474" s="1648">
        <v>5.2531000000000001E-2</v>
      </c>
      <c r="N474" s="1649">
        <v>1.1792271306541042</v>
      </c>
      <c r="O474" s="1649">
        <v>1.1792271306541042</v>
      </c>
    </row>
    <row r="475" spans="2:15">
      <c r="B475" s="1463">
        <v>46874</v>
      </c>
      <c r="C475" s="1464" t="e">
        <v>#N/A</v>
      </c>
      <c r="D475" s="1464" t="e">
        <v>#N/A</v>
      </c>
      <c r="E475" s="1464" t="e">
        <v>#N/A</v>
      </c>
      <c r="F475" s="1464" t="e">
        <f t="shared" si="1"/>
        <v>#N/A</v>
      </c>
      <c r="K475" s="1646">
        <v>42532</v>
      </c>
      <c r="L475" s="1647"/>
      <c r="M475" s="1648">
        <v>0</v>
      </c>
      <c r="N475" s="1649">
        <v>1.1792271306541042</v>
      </c>
      <c r="O475" s="1649">
        <v>1.1792271306541042</v>
      </c>
    </row>
    <row r="476" spans="2:15">
      <c r="B476" s="1463">
        <v>46905</v>
      </c>
      <c r="C476" s="1464" t="e">
        <v>#N/A</v>
      </c>
      <c r="D476" s="1464" t="e">
        <v>#N/A</v>
      </c>
      <c r="E476" s="1464" t="e">
        <v>#N/A</v>
      </c>
      <c r="F476" s="1464" t="e">
        <f t="shared" si="1"/>
        <v>#N/A</v>
      </c>
      <c r="K476" s="1646">
        <v>42533</v>
      </c>
      <c r="L476" s="1647"/>
      <c r="M476" s="1648">
        <v>0</v>
      </c>
      <c r="N476" s="1649">
        <v>1.1792271306541042</v>
      </c>
      <c r="O476" s="1649">
        <v>1.1792271306541042</v>
      </c>
    </row>
    <row r="477" spans="2:15">
      <c r="B477" s="1463">
        <v>46935</v>
      </c>
      <c r="C477" s="1464" t="e">
        <v>#N/A</v>
      </c>
      <c r="D477" s="1464" t="e">
        <v>#N/A</v>
      </c>
      <c r="E477" s="1464" t="e">
        <v>#N/A</v>
      </c>
      <c r="F477" s="1464" t="e">
        <f t="shared" si="1"/>
        <v>#N/A</v>
      </c>
      <c r="K477" s="1646">
        <v>42534</v>
      </c>
      <c r="L477" s="1647" t="s">
        <v>1653</v>
      </c>
      <c r="M477" s="1648">
        <v>5.2531000000000001E-2</v>
      </c>
      <c r="N477" s="1649">
        <v>1.1798465904581081</v>
      </c>
      <c r="O477" s="1649">
        <v>1.1798465904581081</v>
      </c>
    </row>
    <row r="478" spans="2:15">
      <c r="B478" s="1463">
        <v>46966</v>
      </c>
      <c r="C478" s="1464" t="e">
        <v>#N/A</v>
      </c>
      <c r="D478" s="1464" t="e">
        <v>#N/A</v>
      </c>
      <c r="E478" s="1464" t="e">
        <v>#N/A</v>
      </c>
      <c r="F478" s="1464" t="e">
        <f t="shared" si="1"/>
        <v>#N/A</v>
      </c>
      <c r="K478" s="1646">
        <v>42535</v>
      </c>
      <c r="L478" s="1647" t="s">
        <v>1653</v>
      </c>
      <c r="M478" s="1648">
        <v>5.2531000000000001E-2</v>
      </c>
      <c r="N478" s="1649">
        <v>1.1804663756705416</v>
      </c>
      <c r="O478" s="1649">
        <v>1.1804663756705416</v>
      </c>
    </row>
    <row r="479" spans="2:15">
      <c r="B479" s="1463">
        <v>46997</v>
      </c>
      <c r="C479" s="1464" t="e">
        <v>#N/A</v>
      </c>
      <c r="D479" s="1464" t="e">
        <v>#N/A</v>
      </c>
      <c r="E479" s="1464" t="e">
        <v>#N/A</v>
      </c>
      <c r="F479" s="1464" t="e">
        <f t="shared" si="1"/>
        <v>#N/A</v>
      </c>
      <c r="K479" s="1646">
        <v>42536</v>
      </c>
      <c r="L479" s="1647" t="s">
        <v>1653</v>
      </c>
      <c r="M479" s="1648">
        <v>5.2531000000000001E-2</v>
      </c>
      <c r="N479" s="1649">
        <v>1.1810864864623452</v>
      </c>
      <c r="O479" s="1649">
        <v>1.1810864864623452</v>
      </c>
    </row>
    <row r="480" spans="2:15">
      <c r="B480" s="1463">
        <v>47027</v>
      </c>
      <c r="C480" s="1464" t="e">
        <v>#N/A</v>
      </c>
      <c r="D480" s="1464" t="e">
        <v>#N/A</v>
      </c>
      <c r="E480" s="1464" t="e">
        <v>#N/A</v>
      </c>
      <c r="F480" s="1464" t="e">
        <f t="shared" si="1"/>
        <v>#N/A</v>
      </c>
      <c r="K480" s="1646">
        <v>42537</v>
      </c>
      <c r="L480" s="1647" t="s">
        <v>1653</v>
      </c>
      <c r="M480" s="1648">
        <v>5.2531000000000001E-2</v>
      </c>
      <c r="N480" s="1649">
        <v>1.1817069230045487</v>
      </c>
      <c r="O480" s="1649">
        <v>1.1817069230045487</v>
      </c>
    </row>
    <row r="481" spans="2:15">
      <c r="B481" s="1463">
        <v>47058</v>
      </c>
      <c r="C481" s="1464" t="e">
        <v>#N/A</v>
      </c>
      <c r="D481" s="1464" t="e">
        <v>#N/A</v>
      </c>
      <c r="E481" s="1464" t="e">
        <v>#N/A</v>
      </c>
      <c r="F481" s="1464" t="e">
        <f t="shared" si="1"/>
        <v>#N/A</v>
      </c>
      <c r="K481" s="1646">
        <v>42538</v>
      </c>
      <c r="L481" s="1647" t="s">
        <v>1653</v>
      </c>
      <c r="M481" s="1648">
        <v>5.2531000000000001E-2</v>
      </c>
      <c r="N481" s="1649">
        <v>1.1823276854682723</v>
      </c>
      <c r="O481" s="1649">
        <v>1.1823276854682723</v>
      </c>
    </row>
    <row r="482" spans="2:15">
      <c r="B482" s="1463">
        <v>47088</v>
      </c>
      <c r="C482" s="1464" t="e">
        <v>#N/A</v>
      </c>
      <c r="D482" s="1464" t="e">
        <v>#N/A</v>
      </c>
      <c r="E482" s="1464" t="e">
        <v>#N/A</v>
      </c>
      <c r="F482" s="1464" t="e">
        <f t="shared" si="1"/>
        <v>#N/A</v>
      </c>
      <c r="K482" s="1646">
        <v>42539</v>
      </c>
      <c r="L482" s="1647"/>
      <c r="M482" s="1648">
        <v>0</v>
      </c>
      <c r="N482" s="1649">
        <v>1.1823276854682723</v>
      </c>
      <c r="O482" s="1649">
        <v>1.1823276854682723</v>
      </c>
    </row>
    <row r="483" spans="2:15">
      <c r="B483" s="1463">
        <v>47119</v>
      </c>
      <c r="C483" s="1464" t="e">
        <v>#N/A</v>
      </c>
      <c r="D483" s="1464" t="e">
        <v>#N/A</v>
      </c>
      <c r="E483" s="1464" t="e">
        <v>#N/A</v>
      </c>
      <c r="F483" s="1464" t="e">
        <f t="shared" si="1"/>
        <v>#N/A</v>
      </c>
      <c r="K483" s="1646">
        <v>42540</v>
      </c>
      <c r="L483" s="1647"/>
      <c r="M483" s="1648">
        <v>0</v>
      </c>
      <c r="N483" s="1649">
        <v>1.1823276854682723</v>
      </c>
      <c r="O483" s="1649">
        <v>1.1823276854682723</v>
      </c>
    </row>
    <row r="484" spans="2:15">
      <c r="B484" s="1463">
        <v>47150</v>
      </c>
      <c r="C484" s="1464" t="e">
        <v>#N/A</v>
      </c>
      <c r="D484" s="1464" t="e">
        <v>#N/A</v>
      </c>
      <c r="E484" s="1464" t="e">
        <v>#N/A</v>
      </c>
      <c r="F484" s="1464" t="e">
        <f t="shared" ref="F484:F500" si="2">F483*E484</f>
        <v>#N/A</v>
      </c>
      <c r="K484" s="1646">
        <v>42541</v>
      </c>
      <c r="L484" s="1647" t="s">
        <v>1653</v>
      </c>
      <c r="M484" s="1648">
        <v>5.2531000000000001E-2</v>
      </c>
      <c r="N484" s="1649">
        <v>1.1829487740247255</v>
      </c>
      <c r="O484" s="1649">
        <v>1.1829487740247255</v>
      </c>
    </row>
    <row r="485" spans="2:15">
      <c r="B485" s="1463">
        <v>47178</v>
      </c>
      <c r="C485" s="1464" t="e">
        <v>#N/A</v>
      </c>
      <c r="D485" s="1464" t="e">
        <v>#N/A</v>
      </c>
      <c r="E485" s="1464" t="e">
        <v>#N/A</v>
      </c>
      <c r="F485" s="1464" t="e">
        <f t="shared" si="2"/>
        <v>#N/A</v>
      </c>
      <c r="K485" s="1646">
        <v>42542</v>
      </c>
      <c r="L485" s="1647" t="s">
        <v>1653</v>
      </c>
      <c r="M485" s="1648">
        <v>5.2531000000000001E-2</v>
      </c>
      <c r="N485" s="1649">
        <v>1.1835701888452084</v>
      </c>
      <c r="O485" s="1649">
        <v>1.1835701888452084</v>
      </c>
    </row>
    <row r="486" spans="2:15">
      <c r="B486" s="1463">
        <v>47209</v>
      </c>
      <c r="C486" s="1464" t="e">
        <v>#N/A</v>
      </c>
      <c r="D486" s="1464" t="e">
        <v>#N/A</v>
      </c>
      <c r="E486" s="1464" t="e">
        <v>#N/A</v>
      </c>
      <c r="F486" s="1464" t="e">
        <f t="shared" si="2"/>
        <v>#N/A</v>
      </c>
      <c r="K486" s="1646">
        <v>42543</v>
      </c>
      <c r="L486" s="1647" t="s">
        <v>1653</v>
      </c>
      <c r="M486" s="1648">
        <v>5.2531000000000001E-2</v>
      </c>
      <c r="N486" s="1649">
        <v>1.1841919301011106</v>
      </c>
      <c r="O486" s="1649">
        <v>1.1841919301011106</v>
      </c>
    </row>
    <row r="487" spans="2:15">
      <c r="B487" s="1463">
        <v>47239</v>
      </c>
      <c r="C487" s="1464" t="e">
        <v>#N/A</v>
      </c>
      <c r="D487" s="1464" t="e">
        <v>#N/A</v>
      </c>
      <c r="E487" s="1464" t="e">
        <v>#N/A</v>
      </c>
      <c r="F487" s="1464" t="e">
        <f t="shared" si="2"/>
        <v>#N/A</v>
      </c>
      <c r="K487" s="1646">
        <v>42544</v>
      </c>
      <c r="L487" s="1647" t="s">
        <v>1653</v>
      </c>
      <c r="M487" s="1648">
        <v>5.2531000000000001E-2</v>
      </c>
      <c r="N487" s="1649">
        <v>1.1848139979639121</v>
      </c>
      <c r="O487" s="1649">
        <v>1.1848139979639121</v>
      </c>
    </row>
    <row r="488" spans="2:15">
      <c r="B488" s="1463">
        <v>47270</v>
      </c>
      <c r="C488" s="1464" t="e">
        <v>#N/A</v>
      </c>
      <c r="D488" s="1464" t="e">
        <v>#N/A</v>
      </c>
      <c r="E488" s="1464" t="e">
        <v>#N/A</v>
      </c>
      <c r="F488" s="1464" t="e">
        <f t="shared" si="2"/>
        <v>#N/A</v>
      </c>
      <c r="K488" s="1646">
        <v>42545</v>
      </c>
      <c r="L488" s="1647" t="s">
        <v>1653</v>
      </c>
      <c r="M488" s="1648">
        <v>5.2531000000000001E-2</v>
      </c>
      <c r="N488" s="1649">
        <v>1.1854363926051825</v>
      </c>
      <c r="O488" s="1649">
        <v>1.1854363926051825</v>
      </c>
    </row>
    <row r="489" spans="2:15">
      <c r="B489" s="1463">
        <v>47300</v>
      </c>
      <c r="C489" s="1464" t="e">
        <v>#N/A</v>
      </c>
      <c r="D489" s="1464" t="e">
        <v>#N/A</v>
      </c>
      <c r="E489" s="1464" t="e">
        <v>#N/A</v>
      </c>
      <c r="F489" s="1464" t="e">
        <f t="shared" si="2"/>
        <v>#N/A</v>
      </c>
      <c r="K489" s="1646">
        <v>42546</v>
      </c>
      <c r="L489" s="1647"/>
      <c r="M489" s="1648">
        <v>0</v>
      </c>
      <c r="N489" s="1649">
        <v>1.1854363926051825</v>
      </c>
      <c r="O489" s="1649">
        <v>1.1854363926051825</v>
      </c>
    </row>
    <row r="490" spans="2:15">
      <c r="B490" s="1463">
        <v>47331</v>
      </c>
      <c r="C490" s="1464" t="e">
        <v>#N/A</v>
      </c>
      <c r="D490" s="1464" t="e">
        <v>#N/A</v>
      </c>
      <c r="E490" s="1464" t="e">
        <v>#N/A</v>
      </c>
      <c r="F490" s="1464" t="e">
        <f t="shared" si="2"/>
        <v>#N/A</v>
      </c>
      <c r="K490" s="1646">
        <v>42547</v>
      </c>
      <c r="L490" s="1647"/>
      <c r="M490" s="1648">
        <v>0</v>
      </c>
      <c r="N490" s="1649">
        <v>1.1854363926051825</v>
      </c>
      <c r="O490" s="1649">
        <v>1.1854363926051825</v>
      </c>
    </row>
    <row r="491" spans="2:15">
      <c r="B491" s="1463">
        <v>47362</v>
      </c>
      <c r="C491" s="1464" t="e">
        <v>#N/A</v>
      </c>
      <c r="D491" s="1464" t="e">
        <v>#N/A</v>
      </c>
      <c r="E491" s="1464" t="e">
        <v>#N/A</v>
      </c>
      <c r="F491" s="1464" t="e">
        <f t="shared" si="2"/>
        <v>#N/A</v>
      </c>
      <c r="K491" s="1646">
        <v>42548</v>
      </c>
      <c r="L491" s="1647" t="s">
        <v>1653</v>
      </c>
      <c r="M491" s="1648">
        <v>5.2531000000000001E-2</v>
      </c>
      <c r="N491" s="1649">
        <v>1.1860591141965819</v>
      </c>
      <c r="O491" s="1649">
        <v>1.1860591141965819</v>
      </c>
    </row>
    <row r="492" spans="2:15">
      <c r="B492" s="1463">
        <v>47392</v>
      </c>
      <c r="C492" s="1464" t="e">
        <v>#N/A</v>
      </c>
      <c r="D492" s="1464" t="e">
        <v>#N/A</v>
      </c>
      <c r="E492" s="1464" t="e">
        <v>#N/A</v>
      </c>
      <c r="F492" s="1464" t="e">
        <f t="shared" si="2"/>
        <v>#N/A</v>
      </c>
      <c r="K492" s="1646">
        <v>42549</v>
      </c>
      <c r="L492" s="1647" t="s">
        <v>1653</v>
      </c>
      <c r="M492" s="1648">
        <v>5.2531000000000001E-2</v>
      </c>
      <c r="N492" s="1649">
        <v>1.1866821629098605</v>
      </c>
      <c r="O492" s="1649">
        <v>1.1866821629098605</v>
      </c>
    </row>
    <row r="493" spans="2:15">
      <c r="B493" s="1463">
        <v>47423</v>
      </c>
      <c r="C493" s="1464" t="e">
        <v>#N/A</v>
      </c>
      <c r="D493" s="1464" t="e">
        <v>#N/A</v>
      </c>
      <c r="E493" s="1464" t="e">
        <v>#N/A</v>
      </c>
      <c r="F493" s="1464" t="e">
        <f t="shared" si="2"/>
        <v>#N/A</v>
      </c>
      <c r="K493" s="1646">
        <v>42550</v>
      </c>
      <c r="L493" s="1647" t="s">
        <v>1653</v>
      </c>
      <c r="M493" s="1648">
        <v>5.2531000000000001E-2</v>
      </c>
      <c r="N493" s="1649">
        <v>1.1873055389168587</v>
      </c>
      <c r="O493" s="1649">
        <v>1.1873055389168587</v>
      </c>
    </row>
    <row r="494" spans="2:15">
      <c r="B494" s="1463">
        <v>47453</v>
      </c>
      <c r="C494" s="1464" t="e">
        <v>#N/A</v>
      </c>
      <c r="D494" s="1464" t="e">
        <v>#N/A</v>
      </c>
      <c r="E494" s="1464" t="e">
        <v>#N/A</v>
      </c>
      <c r="F494" s="1464" t="e">
        <f t="shared" si="2"/>
        <v>#N/A</v>
      </c>
      <c r="K494" s="1646">
        <v>42551</v>
      </c>
      <c r="L494" s="1647" t="s">
        <v>1653</v>
      </c>
      <c r="M494" s="1648">
        <v>5.2531000000000001E-2</v>
      </c>
      <c r="N494" s="1649">
        <v>1.1879292423895071</v>
      </c>
      <c r="O494" s="1649">
        <v>1.1879292423895071</v>
      </c>
    </row>
    <row r="495" spans="2:15">
      <c r="B495" s="1463">
        <v>47484</v>
      </c>
      <c r="C495" s="1464" t="e">
        <v>#N/A</v>
      </c>
      <c r="D495" s="1464" t="e">
        <v>#N/A</v>
      </c>
      <c r="E495" s="1464" t="e">
        <v>#N/A</v>
      </c>
      <c r="F495" s="1464" t="e">
        <f t="shared" si="2"/>
        <v>#N/A</v>
      </c>
      <c r="K495" s="1646">
        <v>42552</v>
      </c>
      <c r="L495" s="1647" t="s">
        <v>1653</v>
      </c>
      <c r="M495" s="1648">
        <v>5.2531000000000001E-2</v>
      </c>
      <c r="N495" s="1649">
        <v>1.1885532734998268</v>
      </c>
      <c r="O495" s="1649">
        <v>1.1885532734998268</v>
      </c>
    </row>
    <row r="496" spans="2:15">
      <c r="B496" s="1463">
        <v>47515</v>
      </c>
      <c r="C496" s="1464" t="e">
        <v>#N/A</v>
      </c>
      <c r="D496" s="1464" t="e">
        <v>#N/A</v>
      </c>
      <c r="E496" s="1464" t="e">
        <v>#N/A</v>
      </c>
      <c r="F496" s="1464" t="e">
        <f t="shared" si="2"/>
        <v>#N/A</v>
      </c>
      <c r="K496" s="1646">
        <v>42553</v>
      </c>
      <c r="L496" s="1647"/>
      <c r="M496" s="1648">
        <v>0</v>
      </c>
      <c r="N496" s="1649">
        <v>1.1885532734998268</v>
      </c>
      <c r="O496" s="1649">
        <v>1.1885532734998268</v>
      </c>
    </row>
    <row r="497" spans="2:15">
      <c r="B497" s="1463">
        <v>47543</v>
      </c>
      <c r="C497" s="1464" t="e">
        <v>#N/A</v>
      </c>
      <c r="D497" s="1464" t="e">
        <v>#N/A</v>
      </c>
      <c r="E497" s="1464" t="e">
        <v>#N/A</v>
      </c>
      <c r="F497" s="1464" t="e">
        <f t="shared" si="2"/>
        <v>#N/A</v>
      </c>
      <c r="K497" s="1646">
        <v>42554</v>
      </c>
      <c r="L497" s="1647"/>
      <c r="M497" s="1648">
        <v>0</v>
      </c>
      <c r="N497" s="1649">
        <v>1.1885532734998268</v>
      </c>
      <c r="O497" s="1649">
        <v>1.1885532734998268</v>
      </c>
    </row>
    <row r="498" spans="2:15">
      <c r="B498" s="1463">
        <v>47574</v>
      </c>
      <c r="C498" s="1464" t="e">
        <v>#N/A</v>
      </c>
      <c r="D498" s="1464" t="e">
        <v>#N/A</v>
      </c>
      <c r="E498" s="1464" t="e">
        <v>#N/A</v>
      </c>
      <c r="F498" s="1464" t="e">
        <f t="shared" si="2"/>
        <v>#N/A</v>
      </c>
      <c r="K498" s="1646">
        <v>42555</v>
      </c>
      <c r="L498" s="1647" t="s">
        <v>1653</v>
      </c>
      <c r="M498" s="1648">
        <v>5.2531000000000001E-2</v>
      </c>
      <c r="N498" s="1649">
        <v>1.189177632419929</v>
      </c>
      <c r="O498" s="1649">
        <v>1.189177632419929</v>
      </c>
    </row>
    <row r="499" spans="2:15">
      <c r="B499" s="1463">
        <v>47604</v>
      </c>
      <c r="C499" s="1464" t="e">
        <v>#N/A</v>
      </c>
      <c r="D499" s="1464" t="e">
        <v>#N/A</v>
      </c>
      <c r="E499" s="1464" t="e">
        <v>#N/A</v>
      </c>
      <c r="F499" s="1464" t="e">
        <f t="shared" si="2"/>
        <v>#N/A</v>
      </c>
      <c r="K499" s="1646">
        <v>42556</v>
      </c>
      <c r="L499" s="1647" t="s">
        <v>1653</v>
      </c>
      <c r="M499" s="1648">
        <v>5.2531000000000001E-2</v>
      </c>
      <c r="N499" s="1649">
        <v>1.1898023193220155</v>
      </c>
      <c r="O499" s="1649">
        <v>1.1898023193220155</v>
      </c>
    </row>
    <row r="500" spans="2:15">
      <c r="B500" s="1463">
        <v>47635</v>
      </c>
      <c r="C500" s="1464" t="e">
        <v>#N/A</v>
      </c>
      <c r="D500" s="1464" t="e">
        <v>#N/A</v>
      </c>
      <c r="E500" s="1464" t="e">
        <v>#N/A</v>
      </c>
      <c r="F500" s="1464" t="e">
        <f t="shared" si="2"/>
        <v>#N/A</v>
      </c>
      <c r="K500" s="1646">
        <v>42557</v>
      </c>
      <c r="L500" s="1647" t="s">
        <v>1653</v>
      </c>
      <c r="M500" s="1648">
        <v>5.2531000000000001E-2</v>
      </c>
      <c r="N500" s="1649">
        <v>1.1904273343783787</v>
      </c>
      <c r="O500" s="1649">
        <v>1.1904273343783787</v>
      </c>
    </row>
    <row r="501" spans="2:15">
      <c r="K501" s="1646">
        <v>42558</v>
      </c>
      <c r="L501" s="1647" t="s">
        <v>1653</v>
      </c>
      <c r="M501" s="1648">
        <v>5.2531000000000001E-2</v>
      </c>
      <c r="N501" s="1649">
        <v>1.191052677761401</v>
      </c>
      <c r="O501" s="1649">
        <v>1.191052677761401</v>
      </c>
    </row>
    <row r="502" spans="2:15">
      <c r="K502" s="1646">
        <v>42559</v>
      </c>
      <c r="L502" s="1647" t="s">
        <v>1653</v>
      </c>
      <c r="M502" s="1648">
        <v>5.2531000000000001E-2</v>
      </c>
      <c r="N502" s="1649">
        <v>1.1916783496435559</v>
      </c>
      <c r="O502" s="1649">
        <v>1.1916783496435559</v>
      </c>
    </row>
    <row r="503" spans="2:15">
      <c r="K503" s="1646">
        <v>42560</v>
      </c>
      <c r="L503" s="1647"/>
      <c r="M503" s="1648">
        <v>0</v>
      </c>
      <c r="N503" s="1649">
        <v>1.1916783496435559</v>
      </c>
      <c r="O503" s="1649">
        <v>1.1916783496435559</v>
      </c>
    </row>
    <row r="504" spans="2:15">
      <c r="K504" s="1646">
        <v>42561</v>
      </c>
      <c r="L504" s="1647"/>
      <c r="M504" s="1648">
        <v>0</v>
      </c>
      <c r="N504" s="1649">
        <v>1.1916783496435559</v>
      </c>
      <c r="O504" s="1649">
        <v>1.1916783496435559</v>
      </c>
    </row>
    <row r="505" spans="2:15">
      <c r="K505" s="1646">
        <v>42562</v>
      </c>
      <c r="L505" s="1647" t="s">
        <v>1653</v>
      </c>
      <c r="M505" s="1648">
        <v>5.2531000000000001E-2</v>
      </c>
      <c r="N505" s="1649">
        <v>1.1923043501974071</v>
      </c>
      <c r="O505" s="1649">
        <v>1.1923043501974071</v>
      </c>
    </row>
    <row r="506" spans="2:15">
      <c r="K506" s="1646">
        <v>42563</v>
      </c>
      <c r="L506" s="1647" t="s">
        <v>1653</v>
      </c>
      <c r="M506" s="1648">
        <v>5.2531000000000001E-2</v>
      </c>
      <c r="N506" s="1649">
        <v>1.1929306795956094</v>
      </c>
      <c r="O506" s="1649">
        <v>1.1929306795956094</v>
      </c>
    </row>
    <row r="507" spans="2:15">
      <c r="K507" s="1646">
        <v>42564</v>
      </c>
      <c r="L507" s="1647" t="s">
        <v>1653</v>
      </c>
      <c r="M507" s="1648">
        <v>5.2531000000000001E-2</v>
      </c>
      <c r="N507" s="1649">
        <v>1.1935573380109077</v>
      </c>
      <c r="O507" s="1649">
        <v>1.1935573380109077</v>
      </c>
    </row>
    <row r="508" spans="2:15">
      <c r="K508" s="1646">
        <v>42565</v>
      </c>
      <c r="L508" s="1647" t="s">
        <v>1653</v>
      </c>
      <c r="M508" s="1648">
        <v>5.2531000000000001E-2</v>
      </c>
      <c r="N508" s="1649">
        <v>1.1941843256161382</v>
      </c>
      <c r="O508" s="1649">
        <v>1.1941843256161382</v>
      </c>
    </row>
    <row r="509" spans="2:15">
      <c r="K509" s="1646">
        <v>42566</v>
      </c>
      <c r="L509" s="1647" t="s">
        <v>1653</v>
      </c>
      <c r="M509" s="1648">
        <v>5.2531000000000001E-2</v>
      </c>
      <c r="N509" s="1649">
        <v>1.1948116425842277</v>
      </c>
      <c r="O509" s="1649">
        <v>1.1948116425842277</v>
      </c>
    </row>
    <row r="510" spans="2:15">
      <c r="K510" s="1646">
        <v>42567</v>
      </c>
      <c r="L510" s="1647"/>
      <c r="M510" s="1648">
        <v>0</v>
      </c>
      <c r="N510" s="1649">
        <v>1.1948116425842277</v>
      </c>
      <c r="O510" s="1649">
        <v>1.1948116425842277</v>
      </c>
    </row>
    <row r="511" spans="2:15">
      <c r="K511" s="1646">
        <v>42568</v>
      </c>
      <c r="L511" s="1647"/>
      <c r="M511" s="1648">
        <v>0</v>
      </c>
      <c r="N511" s="1649">
        <v>1.1948116425842277</v>
      </c>
      <c r="O511" s="1649">
        <v>1.1948116425842277</v>
      </c>
    </row>
    <row r="512" spans="2:15">
      <c r="K512" s="1646">
        <v>42569</v>
      </c>
      <c r="L512" s="1647" t="s">
        <v>1653</v>
      </c>
      <c r="M512" s="1648">
        <v>5.2531000000000001E-2</v>
      </c>
      <c r="N512" s="1649">
        <v>1.1954392890881935</v>
      </c>
      <c r="O512" s="1649">
        <v>1.1954392890881935</v>
      </c>
    </row>
    <row r="513" spans="11:15">
      <c r="K513" s="1646">
        <v>42570</v>
      </c>
      <c r="L513" s="1647" t="s">
        <v>1653</v>
      </c>
      <c r="M513" s="1648">
        <v>5.2531000000000001E-2</v>
      </c>
      <c r="N513" s="1649">
        <v>1.1960672653011444</v>
      </c>
      <c r="O513" s="1649">
        <v>1.1960672653011444</v>
      </c>
    </row>
    <row r="514" spans="11:15">
      <c r="K514" s="1646">
        <v>42571</v>
      </c>
      <c r="L514" s="1647" t="s">
        <v>1653</v>
      </c>
      <c r="M514" s="1648">
        <v>5.2531000000000001E-2</v>
      </c>
      <c r="N514" s="1649">
        <v>1.1966955713962797</v>
      </c>
      <c r="O514" s="1649">
        <v>1.1966955713962797</v>
      </c>
    </row>
    <row r="515" spans="11:15">
      <c r="K515" s="1646">
        <v>42572</v>
      </c>
      <c r="L515" s="1647" t="s">
        <v>1653</v>
      </c>
      <c r="M515" s="1648">
        <v>5.2531000000000001E-2</v>
      </c>
      <c r="N515" s="1649">
        <v>1.19732420754689</v>
      </c>
      <c r="O515" s="1649">
        <v>1.19732420754689</v>
      </c>
    </row>
    <row r="516" spans="11:15">
      <c r="K516" s="1646">
        <v>42573</v>
      </c>
      <c r="L516" s="1647" t="s">
        <v>1653</v>
      </c>
      <c r="M516" s="1648">
        <v>5.2531000000000001E-2</v>
      </c>
      <c r="N516" s="1649">
        <v>1.1979531739263565</v>
      </c>
      <c r="O516" s="1649">
        <v>1.1979531739263565</v>
      </c>
    </row>
    <row r="517" spans="11:15">
      <c r="K517" s="1646">
        <v>42574</v>
      </c>
      <c r="L517" s="1647"/>
      <c r="M517" s="1648">
        <v>0</v>
      </c>
      <c r="N517" s="1649">
        <v>1.1979531739263565</v>
      </c>
      <c r="O517" s="1649">
        <v>1.1979531739263565</v>
      </c>
    </row>
    <row r="518" spans="11:15">
      <c r="K518" s="1646">
        <v>42575</v>
      </c>
      <c r="L518" s="1647"/>
      <c r="M518" s="1648">
        <v>0</v>
      </c>
      <c r="N518" s="1649">
        <v>1.1979531739263565</v>
      </c>
      <c r="O518" s="1649">
        <v>1.1979531739263565</v>
      </c>
    </row>
    <row r="519" spans="11:15">
      <c r="K519" s="1646">
        <v>42576</v>
      </c>
      <c r="L519" s="1647" t="s">
        <v>1653</v>
      </c>
      <c r="M519" s="1648">
        <v>5.2531000000000001E-2</v>
      </c>
      <c r="N519" s="1649">
        <v>1.1985824707081518</v>
      </c>
      <c r="O519" s="1649">
        <v>1.1985824707081518</v>
      </c>
    </row>
    <row r="520" spans="11:15">
      <c r="K520" s="1646">
        <v>42577</v>
      </c>
      <c r="L520" s="1647" t="s">
        <v>1653</v>
      </c>
      <c r="M520" s="1648">
        <v>5.2531000000000001E-2</v>
      </c>
      <c r="N520" s="1649">
        <v>1.1992120980658396</v>
      </c>
      <c r="O520" s="1649">
        <v>1.1992120980658396</v>
      </c>
    </row>
    <row r="521" spans="11:15">
      <c r="K521" s="1646">
        <v>42578</v>
      </c>
      <c r="L521" s="1647" t="s">
        <v>1653</v>
      </c>
      <c r="M521" s="1648">
        <v>5.2531000000000001E-2</v>
      </c>
      <c r="N521" s="1649">
        <v>1.1998420561730745</v>
      </c>
      <c r="O521" s="1649">
        <v>1.1998420561730745</v>
      </c>
    </row>
    <row r="522" spans="11:15">
      <c r="K522" s="1646">
        <v>42579</v>
      </c>
      <c r="L522" s="1647" t="s">
        <v>1653</v>
      </c>
      <c r="M522" s="1648">
        <v>5.2531000000000001E-2</v>
      </c>
      <c r="N522" s="1649">
        <v>1.2004723452036028</v>
      </c>
      <c r="O522" s="1649">
        <v>1.2004723452036028</v>
      </c>
    </row>
    <row r="523" spans="11:15">
      <c r="K523" s="1646">
        <v>42580</v>
      </c>
      <c r="L523" s="1647" t="s">
        <v>1653</v>
      </c>
      <c r="M523" s="1648">
        <v>5.2531000000000001E-2</v>
      </c>
      <c r="N523" s="1649">
        <v>1.2011029653312617</v>
      </c>
      <c r="O523" s="1649">
        <v>1.2011029653312617</v>
      </c>
    </row>
    <row r="524" spans="11:15">
      <c r="K524" s="1646">
        <v>42581</v>
      </c>
      <c r="L524" s="1647"/>
      <c r="M524" s="1648">
        <v>0</v>
      </c>
      <c r="N524" s="1649">
        <v>1.2011029653312617</v>
      </c>
      <c r="O524" s="1649">
        <v>1.2011029653312617</v>
      </c>
    </row>
    <row r="525" spans="11:15">
      <c r="K525" s="1646">
        <v>42582</v>
      </c>
      <c r="L525" s="1647"/>
      <c r="M525" s="1648">
        <v>0</v>
      </c>
      <c r="N525" s="1649">
        <v>1.2011029653312617</v>
      </c>
      <c r="O525" s="1649">
        <v>1.2011029653312617</v>
      </c>
    </row>
    <row r="526" spans="11:15">
      <c r="K526" s="1646">
        <v>42583</v>
      </c>
      <c r="L526" s="1647" t="s">
        <v>1653</v>
      </c>
      <c r="M526" s="1648">
        <v>5.2531000000000001E-2</v>
      </c>
      <c r="N526" s="1649">
        <v>1.2017339167299799</v>
      </c>
      <c r="O526" s="1649">
        <v>1.2017339167299799</v>
      </c>
    </row>
    <row r="527" spans="11:15">
      <c r="K527" s="1646">
        <v>42584</v>
      </c>
      <c r="L527" s="1647" t="s">
        <v>1653</v>
      </c>
      <c r="M527" s="1648">
        <v>5.2531000000000001E-2</v>
      </c>
      <c r="N527" s="1649">
        <v>1.2023651995737772</v>
      </c>
      <c r="O527" s="1649">
        <v>1.2023651995737772</v>
      </c>
    </row>
    <row r="528" spans="11:15">
      <c r="K528" s="1646">
        <v>42585</v>
      </c>
      <c r="L528" s="1647" t="s">
        <v>1653</v>
      </c>
      <c r="M528" s="1648">
        <v>5.2531000000000001E-2</v>
      </c>
      <c r="N528" s="1649">
        <v>1.2029968140367653</v>
      </c>
      <c r="O528" s="1649">
        <v>1.2029968140367653</v>
      </c>
    </row>
    <row r="529" spans="11:15">
      <c r="K529" s="1646">
        <v>42586</v>
      </c>
      <c r="L529" s="1647" t="s">
        <v>1653</v>
      </c>
      <c r="M529" s="1648">
        <v>5.2531000000000001E-2</v>
      </c>
      <c r="N529" s="1649">
        <v>1.203628760293147</v>
      </c>
      <c r="O529" s="1649">
        <v>1.203628760293147</v>
      </c>
    </row>
    <row r="530" spans="11:15">
      <c r="K530" s="1646">
        <v>42587</v>
      </c>
      <c r="L530" s="1647" t="s">
        <v>1653</v>
      </c>
      <c r="M530" s="1648">
        <v>5.2531000000000001E-2</v>
      </c>
      <c r="N530" s="1649">
        <v>1.2042610385172166</v>
      </c>
      <c r="O530" s="1649">
        <v>1.2042610385172166</v>
      </c>
    </row>
    <row r="531" spans="11:15">
      <c r="K531" s="1646">
        <v>42588</v>
      </c>
      <c r="L531" s="1647"/>
      <c r="M531" s="1648">
        <v>0</v>
      </c>
      <c r="N531" s="1649">
        <v>1.2042610385172166</v>
      </c>
      <c r="O531" s="1649">
        <v>1.2042610385172166</v>
      </c>
    </row>
    <row r="532" spans="11:15">
      <c r="K532" s="1646">
        <v>42589</v>
      </c>
      <c r="L532" s="1647"/>
      <c r="M532" s="1648">
        <v>0</v>
      </c>
      <c r="N532" s="1649">
        <v>1.2042610385172166</v>
      </c>
      <c r="O532" s="1649">
        <v>1.2042610385172166</v>
      </c>
    </row>
    <row r="533" spans="11:15">
      <c r="K533" s="1646">
        <v>42590</v>
      </c>
      <c r="L533" s="1647" t="s">
        <v>1653</v>
      </c>
      <c r="M533" s="1648">
        <v>5.2531000000000001E-2</v>
      </c>
      <c r="N533" s="1649">
        <v>1.2048936488833599</v>
      </c>
      <c r="O533" s="1649">
        <v>1.2048936488833599</v>
      </c>
    </row>
    <row r="534" spans="11:15">
      <c r="K534" s="1646">
        <v>42591</v>
      </c>
      <c r="L534" s="1647" t="s">
        <v>1653</v>
      </c>
      <c r="M534" s="1648">
        <v>5.2531000000000001E-2</v>
      </c>
      <c r="N534" s="1649">
        <v>1.2055265915660549</v>
      </c>
      <c r="O534" s="1649">
        <v>1.2055265915660549</v>
      </c>
    </row>
    <row r="535" spans="11:15">
      <c r="K535" s="1646">
        <v>42592</v>
      </c>
      <c r="L535" s="1647" t="s">
        <v>1653</v>
      </c>
      <c r="M535" s="1648">
        <v>5.2531000000000001E-2</v>
      </c>
      <c r="N535" s="1649">
        <v>1.2061598667398705</v>
      </c>
      <c r="O535" s="1649">
        <v>1.2061598667398705</v>
      </c>
    </row>
    <row r="536" spans="11:15">
      <c r="K536" s="1646">
        <v>42593</v>
      </c>
      <c r="L536" s="1647" t="s">
        <v>1653</v>
      </c>
      <c r="M536" s="1648">
        <v>5.2531000000000001E-2</v>
      </c>
      <c r="N536" s="1649">
        <v>1.2067934745794677</v>
      </c>
      <c r="O536" s="1649">
        <v>1.2067934745794677</v>
      </c>
    </row>
    <row r="537" spans="11:15">
      <c r="K537" s="1646">
        <v>42594</v>
      </c>
      <c r="L537" s="1647" t="s">
        <v>1653</v>
      </c>
      <c r="M537" s="1648">
        <v>5.2531000000000001E-2</v>
      </c>
      <c r="N537" s="1649">
        <v>1.2074274152595992</v>
      </c>
      <c r="O537" s="1649">
        <v>1.2074274152595992</v>
      </c>
    </row>
    <row r="538" spans="11:15">
      <c r="K538" s="1646">
        <v>42595</v>
      </c>
      <c r="L538" s="1647"/>
      <c r="M538" s="1648">
        <v>0</v>
      </c>
      <c r="N538" s="1649">
        <v>1.2074274152595992</v>
      </c>
      <c r="O538" s="1649">
        <v>1.2074274152595992</v>
      </c>
    </row>
    <row r="539" spans="11:15">
      <c r="K539" s="1646">
        <v>42596</v>
      </c>
      <c r="L539" s="1647"/>
      <c r="M539" s="1648">
        <v>0</v>
      </c>
      <c r="N539" s="1649">
        <v>1.2074274152595992</v>
      </c>
      <c r="O539" s="1649">
        <v>1.2074274152595992</v>
      </c>
    </row>
    <row r="540" spans="11:15">
      <c r="K540" s="1646">
        <v>42597</v>
      </c>
      <c r="L540" s="1647" t="s">
        <v>1653</v>
      </c>
      <c r="M540" s="1648">
        <v>5.2531000000000001E-2</v>
      </c>
      <c r="N540" s="1649">
        <v>1.2080616889551092</v>
      </c>
      <c r="O540" s="1649">
        <v>1.2080616889551092</v>
      </c>
    </row>
    <row r="541" spans="11:15">
      <c r="K541" s="1646">
        <v>42598</v>
      </c>
      <c r="L541" s="1647" t="s">
        <v>1653</v>
      </c>
      <c r="M541" s="1648">
        <v>5.2531000000000001E-2</v>
      </c>
      <c r="N541" s="1649">
        <v>1.2086962958409342</v>
      </c>
      <c r="O541" s="1649">
        <v>1.2086962958409342</v>
      </c>
    </row>
    <row r="542" spans="11:15">
      <c r="K542" s="1646">
        <v>42599</v>
      </c>
      <c r="L542" s="1647" t="s">
        <v>1653</v>
      </c>
      <c r="M542" s="1648">
        <v>5.2531000000000001E-2</v>
      </c>
      <c r="N542" s="1649">
        <v>1.2093312360921025</v>
      </c>
      <c r="O542" s="1649">
        <v>1.2093312360921025</v>
      </c>
    </row>
    <row r="543" spans="11:15">
      <c r="K543" s="1646">
        <v>42600</v>
      </c>
      <c r="L543" s="1647" t="s">
        <v>1653</v>
      </c>
      <c r="M543" s="1648">
        <v>5.2531000000000001E-2</v>
      </c>
      <c r="N543" s="1649">
        <v>1.209966509883734</v>
      </c>
      <c r="O543" s="1649">
        <v>1.209966509883734</v>
      </c>
    </row>
    <row r="544" spans="11:15">
      <c r="K544" s="1646">
        <v>42601</v>
      </c>
      <c r="L544" s="1647" t="s">
        <v>1653</v>
      </c>
      <c r="M544" s="1648">
        <v>5.2531000000000001E-2</v>
      </c>
      <c r="N544" s="1649">
        <v>1.2106021173910411</v>
      </c>
      <c r="O544" s="1649">
        <v>1.2106021173910411</v>
      </c>
    </row>
    <row r="545" spans="11:15">
      <c r="K545" s="1646">
        <v>42602</v>
      </c>
      <c r="L545" s="1647"/>
      <c r="M545" s="1648">
        <v>0</v>
      </c>
      <c r="N545" s="1649">
        <v>1.2106021173910411</v>
      </c>
      <c r="O545" s="1649">
        <v>1.2106021173910411</v>
      </c>
    </row>
    <row r="546" spans="11:15">
      <c r="K546" s="1646">
        <v>42603</v>
      </c>
      <c r="L546" s="1647"/>
      <c r="M546" s="1648">
        <v>0</v>
      </c>
      <c r="N546" s="1649">
        <v>1.2106021173910411</v>
      </c>
      <c r="O546" s="1649">
        <v>1.2106021173910411</v>
      </c>
    </row>
    <row r="547" spans="11:15">
      <c r="K547" s="1646">
        <v>42604</v>
      </c>
      <c r="L547" s="1647" t="s">
        <v>1653</v>
      </c>
      <c r="M547" s="1648">
        <v>5.2531000000000001E-2</v>
      </c>
      <c r="N547" s="1649">
        <v>1.2112380587893277</v>
      </c>
      <c r="O547" s="1649">
        <v>1.2112380587893277</v>
      </c>
    </row>
    <row r="548" spans="11:15">
      <c r="K548" s="1646">
        <v>42605</v>
      </c>
      <c r="L548" s="1647" t="s">
        <v>1653</v>
      </c>
      <c r="M548" s="1648">
        <v>5.2531000000000001E-2</v>
      </c>
      <c r="N548" s="1649">
        <v>1.2118743342539904</v>
      </c>
      <c r="O548" s="1649">
        <v>1.2118743342539904</v>
      </c>
    </row>
    <row r="549" spans="11:15">
      <c r="K549" s="1646">
        <v>42606</v>
      </c>
      <c r="L549" s="1647" t="s">
        <v>1653</v>
      </c>
      <c r="M549" s="1648">
        <v>5.2531000000000001E-2</v>
      </c>
      <c r="N549" s="1649">
        <v>1.2125109439605173</v>
      </c>
      <c r="O549" s="1649">
        <v>1.2125109439605173</v>
      </c>
    </row>
    <row r="550" spans="11:15">
      <c r="K550" s="1646">
        <v>42607</v>
      </c>
      <c r="L550" s="1647" t="s">
        <v>1653</v>
      </c>
      <c r="M550" s="1648">
        <v>5.2531000000000001E-2</v>
      </c>
      <c r="N550" s="1649">
        <v>1.2131478880844893</v>
      </c>
      <c r="O550" s="1649">
        <v>1.2131478880844893</v>
      </c>
    </row>
    <row r="551" spans="11:15">
      <c r="K551" s="1646">
        <v>42608</v>
      </c>
      <c r="L551" s="1647" t="s">
        <v>1653</v>
      </c>
      <c r="M551" s="1648">
        <v>5.2531000000000001E-2</v>
      </c>
      <c r="N551" s="1649">
        <v>1.2137851668015789</v>
      </c>
      <c r="O551" s="1649">
        <v>1.2137851668015789</v>
      </c>
    </row>
    <row r="552" spans="11:15">
      <c r="K552" s="1646">
        <v>42609</v>
      </c>
      <c r="L552" s="1647"/>
      <c r="M552" s="1648">
        <v>0</v>
      </c>
      <c r="N552" s="1649">
        <v>1.2137851668015789</v>
      </c>
      <c r="O552" s="1649">
        <v>1.2137851668015789</v>
      </c>
    </row>
    <row r="553" spans="11:15">
      <c r="K553" s="1646">
        <v>42610</v>
      </c>
      <c r="L553" s="1647"/>
      <c r="M553" s="1648">
        <v>0</v>
      </c>
      <c r="N553" s="1649">
        <v>1.2137851668015789</v>
      </c>
      <c r="O553" s="1649">
        <v>1.2137851668015789</v>
      </c>
    </row>
    <row r="554" spans="11:15">
      <c r="K554" s="1646">
        <v>42611</v>
      </c>
      <c r="L554" s="1647" t="s">
        <v>1653</v>
      </c>
      <c r="M554" s="1648">
        <v>5.2531000000000001E-2</v>
      </c>
      <c r="N554" s="1649">
        <v>1.2144227802875514</v>
      </c>
      <c r="O554" s="1649">
        <v>1.2144227802875514</v>
      </c>
    </row>
    <row r="555" spans="11:15">
      <c r="K555" s="1646">
        <v>42612</v>
      </c>
      <c r="L555" s="1647" t="s">
        <v>1653</v>
      </c>
      <c r="M555" s="1648">
        <v>5.2531000000000001E-2</v>
      </c>
      <c r="N555" s="1649">
        <v>1.2150607287182642</v>
      </c>
      <c r="O555" s="1649">
        <v>1.2150607287182642</v>
      </c>
    </row>
    <row r="556" spans="11:15">
      <c r="K556" s="1646">
        <v>42613</v>
      </c>
      <c r="L556" s="1647" t="s">
        <v>1653</v>
      </c>
      <c r="M556" s="1648">
        <v>5.2531000000000001E-2</v>
      </c>
      <c r="N556" s="1649">
        <v>1.2156990122696671</v>
      </c>
      <c r="O556" s="1649">
        <v>1.2156990122696671</v>
      </c>
    </row>
    <row r="557" spans="11:15">
      <c r="K557" s="1646">
        <v>42614</v>
      </c>
      <c r="L557" s="1647" t="s">
        <v>1653</v>
      </c>
      <c r="M557" s="1648">
        <v>5.2531000000000001E-2</v>
      </c>
      <c r="N557" s="1649">
        <v>1.2163376311178025</v>
      </c>
      <c r="O557" s="1649">
        <v>1.2163376311178025</v>
      </c>
    </row>
    <row r="558" spans="11:15">
      <c r="K558" s="1646">
        <v>42615</v>
      </c>
      <c r="L558" s="1647" t="s">
        <v>1653</v>
      </c>
      <c r="M558" s="1648">
        <v>5.2531000000000001E-2</v>
      </c>
      <c r="N558" s="1649">
        <v>1.216976585438805</v>
      </c>
      <c r="O558" s="1649">
        <v>1.216976585438805</v>
      </c>
    </row>
    <row r="559" spans="11:15">
      <c r="K559" s="1646">
        <v>42616</v>
      </c>
      <c r="L559" s="1647"/>
      <c r="M559" s="1648">
        <v>0</v>
      </c>
      <c r="N559" s="1649">
        <v>1.216976585438805</v>
      </c>
      <c r="O559" s="1649">
        <v>1.216976585438805</v>
      </c>
    </row>
    <row r="560" spans="11:15">
      <c r="K560" s="1646">
        <v>42617</v>
      </c>
      <c r="L560" s="1647"/>
      <c r="M560" s="1648">
        <v>0</v>
      </c>
      <c r="N560" s="1649">
        <v>1.216976585438805</v>
      </c>
      <c r="O560" s="1649">
        <v>1.216976585438805</v>
      </c>
    </row>
    <row r="561" spans="11:15">
      <c r="K561" s="1646">
        <v>42618</v>
      </c>
      <c r="L561" s="1647" t="s">
        <v>1653</v>
      </c>
      <c r="M561" s="1648">
        <v>5.2531000000000001E-2</v>
      </c>
      <c r="N561" s="1649">
        <v>1.2176158754089019</v>
      </c>
      <c r="O561" s="1649">
        <v>1.2176158754089019</v>
      </c>
    </row>
    <row r="562" spans="11:15">
      <c r="K562" s="1646">
        <v>42619</v>
      </c>
      <c r="L562" s="1647" t="s">
        <v>1653</v>
      </c>
      <c r="M562" s="1648">
        <v>5.2531000000000001E-2</v>
      </c>
      <c r="N562" s="1649">
        <v>1.2182555012044129</v>
      </c>
      <c r="O562" s="1649">
        <v>1.2182555012044129</v>
      </c>
    </row>
    <row r="563" spans="11:15">
      <c r="K563" s="1646">
        <v>42620</v>
      </c>
      <c r="L563" s="1647"/>
      <c r="M563" s="1648">
        <v>0</v>
      </c>
      <c r="N563" s="1649">
        <v>1.2182555012044129</v>
      </c>
      <c r="O563" s="1649">
        <v>1.2182555012044129</v>
      </c>
    </row>
    <row r="564" spans="11:15">
      <c r="K564" s="1646">
        <v>42621</v>
      </c>
      <c r="L564" s="1647" t="s">
        <v>1653</v>
      </c>
      <c r="M564" s="1648">
        <v>5.2531000000000001E-2</v>
      </c>
      <c r="N564" s="1649">
        <v>1.2188954630017506</v>
      </c>
      <c r="O564" s="1649">
        <v>1.2188954630017506</v>
      </c>
    </row>
    <row r="565" spans="11:15">
      <c r="K565" s="1646">
        <v>42622</v>
      </c>
      <c r="L565" s="1647" t="s">
        <v>1653</v>
      </c>
      <c r="M565" s="1648">
        <v>5.2531000000000001E-2</v>
      </c>
      <c r="N565" s="1649">
        <v>1.21953576097742</v>
      </c>
      <c r="O565" s="1649">
        <v>1.21953576097742</v>
      </c>
    </row>
    <row r="566" spans="11:15">
      <c r="K566" s="1646">
        <v>42623</v>
      </c>
      <c r="L566" s="1647"/>
      <c r="M566" s="1648">
        <v>0</v>
      </c>
      <c r="N566" s="1649">
        <v>1.21953576097742</v>
      </c>
      <c r="O566" s="1649">
        <v>1.21953576097742</v>
      </c>
    </row>
    <row r="567" spans="11:15">
      <c r="K567" s="1646">
        <v>42624</v>
      </c>
      <c r="L567" s="1647"/>
      <c r="M567" s="1648">
        <v>0</v>
      </c>
      <c r="N567" s="1649">
        <v>1.21953576097742</v>
      </c>
      <c r="O567" s="1649">
        <v>1.21953576097742</v>
      </c>
    </row>
    <row r="568" spans="11:15">
      <c r="K568" s="1646">
        <v>42625</v>
      </c>
      <c r="L568" s="1647" t="s">
        <v>1653</v>
      </c>
      <c r="M568" s="1648">
        <v>5.2531000000000001E-2</v>
      </c>
      <c r="N568" s="1649">
        <v>1.2201763953080191</v>
      </c>
      <c r="O568" s="1649">
        <v>1.2201763953080191</v>
      </c>
    </row>
    <row r="569" spans="11:15">
      <c r="K569" s="1646">
        <v>42626</v>
      </c>
      <c r="L569" s="1647" t="s">
        <v>1653</v>
      </c>
      <c r="M569" s="1648">
        <v>5.2531000000000001E-2</v>
      </c>
      <c r="N569" s="1649">
        <v>1.2208173661702384</v>
      </c>
      <c r="O569" s="1649">
        <v>1.2208173661702384</v>
      </c>
    </row>
    <row r="570" spans="11:15">
      <c r="K570" s="1646">
        <v>42627</v>
      </c>
      <c r="L570" s="1647" t="s">
        <v>1653</v>
      </c>
      <c r="M570" s="1648">
        <v>5.2531000000000001E-2</v>
      </c>
      <c r="N570" s="1649">
        <v>1.2214586737408613</v>
      </c>
      <c r="O570" s="1649">
        <v>1.2214586737408613</v>
      </c>
    </row>
    <row r="571" spans="11:15">
      <c r="K571" s="1646">
        <v>42628</v>
      </c>
      <c r="L571" s="1647" t="s">
        <v>1653</v>
      </c>
      <c r="M571" s="1648">
        <v>5.2531000000000001E-2</v>
      </c>
      <c r="N571" s="1649">
        <v>1.222100318196764</v>
      </c>
      <c r="O571" s="1649">
        <v>1.222100318196764</v>
      </c>
    </row>
    <row r="572" spans="11:15">
      <c r="K572" s="1646">
        <v>42629</v>
      </c>
      <c r="L572" s="1647" t="s">
        <v>1653</v>
      </c>
      <c r="M572" s="1648">
        <v>5.2531000000000001E-2</v>
      </c>
      <c r="N572" s="1649">
        <v>1.222742299714916</v>
      </c>
      <c r="O572" s="1649">
        <v>1.222742299714916</v>
      </c>
    </row>
    <row r="573" spans="11:15">
      <c r="K573" s="1646">
        <v>42630</v>
      </c>
      <c r="L573" s="1647"/>
      <c r="M573" s="1648">
        <v>0</v>
      </c>
      <c r="N573" s="1649">
        <v>1.222742299714916</v>
      </c>
      <c r="O573" s="1649">
        <v>1.222742299714916</v>
      </c>
    </row>
    <row r="574" spans="11:15">
      <c r="K574" s="1646">
        <v>42631</v>
      </c>
      <c r="L574" s="1647"/>
      <c r="M574" s="1648">
        <v>0</v>
      </c>
      <c r="N574" s="1649">
        <v>1.222742299714916</v>
      </c>
      <c r="O574" s="1649">
        <v>1.222742299714916</v>
      </c>
    </row>
    <row r="575" spans="11:15">
      <c r="K575" s="1646">
        <v>42632</v>
      </c>
      <c r="L575" s="1647" t="s">
        <v>1653</v>
      </c>
      <c r="M575" s="1648">
        <v>5.2531000000000001E-2</v>
      </c>
      <c r="N575" s="1649">
        <v>1.2233846184723793</v>
      </c>
      <c r="O575" s="1649">
        <v>1.2233846184723793</v>
      </c>
    </row>
    <row r="576" spans="11:15">
      <c r="K576" s="1646">
        <v>42633</v>
      </c>
      <c r="L576" s="1647" t="s">
        <v>1653</v>
      </c>
      <c r="M576" s="1648">
        <v>5.2531000000000001E-2</v>
      </c>
      <c r="N576" s="1649">
        <v>1.224027274646309</v>
      </c>
      <c r="O576" s="1649">
        <v>1.224027274646309</v>
      </c>
    </row>
    <row r="577" spans="11:15">
      <c r="K577" s="1646">
        <v>42634</v>
      </c>
      <c r="L577" s="1647" t="s">
        <v>1653</v>
      </c>
      <c r="M577" s="1648">
        <v>5.2531000000000001E-2</v>
      </c>
      <c r="N577" s="1649">
        <v>1.2246702684139534</v>
      </c>
      <c r="O577" s="1649">
        <v>1.2246702684139534</v>
      </c>
    </row>
    <row r="578" spans="11:15">
      <c r="K578" s="1646">
        <v>42635</v>
      </c>
      <c r="L578" s="1647" t="s">
        <v>1653</v>
      </c>
      <c r="M578" s="1648">
        <v>5.2531000000000001E-2</v>
      </c>
      <c r="N578" s="1649">
        <v>1.2253135999526539</v>
      </c>
      <c r="O578" s="1649">
        <v>1.2253135999526539</v>
      </c>
    </row>
    <row r="579" spans="11:15">
      <c r="K579" s="1646">
        <v>42636</v>
      </c>
      <c r="L579" s="1647" t="s">
        <v>1653</v>
      </c>
      <c r="M579" s="1648">
        <v>5.2531000000000001E-2</v>
      </c>
      <c r="N579" s="1649">
        <v>1.2259572694398451</v>
      </c>
      <c r="O579" s="1649">
        <v>1.2259572694398451</v>
      </c>
    </row>
    <row r="580" spans="11:15">
      <c r="K580" s="1646">
        <v>42637</v>
      </c>
      <c r="L580" s="1647"/>
      <c r="M580" s="1648">
        <v>0</v>
      </c>
      <c r="N580" s="1649">
        <v>1.2259572694398451</v>
      </c>
      <c r="O580" s="1649">
        <v>1.2259572694398451</v>
      </c>
    </row>
    <row r="581" spans="11:15">
      <c r="K581" s="1646">
        <v>42638</v>
      </c>
      <c r="L581" s="1647"/>
      <c r="M581" s="1648">
        <v>0</v>
      </c>
      <c r="N581" s="1649">
        <v>1.2259572694398451</v>
      </c>
      <c r="O581" s="1649">
        <v>1.2259572694398451</v>
      </c>
    </row>
    <row r="582" spans="11:15">
      <c r="K582" s="1646">
        <v>42639</v>
      </c>
      <c r="L582" s="1647" t="s">
        <v>1653</v>
      </c>
      <c r="M582" s="1648">
        <v>5.2531000000000001E-2</v>
      </c>
      <c r="N582" s="1649">
        <v>1.2266012770530546</v>
      </c>
      <c r="O582" s="1649">
        <v>1.2266012770530546</v>
      </c>
    </row>
    <row r="583" spans="11:15">
      <c r="K583" s="1646">
        <v>42640</v>
      </c>
      <c r="L583" s="1647" t="s">
        <v>1653</v>
      </c>
      <c r="M583" s="1648">
        <v>5.2531000000000001E-2</v>
      </c>
      <c r="N583" s="1649">
        <v>1.2272456229699034</v>
      </c>
      <c r="O583" s="1649">
        <v>1.2272456229699034</v>
      </c>
    </row>
    <row r="584" spans="11:15">
      <c r="K584" s="1646">
        <v>42641</v>
      </c>
      <c r="L584" s="1647" t="s">
        <v>1653</v>
      </c>
      <c r="M584" s="1648">
        <v>5.2531000000000001E-2</v>
      </c>
      <c r="N584" s="1649">
        <v>1.2278903073681058</v>
      </c>
      <c r="O584" s="1649">
        <v>1.2278903073681058</v>
      </c>
    </row>
    <row r="585" spans="11:15">
      <c r="K585" s="1646">
        <v>42642</v>
      </c>
      <c r="L585" s="1647" t="s">
        <v>1653</v>
      </c>
      <c r="M585" s="1648">
        <v>5.2531000000000001E-2</v>
      </c>
      <c r="N585" s="1649">
        <v>1.2285353304254694</v>
      </c>
      <c r="O585" s="1649">
        <v>1.2285353304254694</v>
      </c>
    </row>
    <row r="586" spans="11:15">
      <c r="K586" s="1646">
        <v>42643</v>
      </c>
      <c r="L586" s="1647" t="s">
        <v>1653</v>
      </c>
      <c r="M586" s="1648">
        <v>5.2531000000000001E-2</v>
      </c>
      <c r="N586" s="1649">
        <v>1.2291806923198951</v>
      </c>
      <c r="O586" s="1649">
        <v>1.2291806923198951</v>
      </c>
    </row>
    <row r="587" spans="11:15">
      <c r="K587" s="1646">
        <v>42644</v>
      </c>
      <c r="L587" s="1647"/>
      <c r="M587" s="1648">
        <v>0</v>
      </c>
      <c r="N587" s="1649">
        <v>1.2291806923198951</v>
      </c>
      <c r="O587" s="1649">
        <v>1.2291806923198951</v>
      </c>
    </row>
    <row r="588" spans="11:15">
      <c r="K588" s="1646">
        <v>42645</v>
      </c>
      <c r="L588" s="1647"/>
      <c r="M588" s="1648">
        <v>0</v>
      </c>
      <c r="N588" s="1649">
        <v>1.2291806923198951</v>
      </c>
      <c r="O588" s="1649">
        <v>1.2291806923198951</v>
      </c>
    </row>
    <row r="589" spans="11:15">
      <c r="K589" s="1646">
        <v>42646</v>
      </c>
      <c r="L589" s="1647" t="s">
        <v>1653</v>
      </c>
      <c r="M589" s="1648">
        <v>5.2531000000000001E-2</v>
      </c>
      <c r="N589" s="1649">
        <v>1.2298263932293776</v>
      </c>
      <c r="O589" s="1649">
        <v>1.2298263932293776</v>
      </c>
    </row>
    <row r="590" spans="11:15">
      <c r="K590" s="1646">
        <v>42647</v>
      </c>
      <c r="L590" s="1647" t="s">
        <v>1653</v>
      </c>
      <c r="M590" s="1648">
        <v>5.2531000000000001E-2</v>
      </c>
      <c r="N590" s="1649">
        <v>1.230472433332005</v>
      </c>
      <c r="O590" s="1649">
        <v>1.230472433332005</v>
      </c>
    </row>
    <row r="591" spans="11:15">
      <c r="K591" s="1646">
        <v>42648</v>
      </c>
      <c r="L591" s="1647" t="s">
        <v>1653</v>
      </c>
      <c r="M591" s="1648">
        <v>5.2531000000000001E-2</v>
      </c>
      <c r="N591" s="1649">
        <v>1.2311188128059587</v>
      </c>
      <c r="O591" s="1649">
        <v>1.2311188128059587</v>
      </c>
    </row>
    <row r="592" spans="11:15">
      <c r="K592" s="1646">
        <v>42649</v>
      </c>
      <c r="L592" s="1647" t="s">
        <v>1653</v>
      </c>
      <c r="M592" s="1648">
        <v>5.2531000000000001E-2</v>
      </c>
      <c r="N592" s="1649">
        <v>1.2317655318295138</v>
      </c>
      <c r="O592" s="1649">
        <v>1.2317655318295138</v>
      </c>
    </row>
    <row r="593" spans="11:15">
      <c r="K593" s="1646">
        <v>42650</v>
      </c>
      <c r="L593" s="1647" t="s">
        <v>1653</v>
      </c>
      <c r="M593" s="1648">
        <v>5.2531000000000001E-2</v>
      </c>
      <c r="N593" s="1649">
        <v>1.232412590581039</v>
      </c>
      <c r="O593" s="1649">
        <v>1.232412590581039</v>
      </c>
    </row>
    <row r="594" spans="11:15">
      <c r="K594" s="1646">
        <v>42651</v>
      </c>
      <c r="L594" s="1647"/>
      <c r="M594" s="1648">
        <v>0</v>
      </c>
      <c r="N594" s="1649">
        <v>1.232412590581039</v>
      </c>
      <c r="O594" s="1649">
        <v>1.232412590581039</v>
      </c>
    </row>
    <row r="595" spans="11:15">
      <c r="K595" s="1646">
        <v>42652</v>
      </c>
      <c r="L595" s="1647"/>
      <c r="M595" s="1648">
        <v>0</v>
      </c>
      <c r="N595" s="1649">
        <v>1.232412590581039</v>
      </c>
      <c r="O595" s="1649">
        <v>1.232412590581039</v>
      </c>
    </row>
    <row r="596" spans="11:15">
      <c r="K596" s="1646">
        <v>42653</v>
      </c>
      <c r="L596" s="1647" t="s">
        <v>1653</v>
      </c>
      <c r="M596" s="1648">
        <v>5.2531000000000001E-2</v>
      </c>
      <c r="N596" s="1649">
        <v>1.2330599892389971</v>
      </c>
      <c r="O596" s="1649">
        <v>1.2330599892389971</v>
      </c>
    </row>
    <row r="597" spans="11:15">
      <c r="K597" s="1646">
        <v>42654</v>
      </c>
      <c r="L597" s="1647" t="s">
        <v>1653</v>
      </c>
      <c r="M597" s="1648">
        <v>5.2531000000000001E-2</v>
      </c>
      <c r="N597" s="1649">
        <v>1.2337077279819442</v>
      </c>
      <c r="O597" s="1649">
        <v>1.2337077279819442</v>
      </c>
    </row>
    <row r="598" spans="11:15">
      <c r="K598" s="1646">
        <v>42655</v>
      </c>
      <c r="L598" s="1647"/>
      <c r="M598" s="1648">
        <v>0</v>
      </c>
      <c r="N598" s="1649">
        <v>1.2337077279819442</v>
      </c>
      <c r="O598" s="1649">
        <v>1.2337077279819442</v>
      </c>
    </row>
    <row r="599" spans="11:15">
      <c r="K599" s="1646">
        <v>42656</v>
      </c>
      <c r="L599" s="1647" t="s">
        <v>1653</v>
      </c>
      <c r="M599" s="1648">
        <v>5.2531000000000001E-2</v>
      </c>
      <c r="N599" s="1649">
        <v>1.2343558069885303</v>
      </c>
      <c r="O599" s="1649">
        <v>1.2343558069885303</v>
      </c>
    </row>
    <row r="600" spans="11:15">
      <c r="K600" s="1646">
        <v>42657</v>
      </c>
      <c r="L600" s="1647" t="s">
        <v>1653</v>
      </c>
      <c r="M600" s="1648">
        <v>5.2531000000000001E-2</v>
      </c>
      <c r="N600" s="1649">
        <v>1.2350042264374994</v>
      </c>
      <c r="O600" s="1649">
        <v>1.2350042264374994</v>
      </c>
    </row>
    <row r="601" spans="11:15">
      <c r="K601" s="1646">
        <v>42658</v>
      </c>
      <c r="L601" s="1647"/>
      <c r="M601" s="1648">
        <v>0</v>
      </c>
      <c r="N601" s="1649">
        <v>1.2350042264374994</v>
      </c>
      <c r="O601" s="1649">
        <v>1.2350042264374994</v>
      </c>
    </row>
    <row r="602" spans="11:15">
      <c r="K602" s="1646">
        <v>42659</v>
      </c>
      <c r="L602" s="1647"/>
      <c r="M602" s="1648">
        <v>0</v>
      </c>
      <c r="N602" s="1649">
        <v>1.2350042264374994</v>
      </c>
      <c r="O602" s="1649">
        <v>1.2350042264374994</v>
      </c>
    </row>
    <row r="603" spans="11:15">
      <c r="K603" s="1646">
        <v>42660</v>
      </c>
      <c r="L603" s="1647" t="s">
        <v>1653</v>
      </c>
      <c r="M603" s="1648">
        <v>5.2531000000000001E-2</v>
      </c>
      <c r="N603" s="1649">
        <v>1.2356529865076893</v>
      </c>
      <c r="O603" s="1649">
        <v>1.2356529865076893</v>
      </c>
    </row>
    <row r="604" spans="11:15">
      <c r="K604" s="1646">
        <v>42661</v>
      </c>
      <c r="L604" s="1647" t="s">
        <v>1653</v>
      </c>
      <c r="M604" s="1648">
        <v>5.2531000000000001E-2</v>
      </c>
      <c r="N604" s="1649">
        <v>1.2363020873780317</v>
      </c>
      <c r="O604" s="1649">
        <v>1.2363020873780317</v>
      </c>
    </row>
    <row r="605" spans="11:15">
      <c r="K605" s="1646">
        <v>42662</v>
      </c>
      <c r="L605" s="1647" t="s">
        <v>1653</v>
      </c>
      <c r="M605" s="1648">
        <v>5.2531000000000001E-2</v>
      </c>
      <c r="N605" s="1649">
        <v>1.2369515292275524</v>
      </c>
      <c r="O605" s="1649">
        <v>1.2369515292275524</v>
      </c>
    </row>
    <row r="606" spans="11:15">
      <c r="K606" s="1646">
        <v>42663</v>
      </c>
      <c r="L606" s="1647" t="s">
        <v>1653</v>
      </c>
      <c r="M606" s="1648">
        <v>5.1659999999999998E-2</v>
      </c>
      <c r="N606" s="1649">
        <v>1.2375905383875514</v>
      </c>
      <c r="O606" s="1649">
        <v>1.2376013122353708</v>
      </c>
    </row>
    <row r="607" spans="11:15">
      <c r="K607" s="1646">
        <v>42664</v>
      </c>
      <c r="L607" s="1647" t="s">
        <v>1653</v>
      </c>
      <c r="M607" s="1648">
        <v>5.1659999999999998E-2</v>
      </c>
      <c r="N607" s="1649">
        <v>1.2382298776596825</v>
      </c>
      <c r="O607" s="1649">
        <v>1.2382514365807011</v>
      </c>
    </row>
    <row r="608" spans="11:15">
      <c r="K608" s="1646">
        <v>42665</v>
      </c>
      <c r="L608" s="1647"/>
      <c r="M608" s="1648">
        <v>0</v>
      </c>
      <c r="N608" s="1649">
        <v>1.2382298776596825</v>
      </c>
      <c r="O608" s="1649">
        <v>1.2382514365807011</v>
      </c>
    </row>
    <row r="609" spans="11:15">
      <c r="K609" s="1646">
        <v>42666</v>
      </c>
      <c r="L609" s="1647"/>
      <c r="M609" s="1648">
        <v>0</v>
      </c>
      <c r="N609" s="1649">
        <v>1.2382298776596825</v>
      </c>
      <c r="O609" s="1649">
        <v>1.2382514365807011</v>
      </c>
    </row>
    <row r="610" spans="11:15">
      <c r="K610" s="1646">
        <v>42667</v>
      </c>
      <c r="L610" s="1647" t="s">
        <v>1653</v>
      </c>
      <c r="M610" s="1648">
        <v>5.1659999999999998E-2</v>
      </c>
      <c r="N610" s="1649">
        <v>1.2388695472144815</v>
      </c>
      <c r="O610" s="1649">
        <v>1.2389019024428514</v>
      </c>
    </row>
    <row r="611" spans="11:15">
      <c r="K611" s="1646">
        <v>42668</v>
      </c>
      <c r="L611" s="1647" t="s">
        <v>1653</v>
      </c>
      <c r="M611" s="1648">
        <v>5.1659999999999998E-2</v>
      </c>
      <c r="N611" s="1649">
        <v>1.2395095472225726</v>
      </c>
      <c r="O611" s="1649">
        <v>1.2395527100012236</v>
      </c>
    </row>
    <row r="612" spans="11:15">
      <c r="K612" s="1646">
        <v>42669</v>
      </c>
      <c r="L612" s="1647" t="s">
        <v>1653</v>
      </c>
      <c r="M612" s="1648">
        <v>5.1659999999999998E-2</v>
      </c>
      <c r="N612" s="1649">
        <v>1.2401498778546678</v>
      </c>
      <c r="O612" s="1649">
        <v>1.2402038594353144</v>
      </c>
    </row>
    <row r="613" spans="11:15">
      <c r="K613" s="1646">
        <v>42670</v>
      </c>
      <c r="L613" s="1647" t="s">
        <v>1653</v>
      </c>
      <c r="M613" s="1648">
        <v>5.1659999999999998E-2</v>
      </c>
      <c r="N613" s="1649">
        <v>1.2407905392815677</v>
      </c>
      <c r="O613" s="1649">
        <v>1.2408553509247144</v>
      </c>
    </row>
    <row r="614" spans="11:15">
      <c r="K614" s="1646">
        <v>42671</v>
      </c>
      <c r="L614" s="1647" t="s">
        <v>1653</v>
      </c>
      <c r="M614" s="1648">
        <v>5.1659999999999998E-2</v>
      </c>
      <c r="N614" s="1649">
        <v>1.2414315316741606</v>
      </c>
      <c r="O614" s="1649">
        <v>1.2415071846491088</v>
      </c>
    </row>
    <row r="615" spans="11:15">
      <c r="K615" s="1646">
        <v>42672</v>
      </c>
      <c r="L615" s="1647"/>
      <c r="M615" s="1648">
        <v>0</v>
      </c>
      <c r="N615" s="1649">
        <v>1.2414315316741606</v>
      </c>
      <c r="O615" s="1649">
        <v>1.2415071846491088</v>
      </c>
    </row>
    <row r="616" spans="11:15">
      <c r="K616" s="1646">
        <v>42673</v>
      </c>
      <c r="L616" s="1647"/>
      <c r="M616" s="1648">
        <v>0</v>
      </c>
      <c r="N616" s="1649">
        <v>1.2414315316741606</v>
      </c>
      <c r="O616" s="1649">
        <v>1.2415071846491088</v>
      </c>
    </row>
    <row r="617" spans="11:15">
      <c r="K617" s="1646">
        <v>42674</v>
      </c>
      <c r="L617" s="1647" t="s">
        <v>1653</v>
      </c>
      <c r="M617" s="1648">
        <v>5.1659999999999998E-2</v>
      </c>
      <c r="N617" s="1649">
        <v>1.2420728552034237</v>
      </c>
      <c r="O617" s="1649">
        <v>1.2421593607882768</v>
      </c>
    </row>
    <row r="618" spans="11:15">
      <c r="K618" s="1646">
        <v>42675</v>
      </c>
      <c r="L618" s="1647" t="s">
        <v>1653</v>
      </c>
      <c r="M618" s="1648">
        <v>5.1659999999999998E-2</v>
      </c>
      <c r="N618" s="1649">
        <v>1.242714510040422</v>
      </c>
      <c r="O618" s="1649">
        <v>1.2428118795220926</v>
      </c>
    </row>
    <row r="619" spans="11:15">
      <c r="K619" s="1646">
        <v>42676</v>
      </c>
      <c r="L619" s="1647"/>
      <c r="M619" s="1648">
        <v>0</v>
      </c>
      <c r="N619" s="1649">
        <v>1.242714510040422</v>
      </c>
      <c r="O619" s="1649">
        <v>1.2428118795220926</v>
      </c>
    </row>
    <row r="620" spans="11:15">
      <c r="K620" s="1646">
        <v>42677</v>
      </c>
      <c r="L620" s="1647" t="s">
        <v>1653</v>
      </c>
      <c r="M620" s="1648">
        <v>5.1659999999999998E-2</v>
      </c>
      <c r="N620" s="1649">
        <v>1.2433564963563091</v>
      </c>
      <c r="O620" s="1649">
        <v>1.2434647410305244</v>
      </c>
    </row>
    <row r="621" spans="11:15">
      <c r="K621" s="1646">
        <v>42678</v>
      </c>
      <c r="L621" s="1647" t="s">
        <v>1653</v>
      </c>
      <c r="M621" s="1648">
        <v>5.1659999999999998E-2</v>
      </c>
      <c r="N621" s="1649">
        <v>1.2439988143223268</v>
      </c>
      <c r="O621" s="1649">
        <v>1.2441179454936351</v>
      </c>
    </row>
    <row r="622" spans="11:15">
      <c r="K622" s="1646">
        <v>42679</v>
      </c>
      <c r="L622" s="1647"/>
      <c r="M622" s="1648">
        <v>0</v>
      </c>
      <c r="N622" s="1649">
        <v>1.2439988143223268</v>
      </c>
      <c r="O622" s="1649">
        <v>1.2441179454936351</v>
      </c>
    </row>
    <row r="623" spans="11:15">
      <c r="K623" s="1646">
        <v>42680</v>
      </c>
      <c r="L623" s="1647"/>
      <c r="M623" s="1648">
        <v>0</v>
      </c>
      <c r="N623" s="1649">
        <v>1.2439988143223268</v>
      </c>
      <c r="O623" s="1649">
        <v>1.2441179454936351</v>
      </c>
    </row>
    <row r="624" spans="11:15">
      <c r="K624" s="1646">
        <v>42681</v>
      </c>
      <c r="L624" s="1647" t="s">
        <v>1653</v>
      </c>
      <c r="M624" s="1648">
        <v>5.1659999999999998E-2</v>
      </c>
      <c r="N624" s="1649">
        <v>1.2446414641098058</v>
      </c>
      <c r="O624" s="1649">
        <v>1.2447714930915823</v>
      </c>
    </row>
    <row r="625" spans="11:15">
      <c r="K625" s="1646">
        <v>42682</v>
      </c>
      <c r="L625" s="1647" t="s">
        <v>1653</v>
      </c>
      <c r="M625" s="1648">
        <v>5.1659999999999998E-2</v>
      </c>
      <c r="N625" s="1649">
        <v>1.2452844458901651</v>
      </c>
      <c r="O625" s="1649">
        <v>1.2454253840046183</v>
      </c>
    </row>
    <row r="626" spans="11:15">
      <c r="K626" s="1646">
        <v>42683</v>
      </c>
      <c r="L626" s="1647" t="s">
        <v>1653</v>
      </c>
      <c r="M626" s="1648">
        <v>5.1659999999999998E-2</v>
      </c>
      <c r="N626" s="1649">
        <v>1.2459277598349121</v>
      </c>
      <c r="O626" s="1649">
        <v>1.2460796184130898</v>
      </c>
    </row>
    <row r="627" spans="11:15">
      <c r="K627" s="1646">
        <v>42684</v>
      </c>
      <c r="L627" s="1647" t="s">
        <v>1653</v>
      </c>
      <c r="M627" s="1648">
        <v>5.1659999999999998E-2</v>
      </c>
      <c r="N627" s="1649">
        <v>1.246571406115643</v>
      </c>
      <c r="O627" s="1649">
        <v>1.2467341964974383</v>
      </c>
    </row>
    <row r="628" spans="11:15">
      <c r="K628" s="1646">
        <v>42685</v>
      </c>
      <c r="L628" s="1647" t="s">
        <v>1653</v>
      </c>
      <c r="M628" s="1648">
        <v>5.1659999999999998E-2</v>
      </c>
      <c r="N628" s="1649">
        <v>1.2472153849040424</v>
      </c>
      <c r="O628" s="1649">
        <v>1.2473891184382004</v>
      </c>
    </row>
    <row r="629" spans="11:15">
      <c r="K629" s="1646">
        <v>42686</v>
      </c>
      <c r="L629" s="1647"/>
      <c r="M629" s="1648">
        <v>0</v>
      </c>
      <c r="N629" s="1649">
        <v>1.2472153849040424</v>
      </c>
      <c r="O629" s="1649">
        <v>1.2473891184382004</v>
      </c>
    </row>
    <row r="630" spans="11:15">
      <c r="K630" s="1646">
        <v>42687</v>
      </c>
      <c r="L630" s="1647"/>
      <c r="M630" s="1648">
        <v>0</v>
      </c>
      <c r="N630" s="1649">
        <v>1.2472153849040424</v>
      </c>
      <c r="O630" s="1649">
        <v>1.2473891184382004</v>
      </c>
    </row>
    <row r="631" spans="11:15">
      <c r="K631" s="1646">
        <v>42688</v>
      </c>
      <c r="L631" s="1647" t="s">
        <v>1653</v>
      </c>
      <c r="M631" s="1648">
        <v>5.1659999999999998E-2</v>
      </c>
      <c r="N631" s="1649">
        <v>1.247859696371884</v>
      </c>
      <c r="O631" s="1649">
        <v>1.2480443844160072</v>
      </c>
    </row>
    <row r="632" spans="11:15">
      <c r="K632" s="1646">
        <v>42689</v>
      </c>
      <c r="L632" s="1647"/>
      <c r="M632" s="1648">
        <v>0</v>
      </c>
      <c r="N632" s="1649">
        <v>1.247859696371884</v>
      </c>
      <c r="O632" s="1649">
        <v>1.2480443844160072</v>
      </c>
    </row>
    <row r="633" spans="11:15">
      <c r="K633" s="1646">
        <v>42690</v>
      </c>
      <c r="L633" s="1647" t="s">
        <v>1653</v>
      </c>
      <c r="M633" s="1648">
        <v>5.1659999999999998E-2</v>
      </c>
      <c r="N633" s="1649">
        <v>1.2485043406910299</v>
      </c>
      <c r="O633" s="1649">
        <v>1.2486999946115847</v>
      </c>
    </row>
    <row r="634" spans="11:15">
      <c r="K634" s="1646">
        <v>42691</v>
      </c>
      <c r="L634" s="1647" t="s">
        <v>1653</v>
      </c>
      <c r="M634" s="1648">
        <v>5.1659999999999998E-2</v>
      </c>
      <c r="N634" s="1649">
        <v>1.249149318033431</v>
      </c>
      <c r="O634" s="1649">
        <v>1.249355949205754</v>
      </c>
    </row>
    <row r="635" spans="11:15">
      <c r="K635" s="1646">
        <v>42692</v>
      </c>
      <c r="L635" s="1647" t="s">
        <v>1653</v>
      </c>
      <c r="M635" s="1648">
        <v>5.1659999999999998E-2</v>
      </c>
      <c r="N635" s="1649">
        <v>1.2497946285711272</v>
      </c>
      <c r="O635" s="1649">
        <v>1.2500122483794314</v>
      </c>
    </row>
    <row r="636" spans="11:15">
      <c r="K636" s="1646">
        <v>42693</v>
      </c>
      <c r="L636" s="1647"/>
      <c r="M636" s="1648">
        <v>0</v>
      </c>
      <c r="N636" s="1649">
        <v>1.2497946285711272</v>
      </c>
      <c r="O636" s="1649">
        <v>1.2500122483794314</v>
      </c>
    </row>
    <row r="637" spans="11:15">
      <c r="K637" s="1646">
        <v>42694</v>
      </c>
      <c r="L637" s="1647"/>
      <c r="M637" s="1648">
        <v>0</v>
      </c>
      <c r="N637" s="1649">
        <v>1.2497946285711272</v>
      </c>
      <c r="O637" s="1649">
        <v>1.2500122483794314</v>
      </c>
    </row>
    <row r="638" spans="11:15">
      <c r="K638" s="1646">
        <v>42695</v>
      </c>
      <c r="L638" s="1647" t="s">
        <v>1653</v>
      </c>
      <c r="M638" s="1648">
        <v>5.1659999999999998E-2</v>
      </c>
      <c r="N638" s="1649">
        <v>1.2504402724762471</v>
      </c>
      <c r="O638" s="1649">
        <v>1.2506688923136275</v>
      </c>
    </row>
    <row r="639" spans="11:15">
      <c r="K639" s="1646">
        <v>42696</v>
      </c>
      <c r="L639" s="1647" t="s">
        <v>1653</v>
      </c>
      <c r="M639" s="1648">
        <v>5.1659999999999998E-2</v>
      </c>
      <c r="N639" s="1649">
        <v>1.2510862499210085</v>
      </c>
      <c r="O639" s="1649">
        <v>1.2513258811894488</v>
      </c>
    </row>
    <row r="640" spans="11:15">
      <c r="K640" s="1646">
        <v>42697</v>
      </c>
      <c r="L640" s="1647" t="s">
        <v>1653</v>
      </c>
      <c r="M640" s="1648">
        <v>5.1659999999999998E-2</v>
      </c>
      <c r="N640" s="1649">
        <v>1.2517325610777177</v>
      </c>
      <c r="O640" s="1649">
        <v>1.2519832151880963</v>
      </c>
    </row>
    <row r="641" spans="11:15">
      <c r="K641" s="1646">
        <v>42698</v>
      </c>
      <c r="L641" s="1647" t="s">
        <v>1653</v>
      </c>
      <c r="M641" s="1648">
        <v>5.1659999999999998E-2</v>
      </c>
      <c r="N641" s="1649">
        <v>1.2523792061187706</v>
      </c>
      <c r="O641" s="1649">
        <v>1.2526408944908667</v>
      </c>
    </row>
    <row r="642" spans="11:15">
      <c r="K642" s="1646">
        <v>42699</v>
      </c>
      <c r="L642" s="1647" t="s">
        <v>1653</v>
      </c>
      <c r="M642" s="1648">
        <v>5.1659999999999998E-2</v>
      </c>
      <c r="N642" s="1649">
        <v>1.2530261852166518</v>
      </c>
      <c r="O642" s="1649">
        <v>1.2532989192791517</v>
      </c>
    </row>
    <row r="643" spans="11:15">
      <c r="K643" s="1646">
        <v>42700</v>
      </c>
      <c r="L643" s="1647"/>
      <c r="M643" s="1648">
        <v>0</v>
      </c>
      <c r="N643" s="1649">
        <v>1.2530261852166518</v>
      </c>
      <c r="O643" s="1649">
        <v>1.2532989192791517</v>
      </c>
    </row>
    <row r="644" spans="11:15">
      <c r="K644" s="1646">
        <v>42701</v>
      </c>
      <c r="L644" s="1647"/>
      <c r="M644" s="1648">
        <v>0</v>
      </c>
      <c r="N644" s="1649">
        <v>1.2530261852166518</v>
      </c>
      <c r="O644" s="1649">
        <v>1.2532989192791517</v>
      </c>
    </row>
    <row r="645" spans="11:15">
      <c r="K645" s="1646">
        <v>42702</v>
      </c>
      <c r="L645" s="1647" t="s">
        <v>1653</v>
      </c>
      <c r="M645" s="1648">
        <v>5.1659999999999998E-2</v>
      </c>
      <c r="N645" s="1649">
        <v>1.2536734985439348</v>
      </c>
      <c r="O645" s="1649">
        <v>1.2539572897344382</v>
      </c>
    </row>
    <row r="646" spans="11:15">
      <c r="K646" s="1646">
        <v>42703</v>
      </c>
      <c r="L646" s="1647" t="s">
        <v>1653</v>
      </c>
      <c r="M646" s="1648">
        <v>5.1659999999999998E-2</v>
      </c>
      <c r="N646" s="1649">
        <v>1.2543211462732828</v>
      </c>
      <c r="O646" s="1649">
        <v>1.2546160060383087</v>
      </c>
    </row>
    <row r="647" spans="11:15">
      <c r="K647" s="1646">
        <v>42704</v>
      </c>
      <c r="L647" s="1647" t="s">
        <v>1653</v>
      </c>
      <c r="M647" s="1648">
        <v>5.1659999999999998E-2</v>
      </c>
      <c r="N647" s="1649">
        <v>1.2549691285774478</v>
      </c>
      <c r="O647" s="1649">
        <v>1.2552750683724407</v>
      </c>
    </row>
    <row r="648" spans="11:15">
      <c r="K648" s="1646">
        <v>42705</v>
      </c>
      <c r="L648" s="1647" t="s">
        <v>1653</v>
      </c>
      <c r="M648" s="1648">
        <v>5.0788E-2</v>
      </c>
      <c r="N648" s="1649">
        <v>1.2556065022984697</v>
      </c>
      <c r="O648" s="1649">
        <v>1.2559344769186074</v>
      </c>
    </row>
    <row r="649" spans="11:15">
      <c r="K649" s="1646">
        <v>42706</v>
      </c>
      <c r="L649" s="1647" t="s">
        <v>1653</v>
      </c>
      <c r="M649" s="1648">
        <v>5.0788E-2</v>
      </c>
      <c r="N649" s="1649">
        <v>1.2562441997288571</v>
      </c>
      <c r="O649" s="1649">
        <v>1.2565942318586776</v>
      </c>
    </row>
    <row r="650" spans="11:15">
      <c r="K650" s="1646">
        <v>42707</v>
      </c>
      <c r="L650" s="1647"/>
      <c r="M650" s="1648">
        <v>0</v>
      </c>
      <c r="N650" s="1649">
        <v>1.2562441997288571</v>
      </c>
      <c r="O650" s="1649">
        <v>1.2565942318586776</v>
      </c>
    </row>
    <row r="651" spans="11:15">
      <c r="K651" s="1646">
        <v>42708</v>
      </c>
      <c r="L651" s="1647"/>
      <c r="M651" s="1648">
        <v>0</v>
      </c>
      <c r="N651" s="1649">
        <v>1.2562441997288571</v>
      </c>
      <c r="O651" s="1649">
        <v>1.2565942318586776</v>
      </c>
    </row>
    <row r="652" spans="11:15">
      <c r="K652" s="1646">
        <v>42709</v>
      </c>
      <c r="L652" s="1647" t="s">
        <v>1653</v>
      </c>
      <c r="M652" s="1648">
        <v>5.0788E-2</v>
      </c>
      <c r="N652" s="1649">
        <v>1.2568822210330155</v>
      </c>
      <c r="O652" s="1649">
        <v>1.2572543333746153</v>
      </c>
    </row>
    <row r="653" spans="11:15">
      <c r="K653" s="1646">
        <v>42710</v>
      </c>
      <c r="L653" s="1647" t="s">
        <v>1653</v>
      </c>
      <c r="M653" s="1648">
        <v>5.0788E-2</v>
      </c>
      <c r="N653" s="1649">
        <v>1.2575205663754339</v>
      </c>
      <c r="O653" s="1649">
        <v>1.2579147816484804</v>
      </c>
    </row>
    <row r="654" spans="11:15">
      <c r="K654" s="1646">
        <v>42711</v>
      </c>
      <c r="L654" s="1647" t="s">
        <v>1653</v>
      </c>
      <c r="M654" s="1648">
        <v>5.0788E-2</v>
      </c>
      <c r="N654" s="1649">
        <v>1.2581592359206846</v>
      </c>
      <c r="O654" s="1649">
        <v>1.258575576862428</v>
      </c>
    </row>
    <row r="655" spans="11:15">
      <c r="K655" s="1646">
        <v>42712</v>
      </c>
      <c r="L655" s="1647" t="s">
        <v>1653</v>
      </c>
      <c r="M655" s="1648">
        <v>5.0788E-2</v>
      </c>
      <c r="N655" s="1649">
        <v>1.2587982298334239</v>
      </c>
      <c r="O655" s="1649">
        <v>1.2592367191987097</v>
      </c>
    </row>
    <row r="656" spans="11:15">
      <c r="K656" s="1646">
        <v>42713</v>
      </c>
      <c r="L656" s="1647" t="s">
        <v>1653</v>
      </c>
      <c r="M656" s="1648">
        <v>5.0788E-2</v>
      </c>
      <c r="N656" s="1649">
        <v>1.2594375482783917</v>
      </c>
      <c r="O656" s="1649">
        <v>1.259898208839672</v>
      </c>
    </row>
    <row r="657" spans="11:15">
      <c r="K657" s="1646">
        <v>42714</v>
      </c>
      <c r="L657" s="1647"/>
      <c r="M657" s="1648">
        <v>0</v>
      </c>
      <c r="N657" s="1649">
        <v>1.2594375482783917</v>
      </c>
      <c r="O657" s="1649">
        <v>1.259898208839672</v>
      </c>
    </row>
    <row r="658" spans="11:15">
      <c r="K658" s="1646">
        <v>42715</v>
      </c>
      <c r="L658" s="1647"/>
      <c r="M658" s="1648">
        <v>0</v>
      </c>
      <c r="N658" s="1649">
        <v>1.2594375482783917</v>
      </c>
      <c r="O658" s="1649">
        <v>1.259898208839672</v>
      </c>
    </row>
    <row r="659" spans="11:15">
      <c r="K659" s="1646">
        <v>42716</v>
      </c>
      <c r="L659" s="1647" t="s">
        <v>1653</v>
      </c>
      <c r="M659" s="1648">
        <v>5.0788E-2</v>
      </c>
      <c r="N659" s="1649">
        <v>1.2600771914204114</v>
      </c>
      <c r="O659" s="1649">
        <v>1.2605600459677575</v>
      </c>
    </row>
    <row r="660" spans="11:15">
      <c r="K660" s="1646">
        <v>42717</v>
      </c>
      <c r="L660" s="1647" t="s">
        <v>1653</v>
      </c>
      <c r="M660" s="1648">
        <v>5.0788E-2</v>
      </c>
      <c r="N660" s="1649">
        <v>1.26071715942439</v>
      </c>
      <c r="O660" s="1649">
        <v>1.2612222307655048</v>
      </c>
    </row>
    <row r="661" spans="11:15">
      <c r="K661" s="1646">
        <v>42718</v>
      </c>
      <c r="L661" s="1647" t="s">
        <v>1653</v>
      </c>
      <c r="M661" s="1648">
        <v>5.0788E-2</v>
      </c>
      <c r="N661" s="1649">
        <v>1.2613574524553184</v>
      </c>
      <c r="O661" s="1649">
        <v>1.2618847634155481</v>
      </c>
    </row>
    <row r="662" spans="11:15">
      <c r="K662" s="1646">
        <v>42719</v>
      </c>
      <c r="L662" s="1647" t="s">
        <v>1653</v>
      </c>
      <c r="M662" s="1648">
        <v>5.0788E-2</v>
      </c>
      <c r="N662" s="1649">
        <v>1.2619980706782714</v>
      </c>
      <c r="O662" s="1649">
        <v>1.262547644100618</v>
      </c>
    </row>
    <row r="663" spans="11:15">
      <c r="K663" s="1646">
        <v>42720</v>
      </c>
      <c r="L663" s="1647" t="s">
        <v>1653</v>
      </c>
      <c r="M663" s="1648">
        <v>5.0788E-2</v>
      </c>
      <c r="N663" s="1649">
        <v>1.2626390142584074</v>
      </c>
      <c r="O663" s="1649">
        <v>1.2632108730035405</v>
      </c>
    </row>
    <row r="664" spans="11:15">
      <c r="K664" s="1646">
        <v>42721</v>
      </c>
      <c r="L664" s="1647"/>
      <c r="M664" s="1648">
        <v>0</v>
      </c>
      <c r="N664" s="1649">
        <v>1.2626390142584074</v>
      </c>
      <c r="O664" s="1649">
        <v>1.2632108730035405</v>
      </c>
    </row>
    <row r="665" spans="11:15">
      <c r="K665" s="1646">
        <v>42722</v>
      </c>
      <c r="L665" s="1647"/>
      <c r="M665" s="1648">
        <v>0</v>
      </c>
      <c r="N665" s="1649">
        <v>1.2626390142584074</v>
      </c>
      <c r="O665" s="1649">
        <v>1.2632108730035405</v>
      </c>
    </row>
    <row r="666" spans="11:15">
      <c r="K666" s="1646">
        <v>42723</v>
      </c>
      <c r="L666" s="1647" t="s">
        <v>1653</v>
      </c>
      <c r="M666" s="1648">
        <v>5.0788E-2</v>
      </c>
      <c r="N666" s="1649">
        <v>1.2632802833609691</v>
      </c>
      <c r="O666" s="1649">
        <v>1.2638744503072381</v>
      </c>
    </row>
    <row r="667" spans="11:15">
      <c r="K667" s="1646">
        <v>42724</v>
      </c>
      <c r="L667" s="1647" t="s">
        <v>1653</v>
      </c>
      <c r="M667" s="1648">
        <v>5.0788E-2</v>
      </c>
      <c r="N667" s="1649">
        <v>1.2639218781512824</v>
      </c>
      <c r="O667" s="1649">
        <v>1.2645383761947291</v>
      </c>
    </row>
    <row r="668" spans="11:15">
      <c r="K668" s="1646">
        <v>42725</v>
      </c>
      <c r="L668" s="1647" t="s">
        <v>1653</v>
      </c>
      <c r="M668" s="1648">
        <v>5.0788E-2</v>
      </c>
      <c r="N668" s="1649">
        <v>1.264563798794758</v>
      </c>
      <c r="O668" s="1649">
        <v>1.2652026508491279</v>
      </c>
    </row>
    <row r="669" spans="11:15">
      <c r="K669" s="1646">
        <v>42726</v>
      </c>
      <c r="L669" s="1647" t="s">
        <v>1653</v>
      </c>
      <c r="M669" s="1648">
        <v>5.0788E-2</v>
      </c>
      <c r="N669" s="1649">
        <v>1.2652060454568899</v>
      </c>
      <c r="O669" s="1649">
        <v>1.2658672744536454</v>
      </c>
    </row>
    <row r="670" spans="11:15">
      <c r="K670" s="1646">
        <v>42727</v>
      </c>
      <c r="L670" s="1647" t="s">
        <v>1653</v>
      </c>
      <c r="M670" s="1648">
        <v>5.0788E-2</v>
      </c>
      <c r="N670" s="1649">
        <v>1.2658486183032565</v>
      </c>
      <c r="O670" s="1649">
        <v>1.2665322471915887</v>
      </c>
    </row>
    <row r="671" spans="11:15">
      <c r="K671" s="1646">
        <v>42728</v>
      </c>
      <c r="L671" s="1647"/>
      <c r="M671" s="1648">
        <v>0</v>
      </c>
      <c r="N671" s="1649">
        <v>1.2658486183032565</v>
      </c>
      <c r="O671" s="1649">
        <v>1.2665322471915887</v>
      </c>
    </row>
    <row r="672" spans="11:15">
      <c r="K672" s="1646">
        <v>42729</v>
      </c>
      <c r="L672" s="1647"/>
      <c r="M672" s="1648">
        <v>0</v>
      </c>
      <c r="N672" s="1649">
        <v>1.2658486183032565</v>
      </c>
      <c r="O672" s="1649">
        <v>1.2665322471915887</v>
      </c>
    </row>
    <row r="673" spans="11:15">
      <c r="K673" s="1646">
        <v>42730</v>
      </c>
      <c r="L673" s="1647" t="s">
        <v>1653</v>
      </c>
      <c r="M673" s="1648">
        <v>5.0788E-2</v>
      </c>
      <c r="N673" s="1649">
        <v>1.2664915174995204</v>
      </c>
      <c r="O673" s="1649">
        <v>1.2671975692463611</v>
      </c>
    </row>
    <row r="674" spans="11:15">
      <c r="K674" s="1646">
        <v>42731</v>
      </c>
      <c r="L674" s="1647" t="s">
        <v>1653</v>
      </c>
      <c r="M674" s="1648">
        <v>5.0788E-2</v>
      </c>
      <c r="N674" s="1649">
        <v>1.2671347432114282</v>
      </c>
      <c r="O674" s="1649">
        <v>1.2678632408014618</v>
      </c>
    </row>
    <row r="675" spans="11:15">
      <c r="K675" s="1646">
        <v>42732</v>
      </c>
      <c r="L675" s="1647" t="s">
        <v>1653</v>
      </c>
      <c r="M675" s="1648">
        <v>5.0788E-2</v>
      </c>
      <c r="N675" s="1649">
        <v>1.2677782956048105</v>
      </c>
      <c r="O675" s="1649">
        <v>1.2685292620404873</v>
      </c>
    </row>
    <row r="676" spans="11:15">
      <c r="K676" s="1646">
        <v>42733</v>
      </c>
      <c r="L676" s="1647" t="s">
        <v>1653</v>
      </c>
      <c r="M676" s="1648">
        <v>5.0788E-2</v>
      </c>
      <c r="N676" s="1649">
        <v>1.2684221748455822</v>
      </c>
      <c r="O676" s="1649">
        <v>1.2691956331471299</v>
      </c>
    </row>
    <row r="677" spans="11:15">
      <c r="K677" s="1646">
        <v>42734</v>
      </c>
      <c r="L677" s="1647" t="s">
        <v>1653</v>
      </c>
      <c r="M677" s="1648">
        <v>5.0788E-2</v>
      </c>
      <c r="N677" s="1649">
        <v>1.2690663810997427</v>
      </c>
      <c r="O677" s="1649">
        <v>1.2698623543051784</v>
      </c>
    </row>
    <row r="678" spans="11:15">
      <c r="K678" s="1646">
        <v>42735</v>
      </c>
      <c r="L678" s="1647"/>
      <c r="M678" s="1648">
        <v>0</v>
      </c>
      <c r="N678" s="1649">
        <v>1.2690663810997427</v>
      </c>
      <c r="O678" s="1649">
        <v>1.2698623543051784</v>
      </c>
    </row>
    <row r="679" spans="11:15">
      <c r="K679" s="1646">
        <v>42736</v>
      </c>
      <c r="L679" s="1647"/>
      <c r="M679" s="1648">
        <v>0</v>
      </c>
      <c r="N679" s="1649">
        <v>1.2690663810997427</v>
      </c>
      <c r="O679" s="1649">
        <v>1.2698623543051784</v>
      </c>
    </row>
    <row r="680" spans="11:15">
      <c r="K680" s="1646">
        <v>42737</v>
      </c>
      <c r="L680" s="1647" t="s">
        <v>1653</v>
      </c>
      <c r="M680" s="1648">
        <v>5.0788E-2</v>
      </c>
      <c r="N680" s="1649">
        <v>1.2697109145333756</v>
      </c>
      <c r="O680" s="1649">
        <v>1.2705294256985185</v>
      </c>
    </row>
    <row r="681" spans="11:15">
      <c r="K681" s="1646">
        <v>42738</v>
      </c>
      <c r="L681" s="1647" t="s">
        <v>1653</v>
      </c>
      <c r="M681" s="1648">
        <v>5.0788E-2</v>
      </c>
      <c r="N681" s="1649">
        <v>1.2703557753126489</v>
      </c>
      <c r="O681" s="1649">
        <v>1.2711968475111322</v>
      </c>
    </row>
    <row r="682" spans="11:15">
      <c r="K682" s="1646">
        <v>42739</v>
      </c>
      <c r="L682" s="1647" t="s">
        <v>1653</v>
      </c>
      <c r="M682" s="1648">
        <v>5.0788E-2</v>
      </c>
      <c r="N682" s="1649">
        <v>1.2710009636038146</v>
      </c>
      <c r="O682" s="1649">
        <v>1.2718646199270982</v>
      </c>
    </row>
    <row r="683" spans="11:15">
      <c r="K683" s="1646">
        <v>42740</v>
      </c>
      <c r="L683" s="1647" t="s">
        <v>1653</v>
      </c>
      <c r="M683" s="1648">
        <v>5.0788E-2</v>
      </c>
      <c r="N683" s="1649">
        <v>1.2716464795732099</v>
      </c>
      <c r="O683" s="1649">
        <v>1.2725327431305922</v>
      </c>
    </row>
    <row r="684" spans="11:15">
      <c r="K684" s="1646">
        <v>42741</v>
      </c>
      <c r="L684" s="1647" t="s">
        <v>1653</v>
      </c>
      <c r="M684" s="1648">
        <v>5.0788E-2</v>
      </c>
      <c r="N684" s="1649">
        <v>1.2722923233872556</v>
      </c>
      <c r="O684" s="1649">
        <v>1.2732012173058862</v>
      </c>
    </row>
    <row r="685" spans="11:15">
      <c r="K685" s="1646">
        <v>42742</v>
      </c>
      <c r="L685" s="1647"/>
      <c r="M685" s="1648">
        <v>0</v>
      </c>
      <c r="N685" s="1649">
        <v>1.2722923233872556</v>
      </c>
      <c r="O685" s="1649">
        <v>1.2732012173058862</v>
      </c>
    </row>
    <row r="686" spans="11:15">
      <c r="K686" s="1646">
        <v>42743</v>
      </c>
      <c r="L686" s="1647"/>
      <c r="M686" s="1648">
        <v>0</v>
      </c>
      <c r="N686" s="1649">
        <v>1.2722923233872556</v>
      </c>
      <c r="O686" s="1649">
        <v>1.2732012173058862</v>
      </c>
    </row>
    <row r="687" spans="11:15">
      <c r="K687" s="1646">
        <v>42744</v>
      </c>
      <c r="L687" s="1647" t="s">
        <v>1653</v>
      </c>
      <c r="M687" s="1648">
        <v>5.0788E-2</v>
      </c>
      <c r="N687" s="1649">
        <v>1.2729384952124576</v>
      </c>
      <c r="O687" s="1649">
        <v>1.2738700426373493</v>
      </c>
    </row>
    <row r="688" spans="11:15">
      <c r="K688" s="1646">
        <v>42745</v>
      </c>
      <c r="L688" s="1647" t="s">
        <v>1653</v>
      </c>
      <c r="M688" s="1648">
        <v>5.0788E-2</v>
      </c>
      <c r="N688" s="1649">
        <v>1.2735849952154061</v>
      </c>
      <c r="O688" s="1649">
        <v>1.2745392193094471</v>
      </c>
    </row>
    <row r="689" spans="11:15">
      <c r="K689" s="1646">
        <v>42746</v>
      </c>
      <c r="L689" s="1647" t="s">
        <v>1653</v>
      </c>
      <c r="M689" s="1648">
        <v>5.0788E-2</v>
      </c>
      <c r="N689" s="1649">
        <v>1.2742318235627761</v>
      </c>
      <c r="O689" s="1649">
        <v>1.2752087475067426</v>
      </c>
    </row>
    <row r="690" spans="11:15">
      <c r="K690" s="1646">
        <v>42747</v>
      </c>
      <c r="L690" s="1647" t="s">
        <v>1653</v>
      </c>
      <c r="M690" s="1648">
        <v>4.8159E-2</v>
      </c>
      <c r="N690" s="1649">
        <v>1.2748454808666856</v>
      </c>
      <c r="O690" s="1649">
        <v>1.2758786274138953</v>
      </c>
    </row>
    <row r="691" spans="11:15">
      <c r="K691" s="1646">
        <v>42748</v>
      </c>
      <c r="L691" s="1647" t="s">
        <v>1653</v>
      </c>
      <c r="M691" s="1648">
        <v>4.8159E-2</v>
      </c>
      <c r="N691" s="1649">
        <v>1.2754594337018161</v>
      </c>
      <c r="O691" s="1649">
        <v>1.2765488592156622</v>
      </c>
    </row>
    <row r="692" spans="11:15">
      <c r="K692" s="1646">
        <v>42749</v>
      </c>
      <c r="L692" s="1647"/>
      <c r="M692" s="1648">
        <v>0</v>
      </c>
      <c r="N692" s="1649">
        <v>1.2754594337018161</v>
      </c>
      <c r="O692" s="1649">
        <v>1.2765488592156622</v>
      </c>
    </row>
    <row r="693" spans="11:15">
      <c r="K693" s="1646">
        <v>42750</v>
      </c>
      <c r="L693" s="1647"/>
      <c r="M693" s="1648">
        <v>0</v>
      </c>
      <c r="N693" s="1649">
        <v>1.2754594337018161</v>
      </c>
      <c r="O693" s="1649">
        <v>1.2765488592156622</v>
      </c>
    </row>
    <row r="694" spans="11:15">
      <c r="K694" s="1646">
        <v>42751</v>
      </c>
      <c r="L694" s="1647" t="s">
        <v>1653</v>
      </c>
      <c r="M694" s="1648">
        <v>4.8159E-2</v>
      </c>
      <c r="N694" s="1649">
        <v>1.2760736822104926</v>
      </c>
      <c r="O694" s="1649">
        <v>1.2772194430968968</v>
      </c>
    </row>
    <row r="695" spans="11:15">
      <c r="K695" s="1646">
        <v>42752</v>
      </c>
      <c r="L695" s="1647" t="s">
        <v>1653</v>
      </c>
      <c r="M695" s="1648">
        <v>4.8159E-2</v>
      </c>
      <c r="N695" s="1649">
        <v>1.2766882265351083</v>
      </c>
      <c r="O695" s="1649">
        <v>1.27789037924255</v>
      </c>
    </row>
    <row r="696" spans="11:15">
      <c r="K696" s="1646">
        <v>42753</v>
      </c>
      <c r="L696" s="1647" t="s">
        <v>1653</v>
      </c>
      <c r="M696" s="1648">
        <v>4.8159E-2</v>
      </c>
      <c r="N696" s="1649">
        <v>1.2773030668181251</v>
      </c>
      <c r="O696" s="1649">
        <v>1.2785616678376699</v>
      </c>
    </row>
    <row r="697" spans="11:15">
      <c r="K697" s="1646">
        <v>42754</v>
      </c>
      <c r="L697" s="1647" t="s">
        <v>1653</v>
      </c>
      <c r="M697" s="1648">
        <v>4.8159E-2</v>
      </c>
      <c r="N697" s="1649">
        <v>1.2779182032020739</v>
      </c>
      <c r="O697" s="1649">
        <v>1.2792333090674017</v>
      </c>
    </row>
    <row r="698" spans="11:15">
      <c r="K698" s="1646">
        <v>42755</v>
      </c>
      <c r="L698" s="1647" t="s">
        <v>1653</v>
      </c>
      <c r="M698" s="1648">
        <v>4.8159E-2</v>
      </c>
      <c r="N698" s="1649">
        <v>1.278533635829554</v>
      </c>
      <c r="O698" s="1649">
        <v>1.279905303116988</v>
      </c>
    </row>
    <row r="699" spans="11:15">
      <c r="K699" s="1646">
        <v>42756</v>
      </c>
      <c r="L699" s="1647"/>
      <c r="M699" s="1648">
        <v>0</v>
      </c>
      <c r="N699" s="1649">
        <v>1.278533635829554</v>
      </c>
      <c r="O699" s="1649">
        <v>1.279905303116988</v>
      </c>
    </row>
    <row r="700" spans="11:15">
      <c r="K700" s="1646">
        <v>42757</v>
      </c>
      <c r="L700" s="1647"/>
      <c r="M700" s="1648">
        <v>0</v>
      </c>
      <c r="N700" s="1649">
        <v>1.278533635829554</v>
      </c>
      <c r="O700" s="1649">
        <v>1.279905303116988</v>
      </c>
    </row>
    <row r="701" spans="11:15">
      <c r="K701" s="1646">
        <v>42758</v>
      </c>
      <c r="L701" s="1647" t="s">
        <v>1653</v>
      </c>
      <c r="M701" s="1648">
        <v>4.8159E-2</v>
      </c>
      <c r="N701" s="1649">
        <v>1.279149364843233</v>
      </c>
      <c r="O701" s="1649">
        <v>1.2805776501717685</v>
      </c>
    </row>
    <row r="702" spans="11:15">
      <c r="K702" s="1646">
        <v>42759</v>
      </c>
      <c r="L702" s="1647" t="s">
        <v>1653</v>
      </c>
      <c r="M702" s="1648">
        <v>4.8159E-2</v>
      </c>
      <c r="N702" s="1649">
        <v>1.2797653903858479</v>
      </c>
      <c r="O702" s="1649">
        <v>1.2812503504171802</v>
      </c>
    </row>
    <row r="703" spans="11:15">
      <c r="K703" s="1646">
        <v>42760</v>
      </c>
      <c r="L703" s="1647" t="s">
        <v>1653</v>
      </c>
      <c r="M703" s="1648">
        <v>4.8159E-2</v>
      </c>
      <c r="N703" s="1649">
        <v>1.2803817126002037</v>
      </c>
      <c r="O703" s="1649">
        <v>1.2819234040387577</v>
      </c>
    </row>
    <row r="704" spans="11:15">
      <c r="K704" s="1646">
        <v>42761</v>
      </c>
      <c r="L704" s="1647" t="s">
        <v>1653</v>
      </c>
      <c r="M704" s="1648">
        <v>4.8159E-2</v>
      </c>
      <c r="N704" s="1649">
        <v>1.2809983316291746</v>
      </c>
      <c r="O704" s="1649">
        <v>1.2825968112221333</v>
      </c>
    </row>
    <row r="705" spans="11:15">
      <c r="K705" s="1646">
        <v>42762</v>
      </c>
      <c r="L705" s="1647" t="s">
        <v>1653</v>
      </c>
      <c r="M705" s="1648">
        <v>4.8159E-2</v>
      </c>
      <c r="N705" s="1649">
        <v>1.2816152476157039</v>
      </c>
      <c r="O705" s="1649">
        <v>1.2832705721530364</v>
      </c>
    </row>
    <row r="706" spans="11:15">
      <c r="K706" s="1646">
        <v>42763</v>
      </c>
      <c r="L706" s="1647"/>
      <c r="M706" s="1648">
        <v>0</v>
      </c>
      <c r="N706" s="1649">
        <v>1.2816152476157039</v>
      </c>
      <c r="O706" s="1649">
        <v>1.2832705721530364</v>
      </c>
    </row>
    <row r="707" spans="11:15">
      <c r="K707" s="1646">
        <v>42764</v>
      </c>
      <c r="L707" s="1647"/>
      <c r="M707" s="1648">
        <v>0</v>
      </c>
      <c r="N707" s="1649">
        <v>1.2816152476157039</v>
      </c>
      <c r="O707" s="1649">
        <v>1.2832705721530364</v>
      </c>
    </row>
    <row r="708" spans="11:15">
      <c r="K708" s="1646">
        <v>42765</v>
      </c>
      <c r="L708" s="1647" t="s">
        <v>1653</v>
      </c>
      <c r="M708" s="1648">
        <v>4.8159E-2</v>
      </c>
      <c r="N708" s="1649">
        <v>1.2822324607028031</v>
      </c>
      <c r="O708" s="1649">
        <v>1.2839446870172941</v>
      </c>
    </row>
    <row r="709" spans="11:15">
      <c r="K709" s="1646">
        <v>42766</v>
      </c>
      <c r="L709" s="1647" t="s">
        <v>1653</v>
      </c>
      <c r="M709" s="1648">
        <v>4.8159E-2</v>
      </c>
      <c r="N709" s="1649">
        <v>1.2828499710335528</v>
      </c>
      <c r="O709" s="1649">
        <v>1.2846191560008311</v>
      </c>
    </row>
    <row r="710" spans="11:15">
      <c r="K710" s="1646">
        <v>42767</v>
      </c>
      <c r="L710" s="1647" t="s">
        <v>1653</v>
      </c>
      <c r="M710" s="1648">
        <v>4.8159E-2</v>
      </c>
      <c r="N710" s="1649">
        <v>1.2834677787511029</v>
      </c>
      <c r="O710" s="1649">
        <v>1.2852939792896698</v>
      </c>
    </row>
    <row r="711" spans="11:15">
      <c r="K711" s="1646">
        <v>42768</v>
      </c>
      <c r="L711" s="1647" t="s">
        <v>1653</v>
      </c>
      <c r="M711" s="1648">
        <v>4.8159E-2</v>
      </c>
      <c r="N711" s="1649">
        <v>1.2840858839986715</v>
      </c>
      <c r="O711" s="1649">
        <v>1.2859691570699305</v>
      </c>
    </row>
    <row r="712" spans="11:15">
      <c r="K712" s="1646">
        <v>42769</v>
      </c>
      <c r="L712" s="1647" t="s">
        <v>1653</v>
      </c>
      <c r="M712" s="1648">
        <v>4.8159E-2</v>
      </c>
      <c r="N712" s="1649">
        <v>1.2847042869195464</v>
      </c>
      <c r="O712" s="1649">
        <v>1.286644689527831</v>
      </c>
    </row>
    <row r="713" spans="11:15">
      <c r="K713" s="1646">
        <v>42770</v>
      </c>
      <c r="L713" s="1647"/>
      <c r="M713" s="1648">
        <v>0</v>
      </c>
      <c r="N713" s="1649">
        <v>1.2847042869195464</v>
      </c>
      <c r="O713" s="1649">
        <v>1.286644689527831</v>
      </c>
    </row>
    <row r="714" spans="11:15">
      <c r="K714" s="1646">
        <v>42771</v>
      </c>
      <c r="L714" s="1647"/>
      <c r="M714" s="1648">
        <v>0</v>
      </c>
      <c r="N714" s="1649">
        <v>1.2847042869195464</v>
      </c>
      <c r="O714" s="1649">
        <v>1.286644689527831</v>
      </c>
    </row>
    <row r="715" spans="11:15">
      <c r="K715" s="1646">
        <v>42772</v>
      </c>
      <c r="L715" s="1647" t="s">
        <v>1653</v>
      </c>
      <c r="M715" s="1648">
        <v>4.8159E-2</v>
      </c>
      <c r="N715" s="1649">
        <v>1.285322987657084</v>
      </c>
      <c r="O715" s="1649">
        <v>1.2873205768496869</v>
      </c>
    </row>
    <row r="716" spans="11:15">
      <c r="K716" s="1646">
        <v>42773</v>
      </c>
      <c r="L716" s="1647" t="s">
        <v>1653</v>
      </c>
      <c r="M716" s="1648">
        <v>4.8159E-2</v>
      </c>
      <c r="N716" s="1649">
        <v>1.2859419863547097</v>
      </c>
      <c r="O716" s="1649">
        <v>1.2879968192219118</v>
      </c>
    </row>
    <row r="717" spans="11:15">
      <c r="K717" s="1646">
        <v>42774</v>
      </c>
      <c r="L717" s="1647" t="s">
        <v>1653</v>
      </c>
      <c r="M717" s="1648">
        <v>4.8159E-2</v>
      </c>
      <c r="N717" s="1649">
        <v>1.2865612831559181</v>
      </c>
      <c r="O717" s="1649">
        <v>1.2886734168310172</v>
      </c>
    </row>
    <row r="718" spans="11:15">
      <c r="K718" s="1646">
        <v>42775</v>
      </c>
      <c r="L718" s="1647" t="s">
        <v>1653</v>
      </c>
      <c r="M718" s="1648">
        <v>4.8159E-2</v>
      </c>
      <c r="N718" s="1649">
        <v>1.2871808782042731</v>
      </c>
      <c r="O718" s="1649">
        <v>1.2893503698636126</v>
      </c>
    </row>
    <row r="719" spans="11:15">
      <c r="K719" s="1646">
        <v>42776</v>
      </c>
      <c r="L719" s="1647" t="s">
        <v>1653</v>
      </c>
      <c r="M719" s="1648">
        <v>4.8159E-2</v>
      </c>
      <c r="N719" s="1649">
        <v>1.2878007716434074</v>
      </c>
      <c r="O719" s="1649">
        <v>1.2900276785064058</v>
      </c>
    </row>
    <row r="720" spans="11:15">
      <c r="K720" s="1646">
        <v>42777</v>
      </c>
      <c r="L720" s="1647"/>
      <c r="M720" s="1648">
        <v>0</v>
      </c>
      <c r="N720" s="1649">
        <v>1.2878007716434074</v>
      </c>
      <c r="O720" s="1649">
        <v>1.2900276785064058</v>
      </c>
    </row>
    <row r="721" spans="11:15">
      <c r="K721" s="1646">
        <v>42778</v>
      </c>
      <c r="L721" s="1647"/>
      <c r="M721" s="1648">
        <v>0</v>
      </c>
      <c r="N721" s="1649">
        <v>1.2878007716434074</v>
      </c>
      <c r="O721" s="1649">
        <v>1.2900276785064058</v>
      </c>
    </row>
    <row r="722" spans="11:15">
      <c r="K722" s="1646">
        <v>42779</v>
      </c>
      <c r="L722" s="1647" t="s">
        <v>1653</v>
      </c>
      <c r="M722" s="1648">
        <v>4.8159E-2</v>
      </c>
      <c r="N722" s="1649">
        <v>1.2884209636170232</v>
      </c>
      <c r="O722" s="1649">
        <v>1.2907053429462019</v>
      </c>
    </row>
    <row r="723" spans="11:15">
      <c r="K723" s="1646">
        <v>42780</v>
      </c>
      <c r="L723" s="1647" t="s">
        <v>1653</v>
      </c>
      <c r="M723" s="1648">
        <v>4.8159E-2</v>
      </c>
      <c r="N723" s="1649">
        <v>1.2890414542688915</v>
      </c>
      <c r="O723" s="1649">
        <v>1.291383363369905</v>
      </c>
    </row>
    <row r="724" spans="11:15">
      <c r="K724" s="1646">
        <v>42781</v>
      </c>
      <c r="L724" s="1647" t="s">
        <v>1653</v>
      </c>
      <c r="M724" s="1648">
        <v>4.8159E-2</v>
      </c>
      <c r="N724" s="1649">
        <v>1.2896622437428527</v>
      </c>
      <c r="O724" s="1649">
        <v>1.2920617399645169</v>
      </c>
    </row>
    <row r="725" spans="11:15">
      <c r="K725" s="1646">
        <v>42782</v>
      </c>
      <c r="L725" s="1647" t="s">
        <v>1653</v>
      </c>
      <c r="M725" s="1648">
        <v>4.8159E-2</v>
      </c>
      <c r="N725" s="1649">
        <v>1.2902833321828167</v>
      </c>
      <c r="O725" s="1649">
        <v>1.2927404729171377</v>
      </c>
    </row>
    <row r="726" spans="11:15">
      <c r="K726" s="1646">
        <v>42783</v>
      </c>
      <c r="L726" s="1647" t="s">
        <v>1653</v>
      </c>
      <c r="M726" s="1648">
        <v>4.8159E-2</v>
      </c>
      <c r="N726" s="1649">
        <v>1.2909047197327626</v>
      </c>
      <c r="O726" s="1649">
        <v>1.2934195624149658</v>
      </c>
    </row>
    <row r="727" spans="11:15">
      <c r="K727" s="1646">
        <v>42784</v>
      </c>
      <c r="L727" s="1647"/>
      <c r="M727" s="1648">
        <v>0</v>
      </c>
      <c r="N727" s="1649">
        <v>1.2909047197327626</v>
      </c>
      <c r="O727" s="1649">
        <v>1.2934195624149658</v>
      </c>
    </row>
    <row r="728" spans="11:15">
      <c r="K728" s="1646">
        <v>42785</v>
      </c>
      <c r="L728" s="1647"/>
      <c r="M728" s="1648">
        <v>0</v>
      </c>
      <c r="N728" s="1649">
        <v>1.2909047197327626</v>
      </c>
      <c r="O728" s="1649">
        <v>1.2934195624149658</v>
      </c>
    </row>
    <row r="729" spans="11:15">
      <c r="K729" s="1646">
        <v>42786</v>
      </c>
      <c r="L729" s="1647" t="s">
        <v>1653</v>
      </c>
      <c r="M729" s="1648">
        <v>4.8159E-2</v>
      </c>
      <c r="N729" s="1649">
        <v>1.2915264065367384</v>
      </c>
      <c r="O729" s="1649">
        <v>1.2940990086452979</v>
      </c>
    </row>
    <row r="730" spans="11:15">
      <c r="K730" s="1646">
        <v>42787</v>
      </c>
      <c r="L730" s="1647" t="s">
        <v>1653</v>
      </c>
      <c r="M730" s="1648">
        <v>4.8159E-2</v>
      </c>
      <c r="N730" s="1649">
        <v>1.2921483927388624</v>
      </c>
      <c r="O730" s="1649">
        <v>1.2947788117955294</v>
      </c>
    </row>
    <row r="731" spans="11:15">
      <c r="K731" s="1646">
        <v>42788</v>
      </c>
      <c r="L731" s="1647" t="s">
        <v>1653</v>
      </c>
      <c r="M731" s="1648">
        <v>4.8159E-2</v>
      </c>
      <c r="N731" s="1649">
        <v>1.2927706784833215</v>
      </c>
      <c r="O731" s="1649">
        <v>1.2954589720531537</v>
      </c>
    </row>
    <row r="732" spans="11:15">
      <c r="K732" s="1646">
        <v>42789</v>
      </c>
      <c r="L732" s="1647" t="s">
        <v>1653</v>
      </c>
      <c r="M732" s="1648">
        <v>4.5512999999999998E-2</v>
      </c>
      <c r="N732" s="1649">
        <v>1.2933590572022196</v>
      </c>
      <c r="O732" s="1649">
        <v>1.296139489605763</v>
      </c>
    </row>
    <row r="733" spans="11:15">
      <c r="K733" s="1646">
        <v>42790</v>
      </c>
      <c r="L733" s="1647" t="s">
        <v>1653</v>
      </c>
      <c r="M733" s="1648">
        <v>4.5512999999999998E-2</v>
      </c>
      <c r="N733" s="1649">
        <v>1.2939477037099241</v>
      </c>
      <c r="O733" s="1649">
        <v>1.2968203646410479</v>
      </c>
    </row>
    <row r="734" spans="11:15">
      <c r="K734" s="1646">
        <v>42791</v>
      </c>
      <c r="L734" s="1647"/>
      <c r="M734" s="1648">
        <v>0</v>
      </c>
      <c r="N734" s="1649">
        <v>1.2939477037099241</v>
      </c>
      <c r="O734" s="1649">
        <v>1.2968203646410479</v>
      </c>
    </row>
    <row r="735" spans="11:15">
      <c r="K735" s="1646">
        <v>42792</v>
      </c>
      <c r="L735" s="1647"/>
      <c r="M735" s="1648">
        <v>0</v>
      </c>
      <c r="N735" s="1649">
        <v>1.2939477037099241</v>
      </c>
      <c r="O735" s="1649">
        <v>1.2968203646410479</v>
      </c>
    </row>
    <row r="736" spans="11:15">
      <c r="K736" s="1646">
        <v>42793</v>
      </c>
      <c r="L736" s="1647"/>
      <c r="M736" s="1648">
        <v>0</v>
      </c>
      <c r="N736" s="1649">
        <v>1.2939477037099241</v>
      </c>
      <c r="O736" s="1649">
        <v>1.2968203646410479</v>
      </c>
    </row>
    <row r="737" spans="11:15">
      <c r="K737" s="1646">
        <v>42794</v>
      </c>
      <c r="L737" s="1647"/>
      <c r="M737" s="1648">
        <v>0</v>
      </c>
      <c r="N737" s="1649">
        <v>1.2939477037099241</v>
      </c>
      <c r="O737" s="1649">
        <v>1.2968203646410479</v>
      </c>
    </row>
    <row r="738" spans="11:15">
      <c r="K738" s="1646">
        <v>42795</v>
      </c>
      <c r="L738" s="1647" t="s">
        <v>1653</v>
      </c>
      <c r="M738" s="1648">
        <v>4.5512999999999998E-2</v>
      </c>
      <c r="N738" s="1649">
        <v>1.2945366181283136</v>
      </c>
      <c r="O738" s="1649">
        <v>1.2975015973467974</v>
      </c>
    </row>
    <row r="739" spans="11:15">
      <c r="K739" s="1646">
        <v>42796</v>
      </c>
      <c r="L739" s="1647" t="s">
        <v>1653</v>
      </c>
      <c r="M739" s="1648">
        <v>4.5512999999999998E-2</v>
      </c>
      <c r="N739" s="1649">
        <v>1.2951258005793223</v>
      </c>
      <c r="O739" s="1649">
        <v>1.2981831879108996</v>
      </c>
    </row>
    <row r="740" spans="11:15">
      <c r="K740" s="1646">
        <v>42797</v>
      </c>
      <c r="L740" s="1647" t="s">
        <v>1653</v>
      </c>
      <c r="M740" s="1648">
        <v>4.5512999999999998E-2</v>
      </c>
      <c r="N740" s="1649">
        <v>1.2957152511849399</v>
      </c>
      <c r="O740" s="1649">
        <v>1.2988651365213411</v>
      </c>
    </row>
    <row r="741" spans="11:15">
      <c r="K741" s="1646">
        <v>42798</v>
      </c>
      <c r="L741" s="1647"/>
      <c r="M741" s="1648">
        <v>0</v>
      </c>
      <c r="N741" s="1649">
        <v>1.2957152511849399</v>
      </c>
      <c r="O741" s="1649">
        <v>1.2988651365213411</v>
      </c>
    </row>
    <row r="742" spans="11:15">
      <c r="K742" s="1646">
        <v>42799</v>
      </c>
      <c r="L742" s="1647"/>
      <c r="M742" s="1648">
        <v>0</v>
      </c>
      <c r="N742" s="1649">
        <v>1.2957152511849399</v>
      </c>
      <c r="O742" s="1649">
        <v>1.2988651365213411</v>
      </c>
    </row>
    <row r="743" spans="11:15">
      <c r="K743" s="1646">
        <v>42800</v>
      </c>
      <c r="L743" s="1647" t="s">
        <v>1653</v>
      </c>
      <c r="M743" s="1648">
        <v>4.5512999999999998E-2</v>
      </c>
      <c r="N743" s="1649">
        <v>1.2963049700672116</v>
      </c>
      <c r="O743" s="1649">
        <v>1.2995474433662071</v>
      </c>
    </row>
    <row r="744" spans="11:15">
      <c r="K744" s="1646">
        <v>42801</v>
      </c>
      <c r="L744" s="1647" t="s">
        <v>1653</v>
      </c>
      <c r="M744" s="1648">
        <v>4.5512999999999998E-2</v>
      </c>
      <c r="N744" s="1649">
        <v>1.2968949573482382</v>
      </c>
      <c r="O744" s="1649">
        <v>1.3002301086336818</v>
      </c>
    </row>
    <row r="745" spans="11:15">
      <c r="K745" s="1646">
        <v>42802</v>
      </c>
      <c r="L745" s="1647" t="s">
        <v>1653</v>
      </c>
      <c r="M745" s="1648">
        <v>4.5512999999999998E-2</v>
      </c>
      <c r="N745" s="1649">
        <v>1.2974852131501762</v>
      </c>
      <c r="O745" s="1649">
        <v>1.3009131325120482</v>
      </c>
    </row>
    <row r="746" spans="11:15">
      <c r="K746" s="1646">
        <v>42803</v>
      </c>
      <c r="L746" s="1647" t="s">
        <v>1653</v>
      </c>
      <c r="M746" s="1648">
        <v>4.5512999999999998E-2</v>
      </c>
      <c r="N746" s="1649">
        <v>1.2980757375952372</v>
      </c>
      <c r="O746" s="1649">
        <v>1.3015965151896882</v>
      </c>
    </row>
    <row r="747" spans="11:15">
      <c r="K747" s="1646">
        <v>42804</v>
      </c>
      <c r="L747" s="1647" t="s">
        <v>1653</v>
      </c>
      <c r="M747" s="1648">
        <v>4.5512999999999998E-2</v>
      </c>
      <c r="N747" s="1649">
        <v>1.2986665308056888</v>
      </c>
      <c r="O747" s="1649">
        <v>1.3022802568550824</v>
      </c>
    </row>
    <row r="748" spans="11:15">
      <c r="K748" s="1646">
        <v>42805</v>
      </c>
      <c r="L748" s="1647"/>
      <c r="M748" s="1648">
        <v>0</v>
      </c>
      <c r="N748" s="1649">
        <v>1.2986665308056888</v>
      </c>
      <c r="O748" s="1649">
        <v>1.3022802568550824</v>
      </c>
    </row>
    <row r="749" spans="11:15">
      <c r="K749" s="1646">
        <v>42806</v>
      </c>
      <c r="L749" s="1647"/>
      <c r="M749" s="1648">
        <v>0</v>
      </c>
      <c r="N749" s="1649">
        <v>1.2986665308056888</v>
      </c>
      <c r="O749" s="1649">
        <v>1.3022802568550824</v>
      </c>
    </row>
    <row r="750" spans="11:15">
      <c r="K750" s="1646">
        <v>42807</v>
      </c>
      <c r="L750" s="1647" t="s">
        <v>1653</v>
      </c>
      <c r="M750" s="1648">
        <v>4.5512999999999998E-2</v>
      </c>
      <c r="N750" s="1649">
        <v>1.2992575929038543</v>
      </c>
      <c r="O750" s="1649">
        <v>1.3029643576968111</v>
      </c>
    </row>
    <row r="751" spans="11:15">
      <c r="K751" s="1646">
        <v>42808</v>
      </c>
      <c r="L751" s="1647" t="s">
        <v>1653</v>
      </c>
      <c r="M751" s="1648">
        <v>4.5512999999999998E-2</v>
      </c>
      <c r="N751" s="1649">
        <v>1.2998489240121127</v>
      </c>
      <c r="O751" s="1649">
        <v>1.3036488179035528</v>
      </c>
    </row>
    <row r="752" spans="11:15">
      <c r="K752" s="1646">
        <v>42809</v>
      </c>
      <c r="L752" s="1647" t="s">
        <v>1653</v>
      </c>
      <c r="M752" s="1648">
        <v>4.5512999999999998E-2</v>
      </c>
      <c r="N752" s="1649">
        <v>1.3004405242528982</v>
      </c>
      <c r="O752" s="1649">
        <v>1.3043336376640857</v>
      </c>
    </row>
    <row r="753" spans="11:15">
      <c r="K753" s="1646">
        <v>42810</v>
      </c>
      <c r="L753" s="1647" t="s">
        <v>1653</v>
      </c>
      <c r="M753" s="1648">
        <v>4.5512999999999998E-2</v>
      </c>
      <c r="N753" s="1649">
        <v>1.3010323937487014</v>
      </c>
      <c r="O753" s="1649">
        <v>1.305018817167287</v>
      </c>
    </row>
    <row r="754" spans="11:15">
      <c r="K754" s="1646">
        <v>42811</v>
      </c>
      <c r="L754" s="1647" t="s">
        <v>1653</v>
      </c>
      <c r="M754" s="1648">
        <v>4.5512999999999998E-2</v>
      </c>
      <c r="N754" s="1649">
        <v>1.3016245326220681</v>
      </c>
      <c r="O754" s="1649">
        <v>1.3057043566021331</v>
      </c>
    </row>
    <row r="755" spans="11:15">
      <c r="K755" s="1646">
        <v>42812</v>
      </c>
      <c r="L755" s="1647"/>
      <c r="M755" s="1648">
        <v>0</v>
      </c>
      <c r="N755" s="1649">
        <v>1.3016245326220681</v>
      </c>
      <c r="O755" s="1649">
        <v>1.3057043566021331</v>
      </c>
    </row>
    <row r="756" spans="11:15">
      <c r="K756" s="1646">
        <v>42813</v>
      </c>
      <c r="L756" s="1647"/>
      <c r="M756" s="1648">
        <v>0</v>
      </c>
      <c r="N756" s="1649">
        <v>1.3016245326220681</v>
      </c>
      <c r="O756" s="1649">
        <v>1.3057043566021331</v>
      </c>
    </row>
    <row r="757" spans="11:15">
      <c r="K757" s="1646">
        <v>42814</v>
      </c>
      <c r="L757" s="1647" t="s">
        <v>1653</v>
      </c>
      <c r="M757" s="1648">
        <v>4.5512999999999998E-2</v>
      </c>
      <c r="N757" s="1649">
        <v>1.3022169409956004</v>
      </c>
      <c r="O757" s="1649">
        <v>1.3063902561576999</v>
      </c>
    </row>
    <row r="758" spans="11:15">
      <c r="K758" s="1646">
        <v>42815</v>
      </c>
      <c r="L758" s="1647" t="s">
        <v>1653</v>
      </c>
      <c r="M758" s="1648">
        <v>4.5512999999999998E-2</v>
      </c>
      <c r="N758" s="1649">
        <v>1.3028096189919556</v>
      </c>
      <c r="O758" s="1649">
        <v>1.3070765160231621</v>
      </c>
    </row>
    <row r="759" spans="11:15">
      <c r="K759" s="1646">
        <v>42816</v>
      </c>
      <c r="L759" s="1647" t="s">
        <v>1653</v>
      </c>
      <c r="M759" s="1648">
        <v>4.5512999999999998E-2</v>
      </c>
      <c r="N759" s="1649">
        <v>1.3034025667338474</v>
      </c>
      <c r="O759" s="1649">
        <v>1.3077631363877942</v>
      </c>
    </row>
    <row r="760" spans="11:15">
      <c r="K760" s="1646">
        <v>42817</v>
      </c>
      <c r="L760" s="1647" t="s">
        <v>1653</v>
      </c>
      <c r="M760" s="1648">
        <v>4.5512999999999998E-2</v>
      </c>
      <c r="N760" s="1649">
        <v>1.3039957843440448</v>
      </c>
      <c r="O760" s="1649">
        <v>1.30845011744097</v>
      </c>
    </row>
    <row r="761" spans="11:15">
      <c r="K761" s="1646">
        <v>42818</v>
      </c>
      <c r="L761" s="1647" t="s">
        <v>1653</v>
      </c>
      <c r="M761" s="1648">
        <v>4.5512999999999998E-2</v>
      </c>
      <c r="N761" s="1649">
        <v>1.3045892719453733</v>
      </c>
      <c r="O761" s="1649">
        <v>1.309137459372163</v>
      </c>
    </row>
    <row r="762" spans="11:15">
      <c r="K762" s="1646">
        <v>42819</v>
      </c>
      <c r="L762" s="1647"/>
      <c r="M762" s="1648">
        <v>0</v>
      </c>
      <c r="N762" s="1649">
        <v>1.3045892719453733</v>
      </c>
      <c r="O762" s="1649">
        <v>1.309137459372163</v>
      </c>
    </row>
    <row r="763" spans="11:15">
      <c r="K763" s="1646">
        <v>42820</v>
      </c>
      <c r="L763" s="1647"/>
      <c r="M763" s="1648">
        <v>0</v>
      </c>
      <c r="N763" s="1649">
        <v>1.3045892719453733</v>
      </c>
      <c r="O763" s="1649">
        <v>1.309137459372163</v>
      </c>
    </row>
    <row r="764" spans="11:15">
      <c r="K764" s="1646">
        <v>42821</v>
      </c>
      <c r="L764" s="1647" t="s">
        <v>1653</v>
      </c>
      <c r="M764" s="1648">
        <v>4.5512999999999998E-2</v>
      </c>
      <c r="N764" s="1649">
        <v>1.3051830296607139</v>
      </c>
      <c r="O764" s="1649">
        <v>1.3098251623709458</v>
      </c>
    </row>
    <row r="765" spans="11:15">
      <c r="K765" s="1646">
        <v>42822</v>
      </c>
      <c r="L765" s="1647" t="s">
        <v>1653</v>
      </c>
      <c r="M765" s="1648">
        <v>4.5512999999999998E-2</v>
      </c>
      <c r="N765" s="1649">
        <v>1.3057770576130032</v>
      </c>
      <c r="O765" s="1649">
        <v>1.310513226626991</v>
      </c>
    </row>
    <row r="766" spans="11:15">
      <c r="K766" s="1646">
        <v>42823</v>
      </c>
      <c r="L766" s="1647" t="s">
        <v>1653</v>
      </c>
      <c r="M766" s="1648">
        <v>4.5512999999999998E-2</v>
      </c>
      <c r="N766" s="1649">
        <v>1.3063713559252346</v>
      </c>
      <c r="O766" s="1649">
        <v>1.3112016523300705</v>
      </c>
    </row>
    <row r="767" spans="11:15">
      <c r="K767" s="1646">
        <v>42824</v>
      </c>
      <c r="L767" s="1647" t="s">
        <v>1653</v>
      </c>
      <c r="M767" s="1648">
        <v>4.5512999999999998E-2</v>
      </c>
      <c r="N767" s="1649">
        <v>1.3069659247204568</v>
      </c>
      <c r="O767" s="1649">
        <v>1.3118904396700559</v>
      </c>
    </row>
    <row r="768" spans="11:15">
      <c r="K768" s="1646">
        <v>42825</v>
      </c>
      <c r="L768" s="1647" t="s">
        <v>1653</v>
      </c>
      <c r="M768" s="1648">
        <v>4.5512999999999998E-2</v>
      </c>
      <c r="N768" s="1649">
        <v>1.3075607641217748</v>
      </c>
      <c r="O768" s="1649">
        <v>1.3125795888369189</v>
      </c>
    </row>
    <row r="769" spans="11:15">
      <c r="K769" s="1646">
        <v>42826</v>
      </c>
      <c r="L769" s="1647"/>
      <c r="M769" s="1648">
        <v>0</v>
      </c>
      <c r="N769" s="1649">
        <v>1.3075607641217748</v>
      </c>
      <c r="O769" s="1649">
        <v>1.3125795888369189</v>
      </c>
    </row>
    <row r="770" spans="11:15">
      <c r="K770" s="1646">
        <v>42827</v>
      </c>
      <c r="L770" s="1647"/>
      <c r="M770" s="1648">
        <v>0</v>
      </c>
      <c r="N770" s="1649">
        <v>1.3075607641217748</v>
      </c>
      <c r="O770" s="1649">
        <v>1.3125795888369189</v>
      </c>
    </row>
    <row r="771" spans="11:15">
      <c r="K771" s="1646">
        <v>42828</v>
      </c>
      <c r="L771" s="1647" t="s">
        <v>1653</v>
      </c>
      <c r="M771" s="1648">
        <v>4.5512999999999998E-2</v>
      </c>
      <c r="N771" s="1649">
        <v>1.3081558742523496</v>
      </c>
      <c r="O771" s="1649">
        <v>1.3132691000207308</v>
      </c>
    </row>
    <row r="772" spans="11:15">
      <c r="K772" s="1646">
        <v>42829</v>
      </c>
      <c r="L772" s="1647" t="s">
        <v>1653</v>
      </c>
      <c r="M772" s="1648">
        <v>4.5512999999999998E-2</v>
      </c>
      <c r="N772" s="1649">
        <v>1.3087512552353979</v>
      </c>
      <c r="O772" s="1649">
        <v>1.3139589734116628</v>
      </c>
    </row>
    <row r="773" spans="11:15">
      <c r="K773" s="1646">
        <v>42830</v>
      </c>
      <c r="L773" s="1647" t="s">
        <v>1653</v>
      </c>
      <c r="M773" s="1648">
        <v>4.5512999999999998E-2</v>
      </c>
      <c r="N773" s="1649">
        <v>1.3093469071941932</v>
      </c>
      <c r="O773" s="1649">
        <v>1.3146492091999857</v>
      </c>
    </row>
    <row r="774" spans="11:15">
      <c r="K774" s="1646">
        <v>42831</v>
      </c>
      <c r="L774" s="1647" t="s">
        <v>1653</v>
      </c>
      <c r="M774" s="1648">
        <v>4.5512999999999998E-2</v>
      </c>
      <c r="N774" s="1649">
        <v>1.3099428302520644</v>
      </c>
      <c r="O774" s="1649">
        <v>1.3153398075760705</v>
      </c>
    </row>
    <row r="775" spans="11:15">
      <c r="K775" s="1646">
        <v>42832</v>
      </c>
      <c r="L775" s="1647" t="s">
        <v>1653</v>
      </c>
      <c r="M775" s="1648">
        <v>4.5512999999999998E-2</v>
      </c>
      <c r="N775" s="1649">
        <v>1.3105390245323969</v>
      </c>
      <c r="O775" s="1649">
        <v>1.3160307687303883</v>
      </c>
    </row>
    <row r="776" spans="11:15">
      <c r="K776" s="1646">
        <v>42833</v>
      </c>
      <c r="L776" s="1647"/>
      <c r="M776" s="1648">
        <v>0</v>
      </c>
      <c r="N776" s="1649">
        <v>1.3105390245323969</v>
      </c>
      <c r="O776" s="1649">
        <v>1.3160307687303883</v>
      </c>
    </row>
    <row r="777" spans="11:15">
      <c r="K777" s="1646">
        <v>42834</v>
      </c>
      <c r="L777" s="1647"/>
      <c r="M777" s="1648">
        <v>0</v>
      </c>
      <c r="N777" s="1649">
        <v>1.3105390245323969</v>
      </c>
      <c r="O777" s="1649">
        <v>1.3160307687303883</v>
      </c>
    </row>
    <row r="778" spans="11:15">
      <c r="K778" s="1646">
        <v>42835</v>
      </c>
      <c r="L778" s="1647" t="s">
        <v>1653</v>
      </c>
      <c r="M778" s="1648">
        <v>4.5512999999999998E-2</v>
      </c>
      <c r="N778" s="1649">
        <v>1.3111354901586323</v>
      </c>
      <c r="O778" s="1649">
        <v>1.3167220928535099</v>
      </c>
    </row>
    <row r="779" spans="11:15">
      <c r="K779" s="1646">
        <v>42836</v>
      </c>
      <c r="L779" s="1647" t="s">
        <v>1653</v>
      </c>
      <c r="M779" s="1648">
        <v>4.5512999999999998E-2</v>
      </c>
      <c r="N779" s="1649">
        <v>1.3117322272542682</v>
      </c>
      <c r="O779" s="1649">
        <v>1.3174137801361068</v>
      </c>
    </row>
    <row r="780" spans="11:15">
      <c r="K780" s="1646">
        <v>42837</v>
      </c>
      <c r="L780" s="1647" t="s">
        <v>1653</v>
      </c>
      <c r="M780" s="1648">
        <v>4.5512999999999998E-2</v>
      </c>
      <c r="N780" s="1649">
        <v>1.3123292359428584</v>
      </c>
      <c r="O780" s="1649">
        <v>1.3181058307689502</v>
      </c>
    </row>
    <row r="781" spans="11:15">
      <c r="K781" s="1646">
        <v>42838</v>
      </c>
      <c r="L781" s="1647" t="s">
        <v>1653</v>
      </c>
      <c r="M781" s="1648">
        <v>4.1957000000000001E-2</v>
      </c>
      <c r="N781" s="1649">
        <v>1.3128798499203831</v>
      </c>
      <c r="O781" s="1649">
        <v>1.3187982449429114</v>
      </c>
    </row>
    <row r="782" spans="11:15">
      <c r="K782" s="1646">
        <v>42839</v>
      </c>
      <c r="L782" s="1647"/>
      <c r="M782" s="1648">
        <v>0</v>
      </c>
      <c r="N782" s="1649">
        <v>1.3128798499203831</v>
      </c>
      <c r="O782" s="1649">
        <v>1.3187982449429114</v>
      </c>
    </row>
    <row r="783" spans="11:15">
      <c r="K783" s="1646">
        <v>42840</v>
      </c>
      <c r="L783" s="1647"/>
      <c r="M783" s="1648">
        <v>0</v>
      </c>
      <c r="N783" s="1649">
        <v>1.3128798499203831</v>
      </c>
      <c r="O783" s="1649">
        <v>1.3187982449429114</v>
      </c>
    </row>
    <row r="784" spans="11:15">
      <c r="K784" s="1646">
        <v>42841</v>
      </c>
      <c r="L784" s="1647"/>
      <c r="M784" s="1648">
        <v>0</v>
      </c>
      <c r="N784" s="1649">
        <v>1.3128798499203831</v>
      </c>
      <c r="O784" s="1649">
        <v>1.3187982449429114</v>
      </c>
    </row>
    <row r="785" spans="11:15">
      <c r="K785" s="1646">
        <v>42842</v>
      </c>
      <c r="L785" s="1647" t="s">
        <v>1653</v>
      </c>
      <c r="M785" s="1648">
        <v>4.1957000000000001E-2</v>
      </c>
      <c r="N785" s="1649">
        <v>1.3134306949190142</v>
      </c>
      <c r="O785" s="1649">
        <v>1.3194910228489625</v>
      </c>
    </row>
    <row r="786" spans="11:15">
      <c r="K786" s="1646">
        <v>42843</v>
      </c>
      <c r="L786" s="1647" t="s">
        <v>1653</v>
      </c>
      <c r="M786" s="1648">
        <v>4.1957000000000001E-2</v>
      </c>
      <c r="N786" s="1649">
        <v>1.3139817710356814</v>
      </c>
      <c r="O786" s="1649">
        <v>1.3201841646781753</v>
      </c>
    </row>
    <row r="787" spans="11:15">
      <c r="K787" s="1646">
        <v>42844</v>
      </c>
      <c r="L787" s="1647" t="s">
        <v>1653</v>
      </c>
      <c r="M787" s="1648">
        <v>4.1957000000000001E-2</v>
      </c>
      <c r="N787" s="1649">
        <v>1.3145330783673548</v>
      </c>
      <c r="O787" s="1649">
        <v>1.3208776706217225</v>
      </c>
    </row>
    <row r="788" spans="11:15">
      <c r="K788" s="1646">
        <v>42845</v>
      </c>
      <c r="L788" s="1647" t="s">
        <v>1653</v>
      </c>
      <c r="M788" s="1648">
        <v>4.1957000000000001E-2</v>
      </c>
      <c r="N788" s="1649">
        <v>1.3150846170110455</v>
      </c>
      <c r="O788" s="1649">
        <v>1.3215715408708768</v>
      </c>
    </row>
    <row r="789" spans="11:15">
      <c r="K789" s="1646">
        <v>42846</v>
      </c>
      <c r="L789" s="1647"/>
      <c r="M789" s="1648">
        <v>0</v>
      </c>
      <c r="N789" s="1649">
        <v>1.3150846170110455</v>
      </c>
      <c r="O789" s="1649">
        <v>1.3215715408708768</v>
      </c>
    </row>
    <row r="790" spans="11:15">
      <c r="K790" s="1646">
        <v>42847</v>
      </c>
      <c r="L790" s="1647"/>
      <c r="M790" s="1648">
        <v>0</v>
      </c>
      <c r="N790" s="1649">
        <v>1.3150846170110455</v>
      </c>
      <c r="O790" s="1649">
        <v>1.3215715408708768</v>
      </c>
    </row>
    <row r="791" spans="11:15">
      <c r="K791" s="1646">
        <v>42848</v>
      </c>
      <c r="L791" s="1647"/>
      <c r="M791" s="1648">
        <v>0</v>
      </c>
      <c r="N791" s="1649">
        <v>1.3150846170110455</v>
      </c>
      <c r="O791" s="1649">
        <v>1.3215715408708768</v>
      </c>
    </row>
    <row r="792" spans="11:15">
      <c r="K792" s="1646">
        <v>42849</v>
      </c>
      <c r="L792" s="1647" t="s">
        <v>1653</v>
      </c>
      <c r="M792" s="1648">
        <v>4.1957000000000001E-2</v>
      </c>
      <c r="N792" s="1649">
        <v>1.3156363870638048</v>
      </c>
      <c r="O792" s="1649">
        <v>1.3222657756170118</v>
      </c>
    </row>
    <row r="793" spans="11:15">
      <c r="K793" s="1646">
        <v>42850</v>
      </c>
      <c r="L793" s="1647" t="s">
        <v>1653</v>
      </c>
      <c r="M793" s="1648">
        <v>4.1957000000000001E-2</v>
      </c>
      <c r="N793" s="1649">
        <v>1.3161883886227252</v>
      </c>
      <c r="O793" s="1649">
        <v>1.322960375051601</v>
      </c>
    </row>
    <row r="794" spans="11:15">
      <c r="K794" s="1646">
        <v>42851</v>
      </c>
      <c r="L794" s="1647" t="s">
        <v>1653</v>
      </c>
      <c r="M794" s="1648">
        <v>4.1957000000000001E-2</v>
      </c>
      <c r="N794" s="1649">
        <v>1.3167406217849398</v>
      </c>
      <c r="O794" s="1649">
        <v>1.3236553393662194</v>
      </c>
    </row>
    <row r="795" spans="11:15">
      <c r="K795" s="1646">
        <v>42852</v>
      </c>
      <c r="L795" s="1647" t="s">
        <v>1653</v>
      </c>
      <c r="M795" s="1648">
        <v>4.1957000000000001E-2</v>
      </c>
      <c r="N795" s="1649">
        <v>1.3172930866476222</v>
      </c>
      <c r="O795" s="1649">
        <v>1.3243506687525419</v>
      </c>
    </row>
    <row r="796" spans="11:15">
      <c r="K796" s="1646">
        <v>42853</v>
      </c>
      <c r="L796" s="1647" t="s">
        <v>1653</v>
      </c>
      <c r="M796" s="1648">
        <v>4.1957000000000001E-2</v>
      </c>
      <c r="N796" s="1649">
        <v>1.3178457833079871</v>
      </c>
      <c r="O796" s="1649">
        <v>1.3250463634023444</v>
      </c>
    </row>
    <row r="797" spans="11:15">
      <c r="K797" s="1646">
        <v>42854</v>
      </c>
      <c r="L797" s="1647"/>
      <c r="M797" s="1648">
        <v>0</v>
      </c>
      <c r="N797" s="1649">
        <v>1.3178457833079871</v>
      </c>
      <c r="O797" s="1649">
        <v>1.3250463634023444</v>
      </c>
    </row>
    <row r="798" spans="11:15">
      <c r="K798" s="1646">
        <v>42855</v>
      </c>
      <c r="L798" s="1647"/>
      <c r="M798" s="1648">
        <v>0</v>
      </c>
      <c r="N798" s="1649">
        <v>1.3178457833079871</v>
      </c>
      <c r="O798" s="1649">
        <v>1.3250463634023444</v>
      </c>
    </row>
    <row r="799" spans="11:15">
      <c r="K799" s="1646">
        <v>42856</v>
      </c>
      <c r="L799" s="1647"/>
      <c r="M799" s="1648">
        <v>0</v>
      </c>
      <c r="N799" s="1649">
        <v>1.3178457833079871</v>
      </c>
      <c r="O799" s="1649">
        <v>1.3250463634023444</v>
      </c>
    </row>
    <row r="800" spans="11:15">
      <c r="K800" s="1646">
        <v>42857</v>
      </c>
      <c r="L800" s="1647" t="s">
        <v>1653</v>
      </c>
      <c r="M800" s="1648">
        <v>4.1957000000000001E-2</v>
      </c>
      <c r="N800" s="1649">
        <v>1.3183987118632896</v>
      </c>
      <c r="O800" s="1649">
        <v>1.3257424235075033</v>
      </c>
    </row>
    <row r="801" spans="11:15">
      <c r="K801" s="1646">
        <v>42858</v>
      </c>
      <c r="L801" s="1647" t="s">
        <v>1653</v>
      </c>
      <c r="M801" s="1648">
        <v>4.1957000000000001E-2</v>
      </c>
      <c r="N801" s="1649">
        <v>1.3189518724108262</v>
      </c>
      <c r="O801" s="1649">
        <v>1.3264388492599959</v>
      </c>
    </row>
    <row r="802" spans="11:15">
      <c r="K802" s="1646">
        <v>42859</v>
      </c>
      <c r="L802" s="1647" t="s">
        <v>1653</v>
      </c>
      <c r="M802" s="1648">
        <v>4.1957000000000001E-2</v>
      </c>
      <c r="N802" s="1649">
        <v>1.3195052650479338</v>
      </c>
      <c r="O802" s="1649">
        <v>1.3271356408519006</v>
      </c>
    </row>
    <row r="803" spans="11:15">
      <c r="K803" s="1646">
        <v>42860</v>
      </c>
      <c r="L803" s="1647" t="s">
        <v>1653</v>
      </c>
      <c r="M803" s="1648">
        <v>4.1957000000000001E-2</v>
      </c>
      <c r="N803" s="1649">
        <v>1.32005888987199</v>
      </c>
      <c r="O803" s="1649">
        <v>1.3278327984753966</v>
      </c>
    </row>
    <row r="804" spans="11:15">
      <c r="K804" s="1646">
        <v>42861</v>
      </c>
      <c r="L804" s="1647"/>
      <c r="M804" s="1648">
        <v>0</v>
      </c>
      <c r="N804" s="1649">
        <v>1.32005888987199</v>
      </c>
      <c r="O804" s="1649">
        <v>1.3278327984753966</v>
      </c>
    </row>
    <row r="805" spans="11:15">
      <c r="K805" s="1646">
        <v>42862</v>
      </c>
      <c r="L805" s="1647"/>
      <c r="M805" s="1648">
        <v>0</v>
      </c>
      <c r="N805" s="1649">
        <v>1.32005888987199</v>
      </c>
      <c r="O805" s="1649">
        <v>1.3278327984753966</v>
      </c>
    </row>
    <row r="806" spans="11:15">
      <c r="K806" s="1646">
        <v>42863</v>
      </c>
      <c r="L806" s="1647" t="s">
        <v>1653</v>
      </c>
      <c r="M806" s="1648">
        <v>4.1957000000000001E-2</v>
      </c>
      <c r="N806" s="1649">
        <v>1.3206127469804136</v>
      </c>
      <c r="O806" s="1649">
        <v>1.3285303223227638</v>
      </c>
    </row>
    <row r="807" spans="11:15">
      <c r="K807" s="1646">
        <v>42864</v>
      </c>
      <c r="L807" s="1647" t="s">
        <v>1653</v>
      </c>
      <c r="M807" s="1648">
        <v>4.1957000000000001E-2</v>
      </c>
      <c r="N807" s="1649">
        <v>1.3211668364706644</v>
      </c>
      <c r="O807" s="1649">
        <v>1.3292282125863832</v>
      </c>
    </row>
    <row r="808" spans="11:15">
      <c r="K808" s="1646">
        <v>42865</v>
      </c>
      <c r="L808" s="1647" t="s">
        <v>1653</v>
      </c>
      <c r="M808" s="1648">
        <v>4.1957000000000001E-2</v>
      </c>
      <c r="N808" s="1649">
        <v>1.3217211584402424</v>
      </c>
      <c r="O808" s="1649">
        <v>1.3299264694587369</v>
      </c>
    </row>
    <row r="809" spans="11:15">
      <c r="K809" s="1646">
        <v>42866</v>
      </c>
      <c r="L809" s="1647" t="s">
        <v>1653</v>
      </c>
      <c r="M809" s="1648">
        <v>4.1957000000000001E-2</v>
      </c>
      <c r="N809" s="1649">
        <v>1.3222757129866893</v>
      </c>
      <c r="O809" s="1649">
        <v>1.3306250931324084</v>
      </c>
    </row>
    <row r="810" spans="11:15">
      <c r="K810" s="1646">
        <v>42867</v>
      </c>
      <c r="L810" s="1647" t="s">
        <v>1653</v>
      </c>
      <c r="M810" s="1648">
        <v>4.1957000000000001E-2</v>
      </c>
      <c r="N810" s="1649">
        <v>1.3228305002075873</v>
      </c>
      <c r="O810" s="1649">
        <v>1.3313240838000817</v>
      </c>
    </row>
    <row r="811" spans="11:15">
      <c r="K811" s="1646">
        <v>42868</v>
      </c>
      <c r="L811" s="1647"/>
      <c r="M811" s="1648">
        <v>0</v>
      </c>
      <c r="N811" s="1649">
        <v>1.3228305002075873</v>
      </c>
      <c r="O811" s="1649">
        <v>1.3313240838000817</v>
      </c>
    </row>
    <row r="812" spans="11:15">
      <c r="K812" s="1646">
        <v>42869</v>
      </c>
      <c r="L812" s="1647"/>
      <c r="M812" s="1648">
        <v>0</v>
      </c>
      <c r="N812" s="1649">
        <v>1.3228305002075873</v>
      </c>
      <c r="O812" s="1649">
        <v>1.3313240838000817</v>
      </c>
    </row>
    <row r="813" spans="11:15">
      <c r="K813" s="1646">
        <v>42870</v>
      </c>
      <c r="L813" s="1647" t="s">
        <v>1653</v>
      </c>
      <c r="M813" s="1648">
        <v>4.1957000000000001E-2</v>
      </c>
      <c r="N813" s="1649">
        <v>1.3233855202005596</v>
      </c>
      <c r="O813" s="1649">
        <v>1.3320234416545427</v>
      </c>
    </row>
    <row r="814" spans="11:15">
      <c r="K814" s="1646">
        <v>42871</v>
      </c>
      <c r="L814" s="1647" t="s">
        <v>1653</v>
      </c>
      <c r="M814" s="1648">
        <v>4.1957000000000001E-2</v>
      </c>
      <c r="N814" s="1649">
        <v>1.3239407730632702</v>
      </c>
      <c r="O814" s="1649">
        <v>1.3327231668886783</v>
      </c>
    </row>
    <row r="815" spans="11:15">
      <c r="K815" s="1646">
        <v>42872</v>
      </c>
      <c r="L815" s="1647" t="s">
        <v>1653</v>
      </c>
      <c r="M815" s="1648">
        <v>4.1957000000000001E-2</v>
      </c>
      <c r="N815" s="1649">
        <v>1.3244962588934244</v>
      </c>
      <c r="O815" s="1649">
        <v>1.3334232596954767</v>
      </c>
    </row>
    <row r="816" spans="11:15">
      <c r="K816" s="1646">
        <v>42873</v>
      </c>
      <c r="L816" s="1647" t="s">
        <v>1653</v>
      </c>
      <c r="M816" s="1648">
        <v>4.1957000000000001E-2</v>
      </c>
      <c r="N816" s="1649">
        <v>1.3250519777887684</v>
      </c>
      <c r="O816" s="1649">
        <v>1.3341237202680274</v>
      </c>
    </row>
    <row r="817" spans="11:15">
      <c r="K817" s="1646">
        <v>42874</v>
      </c>
      <c r="L817" s="1647" t="s">
        <v>1653</v>
      </c>
      <c r="M817" s="1648">
        <v>4.1957000000000001E-2</v>
      </c>
      <c r="N817" s="1649">
        <v>1.3256079298470893</v>
      </c>
      <c r="O817" s="1649">
        <v>1.3348245487995214</v>
      </c>
    </row>
    <row r="818" spans="11:15">
      <c r="K818" s="1646">
        <v>42875</v>
      </c>
      <c r="L818" s="1647"/>
      <c r="M818" s="1648">
        <v>0</v>
      </c>
      <c r="N818" s="1649">
        <v>1.3256079298470893</v>
      </c>
      <c r="O818" s="1649">
        <v>1.3348245487995214</v>
      </c>
    </row>
    <row r="819" spans="11:15">
      <c r="K819" s="1646">
        <v>42876</v>
      </c>
      <c r="L819" s="1647"/>
      <c r="M819" s="1648">
        <v>0</v>
      </c>
      <c r="N819" s="1649">
        <v>1.3256079298470893</v>
      </c>
      <c r="O819" s="1649">
        <v>1.3348245487995214</v>
      </c>
    </row>
    <row r="820" spans="11:15">
      <c r="K820" s="1646">
        <v>42877</v>
      </c>
      <c r="L820" s="1647" t="s">
        <v>1653</v>
      </c>
      <c r="M820" s="1648">
        <v>4.1957000000000001E-2</v>
      </c>
      <c r="N820" s="1649">
        <v>1.3261641151662154</v>
      </c>
      <c r="O820" s="1649">
        <v>1.3355257454832512</v>
      </c>
    </row>
    <row r="821" spans="11:15">
      <c r="K821" s="1646">
        <v>42878</v>
      </c>
      <c r="L821" s="1647" t="s">
        <v>1653</v>
      </c>
      <c r="M821" s="1648">
        <v>4.1957000000000001E-2</v>
      </c>
      <c r="N821" s="1649">
        <v>1.3267205338440158</v>
      </c>
      <c r="O821" s="1649">
        <v>1.336227310512611</v>
      </c>
    </row>
    <row r="822" spans="11:15">
      <c r="K822" s="1646">
        <v>42879</v>
      </c>
      <c r="L822" s="1647" t="s">
        <v>1653</v>
      </c>
      <c r="M822" s="1648">
        <v>4.1957000000000001E-2</v>
      </c>
      <c r="N822" s="1649">
        <v>1.3272771859784007</v>
      </c>
      <c r="O822" s="1649">
        <v>1.3369292440810965</v>
      </c>
    </row>
    <row r="823" spans="11:15">
      <c r="K823" s="1646">
        <v>42880</v>
      </c>
      <c r="L823" s="1647" t="s">
        <v>1653</v>
      </c>
      <c r="M823" s="1648">
        <v>4.1957000000000001E-2</v>
      </c>
      <c r="N823" s="1649">
        <v>1.3278340716673218</v>
      </c>
      <c r="O823" s="1649">
        <v>1.3376315463823047</v>
      </c>
    </row>
    <row r="824" spans="11:15">
      <c r="K824" s="1646">
        <v>42881</v>
      </c>
      <c r="L824" s="1647" t="s">
        <v>1653</v>
      </c>
      <c r="M824" s="1648">
        <v>4.1957000000000001E-2</v>
      </c>
      <c r="N824" s="1649">
        <v>1.3283911910087713</v>
      </c>
      <c r="O824" s="1649">
        <v>1.3383342176099349</v>
      </c>
    </row>
    <row r="825" spans="11:15">
      <c r="K825" s="1646">
        <v>42882</v>
      </c>
      <c r="L825" s="1647"/>
      <c r="M825" s="1648">
        <v>0</v>
      </c>
      <c r="N825" s="1649">
        <v>1.3283911910087713</v>
      </c>
      <c r="O825" s="1649">
        <v>1.3383342176099349</v>
      </c>
    </row>
    <row r="826" spans="11:15">
      <c r="K826" s="1646">
        <v>42883</v>
      </c>
      <c r="L826" s="1647"/>
      <c r="M826" s="1648">
        <v>0</v>
      </c>
      <c r="N826" s="1649">
        <v>1.3283911910087713</v>
      </c>
      <c r="O826" s="1649">
        <v>1.3383342176099349</v>
      </c>
    </row>
    <row r="827" spans="11:15">
      <c r="K827" s="1646">
        <v>42884</v>
      </c>
      <c r="L827" s="1647" t="s">
        <v>1653</v>
      </c>
      <c r="M827" s="1648">
        <v>4.1957000000000001E-2</v>
      </c>
      <c r="N827" s="1649">
        <v>1.3289485441007829</v>
      </c>
      <c r="O827" s="1649">
        <v>1.3390372579577876</v>
      </c>
    </row>
    <row r="828" spans="11:15">
      <c r="K828" s="1646">
        <v>42885</v>
      </c>
      <c r="L828" s="1647" t="s">
        <v>1653</v>
      </c>
      <c r="M828" s="1648">
        <v>4.1957000000000001E-2</v>
      </c>
      <c r="N828" s="1649">
        <v>1.3295061310414313</v>
      </c>
      <c r="O828" s="1649">
        <v>1.3397406676197654</v>
      </c>
    </row>
    <row r="829" spans="11:15">
      <c r="K829" s="1646">
        <v>42886</v>
      </c>
      <c r="L829" s="1647" t="s">
        <v>1653</v>
      </c>
      <c r="M829" s="1648">
        <v>4.1957000000000001E-2</v>
      </c>
      <c r="N829" s="1649">
        <v>1.3300639519288324</v>
      </c>
      <c r="O829" s="1649">
        <v>1.3404444467898728</v>
      </c>
    </row>
    <row r="830" spans="11:15">
      <c r="K830" s="1646">
        <v>42887</v>
      </c>
      <c r="L830" s="1647" t="s">
        <v>1653</v>
      </c>
      <c r="M830" s="1648">
        <v>3.8370000000000001E-2</v>
      </c>
      <c r="N830" s="1649">
        <v>1.3305742974671875</v>
      </c>
      <c r="O830" s="1649">
        <v>1.341148595662216</v>
      </c>
    </row>
    <row r="831" spans="11:15">
      <c r="K831" s="1646">
        <v>42888</v>
      </c>
      <c r="L831" s="1647" t="s">
        <v>1653</v>
      </c>
      <c r="M831" s="1648">
        <v>3.8370000000000001E-2</v>
      </c>
      <c r="N831" s="1649">
        <v>1.3310848388251255</v>
      </c>
      <c r="O831" s="1649">
        <v>1.3418531144310033</v>
      </c>
    </row>
    <row r="832" spans="11:15">
      <c r="K832" s="1646">
        <v>42889</v>
      </c>
      <c r="L832" s="1647"/>
      <c r="M832" s="1648">
        <v>0</v>
      </c>
      <c r="N832" s="1649">
        <v>1.3310848388251255</v>
      </c>
      <c r="O832" s="1649">
        <v>1.3418531144310033</v>
      </c>
    </row>
    <row r="833" spans="11:15">
      <c r="K833" s="1646">
        <v>42890</v>
      </c>
      <c r="L833" s="1647"/>
      <c r="M833" s="1648">
        <v>0</v>
      </c>
      <c r="N833" s="1649">
        <v>1.3310848388251255</v>
      </c>
      <c r="O833" s="1649">
        <v>1.3418531144310033</v>
      </c>
    </row>
    <row r="834" spans="11:15">
      <c r="K834" s="1646">
        <v>42891</v>
      </c>
      <c r="L834" s="1647" t="s">
        <v>1653</v>
      </c>
      <c r="M834" s="1648">
        <v>3.8370000000000001E-2</v>
      </c>
      <c r="N834" s="1649">
        <v>1.3315955760777827</v>
      </c>
      <c r="O834" s="1649">
        <v>1.3425580032905451</v>
      </c>
    </row>
    <row r="835" spans="11:15">
      <c r="K835" s="1646">
        <v>42892</v>
      </c>
      <c r="L835" s="1647" t="s">
        <v>1653</v>
      </c>
      <c r="M835" s="1648">
        <v>3.8370000000000001E-2</v>
      </c>
      <c r="N835" s="1649">
        <v>1.3321065093003237</v>
      </c>
      <c r="O835" s="1649">
        <v>1.3432632624352536</v>
      </c>
    </row>
    <row r="836" spans="11:15">
      <c r="K836" s="1646">
        <v>42893</v>
      </c>
      <c r="L836" s="1647" t="s">
        <v>1653</v>
      </c>
      <c r="M836" s="1648">
        <v>3.8370000000000001E-2</v>
      </c>
      <c r="N836" s="1649">
        <v>1.3326176385679422</v>
      </c>
      <c r="O836" s="1649">
        <v>1.3439688920596435</v>
      </c>
    </row>
    <row r="837" spans="11:15">
      <c r="K837" s="1646">
        <v>42894</v>
      </c>
      <c r="L837" s="1647" t="s">
        <v>1653</v>
      </c>
      <c r="M837" s="1648">
        <v>3.8370000000000001E-2</v>
      </c>
      <c r="N837" s="1649">
        <v>1.3331289639558608</v>
      </c>
      <c r="O837" s="1649">
        <v>1.3446748923583314</v>
      </c>
    </row>
    <row r="838" spans="11:15">
      <c r="K838" s="1646">
        <v>42895</v>
      </c>
      <c r="L838" s="1647" t="s">
        <v>1653</v>
      </c>
      <c r="M838" s="1648">
        <v>3.8370000000000001E-2</v>
      </c>
      <c r="N838" s="1649">
        <v>1.3336404855393307</v>
      </c>
      <c r="O838" s="1649">
        <v>1.345381263526036</v>
      </c>
    </row>
    <row r="839" spans="11:15">
      <c r="K839" s="1646">
        <v>42896</v>
      </c>
      <c r="L839" s="1647"/>
      <c r="M839" s="1648">
        <v>0</v>
      </c>
      <c r="N839" s="1649">
        <v>1.3336404855393307</v>
      </c>
      <c r="O839" s="1649">
        <v>1.345381263526036</v>
      </c>
    </row>
    <row r="840" spans="11:15">
      <c r="K840" s="1646">
        <v>42897</v>
      </c>
      <c r="L840" s="1647"/>
      <c r="M840" s="1648">
        <v>0</v>
      </c>
      <c r="N840" s="1649">
        <v>1.3336404855393307</v>
      </c>
      <c r="O840" s="1649">
        <v>1.345381263526036</v>
      </c>
    </row>
    <row r="841" spans="11:15">
      <c r="K841" s="1646">
        <v>42898</v>
      </c>
      <c r="L841" s="1647" t="s">
        <v>1653</v>
      </c>
      <c r="M841" s="1648">
        <v>3.8370000000000001E-2</v>
      </c>
      <c r="N841" s="1649">
        <v>1.3341522033936322</v>
      </c>
      <c r="O841" s="1649">
        <v>1.3460880057575788</v>
      </c>
    </row>
    <row r="842" spans="11:15">
      <c r="K842" s="1646">
        <v>42899</v>
      </c>
      <c r="L842" s="1647" t="s">
        <v>1653</v>
      </c>
      <c r="M842" s="1648">
        <v>3.8370000000000001E-2</v>
      </c>
      <c r="N842" s="1649">
        <v>1.3346641175940743</v>
      </c>
      <c r="O842" s="1649">
        <v>1.3467951192478833</v>
      </c>
    </row>
    <row r="843" spans="11:15">
      <c r="K843" s="1646">
        <v>42900</v>
      </c>
      <c r="L843" s="1647" t="s">
        <v>1653</v>
      </c>
      <c r="M843" s="1648">
        <v>3.8370000000000001E-2</v>
      </c>
      <c r="N843" s="1649">
        <v>1.3351762282159951</v>
      </c>
      <c r="O843" s="1649">
        <v>1.3475026041919753</v>
      </c>
    </row>
    <row r="844" spans="11:15">
      <c r="K844" s="1646">
        <v>42901</v>
      </c>
      <c r="L844" s="1647"/>
      <c r="M844" s="1648">
        <v>0</v>
      </c>
      <c r="N844" s="1649">
        <v>1.3351762282159951</v>
      </c>
      <c r="O844" s="1649">
        <v>1.3475026041919753</v>
      </c>
    </row>
    <row r="845" spans="11:15">
      <c r="K845" s="1646">
        <v>42902</v>
      </c>
      <c r="L845" s="1647" t="s">
        <v>1653</v>
      </c>
      <c r="M845" s="1648">
        <v>3.8370000000000001E-2</v>
      </c>
      <c r="N845" s="1649">
        <v>1.3356885353347616</v>
      </c>
      <c r="O845" s="1649">
        <v>1.3482104607849834</v>
      </c>
    </row>
    <row r="846" spans="11:15">
      <c r="K846" s="1646">
        <v>42903</v>
      </c>
      <c r="L846" s="1647"/>
      <c r="M846" s="1648">
        <v>0</v>
      </c>
      <c r="N846" s="1649">
        <v>1.3356885353347616</v>
      </c>
      <c r="O846" s="1649">
        <v>1.3482104607849834</v>
      </c>
    </row>
    <row r="847" spans="11:15">
      <c r="K847" s="1646">
        <v>42904</v>
      </c>
      <c r="L847" s="1647"/>
      <c r="M847" s="1648">
        <v>0</v>
      </c>
      <c r="N847" s="1649">
        <v>1.3356885353347616</v>
      </c>
      <c r="O847" s="1649">
        <v>1.3482104607849834</v>
      </c>
    </row>
    <row r="848" spans="11:15">
      <c r="K848" s="1646">
        <v>42905</v>
      </c>
      <c r="L848" s="1647" t="s">
        <v>1653</v>
      </c>
      <c r="M848" s="1648">
        <v>3.8370000000000001E-2</v>
      </c>
      <c r="N848" s="1649">
        <v>1.3362010390257695</v>
      </c>
      <c r="O848" s="1649">
        <v>1.3489186892221383</v>
      </c>
    </row>
    <row r="849" spans="11:15">
      <c r="K849" s="1646">
        <v>42906</v>
      </c>
      <c r="L849" s="1647" t="s">
        <v>1653</v>
      </c>
      <c r="M849" s="1648">
        <v>3.8370000000000001E-2</v>
      </c>
      <c r="N849" s="1649">
        <v>1.3367137393644437</v>
      </c>
      <c r="O849" s="1649">
        <v>1.3496272896987735</v>
      </c>
    </row>
    <row r="850" spans="11:15">
      <c r="K850" s="1646">
        <v>42907</v>
      </c>
      <c r="L850" s="1647" t="s">
        <v>1653</v>
      </c>
      <c r="M850" s="1648">
        <v>3.8370000000000001E-2</v>
      </c>
      <c r="N850" s="1649">
        <v>1.3372266364262377</v>
      </c>
      <c r="O850" s="1649">
        <v>1.3503362624103252</v>
      </c>
    </row>
    <row r="851" spans="11:15">
      <c r="K851" s="1646">
        <v>42908</v>
      </c>
      <c r="L851" s="1647" t="s">
        <v>1653</v>
      </c>
      <c r="M851" s="1648">
        <v>3.8370000000000001E-2</v>
      </c>
      <c r="N851" s="1649">
        <v>1.3377397302866345</v>
      </c>
      <c r="O851" s="1649">
        <v>1.3510456075523321</v>
      </c>
    </row>
    <row r="852" spans="11:15">
      <c r="K852" s="1646">
        <v>42909</v>
      </c>
      <c r="L852" s="1647" t="s">
        <v>1653</v>
      </c>
      <c r="M852" s="1648">
        <v>3.8370000000000001E-2</v>
      </c>
      <c r="N852" s="1649">
        <v>1.3382530210211454</v>
      </c>
      <c r="O852" s="1649">
        <v>1.3517553253204353</v>
      </c>
    </row>
    <row r="853" spans="11:15">
      <c r="K853" s="1646">
        <v>42910</v>
      </c>
      <c r="L853" s="1647"/>
      <c r="M853" s="1648">
        <v>0</v>
      </c>
      <c r="N853" s="1649">
        <v>1.3382530210211454</v>
      </c>
      <c r="O853" s="1649">
        <v>1.3517553253204353</v>
      </c>
    </row>
    <row r="854" spans="11:15">
      <c r="K854" s="1646">
        <v>42911</v>
      </c>
      <c r="L854" s="1647"/>
      <c r="M854" s="1648">
        <v>0</v>
      </c>
      <c r="N854" s="1649">
        <v>1.3382530210211454</v>
      </c>
      <c r="O854" s="1649">
        <v>1.3517553253204353</v>
      </c>
    </row>
    <row r="855" spans="11:15">
      <c r="K855" s="1646">
        <v>42912</v>
      </c>
      <c r="L855" s="1647" t="s">
        <v>1653</v>
      </c>
      <c r="M855" s="1648">
        <v>3.8370000000000001E-2</v>
      </c>
      <c r="N855" s="1649">
        <v>1.3387665087053111</v>
      </c>
      <c r="O855" s="1649">
        <v>1.3524654159103793</v>
      </c>
    </row>
    <row r="856" spans="11:15">
      <c r="K856" s="1646">
        <v>42913</v>
      </c>
      <c r="L856" s="1647" t="s">
        <v>1653</v>
      </c>
      <c r="M856" s="1648">
        <v>3.8370000000000001E-2</v>
      </c>
      <c r="N856" s="1649">
        <v>1.3392801934147014</v>
      </c>
      <c r="O856" s="1649">
        <v>1.3531758795180111</v>
      </c>
    </row>
    <row r="857" spans="11:15">
      <c r="K857" s="1646">
        <v>42914</v>
      </c>
      <c r="L857" s="1647" t="s">
        <v>1653</v>
      </c>
      <c r="M857" s="1648">
        <v>3.8370000000000001E-2</v>
      </c>
      <c r="N857" s="1649">
        <v>1.3397940752249147</v>
      </c>
      <c r="O857" s="1649">
        <v>1.3538867163392807</v>
      </c>
    </row>
    <row r="858" spans="11:15">
      <c r="K858" s="1646">
        <v>42915</v>
      </c>
      <c r="L858" s="1647" t="s">
        <v>1653</v>
      </c>
      <c r="M858" s="1648">
        <v>3.8370000000000001E-2</v>
      </c>
      <c r="N858" s="1649">
        <v>1.3403081542115785</v>
      </c>
      <c r="O858" s="1649">
        <v>1.3545979265702408</v>
      </c>
    </row>
    <row r="859" spans="11:15">
      <c r="K859" s="1646">
        <v>42916</v>
      </c>
      <c r="L859" s="1647" t="s">
        <v>1653</v>
      </c>
      <c r="M859" s="1648">
        <v>3.8370000000000001E-2</v>
      </c>
      <c r="N859" s="1649">
        <v>1.3408224304503493</v>
      </c>
      <c r="O859" s="1649">
        <v>1.3553095104070474</v>
      </c>
    </row>
    <row r="860" spans="11:15">
      <c r="K860" s="1646">
        <v>42917</v>
      </c>
      <c r="L860" s="1647"/>
      <c r="M860" s="1648">
        <v>0</v>
      </c>
      <c r="N860" s="1649">
        <v>1.3408224304503493</v>
      </c>
      <c r="O860" s="1649">
        <v>1.3553095104070474</v>
      </c>
    </row>
    <row r="861" spans="11:15">
      <c r="K861" s="1646">
        <v>42918</v>
      </c>
      <c r="L861" s="1647"/>
      <c r="M861" s="1648">
        <v>0</v>
      </c>
      <c r="N861" s="1649">
        <v>1.3408224304503493</v>
      </c>
      <c r="O861" s="1649">
        <v>1.3553095104070474</v>
      </c>
    </row>
    <row r="862" spans="11:15">
      <c r="K862" s="1646">
        <v>42919</v>
      </c>
      <c r="L862" s="1647" t="s">
        <v>1653</v>
      </c>
      <c r="M862" s="1648">
        <v>3.8370000000000001E-2</v>
      </c>
      <c r="N862" s="1649">
        <v>1.3413369040169132</v>
      </c>
      <c r="O862" s="1649">
        <v>1.3560214680459592</v>
      </c>
    </row>
    <row r="863" spans="11:15">
      <c r="K863" s="1646">
        <v>42920</v>
      </c>
      <c r="L863" s="1647" t="s">
        <v>1653</v>
      </c>
      <c r="M863" s="1648">
        <v>3.8370000000000001E-2</v>
      </c>
      <c r="N863" s="1649">
        <v>1.3418515749869844</v>
      </c>
      <c r="O863" s="1649">
        <v>1.3567337996833384</v>
      </c>
    </row>
    <row r="864" spans="11:15">
      <c r="K864" s="1646">
        <v>42921</v>
      </c>
      <c r="L864" s="1647" t="s">
        <v>1653</v>
      </c>
      <c r="M864" s="1648">
        <v>3.8370000000000001E-2</v>
      </c>
      <c r="N864" s="1649">
        <v>1.342366443436307</v>
      </c>
      <c r="O864" s="1649">
        <v>1.3574465055156502</v>
      </c>
    </row>
    <row r="865" spans="11:15">
      <c r="K865" s="1646">
        <v>42922</v>
      </c>
      <c r="L865" s="1647" t="s">
        <v>1653</v>
      </c>
      <c r="M865" s="1648">
        <v>3.8370000000000001E-2</v>
      </c>
      <c r="N865" s="1649">
        <v>1.3428815094406534</v>
      </c>
      <c r="O865" s="1649">
        <v>1.3581595857394626</v>
      </c>
    </row>
    <row r="866" spans="11:15">
      <c r="K866" s="1646">
        <v>42923</v>
      </c>
      <c r="L866" s="1647" t="s">
        <v>1653</v>
      </c>
      <c r="M866" s="1648">
        <v>3.8370000000000001E-2</v>
      </c>
      <c r="N866" s="1649">
        <v>1.3433967730758258</v>
      </c>
      <c r="O866" s="1649">
        <v>1.3588730405514473</v>
      </c>
    </row>
    <row r="867" spans="11:15">
      <c r="K867" s="1646">
        <v>42924</v>
      </c>
      <c r="L867" s="1647"/>
      <c r="M867" s="1648">
        <v>0</v>
      </c>
      <c r="N867" s="1649">
        <v>1.3433967730758258</v>
      </c>
      <c r="O867" s="1649">
        <v>1.3588730405514473</v>
      </c>
    </row>
    <row r="868" spans="11:15">
      <c r="K868" s="1646">
        <v>42925</v>
      </c>
      <c r="L868" s="1647"/>
      <c r="M868" s="1648">
        <v>0</v>
      </c>
      <c r="N868" s="1649">
        <v>1.3433967730758258</v>
      </c>
      <c r="O868" s="1649">
        <v>1.3588730405514473</v>
      </c>
    </row>
    <row r="869" spans="11:15">
      <c r="K869" s="1646">
        <v>42926</v>
      </c>
      <c r="L869" s="1647" t="s">
        <v>1653</v>
      </c>
      <c r="M869" s="1648">
        <v>3.8370000000000001E-2</v>
      </c>
      <c r="N869" s="1649">
        <v>1.3439122344176551</v>
      </c>
      <c r="O869" s="1649">
        <v>1.3595868701483793</v>
      </c>
    </row>
    <row r="870" spans="11:15">
      <c r="K870" s="1646">
        <v>42927</v>
      </c>
      <c r="L870" s="1647" t="s">
        <v>1653</v>
      </c>
      <c r="M870" s="1648">
        <v>3.8370000000000001E-2</v>
      </c>
      <c r="N870" s="1649">
        <v>1.3444278935420011</v>
      </c>
      <c r="O870" s="1649">
        <v>1.3603010747271369</v>
      </c>
    </row>
    <row r="871" spans="11:15">
      <c r="K871" s="1646">
        <v>42928</v>
      </c>
      <c r="L871" s="1647" t="s">
        <v>1653</v>
      </c>
      <c r="M871" s="1648">
        <v>3.8370000000000001E-2</v>
      </c>
      <c r="N871" s="1649">
        <v>1.3449437505247532</v>
      </c>
      <c r="O871" s="1649">
        <v>1.3610156544847019</v>
      </c>
    </row>
    <row r="872" spans="11:15">
      <c r="K872" s="1646">
        <v>42929</v>
      </c>
      <c r="L872" s="1647" t="s">
        <v>1653</v>
      </c>
      <c r="M872" s="1648">
        <v>3.8370000000000001E-2</v>
      </c>
      <c r="N872" s="1649">
        <v>1.3454598054418296</v>
      </c>
      <c r="O872" s="1649">
        <v>1.3617306096181592</v>
      </c>
    </row>
    <row r="873" spans="11:15">
      <c r="K873" s="1646">
        <v>42930</v>
      </c>
      <c r="L873" s="1647" t="s">
        <v>1653</v>
      </c>
      <c r="M873" s="1648">
        <v>3.8370000000000001E-2</v>
      </c>
      <c r="N873" s="1649">
        <v>1.3459760583691776</v>
      </c>
      <c r="O873" s="1649">
        <v>1.3624459403246978</v>
      </c>
    </row>
    <row r="874" spans="11:15">
      <c r="K874" s="1646">
        <v>42931</v>
      </c>
      <c r="L874" s="1647"/>
      <c r="M874" s="1648">
        <v>0</v>
      </c>
      <c r="N874" s="1649">
        <v>1.3459760583691776</v>
      </c>
      <c r="O874" s="1649">
        <v>1.3624459403246978</v>
      </c>
    </row>
    <row r="875" spans="11:15">
      <c r="K875" s="1646">
        <v>42932</v>
      </c>
      <c r="L875" s="1647"/>
      <c r="M875" s="1648">
        <v>0</v>
      </c>
      <c r="N875" s="1649">
        <v>1.3459760583691776</v>
      </c>
      <c r="O875" s="1649">
        <v>1.3624459403246978</v>
      </c>
    </row>
    <row r="876" spans="11:15">
      <c r="K876" s="1646">
        <v>42933</v>
      </c>
      <c r="L876" s="1647" t="s">
        <v>1653</v>
      </c>
      <c r="M876" s="1648">
        <v>3.8370000000000001E-2</v>
      </c>
      <c r="N876" s="1649">
        <v>1.3464925093827738</v>
      </c>
      <c r="O876" s="1649">
        <v>1.3631616468016097</v>
      </c>
    </row>
    <row r="877" spans="11:15">
      <c r="K877" s="1646">
        <v>42934</v>
      </c>
      <c r="L877" s="1647" t="s">
        <v>1653</v>
      </c>
      <c r="M877" s="1648">
        <v>3.8370000000000001E-2</v>
      </c>
      <c r="N877" s="1649">
        <v>1.3470091585586239</v>
      </c>
      <c r="O877" s="1649">
        <v>1.3638777292462911</v>
      </c>
    </row>
    <row r="878" spans="11:15">
      <c r="K878" s="1646">
        <v>42935</v>
      </c>
      <c r="L878" s="1647" t="s">
        <v>1653</v>
      </c>
      <c r="M878" s="1648">
        <v>3.8370000000000001E-2</v>
      </c>
      <c r="N878" s="1649">
        <v>1.3475260059727627</v>
      </c>
      <c r="O878" s="1649">
        <v>1.3645941878562415</v>
      </c>
    </row>
    <row r="879" spans="11:15">
      <c r="K879" s="1646">
        <v>42936</v>
      </c>
      <c r="L879" s="1647" t="s">
        <v>1653</v>
      </c>
      <c r="M879" s="1648">
        <v>3.8370000000000001E-2</v>
      </c>
      <c r="N879" s="1649">
        <v>1.3480430517012545</v>
      </c>
      <c r="O879" s="1649">
        <v>1.3653110228290644</v>
      </c>
    </row>
    <row r="880" spans="11:15">
      <c r="K880" s="1646">
        <v>42937</v>
      </c>
      <c r="L880" s="1647" t="s">
        <v>1653</v>
      </c>
      <c r="M880" s="1648">
        <v>3.8370000000000001E-2</v>
      </c>
      <c r="N880" s="1649">
        <v>1.3485602958201923</v>
      </c>
      <c r="O880" s="1649">
        <v>1.3660282343624668</v>
      </c>
    </row>
    <row r="881" spans="11:15">
      <c r="K881" s="1646">
        <v>42938</v>
      </c>
      <c r="L881" s="1647"/>
      <c r="M881" s="1648">
        <v>0</v>
      </c>
      <c r="N881" s="1649">
        <v>1.3485602958201923</v>
      </c>
      <c r="O881" s="1649">
        <v>1.3660282343624668</v>
      </c>
    </row>
    <row r="882" spans="11:15">
      <c r="K882" s="1646">
        <v>42939</v>
      </c>
      <c r="L882" s="1647"/>
      <c r="M882" s="1648">
        <v>0</v>
      </c>
      <c r="N882" s="1649">
        <v>1.3485602958201923</v>
      </c>
      <c r="O882" s="1649">
        <v>1.3660282343624668</v>
      </c>
    </row>
    <row r="883" spans="11:15">
      <c r="K883" s="1646">
        <v>42940</v>
      </c>
      <c r="L883" s="1647" t="s">
        <v>1653</v>
      </c>
      <c r="M883" s="1648">
        <v>3.8370000000000001E-2</v>
      </c>
      <c r="N883" s="1649">
        <v>1.3490777384056984</v>
      </c>
      <c r="O883" s="1649">
        <v>1.3667458226542597</v>
      </c>
    </row>
    <row r="884" spans="11:15">
      <c r="K884" s="1646">
        <v>42941</v>
      </c>
      <c r="L884" s="1647" t="s">
        <v>1653</v>
      </c>
      <c r="M884" s="1648">
        <v>3.8370000000000001E-2</v>
      </c>
      <c r="N884" s="1649">
        <v>1.3495953795339246</v>
      </c>
      <c r="O884" s="1649">
        <v>1.3674637879023581</v>
      </c>
    </row>
    <row r="885" spans="11:15">
      <c r="K885" s="1646">
        <v>42942</v>
      </c>
      <c r="L885" s="1647" t="s">
        <v>1653</v>
      </c>
      <c r="M885" s="1648">
        <v>3.8370000000000001E-2</v>
      </c>
      <c r="N885" s="1649">
        <v>1.3501132192810517</v>
      </c>
      <c r="O885" s="1649">
        <v>1.3681821303047812</v>
      </c>
    </row>
    <row r="886" spans="11:15">
      <c r="K886" s="1646">
        <v>42943</v>
      </c>
      <c r="L886" s="1647" t="s">
        <v>1653</v>
      </c>
      <c r="M886" s="1648">
        <v>3.4749000000000002E-2</v>
      </c>
      <c r="N886" s="1649">
        <v>1.3505823701236197</v>
      </c>
      <c r="O886" s="1649">
        <v>1.3689008500596516</v>
      </c>
    </row>
    <row r="887" spans="11:15">
      <c r="K887" s="1646">
        <v>42944</v>
      </c>
      <c r="L887" s="1647" t="s">
        <v>1653</v>
      </c>
      <c r="M887" s="1648">
        <v>3.4749000000000002E-2</v>
      </c>
      <c r="N887" s="1649">
        <v>1.351051683991414</v>
      </c>
      <c r="O887" s="1649">
        <v>1.3696199473651964</v>
      </c>
    </row>
    <row r="888" spans="11:15">
      <c r="K888" s="1646">
        <v>42945</v>
      </c>
      <c r="L888" s="1647"/>
      <c r="M888" s="1648">
        <v>0</v>
      </c>
      <c r="N888" s="1649">
        <v>1.351051683991414</v>
      </c>
      <c r="O888" s="1649">
        <v>1.3696199473651964</v>
      </c>
    </row>
    <row r="889" spans="11:15">
      <c r="K889" s="1646">
        <v>42946</v>
      </c>
      <c r="L889" s="1647"/>
      <c r="M889" s="1648">
        <v>0</v>
      </c>
      <c r="N889" s="1649">
        <v>1.351051683991414</v>
      </c>
      <c r="O889" s="1649">
        <v>1.3696199473651964</v>
      </c>
    </row>
    <row r="890" spans="11:15">
      <c r="K890" s="1646">
        <v>42947</v>
      </c>
      <c r="L890" s="1647" t="s">
        <v>1653</v>
      </c>
      <c r="M890" s="1648">
        <v>3.4749000000000002E-2</v>
      </c>
      <c r="N890" s="1649">
        <v>1.3515211609410842</v>
      </c>
      <c r="O890" s="1649">
        <v>1.3703394224197469</v>
      </c>
    </row>
    <row r="891" spans="11:15">
      <c r="K891" s="1646">
        <v>42948</v>
      </c>
      <c r="L891" s="1647" t="s">
        <v>1653</v>
      </c>
      <c r="M891" s="1648">
        <v>3.4749000000000002E-2</v>
      </c>
      <c r="N891" s="1649">
        <v>1.3519908010292996</v>
      </c>
      <c r="O891" s="1649">
        <v>1.3710592754217383</v>
      </c>
    </row>
    <row r="892" spans="11:15">
      <c r="K892" s="1646">
        <v>42949</v>
      </c>
      <c r="L892" s="1647" t="s">
        <v>1653</v>
      </c>
      <c r="M892" s="1648">
        <v>3.4749000000000002E-2</v>
      </c>
      <c r="N892" s="1649">
        <v>1.3524606043127492</v>
      </c>
      <c r="O892" s="1649">
        <v>1.37177950656971</v>
      </c>
    </row>
    <row r="893" spans="11:15">
      <c r="K893" s="1646">
        <v>42950</v>
      </c>
      <c r="L893" s="1647" t="s">
        <v>1653</v>
      </c>
      <c r="M893" s="1648">
        <v>3.4749000000000002E-2</v>
      </c>
      <c r="N893" s="1649">
        <v>1.3529305708481418</v>
      </c>
      <c r="O893" s="1649">
        <v>1.3725001160623063</v>
      </c>
    </row>
    <row r="894" spans="11:15">
      <c r="K894" s="1646">
        <v>42951</v>
      </c>
      <c r="L894" s="1647" t="s">
        <v>1653</v>
      </c>
      <c r="M894" s="1648">
        <v>3.4749000000000002E-2</v>
      </c>
      <c r="N894" s="1649">
        <v>1.353400700692206</v>
      </c>
      <c r="O894" s="1649">
        <v>1.3732211040982749</v>
      </c>
    </row>
    <row r="895" spans="11:15">
      <c r="K895" s="1646">
        <v>42952</v>
      </c>
      <c r="L895" s="1647"/>
      <c r="M895" s="1648">
        <v>0</v>
      </c>
      <c r="N895" s="1649">
        <v>1.353400700692206</v>
      </c>
      <c r="O895" s="1649">
        <v>1.3732211040982749</v>
      </c>
    </row>
    <row r="896" spans="11:15">
      <c r="K896" s="1646">
        <v>42953</v>
      </c>
      <c r="L896" s="1647"/>
      <c r="M896" s="1648">
        <v>0</v>
      </c>
      <c r="N896" s="1649">
        <v>1.353400700692206</v>
      </c>
      <c r="O896" s="1649">
        <v>1.3732211040982749</v>
      </c>
    </row>
    <row r="897" spans="11:15">
      <c r="K897" s="1646">
        <v>42954</v>
      </c>
      <c r="L897" s="1647" t="s">
        <v>1653</v>
      </c>
      <c r="M897" s="1648">
        <v>3.4749000000000002E-2</v>
      </c>
      <c r="N897" s="1649">
        <v>1.3538709939016895</v>
      </c>
      <c r="O897" s="1649">
        <v>1.3739424708764687</v>
      </c>
    </row>
    <row r="898" spans="11:15">
      <c r="K898" s="1646">
        <v>42955</v>
      </c>
      <c r="L898" s="1647" t="s">
        <v>1653</v>
      </c>
      <c r="M898" s="1648">
        <v>3.4749000000000002E-2</v>
      </c>
      <c r="N898" s="1649">
        <v>1.3543414505333604</v>
      </c>
      <c r="O898" s="1649">
        <v>1.3746642165958449</v>
      </c>
    </row>
    <row r="899" spans="11:15">
      <c r="K899" s="1646">
        <v>42956</v>
      </c>
      <c r="L899" s="1647" t="s">
        <v>1653</v>
      </c>
      <c r="M899" s="1648">
        <v>3.4749000000000002E-2</v>
      </c>
      <c r="N899" s="1649">
        <v>1.3548120706440063</v>
      </c>
      <c r="O899" s="1649">
        <v>1.3753863414554648</v>
      </c>
    </row>
    <row r="900" spans="11:15">
      <c r="K900" s="1646">
        <v>42957</v>
      </c>
      <c r="L900" s="1647" t="s">
        <v>1653</v>
      </c>
      <c r="M900" s="1648">
        <v>3.4749000000000002E-2</v>
      </c>
      <c r="N900" s="1649">
        <v>1.3552828542904345</v>
      </c>
      <c r="O900" s="1649">
        <v>1.3761088456544948</v>
      </c>
    </row>
    <row r="901" spans="11:15">
      <c r="K901" s="1646">
        <v>42958</v>
      </c>
      <c r="L901" s="1647" t="s">
        <v>1653</v>
      </c>
      <c r="M901" s="1648">
        <v>3.4749000000000002E-2</v>
      </c>
      <c r="N901" s="1649">
        <v>1.3557538015294719</v>
      </c>
      <c r="O901" s="1649">
        <v>1.3768317293922054</v>
      </c>
    </row>
    <row r="902" spans="11:15">
      <c r="K902" s="1646">
        <v>42959</v>
      </c>
      <c r="L902" s="1647"/>
      <c r="M902" s="1648">
        <v>0</v>
      </c>
      <c r="N902" s="1649">
        <v>1.3557538015294719</v>
      </c>
      <c r="O902" s="1649">
        <v>1.3768317293922054</v>
      </c>
    </row>
    <row r="903" spans="11:15">
      <c r="K903" s="1646">
        <v>42960</v>
      </c>
      <c r="L903" s="1647"/>
      <c r="M903" s="1648">
        <v>0</v>
      </c>
      <c r="N903" s="1649">
        <v>1.3557538015294719</v>
      </c>
      <c r="O903" s="1649">
        <v>1.3768317293922054</v>
      </c>
    </row>
    <row r="904" spans="11:15">
      <c r="K904" s="1646">
        <v>42961</v>
      </c>
      <c r="L904" s="1647" t="s">
        <v>1653</v>
      </c>
      <c r="M904" s="1648">
        <v>3.4749000000000002E-2</v>
      </c>
      <c r="N904" s="1649">
        <v>1.3562249124179653</v>
      </c>
      <c r="O904" s="1649">
        <v>1.3775549928679724</v>
      </c>
    </row>
    <row r="905" spans="11:15">
      <c r="K905" s="1646">
        <v>42962</v>
      </c>
      <c r="L905" s="1647" t="s">
        <v>1653</v>
      </c>
      <c r="M905" s="1648">
        <v>3.4749000000000002E-2</v>
      </c>
      <c r="N905" s="1649">
        <v>1.3566961870127814</v>
      </c>
      <c r="O905" s="1649">
        <v>1.378278636281276</v>
      </c>
    </row>
    <row r="906" spans="11:15">
      <c r="K906" s="1646">
        <v>42963</v>
      </c>
      <c r="L906" s="1647" t="s">
        <v>1653</v>
      </c>
      <c r="M906" s="1648">
        <v>3.4749000000000002E-2</v>
      </c>
      <c r="N906" s="1649">
        <v>1.3571676253708065</v>
      </c>
      <c r="O906" s="1649">
        <v>1.3790026598317009</v>
      </c>
    </row>
    <row r="907" spans="11:15">
      <c r="K907" s="1646">
        <v>42964</v>
      </c>
      <c r="L907" s="1647" t="s">
        <v>1653</v>
      </c>
      <c r="M907" s="1648">
        <v>3.4749000000000002E-2</v>
      </c>
      <c r="N907" s="1649">
        <v>1.3576392275489466</v>
      </c>
      <c r="O907" s="1649">
        <v>1.3797270637189372</v>
      </c>
    </row>
    <row r="908" spans="11:15">
      <c r="K908" s="1646">
        <v>42965</v>
      </c>
      <c r="L908" s="1647" t="s">
        <v>1653</v>
      </c>
      <c r="M908" s="1648">
        <v>3.4749000000000002E-2</v>
      </c>
      <c r="N908" s="1649">
        <v>1.3581109936041276</v>
      </c>
      <c r="O908" s="1649">
        <v>1.3804518481427794</v>
      </c>
    </row>
    <row r="909" spans="11:15">
      <c r="K909" s="1646">
        <v>42966</v>
      </c>
      <c r="L909" s="1647"/>
      <c r="M909" s="1648">
        <v>0</v>
      </c>
      <c r="N909" s="1649">
        <v>1.3581109936041276</v>
      </c>
      <c r="O909" s="1649">
        <v>1.3804518481427794</v>
      </c>
    </row>
    <row r="910" spans="11:15">
      <c r="K910" s="1646">
        <v>42967</v>
      </c>
      <c r="L910" s="1647"/>
      <c r="M910" s="1648">
        <v>0</v>
      </c>
      <c r="N910" s="1649">
        <v>1.3581109936041276</v>
      </c>
      <c r="O910" s="1649">
        <v>1.3804518481427794</v>
      </c>
    </row>
    <row r="911" spans="11:15">
      <c r="K911" s="1646">
        <v>42968</v>
      </c>
      <c r="L911" s="1647" t="s">
        <v>1653</v>
      </c>
      <c r="M911" s="1648">
        <v>3.4749000000000002E-2</v>
      </c>
      <c r="N911" s="1649">
        <v>1.3585829235932951</v>
      </c>
      <c r="O911" s="1649">
        <v>1.3811770133031274</v>
      </c>
    </row>
    <row r="912" spans="11:15">
      <c r="K912" s="1646">
        <v>42969</v>
      </c>
      <c r="L912" s="1647" t="s">
        <v>1653</v>
      </c>
      <c r="M912" s="1648">
        <v>3.4749000000000002E-2</v>
      </c>
      <c r="N912" s="1649">
        <v>1.3590550175734146</v>
      </c>
      <c r="O912" s="1649">
        <v>1.3819025593999856</v>
      </c>
    </row>
    <row r="913" spans="11:15">
      <c r="K913" s="1646">
        <v>42970</v>
      </c>
      <c r="L913" s="1647" t="s">
        <v>1653</v>
      </c>
      <c r="M913" s="1648">
        <v>3.4749000000000002E-2</v>
      </c>
      <c r="N913" s="1649">
        <v>1.3595272756014711</v>
      </c>
      <c r="O913" s="1649">
        <v>1.3826284866334639</v>
      </c>
    </row>
    <row r="914" spans="11:15">
      <c r="K914" s="1646">
        <v>42971</v>
      </c>
      <c r="L914" s="1647" t="s">
        <v>1653</v>
      </c>
      <c r="M914" s="1648">
        <v>3.4749000000000002E-2</v>
      </c>
      <c r="N914" s="1649">
        <v>1.3599996977344699</v>
      </c>
      <c r="O914" s="1649">
        <v>1.3833547952037775</v>
      </c>
    </row>
    <row r="915" spans="11:15">
      <c r="K915" s="1646">
        <v>42972</v>
      </c>
      <c r="L915" s="1647" t="s">
        <v>1653</v>
      </c>
      <c r="M915" s="1648">
        <v>3.4749000000000002E-2</v>
      </c>
      <c r="N915" s="1649">
        <v>1.3604722840294357</v>
      </c>
      <c r="O915" s="1649">
        <v>1.384081485311246</v>
      </c>
    </row>
    <row r="916" spans="11:15">
      <c r="K916" s="1646">
        <v>42973</v>
      </c>
      <c r="L916" s="1647"/>
      <c r="M916" s="1648">
        <v>0</v>
      </c>
      <c r="N916" s="1649">
        <v>1.3604722840294357</v>
      </c>
      <c r="O916" s="1649">
        <v>1.384081485311246</v>
      </c>
    </row>
    <row r="917" spans="11:15">
      <c r="K917" s="1646">
        <v>42974</v>
      </c>
      <c r="L917" s="1647"/>
      <c r="M917" s="1648">
        <v>0</v>
      </c>
      <c r="N917" s="1649">
        <v>1.3604722840294357</v>
      </c>
      <c r="O917" s="1649">
        <v>1.384081485311246</v>
      </c>
    </row>
    <row r="918" spans="11:15">
      <c r="K918" s="1646">
        <v>42975</v>
      </c>
      <c r="L918" s="1647" t="s">
        <v>1653</v>
      </c>
      <c r="M918" s="1648">
        <v>3.4749000000000002E-2</v>
      </c>
      <c r="N918" s="1649">
        <v>1.3609450345434131</v>
      </c>
      <c r="O918" s="1649">
        <v>1.3848085571562949</v>
      </c>
    </row>
    <row r="919" spans="11:15">
      <c r="K919" s="1646">
        <v>42976</v>
      </c>
      <c r="L919" s="1647" t="s">
        <v>1653</v>
      </c>
      <c r="M919" s="1648">
        <v>3.4749000000000002E-2</v>
      </c>
      <c r="N919" s="1649">
        <v>1.3614179493334666</v>
      </c>
      <c r="O919" s="1649">
        <v>1.3855360109394548</v>
      </c>
    </row>
    <row r="920" spans="11:15">
      <c r="K920" s="1646">
        <v>42977</v>
      </c>
      <c r="L920" s="1647" t="s">
        <v>1653</v>
      </c>
      <c r="M920" s="1648">
        <v>3.4749000000000002E-2</v>
      </c>
      <c r="N920" s="1649">
        <v>1.3618910284566805</v>
      </c>
      <c r="O920" s="1649">
        <v>1.3862638468613613</v>
      </c>
    </row>
    <row r="921" spans="11:15">
      <c r="K921" s="1646">
        <v>42978</v>
      </c>
      <c r="L921" s="1647" t="s">
        <v>1653</v>
      </c>
      <c r="M921" s="1648">
        <v>3.4749000000000002E-2</v>
      </c>
      <c r="N921" s="1649">
        <v>1.362364271970159</v>
      </c>
      <c r="O921" s="1649">
        <v>1.3869920651227561</v>
      </c>
    </row>
    <row r="922" spans="11:15">
      <c r="K922" s="1646">
        <v>42979</v>
      </c>
      <c r="L922" s="1647" t="s">
        <v>1653</v>
      </c>
      <c r="M922" s="1648">
        <v>3.4749000000000002E-2</v>
      </c>
      <c r="N922" s="1649">
        <v>1.3628376799310258</v>
      </c>
      <c r="O922" s="1649">
        <v>1.3877206659244856</v>
      </c>
    </row>
    <row r="923" spans="11:15">
      <c r="K923" s="1646">
        <v>42980</v>
      </c>
      <c r="L923" s="1647"/>
      <c r="M923" s="1648">
        <v>0</v>
      </c>
      <c r="N923" s="1649">
        <v>1.3628376799310258</v>
      </c>
      <c r="O923" s="1649">
        <v>1.3877206659244856</v>
      </c>
    </row>
    <row r="924" spans="11:15">
      <c r="K924" s="1646">
        <v>42981</v>
      </c>
      <c r="L924" s="1647"/>
      <c r="M924" s="1648">
        <v>0</v>
      </c>
      <c r="N924" s="1649">
        <v>1.3628376799310258</v>
      </c>
      <c r="O924" s="1649">
        <v>1.3877206659244856</v>
      </c>
    </row>
    <row r="925" spans="11:15">
      <c r="K925" s="1646">
        <v>42982</v>
      </c>
      <c r="L925" s="1647" t="s">
        <v>1653</v>
      </c>
      <c r="M925" s="1648">
        <v>3.4749000000000002E-2</v>
      </c>
      <c r="N925" s="1649">
        <v>1.363311252396425</v>
      </c>
      <c r="O925" s="1649">
        <v>1.3884496494675025</v>
      </c>
    </row>
    <row r="926" spans="11:15">
      <c r="K926" s="1646">
        <v>42983</v>
      </c>
      <c r="L926" s="1647" t="s">
        <v>1653</v>
      </c>
      <c r="M926" s="1648">
        <v>3.4749000000000002E-2</v>
      </c>
      <c r="N926" s="1649">
        <v>1.3637849894235203</v>
      </c>
      <c r="O926" s="1649">
        <v>1.3891790159528643</v>
      </c>
    </row>
    <row r="927" spans="11:15">
      <c r="K927" s="1646">
        <v>42984</v>
      </c>
      <c r="L927" s="1647" t="s">
        <v>1653</v>
      </c>
      <c r="M927" s="1648">
        <v>3.4749000000000002E-2</v>
      </c>
      <c r="N927" s="1649">
        <v>1.364258891069495</v>
      </c>
      <c r="O927" s="1649">
        <v>1.3899087655817346</v>
      </c>
    </row>
    <row r="928" spans="11:15">
      <c r="K928" s="1646">
        <v>42985</v>
      </c>
      <c r="L928" s="1647"/>
      <c r="M928" s="1648">
        <v>0</v>
      </c>
      <c r="N928" s="1649">
        <v>1.364258891069495</v>
      </c>
      <c r="O928" s="1649">
        <v>1.3899087655817346</v>
      </c>
    </row>
    <row r="929" spans="11:15">
      <c r="K929" s="1646">
        <v>42986</v>
      </c>
      <c r="L929" s="1647" t="s">
        <v>1653</v>
      </c>
      <c r="M929" s="1648">
        <v>3.1095999999999999E-2</v>
      </c>
      <c r="N929" s="1649">
        <v>1.364683121014262</v>
      </c>
      <c r="O929" s="1649">
        <v>1.3906388985553824</v>
      </c>
    </row>
    <row r="930" spans="11:15">
      <c r="K930" s="1646">
        <v>42987</v>
      </c>
      <c r="L930" s="1647"/>
      <c r="M930" s="1648">
        <v>0</v>
      </c>
      <c r="N930" s="1649">
        <v>1.364683121014262</v>
      </c>
      <c r="O930" s="1649">
        <v>1.3906388985553824</v>
      </c>
    </row>
    <row r="931" spans="11:15">
      <c r="K931" s="1646">
        <v>42988</v>
      </c>
      <c r="L931" s="1647"/>
      <c r="M931" s="1648">
        <v>0</v>
      </c>
      <c r="N931" s="1649">
        <v>1.364683121014262</v>
      </c>
      <c r="O931" s="1649">
        <v>1.3906388985553824</v>
      </c>
    </row>
    <row r="932" spans="11:15">
      <c r="K932" s="1646">
        <v>42989</v>
      </c>
      <c r="L932" s="1647" t="s">
        <v>1653</v>
      </c>
      <c r="M932" s="1648">
        <v>3.1095999999999999E-2</v>
      </c>
      <c r="N932" s="1649">
        <v>1.3651074828775727</v>
      </c>
      <c r="O932" s="1649">
        <v>1.3913694150751825</v>
      </c>
    </row>
    <row r="933" spans="11:15">
      <c r="K933" s="1646">
        <v>42990</v>
      </c>
      <c r="L933" s="1647" t="s">
        <v>1653</v>
      </c>
      <c r="M933" s="1648">
        <v>3.1095999999999999E-2</v>
      </c>
      <c r="N933" s="1649">
        <v>1.3655319767004481</v>
      </c>
      <c r="O933" s="1649">
        <v>1.3921003153426157</v>
      </c>
    </row>
    <row r="934" spans="11:15">
      <c r="K934" s="1646">
        <v>42991</v>
      </c>
      <c r="L934" s="1647" t="s">
        <v>1653</v>
      </c>
      <c r="M934" s="1648">
        <v>3.1095999999999999E-2</v>
      </c>
      <c r="N934" s="1649">
        <v>1.3659566025239229</v>
      </c>
      <c r="O934" s="1649">
        <v>1.3928315995592684</v>
      </c>
    </row>
    <row r="935" spans="11:15">
      <c r="K935" s="1646">
        <v>42992</v>
      </c>
      <c r="L935" s="1647" t="s">
        <v>1653</v>
      </c>
      <c r="M935" s="1648">
        <v>3.1095999999999999E-2</v>
      </c>
      <c r="N935" s="1649">
        <v>1.3663813603890438</v>
      </c>
      <c r="O935" s="1649">
        <v>1.3935632679268328</v>
      </c>
    </row>
    <row r="936" spans="11:15">
      <c r="K936" s="1646">
        <v>42993</v>
      </c>
      <c r="L936" s="1647" t="s">
        <v>1653</v>
      </c>
      <c r="M936" s="1648">
        <v>3.1095999999999999E-2</v>
      </c>
      <c r="N936" s="1649">
        <v>1.3668062503368703</v>
      </c>
      <c r="O936" s="1649">
        <v>1.3942953206471074</v>
      </c>
    </row>
    <row r="937" spans="11:15">
      <c r="K937" s="1646">
        <v>42994</v>
      </c>
      <c r="L937" s="1647"/>
      <c r="M937" s="1648">
        <v>0</v>
      </c>
      <c r="N937" s="1649">
        <v>1.3668062503368703</v>
      </c>
      <c r="O937" s="1649">
        <v>1.3942953206471074</v>
      </c>
    </row>
    <row r="938" spans="11:15">
      <c r="K938" s="1646">
        <v>42995</v>
      </c>
      <c r="L938" s="1647"/>
      <c r="M938" s="1648">
        <v>0</v>
      </c>
      <c r="N938" s="1649">
        <v>1.3668062503368703</v>
      </c>
      <c r="O938" s="1649">
        <v>1.3942953206471074</v>
      </c>
    </row>
    <row r="939" spans="11:15">
      <c r="K939" s="1646">
        <v>42996</v>
      </c>
      <c r="L939" s="1647" t="s">
        <v>1653</v>
      </c>
      <c r="M939" s="1648">
        <v>3.1095999999999999E-2</v>
      </c>
      <c r="N939" s="1649">
        <v>1.367231272408475</v>
      </c>
      <c r="O939" s="1649">
        <v>1.3950277579219965</v>
      </c>
    </row>
    <row r="940" spans="11:15">
      <c r="K940" s="1646">
        <v>42997</v>
      </c>
      <c r="L940" s="1647" t="s">
        <v>1653</v>
      </c>
      <c r="M940" s="1648">
        <v>3.1095999999999999E-2</v>
      </c>
      <c r="N940" s="1649">
        <v>1.3676564266449431</v>
      </c>
      <c r="O940" s="1649">
        <v>1.3957605799535104</v>
      </c>
    </row>
    <row r="941" spans="11:15">
      <c r="K941" s="1646">
        <v>42998</v>
      </c>
      <c r="L941" s="1647" t="s">
        <v>1653</v>
      </c>
      <c r="M941" s="1648">
        <v>3.1095999999999999E-2</v>
      </c>
      <c r="N941" s="1649">
        <v>1.3680817130873726</v>
      </c>
      <c r="O941" s="1649">
        <v>1.3964937869437659</v>
      </c>
    </row>
    <row r="942" spans="11:15">
      <c r="K942" s="1646">
        <v>42999</v>
      </c>
      <c r="L942" s="1647" t="s">
        <v>1653</v>
      </c>
      <c r="M942" s="1648">
        <v>3.1095999999999999E-2</v>
      </c>
      <c r="N942" s="1649">
        <v>1.3685071317768742</v>
      </c>
      <c r="O942" s="1649">
        <v>1.3972273790949854</v>
      </c>
    </row>
    <row r="943" spans="11:15">
      <c r="K943" s="1646">
        <v>43000</v>
      </c>
      <c r="L943" s="1647" t="s">
        <v>1653</v>
      </c>
      <c r="M943" s="1648">
        <v>3.1095999999999999E-2</v>
      </c>
      <c r="N943" s="1649">
        <v>1.3689326827545716</v>
      </c>
      <c r="O943" s="1649">
        <v>1.3979613566094977</v>
      </c>
    </row>
    <row r="944" spans="11:15">
      <c r="K944" s="1646">
        <v>43001</v>
      </c>
      <c r="L944" s="1647"/>
      <c r="M944" s="1648">
        <v>0</v>
      </c>
      <c r="N944" s="1649">
        <v>1.3689326827545716</v>
      </c>
      <c r="O944" s="1649">
        <v>1.3979613566094977</v>
      </c>
    </row>
    <row r="945" spans="11:15">
      <c r="K945" s="1646">
        <v>43002</v>
      </c>
      <c r="L945" s="1647"/>
      <c r="M945" s="1648">
        <v>0</v>
      </c>
      <c r="N945" s="1649">
        <v>1.3689326827545716</v>
      </c>
      <c r="O945" s="1649">
        <v>1.3979613566094977</v>
      </c>
    </row>
    <row r="946" spans="11:15">
      <c r="K946" s="1646">
        <v>43003</v>
      </c>
      <c r="L946" s="1647" t="s">
        <v>1653</v>
      </c>
      <c r="M946" s="1648">
        <v>3.1095999999999999E-2</v>
      </c>
      <c r="N946" s="1649">
        <v>1.3693583660616009</v>
      </c>
      <c r="O946" s="1649">
        <v>1.3986957196897383</v>
      </c>
    </row>
    <row r="947" spans="11:15">
      <c r="K947" s="1646">
        <v>43004</v>
      </c>
      <c r="L947" s="1647" t="s">
        <v>1653</v>
      </c>
      <c r="M947" s="1648">
        <v>3.1095999999999999E-2</v>
      </c>
      <c r="N947" s="1649">
        <v>1.3697841817391114</v>
      </c>
      <c r="O947" s="1649">
        <v>1.3994304685382486</v>
      </c>
    </row>
    <row r="948" spans="11:15">
      <c r="K948" s="1646">
        <v>43005</v>
      </c>
      <c r="L948" s="1647" t="s">
        <v>1653</v>
      </c>
      <c r="M948" s="1648">
        <v>3.1095999999999999E-2</v>
      </c>
      <c r="N948" s="1649">
        <v>1.370210129828265</v>
      </c>
      <c r="O948" s="1649">
        <v>1.4001656033576764</v>
      </c>
    </row>
    <row r="949" spans="11:15">
      <c r="K949" s="1646">
        <v>43006</v>
      </c>
      <c r="L949" s="1647" t="s">
        <v>1653</v>
      </c>
      <c r="M949" s="1648">
        <v>3.1095999999999999E-2</v>
      </c>
      <c r="N949" s="1649">
        <v>1.3706362103702363</v>
      </c>
      <c r="O949" s="1649">
        <v>1.4009011243507763</v>
      </c>
    </row>
    <row r="950" spans="11:15">
      <c r="K950" s="1646">
        <v>43007</v>
      </c>
      <c r="L950" s="1647" t="s">
        <v>1653</v>
      </c>
      <c r="M950" s="1648">
        <v>3.1095999999999999E-2</v>
      </c>
      <c r="N950" s="1649">
        <v>1.371062423406213</v>
      </c>
      <c r="O950" s="1649">
        <v>1.401637031720409</v>
      </c>
    </row>
    <row r="951" spans="11:15">
      <c r="K951" s="1646">
        <v>43008</v>
      </c>
      <c r="L951" s="1647"/>
      <c r="M951" s="1648">
        <v>0</v>
      </c>
      <c r="N951" s="1649">
        <v>1.371062423406213</v>
      </c>
      <c r="O951" s="1649">
        <v>1.401637031720409</v>
      </c>
    </row>
    <row r="952" spans="11:15">
      <c r="K952" s="1646">
        <v>43009</v>
      </c>
      <c r="L952" s="1647"/>
      <c r="M952" s="1648">
        <v>0</v>
      </c>
      <c r="N952" s="1649">
        <v>1.371062423406213</v>
      </c>
      <c r="O952" s="1649">
        <v>1.401637031720409</v>
      </c>
    </row>
    <row r="953" spans="11:15">
      <c r="K953" s="1646">
        <v>43010</v>
      </c>
      <c r="L953" s="1647" t="s">
        <v>1653</v>
      </c>
      <c r="M953" s="1648">
        <v>3.1095999999999999E-2</v>
      </c>
      <c r="N953" s="1649">
        <v>1.3714887689773954</v>
      </c>
      <c r="O953" s="1649">
        <v>1.4023733256695421</v>
      </c>
    </row>
    <row r="954" spans="11:15">
      <c r="K954" s="1646">
        <v>43011</v>
      </c>
      <c r="L954" s="1647" t="s">
        <v>1653</v>
      </c>
      <c r="M954" s="1648">
        <v>3.1095999999999999E-2</v>
      </c>
      <c r="N954" s="1649">
        <v>1.3719152471249965</v>
      </c>
      <c r="O954" s="1649">
        <v>1.4031100064012496</v>
      </c>
    </row>
    <row r="955" spans="11:15">
      <c r="K955" s="1646">
        <v>43012</v>
      </c>
      <c r="L955" s="1647" t="s">
        <v>1653</v>
      </c>
      <c r="M955" s="1648">
        <v>3.1095999999999999E-2</v>
      </c>
      <c r="N955" s="1649">
        <v>1.3723418578902424</v>
      </c>
      <c r="O955" s="1649">
        <v>1.4038470741187123</v>
      </c>
    </row>
    <row r="956" spans="11:15">
      <c r="K956" s="1646">
        <v>43013</v>
      </c>
      <c r="L956" s="1647" t="s">
        <v>1653</v>
      </c>
      <c r="M956" s="1648">
        <v>3.1095999999999999E-2</v>
      </c>
      <c r="N956" s="1649">
        <v>1.3727686013143718</v>
      </c>
      <c r="O956" s="1649">
        <v>1.4045845290252177</v>
      </c>
    </row>
    <row r="957" spans="11:15">
      <c r="K957" s="1646">
        <v>43014</v>
      </c>
      <c r="L957" s="1647" t="s">
        <v>1653</v>
      </c>
      <c r="M957" s="1648">
        <v>3.1095999999999999E-2</v>
      </c>
      <c r="N957" s="1649">
        <v>1.3731954774386366</v>
      </c>
      <c r="O957" s="1649">
        <v>1.4053223713241598</v>
      </c>
    </row>
    <row r="958" spans="11:15">
      <c r="K958" s="1646">
        <v>43015</v>
      </c>
      <c r="L958" s="1647"/>
      <c r="M958" s="1648">
        <v>0</v>
      </c>
      <c r="N958" s="1649">
        <v>1.3731954774386366</v>
      </c>
      <c r="O958" s="1649">
        <v>1.4053223713241598</v>
      </c>
    </row>
    <row r="959" spans="11:15">
      <c r="K959" s="1646">
        <v>43016</v>
      </c>
      <c r="L959" s="1647"/>
      <c r="M959" s="1648">
        <v>0</v>
      </c>
      <c r="N959" s="1649">
        <v>1.3731954774386366</v>
      </c>
      <c r="O959" s="1649">
        <v>1.4053223713241598</v>
      </c>
    </row>
    <row r="960" spans="11:15">
      <c r="K960" s="1646">
        <v>43017</v>
      </c>
      <c r="L960" s="1647" t="s">
        <v>1653</v>
      </c>
      <c r="M960" s="1648">
        <v>3.1095999999999999E-2</v>
      </c>
      <c r="N960" s="1649">
        <v>1.3736224863043009</v>
      </c>
      <c r="O960" s="1649">
        <v>1.4060606012190402</v>
      </c>
    </row>
    <row r="961" spans="11:15">
      <c r="K961" s="1646">
        <v>43018</v>
      </c>
      <c r="L961" s="1647" t="s">
        <v>1653</v>
      </c>
      <c r="M961" s="1648">
        <v>3.1095999999999999E-2</v>
      </c>
      <c r="N961" s="1649">
        <v>1.3740496279526422</v>
      </c>
      <c r="O961" s="1649">
        <v>1.4067992189134666</v>
      </c>
    </row>
    <row r="962" spans="11:15">
      <c r="K962" s="1646">
        <v>43019</v>
      </c>
      <c r="L962" s="1647" t="s">
        <v>1653</v>
      </c>
      <c r="M962" s="1648">
        <v>3.1095999999999999E-2</v>
      </c>
      <c r="N962" s="1649">
        <v>1.3744769024249504</v>
      </c>
      <c r="O962" s="1649">
        <v>1.4075382246111541</v>
      </c>
    </row>
    <row r="963" spans="11:15">
      <c r="K963" s="1646">
        <v>43020</v>
      </c>
      <c r="L963" s="1647"/>
      <c r="M963" s="1648">
        <v>0</v>
      </c>
      <c r="N963" s="1649">
        <v>1.3744769024249504</v>
      </c>
      <c r="O963" s="1649">
        <v>1.4075382246111541</v>
      </c>
    </row>
    <row r="964" spans="11:15">
      <c r="K964" s="1646">
        <v>43021</v>
      </c>
      <c r="L964" s="1647" t="s">
        <v>1653</v>
      </c>
      <c r="M964" s="1648">
        <v>3.1095999999999999E-2</v>
      </c>
      <c r="N964" s="1649">
        <v>1.3749043097625284</v>
      </c>
      <c r="O964" s="1649">
        <v>1.4082776185159245</v>
      </c>
    </row>
    <row r="965" spans="11:15">
      <c r="K965" s="1646">
        <v>43022</v>
      </c>
      <c r="L965" s="1647"/>
      <c r="M965" s="1648">
        <v>0</v>
      </c>
      <c r="N965" s="1649">
        <v>1.3749043097625284</v>
      </c>
      <c r="O965" s="1649">
        <v>1.4082776185159245</v>
      </c>
    </row>
    <row r="966" spans="11:15">
      <c r="K966" s="1646">
        <v>43023</v>
      </c>
      <c r="L966" s="1647"/>
      <c r="M966" s="1648">
        <v>0</v>
      </c>
      <c r="N966" s="1649">
        <v>1.3749043097625284</v>
      </c>
      <c r="O966" s="1649">
        <v>1.4082776185159245</v>
      </c>
    </row>
    <row r="967" spans="11:15">
      <c r="K967" s="1646">
        <v>43024</v>
      </c>
      <c r="L967" s="1647" t="s">
        <v>1653</v>
      </c>
      <c r="M967" s="1648">
        <v>3.1095999999999999E-2</v>
      </c>
      <c r="N967" s="1649">
        <v>1.3753318500066922</v>
      </c>
      <c r="O967" s="1649">
        <v>1.4090174008317071</v>
      </c>
    </row>
    <row r="968" spans="11:15">
      <c r="K968" s="1646">
        <v>43025</v>
      </c>
      <c r="L968" s="1647" t="s">
        <v>1653</v>
      </c>
      <c r="M968" s="1648">
        <v>3.1095999999999999E-2</v>
      </c>
      <c r="N968" s="1649">
        <v>1.3757595231987703</v>
      </c>
      <c r="O968" s="1649">
        <v>1.4097575717625381</v>
      </c>
    </row>
    <row r="969" spans="11:15">
      <c r="K969" s="1646">
        <v>43026</v>
      </c>
      <c r="L969" s="1647" t="s">
        <v>1653</v>
      </c>
      <c r="M969" s="1648">
        <v>3.1095999999999999E-2</v>
      </c>
      <c r="N969" s="1649">
        <v>1.3761873293801041</v>
      </c>
      <c r="O969" s="1649">
        <v>1.4104981315125606</v>
      </c>
    </row>
    <row r="970" spans="11:15">
      <c r="K970" s="1646">
        <v>43027</v>
      </c>
      <c r="L970" s="1647" t="s">
        <v>1653</v>
      </c>
      <c r="M970" s="1648">
        <v>3.1095999999999999E-2</v>
      </c>
      <c r="N970" s="1649">
        <v>1.3766152685920481</v>
      </c>
      <c r="O970" s="1649">
        <v>1.4112390802860255</v>
      </c>
    </row>
    <row r="971" spans="11:15">
      <c r="K971" s="1646">
        <v>43028</v>
      </c>
      <c r="L971" s="1647" t="s">
        <v>1653</v>
      </c>
      <c r="M971" s="1648">
        <v>3.1095999999999999E-2</v>
      </c>
      <c r="N971" s="1649">
        <v>1.3770433408759695</v>
      </c>
      <c r="O971" s="1649">
        <v>1.4119804182872906</v>
      </c>
    </row>
    <row r="972" spans="11:15">
      <c r="K972" s="1646">
        <v>43029</v>
      </c>
      <c r="L972" s="1647"/>
      <c r="M972" s="1648">
        <v>0</v>
      </c>
      <c r="N972" s="1649">
        <v>1.3770433408759695</v>
      </c>
      <c r="O972" s="1649">
        <v>1.4119804182872906</v>
      </c>
    </row>
    <row r="973" spans="11:15">
      <c r="K973" s="1646">
        <v>43030</v>
      </c>
      <c r="L973" s="1647"/>
      <c r="M973" s="1648">
        <v>0</v>
      </c>
      <c r="N973" s="1649">
        <v>1.3770433408759695</v>
      </c>
      <c r="O973" s="1649">
        <v>1.4119804182872906</v>
      </c>
    </row>
    <row r="974" spans="11:15">
      <c r="K974" s="1646">
        <v>43031</v>
      </c>
      <c r="L974" s="1647" t="s">
        <v>1653</v>
      </c>
      <c r="M974" s="1648">
        <v>3.1095999999999999E-2</v>
      </c>
      <c r="N974" s="1649">
        <v>1.3774715462732483</v>
      </c>
      <c r="O974" s="1649">
        <v>1.412722145720821</v>
      </c>
    </row>
    <row r="975" spans="11:15">
      <c r="K975" s="1646">
        <v>43032</v>
      </c>
      <c r="L975" s="1647" t="s">
        <v>1653</v>
      </c>
      <c r="M975" s="1648">
        <v>3.1095999999999999E-2</v>
      </c>
      <c r="N975" s="1649">
        <v>1.3778998848252775</v>
      </c>
      <c r="O975" s="1649">
        <v>1.4134642627911895</v>
      </c>
    </row>
    <row r="976" spans="11:15">
      <c r="K976" s="1646">
        <v>43033</v>
      </c>
      <c r="L976" s="1647" t="s">
        <v>1653</v>
      </c>
      <c r="M976" s="1648">
        <v>3.1095999999999999E-2</v>
      </c>
      <c r="N976" s="1649">
        <v>1.3783283565734628</v>
      </c>
      <c r="O976" s="1649">
        <v>1.4142067697030765</v>
      </c>
    </row>
    <row r="977" spans="11:15">
      <c r="K977" s="1646">
        <v>43034</v>
      </c>
      <c r="L977" s="1647" t="s">
        <v>1653</v>
      </c>
      <c r="M977" s="1648">
        <v>2.8333000000000001E-2</v>
      </c>
      <c r="N977" s="1649">
        <v>1.3787188783467308</v>
      </c>
      <c r="O977" s="1649">
        <v>1.4149496666612691</v>
      </c>
    </row>
    <row r="978" spans="11:15">
      <c r="K978" s="1646">
        <v>43035</v>
      </c>
      <c r="L978" s="1647" t="s">
        <v>1653</v>
      </c>
      <c r="M978" s="1648">
        <v>2.8333000000000001E-2</v>
      </c>
      <c r="N978" s="1649">
        <v>1.3791095107665328</v>
      </c>
      <c r="O978" s="1649">
        <v>1.4156929538706629</v>
      </c>
    </row>
    <row r="979" spans="11:15">
      <c r="K979" s="1646">
        <v>43036</v>
      </c>
      <c r="L979" s="1647"/>
      <c r="M979" s="1648">
        <v>0</v>
      </c>
      <c r="N979" s="1649">
        <v>1.3791095107665328</v>
      </c>
      <c r="O979" s="1649">
        <v>1.4156929538706629</v>
      </c>
    </row>
    <row r="980" spans="11:15">
      <c r="K980" s="1646">
        <v>43037</v>
      </c>
      <c r="L980" s="1647"/>
      <c r="M980" s="1648">
        <v>0</v>
      </c>
      <c r="N980" s="1649">
        <v>1.3791095107665328</v>
      </c>
      <c r="O980" s="1649">
        <v>1.4156929538706629</v>
      </c>
    </row>
    <row r="981" spans="11:15">
      <c r="K981" s="1646">
        <v>43038</v>
      </c>
      <c r="L981" s="1647" t="s">
        <v>1653</v>
      </c>
      <c r="M981" s="1648">
        <v>2.8333000000000001E-2</v>
      </c>
      <c r="N981" s="1649">
        <v>1.3795002538642183</v>
      </c>
      <c r="O981" s="1649">
        <v>1.4164366315362606</v>
      </c>
    </row>
    <row r="982" spans="11:15">
      <c r="K982" s="1646">
        <v>43039</v>
      </c>
      <c r="L982" s="1647" t="s">
        <v>1653</v>
      </c>
      <c r="M982" s="1648">
        <v>2.8333000000000001E-2</v>
      </c>
      <c r="N982" s="1649">
        <v>1.3798911076711458</v>
      </c>
      <c r="O982" s="1649">
        <v>1.4171806998631729</v>
      </c>
    </row>
    <row r="983" spans="11:15">
      <c r="K983" s="1646">
        <v>43040</v>
      </c>
      <c r="L983" s="1647" t="s">
        <v>1653</v>
      </c>
      <c r="M983" s="1648">
        <v>2.8333000000000001E-2</v>
      </c>
      <c r="N983" s="1649">
        <v>1.3802820722186822</v>
      </c>
      <c r="O983" s="1649">
        <v>1.417925159056618</v>
      </c>
    </row>
    <row r="984" spans="11:15">
      <c r="K984" s="1646">
        <v>43041</v>
      </c>
      <c r="L984" s="1647"/>
      <c r="M984" s="1648">
        <v>0</v>
      </c>
      <c r="N984" s="1649">
        <v>1.3802820722186822</v>
      </c>
      <c r="O984" s="1649">
        <v>1.417925159056618</v>
      </c>
    </row>
    <row r="985" spans="11:15">
      <c r="K985" s="1646">
        <v>43042</v>
      </c>
      <c r="L985" s="1647" t="s">
        <v>1653</v>
      </c>
      <c r="M985" s="1648">
        <v>2.8333000000000001E-2</v>
      </c>
      <c r="N985" s="1649">
        <v>1.3806731475382039</v>
      </c>
      <c r="O985" s="1649">
        <v>1.418670009321922</v>
      </c>
    </row>
    <row r="986" spans="11:15">
      <c r="K986" s="1646">
        <v>43043</v>
      </c>
      <c r="L986" s="1647"/>
      <c r="M986" s="1648">
        <v>0</v>
      </c>
      <c r="N986" s="1649">
        <v>1.3806731475382039</v>
      </c>
      <c r="O986" s="1649">
        <v>1.418670009321922</v>
      </c>
    </row>
    <row r="987" spans="11:15">
      <c r="K987" s="1646">
        <v>43044</v>
      </c>
      <c r="L987" s="1647"/>
      <c r="M987" s="1648">
        <v>0</v>
      </c>
      <c r="N987" s="1649">
        <v>1.3806731475382039</v>
      </c>
      <c r="O987" s="1649">
        <v>1.418670009321922</v>
      </c>
    </row>
    <row r="988" spans="11:15">
      <c r="K988" s="1646">
        <v>43045</v>
      </c>
      <c r="L988" s="1647" t="s">
        <v>1653</v>
      </c>
      <c r="M988" s="1648">
        <v>2.8333000000000001E-2</v>
      </c>
      <c r="N988" s="1649">
        <v>1.3810643336610959</v>
      </c>
      <c r="O988" s="1649">
        <v>1.4194152508645188</v>
      </c>
    </row>
    <row r="989" spans="11:15">
      <c r="K989" s="1646">
        <v>43046</v>
      </c>
      <c r="L989" s="1647" t="s">
        <v>1653</v>
      </c>
      <c r="M989" s="1648">
        <v>2.8333000000000001E-2</v>
      </c>
      <c r="N989" s="1649">
        <v>1.3814556306187522</v>
      </c>
      <c r="O989" s="1649">
        <v>1.4201608838899504</v>
      </c>
    </row>
    <row r="990" spans="11:15">
      <c r="K990" s="1646">
        <v>43047</v>
      </c>
      <c r="L990" s="1647" t="s">
        <v>1653</v>
      </c>
      <c r="M990" s="1648">
        <v>2.8333000000000001E-2</v>
      </c>
      <c r="N990" s="1649">
        <v>1.3818470384425754</v>
      </c>
      <c r="O990" s="1649">
        <v>1.4209069086038666</v>
      </c>
    </row>
    <row r="991" spans="11:15">
      <c r="K991" s="1646">
        <v>43048</v>
      </c>
      <c r="L991" s="1647" t="s">
        <v>1653</v>
      </c>
      <c r="M991" s="1648">
        <v>2.8333000000000001E-2</v>
      </c>
      <c r="N991" s="1649">
        <v>1.3822385571639773</v>
      </c>
      <c r="O991" s="1649">
        <v>1.4216533252120254</v>
      </c>
    </row>
    <row r="992" spans="11:15">
      <c r="K992" s="1646">
        <v>43049</v>
      </c>
      <c r="L992" s="1647" t="s">
        <v>1653</v>
      </c>
      <c r="M992" s="1648">
        <v>2.8333000000000001E-2</v>
      </c>
      <c r="N992" s="1649">
        <v>1.3826301868143787</v>
      </c>
      <c r="O992" s="1649">
        <v>1.4224001339202925</v>
      </c>
    </row>
    <row r="993" spans="11:15">
      <c r="K993" s="1646">
        <v>43050</v>
      </c>
      <c r="L993" s="1647"/>
      <c r="M993" s="1648">
        <v>0</v>
      </c>
      <c r="N993" s="1649">
        <v>1.3826301868143787</v>
      </c>
      <c r="O993" s="1649">
        <v>1.4224001339202925</v>
      </c>
    </row>
    <row r="994" spans="11:15">
      <c r="K994" s="1646">
        <v>43051</v>
      </c>
      <c r="L994" s="1647"/>
      <c r="M994" s="1648">
        <v>0</v>
      </c>
      <c r="N994" s="1649">
        <v>1.3826301868143787</v>
      </c>
      <c r="O994" s="1649">
        <v>1.4224001339202925</v>
      </c>
    </row>
    <row r="995" spans="11:15">
      <c r="K995" s="1646">
        <v>43052</v>
      </c>
      <c r="L995" s="1647" t="s">
        <v>1653</v>
      </c>
      <c r="M995" s="1648">
        <v>2.8333000000000001E-2</v>
      </c>
      <c r="N995" s="1649">
        <v>1.3830219274252089</v>
      </c>
      <c r="O995" s="1649">
        <v>1.4231473349346422</v>
      </c>
    </row>
    <row r="996" spans="11:15">
      <c r="K996" s="1646">
        <v>43053</v>
      </c>
      <c r="L996" s="1647" t="s">
        <v>1653</v>
      </c>
      <c r="M996" s="1648">
        <v>2.8333000000000001E-2</v>
      </c>
      <c r="N996" s="1649">
        <v>1.3834137790279064</v>
      </c>
      <c r="O996" s="1649">
        <v>1.4238949284611566</v>
      </c>
    </row>
    <row r="997" spans="11:15">
      <c r="K997" s="1646">
        <v>43054</v>
      </c>
      <c r="L997" s="1647"/>
      <c r="M997" s="1648">
        <v>0</v>
      </c>
      <c r="N997" s="1649">
        <v>1.3834137790279064</v>
      </c>
      <c r="O997" s="1649">
        <v>1.4238949284611566</v>
      </c>
    </row>
    <row r="998" spans="11:15">
      <c r="K998" s="1646">
        <v>43055</v>
      </c>
      <c r="L998" s="1647" t="s">
        <v>1653</v>
      </c>
      <c r="M998" s="1648">
        <v>2.8333000000000001E-2</v>
      </c>
      <c r="N998" s="1649">
        <v>1.3838057416539185</v>
      </c>
      <c r="O998" s="1649">
        <v>1.4246429147060264</v>
      </c>
    </row>
    <row r="999" spans="11:15">
      <c r="K999" s="1646">
        <v>43056</v>
      </c>
      <c r="L999" s="1647" t="s">
        <v>1653</v>
      </c>
      <c r="M999" s="1648">
        <v>2.8333000000000001E-2</v>
      </c>
      <c r="N999" s="1649">
        <v>1.3841978153347012</v>
      </c>
      <c r="O999" s="1649">
        <v>1.4253912938755506</v>
      </c>
    </row>
    <row r="1000" spans="11:15">
      <c r="K1000" s="1646">
        <v>43057</v>
      </c>
      <c r="L1000" s="1647"/>
      <c r="M1000" s="1648">
        <v>0</v>
      </c>
      <c r="N1000" s="1649">
        <v>1.3841978153347012</v>
      </c>
      <c r="O1000" s="1649">
        <v>1.4253912938755506</v>
      </c>
    </row>
    <row r="1001" spans="11:15">
      <c r="K1001" s="1646">
        <v>43058</v>
      </c>
      <c r="L1001" s="1647"/>
      <c r="M1001" s="1648">
        <v>0</v>
      </c>
      <c r="N1001" s="1649">
        <v>1.3841978153347012</v>
      </c>
      <c r="O1001" s="1649">
        <v>1.4253912938755506</v>
      </c>
    </row>
    <row r="1002" spans="11:15">
      <c r="K1002" s="1646">
        <v>43059</v>
      </c>
      <c r="L1002" s="1647" t="s">
        <v>1653</v>
      </c>
      <c r="M1002" s="1648">
        <v>2.8333000000000001E-2</v>
      </c>
      <c r="N1002" s="1649">
        <v>1.38459000010172</v>
      </c>
      <c r="O1002" s="1649">
        <v>1.4261400661761363</v>
      </c>
    </row>
    <row r="1003" spans="11:15">
      <c r="K1003" s="1646">
        <v>43060</v>
      </c>
      <c r="L1003" s="1647" t="s">
        <v>1653</v>
      </c>
      <c r="M1003" s="1648">
        <v>2.8333000000000001E-2</v>
      </c>
      <c r="N1003" s="1649">
        <v>1.3849822959864488</v>
      </c>
      <c r="O1003" s="1649">
        <v>1.4268892318142994</v>
      </c>
    </row>
    <row r="1004" spans="11:15">
      <c r="K1004" s="1646">
        <v>43061</v>
      </c>
      <c r="L1004" s="1647" t="s">
        <v>1653</v>
      </c>
      <c r="M1004" s="1648">
        <v>2.8333000000000001E-2</v>
      </c>
      <c r="N1004" s="1649">
        <v>1.3853747030203707</v>
      </c>
      <c r="O1004" s="1649">
        <v>1.4276387909966637</v>
      </c>
    </row>
    <row r="1005" spans="11:15">
      <c r="K1005" s="1646">
        <v>43062</v>
      </c>
      <c r="L1005" s="1647" t="s">
        <v>1653</v>
      </c>
      <c r="M1005" s="1648">
        <v>2.8333000000000001E-2</v>
      </c>
      <c r="N1005" s="1649">
        <v>1.3857672212349774</v>
      </c>
      <c r="O1005" s="1649">
        <v>1.4283887439299621</v>
      </c>
    </row>
    <row r="1006" spans="11:15">
      <c r="K1006" s="1646">
        <v>43063</v>
      </c>
      <c r="L1006" s="1647" t="s">
        <v>1653</v>
      </c>
      <c r="M1006" s="1648">
        <v>2.8333000000000001E-2</v>
      </c>
      <c r="N1006" s="1649">
        <v>1.3861598506617701</v>
      </c>
      <c r="O1006" s="1649">
        <v>1.429139090821036</v>
      </c>
    </row>
    <row r="1007" spans="11:15">
      <c r="K1007" s="1646">
        <v>43064</v>
      </c>
      <c r="L1007" s="1647"/>
      <c r="M1007" s="1648">
        <v>0</v>
      </c>
      <c r="N1007" s="1649">
        <v>1.3861598506617701</v>
      </c>
      <c r="O1007" s="1649">
        <v>1.429139090821036</v>
      </c>
    </row>
    <row r="1008" spans="11:15">
      <c r="K1008" s="1646">
        <v>43065</v>
      </c>
      <c r="L1008" s="1647"/>
      <c r="M1008" s="1648">
        <v>0</v>
      </c>
      <c r="N1008" s="1649">
        <v>1.3861598506617701</v>
      </c>
      <c r="O1008" s="1649">
        <v>1.429139090821036</v>
      </c>
    </row>
    <row r="1009" spans="11:15">
      <c r="K1009" s="1646">
        <v>43066</v>
      </c>
      <c r="L1009" s="1647" t="s">
        <v>1653</v>
      </c>
      <c r="M1009" s="1648">
        <v>2.8333000000000001E-2</v>
      </c>
      <c r="N1009" s="1649">
        <v>1.3865525913322581</v>
      </c>
      <c r="O1009" s="1649">
        <v>1.4298898318768352</v>
      </c>
    </row>
    <row r="1010" spans="11:15">
      <c r="K1010" s="1646">
        <v>43067</v>
      </c>
      <c r="L1010" s="1647" t="s">
        <v>1653</v>
      </c>
      <c r="M1010" s="1648">
        <v>2.8333000000000001E-2</v>
      </c>
      <c r="N1010" s="1649">
        <v>1.3869454432779602</v>
      </c>
      <c r="O1010" s="1649">
        <v>1.4306409673044185</v>
      </c>
    </row>
    <row r="1011" spans="11:15">
      <c r="K1011" s="1646">
        <v>43068</v>
      </c>
      <c r="L1011" s="1647" t="s">
        <v>1653</v>
      </c>
      <c r="M1011" s="1648">
        <v>2.8333000000000001E-2</v>
      </c>
      <c r="N1011" s="1649">
        <v>1.3873384065304042</v>
      </c>
      <c r="O1011" s="1649">
        <v>1.4313924973109531</v>
      </c>
    </row>
    <row r="1012" spans="11:15">
      <c r="K1012" s="1646">
        <v>43069</v>
      </c>
      <c r="L1012" s="1647" t="s">
        <v>1653</v>
      </c>
      <c r="M1012" s="1648">
        <v>2.8333000000000001E-2</v>
      </c>
      <c r="N1012" s="1649">
        <v>1.3877314811211265</v>
      </c>
      <c r="O1012" s="1649">
        <v>1.4321444221037154</v>
      </c>
    </row>
    <row r="1013" spans="11:15">
      <c r="K1013" s="1646">
        <v>43070</v>
      </c>
      <c r="L1013" s="1647" t="s">
        <v>1653</v>
      </c>
      <c r="M1013" s="1648">
        <v>2.8333000000000001E-2</v>
      </c>
      <c r="N1013" s="1649">
        <v>1.3881246670816727</v>
      </c>
      <c r="O1013" s="1649">
        <v>1.4328967418900906</v>
      </c>
    </row>
    <row r="1014" spans="11:15">
      <c r="K1014" s="1646">
        <v>43071</v>
      </c>
      <c r="L1014" s="1647"/>
      <c r="M1014" s="1648">
        <v>0</v>
      </c>
      <c r="N1014" s="1649">
        <v>1.3881246670816727</v>
      </c>
      <c r="O1014" s="1649">
        <v>1.4328967418900906</v>
      </c>
    </row>
    <row r="1015" spans="11:15">
      <c r="K1015" s="1646">
        <v>43072</v>
      </c>
      <c r="L1015" s="1647"/>
      <c r="M1015" s="1648">
        <v>0</v>
      </c>
      <c r="N1015" s="1649">
        <v>1.3881246670816727</v>
      </c>
      <c r="O1015" s="1649">
        <v>1.4328967418900906</v>
      </c>
    </row>
    <row r="1016" spans="11:15">
      <c r="K1016" s="1646">
        <v>43073</v>
      </c>
      <c r="L1016" s="1647" t="s">
        <v>1653</v>
      </c>
      <c r="M1016" s="1648">
        <v>2.8333000000000001E-2</v>
      </c>
      <c r="N1016" s="1649">
        <v>1.388517964443597</v>
      </c>
      <c r="O1016" s="1649">
        <v>1.4336494568775728</v>
      </c>
    </row>
    <row r="1017" spans="11:15">
      <c r="K1017" s="1646">
        <v>43074</v>
      </c>
      <c r="L1017" s="1647" t="s">
        <v>1653</v>
      </c>
      <c r="M1017" s="1648">
        <v>2.8333000000000001E-2</v>
      </c>
      <c r="N1017" s="1649">
        <v>1.3889113732384628</v>
      </c>
      <c r="O1017" s="1649">
        <v>1.4344025672737652</v>
      </c>
    </row>
    <row r="1018" spans="11:15">
      <c r="K1018" s="1646">
        <v>43075</v>
      </c>
      <c r="L1018" s="1647" t="s">
        <v>1653</v>
      </c>
      <c r="M1018" s="1648">
        <v>2.8333000000000001E-2</v>
      </c>
      <c r="N1018" s="1649">
        <v>1.3893048934978425</v>
      </c>
      <c r="O1018" s="1649">
        <v>1.4351560732863797</v>
      </c>
    </row>
    <row r="1019" spans="11:15">
      <c r="K1019" s="1646">
        <v>43076</v>
      </c>
      <c r="L1019" s="1647" t="s">
        <v>1653</v>
      </c>
      <c r="M1019" s="1648">
        <v>2.6481000000000001E-2</v>
      </c>
      <c r="N1019" s="1649">
        <v>1.3896727953266896</v>
      </c>
      <c r="O1019" s="1649">
        <v>1.4359099751232378</v>
      </c>
    </row>
    <row r="1020" spans="11:15">
      <c r="K1020" s="1646">
        <v>43077</v>
      </c>
      <c r="L1020" s="1647" t="s">
        <v>1653</v>
      </c>
      <c r="M1020" s="1648">
        <v>2.6481000000000001E-2</v>
      </c>
      <c r="N1020" s="1649">
        <v>1.39004079457962</v>
      </c>
      <c r="O1020" s="1649">
        <v>1.4366642729922698</v>
      </c>
    </row>
    <row r="1021" spans="11:15">
      <c r="K1021" s="1646">
        <v>43078</v>
      </c>
      <c r="L1021" s="1647"/>
      <c r="M1021" s="1648">
        <v>0</v>
      </c>
      <c r="N1021" s="1649">
        <v>1.39004079457962</v>
      </c>
      <c r="O1021" s="1649">
        <v>1.4366642729922698</v>
      </c>
    </row>
    <row r="1022" spans="11:15">
      <c r="K1022" s="1646">
        <v>43079</v>
      </c>
      <c r="L1022" s="1647"/>
      <c r="M1022" s="1648">
        <v>0</v>
      </c>
      <c r="N1022" s="1649">
        <v>1.39004079457962</v>
      </c>
      <c r="O1022" s="1649">
        <v>1.4366642729922698</v>
      </c>
    </row>
    <row r="1023" spans="11:15">
      <c r="K1023" s="1646">
        <v>43080</v>
      </c>
      <c r="L1023" s="1647" t="s">
        <v>1653</v>
      </c>
      <c r="M1023" s="1648">
        <v>2.6481000000000001E-2</v>
      </c>
      <c r="N1023" s="1649">
        <v>1.3904088912824326</v>
      </c>
      <c r="O1023" s="1649">
        <v>1.4374189671015154</v>
      </c>
    </row>
    <row r="1024" spans="11:15">
      <c r="K1024" s="1646">
        <v>43081</v>
      </c>
      <c r="L1024" s="1647" t="s">
        <v>1653</v>
      </c>
      <c r="M1024" s="1648">
        <v>2.6481000000000001E-2</v>
      </c>
      <c r="N1024" s="1649">
        <v>1.3907770854609331</v>
      </c>
      <c r="O1024" s="1649">
        <v>1.4381740576591235</v>
      </c>
    </row>
    <row r="1025" spans="11:15">
      <c r="K1025" s="1646">
        <v>43082</v>
      </c>
      <c r="L1025" s="1647" t="s">
        <v>1653</v>
      </c>
      <c r="M1025" s="1648">
        <v>2.6481000000000001E-2</v>
      </c>
      <c r="N1025" s="1649">
        <v>1.3911453771409341</v>
      </c>
      <c r="O1025" s="1649">
        <v>1.4389295448733526</v>
      </c>
    </row>
    <row r="1026" spans="11:15">
      <c r="K1026" s="1646">
        <v>43083</v>
      </c>
      <c r="L1026" s="1647" t="s">
        <v>1653</v>
      </c>
      <c r="M1026" s="1648">
        <v>2.6481000000000001E-2</v>
      </c>
      <c r="N1026" s="1649">
        <v>1.3915137663482549</v>
      </c>
      <c r="O1026" s="1649">
        <v>1.43968542895257</v>
      </c>
    </row>
    <row r="1027" spans="11:15">
      <c r="K1027" s="1646">
        <v>43084</v>
      </c>
      <c r="L1027" s="1647" t="s">
        <v>1653</v>
      </c>
      <c r="M1027" s="1648">
        <v>2.6481000000000001E-2</v>
      </c>
      <c r="N1027" s="1649">
        <v>1.3918822531087216</v>
      </c>
      <c r="O1027" s="1649">
        <v>1.4404417101052531</v>
      </c>
    </row>
    <row r="1028" spans="11:15">
      <c r="K1028" s="1646">
        <v>43085</v>
      </c>
      <c r="L1028" s="1647"/>
      <c r="M1028" s="1648">
        <v>0</v>
      </c>
      <c r="N1028" s="1649">
        <v>1.3918822531087216</v>
      </c>
      <c r="O1028" s="1649">
        <v>1.4404417101052531</v>
      </c>
    </row>
    <row r="1029" spans="11:15">
      <c r="K1029" s="1646">
        <v>43086</v>
      </c>
      <c r="L1029" s="1647"/>
      <c r="M1029" s="1648">
        <v>0</v>
      </c>
      <c r="N1029" s="1649">
        <v>1.3918822531087216</v>
      </c>
      <c r="O1029" s="1649">
        <v>1.4404417101052531</v>
      </c>
    </row>
    <row r="1030" spans="11:15">
      <c r="K1030" s="1646">
        <v>43087</v>
      </c>
      <c r="L1030" s="1647" t="s">
        <v>1653</v>
      </c>
      <c r="M1030" s="1648">
        <v>2.6481000000000001E-2</v>
      </c>
      <c r="N1030" s="1649">
        <v>1.3922508374481672</v>
      </c>
      <c r="O1030" s="1649">
        <v>1.4411983885399886</v>
      </c>
    </row>
    <row r="1031" spans="11:15">
      <c r="K1031" s="1646">
        <v>43088</v>
      </c>
      <c r="L1031" s="1647" t="s">
        <v>1653</v>
      </c>
      <c r="M1031" s="1648">
        <v>2.6481000000000001E-2</v>
      </c>
      <c r="N1031" s="1649">
        <v>1.392619519392432</v>
      </c>
      <c r="O1031" s="1649">
        <v>1.4419554644654726</v>
      </c>
    </row>
    <row r="1032" spans="11:15">
      <c r="K1032" s="1646">
        <v>43089</v>
      </c>
      <c r="L1032" s="1647" t="s">
        <v>1653</v>
      </c>
      <c r="M1032" s="1648">
        <v>2.6481000000000001E-2</v>
      </c>
      <c r="N1032" s="1649">
        <v>1.3929882989673623</v>
      </c>
      <c r="O1032" s="1649">
        <v>1.442712938090511</v>
      </c>
    </row>
    <row r="1033" spans="11:15">
      <c r="K1033" s="1646">
        <v>43090</v>
      </c>
      <c r="L1033" s="1647" t="s">
        <v>1653</v>
      </c>
      <c r="M1033" s="1648">
        <v>2.6481000000000001E-2</v>
      </c>
      <c r="N1033" s="1649">
        <v>1.3933571761988119</v>
      </c>
      <c r="O1033" s="1649">
        <v>1.4434708096240194</v>
      </c>
    </row>
    <row r="1034" spans="11:15">
      <c r="K1034" s="1646">
        <v>43091</v>
      </c>
      <c r="L1034" s="1647" t="s">
        <v>1653</v>
      </c>
      <c r="M1034" s="1648">
        <v>2.6481000000000001E-2</v>
      </c>
      <c r="N1034" s="1649">
        <v>1.3937261511126411</v>
      </c>
      <c r="O1034" s="1649">
        <v>1.444229079275023</v>
      </c>
    </row>
    <row r="1035" spans="11:15">
      <c r="K1035" s="1646">
        <v>43092</v>
      </c>
      <c r="L1035" s="1647"/>
      <c r="M1035" s="1648">
        <v>0</v>
      </c>
      <c r="N1035" s="1649">
        <v>1.3937261511126411</v>
      </c>
      <c r="O1035" s="1649">
        <v>1.444229079275023</v>
      </c>
    </row>
    <row r="1036" spans="11:15">
      <c r="K1036" s="1646">
        <v>43093</v>
      </c>
      <c r="L1036" s="1647"/>
      <c r="M1036" s="1648">
        <v>0</v>
      </c>
      <c r="N1036" s="1649">
        <v>1.3937261511126411</v>
      </c>
      <c r="O1036" s="1649">
        <v>1.444229079275023</v>
      </c>
    </row>
    <row r="1037" spans="11:15">
      <c r="K1037" s="1646">
        <v>43094</v>
      </c>
      <c r="L1037" s="1647"/>
      <c r="M1037" s="1648">
        <v>0</v>
      </c>
      <c r="N1037" s="1649">
        <v>1.3937261511126411</v>
      </c>
      <c r="O1037" s="1649">
        <v>1.444229079275023</v>
      </c>
    </row>
    <row r="1038" spans="11:15">
      <c r="K1038" s="1646">
        <v>43095</v>
      </c>
      <c r="L1038" s="1647" t="s">
        <v>1653</v>
      </c>
      <c r="M1038" s="1648">
        <v>2.6481000000000001E-2</v>
      </c>
      <c r="N1038" s="1649">
        <v>1.3940952237347173</v>
      </c>
      <c r="O1038" s="1649">
        <v>1.4449877472526569</v>
      </c>
    </row>
    <row r="1039" spans="11:15">
      <c r="K1039" s="1646">
        <v>43096</v>
      </c>
      <c r="L1039" s="1647" t="s">
        <v>1653</v>
      </c>
      <c r="M1039" s="1648">
        <v>2.6481000000000001E-2</v>
      </c>
      <c r="N1039" s="1649">
        <v>1.3944643940909145</v>
      </c>
      <c r="O1039" s="1649">
        <v>1.4457468137661662</v>
      </c>
    </row>
    <row r="1040" spans="11:15">
      <c r="K1040" s="1646">
        <v>43097</v>
      </c>
      <c r="L1040" s="1647" t="s">
        <v>1653</v>
      </c>
      <c r="M1040" s="1648">
        <v>2.6481000000000001E-2</v>
      </c>
      <c r="N1040" s="1649">
        <v>1.3948336622071138</v>
      </c>
      <c r="O1040" s="1649">
        <v>1.4465062790249057</v>
      </c>
    </row>
    <row r="1041" spans="11:15">
      <c r="K1041" s="1646">
        <v>43098</v>
      </c>
      <c r="L1041" s="1647" t="s">
        <v>1653</v>
      </c>
      <c r="M1041" s="1648">
        <v>2.6481000000000001E-2</v>
      </c>
      <c r="N1041" s="1649">
        <v>1.3952030281092029</v>
      </c>
      <c r="O1041" s="1649">
        <v>1.4472661432383402</v>
      </c>
    </row>
    <row r="1042" spans="11:15">
      <c r="K1042" s="1646">
        <v>43099</v>
      </c>
      <c r="L1042" s="1647"/>
      <c r="M1042" s="1648">
        <v>0</v>
      </c>
      <c r="N1042" s="1649">
        <v>1.3952030281092029</v>
      </c>
      <c r="O1042" s="1649">
        <v>1.4472661432383402</v>
      </c>
    </row>
    <row r="1043" spans="11:15">
      <c r="K1043" s="1646">
        <v>43100</v>
      </c>
      <c r="L1043" s="1647"/>
      <c r="M1043" s="1648">
        <v>0</v>
      </c>
      <c r="N1043" s="1649">
        <v>1.3952030281092029</v>
      </c>
      <c r="O1043" s="1649">
        <v>1.4472661432383402</v>
      </c>
    </row>
    <row r="1044" spans="11:15">
      <c r="K1044" s="1646">
        <v>43101</v>
      </c>
      <c r="L1044" s="1647"/>
      <c r="M1044" s="1648">
        <v>0</v>
      </c>
      <c r="N1044" s="1649">
        <v>1.3952030281092029</v>
      </c>
      <c r="O1044" s="1649">
        <v>1.4472661432383402</v>
      </c>
    </row>
    <row r="1045" spans="11:15">
      <c r="K1045" s="1646">
        <v>43102</v>
      </c>
      <c r="L1045" s="1647" t="s">
        <v>1653</v>
      </c>
      <c r="M1045" s="1648">
        <v>2.6481000000000001E-2</v>
      </c>
      <c r="N1045" s="1649">
        <v>1.3955724918230765</v>
      </c>
      <c r="O1045" s="1649"/>
    </row>
    <row r="1046" spans="11:15">
      <c r="K1046" s="1646">
        <v>43103</v>
      </c>
      <c r="L1046" s="1647" t="s">
        <v>1653</v>
      </c>
      <c r="M1046" s="1648">
        <v>2.6481000000000001E-2</v>
      </c>
      <c r="N1046" s="1649">
        <v>1.3959420533746363</v>
      </c>
      <c r="O1046" s="1649"/>
    </row>
    <row r="1047" spans="11:15">
      <c r="K1047" s="1646">
        <v>43104</v>
      </c>
      <c r="L1047" s="1647" t="s">
        <v>1653</v>
      </c>
      <c r="M1047" s="1648">
        <v>2.6481000000000001E-2</v>
      </c>
      <c r="N1047" s="1649">
        <v>1.3963117127897904</v>
      </c>
      <c r="O1047" s="1649"/>
    </row>
    <row r="1048" spans="11:15">
      <c r="K1048" s="1646">
        <v>43105</v>
      </c>
      <c r="L1048" s="1647" t="s">
        <v>1653</v>
      </c>
      <c r="M1048" s="1648">
        <v>2.6481000000000001E-2</v>
      </c>
      <c r="N1048" s="1649">
        <v>1.3966814700944543</v>
      </c>
      <c r="O1048" s="1649"/>
    </row>
    <row r="1049" spans="11:15">
      <c r="K1049" s="1646">
        <v>43106</v>
      </c>
      <c r="L1049" s="1647"/>
      <c r="M1049" s="1648">
        <v>0</v>
      </c>
      <c r="N1049" s="1649">
        <v>1.3966814700944543</v>
      </c>
      <c r="O1049" s="1649"/>
    </row>
    <row r="1050" spans="11:15">
      <c r="K1050" s="1646">
        <v>43107</v>
      </c>
      <c r="L1050" s="1647"/>
      <c r="M1050" s="1648">
        <v>0</v>
      </c>
      <c r="N1050" s="1649">
        <v>1.3966814700944543</v>
      </c>
      <c r="O1050" s="1649"/>
    </row>
    <row r="1051" spans="11:15">
      <c r="K1051" s="1646">
        <v>43108</v>
      </c>
      <c r="L1051" s="1647" t="s">
        <v>1653</v>
      </c>
      <c r="M1051" s="1648">
        <v>2.6481000000000001E-2</v>
      </c>
      <c r="N1051" s="1649">
        <v>1.39705132531455</v>
      </c>
      <c r="O1051" s="1649"/>
    </row>
    <row r="1052" spans="11:15">
      <c r="K1052" s="1646">
        <v>43109</v>
      </c>
      <c r="L1052" s="1647" t="s">
        <v>1653</v>
      </c>
      <c r="M1052" s="1648">
        <v>2.6481000000000001E-2</v>
      </c>
      <c r="N1052" s="1649">
        <v>1.3974212784760065</v>
      </c>
      <c r="O1052" s="1649"/>
    </row>
    <row r="1053" spans="11:15">
      <c r="K1053" s="1646">
        <v>43110</v>
      </c>
      <c r="L1053" s="1647" t="s">
        <v>1653</v>
      </c>
      <c r="M1053" s="1648">
        <v>2.6481000000000001E-2</v>
      </c>
      <c r="N1053" s="1649">
        <v>1.3977913296047597</v>
      </c>
      <c r="O1053" s="1649"/>
    </row>
    <row r="1054" spans="11:15">
      <c r="K1054" s="1646">
        <v>43111</v>
      </c>
      <c r="L1054" s="1647" t="s">
        <v>1653</v>
      </c>
      <c r="M1054" s="1648">
        <v>2.6481000000000001E-2</v>
      </c>
      <c r="N1054" s="1649">
        <v>1.3981614787267524</v>
      </c>
      <c r="O1054" s="1649"/>
    </row>
    <row r="1055" spans="11:15">
      <c r="K1055" s="1646">
        <v>43112</v>
      </c>
      <c r="L1055" s="1647" t="s">
        <v>1653</v>
      </c>
      <c r="M1055" s="1648">
        <v>2.6481000000000001E-2</v>
      </c>
      <c r="N1055" s="1649">
        <v>1.3985317258679342</v>
      </c>
      <c r="O1055" s="1649"/>
    </row>
    <row r="1056" spans="11:15">
      <c r="K1056" s="1646">
        <v>43113</v>
      </c>
      <c r="L1056" s="1647"/>
      <c r="M1056" s="1648">
        <v>0</v>
      </c>
      <c r="N1056" s="1649">
        <v>1.3985317258679342</v>
      </c>
      <c r="O1056" s="1649"/>
    </row>
    <row r="1057" spans="11:15">
      <c r="K1057" s="1646">
        <v>43114</v>
      </c>
      <c r="L1057" s="1647"/>
      <c r="M1057" s="1648">
        <v>0</v>
      </c>
      <c r="N1057" s="1649">
        <v>1.3985317258679342</v>
      </c>
      <c r="O1057" s="1649"/>
    </row>
    <row r="1058" spans="11:15">
      <c r="K1058" s="1646">
        <v>43115</v>
      </c>
      <c r="L1058" s="1647" t="s">
        <v>1653</v>
      </c>
      <c r="M1058" s="1648">
        <v>2.6481000000000001E-2</v>
      </c>
      <c r="N1058" s="1649">
        <v>1.3989020710542612</v>
      </c>
      <c r="O1058" s="1649"/>
    </row>
    <row r="1059" spans="11:15">
      <c r="K1059" s="1646">
        <v>43116</v>
      </c>
      <c r="L1059" s="1647" t="s">
        <v>1653</v>
      </c>
      <c r="M1059" s="1648">
        <v>2.6481000000000001E-2</v>
      </c>
      <c r="N1059" s="1649">
        <v>1.3992725143116971</v>
      </c>
      <c r="O1059" s="1649"/>
    </row>
    <row r="1060" spans="11:15">
      <c r="K1060" s="1646">
        <v>43117</v>
      </c>
      <c r="L1060" s="1647" t="s">
        <v>1653</v>
      </c>
      <c r="M1060" s="1648">
        <v>2.6481000000000001E-2</v>
      </c>
      <c r="N1060" s="1649">
        <v>1.3996430556662121</v>
      </c>
      <c r="O1060" s="1649"/>
    </row>
    <row r="1061" spans="11:15">
      <c r="K1061" s="1646">
        <v>43118</v>
      </c>
      <c r="L1061" s="1647" t="s">
        <v>1653</v>
      </c>
      <c r="M1061" s="1648">
        <v>2.6481000000000001E-2</v>
      </c>
      <c r="N1061" s="1649">
        <v>1.4000136951437829</v>
      </c>
      <c r="O1061" s="1649"/>
    </row>
    <row r="1062" spans="11:15">
      <c r="K1062" s="1646">
        <v>43119</v>
      </c>
      <c r="L1062" s="1647" t="s">
        <v>1653</v>
      </c>
      <c r="M1062" s="1648">
        <v>2.6481000000000001E-2</v>
      </c>
      <c r="N1062" s="1649">
        <v>1.400384432770394</v>
      </c>
      <c r="O1062" s="1649"/>
    </row>
    <row r="1063" spans="11:15">
      <c r="K1063" s="1646">
        <v>43120</v>
      </c>
      <c r="L1063" s="1647"/>
      <c r="M1063" s="1648">
        <v>0</v>
      </c>
      <c r="N1063" s="1649">
        <v>1.400384432770394</v>
      </c>
      <c r="O1063" s="1649"/>
    </row>
    <row r="1064" spans="11:15">
      <c r="K1064" s="1646">
        <v>43121</v>
      </c>
      <c r="L1064" s="1647"/>
      <c r="M1064" s="1648">
        <v>0</v>
      </c>
      <c r="N1064" s="1649">
        <v>1.400384432770394</v>
      </c>
      <c r="O1064" s="1649"/>
    </row>
    <row r="1065" spans="11:15">
      <c r="K1065" s="1646">
        <v>43122</v>
      </c>
      <c r="L1065" s="1647" t="s">
        <v>1653</v>
      </c>
      <c r="M1065" s="1648">
        <v>2.6481000000000001E-2</v>
      </c>
      <c r="N1065" s="1649">
        <v>1.4007552685720359</v>
      </c>
      <c r="O1065" s="1649"/>
    </row>
    <row r="1066" spans="11:15">
      <c r="K1066" s="1646">
        <v>43123</v>
      </c>
      <c r="L1066" s="1647" t="s">
        <v>1653</v>
      </c>
      <c r="M1066" s="1648">
        <v>2.6481000000000001E-2</v>
      </c>
      <c r="N1066" s="1649">
        <v>1.4011262025747064</v>
      </c>
      <c r="O1066" s="1649"/>
    </row>
    <row r="1067" spans="11:15">
      <c r="K1067" s="1646">
        <v>43124</v>
      </c>
      <c r="L1067" s="1647" t="s">
        <v>1653</v>
      </c>
      <c r="M1067" s="1648">
        <v>2.6481000000000001E-2</v>
      </c>
      <c r="N1067" s="1649">
        <v>1.4014972348044104</v>
      </c>
      <c r="O1067" s="1649"/>
    </row>
    <row r="1068" spans="11:15">
      <c r="K1068" s="1646">
        <v>43125</v>
      </c>
      <c r="L1068" s="1647" t="s">
        <v>1653</v>
      </c>
      <c r="M1068" s="1648">
        <v>2.6481000000000001E-2</v>
      </c>
      <c r="N1068" s="1649">
        <v>1.4018683652871589</v>
      </c>
      <c r="O1068" s="1649"/>
    </row>
    <row r="1069" spans="11:15">
      <c r="K1069" s="1646">
        <v>43126</v>
      </c>
      <c r="L1069" s="1647" t="s">
        <v>1653</v>
      </c>
      <c r="M1069" s="1648">
        <v>2.6481000000000001E-2</v>
      </c>
      <c r="N1069" s="1649">
        <v>1.4022395940489705</v>
      </c>
      <c r="O1069" s="1649"/>
    </row>
    <row r="1070" spans="11:15">
      <c r="K1070" s="1646">
        <v>43127</v>
      </c>
      <c r="L1070" s="1647"/>
      <c r="M1070" s="1648">
        <v>0</v>
      </c>
      <c r="N1070" s="1649">
        <v>1.4022395940489705</v>
      </c>
      <c r="O1070" s="1649"/>
    </row>
    <row r="1071" spans="11:15">
      <c r="K1071" s="1646">
        <v>43128</v>
      </c>
      <c r="L1071" s="1647"/>
      <c r="M1071" s="1648">
        <v>0</v>
      </c>
      <c r="N1071" s="1649">
        <v>1.4022395940489705</v>
      </c>
      <c r="O1071" s="1649"/>
    </row>
    <row r="1072" spans="11:15">
      <c r="K1072" s="1646">
        <v>43129</v>
      </c>
      <c r="L1072" s="1647" t="s">
        <v>1653</v>
      </c>
      <c r="M1072" s="1648">
        <v>2.6481000000000001E-2</v>
      </c>
      <c r="N1072" s="1649">
        <v>1.4026109211158706</v>
      </c>
      <c r="O1072" s="1649"/>
    </row>
    <row r="1073" spans="11:15">
      <c r="K1073" s="1646">
        <v>43130</v>
      </c>
      <c r="L1073" s="1647" t="s">
        <v>1653</v>
      </c>
      <c r="M1073" s="1648">
        <v>2.6481000000000001E-2</v>
      </c>
      <c r="N1073" s="1649">
        <v>1.4029823465138913</v>
      </c>
      <c r="O1073" s="1649"/>
    </row>
    <row r="1074" spans="11:15">
      <c r="K1074" s="1646">
        <v>43131</v>
      </c>
      <c r="L1074" s="1647" t="s">
        <v>1653</v>
      </c>
      <c r="M1074" s="1648">
        <v>2.6481000000000001E-2</v>
      </c>
      <c r="N1074" s="1649">
        <v>1.4033538702690718</v>
      </c>
      <c r="O1074" s="1649"/>
    </row>
    <row r="1075" spans="11:15">
      <c r="K1075" s="1646">
        <v>43132</v>
      </c>
      <c r="L1075" s="1647" t="s">
        <v>1653</v>
      </c>
      <c r="M1075" s="1648">
        <v>2.6481000000000001E-2</v>
      </c>
      <c r="N1075" s="1649">
        <v>1.4037254924074578</v>
      </c>
      <c r="O1075" s="1649"/>
    </row>
    <row r="1076" spans="11:15">
      <c r="K1076" s="1646">
        <v>43133</v>
      </c>
      <c r="L1076" s="1647" t="s">
        <v>1653</v>
      </c>
      <c r="M1076" s="1648">
        <v>2.6481000000000001E-2</v>
      </c>
      <c r="N1076" s="1649">
        <v>1.4040972129551021</v>
      </c>
      <c r="O1076" s="1649"/>
    </row>
    <row r="1077" spans="11:15">
      <c r="K1077" s="1646">
        <v>43134</v>
      </c>
      <c r="L1077" s="1647"/>
      <c r="M1077" s="1648">
        <v>0</v>
      </c>
      <c r="N1077" s="1649">
        <v>1.4040972129551021</v>
      </c>
      <c r="O1077" s="1649"/>
    </row>
    <row r="1078" spans="11:15">
      <c r="K1078" s="1646">
        <v>43135</v>
      </c>
      <c r="L1078" s="1647"/>
      <c r="M1078" s="1648">
        <v>0</v>
      </c>
      <c r="N1078" s="1649">
        <v>1.4040972129551021</v>
      </c>
      <c r="O1078" s="1649"/>
    </row>
    <row r="1079" spans="11:15">
      <c r="K1079" s="1646">
        <v>43136</v>
      </c>
      <c r="L1079" s="1647" t="s">
        <v>1653</v>
      </c>
      <c r="M1079" s="1648">
        <v>2.6481000000000001E-2</v>
      </c>
      <c r="N1079" s="1649">
        <v>1.4044690319380648</v>
      </c>
      <c r="O1079" s="1649"/>
    </row>
    <row r="1080" spans="11:15">
      <c r="K1080" s="1646">
        <v>43137</v>
      </c>
      <c r="L1080" s="1647" t="s">
        <v>1653</v>
      </c>
      <c r="M1080" s="1648">
        <v>2.6481000000000001E-2</v>
      </c>
      <c r="N1080" s="1649">
        <v>1.4048409493824123</v>
      </c>
      <c r="O1080" s="1649"/>
    </row>
    <row r="1081" spans="11:15">
      <c r="K1081" s="1646">
        <v>43138</v>
      </c>
      <c r="L1081" s="1647" t="s">
        <v>1653</v>
      </c>
      <c r="M1081" s="1648">
        <v>2.6481000000000001E-2</v>
      </c>
      <c r="N1081" s="1649">
        <v>1.4052129653142182</v>
      </c>
      <c r="O1081" s="1649"/>
    </row>
    <row r="1082" spans="11:15">
      <c r="K1082" s="1646">
        <v>43139</v>
      </c>
      <c r="L1082" s="1647" t="s">
        <v>1653</v>
      </c>
      <c r="M1082" s="1648">
        <v>2.5551999999999998E-2</v>
      </c>
      <c r="N1082" s="1649">
        <v>1.4055720253311155</v>
      </c>
      <c r="O1082" s="1649"/>
    </row>
    <row r="1083" spans="11:15">
      <c r="K1083" s="1646">
        <v>43140</v>
      </c>
      <c r="L1083" s="1647" t="s">
        <v>1653</v>
      </c>
      <c r="M1083" s="1648">
        <v>2.5551999999999998E-2</v>
      </c>
      <c r="N1083" s="1649">
        <v>1.4059311770950282</v>
      </c>
      <c r="O1083" s="1649"/>
    </row>
    <row r="1084" spans="11:15">
      <c r="K1084" s="1646">
        <v>43141</v>
      </c>
      <c r="L1084" s="1647"/>
      <c r="M1084" s="1648">
        <v>0</v>
      </c>
      <c r="N1084" s="1649">
        <v>1.4059311770950282</v>
      </c>
      <c r="O1084" s="1649"/>
    </row>
    <row r="1085" spans="11:15">
      <c r="K1085" s="1646">
        <v>43142</v>
      </c>
      <c r="L1085" s="1647"/>
      <c r="M1085" s="1648">
        <v>0</v>
      </c>
      <c r="N1085" s="1649">
        <v>1.4059311770950282</v>
      </c>
      <c r="O1085" s="1649"/>
    </row>
    <row r="1086" spans="11:15">
      <c r="K1086" s="1646">
        <v>43143</v>
      </c>
      <c r="L1086" s="1647"/>
      <c r="M1086" s="1648">
        <v>0</v>
      </c>
      <c r="N1086" s="1649">
        <v>1.4059311770950282</v>
      </c>
      <c r="O1086" s="1649"/>
    </row>
    <row r="1087" spans="11:15">
      <c r="K1087" s="1646">
        <v>43144</v>
      </c>
      <c r="L1087" s="1647"/>
      <c r="M1087" s="1648">
        <v>0</v>
      </c>
      <c r="N1087" s="1649">
        <v>1.4059311770950282</v>
      </c>
      <c r="O1087" s="1649"/>
    </row>
    <row r="1088" spans="11:15">
      <c r="K1088" s="1646">
        <v>43145</v>
      </c>
      <c r="L1088" s="1647" t="s">
        <v>1653</v>
      </c>
      <c r="M1088" s="1648">
        <v>2.5551999999999998E-2</v>
      </c>
      <c r="N1088" s="1649">
        <v>1.4062904206293996</v>
      </c>
      <c r="O1088" s="1649"/>
    </row>
    <row r="1089" spans="11:15">
      <c r="K1089" s="1646">
        <v>43146</v>
      </c>
      <c r="L1089" s="1647" t="s">
        <v>1653</v>
      </c>
      <c r="M1089" s="1648">
        <v>2.5551999999999998E-2</v>
      </c>
      <c r="N1089" s="1649">
        <v>1.4066497559576789</v>
      </c>
      <c r="O1089" s="1649"/>
    </row>
    <row r="1090" spans="11:15">
      <c r="K1090" s="1646">
        <v>43147</v>
      </c>
      <c r="L1090" s="1647" t="s">
        <v>1653</v>
      </c>
      <c r="M1090" s="1648">
        <v>2.5551999999999998E-2</v>
      </c>
      <c r="N1090" s="1649">
        <v>1.4070091831033213</v>
      </c>
      <c r="O1090" s="1649"/>
    </row>
    <row r="1091" spans="11:15">
      <c r="K1091" s="1646">
        <v>43148</v>
      </c>
      <c r="L1091" s="1647"/>
      <c r="M1091" s="1648">
        <v>0</v>
      </c>
      <c r="N1091" s="1649">
        <v>1.4070091831033213</v>
      </c>
      <c r="O1091" s="1649"/>
    </row>
    <row r="1092" spans="11:15">
      <c r="K1092" s="1646">
        <v>43149</v>
      </c>
      <c r="L1092" s="1647"/>
      <c r="M1092" s="1648">
        <v>0</v>
      </c>
      <c r="N1092" s="1649">
        <v>1.4070091831033213</v>
      </c>
      <c r="O1092" s="1649"/>
    </row>
    <row r="1093" spans="11:15">
      <c r="K1093" s="1646">
        <v>43150</v>
      </c>
      <c r="L1093" s="1647" t="s">
        <v>1653</v>
      </c>
      <c r="M1093" s="1648">
        <v>2.5551999999999998E-2</v>
      </c>
      <c r="N1093" s="1649">
        <v>1.407368702089788</v>
      </c>
      <c r="O1093" s="1649"/>
    </row>
    <row r="1094" spans="11:15">
      <c r="K1094" s="1646">
        <v>43151</v>
      </c>
      <c r="L1094" s="1647" t="s">
        <v>1653</v>
      </c>
      <c r="M1094" s="1648">
        <v>2.5551999999999998E-2</v>
      </c>
      <c r="N1094" s="1649">
        <v>1.407728312940546</v>
      </c>
      <c r="O1094" s="1649"/>
    </row>
    <row r="1095" spans="11:15">
      <c r="K1095" s="1646">
        <v>43152</v>
      </c>
      <c r="L1095" s="1647" t="s">
        <v>1653</v>
      </c>
      <c r="M1095" s="1648">
        <v>2.5551999999999998E-2</v>
      </c>
      <c r="N1095" s="1649">
        <v>1.4080880156790687</v>
      </c>
      <c r="O1095" s="1649"/>
    </row>
    <row r="1096" spans="11:15">
      <c r="K1096" s="1646">
        <v>43153</v>
      </c>
      <c r="L1096" s="1647" t="s">
        <v>1653</v>
      </c>
      <c r="M1096" s="1648">
        <v>2.5551999999999998E-2</v>
      </c>
      <c r="N1096" s="1649">
        <v>1.4084478103288351</v>
      </c>
      <c r="O1096" s="1649"/>
    </row>
    <row r="1097" spans="11:15">
      <c r="K1097" s="1646">
        <v>43154</v>
      </c>
      <c r="L1097" s="1647" t="s">
        <v>1653</v>
      </c>
      <c r="M1097" s="1648">
        <v>2.5551999999999998E-2</v>
      </c>
      <c r="N1097" s="1649">
        <v>1.4088076969133305</v>
      </c>
      <c r="O1097" s="1649"/>
    </row>
    <row r="1098" spans="11:15">
      <c r="K1098" s="1646">
        <v>43155</v>
      </c>
      <c r="L1098" s="1647"/>
      <c r="M1098" s="1648">
        <v>0</v>
      </c>
      <c r="N1098" s="1649">
        <v>1.4088076969133305</v>
      </c>
      <c r="O1098" s="1649"/>
    </row>
    <row r="1099" spans="11:15">
      <c r="K1099" s="1646">
        <v>43156</v>
      </c>
      <c r="L1099" s="1647"/>
      <c r="M1099" s="1648">
        <v>0</v>
      </c>
      <c r="N1099" s="1649">
        <v>1.4088076969133305</v>
      </c>
      <c r="O1099" s="1649"/>
    </row>
    <row r="1100" spans="11:15">
      <c r="K1100" s="1646">
        <v>43157</v>
      </c>
      <c r="L1100" s="1647" t="s">
        <v>1653</v>
      </c>
      <c r="M1100" s="1648">
        <v>2.5551999999999998E-2</v>
      </c>
      <c r="N1100" s="1649">
        <v>1.4091676754560458</v>
      </c>
      <c r="O1100" s="1649"/>
    </row>
    <row r="1101" spans="11:15">
      <c r="K1101" s="1646">
        <v>43158</v>
      </c>
      <c r="L1101" s="1647" t="s">
        <v>1653</v>
      </c>
      <c r="M1101" s="1648">
        <v>2.5551999999999998E-2</v>
      </c>
      <c r="N1101" s="1649">
        <v>1.4095277459804785</v>
      </c>
      <c r="O1101" s="1649"/>
    </row>
    <row r="1102" spans="11:15">
      <c r="K1102" s="1646">
        <v>43159</v>
      </c>
      <c r="L1102" s="1647" t="s">
        <v>1653</v>
      </c>
      <c r="M1102" s="1648">
        <v>2.5551999999999998E-2</v>
      </c>
      <c r="N1102" s="1649">
        <v>1.4098879085101315</v>
      </c>
      <c r="O1102" s="1649"/>
    </row>
    <row r="1103" spans="11:15">
      <c r="K1103" s="1646">
        <v>43160</v>
      </c>
      <c r="L1103" s="1647" t="s">
        <v>1653</v>
      </c>
      <c r="M1103" s="1648">
        <v>2.5551999999999998E-2</v>
      </c>
      <c r="N1103" s="1649">
        <v>1.410248163068514</v>
      </c>
      <c r="O1103" s="1649"/>
    </row>
    <row r="1104" spans="11:15">
      <c r="K1104" s="1646">
        <v>43161</v>
      </c>
      <c r="L1104" s="1647" t="s">
        <v>1653</v>
      </c>
      <c r="M1104" s="1648">
        <v>2.5551999999999998E-2</v>
      </c>
      <c r="N1104" s="1649">
        <v>1.4106085096791414</v>
      </c>
      <c r="O1104" s="1649"/>
    </row>
    <row r="1105" spans="11:15">
      <c r="K1105" s="1646">
        <v>43162</v>
      </c>
      <c r="L1105" s="1647"/>
      <c r="M1105" s="1648">
        <v>0</v>
      </c>
      <c r="N1105" s="1649">
        <v>1.4106085096791414</v>
      </c>
      <c r="O1105" s="1649"/>
    </row>
    <row r="1106" spans="11:15">
      <c r="K1106" s="1646">
        <v>43163</v>
      </c>
      <c r="L1106" s="1647"/>
      <c r="M1106" s="1648">
        <v>0</v>
      </c>
      <c r="N1106" s="1649">
        <v>1.4106085096791414</v>
      </c>
      <c r="O1106" s="1649"/>
    </row>
    <row r="1107" spans="11:15">
      <c r="K1107" s="1646">
        <v>43164</v>
      </c>
      <c r="L1107" s="1647" t="s">
        <v>1653</v>
      </c>
      <c r="M1107" s="1648">
        <v>2.5551999999999998E-2</v>
      </c>
      <c r="N1107" s="1649">
        <v>1.4109689483655348</v>
      </c>
      <c r="O1107" s="1649"/>
    </row>
    <row r="1108" spans="11:15">
      <c r="K1108" s="1646">
        <v>43165</v>
      </c>
      <c r="L1108" s="1647" t="s">
        <v>1653</v>
      </c>
      <c r="M1108" s="1648">
        <v>2.5551999999999998E-2</v>
      </c>
      <c r="N1108" s="1649">
        <v>1.4113294791512212</v>
      </c>
      <c r="O1108" s="1649"/>
    </row>
    <row r="1109" spans="11:15">
      <c r="K1109" s="1646">
        <v>43166</v>
      </c>
      <c r="L1109" s="1647" t="s">
        <v>1653</v>
      </c>
      <c r="M1109" s="1648">
        <v>2.5551999999999998E-2</v>
      </c>
      <c r="N1109" s="1649">
        <v>1.4116901020597341</v>
      </c>
      <c r="O1109" s="1649"/>
    </row>
    <row r="1110" spans="11:15">
      <c r="K1110" s="1646">
        <v>43167</v>
      </c>
      <c r="L1110" s="1647" t="s">
        <v>1653</v>
      </c>
      <c r="M1110" s="1648">
        <v>2.5551999999999998E-2</v>
      </c>
      <c r="N1110" s="1649">
        <v>1.4120508171146124</v>
      </c>
      <c r="O1110" s="1649"/>
    </row>
    <row r="1111" spans="11:15">
      <c r="K1111" s="1646">
        <v>43168</v>
      </c>
      <c r="L1111" s="1647" t="s">
        <v>1653</v>
      </c>
      <c r="M1111" s="1648">
        <v>2.5551999999999998E-2</v>
      </c>
      <c r="N1111" s="1649">
        <v>1.4124116243394016</v>
      </c>
      <c r="O1111" s="1649"/>
    </row>
    <row r="1112" spans="11:15">
      <c r="K1112" s="1646">
        <v>43169</v>
      </c>
      <c r="L1112" s="1647"/>
      <c r="M1112" s="1648">
        <v>0</v>
      </c>
      <c r="N1112" s="1649">
        <v>1.4124116243394016</v>
      </c>
      <c r="O1112" s="1649"/>
    </row>
    <row r="1113" spans="11:15">
      <c r="K1113" s="1646">
        <v>43170</v>
      </c>
      <c r="L1113" s="1647"/>
      <c r="M1113" s="1648">
        <v>0</v>
      </c>
      <c r="N1113" s="1649">
        <v>1.4124116243394016</v>
      </c>
      <c r="O1113" s="1649"/>
    </row>
    <row r="1114" spans="11:15">
      <c r="K1114" s="1646">
        <v>43171</v>
      </c>
      <c r="L1114" s="1647" t="s">
        <v>1653</v>
      </c>
      <c r="M1114" s="1648">
        <v>2.5551999999999998E-2</v>
      </c>
      <c r="N1114" s="1649">
        <v>1.4127725237576529</v>
      </c>
      <c r="O1114" s="1649"/>
    </row>
    <row r="1115" spans="11:15">
      <c r="K1115" s="1646">
        <v>43172</v>
      </c>
      <c r="L1115" s="1647" t="s">
        <v>1653</v>
      </c>
      <c r="M1115" s="1648">
        <v>2.5551999999999998E-2</v>
      </c>
      <c r="N1115" s="1649">
        <v>1.4131335153929236</v>
      </c>
      <c r="O1115" s="1649"/>
    </row>
    <row r="1116" spans="11:15">
      <c r="K1116" s="1646">
        <v>43173</v>
      </c>
      <c r="L1116" s="1647" t="s">
        <v>1653</v>
      </c>
      <c r="M1116" s="1648">
        <v>2.5551999999999998E-2</v>
      </c>
      <c r="N1116" s="1649">
        <v>1.4134945992687769</v>
      </c>
      <c r="O1116" s="1649"/>
    </row>
    <row r="1117" spans="11:15">
      <c r="K1117" s="1646">
        <v>43174</v>
      </c>
      <c r="L1117" s="1647" t="s">
        <v>1653</v>
      </c>
      <c r="M1117" s="1648">
        <v>2.5551999999999998E-2</v>
      </c>
      <c r="N1117" s="1649">
        <v>1.4138557754087822</v>
      </c>
      <c r="O1117" s="1649"/>
    </row>
    <row r="1118" spans="11:15">
      <c r="K1118" s="1646">
        <v>43175</v>
      </c>
      <c r="L1118" s="1647" t="s">
        <v>1653</v>
      </c>
      <c r="M1118" s="1648">
        <v>2.5551999999999998E-2</v>
      </c>
      <c r="N1118" s="1649">
        <v>1.4142170438365147</v>
      </c>
      <c r="O1118" s="1649"/>
    </row>
    <row r="1119" spans="11:15">
      <c r="K1119" s="1646">
        <v>43176</v>
      </c>
      <c r="L1119" s="1647"/>
      <c r="M1119" s="1648">
        <v>0</v>
      </c>
      <c r="N1119" s="1649">
        <v>1.4142170438365147</v>
      </c>
      <c r="O1119" s="1649"/>
    </row>
    <row r="1120" spans="11:15">
      <c r="K1120" s="1646">
        <v>43177</v>
      </c>
      <c r="L1120" s="1647"/>
      <c r="M1120" s="1648">
        <v>0</v>
      </c>
      <c r="N1120" s="1649">
        <v>1.4142170438365147</v>
      </c>
      <c r="O1120" s="1649"/>
    </row>
    <row r="1121" spans="11:15">
      <c r="K1121" s="1646">
        <v>43178</v>
      </c>
      <c r="L1121" s="1647" t="s">
        <v>1653</v>
      </c>
      <c r="M1121" s="1648">
        <v>2.5551999999999998E-2</v>
      </c>
      <c r="N1121" s="1649">
        <v>1.4145784045755558</v>
      </c>
      <c r="O1121" s="1649"/>
    </row>
    <row r="1122" spans="11:15">
      <c r="K1122" s="1646">
        <v>43179</v>
      </c>
      <c r="L1122" s="1647" t="s">
        <v>1653</v>
      </c>
      <c r="M1122" s="1648">
        <v>2.5551999999999998E-2</v>
      </c>
      <c r="N1122" s="1649">
        <v>1.4149398576494931</v>
      </c>
      <c r="O1122" s="1649"/>
    </row>
    <row r="1123" spans="11:15">
      <c r="K1123" s="1646">
        <v>43180</v>
      </c>
      <c r="L1123" s="1647" t="s">
        <v>1653</v>
      </c>
      <c r="M1123" s="1648">
        <v>2.5551999999999998E-2</v>
      </c>
      <c r="N1123" s="1649">
        <v>1.4153014030819198</v>
      </c>
      <c r="O1123" s="1649"/>
    </row>
    <row r="1124" spans="11:15">
      <c r="K1124" s="1646">
        <v>43181</v>
      </c>
      <c r="L1124" s="1647" t="s">
        <v>1653</v>
      </c>
      <c r="M1124" s="1648">
        <v>2.462E-2</v>
      </c>
      <c r="N1124" s="1649">
        <v>1.4156498502873587</v>
      </c>
      <c r="O1124" s="1649"/>
    </row>
    <row r="1125" spans="11:15">
      <c r="K1125" s="1646">
        <v>43182</v>
      </c>
      <c r="L1125" s="1647" t="s">
        <v>1653</v>
      </c>
      <c r="M1125" s="1648">
        <v>2.462E-2</v>
      </c>
      <c r="N1125" s="1649">
        <v>1.4159983832804997</v>
      </c>
      <c r="O1125" s="1649"/>
    </row>
    <row r="1126" spans="11:15">
      <c r="K1126" s="1646">
        <v>43183</v>
      </c>
      <c r="L1126" s="1647"/>
      <c r="M1126" s="1648">
        <v>0</v>
      </c>
      <c r="N1126" s="1649">
        <v>1.4159983832804997</v>
      </c>
      <c r="O1126" s="1649"/>
    </row>
    <row r="1127" spans="11:15">
      <c r="K1127" s="1646">
        <v>43184</v>
      </c>
      <c r="L1127" s="1647"/>
      <c r="M1127" s="1648">
        <v>0</v>
      </c>
      <c r="N1127" s="1649">
        <v>1.4159983832804997</v>
      </c>
      <c r="O1127" s="1649"/>
    </row>
    <row r="1128" spans="11:15">
      <c r="K1128" s="1646">
        <v>43185</v>
      </c>
      <c r="L1128" s="1647" t="s">
        <v>1653</v>
      </c>
      <c r="M1128" s="1648">
        <v>2.462E-2</v>
      </c>
      <c r="N1128" s="1649">
        <v>1.4163470020824633</v>
      </c>
      <c r="O1128" s="1649"/>
    </row>
    <row r="1129" spans="11:15">
      <c r="K1129" s="1646">
        <v>43186</v>
      </c>
      <c r="L1129" s="1647" t="s">
        <v>1653</v>
      </c>
      <c r="M1129" s="1648">
        <v>2.462E-2</v>
      </c>
      <c r="N1129" s="1649">
        <v>1.4166957067143762</v>
      </c>
      <c r="O1129" s="1649"/>
    </row>
    <row r="1130" spans="11:15">
      <c r="K1130" s="1646">
        <v>43187</v>
      </c>
      <c r="L1130" s="1647" t="s">
        <v>1653</v>
      </c>
      <c r="M1130" s="1648">
        <v>2.462E-2</v>
      </c>
      <c r="N1130" s="1649">
        <v>1.4170444971973695</v>
      </c>
      <c r="O1130" s="1649"/>
    </row>
    <row r="1131" spans="11:15">
      <c r="K1131" s="1646">
        <v>43188</v>
      </c>
      <c r="L1131" s="1647" t="s">
        <v>1653</v>
      </c>
      <c r="M1131" s="1648">
        <v>2.462E-2</v>
      </c>
      <c r="N1131" s="1649">
        <v>1.4173933735525797</v>
      </c>
      <c r="O1131" s="1649"/>
    </row>
    <row r="1132" spans="11:15">
      <c r="K1132" s="1646">
        <v>43189</v>
      </c>
      <c r="L1132" s="1647"/>
      <c r="M1132" s="1648">
        <v>0</v>
      </c>
      <c r="N1132" s="1649">
        <v>1.4173933735525797</v>
      </c>
      <c r="O1132" s="1649"/>
    </row>
    <row r="1133" spans="11:15">
      <c r="K1133" s="1646">
        <v>43190</v>
      </c>
      <c r="L1133" s="1647"/>
      <c r="M1133" s="1648">
        <v>0</v>
      </c>
      <c r="N1133" s="1649">
        <v>1.4173933735525797</v>
      </c>
      <c r="O1133" s="1649"/>
    </row>
    <row r="1134" spans="11:15">
      <c r="K1134" s="1646">
        <v>43191</v>
      </c>
      <c r="L1134" s="1647"/>
      <c r="M1134" s="1648">
        <v>0</v>
      </c>
      <c r="N1134" s="1649">
        <v>1.4173933735525797</v>
      </c>
      <c r="O1134" s="1649"/>
    </row>
    <row r="1135" spans="11:15">
      <c r="K1135" s="1646">
        <v>43192</v>
      </c>
      <c r="L1135" s="1647" t="s">
        <v>1653</v>
      </c>
      <c r="M1135" s="1648">
        <v>2.462E-2</v>
      </c>
      <c r="N1135" s="1649">
        <v>1.4177423358011485</v>
      </c>
      <c r="O1135" s="1649"/>
    </row>
    <row r="1136" spans="11:15">
      <c r="K1136" s="1646">
        <v>43193</v>
      </c>
      <c r="L1136" s="1647" t="s">
        <v>1653</v>
      </c>
      <c r="M1136" s="1648">
        <v>2.462E-2</v>
      </c>
      <c r="N1136" s="1649">
        <v>1.4180913839642229</v>
      </c>
      <c r="O1136" s="1649"/>
    </row>
    <row r="1137" spans="11:15">
      <c r="K1137" s="1646">
        <v>43194</v>
      </c>
      <c r="L1137" s="1647" t="s">
        <v>1653</v>
      </c>
      <c r="M1137" s="1648">
        <v>2.462E-2</v>
      </c>
      <c r="N1137" s="1649">
        <v>1.4184405180629549</v>
      </c>
      <c r="O1137" s="1649"/>
    </row>
    <row r="1138" spans="11:15">
      <c r="K1138" s="1646">
        <v>43195</v>
      </c>
      <c r="L1138" s="1647" t="s">
        <v>1653</v>
      </c>
      <c r="M1138" s="1648">
        <v>2.462E-2</v>
      </c>
      <c r="N1138" s="1649">
        <v>1.4187897381185022</v>
      </c>
      <c r="O1138" s="1649"/>
    </row>
    <row r="1139" spans="11:15">
      <c r="K1139" s="1646">
        <v>43196</v>
      </c>
      <c r="L1139" s="1647" t="s">
        <v>1653</v>
      </c>
      <c r="M1139" s="1648">
        <v>2.462E-2</v>
      </c>
      <c r="N1139" s="1649">
        <v>1.4191390441520271</v>
      </c>
      <c r="O1139" s="1649"/>
    </row>
    <row r="1140" spans="11:15">
      <c r="K1140" s="1646">
        <v>43197</v>
      </c>
      <c r="L1140" s="1647"/>
      <c r="M1140" s="1648">
        <v>0</v>
      </c>
      <c r="N1140" s="1649">
        <v>1.4191390441520271</v>
      </c>
      <c r="O1140" s="1649"/>
    </row>
    <row r="1141" spans="11:15">
      <c r="K1141" s="1646">
        <v>43198</v>
      </c>
      <c r="L1141" s="1647"/>
      <c r="M1141" s="1648">
        <v>0</v>
      </c>
      <c r="N1141" s="1649">
        <v>1.4191390441520271</v>
      </c>
      <c r="O1141" s="1649"/>
    </row>
    <row r="1142" spans="11:15">
      <c r="K1142" s="1646">
        <v>43199</v>
      </c>
      <c r="L1142" s="1647" t="s">
        <v>1653</v>
      </c>
      <c r="M1142" s="1648">
        <v>2.462E-2</v>
      </c>
      <c r="N1142" s="1649">
        <v>1.4194884361846973</v>
      </c>
      <c r="O1142" s="1649"/>
    </row>
    <row r="1143" spans="11:15">
      <c r="K1143" s="1646">
        <v>43200</v>
      </c>
      <c r="L1143" s="1647" t="s">
        <v>1653</v>
      </c>
      <c r="M1143" s="1648">
        <v>2.462E-2</v>
      </c>
      <c r="N1143" s="1649">
        <v>1.419837914237686</v>
      </c>
      <c r="O1143" s="1649"/>
    </row>
    <row r="1144" spans="11:15">
      <c r="K1144" s="1646">
        <v>43201</v>
      </c>
      <c r="L1144" s="1647" t="s">
        <v>1653</v>
      </c>
      <c r="M1144" s="1648">
        <v>2.462E-2</v>
      </c>
      <c r="N1144" s="1649">
        <v>1.4201874783321715</v>
      </c>
      <c r="O1144" s="1649"/>
    </row>
    <row r="1145" spans="11:15">
      <c r="K1145" s="1646">
        <v>43202</v>
      </c>
      <c r="L1145" s="1647" t="s">
        <v>1653</v>
      </c>
      <c r="M1145" s="1648">
        <v>2.462E-2</v>
      </c>
      <c r="N1145" s="1649">
        <v>1.4205371284893371</v>
      </c>
      <c r="O1145" s="1649"/>
    </row>
    <row r="1146" spans="11:15">
      <c r="K1146" s="1646">
        <v>43203</v>
      </c>
      <c r="L1146" s="1647" t="s">
        <v>1653</v>
      </c>
      <c r="M1146" s="1648">
        <v>2.462E-2</v>
      </c>
      <c r="N1146" s="1649">
        <v>1.4208868647303714</v>
      </c>
      <c r="O1146" s="1649"/>
    </row>
    <row r="1147" spans="11:15">
      <c r="K1147" s="1646">
        <v>43204</v>
      </c>
      <c r="L1147" s="1647"/>
      <c r="M1147" s="1648">
        <v>0</v>
      </c>
      <c r="N1147" s="1649">
        <v>1.4208868647303714</v>
      </c>
      <c r="O1147" s="1649"/>
    </row>
    <row r="1148" spans="11:15">
      <c r="K1148" s="1646">
        <v>43205</v>
      </c>
      <c r="L1148" s="1647"/>
      <c r="M1148" s="1648">
        <v>0</v>
      </c>
      <c r="N1148" s="1649">
        <v>1.4208868647303714</v>
      </c>
      <c r="O1148" s="1649"/>
    </row>
    <row r="1149" spans="11:15">
      <c r="K1149" s="1646">
        <v>43206</v>
      </c>
      <c r="L1149" s="1647" t="s">
        <v>1653</v>
      </c>
      <c r="M1149" s="1648">
        <v>2.462E-2</v>
      </c>
      <c r="N1149" s="1649">
        <v>1.4212366870764681</v>
      </c>
      <c r="O1149" s="1649"/>
    </row>
    <row r="1150" spans="11:15">
      <c r="K1150" s="1646">
        <v>43207</v>
      </c>
      <c r="L1150" s="1647" t="s">
        <v>1653</v>
      </c>
      <c r="M1150" s="1648">
        <v>2.462E-2</v>
      </c>
      <c r="N1150" s="1649">
        <v>1.4215865955488265</v>
      </c>
      <c r="O1150" s="1649"/>
    </row>
    <row r="1151" spans="11:15">
      <c r="K1151" s="1646">
        <v>43208</v>
      </c>
      <c r="L1151" s="1647" t="s">
        <v>1653</v>
      </c>
      <c r="M1151" s="1648">
        <v>2.462E-2</v>
      </c>
      <c r="N1151" s="1649">
        <v>1.4219365901686507</v>
      </c>
      <c r="O1151" s="1649"/>
    </row>
    <row r="1152" spans="11:15">
      <c r="K1152" s="1646">
        <v>43209</v>
      </c>
      <c r="L1152" s="1647" t="s">
        <v>1653</v>
      </c>
      <c r="M1152" s="1648">
        <v>2.462E-2</v>
      </c>
      <c r="N1152" s="1649">
        <v>1.4222866709571504</v>
      </c>
      <c r="O1152" s="1649"/>
    </row>
    <row r="1153" spans="11:15">
      <c r="K1153" s="1646">
        <v>43210</v>
      </c>
      <c r="L1153" s="1647" t="s">
        <v>1653</v>
      </c>
      <c r="M1153" s="1648">
        <v>2.462E-2</v>
      </c>
      <c r="N1153" s="1649">
        <v>1.4226368379355403</v>
      </c>
      <c r="O1153" s="1649"/>
    </row>
    <row r="1154" spans="11:15">
      <c r="K1154" s="1646">
        <v>43211</v>
      </c>
      <c r="L1154" s="1647"/>
      <c r="M1154" s="1648">
        <v>0</v>
      </c>
      <c r="N1154" s="1649">
        <v>1.4226368379355403</v>
      </c>
      <c r="O1154" s="1649"/>
    </row>
    <row r="1155" spans="11:15">
      <c r="K1155" s="1646">
        <v>43212</v>
      </c>
      <c r="L1155" s="1647"/>
      <c r="M1155" s="1648">
        <v>0</v>
      </c>
      <c r="N1155" s="1649">
        <v>1.4226368379355403</v>
      </c>
      <c r="O1155" s="1649"/>
    </row>
    <row r="1156" spans="11:15">
      <c r="K1156" s="1646">
        <v>43213</v>
      </c>
      <c r="L1156" s="1647" t="s">
        <v>1653</v>
      </c>
      <c r="M1156" s="1648">
        <v>2.462E-2</v>
      </c>
      <c r="N1156" s="1649">
        <v>1.4229870911250402</v>
      </c>
      <c r="O1156" s="1649"/>
    </row>
    <row r="1157" spans="11:15">
      <c r="K1157" s="1646">
        <v>43214</v>
      </c>
      <c r="L1157" s="1647" t="s">
        <v>1653</v>
      </c>
      <c r="M1157" s="1648">
        <v>2.462E-2</v>
      </c>
      <c r="N1157" s="1649">
        <v>1.4233374305468753</v>
      </c>
      <c r="O1157" s="1649"/>
    </row>
    <row r="1158" spans="11:15">
      <c r="K1158" s="1646">
        <v>43215</v>
      </c>
      <c r="L1158" s="1647" t="s">
        <v>1653</v>
      </c>
      <c r="M1158" s="1648">
        <v>2.462E-2</v>
      </c>
      <c r="N1158" s="1649">
        <v>1.4236878562222761</v>
      </c>
      <c r="O1158" s="1649"/>
    </row>
    <row r="1159" spans="11:15">
      <c r="K1159" s="1646">
        <v>43216</v>
      </c>
      <c r="L1159" s="1647" t="s">
        <v>1653</v>
      </c>
      <c r="M1159" s="1648">
        <v>2.462E-2</v>
      </c>
      <c r="N1159" s="1649">
        <v>1.4240383681724782</v>
      </c>
      <c r="O1159" s="1649"/>
    </row>
    <row r="1160" spans="11:15">
      <c r="K1160" s="1646">
        <v>43217</v>
      </c>
      <c r="L1160" s="1647" t="s">
        <v>1653</v>
      </c>
      <c r="M1160" s="1648">
        <v>2.462E-2</v>
      </c>
      <c r="N1160" s="1649">
        <v>1.4243889664187224</v>
      </c>
      <c r="O1160" s="1649"/>
    </row>
    <row r="1161" spans="11:15">
      <c r="K1161" s="1646">
        <v>43218</v>
      </c>
      <c r="L1161" s="1647"/>
      <c r="M1161" s="1648">
        <v>0</v>
      </c>
      <c r="N1161" s="1649">
        <v>1.4243889664187224</v>
      </c>
      <c r="O1161" s="1649"/>
    </row>
    <row r="1162" spans="11:15">
      <c r="K1162" s="1646">
        <v>43219</v>
      </c>
      <c r="L1162" s="1647"/>
      <c r="M1162" s="1648">
        <v>0</v>
      </c>
      <c r="N1162" s="1649">
        <v>1.4243889664187224</v>
      </c>
      <c r="O1162" s="1649"/>
    </row>
    <row r="1163" spans="11:15">
      <c r="K1163" s="1646">
        <v>43220</v>
      </c>
      <c r="L1163" s="1647" t="s">
        <v>1653</v>
      </c>
      <c r="M1163" s="1648">
        <v>2.462E-2</v>
      </c>
      <c r="N1163" s="1649">
        <v>1.4247396509822547</v>
      </c>
      <c r="O1163" s="1649"/>
    </row>
    <row r="1164" spans="11:15">
      <c r="K1164" s="1646">
        <v>43221</v>
      </c>
      <c r="L1164" s="1647"/>
      <c r="M1164" s="1648">
        <v>0</v>
      </c>
      <c r="N1164" s="1649">
        <v>1.4247396509822547</v>
      </c>
      <c r="O1164" s="1649"/>
    </row>
    <row r="1165" spans="11:15">
      <c r="K1165" s="1646">
        <v>43222</v>
      </c>
      <c r="L1165" s="1647" t="s">
        <v>1653</v>
      </c>
      <c r="M1165" s="1648">
        <v>2.462E-2</v>
      </c>
      <c r="N1165" s="1649">
        <v>1.4250904218843268</v>
      </c>
      <c r="O1165" s="1649"/>
    </row>
    <row r="1166" spans="11:15">
      <c r="K1166" s="1646">
        <v>43223</v>
      </c>
      <c r="L1166" s="1647" t="s">
        <v>1653</v>
      </c>
      <c r="M1166" s="1648">
        <v>2.462E-2</v>
      </c>
      <c r="N1166" s="1649">
        <v>1.4254412791461948</v>
      </c>
      <c r="O1166" s="1649"/>
    </row>
    <row r="1167" spans="11:15">
      <c r="K1167" s="1646">
        <v>43224</v>
      </c>
      <c r="L1167" s="1647" t="s">
        <v>1653</v>
      </c>
      <c r="M1167" s="1648">
        <v>2.462E-2</v>
      </c>
      <c r="N1167" s="1649">
        <v>1.4257922227891207</v>
      </c>
      <c r="O1167" s="1649"/>
    </row>
    <row r="1168" spans="11:15">
      <c r="K1168" s="1646">
        <v>43225</v>
      </c>
      <c r="L1168" s="1647"/>
      <c r="M1168" s="1648">
        <v>0</v>
      </c>
      <c r="N1168" s="1649">
        <v>1.4257922227891207</v>
      </c>
      <c r="O1168" s="1649"/>
    </row>
    <row r="1169" spans="11:15">
      <c r="K1169" s="1646">
        <v>43226</v>
      </c>
      <c r="L1169" s="1647"/>
      <c r="M1169" s="1648">
        <v>0</v>
      </c>
      <c r="N1169" s="1649">
        <v>1.4257922227891207</v>
      </c>
      <c r="O1169" s="1649"/>
    </row>
    <row r="1170" spans="11:15">
      <c r="K1170" s="1646">
        <v>43227</v>
      </c>
      <c r="L1170" s="1647" t="s">
        <v>1653</v>
      </c>
      <c r="M1170" s="1648">
        <v>2.462E-2</v>
      </c>
      <c r="N1170" s="1649">
        <v>1.4261432528343714</v>
      </c>
      <c r="O1170" s="1649"/>
    </row>
    <row r="1171" spans="11:15">
      <c r="K1171" s="1646">
        <v>43228</v>
      </c>
      <c r="L1171" s="1647" t="s">
        <v>1653</v>
      </c>
      <c r="M1171" s="1648">
        <v>2.462E-2</v>
      </c>
      <c r="N1171" s="1649">
        <v>1.4264943693032193</v>
      </c>
      <c r="O1171" s="1649"/>
    </row>
    <row r="1172" spans="11:15">
      <c r="K1172" s="1646">
        <v>43229</v>
      </c>
      <c r="L1172" s="1647" t="s">
        <v>1653</v>
      </c>
      <c r="M1172" s="1648">
        <v>2.462E-2</v>
      </c>
      <c r="N1172" s="1649">
        <v>1.4268455722169417</v>
      </c>
      <c r="O1172" s="1649"/>
    </row>
    <row r="1173" spans="11:15">
      <c r="K1173" s="1646">
        <v>43230</v>
      </c>
      <c r="L1173" s="1647" t="s">
        <v>1653</v>
      </c>
      <c r="M1173" s="1648">
        <v>2.462E-2</v>
      </c>
      <c r="N1173" s="1649">
        <v>1.4271968615968216</v>
      </c>
      <c r="O1173" s="1649"/>
    </row>
    <row r="1174" spans="11:15">
      <c r="K1174" s="1646">
        <v>43231</v>
      </c>
      <c r="L1174" s="1647" t="s">
        <v>1653</v>
      </c>
      <c r="M1174" s="1648">
        <v>2.462E-2</v>
      </c>
      <c r="N1174" s="1649">
        <v>1.4275482374641468</v>
      </c>
      <c r="O1174" s="1649"/>
    </row>
    <row r="1175" spans="11:15">
      <c r="K1175" s="1646">
        <v>43232</v>
      </c>
      <c r="L1175" s="1647"/>
      <c r="M1175" s="1648">
        <v>0</v>
      </c>
      <c r="N1175" s="1649">
        <v>1.4275482374641468</v>
      </c>
      <c r="O1175" s="1649"/>
    </row>
    <row r="1176" spans="11:15">
      <c r="K1176" s="1646">
        <v>43233</v>
      </c>
      <c r="L1176" s="1647"/>
      <c r="M1176" s="1648">
        <v>0</v>
      </c>
      <c r="N1176" s="1649">
        <v>1.4275482374641468</v>
      </c>
      <c r="O1176" s="1649"/>
    </row>
    <row r="1177" spans="11:15">
      <c r="K1177" s="1646">
        <v>43234</v>
      </c>
      <c r="L1177" s="1647" t="s">
        <v>1653</v>
      </c>
      <c r="M1177" s="1648">
        <v>2.462E-2</v>
      </c>
      <c r="N1177" s="1649">
        <v>1.4278996998402107</v>
      </c>
      <c r="O1177" s="1649"/>
    </row>
    <row r="1178" spans="11:15">
      <c r="K1178" s="1646">
        <v>43235</v>
      </c>
      <c r="L1178" s="1647" t="s">
        <v>1653</v>
      </c>
      <c r="M1178" s="1648">
        <v>2.462E-2</v>
      </c>
      <c r="N1178" s="1649">
        <v>1.4282512487463115</v>
      </c>
      <c r="O1178" s="1649"/>
    </row>
    <row r="1179" spans="11:15">
      <c r="K1179" s="1646">
        <v>43236</v>
      </c>
      <c r="L1179" s="1647" t="s">
        <v>1653</v>
      </c>
      <c r="M1179" s="1648">
        <v>2.462E-2</v>
      </c>
      <c r="N1179" s="1649">
        <v>1.428602884203753</v>
      </c>
      <c r="O1179" s="1649"/>
    </row>
    <row r="1180" spans="11:15">
      <c r="K1180" s="1646">
        <v>43237</v>
      </c>
      <c r="L1180" s="1647" t="s">
        <v>1653</v>
      </c>
      <c r="M1180" s="1648">
        <v>2.462E-2</v>
      </c>
      <c r="N1180" s="1649">
        <v>1.4289546062338441</v>
      </c>
      <c r="O1180" s="1649"/>
    </row>
    <row r="1181" spans="11:15">
      <c r="K1181" s="1646">
        <v>43238</v>
      </c>
      <c r="L1181" s="1647" t="s">
        <v>1653</v>
      </c>
      <c r="M1181" s="1648">
        <v>2.462E-2</v>
      </c>
      <c r="N1181" s="1649">
        <v>1.4293064148578989</v>
      </c>
      <c r="O1181" s="1649"/>
    </row>
    <row r="1182" spans="11:15">
      <c r="K1182" s="1646">
        <v>43239</v>
      </c>
      <c r="L1182" s="1647"/>
      <c r="M1182" s="1648">
        <v>0</v>
      </c>
      <c r="N1182" s="1649">
        <v>1.4293064148578989</v>
      </c>
      <c r="O1182" s="1649"/>
    </row>
    <row r="1183" spans="11:15">
      <c r="K1183" s="1646">
        <v>43240</v>
      </c>
      <c r="L1183" s="1647"/>
      <c r="M1183" s="1648">
        <v>0</v>
      </c>
      <c r="N1183" s="1649">
        <v>1.4293064148578989</v>
      </c>
      <c r="O1183" s="1649"/>
    </row>
    <row r="1184" spans="11:15">
      <c r="K1184" s="1646">
        <v>43241</v>
      </c>
      <c r="L1184" s="1647" t="s">
        <v>1653</v>
      </c>
      <c r="M1184" s="1648">
        <v>2.462E-2</v>
      </c>
      <c r="N1184" s="1649">
        <v>1.4296583100972371</v>
      </c>
      <c r="O1184" s="1649"/>
    </row>
    <row r="1185" spans="11:15">
      <c r="K1185" s="1646">
        <v>43242</v>
      </c>
      <c r="L1185" s="1647" t="s">
        <v>1653</v>
      </c>
      <c r="M1185" s="1648">
        <v>2.462E-2</v>
      </c>
      <c r="N1185" s="1649">
        <v>1.4300102919731832</v>
      </c>
      <c r="O1185" s="1649"/>
    </row>
    <row r="1186" spans="11:15">
      <c r="K1186" s="1646">
        <v>43243</v>
      </c>
      <c r="L1186" s="1647" t="s">
        <v>1653</v>
      </c>
      <c r="M1186" s="1648">
        <v>2.462E-2</v>
      </c>
      <c r="N1186" s="1649">
        <v>1.430362360507067</v>
      </c>
      <c r="O1186" s="1649"/>
    </row>
    <row r="1187" spans="11:15">
      <c r="K1187" s="1646">
        <v>43244</v>
      </c>
      <c r="L1187" s="1647" t="s">
        <v>1653</v>
      </c>
      <c r="M1187" s="1648">
        <v>2.462E-2</v>
      </c>
      <c r="N1187" s="1649">
        <v>1.4307145157202239</v>
      </c>
      <c r="O1187" s="1649"/>
    </row>
    <row r="1188" spans="11:15">
      <c r="K1188" s="1646">
        <v>43245</v>
      </c>
      <c r="L1188" s="1647" t="s">
        <v>1653</v>
      </c>
      <c r="M1188" s="1648">
        <v>2.462E-2</v>
      </c>
      <c r="N1188" s="1649">
        <v>1.4310667576339944</v>
      </c>
      <c r="O1188" s="1649"/>
    </row>
    <row r="1189" spans="11:15">
      <c r="K1189" s="1646">
        <v>43246</v>
      </c>
      <c r="L1189" s="1647"/>
      <c r="M1189" s="1648">
        <v>0</v>
      </c>
      <c r="N1189" s="1649">
        <v>1.4310667576339944</v>
      </c>
      <c r="O1189" s="1649"/>
    </row>
    <row r="1190" spans="11:15">
      <c r="K1190" s="1646">
        <v>43247</v>
      </c>
      <c r="L1190" s="1647"/>
      <c r="M1190" s="1648">
        <v>0</v>
      </c>
      <c r="N1190" s="1649">
        <v>1.4310667576339944</v>
      </c>
      <c r="O1190" s="1649"/>
    </row>
    <row r="1191" spans="11:15">
      <c r="K1191" s="1646">
        <v>43248</v>
      </c>
      <c r="L1191" s="1647" t="s">
        <v>1653</v>
      </c>
      <c r="M1191" s="1648">
        <v>2.462E-2</v>
      </c>
      <c r="N1191" s="1649">
        <v>1.431419086269724</v>
      </c>
      <c r="O1191" s="1649"/>
    </row>
    <row r="1192" spans="11:15">
      <c r="K1192" s="1646">
        <v>43249</v>
      </c>
      <c r="L1192" s="1647" t="s">
        <v>1653</v>
      </c>
      <c r="M1192" s="1648">
        <v>2.462E-2</v>
      </c>
      <c r="N1192" s="1649">
        <v>1.4317715016487638</v>
      </c>
      <c r="O1192" s="1649"/>
    </row>
    <row r="1193" spans="11:15">
      <c r="K1193" s="1646">
        <v>43250</v>
      </c>
      <c r="L1193" s="1647" t="s">
        <v>1653</v>
      </c>
      <c r="M1193" s="1648">
        <v>2.462E-2</v>
      </c>
      <c r="N1193" s="1649">
        <v>1.4321240037924698</v>
      </c>
      <c r="O1193" s="1649"/>
    </row>
    <row r="1194" spans="11:15">
      <c r="K1194" s="1646">
        <v>43251</v>
      </c>
      <c r="L1194" s="1647"/>
      <c r="M1194" s="1648">
        <v>0</v>
      </c>
      <c r="N1194" s="1649">
        <v>1.4321240037924698</v>
      </c>
      <c r="O1194" s="1649"/>
    </row>
    <row r="1195" spans="11:15">
      <c r="K1195" s="1646">
        <v>43252</v>
      </c>
      <c r="L1195" s="1647" t="s">
        <v>1653</v>
      </c>
      <c r="M1195" s="1648">
        <v>2.462E-2</v>
      </c>
      <c r="N1195" s="1649">
        <v>1.4324765927222036</v>
      </c>
      <c r="O1195" s="1649"/>
    </row>
    <row r="1196" spans="11:15">
      <c r="K1196" s="1646">
        <v>43253</v>
      </c>
      <c r="L1196" s="1647"/>
      <c r="M1196" s="1648">
        <v>0</v>
      </c>
      <c r="N1196" s="1649">
        <v>1.4324765927222036</v>
      </c>
      <c r="O1196" s="1649"/>
    </row>
    <row r="1197" spans="11:15">
      <c r="K1197" s="1646">
        <v>43254</v>
      </c>
      <c r="L1197" s="1647"/>
      <c r="M1197" s="1648">
        <v>0</v>
      </c>
      <c r="N1197" s="1649">
        <v>1.4324765927222036</v>
      </c>
      <c r="O1197" s="1649"/>
    </row>
    <row r="1198" spans="11:15">
      <c r="K1198" s="1646">
        <v>43255</v>
      </c>
      <c r="L1198" s="1647" t="s">
        <v>1653</v>
      </c>
      <c r="M1198" s="1648">
        <v>2.462E-2</v>
      </c>
      <c r="N1198" s="1649">
        <v>1.432829268459332</v>
      </c>
      <c r="O1198" s="1649"/>
    </row>
    <row r="1199" spans="11:15">
      <c r="K1199" s="1646">
        <v>43256</v>
      </c>
      <c r="L1199" s="1647" t="s">
        <v>1653</v>
      </c>
      <c r="M1199" s="1648">
        <v>2.462E-2</v>
      </c>
      <c r="N1199" s="1649">
        <v>1.4331820310252268</v>
      </c>
      <c r="O1199" s="1649"/>
    </row>
    <row r="1200" spans="11:15">
      <c r="K1200" s="1646">
        <v>43257</v>
      </c>
      <c r="L1200" s="1647" t="s">
        <v>1653</v>
      </c>
      <c r="M1200" s="1648">
        <v>2.462E-2</v>
      </c>
      <c r="N1200" s="1649">
        <v>1.4335348804412653</v>
      </c>
      <c r="O1200" s="1649"/>
    </row>
    <row r="1201" spans="11:15">
      <c r="K1201" s="1646">
        <v>43258</v>
      </c>
      <c r="L1201" s="1647" t="s">
        <v>1653</v>
      </c>
      <c r="M1201" s="1648">
        <v>2.462E-2</v>
      </c>
      <c r="N1201" s="1649">
        <v>1.43388781672883</v>
      </c>
      <c r="O1201" s="1649"/>
    </row>
    <row r="1202" spans="11:15">
      <c r="K1202" s="1646">
        <v>43259</v>
      </c>
      <c r="L1202" s="1647" t="s">
        <v>1653</v>
      </c>
      <c r="M1202" s="1648">
        <v>2.462E-2</v>
      </c>
      <c r="N1202" s="1649">
        <v>1.4342408399093087</v>
      </c>
      <c r="O1202" s="1649"/>
    </row>
    <row r="1203" spans="11:15">
      <c r="K1203" s="1646">
        <v>43260</v>
      </c>
      <c r="L1203" s="1647"/>
      <c r="M1203" s="1648">
        <v>0</v>
      </c>
      <c r="N1203" s="1649">
        <v>1.4342408399093087</v>
      </c>
      <c r="O1203" s="1649"/>
    </row>
    <row r="1204" spans="11:15">
      <c r="K1204" s="1646">
        <v>43261</v>
      </c>
      <c r="L1204" s="1647"/>
      <c r="M1204" s="1648">
        <v>0</v>
      </c>
      <c r="N1204" s="1649">
        <v>1.4342408399093087</v>
      </c>
      <c r="O1204" s="1649"/>
    </row>
    <row r="1205" spans="11:15">
      <c r="K1205" s="1646">
        <v>43262</v>
      </c>
      <c r="L1205" s="1647" t="s">
        <v>1653</v>
      </c>
      <c r="M1205" s="1648">
        <v>2.462E-2</v>
      </c>
      <c r="N1205" s="1649">
        <v>1.4345939500040945</v>
      </c>
      <c r="O1205" s="1649"/>
    </row>
    <row r="1206" spans="11:15">
      <c r="K1206" s="1646">
        <v>43263</v>
      </c>
      <c r="L1206" s="1647" t="s">
        <v>1653</v>
      </c>
      <c r="M1206" s="1648">
        <v>2.462E-2</v>
      </c>
      <c r="N1206" s="1649">
        <v>1.4349471470345856</v>
      </c>
      <c r="O1206" s="1649"/>
    </row>
    <row r="1207" spans="11:15">
      <c r="K1207" s="1646">
        <v>43264</v>
      </c>
      <c r="L1207" s="1647" t="s">
        <v>1653</v>
      </c>
      <c r="M1207" s="1648">
        <v>2.462E-2</v>
      </c>
      <c r="N1207" s="1649">
        <v>1.4353004310221855</v>
      </c>
      <c r="O1207" s="1649"/>
    </row>
    <row r="1208" spans="11:15">
      <c r="K1208" s="1646">
        <v>43265</v>
      </c>
      <c r="L1208" s="1647" t="s">
        <v>1653</v>
      </c>
      <c r="M1208" s="1648">
        <v>2.462E-2</v>
      </c>
      <c r="N1208" s="1649">
        <v>1.4356538019883034</v>
      </c>
      <c r="O1208" s="1649"/>
    </row>
    <row r="1209" spans="11:15">
      <c r="K1209" s="1646">
        <v>43266</v>
      </c>
      <c r="L1209" s="1647" t="s">
        <v>1653</v>
      </c>
      <c r="M1209" s="1648">
        <v>2.462E-2</v>
      </c>
      <c r="N1209" s="1649">
        <v>1.436007259954353</v>
      </c>
      <c r="O1209" s="1649"/>
    </row>
    <row r="1210" spans="11:15">
      <c r="K1210" s="1646">
        <v>43267</v>
      </c>
      <c r="L1210" s="1647"/>
      <c r="M1210" s="1648">
        <v>0</v>
      </c>
      <c r="N1210" s="1649">
        <v>1.436007259954353</v>
      </c>
      <c r="O1210" s="1649"/>
    </row>
    <row r="1211" spans="11:15">
      <c r="K1211" s="1646">
        <v>43268</v>
      </c>
      <c r="L1211" s="1647"/>
      <c r="M1211" s="1648">
        <v>0</v>
      </c>
      <c r="N1211" s="1649">
        <v>1.436007259954353</v>
      </c>
      <c r="O1211" s="1649"/>
    </row>
    <row r="1212" spans="11:15">
      <c r="K1212" s="1646">
        <v>43269</v>
      </c>
      <c r="L1212" s="1647" t="s">
        <v>1653</v>
      </c>
      <c r="M1212" s="1648">
        <v>2.462E-2</v>
      </c>
      <c r="N1212" s="1649">
        <v>1.4363608049417538</v>
      </c>
      <c r="O1212" s="1649"/>
    </row>
    <row r="1213" spans="11:15">
      <c r="K1213" s="1646">
        <v>43270</v>
      </c>
      <c r="L1213" s="1647" t="s">
        <v>1653</v>
      </c>
      <c r="M1213" s="1648">
        <v>2.462E-2</v>
      </c>
      <c r="N1213" s="1649">
        <v>1.4367144369719305</v>
      </c>
      <c r="O1213" s="1649"/>
    </row>
    <row r="1214" spans="11:15">
      <c r="K1214" s="1646">
        <v>43271</v>
      </c>
      <c r="L1214" s="1647" t="s">
        <v>1653</v>
      </c>
      <c r="M1214" s="1648">
        <v>2.462E-2</v>
      </c>
      <c r="N1214" s="1649">
        <v>1.437068156066313</v>
      </c>
      <c r="O1214" s="1649"/>
    </row>
    <row r="1215" spans="11:15">
      <c r="K1215" s="1646">
        <v>43272</v>
      </c>
      <c r="L1215" s="1647" t="s">
        <v>1653</v>
      </c>
      <c r="M1215" s="1648">
        <v>2.462E-2</v>
      </c>
      <c r="N1215" s="1649">
        <v>1.4374219622463367</v>
      </c>
      <c r="O1215" s="1649"/>
    </row>
    <row r="1216" spans="11:15">
      <c r="K1216" s="1646">
        <v>43273</v>
      </c>
      <c r="L1216" s="1647" t="s">
        <v>1653</v>
      </c>
      <c r="M1216" s="1648">
        <v>2.462E-2</v>
      </c>
      <c r="N1216" s="1649">
        <v>1.4377758555334419</v>
      </c>
      <c r="O1216" s="1649"/>
    </row>
    <row r="1217" spans="11:15">
      <c r="K1217" s="1646">
        <v>43274</v>
      </c>
      <c r="L1217" s="1647"/>
      <c r="M1217" s="1648">
        <v>0</v>
      </c>
      <c r="N1217" s="1649">
        <v>1.4377758555334419</v>
      </c>
      <c r="O1217" s="1649"/>
    </row>
    <row r="1218" spans="11:15">
      <c r="K1218" s="1646">
        <v>43275</v>
      </c>
      <c r="L1218" s="1647"/>
      <c r="M1218" s="1648">
        <v>0</v>
      </c>
      <c r="N1218" s="1649">
        <v>1.4377758555334419</v>
      </c>
      <c r="O1218" s="1649"/>
    </row>
    <row r="1219" spans="11:15">
      <c r="K1219" s="1646">
        <v>43276</v>
      </c>
      <c r="L1219" s="1647" t="s">
        <v>1653</v>
      </c>
      <c r="M1219" s="1648">
        <v>2.462E-2</v>
      </c>
      <c r="N1219" s="1649">
        <v>1.4381298359490744</v>
      </c>
      <c r="O1219" s="1649"/>
    </row>
    <row r="1220" spans="11:15">
      <c r="K1220" s="1646">
        <v>43277</v>
      </c>
      <c r="L1220" s="1647" t="s">
        <v>1653</v>
      </c>
      <c r="M1220" s="1648">
        <v>2.462E-2</v>
      </c>
      <c r="N1220" s="1649">
        <v>1.4384839035146852</v>
      </c>
      <c r="O1220" s="1649"/>
    </row>
    <row r="1221" spans="11:15">
      <c r="K1221" s="1646">
        <v>43278</v>
      </c>
      <c r="L1221" s="1647" t="s">
        <v>1653</v>
      </c>
      <c r="M1221" s="1648">
        <v>2.462E-2</v>
      </c>
      <c r="N1221" s="1649">
        <v>1.4388380582517306</v>
      </c>
      <c r="O1221" s="1649"/>
    </row>
    <row r="1222" spans="11:15">
      <c r="K1222" s="1646">
        <v>43279</v>
      </c>
      <c r="L1222" s="1647" t="s">
        <v>1653</v>
      </c>
      <c r="M1222" s="1648">
        <v>2.462E-2</v>
      </c>
      <c r="N1222" s="1649">
        <v>1.4391923001816722</v>
      </c>
      <c r="O1222" s="1649"/>
    </row>
    <row r="1223" spans="11:15">
      <c r="K1223" s="1646">
        <v>43280</v>
      </c>
      <c r="L1223" s="1647" t="s">
        <v>1653</v>
      </c>
      <c r="M1223" s="1648">
        <v>2.462E-2</v>
      </c>
      <c r="N1223" s="1649">
        <v>1.4395466293259771</v>
      </c>
      <c r="O1223" s="1649"/>
    </row>
    <row r="1224" spans="11:15">
      <c r="K1224" s="1646">
        <v>43281</v>
      </c>
      <c r="L1224" s="1647"/>
      <c r="M1224" s="1648">
        <v>0</v>
      </c>
      <c r="N1224" s="1649">
        <v>1.4395466293259771</v>
      </c>
      <c r="O1224" s="1649"/>
    </row>
    <row r="1225" spans="11:15">
      <c r="K1225" s="1646">
        <v>43282</v>
      </c>
      <c r="L1225" s="1647"/>
      <c r="M1225" s="1648">
        <v>0</v>
      </c>
      <c r="N1225" s="1649">
        <v>1.4395466293259771</v>
      </c>
      <c r="O1225" s="1649"/>
    </row>
    <row r="1226" spans="11:15">
      <c r="K1226" s="1646">
        <v>43283</v>
      </c>
      <c r="L1226" s="1647" t="s">
        <v>1653</v>
      </c>
      <c r="M1226" s="1648">
        <v>2.462E-2</v>
      </c>
      <c r="N1226" s="1649">
        <v>1.4399010457061172</v>
      </c>
      <c r="O1226" s="1649"/>
    </row>
    <row r="1227" spans="11:15">
      <c r="K1227" s="1646">
        <v>43284</v>
      </c>
      <c r="L1227" s="1647" t="s">
        <v>1653</v>
      </c>
      <c r="M1227" s="1648">
        <v>2.462E-2</v>
      </c>
      <c r="N1227" s="1649">
        <v>1.4402555493435703</v>
      </c>
      <c r="O1227" s="1649"/>
    </row>
    <row r="1228" spans="11:15">
      <c r="K1228" s="1646">
        <v>43285</v>
      </c>
      <c r="L1228" s="1647" t="s">
        <v>1653</v>
      </c>
      <c r="M1228" s="1648">
        <v>2.462E-2</v>
      </c>
      <c r="N1228" s="1649">
        <v>1.4406101402598188</v>
      </c>
      <c r="O1228" s="1649"/>
    </row>
    <row r="1229" spans="11:15">
      <c r="K1229" s="1646">
        <v>43286</v>
      </c>
      <c r="L1229" s="1647" t="s">
        <v>1653</v>
      </c>
      <c r="M1229" s="1648">
        <v>2.462E-2</v>
      </c>
      <c r="N1229" s="1649">
        <v>1.4409648184763508</v>
      </c>
      <c r="O1229" s="1649"/>
    </row>
    <row r="1230" spans="11:15">
      <c r="K1230" s="1646">
        <v>43287</v>
      </c>
      <c r="L1230" s="1647" t="s">
        <v>1653</v>
      </c>
      <c r="M1230" s="1648">
        <v>2.462E-2</v>
      </c>
      <c r="N1230" s="1649">
        <v>1.4413195840146598</v>
      </c>
      <c r="O1230" s="1649"/>
    </row>
    <row r="1231" spans="11:15">
      <c r="K1231" s="1646">
        <v>43288</v>
      </c>
      <c r="L1231" s="1647"/>
      <c r="M1231" s="1648">
        <v>0</v>
      </c>
      <c r="N1231" s="1649">
        <v>1.4413195840146598</v>
      </c>
      <c r="O1231" s="1649"/>
    </row>
    <row r="1232" spans="11:15">
      <c r="K1232" s="1646">
        <v>43289</v>
      </c>
      <c r="L1232" s="1647"/>
      <c r="M1232" s="1648">
        <v>0</v>
      </c>
      <c r="N1232" s="1649">
        <v>1.4413195840146598</v>
      </c>
      <c r="O1232" s="1649"/>
    </row>
    <row r="1233" spans="11:15">
      <c r="K1233" s="1646">
        <v>43290</v>
      </c>
      <c r="L1233" s="1647" t="s">
        <v>1653</v>
      </c>
      <c r="M1233" s="1648">
        <v>2.462E-2</v>
      </c>
      <c r="N1233" s="1649">
        <v>1.4416744368962442</v>
      </c>
      <c r="O1233" s="1649"/>
    </row>
    <row r="1234" spans="11:15">
      <c r="K1234" s="1646">
        <v>43291</v>
      </c>
      <c r="L1234" s="1647" t="s">
        <v>1653</v>
      </c>
      <c r="M1234" s="1648">
        <v>2.462E-2</v>
      </c>
      <c r="N1234" s="1649">
        <v>1.4420293771426083</v>
      </c>
      <c r="O1234" s="1649"/>
    </row>
    <row r="1235" spans="11:15">
      <c r="K1235" s="1646">
        <v>43292</v>
      </c>
      <c r="L1235" s="1647" t="s">
        <v>1653</v>
      </c>
      <c r="M1235" s="1648">
        <v>2.462E-2</v>
      </c>
      <c r="N1235" s="1649">
        <v>1.442384404775261</v>
      </c>
      <c r="O1235" s="1649"/>
    </row>
    <row r="1236" spans="11:15">
      <c r="K1236" s="1646">
        <v>43293</v>
      </c>
      <c r="L1236" s="1647" t="s">
        <v>1653</v>
      </c>
      <c r="M1236" s="1648">
        <v>2.462E-2</v>
      </c>
      <c r="N1236" s="1649">
        <v>1.4427395198157167</v>
      </c>
      <c r="O1236" s="1649"/>
    </row>
    <row r="1237" spans="11:15">
      <c r="K1237" s="1646">
        <v>43294</v>
      </c>
      <c r="L1237" s="1647" t="s">
        <v>1653</v>
      </c>
      <c r="M1237" s="1648">
        <v>2.462E-2</v>
      </c>
      <c r="N1237" s="1649">
        <v>1.4430947222854955</v>
      </c>
      <c r="O1237" s="1649"/>
    </row>
    <row r="1238" spans="11:15">
      <c r="K1238" s="1646">
        <v>43295</v>
      </c>
      <c r="L1238" s="1647"/>
      <c r="M1238" s="1648">
        <v>0</v>
      </c>
      <c r="N1238" s="1649">
        <v>1.4430947222854955</v>
      </c>
      <c r="O1238" s="1649"/>
    </row>
    <row r="1239" spans="11:15">
      <c r="K1239" s="1646">
        <v>43296</v>
      </c>
      <c r="L1239" s="1647"/>
      <c r="M1239" s="1648">
        <v>0</v>
      </c>
      <c r="N1239" s="1649">
        <v>1.4430947222854955</v>
      </c>
      <c r="O1239" s="1649"/>
    </row>
    <row r="1240" spans="11:15">
      <c r="K1240" s="1646">
        <v>43297</v>
      </c>
      <c r="L1240" s="1647" t="s">
        <v>1653</v>
      </c>
      <c r="M1240" s="1648">
        <v>2.462E-2</v>
      </c>
      <c r="N1240" s="1649">
        <v>1.4434500122061222</v>
      </c>
      <c r="O1240" s="1649"/>
    </row>
    <row r="1241" spans="11:15">
      <c r="K1241" s="1646">
        <v>43298</v>
      </c>
      <c r="L1241" s="1647" t="s">
        <v>1653</v>
      </c>
      <c r="M1241" s="1648">
        <v>2.462E-2</v>
      </c>
      <c r="N1241" s="1649">
        <v>1.4438053895991274</v>
      </c>
      <c r="O1241" s="1649"/>
    </row>
    <row r="1242" spans="11:15">
      <c r="K1242" s="1646">
        <v>43299</v>
      </c>
      <c r="L1242" s="1647" t="s">
        <v>1653</v>
      </c>
      <c r="M1242" s="1648">
        <v>2.462E-2</v>
      </c>
      <c r="N1242" s="1649">
        <v>1.4441608544860469</v>
      </c>
      <c r="O1242" s="1649"/>
    </row>
    <row r="1243" spans="11:15">
      <c r="K1243" s="1646">
        <v>43300</v>
      </c>
      <c r="L1243" s="1647" t="s">
        <v>1653</v>
      </c>
      <c r="M1243" s="1648">
        <v>2.462E-2</v>
      </c>
      <c r="N1243" s="1649">
        <v>1.4445164068884215</v>
      </c>
      <c r="O1243" s="1649"/>
    </row>
    <row r="1244" spans="11:15">
      <c r="K1244" s="1646">
        <v>43301</v>
      </c>
      <c r="L1244" s="1647" t="s">
        <v>1653</v>
      </c>
      <c r="M1244" s="1648">
        <v>2.462E-2</v>
      </c>
      <c r="N1244" s="1649">
        <v>1.4448720468277976</v>
      </c>
      <c r="O1244" s="1649"/>
    </row>
    <row r="1245" spans="11:15">
      <c r="K1245" s="1646">
        <v>43302</v>
      </c>
      <c r="L1245" s="1647"/>
      <c r="M1245" s="1648">
        <v>0</v>
      </c>
      <c r="N1245" s="1649">
        <v>1.4448720468277976</v>
      </c>
      <c r="O1245" s="1649"/>
    </row>
    <row r="1246" spans="11:15">
      <c r="K1246" s="1646">
        <v>43303</v>
      </c>
      <c r="L1246" s="1647"/>
      <c r="M1246" s="1648">
        <v>0</v>
      </c>
      <c r="N1246" s="1649">
        <v>1.4448720468277976</v>
      </c>
      <c r="O1246" s="1649"/>
    </row>
    <row r="1247" spans="11:15">
      <c r="K1247" s="1646">
        <v>43304</v>
      </c>
      <c r="L1247" s="1647" t="s">
        <v>1653</v>
      </c>
      <c r="M1247" s="1648">
        <v>2.462E-2</v>
      </c>
      <c r="N1247" s="1649">
        <v>1.4452277743257267</v>
      </c>
      <c r="O1247" s="1649"/>
    </row>
    <row r="1248" spans="11:15">
      <c r="K1248" s="1646">
        <v>43305</v>
      </c>
      <c r="L1248" s="1647" t="s">
        <v>1653</v>
      </c>
      <c r="M1248" s="1648">
        <v>2.462E-2</v>
      </c>
      <c r="N1248" s="1649">
        <v>1.4455835894037659</v>
      </c>
      <c r="O1248" s="1649"/>
    </row>
    <row r="1249" spans="11:15">
      <c r="K1249" s="1646">
        <v>43306</v>
      </c>
      <c r="L1249" s="1647" t="s">
        <v>1653</v>
      </c>
      <c r="M1249" s="1648">
        <v>2.462E-2</v>
      </c>
      <c r="N1249" s="1649">
        <v>1.4459394920834772</v>
      </c>
      <c r="O1249" s="1649"/>
    </row>
    <row r="1250" spans="11:15">
      <c r="K1250" s="1646">
        <v>43307</v>
      </c>
      <c r="L1250" s="1647" t="s">
        <v>1653</v>
      </c>
      <c r="M1250" s="1648">
        <v>2.462E-2</v>
      </c>
      <c r="N1250" s="1649">
        <v>1.4462954823864282</v>
      </c>
      <c r="O1250" s="1649"/>
    </row>
    <row r="1251" spans="11:15">
      <c r="K1251" s="1646">
        <v>43308</v>
      </c>
      <c r="L1251" s="1647" t="s">
        <v>1653</v>
      </c>
      <c r="M1251" s="1648">
        <v>2.462E-2</v>
      </c>
      <c r="N1251" s="1649">
        <v>1.4466515603341918</v>
      </c>
      <c r="O1251" s="1649"/>
    </row>
    <row r="1252" spans="11:15">
      <c r="K1252" s="1646">
        <v>43309</v>
      </c>
      <c r="L1252" s="1647"/>
      <c r="M1252" s="1648">
        <v>0</v>
      </c>
      <c r="N1252" s="1649">
        <v>1.4466515603341918</v>
      </c>
      <c r="O1252" s="1649"/>
    </row>
    <row r="1253" spans="11:15">
      <c r="K1253" s="1646">
        <v>43310</v>
      </c>
      <c r="L1253" s="1647"/>
      <c r="M1253" s="1648">
        <v>0</v>
      </c>
      <c r="N1253" s="1649">
        <v>1.4466515603341918</v>
      </c>
      <c r="O1253" s="1649"/>
    </row>
    <row r="1254" spans="11:15">
      <c r="K1254" s="1646">
        <v>43311</v>
      </c>
      <c r="L1254" s="1647" t="s">
        <v>1653</v>
      </c>
      <c r="M1254" s="1648">
        <v>2.462E-2</v>
      </c>
      <c r="N1254" s="1649">
        <v>1.4470077259483463</v>
      </c>
      <c r="O1254" s="1649"/>
    </row>
    <row r="1255" spans="11:15">
      <c r="K1255" s="1646">
        <v>43312</v>
      </c>
      <c r="L1255" s="1647" t="s">
        <v>1653</v>
      </c>
      <c r="M1255" s="1648">
        <v>2.462E-2</v>
      </c>
      <c r="N1255" s="1649">
        <v>1.4473639792504749</v>
      </c>
      <c r="O1255" s="1649"/>
    </row>
    <row r="1256" spans="11:15">
      <c r="K1256" s="1646">
        <v>43313</v>
      </c>
      <c r="L1256" s="1647" t="s">
        <v>1653</v>
      </c>
      <c r="M1256" s="1648">
        <v>2.462E-2</v>
      </c>
      <c r="N1256" s="1649">
        <v>1.4477203202621665</v>
      </c>
      <c r="O1256" s="1649"/>
    </row>
    <row r="1257" spans="11:15">
      <c r="K1257" s="1646">
        <v>43314</v>
      </c>
      <c r="L1257" s="1647" t="s">
        <v>1653</v>
      </c>
      <c r="M1257" s="1648">
        <v>2.462E-2</v>
      </c>
      <c r="N1257" s="1649">
        <v>1.448076749005015</v>
      </c>
      <c r="O1257" s="1649"/>
    </row>
    <row r="1258" spans="11:15">
      <c r="K1258" s="1646">
        <v>43315</v>
      </c>
      <c r="L1258" s="1647" t="s">
        <v>1653</v>
      </c>
      <c r="M1258" s="1648">
        <v>2.462E-2</v>
      </c>
      <c r="N1258" s="1649">
        <v>1.4484332655006202</v>
      </c>
      <c r="O1258" s="1649"/>
    </row>
    <row r="1259" spans="11:15">
      <c r="K1259" s="1646">
        <v>43316</v>
      </c>
      <c r="L1259" s="1647"/>
      <c r="M1259" s="1648">
        <v>0</v>
      </c>
      <c r="N1259" s="1649">
        <v>1.4484332655006202</v>
      </c>
      <c r="O1259" s="1649"/>
    </row>
    <row r="1260" spans="11:15">
      <c r="K1260" s="1646">
        <v>43317</v>
      </c>
      <c r="L1260" s="1647"/>
      <c r="M1260" s="1648">
        <v>0</v>
      </c>
      <c r="N1260" s="1649">
        <v>1.4484332655006202</v>
      </c>
      <c r="O1260" s="1649"/>
    </row>
    <row r="1261" spans="11:15">
      <c r="K1261" s="1646">
        <v>43318</v>
      </c>
      <c r="L1261" s="1647" t="s">
        <v>1653</v>
      </c>
      <c r="M1261" s="1648">
        <v>2.462E-2</v>
      </c>
      <c r="N1261" s="1649">
        <v>1.4487898697705865</v>
      </c>
      <c r="O1261" s="1649"/>
    </row>
    <row r="1262" spans="11:15">
      <c r="K1262" s="1646">
        <v>43319</v>
      </c>
      <c r="L1262" s="1647" t="s">
        <v>1653</v>
      </c>
      <c r="M1262" s="1648">
        <v>2.462E-2</v>
      </c>
      <c r="N1262" s="1649">
        <v>1.4491465618365242</v>
      </c>
      <c r="O1262" s="1649"/>
    </row>
    <row r="1263" spans="11:15">
      <c r="K1263" s="1646">
        <v>43320</v>
      </c>
      <c r="L1263" s="1647" t="s">
        <v>1653</v>
      </c>
      <c r="M1263" s="1648">
        <v>2.462E-2</v>
      </c>
      <c r="N1263" s="1649">
        <v>1.4495033417200485</v>
      </c>
      <c r="O1263" s="1649"/>
    </row>
    <row r="1264" spans="11:15">
      <c r="K1264" s="1646">
        <v>43321</v>
      </c>
      <c r="L1264" s="1647" t="s">
        <v>1653</v>
      </c>
      <c r="M1264" s="1648">
        <v>2.462E-2</v>
      </c>
      <c r="N1264" s="1649">
        <v>1.4498602094427802</v>
      </c>
      <c r="O1264" s="1649"/>
    </row>
    <row r="1265" spans="11:15">
      <c r="K1265" s="1646">
        <v>43322</v>
      </c>
      <c r="L1265" s="1647" t="s">
        <v>1653</v>
      </c>
      <c r="M1265" s="1648">
        <v>2.462E-2</v>
      </c>
      <c r="N1265" s="1649">
        <v>1.4502171650263451</v>
      </c>
      <c r="O1265" s="1649"/>
    </row>
    <row r="1266" spans="11:15">
      <c r="K1266" s="1646">
        <v>43323</v>
      </c>
      <c r="L1266" s="1647"/>
      <c r="M1266" s="1648">
        <v>0</v>
      </c>
      <c r="N1266" s="1649">
        <v>1.4502171650263451</v>
      </c>
      <c r="O1266" s="1649"/>
    </row>
    <row r="1267" spans="11:15">
      <c r="K1267" s="1646">
        <v>43324</v>
      </c>
      <c r="L1267" s="1647"/>
      <c r="M1267" s="1648">
        <v>0</v>
      </c>
      <c r="N1267" s="1649">
        <v>1.4502171650263451</v>
      </c>
      <c r="O1267" s="1649"/>
    </row>
    <row r="1268" spans="11:15">
      <c r="K1268" s="1646">
        <v>43325</v>
      </c>
      <c r="L1268" s="1647" t="s">
        <v>1653</v>
      </c>
      <c r="M1268" s="1648">
        <v>2.462E-2</v>
      </c>
      <c r="N1268" s="1649">
        <v>1.4505742084923747</v>
      </c>
      <c r="O1268" s="1649"/>
    </row>
    <row r="1269" spans="11:15">
      <c r="K1269" s="1646">
        <v>43326</v>
      </c>
      <c r="L1269" s="1647" t="s">
        <v>1653</v>
      </c>
      <c r="M1269" s="1648">
        <v>2.462E-2</v>
      </c>
      <c r="N1269" s="1649">
        <v>1.4509313398625057</v>
      </c>
      <c r="O1269" s="1649"/>
    </row>
    <row r="1270" spans="11:15">
      <c r="K1270" s="1646">
        <v>43327</v>
      </c>
      <c r="L1270" s="1647" t="s">
        <v>1653</v>
      </c>
      <c r="M1270" s="1648">
        <v>2.462E-2</v>
      </c>
      <c r="N1270" s="1649">
        <v>1.45128855915838</v>
      </c>
      <c r="O1270" s="1649"/>
    </row>
    <row r="1271" spans="11:15">
      <c r="K1271" s="1646">
        <v>43328</v>
      </c>
      <c r="L1271" s="1647" t="s">
        <v>1653</v>
      </c>
      <c r="M1271" s="1648">
        <v>2.462E-2</v>
      </c>
      <c r="N1271" s="1649">
        <v>1.4516458664016449</v>
      </c>
      <c r="O1271" s="1649"/>
    </row>
    <row r="1272" spans="11:15">
      <c r="K1272" s="1646">
        <v>43329</v>
      </c>
      <c r="L1272" s="1647" t="s">
        <v>1653</v>
      </c>
      <c r="M1272" s="1648">
        <v>2.462E-2</v>
      </c>
      <c r="N1272" s="1649">
        <v>1.4520032616139531</v>
      </c>
      <c r="O1272" s="1649"/>
    </row>
    <row r="1273" spans="11:15">
      <c r="K1273" s="1646">
        <v>43330</v>
      </c>
      <c r="L1273" s="1647"/>
      <c r="M1273" s="1648">
        <v>0</v>
      </c>
      <c r="N1273" s="1649">
        <v>1.4520032616139531</v>
      </c>
      <c r="O1273" s="1649"/>
    </row>
    <row r="1274" spans="11:15">
      <c r="K1274" s="1646">
        <v>43331</v>
      </c>
      <c r="L1274" s="1647"/>
      <c r="M1274" s="1648">
        <v>0</v>
      </c>
      <c r="N1274" s="1649">
        <v>1.4520032616139531</v>
      </c>
      <c r="O1274" s="1649"/>
    </row>
    <row r="1275" spans="11:15">
      <c r="K1275" s="1646">
        <v>43332</v>
      </c>
      <c r="L1275" s="1647" t="s">
        <v>1653</v>
      </c>
      <c r="M1275" s="1648">
        <v>2.462E-2</v>
      </c>
      <c r="N1275" s="1649">
        <v>1.4523607448169626</v>
      </c>
      <c r="O1275" s="1649"/>
    </row>
    <row r="1276" spans="11:15">
      <c r="K1276" s="1646">
        <v>43333</v>
      </c>
      <c r="L1276" s="1647" t="s">
        <v>1653</v>
      </c>
      <c r="M1276" s="1648">
        <v>2.462E-2</v>
      </c>
      <c r="N1276" s="1649">
        <v>1.4527183160323367</v>
      </c>
      <c r="O1276" s="1649"/>
    </row>
    <row r="1277" spans="11:15">
      <c r="K1277" s="1646">
        <v>43334</v>
      </c>
      <c r="L1277" s="1647" t="s">
        <v>1653</v>
      </c>
      <c r="M1277" s="1648">
        <v>2.462E-2</v>
      </c>
      <c r="N1277" s="1649">
        <v>1.4530759752817439</v>
      </c>
      <c r="O1277" s="1649"/>
    </row>
    <row r="1278" spans="11:15">
      <c r="K1278" s="1646">
        <v>43335</v>
      </c>
      <c r="L1278" s="1647" t="s">
        <v>1653</v>
      </c>
      <c r="M1278" s="1648">
        <v>2.462E-2</v>
      </c>
      <c r="N1278" s="1649">
        <v>1.4534337225868583</v>
      </c>
      <c r="O1278" s="1649"/>
    </row>
    <row r="1279" spans="11:15">
      <c r="K1279" s="1646">
        <v>43336</v>
      </c>
      <c r="L1279" s="1647" t="s">
        <v>1653</v>
      </c>
      <c r="M1279" s="1648">
        <v>2.462E-2</v>
      </c>
      <c r="N1279" s="1649">
        <v>1.4537915579693594</v>
      </c>
      <c r="O1279" s="1649"/>
    </row>
    <row r="1280" spans="11:15">
      <c r="K1280" s="1646">
        <v>43337</v>
      </c>
      <c r="L1280" s="1647"/>
      <c r="M1280" s="1648">
        <v>0</v>
      </c>
      <c r="N1280" s="1649">
        <v>1.4537915579693594</v>
      </c>
      <c r="O1280" s="1649"/>
    </row>
    <row r="1281" spans="11:15">
      <c r="K1281" s="1646">
        <v>43338</v>
      </c>
      <c r="L1281" s="1647"/>
      <c r="M1281" s="1648">
        <v>0</v>
      </c>
      <c r="N1281" s="1649">
        <v>1.4537915579693594</v>
      </c>
      <c r="O1281" s="1649"/>
    </row>
    <row r="1282" spans="11:15">
      <c r="K1282" s="1646">
        <v>43339</v>
      </c>
      <c r="L1282" s="1647" t="s">
        <v>1653</v>
      </c>
      <c r="M1282" s="1648">
        <v>2.462E-2</v>
      </c>
      <c r="N1282" s="1649">
        <v>1.4541494814509317</v>
      </c>
      <c r="O1282" s="1649"/>
    </row>
    <row r="1283" spans="11:15">
      <c r="K1283" s="1646">
        <v>43340</v>
      </c>
      <c r="L1283" s="1647" t="s">
        <v>1653</v>
      </c>
      <c r="M1283" s="1648">
        <v>2.462E-2</v>
      </c>
      <c r="N1283" s="1649">
        <v>1.4545074930532651</v>
      </c>
      <c r="O1283" s="1649"/>
    </row>
    <row r="1284" spans="11:15">
      <c r="K1284" s="1646">
        <v>43341</v>
      </c>
      <c r="L1284" s="1647" t="s">
        <v>1653</v>
      </c>
      <c r="M1284" s="1648">
        <v>2.462E-2</v>
      </c>
      <c r="N1284" s="1649">
        <v>1.4548655927980549</v>
      </c>
      <c r="O1284" s="1649"/>
    </row>
    <row r="1285" spans="11:15">
      <c r="K1285" s="1646">
        <v>43342</v>
      </c>
      <c r="L1285" s="1647" t="s">
        <v>1653</v>
      </c>
      <c r="M1285" s="1648">
        <v>2.462E-2</v>
      </c>
      <c r="N1285" s="1649">
        <v>1.4552237807070019</v>
      </c>
      <c r="O1285" s="1649"/>
    </row>
    <row r="1286" spans="11:15">
      <c r="K1286" s="1646">
        <v>43343</v>
      </c>
      <c r="L1286" s="1647" t="s">
        <v>1653</v>
      </c>
      <c r="M1286" s="1648">
        <v>2.462E-2</v>
      </c>
      <c r="N1286" s="1649">
        <v>1.4555820568018121</v>
      </c>
      <c r="O1286" s="1649"/>
    </row>
    <row r="1287" spans="11:15">
      <c r="K1287" s="1646">
        <v>43344</v>
      </c>
      <c r="L1287" s="1647"/>
      <c r="M1287" s="1648">
        <v>0</v>
      </c>
      <c r="N1287" s="1649">
        <v>1.4555820568018121</v>
      </c>
      <c r="O1287" s="1649"/>
    </row>
    <row r="1288" spans="11:15">
      <c r="K1288" s="1646">
        <v>43345</v>
      </c>
      <c r="L1288" s="1647"/>
      <c r="M1288" s="1648">
        <v>0</v>
      </c>
      <c r="N1288" s="1649">
        <v>1.4555820568018121</v>
      </c>
      <c r="O1288" s="1649"/>
    </row>
    <row r="1289" spans="11:15">
      <c r="K1289" s="1646">
        <v>43346</v>
      </c>
      <c r="L1289" s="1647" t="s">
        <v>1653</v>
      </c>
      <c r="M1289" s="1648">
        <v>2.462E-2</v>
      </c>
      <c r="N1289" s="1649">
        <v>1.4559404211041969</v>
      </c>
      <c r="O1289" s="1649"/>
    </row>
    <row r="1290" spans="11:15">
      <c r="K1290" s="1646">
        <v>43347</v>
      </c>
      <c r="L1290" s="1647" t="s">
        <v>1653</v>
      </c>
      <c r="M1290" s="1648">
        <v>2.462E-2</v>
      </c>
      <c r="N1290" s="1649">
        <v>1.4562988736358728</v>
      </c>
      <c r="O1290" s="1649"/>
    </row>
    <row r="1291" spans="11:15">
      <c r="K1291" s="1646">
        <v>43348</v>
      </c>
      <c r="L1291" s="1647" t="s">
        <v>1653</v>
      </c>
      <c r="M1291" s="1648">
        <v>2.462E-2</v>
      </c>
      <c r="N1291" s="1649">
        <v>1.4566574144185622</v>
      </c>
      <c r="O1291" s="1649"/>
    </row>
    <row r="1292" spans="11:15">
      <c r="K1292" s="1646">
        <v>43349</v>
      </c>
      <c r="L1292" s="1647" t="s">
        <v>1653</v>
      </c>
      <c r="M1292" s="1648">
        <v>2.462E-2</v>
      </c>
      <c r="N1292" s="1649">
        <v>1.4570160434739923</v>
      </c>
      <c r="O1292" s="1649"/>
    </row>
    <row r="1293" spans="11:15">
      <c r="K1293" s="1646">
        <v>43350</v>
      </c>
      <c r="L1293" s="1647"/>
      <c r="M1293" s="1648">
        <v>0</v>
      </c>
      <c r="N1293" s="1649">
        <v>1.4570160434739923</v>
      </c>
      <c r="O1293" s="1649"/>
    </row>
    <row r="1294" spans="11:15">
      <c r="K1294" s="1646">
        <v>43351</v>
      </c>
      <c r="L1294" s="1647"/>
      <c r="M1294" s="1648">
        <v>0</v>
      </c>
      <c r="N1294" s="1649">
        <v>1.4570160434739923</v>
      </c>
      <c r="O1294" s="1649"/>
    </row>
    <row r="1295" spans="11:15">
      <c r="K1295" s="1646">
        <v>43352</v>
      </c>
      <c r="L1295" s="1647"/>
      <c r="M1295" s="1648">
        <v>0</v>
      </c>
      <c r="N1295" s="1649">
        <v>1.4570160434739923</v>
      </c>
      <c r="O1295" s="1649"/>
    </row>
    <row r="1296" spans="11:15">
      <c r="K1296" s="1646">
        <v>43353</v>
      </c>
      <c r="L1296" s="1647" t="s">
        <v>1653</v>
      </c>
      <c r="M1296" s="1648">
        <v>2.462E-2</v>
      </c>
      <c r="N1296" s="1649">
        <v>1.4573747608238956</v>
      </c>
      <c r="O1296" s="1649"/>
    </row>
    <row r="1297" spans="11:15">
      <c r="K1297" s="1646">
        <v>43354</v>
      </c>
      <c r="L1297" s="1647" t="s">
        <v>1653</v>
      </c>
      <c r="M1297" s="1648">
        <v>2.462E-2</v>
      </c>
      <c r="N1297" s="1649">
        <v>1.4577335664900106</v>
      </c>
      <c r="O1297" s="1649"/>
    </row>
    <row r="1298" spans="11:15">
      <c r="K1298" s="1646">
        <v>43355</v>
      </c>
      <c r="L1298" s="1647" t="s">
        <v>1653</v>
      </c>
      <c r="M1298" s="1648">
        <v>2.462E-2</v>
      </c>
      <c r="N1298" s="1649">
        <v>1.4580924604940806</v>
      </c>
      <c r="O1298" s="1649"/>
    </row>
    <row r="1299" spans="11:15">
      <c r="K1299" s="1646">
        <v>43356</v>
      </c>
      <c r="L1299" s="1647" t="s">
        <v>1653</v>
      </c>
      <c r="M1299" s="1648">
        <v>2.462E-2</v>
      </c>
      <c r="N1299" s="1649">
        <v>1.4584514428578543</v>
      </c>
      <c r="O1299" s="1649"/>
    </row>
    <row r="1300" spans="11:15">
      <c r="K1300" s="1646">
        <v>43357</v>
      </c>
      <c r="L1300" s="1647" t="s">
        <v>1653</v>
      </c>
      <c r="M1300" s="1648">
        <v>2.462E-2</v>
      </c>
      <c r="N1300" s="1649">
        <v>1.458810513603086</v>
      </c>
      <c r="O1300" s="1649"/>
    </row>
    <row r="1301" spans="11:15">
      <c r="K1301" s="1646">
        <v>43358</v>
      </c>
      <c r="L1301" s="1647"/>
      <c r="M1301" s="1648">
        <v>0</v>
      </c>
      <c r="N1301" s="1649">
        <v>1.458810513603086</v>
      </c>
      <c r="O1301" s="1649"/>
    </row>
    <row r="1302" spans="11:15">
      <c r="K1302" s="1646">
        <v>43359</v>
      </c>
      <c r="L1302" s="1647"/>
      <c r="M1302" s="1648">
        <v>0</v>
      </c>
      <c r="N1302" s="1649">
        <v>1.458810513603086</v>
      </c>
      <c r="O1302" s="1649"/>
    </row>
    <row r="1303" spans="11:15">
      <c r="K1303" s="1646">
        <v>43360</v>
      </c>
      <c r="L1303" s="1647" t="s">
        <v>1653</v>
      </c>
      <c r="M1303" s="1648">
        <v>2.462E-2</v>
      </c>
      <c r="N1303" s="1649">
        <v>1.4591696727515353</v>
      </c>
      <c r="O1303" s="1649"/>
    </row>
    <row r="1304" spans="11:15">
      <c r="K1304" s="1646">
        <v>43361</v>
      </c>
      <c r="L1304" s="1647" t="s">
        <v>1653</v>
      </c>
      <c r="M1304" s="1648">
        <v>2.462E-2</v>
      </c>
      <c r="N1304" s="1649">
        <v>1.4595289203249668</v>
      </c>
      <c r="O1304" s="1649"/>
    </row>
    <row r="1305" spans="11:15">
      <c r="K1305" s="1646">
        <v>43362</v>
      </c>
      <c r="L1305" s="1647" t="s">
        <v>1653</v>
      </c>
      <c r="M1305" s="1648">
        <v>2.462E-2</v>
      </c>
      <c r="N1305" s="1649">
        <v>1.459888256345151</v>
      </c>
      <c r="O1305" s="1649"/>
    </row>
    <row r="1306" spans="11:15">
      <c r="K1306" s="1646">
        <v>43363</v>
      </c>
      <c r="L1306" s="1647" t="s">
        <v>1653</v>
      </c>
      <c r="M1306" s="1648">
        <v>2.462E-2</v>
      </c>
      <c r="N1306" s="1649">
        <v>1.4602476808338634</v>
      </c>
      <c r="O1306" s="1649"/>
    </row>
    <row r="1307" spans="11:15">
      <c r="K1307" s="1646">
        <v>43364</v>
      </c>
      <c r="L1307" s="1647" t="s">
        <v>1653</v>
      </c>
      <c r="M1307" s="1648">
        <v>2.462E-2</v>
      </c>
      <c r="N1307" s="1649">
        <v>1.4606071938128848</v>
      </c>
      <c r="O1307" s="1649"/>
    </row>
    <row r="1308" spans="11:15">
      <c r="K1308" s="1646">
        <v>43365</v>
      </c>
      <c r="L1308" s="1647"/>
      <c r="M1308" s="1648">
        <v>0</v>
      </c>
      <c r="N1308" s="1649">
        <v>1.4606071938128848</v>
      </c>
      <c r="O1308" s="1649"/>
    </row>
    <row r="1309" spans="11:15">
      <c r="K1309" s="1646">
        <v>43366</v>
      </c>
      <c r="L1309" s="1647"/>
      <c r="M1309" s="1648">
        <v>0</v>
      </c>
      <c r="N1309" s="1649">
        <v>1.4606071938128848</v>
      </c>
      <c r="O1309" s="1649"/>
    </row>
    <row r="1310" spans="11:15">
      <c r="K1310" s="1646">
        <v>43367</v>
      </c>
      <c r="L1310" s="1647" t="s">
        <v>1653</v>
      </c>
      <c r="M1310" s="1648">
        <v>2.462E-2</v>
      </c>
      <c r="N1310" s="1649">
        <v>1.4609667953040018</v>
      </c>
      <c r="O1310" s="1649"/>
    </row>
    <row r="1311" spans="11:15">
      <c r="K1311" s="1646">
        <v>43368</v>
      </c>
      <c r="L1311" s="1647" t="s">
        <v>1653</v>
      </c>
      <c r="M1311" s="1648">
        <v>2.462E-2</v>
      </c>
      <c r="N1311" s="1649">
        <v>1.4613264853290058</v>
      </c>
      <c r="O1311" s="1649"/>
    </row>
    <row r="1312" spans="11:15">
      <c r="K1312" s="1646">
        <v>43369</v>
      </c>
      <c r="L1312" s="1647" t="s">
        <v>1653</v>
      </c>
      <c r="M1312" s="1648">
        <v>2.462E-2</v>
      </c>
      <c r="N1312" s="1649">
        <v>1.4616862639096939</v>
      </c>
      <c r="O1312" s="1649"/>
    </row>
    <row r="1313" spans="11:15">
      <c r="K1313" s="1646">
        <v>43370</v>
      </c>
      <c r="L1313" s="1647" t="s">
        <v>1653</v>
      </c>
      <c r="M1313" s="1648">
        <v>2.462E-2</v>
      </c>
      <c r="N1313" s="1649">
        <v>1.4620461310678685</v>
      </c>
      <c r="O1313" s="1649"/>
    </row>
    <row r="1314" spans="11:15">
      <c r="K1314" s="1646">
        <v>43371</v>
      </c>
      <c r="L1314" s="1647" t="s">
        <v>1653</v>
      </c>
      <c r="M1314" s="1648">
        <v>2.462E-2</v>
      </c>
      <c r="N1314" s="1649">
        <v>1.4624060868253375</v>
      </c>
      <c r="O1314" s="1649"/>
    </row>
    <row r="1315" spans="11:15">
      <c r="K1315" s="1646">
        <v>43372</v>
      </c>
      <c r="L1315" s="1647"/>
      <c r="M1315" s="1648">
        <v>0</v>
      </c>
      <c r="N1315" s="1649">
        <v>1.4624060868253375</v>
      </c>
      <c r="O1315" s="1649"/>
    </row>
    <row r="1316" spans="11:15">
      <c r="K1316" s="1646">
        <v>43373</v>
      </c>
      <c r="L1316" s="1647"/>
      <c r="M1316" s="1648">
        <v>0</v>
      </c>
      <c r="N1316" s="1649">
        <v>1.4624060868253375</v>
      </c>
      <c r="O1316" s="1649"/>
    </row>
    <row r="1317" spans="11:15">
      <c r="K1317" s="1646">
        <v>43374</v>
      </c>
      <c r="L1317" s="1647" t="s">
        <v>1653</v>
      </c>
      <c r="M1317" s="1648">
        <v>2.462E-2</v>
      </c>
      <c r="N1317" s="1649">
        <v>1.462766131203914</v>
      </c>
      <c r="O1317" s="1649"/>
    </row>
    <row r="1318" spans="11:15">
      <c r="K1318" s="1646">
        <v>43375</v>
      </c>
      <c r="L1318" s="1647" t="s">
        <v>1653</v>
      </c>
      <c r="M1318" s="1648">
        <v>2.462E-2</v>
      </c>
      <c r="N1318" s="1649">
        <v>1.4631262642254166</v>
      </c>
      <c r="O1318" s="1649"/>
    </row>
    <row r="1319" spans="11:15">
      <c r="K1319" s="1646">
        <v>43376</v>
      </c>
      <c r="L1319" s="1647" t="s">
        <v>1653</v>
      </c>
      <c r="M1319" s="1648">
        <v>2.462E-2</v>
      </c>
      <c r="N1319" s="1649">
        <v>1.463486485911669</v>
      </c>
      <c r="O1319" s="1649"/>
    </row>
    <row r="1320" spans="11:15">
      <c r="K1320" s="1646">
        <v>43377</v>
      </c>
      <c r="L1320" s="1647" t="s">
        <v>1653</v>
      </c>
      <c r="M1320" s="1648">
        <v>2.462E-2</v>
      </c>
      <c r="N1320" s="1649">
        <v>1.4638467962845005</v>
      </c>
      <c r="O1320" s="1649"/>
    </row>
    <row r="1321" spans="11:15">
      <c r="K1321" s="1646">
        <v>43378</v>
      </c>
      <c r="L1321" s="1647" t="s">
        <v>1653</v>
      </c>
      <c r="M1321" s="1648">
        <v>2.462E-2</v>
      </c>
      <c r="N1321" s="1649">
        <v>1.4642071953657458</v>
      </c>
      <c r="O1321" s="1649"/>
    </row>
    <row r="1322" spans="11:15">
      <c r="K1322" s="1646">
        <v>43379</v>
      </c>
      <c r="L1322" s="1647"/>
      <c r="M1322" s="1648">
        <v>0</v>
      </c>
      <c r="N1322" s="1649">
        <v>1.4642071953657458</v>
      </c>
      <c r="O1322" s="1649"/>
    </row>
    <row r="1323" spans="11:15">
      <c r="K1323" s="1646">
        <v>43380</v>
      </c>
      <c r="L1323" s="1647"/>
      <c r="M1323" s="1648">
        <v>0</v>
      </c>
      <c r="N1323" s="1649">
        <v>1.4642071953657458</v>
      </c>
      <c r="O1323" s="1649"/>
    </row>
    <row r="1324" spans="11:15">
      <c r="K1324" s="1646">
        <v>43381</v>
      </c>
      <c r="L1324" s="1647" t="s">
        <v>1653</v>
      </c>
      <c r="M1324" s="1648">
        <v>2.462E-2</v>
      </c>
      <c r="N1324" s="1649">
        <v>1.4645676831772449</v>
      </c>
      <c r="O1324" s="1649"/>
    </row>
    <row r="1325" spans="11:15">
      <c r="K1325" s="1646">
        <v>43382</v>
      </c>
      <c r="L1325" s="1647" t="s">
        <v>1653</v>
      </c>
      <c r="M1325" s="1648">
        <v>2.462E-2</v>
      </c>
      <c r="N1325" s="1649">
        <v>1.4649282597408433</v>
      </c>
      <c r="O1325" s="1649"/>
    </row>
    <row r="1326" spans="11:15">
      <c r="K1326" s="1646">
        <v>43383</v>
      </c>
      <c r="L1326" s="1647" t="s">
        <v>1653</v>
      </c>
      <c r="M1326" s="1648">
        <v>2.462E-2</v>
      </c>
      <c r="N1326" s="1649">
        <v>1.4652889250783916</v>
      </c>
      <c r="O1326" s="1649"/>
    </row>
    <row r="1327" spans="11:15">
      <c r="K1327" s="1646">
        <v>43384</v>
      </c>
      <c r="L1327" s="1647" t="s">
        <v>1653</v>
      </c>
      <c r="M1327" s="1648">
        <v>2.462E-2</v>
      </c>
      <c r="N1327" s="1649">
        <v>1.4656496792117459</v>
      </c>
      <c r="O1327" s="1649"/>
    </row>
    <row r="1328" spans="11:15">
      <c r="K1328" s="1646">
        <v>43385</v>
      </c>
      <c r="L1328" s="1647"/>
      <c r="M1328" s="1648">
        <v>0</v>
      </c>
      <c r="N1328" s="1649">
        <v>1.4656496792117459</v>
      </c>
      <c r="O1328" s="1649"/>
    </row>
    <row r="1329" spans="11:15">
      <c r="K1329" s="1646">
        <v>43386</v>
      </c>
      <c r="L1329" s="1647"/>
      <c r="M1329" s="1648">
        <v>0</v>
      </c>
      <c r="N1329" s="1649">
        <v>1.4656496792117459</v>
      </c>
      <c r="O1329" s="1649"/>
    </row>
    <row r="1330" spans="11:15">
      <c r="K1330" s="1646">
        <v>43387</v>
      </c>
      <c r="L1330" s="1647"/>
      <c r="M1330" s="1648">
        <v>0</v>
      </c>
      <c r="N1330" s="1649">
        <v>1.4656496792117459</v>
      </c>
      <c r="O1330" s="1649"/>
    </row>
    <row r="1331" spans="11:15">
      <c r="K1331" s="1646">
        <v>43388</v>
      </c>
      <c r="L1331" s="1647" t="s">
        <v>1653</v>
      </c>
      <c r="M1331" s="1648">
        <v>2.462E-2</v>
      </c>
      <c r="N1331" s="1649">
        <v>1.4660105221627679</v>
      </c>
      <c r="O1331" s="1649"/>
    </row>
    <row r="1332" spans="11:15">
      <c r="K1332" s="1646">
        <v>43389</v>
      </c>
      <c r="L1332" s="1647" t="s">
        <v>1653</v>
      </c>
      <c r="M1332" s="1648">
        <v>2.462E-2</v>
      </c>
      <c r="N1332" s="1649">
        <v>1.4663714539533246</v>
      </c>
      <c r="O1332" s="1649"/>
    </row>
    <row r="1333" spans="11:15">
      <c r="K1333" s="1646">
        <v>43390</v>
      </c>
      <c r="L1333" s="1647" t="s">
        <v>1653</v>
      </c>
      <c r="M1333" s="1648">
        <v>2.462E-2</v>
      </c>
      <c r="N1333" s="1649">
        <v>1.4667324746052881</v>
      </c>
      <c r="O1333" s="1649"/>
    </row>
    <row r="1334" spans="11:15">
      <c r="K1334" s="1646">
        <v>43391</v>
      </c>
      <c r="L1334" s="1647" t="s">
        <v>1653</v>
      </c>
      <c r="M1334" s="1648">
        <v>2.462E-2</v>
      </c>
      <c r="N1334" s="1649">
        <v>1.4670935841405361</v>
      </c>
      <c r="O1334" s="1649"/>
    </row>
    <row r="1335" spans="11:15">
      <c r="K1335" s="1646">
        <v>43392</v>
      </c>
      <c r="L1335" s="1647" t="s">
        <v>1653</v>
      </c>
      <c r="M1335" s="1648">
        <v>2.462E-2</v>
      </c>
      <c r="N1335" s="1649">
        <v>1.4674547825809516</v>
      </c>
      <c r="O1335" s="1649"/>
    </row>
    <row r="1336" spans="11:15">
      <c r="K1336" s="1646">
        <v>43393</v>
      </c>
      <c r="L1336" s="1647"/>
      <c r="M1336" s="1648">
        <v>0</v>
      </c>
      <c r="N1336" s="1649">
        <v>1.4674547825809516</v>
      </c>
      <c r="O1336" s="1649"/>
    </row>
    <row r="1337" spans="11:15">
      <c r="K1337" s="1646">
        <v>43394</v>
      </c>
      <c r="L1337" s="1647"/>
      <c r="M1337" s="1648">
        <v>0</v>
      </c>
      <c r="N1337" s="1649">
        <v>1.4674547825809516</v>
      </c>
      <c r="O1337" s="1649"/>
    </row>
    <row r="1338" spans="11:15">
      <c r="K1338" s="1646">
        <v>43395</v>
      </c>
      <c r="L1338" s="1647" t="s">
        <v>1653</v>
      </c>
      <c r="M1338" s="1648">
        <v>2.462E-2</v>
      </c>
      <c r="N1338" s="1649">
        <v>1.4678160699484233</v>
      </c>
      <c r="O1338" s="1649"/>
    </row>
    <row r="1339" spans="11:15">
      <c r="K1339" s="1646">
        <v>43396</v>
      </c>
      <c r="L1339" s="1647" t="s">
        <v>1653</v>
      </c>
      <c r="M1339" s="1648">
        <v>2.462E-2</v>
      </c>
      <c r="N1339" s="1649">
        <v>1.4681774462648447</v>
      </c>
      <c r="O1339" s="1649"/>
    </row>
    <row r="1340" spans="11:15">
      <c r="K1340" s="1646">
        <v>43397</v>
      </c>
      <c r="L1340" s="1647" t="s">
        <v>1653</v>
      </c>
      <c r="M1340" s="1648">
        <v>2.462E-2</v>
      </c>
      <c r="N1340" s="1649">
        <v>1.4685389115521152</v>
      </c>
      <c r="O1340" s="1649"/>
    </row>
    <row r="1341" spans="11:15">
      <c r="K1341" s="1646">
        <v>43398</v>
      </c>
      <c r="L1341" s="1647" t="s">
        <v>1653</v>
      </c>
      <c r="M1341" s="1648">
        <v>2.462E-2</v>
      </c>
      <c r="N1341" s="1649">
        <v>1.4689004658321394</v>
      </c>
      <c r="O1341" s="1649"/>
    </row>
    <row r="1342" spans="11:15">
      <c r="K1342" s="1646">
        <v>43399</v>
      </c>
      <c r="L1342" s="1647" t="s">
        <v>1653</v>
      </c>
      <c r="M1342" s="1648">
        <v>2.462E-2</v>
      </c>
      <c r="N1342" s="1649">
        <v>1.4692621091268274</v>
      </c>
      <c r="O1342" s="1649"/>
    </row>
    <row r="1343" spans="11:15">
      <c r="K1343" s="1646">
        <v>43400</v>
      </c>
      <c r="L1343" s="1647"/>
      <c r="M1343" s="1648">
        <v>0</v>
      </c>
      <c r="N1343" s="1649">
        <v>1.4692621091268274</v>
      </c>
      <c r="O1343" s="1649"/>
    </row>
    <row r="1344" spans="11:15">
      <c r="K1344" s="1646">
        <v>43401</v>
      </c>
      <c r="L1344" s="1647"/>
      <c r="M1344" s="1648">
        <v>0</v>
      </c>
      <c r="N1344" s="1649">
        <v>1.4692621091268274</v>
      </c>
      <c r="O1344" s="1649"/>
    </row>
    <row r="1345" spans="11:15">
      <c r="K1345" s="1646">
        <v>43402</v>
      </c>
      <c r="L1345" s="1647" t="s">
        <v>1653</v>
      </c>
      <c r="M1345" s="1648">
        <v>2.462E-2</v>
      </c>
      <c r="N1345" s="1649">
        <v>1.4696238414580947</v>
      </c>
      <c r="O1345" s="1649"/>
    </row>
    <row r="1346" spans="11:15">
      <c r="K1346" s="1646">
        <v>43403</v>
      </c>
      <c r="L1346" s="1647" t="s">
        <v>1653</v>
      </c>
      <c r="M1346" s="1648">
        <v>2.462E-2</v>
      </c>
      <c r="N1346" s="1649">
        <v>1.4699856628478618</v>
      </c>
      <c r="O1346" s="1649"/>
    </row>
    <row r="1347" spans="11:15">
      <c r="K1347" s="1646">
        <v>43404</v>
      </c>
      <c r="L1347" s="1647" t="s">
        <v>1653</v>
      </c>
      <c r="M1347" s="1648">
        <v>2.462E-2</v>
      </c>
      <c r="N1347" s="1649">
        <v>1.4703475733180551</v>
      </c>
      <c r="O1347" s="1649"/>
    </row>
    <row r="1348" spans="11:15">
      <c r="K1348" s="1646">
        <v>43405</v>
      </c>
      <c r="L1348" s="1647" t="s">
        <v>1653</v>
      </c>
      <c r="M1348" s="1648">
        <v>2.462E-2</v>
      </c>
      <c r="N1348" s="1649">
        <v>1.4707095728906061</v>
      </c>
      <c r="O1348" s="1649"/>
    </row>
    <row r="1349" spans="11:15">
      <c r="K1349" s="1646">
        <v>43406</v>
      </c>
      <c r="L1349" s="1647"/>
      <c r="M1349" s="1648">
        <v>0</v>
      </c>
      <c r="N1349" s="1649">
        <v>1.4707095728906061</v>
      </c>
      <c r="O1349" s="1649"/>
    </row>
    <row r="1350" spans="11:15">
      <c r="K1350" s="1646">
        <v>43407</v>
      </c>
      <c r="L1350" s="1647"/>
      <c r="M1350" s="1648">
        <v>0</v>
      </c>
      <c r="N1350" s="1649">
        <v>1.4707095728906061</v>
      </c>
      <c r="O1350" s="1649"/>
    </row>
    <row r="1351" spans="11:15">
      <c r="K1351" s="1646">
        <v>43408</v>
      </c>
      <c r="L1351" s="1647"/>
      <c r="M1351" s="1648">
        <v>0</v>
      </c>
      <c r="N1351" s="1649">
        <v>1.4707095728906061</v>
      </c>
      <c r="O1351" s="1649"/>
    </row>
    <row r="1352" spans="11:15">
      <c r="K1352" s="1646">
        <v>43409</v>
      </c>
      <c r="L1352" s="1647" t="s">
        <v>1653</v>
      </c>
      <c r="M1352" s="1648">
        <v>2.462E-2</v>
      </c>
      <c r="N1352" s="1649">
        <v>1.471071661587452</v>
      </c>
      <c r="O1352" s="1649"/>
    </row>
    <row r="1353" spans="11:15">
      <c r="K1353" s="1646">
        <v>43410</v>
      </c>
      <c r="L1353" s="1647" t="s">
        <v>1653</v>
      </c>
      <c r="M1353" s="1648">
        <v>2.462E-2</v>
      </c>
      <c r="N1353" s="1649">
        <v>1.4714338394305349</v>
      </c>
      <c r="O1353" s="1649"/>
    </row>
    <row r="1354" spans="11:15">
      <c r="K1354" s="1646">
        <v>43411</v>
      </c>
      <c r="L1354" s="1647" t="s">
        <v>1653</v>
      </c>
      <c r="M1354" s="1648">
        <v>2.462E-2</v>
      </c>
      <c r="N1354" s="1649">
        <v>1.4717961064418028</v>
      </c>
      <c r="O1354" s="1649"/>
    </row>
    <row r="1355" spans="11:15">
      <c r="K1355" s="1646">
        <v>43412</v>
      </c>
      <c r="L1355" s="1647" t="s">
        <v>1653</v>
      </c>
      <c r="M1355" s="1648">
        <v>2.462E-2</v>
      </c>
      <c r="N1355" s="1649">
        <v>1.4721584626432089</v>
      </c>
      <c r="O1355" s="1649"/>
    </row>
    <row r="1356" spans="11:15">
      <c r="K1356" s="1646">
        <v>43413</v>
      </c>
      <c r="L1356" s="1647" t="s">
        <v>1653</v>
      </c>
      <c r="M1356" s="1648">
        <v>2.462E-2</v>
      </c>
      <c r="N1356" s="1649">
        <v>1.4725209080567119</v>
      </c>
      <c r="O1356" s="1649"/>
    </row>
    <row r="1357" spans="11:15">
      <c r="K1357" s="1646">
        <v>43414</v>
      </c>
      <c r="L1357" s="1647"/>
      <c r="M1357" s="1648">
        <v>0</v>
      </c>
      <c r="N1357" s="1649">
        <v>1.4725209080567119</v>
      </c>
      <c r="O1357" s="1649"/>
    </row>
    <row r="1358" spans="11:15">
      <c r="K1358" s="1646">
        <v>43415</v>
      </c>
      <c r="L1358" s="1647"/>
      <c r="M1358" s="1648">
        <v>0</v>
      </c>
      <c r="N1358" s="1649">
        <v>1.4725209080567119</v>
      </c>
      <c r="O1358" s="1649"/>
    </row>
    <row r="1359" spans="11:15">
      <c r="K1359" s="1646">
        <v>43416</v>
      </c>
      <c r="L1359" s="1647" t="s">
        <v>1653</v>
      </c>
      <c r="M1359" s="1648">
        <v>2.462E-2</v>
      </c>
      <c r="N1359" s="1649">
        <v>1.4728834427042756</v>
      </c>
      <c r="O1359" s="1649"/>
    </row>
    <row r="1360" spans="11:15">
      <c r="K1360" s="1646">
        <v>43417</v>
      </c>
      <c r="L1360" s="1647" t="s">
        <v>1653</v>
      </c>
      <c r="M1360" s="1648">
        <v>2.462E-2</v>
      </c>
      <c r="N1360" s="1649">
        <v>1.4732460666078695</v>
      </c>
      <c r="O1360" s="1649"/>
    </row>
    <row r="1361" spans="11:15">
      <c r="K1361" s="1646">
        <v>43418</v>
      </c>
      <c r="L1361" s="1647" t="s">
        <v>1653</v>
      </c>
      <c r="M1361" s="1648">
        <v>2.462E-2</v>
      </c>
      <c r="N1361" s="1649">
        <v>1.4736087797894686</v>
      </c>
      <c r="O1361" s="1649"/>
    </row>
    <row r="1362" spans="11:15">
      <c r="K1362" s="1646">
        <v>43419</v>
      </c>
      <c r="L1362" s="1647"/>
      <c r="M1362" s="1648">
        <v>0</v>
      </c>
      <c r="N1362" s="1649">
        <v>1.4736087797894686</v>
      </c>
      <c r="O1362" s="1649"/>
    </row>
    <row r="1363" spans="11:15">
      <c r="K1363" s="1646">
        <v>43420</v>
      </c>
      <c r="L1363" s="1647" t="s">
        <v>1653</v>
      </c>
      <c r="M1363" s="1648">
        <v>2.462E-2</v>
      </c>
      <c r="N1363" s="1649">
        <v>1.4739715822710528</v>
      </c>
      <c r="O1363" s="1649"/>
    </row>
    <row r="1364" spans="11:15">
      <c r="K1364" s="1646">
        <v>43421</v>
      </c>
      <c r="L1364" s="1647"/>
      <c r="M1364" s="1648">
        <v>0</v>
      </c>
      <c r="N1364" s="1649">
        <v>1.4739715822710528</v>
      </c>
      <c r="O1364" s="1649"/>
    </row>
    <row r="1365" spans="11:15">
      <c r="K1365" s="1646">
        <v>43422</v>
      </c>
      <c r="L1365" s="1647"/>
      <c r="M1365" s="1648">
        <v>0</v>
      </c>
      <c r="N1365" s="1649">
        <v>1.4739715822710528</v>
      </c>
      <c r="O1365" s="1649"/>
    </row>
    <row r="1366" spans="11:15">
      <c r="K1366" s="1646">
        <v>43423</v>
      </c>
      <c r="L1366" s="1647" t="s">
        <v>1653</v>
      </c>
      <c r="M1366" s="1648">
        <v>2.462E-2</v>
      </c>
      <c r="N1366" s="1649">
        <v>1.474334474074608</v>
      </c>
      <c r="O1366" s="1649"/>
    </row>
    <row r="1367" spans="11:15">
      <c r="K1367" s="1646">
        <v>43424</v>
      </c>
      <c r="L1367" s="1647" t="s">
        <v>1653</v>
      </c>
      <c r="M1367" s="1648">
        <v>2.462E-2</v>
      </c>
      <c r="N1367" s="1649">
        <v>1.4746974552221253</v>
      </c>
      <c r="O1367" s="1649"/>
    </row>
    <row r="1368" spans="11:15">
      <c r="K1368" s="1646">
        <v>43425</v>
      </c>
      <c r="L1368" s="1647" t="s">
        <v>1653</v>
      </c>
      <c r="M1368" s="1648">
        <v>2.462E-2</v>
      </c>
      <c r="N1368" s="1649">
        <v>1.4750605257356011</v>
      </c>
      <c r="O1368" s="1649"/>
    </row>
    <row r="1369" spans="11:15">
      <c r="K1369" s="1646">
        <v>43426</v>
      </c>
      <c r="L1369" s="1647" t="s">
        <v>1653</v>
      </c>
      <c r="M1369" s="1648">
        <v>2.462E-2</v>
      </c>
      <c r="N1369" s="1649">
        <v>1.4754236856370373</v>
      </c>
      <c r="O1369" s="1649"/>
    </row>
    <row r="1370" spans="11:15">
      <c r="K1370" s="1646">
        <v>43427</v>
      </c>
      <c r="L1370" s="1647" t="s">
        <v>1653</v>
      </c>
      <c r="M1370" s="1648">
        <v>2.462E-2</v>
      </c>
      <c r="N1370" s="1649">
        <v>1.4757869349484412</v>
      </c>
      <c r="O1370" s="1649"/>
    </row>
    <row r="1371" spans="11:15">
      <c r="K1371" s="1646">
        <v>43428</v>
      </c>
      <c r="L1371" s="1647"/>
      <c r="M1371" s="1648">
        <v>0</v>
      </c>
      <c r="N1371" s="1649">
        <v>1.4757869349484412</v>
      </c>
      <c r="O1371" s="1649"/>
    </row>
    <row r="1372" spans="11:15">
      <c r="K1372" s="1646">
        <v>43429</v>
      </c>
      <c r="L1372" s="1647"/>
      <c r="M1372" s="1648">
        <v>0</v>
      </c>
      <c r="N1372" s="1649">
        <v>1.4757869349484412</v>
      </c>
      <c r="O1372" s="1649"/>
    </row>
    <row r="1373" spans="11:15">
      <c r="K1373" s="1646">
        <v>43430</v>
      </c>
      <c r="L1373" s="1647" t="s">
        <v>1653</v>
      </c>
      <c r="M1373" s="1648">
        <v>2.462E-2</v>
      </c>
      <c r="N1373" s="1649">
        <v>1.4761502736918255</v>
      </c>
      <c r="O1373" s="1649"/>
    </row>
    <row r="1374" spans="11:15">
      <c r="K1374" s="1646">
        <v>43431</v>
      </c>
      <c r="L1374" s="1647" t="s">
        <v>1653</v>
      </c>
      <c r="M1374" s="1648">
        <v>2.462E-2</v>
      </c>
      <c r="N1374" s="1649">
        <v>1.4765137018892085</v>
      </c>
      <c r="O1374" s="1649"/>
    </row>
    <row r="1375" spans="11:15">
      <c r="K1375" s="1646">
        <v>43432</v>
      </c>
      <c r="L1375" s="1647" t="s">
        <v>1653</v>
      </c>
      <c r="M1375" s="1648">
        <v>2.462E-2</v>
      </c>
      <c r="N1375" s="1649">
        <v>1.4768772195626136</v>
      </c>
      <c r="O1375" s="1649"/>
    </row>
    <row r="1376" spans="11:15">
      <c r="K1376" s="1646">
        <v>43433</v>
      </c>
      <c r="L1376" s="1647" t="s">
        <v>1653</v>
      </c>
      <c r="M1376" s="1648">
        <v>2.462E-2</v>
      </c>
      <c r="N1376" s="1649">
        <v>1.47724082673407</v>
      </c>
      <c r="O1376" s="1649"/>
    </row>
    <row r="1377" spans="11:15">
      <c r="K1377" s="1646">
        <v>43434</v>
      </c>
      <c r="L1377" s="1647" t="s">
        <v>1653</v>
      </c>
      <c r="M1377" s="1648">
        <v>2.462E-2</v>
      </c>
      <c r="N1377" s="1649">
        <v>1.4776045234256121</v>
      </c>
      <c r="O1377" s="1649"/>
    </row>
    <row r="1378" spans="11:15">
      <c r="K1378" s="1646">
        <v>43435</v>
      </c>
      <c r="L1378" s="1647"/>
      <c r="M1378" s="1648">
        <v>0</v>
      </c>
      <c r="N1378" s="1649">
        <v>1.4776045234256121</v>
      </c>
      <c r="O1378" s="1649"/>
    </row>
    <row r="1379" spans="11:15">
      <c r="K1379" s="1646">
        <v>43436</v>
      </c>
      <c r="L1379" s="1647"/>
      <c r="M1379" s="1648">
        <v>0</v>
      </c>
      <c r="N1379" s="1649">
        <v>1.4776045234256121</v>
      </c>
      <c r="O1379" s="1649"/>
    </row>
    <row r="1380" spans="11:15">
      <c r="K1380" s="1646">
        <v>43437</v>
      </c>
      <c r="L1380" s="1647" t="s">
        <v>1653</v>
      </c>
      <c r="M1380" s="1648">
        <v>2.462E-2</v>
      </c>
      <c r="N1380" s="1649">
        <v>1.4779683096592797</v>
      </c>
      <c r="O1380" s="1649"/>
    </row>
    <row r="1381" spans="11:15">
      <c r="K1381" s="1646">
        <v>43438</v>
      </c>
      <c r="L1381" s="1647" t="s">
        <v>1653</v>
      </c>
      <c r="M1381" s="1648">
        <v>2.462E-2</v>
      </c>
      <c r="N1381" s="1649">
        <v>1.4783321854571179</v>
      </c>
      <c r="O1381" s="1649"/>
    </row>
    <row r="1382" spans="11:15">
      <c r="K1382" s="1646">
        <v>43439</v>
      </c>
      <c r="L1382" s="1647" t="s">
        <v>1653</v>
      </c>
      <c r="M1382" s="1648">
        <v>2.462E-2</v>
      </c>
      <c r="N1382" s="1649">
        <v>1.4786961508411776</v>
      </c>
      <c r="O1382" s="1649"/>
    </row>
    <row r="1383" spans="11:15">
      <c r="K1383" s="1646">
        <v>43440</v>
      </c>
      <c r="L1383" s="1647" t="s">
        <v>1653</v>
      </c>
      <c r="M1383" s="1648">
        <v>2.462E-2</v>
      </c>
      <c r="N1383" s="1649">
        <v>1.4790602058335147</v>
      </c>
      <c r="O1383" s="1649"/>
    </row>
    <row r="1384" spans="11:15">
      <c r="K1384" s="1646">
        <v>43441</v>
      </c>
      <c r="L1384" s="1647" t="s">
        <v>1653</v>
      </c>
      <c r="M1384" s="1648">
        <v>2.462E-2</v>
      </c>
      <c r="N1384" s="1649">
        <v>1.479424350456191</v>
      </c>
      <c r="O1384" s="1649"/>
    </row>
    <row r="1385" spans="11:15">
      <c r="K1385" s="1646">
        <v>43442</v>
      </c>
      <c r="L1385" s="1647"/>
      <c r="M1385" s="1648">
        <v>0</v>
      </c>
      <c r="N1385" s="1649">
        <v>1.479424350456191</v>
      </c>
      <c r="O1385" s="1649"/>
    </row>
    <row r="1386" spans="11:15">
      <c r="K1386" s="1646">
        <v>43443</v>
      </c>
      <c r="L1386" s="1647"/>
      <c r="M1386" s="1648">
        <v>0</v>
      </c>
      <c r="N1386" s="1649">
        <v>1.479424350456191</v>
      </c>
      <c r="O1386" s="1649"/>
    </row>
    <row r="1387" spans="11:15">
      <c r="K1387" s="1646">
        <v>43444</v>
      </c>
      <c r="L1387" s="1647" t="s">
        <v>1653</v>
      </c>
      <c r="M1387" s="1648">
        <v>2.462E-2</v>
      </c>
      <c r="N1387" s="1649">
        <v>1.4797885847312735</v>
      </c>
      <c r="O1387" s="1649"/>
    </row>
    <row r="1388" spans="11:15">
      <c r="K1388" s="1646">
        <v>43445</v>
      </c>
      <c r="L1388" s="1647" t="s">
        <v>1653</v>
      </c>
      <c r="M1388" s="1648">
        <v>2.462E-2</v>
      </c>
      <c r="N1388" s="1649">
        <v>1.4801529086808345</v>
      </c>
      <c r="O1388" s="1649"/>
    </row>
    <row r="1389" spans="11:15">
      <c r="K1389" s="1646">
        <v>43446</v>
      </c>
      <c r="L1389" s="1647" t="s">
        <v>1653</v>
      </c>
      <c r="M1389" s="1648">
        <v>2.462E-2</v>
      </c>
      <c r="N1389" s="1649">
        <v>1.4805173223269519</v>
      </c>
      <c r="O1389" s="1649"/>
    </row>
    <row r="1390" spans="11:15">
      <c r="K1390" s="1646">
        <v>43447</v>
      </c>
      <c r="L1390" s="1647" t="s">
        <v>1653</v>
      </c>
      <c r="M1390" s="1648">
        <v>2.462E-2</v>
      </c>
      <c r="N1390" s="1649">
        <v>1.4808818256917089</v>
      </c>
      <c r="O1390" s="1649"/>
    </row>
    <row r="1391" spans="11:15">
      <c r="K1391" s="1646">
        <v>43448</v>
      </c>
      <c r="L1391" s="1647" t="s">
        <v>1653</v>
      </c>
      <c r="M1391" s="1648">
        <v>2.462E-2</v>
      </c>
      <c r="N1391" s="1649">
        <v>1.4812464187971943</v>
      </c>
      <c r="O1391" s="1649"/>
    </row>
    <row r="1392" spans="11:15">
      <c r="K1392" s="1646">
        <v>43449</v>
      </c>
      <c r="L1392" s="1647"/>
      <c r="M1392" s="1648">
        <v>0</v>
      </c>
      <c r="N1392" s="1649">
        <v>1.4812464187971943</v>
      </c>
      <c r="O1392" s="1649"/>
    </row>
    <row r="1393" spans="11:15">
      <c r="K1393" s="1646">
        <v>43450</v>
      </c>
      <c r="L1393" s="1647"/>
      <c r="M1393" s="1648">
        <v>0</v>
      </c>
      <c r="N1393" s="1649">
        <v>1.4812464187971943</v>
      </c>
      <c r="O1393" s="1649"/>
    </row>
    <row r="1394" spans="11:15">
      <c r="K1394" s="1646">
        <v>43451</v>
      </c>
      <c r="L1394" s="1647" t="s">
        <v>1653</v>
      </c>
      <c r="M1394" s="1648">
        <v>2.462E-2</v>
      </c>
      <c r="N1394" s="1649">
        <v>1.4816111016655023</v>
      </c>
      <c r="O1394" s="1649"/>
    </row>
    <row r="1395" spans="11:15">
      <c r="K1395" s="1646">
        <v>43452</v>
      </c>
      <c r="L1395" s="1647" t="s">
        <v>1653</v>
      </c>
      <c r="M1395" s="1648">
        <v>2.462E-2</v>
      </c>
      <c r="N1395" s="1649">
        <v>1.4819758743187323</v>
      </c>
      <c r="O1395" s="1649"/>
    </row>
    <row r="1396" spans="11:15">
      <c r="K1396" s="1646">
        <v>43453</v>
      </c>
      <c r="L1396" s="1647" t="s">
        <v>1653</v>
      </c>
      <c r="M1396" s="1648">
        <v>2.462E-2</v>
      </c>
      <c r="N1396" s="1649">
        <v>1.4823407367789898</v>
      </c>
      <c r="O1396" s="1649"/>
    </row>
    <row r="1397" spans="11:15">
      <c r="K1397" s="1646">
        <v>43454</v>
      </c>
      <c r="L1397" s="1647" t="s">
        <v>1653</v>
      </c>
      <c r="M1397" s="1648">
        <v>2.462E-2</v>
      </c>
      <c r="N1397" s="1649">
        <v>1.482705689068385</v>
      </c>
      <c r="O1397" s="1649"/>
    </row>
    <row r="1398" spans="11:15">
      <c r="K1398" s="1646">
        <v>43455</v>
      </c>
      <c r="L1398" s="1647" t="s">
        <v>1653</v>
      </c>
      <c r="M1398" s="1648">
        <v>2.462E-2</v>
      </c>
      <c r="N1398" s="1649">
        <v>1.4830707312090337</v>
      </c>
      <c r="O1398" s="1649"/>
    </row>
    <row r="1399" spans="11:15">
      <c r="K1399" s="1646">
        <v>43456</v>
      </c>
      <c r="L1399" s="1647"/>
      <c r="M1399" s="1648">
        <v>0</v>
      </c>
      <c r="N1399" s="1649">
        <v>1.4830707312090337</v>
      </c>
      <c r="O1399" s="1649"/>
    </row>
    <row r="1400" spans="11:15">
      <c r="K1400" s="1646">
        <v>43457</v>
      </c>
      <c r="L1400" s="1647"/>
      <c r="M1400" s="1648">
        <v>0</v>
      </c>
      <c r="N1400" s="1649">
        <v>1.4830707312090337</v>
      </c>
      <c r="O1400" s="1649"/>
    </row>
    <row r="1401" spans="11:15">
      <c r="K1401" s="1646">
        <v>43458</v>
      </c>
      <c r="L1401" s="1647" t="s">
        <v>1653</v>
      </c>
      <c r="M1401" s="1648">
        <v>2.462E-2</v>
      </c>
      <c r="N1401" s="1649">
        <v>1.4834358632230575</v>
      </c>
      <c r="O1401" s="1649"/>
    </row>
    <row r="1402" spans="11:15">
      <c r="K1402" s="1646">
        <v>43459</v>
      </c>
      <c r="L1402" s="1647"/>
      <c r="M1402" s="1648">
        <v>0</v>
      </c>
      <c r="N1402" s="1649">
        <v>1.4834358632230575</v>
      </c>
      <c r="O1402" s="1649"/>
    </row>
    <row r="1403" spans="11:15">
      <c r="K1403" s="1646">
        <v>43460</v>
      </c>
      <c r="L1403" s="1647" t="s">
        <v>1653</v>
      </c>
      <c r="M1403" s="1648">
        <v>2.462E-2</v>
      </c>
      <c r="N1403" s="1649">
        <v>1.4838010851325831</v>
      </c>
      <c r="O1403" s="1649"/>
    </row>
    <row r="1404" spans="11:15">
      <c r="K1404" s="1646">
        <v>43461</v>
      </c>
      <c r="L1404" s="1647" t="s">
        <v>1653</v>
      </c>
      <c r="M1404" s="1648">
        <v>2.462E-2</v>
      </c>
      <c r="N1404" s="1649">
        <v>1.484166396959743</v>
      </c>
      <c r="O1404" s="1649"/>
    </row>
    <row r="1405" spans="11:15">
      <c r="K1405" s="1646">
        <v>43462</v>
      </c>
      <c r="L1405" s="1647" t="s">
        <v>1653</v>
      </c>
      <c r="M1405" s="1648">
        <v>2.462E-2</v>
      </c>
      <c r="N1405" s="1649">
        <v>1.4845317987266746</v>
      </c>
      <c r="O1405" s="1649"/>
    </row>
    <row r="1406" spans="11:15">
      <c r="K1406" s="1646">
        <v>43463</v>
      </c>
      <c r="L1406" s="1647"/>
      <c r="M1406" s="1648">
        <v>0</v>
      </c>
      <c r="N1406" s="1649">
        <v>1.4845317987266746</v>
      </c>
      <c r="O1406" s="1649"/>
    </row>
    <row r="1407" spans="11:15">
      <c r="K1407" s="1646">
        <v>43464</v>
      </c>
      <c r="L1407" s="1647"/>
      <c r="M1407" s="1648">
        <v>0</v>
      </c>
      <c r="N1407" s="1649">
        <v>1.4845317987266746</v>
      </c>
      <c r="O1407" s="1649"/>
    </row>
    <row r="1408" spans="11:15">
      <c r="K1408" s="1646">
        <v>43465</v>
      </c>
      <c r="L1408" s="1647" t="s">
        <v>1653</v>
      </c>
      <c r="M1408" s="1648">
        <v>2.462E-2</v>
      </c>
      <c r="N1408" s="1649">
        <v>1.4848972904555213</v>
      </c>
      <c r="O1408" s="1649"/>
    </row>
    <row r="1409" spans="11:15">
      <c r="K1409" s="1646">
        <v>43466</v>
      </c>
      <c r="L1409" s="1647"/>
      <c r="M1409" s="1648">
        <v>0</v>
      </c>
      <c r="N1409" s="1649">
        <v>1.4848972904555213</v>
      </c>
      <c r="O1409" s="1649"/>
    </row>
    <row r="1410" spans="11:15">
      <c r="K1410" s="1646">
        <v>43467</v>
      </c>
      <c r="L1410" s="1647" t="s">
        <v>1653</v>
      </c>
      <c r="M1410" s="1648">
        <v>2.462E-2</v>
      </c>
      <c r="N1410" s="1649">
        <v>1.4852628721684316</v>
      </c>
      <c r="O1410" s="1649"/>
    </row>
    <row r="1411" spans="11:15">
      <c r="K1411" s="1646">
        <v>43468</v>
      </c>
      <c r="L1411" s="1647" t="s">
        <v>1653</v>
      </c>
      <c r="M1411" s="1648">
        <v>2.462E-2</v>
      </c>
      <c r="N1411" s="1649">
        <v>1.4856285438875596</v>
      </c>
      <c r="O1411" s="1649"/>
    </row>
    <row r="1412" spans="11:15">
      <c r="K1412" s="1646">
        <v>43469</v>
      </c>
      <c r="L1412" s="1647" t="s">
        <v>1653</v>
      </c>
      <c r="M1412" s="1648">
        <v>2.462E-2</v>
      </c>
      <c r="N1412" s="1649">
        <v>1.4859943056350648</v>
      </c>
      <c r="O1412" s="1649"/>
    </row>
    <row r="1413" spans="11:15">
      <c r="K1413" s="1646">
        <v>43470</v>
      </c>
      <c r="L1413" s="1647"/>
      <c r="M1413" s="1648">
        <v>0</v>
      </c>
      <c r="N1413" s="1649">
        <v>1.4859943056350648</v>
      </c>
      <c r="O1413" s="1649"/>
    </row>
    <row r="1414" spans="11:15">
      <c r="K1414" s="1646">
        <v>43471</v>
      </c>
      <c r="L1414" s="1647"/>
      <c r="M1414" s="1648">
        <v>0</v>
      </c>
      <c r="N1414" s="1649">
        <v>1.4859943056350648</v>
      </c>
      <c r="O1414" s="1649"/>
    </row>
    <row r="1415" spans="11:15">
      <c r="K1415" s="1646">
        <v>43472</v>
      </c>
      <c r="L1415" s="1647" t="s">
        <v>1653</v>
      </c>
      <c r="M1415" s="1648">
        <v>2.462E-2</v>
      </c>
      <c r="N1415" s="1649">
        <v>1.4863601574331122</v>
      </c>
      <c r="O1415" s="1649"/>
    </row>
    <row r="1416" spans="11:15">
      <c r="K1416" s="1646">
        <v>43473</v>
      </c>
      <c r="L1416" s="1647" t="s">
        <v>1653</v>
      </c>
      <c r="M1416" s="1648">
        <v>2.462E-2</v>
      </c>
      <c r="N1416" s="1649">
        <v>1.4867260993038725</v>
      </c>
      <c r="O1416" s="1649"/>
    </row>
    <row r="1417" spans="11:15">
      <c r="K1417" s="1646">
        <v>43474</v>
      </c>
      <c r="L1417" s="1647" t="s">
        <v>1653</v>
      </c>
      <c r="M1417" s="1648">
        <v>2.462E-2</v>
      </c>
      <c r="N1417" s="1649">
        <v>1.4870921312695211</v>
      </c>
      <c r="O1417" s="1649"/>
    </row>
    <row r="1418" spans="11:15">
      <c r="K1418" s="1646">
        <v>43475</v>
      </c>
      <c r="L1418" s="1647" t="s">
        <v>1653</v>
      </c>
      <c r="M1418" s="1648">
        <v>2.462E-2</v>
      </c>
      <c r="N1418" s="1649">
        <v>1.4874582533522398</v>
      </c>
      <c r="O1418" s="1649"/>
    </row>
    <row r="1419" spans="11:15">
      <c r="K1419" s="1646">
        <v>43476</v>
      </c>
      <c r="L1419" s="1647" t="s">
        <v>1653</v>
      </c>
      <c r="M1419" s="1648">
        <v>2.462E-2</v>
      </c>
      <c r="N1419" s="1649">
        <v>1.4878244655742152</v>
      </c>
      <c r="O1419" s="1649"/>
    </row>
    <row r="1420" spans="11:15">
      <c r="K1420" s="1646">
        <v>43477</v>
      </c>
      <c r="L1420" s="1647"/>
      <c r="M1420" s="1648">
        <v>0</v>
      </c>
      <c r="N1420" s="1649">
        <v>1.4878244655742152</v>
      </c>
      <c r="O1420" s="1649"/>
    </row>
    <row r="1421" spans="11:15">
      <c r="K1421" s="1646">
        <v>43478</v>
      </c>
      <c r="L1421" s="1647"/>
      <c r="M1421" s="1648">
        <v>0</v>
      </c>
      <c r="N1421" s="1649">
        <v>1.4878244655742152</v>
      </c>
      <c r="O1421" s="1649"/>
    </row>
    <row r="1422" spans="11:15">
      <c r="K1422" s="1646">
        <v>43479</v>
      </c>
      <c r="L1422" s="1647" t="s">
        <v>1653</v>
      </c>
      <c r="M1422" s="1648">
        <v>2.462E-2</v>
      </c>
      <c r="N1422" s="1649">
        <v>1.4881907679576396</v>
      </c>
      <c r="O1422" s="1649"/>
    </row>
    <row r="1423" spans="11:15">
      <c r="K1423" s="1646">
        <v>43480</v>
      </c>
      <c r="L1423" s="1647" t="s">
        <v>1653</v>
      </c>
      <c r="M1423" s="1648">
        <v>2.462E-2</v>
      </c>
      <c r="N1423" s="1649">
        <v>1.488557160524711</v>
      </c>
      <c r="O1423" s="1649"/>
    </row>
    <row r="1424" spans="11:15">
      <c r="K1424" s="1646">
        <v>43481</v>
      </c>
      <c r="L1424" s="1647" t="s">
        <v>1653</v>
      </c>
      <c r="M1424" s="1648">
        <v>2.462E-2</v>
      </c>
      <c r="N1424" s="1649">
        <v>1.4889236432976323</v>
      </c>
      <c r="O1424" s="1649"/>
    </row>
    <row r="1425" spans="11:15">
      <c r="K1425" s="1646">
        <v>43482</v>
      </c>
      <c r="L1425" s="1647" t="s">
        <v>1653</v>
      </c>
      <c r="M1425" s="1648">
        <v>2.462E-2</v>
      </c>
      <c r="N1425" s="1649">
        <v>1.4892902162986124</v>
      </c>
      <c r="O1425" s="1649"/>
    </row>
    <row r="1426" spans="11:15">
      <c r="K1426" s="1646">
        <v>43483</v>
      </c>
      <c r="L1426" s="1647" t="s">
        <v>1653</v>
      </c>
      <c r="M1426" s="1648">
        <v>2.462E-2</v>
      </c>
      <c r="N1426" s="1649">
        <v>1.4896568795498653</v>
      </c>
      <c r="O1426" s="1649"/>
    </row>
    <row r="1427" spans="11:15">
      <c r="K1427" s="1646">
        <v>43484</v>
      </c>
      <c r="L1427" s="1647"/>
      <c r="M1427" s="1648">
        <v>0</v>
      </c>
      <c r="N1427" s="1649">
        <v>1.4896568795498653</v>
      </c>
      <c r="O1427" s="1649"/>
    </row>
    <row r="1428" spans="11:15">
      <c r="K1428" s="1646">
        <v>43485</v>
      </c>
      <c r="L1428" s="1647"/>
      <c r="M1428" s="1648">
        <v>0</v>
      </c>
      <c r="N1428" s="1649">
        <v>1.4896568795498653</v>
      </c>
      <c r="O1428" s="1649"/>
    </row>
    <row r="1429" spans="11:15">
      <c r="K1429" s="1646">
        <v>43486</v>
      </c>
      <c r="L1429" s="1647" t="s">
        <v>1653</v>
      </c>
      <c r="M1429" s="1648">
        <v>2.462E-2</v>
      </c>
      <c r="N1429" s="1649">
        <v>1.4900236330736105</v>
      </c>
      <c r="O1429" s="1649"/>
    </row>
    <row r="1430" spans="11:15">
      <c r="K1430" s="1646">
        <v>43487</v>
      </c>
      <c r="L1430" s="1647" t="s">
        <v>1653</v>
      </c>
      <c r="M1430" s="1648">
        <v>2.462E-2</v>
      </c>
      <c r="N1430" s="1649">
        <v>1.4903904768920733</v>
      </c>
      <c r="O1430" s="1649"/>
    </row>
    <row r="1431" spans="11:15">
      <c r="K1431" s="1646">
        <v>43488</v>
      </c>
      <c r="L1431" s="1647" t="s">
        <v>1653</v>
      </c>
      <c r="M1431" s="1648">
        <v>2.462E-2</v>
      </c>
      <c r="N1431" s="1649">
        <v>1.4907574110274842</v>
      </c>
      <c r="O1431" s="1649"/>
    </row>
    <row r="1432" spans="11:15">
      <c r="K1432" s="1646">
        <v>43489</v>
      </c>
      <c r="L1432" s="1647" t="s">
        <v>1653</v>
      </c>
      <c r="M1432" s="1648">
        <v>2.462E-2</v>
      </c>
      <c r="N1432" s="1649">
        <v>1.4911244355020792</v>
      </c>
      <c r="O1432" s="1649"/>
    </row>
    <row r="1433" spans="11:15">
      <c r="K1433" s="1646">
        <v>43490</v>
      </c>
      <c r="L1433" s="1647" t="s">
        <v>1653</v>
      </c>
      <c r="M1433" s="1648">
        <v>2.462E-2</v>
      </c>
      <c r="N1433" s="1649">
        <v>1.4914915503380999</v>
      </c>
      <c r="O1433" s="1649"/>
    </row>
    <row r="1434" spans="11:15">
      <c r="K1434" s="1646">
        <v>43491</v>
      </c>
      <c r="L1434" s="1647"/>
      <c r="M1434" s="1648">
        <v>0</v>
      </c>
      <c r="N1434" s="1649">
        <v>1.4914915503380999</v>
      </c>
      <c r="O1434" s="1649"/>
    </row>
    <row r="1435" spans="11:15">
      <c r="K1435" s="1646">
        <v>43492</v>
      </c>
      <c r="L1435" s="1647"/>
      <c r="M1435" s="1648">
        <v>0</v>
      </c>
      <c r="N1435" s="1649">
        <v>1.4914915503380999</v>
      </c>
      <c r="O1435" s="1649"/>
    </row>
    <row r="1436" spans="11:15">
      <c r="K1436" s="1646">
        <v>43493</v>
      </c>
      <c r="L1436" s="1647" t="s">
        <v>1653</v>
      </c>
      <c r="M1436" s="1648">
        <v>2.462E-2</v>
      </c>
      <c r="N1436" s="1649">
        <v>1.4918587555577933</v>
      </c>
      <c r="O1436" s="1649"/>
    </row>
    <row r="1437" spans="11:15">
      <c r="K1437" s="1646">
        <v>43494</v>
      </c>
      <c r="L1437" s="1647" t="s">
        <v>1653</v>
      </c>
      <c r="M1437" s="1648">
        <v>2.462E-2</v>
      </c>
      <c r="N1437" s="1649">
        <v>1.4922260511834118</v>
      </c>
      <c r="O1437" s="1649"/>
    </row>
    <row r="1438" spans="11:15">
      <c r="K1438" s="1646">
        <v>43495</v>
      </c>
      <c r="L1438" s="1647" t="s">
        <v>1653</v>
      </c>
      <c r="M1438" s="1648">
        <v>2.462E-2</v>
      </c>
      <c r="N1438" s="1649">
        <v>1.4925934372372132</v>
      </c>
      <c r="O1438" s="1649"/>
    </row>
    <row r="1439" spans="11:15">
      <c r="K1439" s="1646">
        <v>43496</v>
      </c>
      <c r="L1439" s="1647" t="s">
        <v>1653</v>
      </c>
      <c r="M1439" s="1648">
        <v>2.462E-2</v>
      </c>
      <c r="N1439" s="1649">
        <v>1.492960913741461</v>
      </c>
      <c r="O1439" s="1649"/>
    </row>
    <row r="1440" spans="11:15">
      <c r="K1440" s="1646">
        <v>43497</v>
      </c>
      <c r="L1440" s="1647" t="s">
        <v>1653</v>
      </c>
      <c r="M1440" s="1648">
        <v>2.462E-2</v>
      </c>
      <c r="N1440" s="1649">
        <v>1.4933284807184244</v>
      </c>
      <c r="O1440" s="1649"/>
    </row>
    <row r="1441" spans="11:15">
      <c r="K1441" s="1646">
        <v>43498</v>
      </c>
      <c r="L1441" s="1647"/>
      <c r="M1441" s="1648">
        <v>0</v>
      </c>
      <c r="N1441" s="1649">
        <v>1.4933284807184244</v>
      </c>
      <c r="O1441" s="1649"/>
    </row>
    <row r="1442" spans="11:15">
      <c r="K1442" s="1646">
        <v>43499</v>
      </c>
      <c r="L1442" s="1647"/>
      <c r="M1442" s="1648">
        <v>0</v>
      </c>
      <c r="N1442" s="1649">
        <v>1.4933284807184244</v>
      </c>
      <c r="O1442" s="1649"/>
    </row>
    <row r="1443" spans="11:15">
      <c r="K1443" s="1646">
        <v>43500</v>
      </c>
      <c r="L1443" s="1647" t="s">
        <v>1653</v>
      </c>
      <c r="M1443" s="1648">
        <v>2.462E-2</v>
      </c>
      <c r="N1443" s="1649">
        <v>1.4936961381903775</v>
      </c>
      <c r="O1443" s="1649"/>
    </row>
    <row r="1444" spans="11:15">
      <c r="K1444" s="1646">
        <v>43501</v>
      </c>
      <c r="L1444" s="1647" t="s">
        <v>1653</v>
      </c>
      <c r="M1444" s="1648">
        <v>2.462E-2</v>
      </c>
      <c r="N1444" s="1649">
        <v>1.4940638861796001</v>
      </c>
      <c r="O1444" s="1649"/>
    </row>
    <row r="1445" spans="11:15">
      <c r="K1445" s="1646">
        <v>43502</v>
      </c>
      <c r="L1445" s="1647" t="s">
        <v>1653</v>
      </c>
      <c r="M1445" s="1648">
        <v>2.462E-2</v>
      </c>
      <c r="N1445" s="1649">
        <v>1.4944317247083776</v>
      </c>
      <c r="O1445" s="1649"/>
    </row>
    <row r="1446" spans="11:15">
      <c r="K1446" s="1646">
        <v>43503</v>
      </c>
      <c r="L1446" s="1647" t="s">
        <v>1653</v>
      </c>
      <c r="M1446" s="1648">
        <v>2.462E-2</v>
      </c>
      <c r="N1446" s="1649">
        <v>1.4947996537990009</v>
      </c>
      <c r="O1446" s="1649"/>
    </row>
    <row r="1447" spans="11:15">
      <c r="K1447" s="1646">
        <v>43504</v>
      </c>
      <c r="L1447" s="1647" t="s">
        <v>1653</v>
      </c>
      <c r="M1447" s="1648">
        <v>2.462E-2</v>
      </c>
      <c r="N1447" s="1649">
        <v>1.4951676734737664</v>
      </c>
      <c r="O1447" s="1649"/>
    </row>
    <row r="1448" spans="11:15">
      <c r="K1448" s="1646">
        <v>43505</v>
      </c>
      <c r="L1448" s="1647"/>
      <c r="M1448" s="1648">
        <v>0</v>
      </c>
      <c r="N1448" s="1649">
        <v>1.4951676734737664</v>
      </c>
      <c r="O1448" s="1649"/>
    </row>
    <row r="1449" spans="11:15">
      <c r="K1449" s="1646">
        <v>43506</v>
      </c>
      <c r="L1449" s="1647"/>
      <c r="M1449" s="1648">
        <v>0</v>
      </c>
      <c r="N1449" s="1649">
        <v>1.4951676734737664</v>
      </c>
      <c r="O1449" s="1649"/>
    </row>
    <row r="1450" spans="11:15">
      <c r="K1450" s="1646">
        <v>43507</v>
      </c>
      <c r="L1450" s="1647" t="s">
        <v>1653</v>
      </c>
      <c r="M1450" s="1648">
        <v>2.462E-2</v>
      </c>
      <c r="N1450" s="1649">
        <v>1.4955357837549759</v>
      </c>
      <c r="O1450" s="1649"/>
    </row>
    <row r="1451" spans="11:15">
      <c r="K1451" s="1646">
        <v>43508</v>
      </c>
      <c r="L1451" s="1647" t="s">
        <v>1653</v>
      </c>
      <c r="M1451" s="1648">
        <v>2.462E-2</v>
      </c>
      <c r="N1451" s="1649">
        <v>1.4959039846649365</v>
      </c>
      <c r="O1451" s="1649"/>
    </row>
    <row r="1452" spans="11:15">
      <c r="K1452" s="1646">
        <v>43509</v>
      </c>
      <c r="L1452" s="1647" t="s">
        <v>1653</v>
      </c>
      <c r="M1452" s="1648">
        <v>2.462E-2</v>
      </c>
      <c r="N1452" s="1649">
        <v>1.496272276225961</v>
      </c>
      <c r="O1452" s="1649"/>
    </row>
    <row r="1453" spans="11:15">
      <c r="K1453" s="1646">
        <v>43510</v>
      </c>
      <c r="L1453" s="1647" t="s">
        <v>1653</v>
      </c>
      <c r="M1453" s="1648">
        <v>2.462E-2</v>
      </c>
      <c r="N1453" s="1649">
        <v>1.496640658460368</v>
      </c>
      <c r="O1453" s="1649"/>
    </row>
    <row r="1454" spans="11:15">
      <c r="K1454" s="1646">
        <v>43511</v>
      </c>
      <c r="L1454" s="1647" t="s">
        <v>1653</v>
      </c>
      <c r="M1454" s="1648">
        <v>2.462E-2</v>
      </c>
      <c r="N1454" s="1649">
        <v>1.497009131390481</v>
      </c>
      <c r="O1454" s="1649"/>
    </row>
    <row r="1455" spans="11:15">
      <c r="K1455" s="1646">
        <v>43512</v>
      </c>
      <c r="L1455" s="1647"/>
      <c r="M1455" s="1648">
        <v>0</v>
      </c>
      <c r="N1455" s="1649">
        <v>1.497009131390481</v>
      </c>
      <c r="O1455" s="1649"/>
    </row>
    <row r="1456" spans="11:15">
      <c r="K1456" s="1646">
        <v>43513</v>
      </c>
      <c r="L1456" s="1647"/>
      <c r="M1456" s="1648">
        <v>0</v>
      </c>
      <c r="N1456" s="1649">
        <v>1.497009131390481</v>
      </c>
      <c r="O1456" s="1649"/>
    </row>
    <row r="1457" spans="11:15">
      <c r="K1457" s="1646">
        <v>43514</v>
      </c>
      <c r="L1457" s="1647" t="s">
        <v>1653</v>
      </c>
      <c r="M1457" s="1648">
        <v>2.462E-2</v>
      </c>
      <c r="N1457" s="1649">
        <v>1.4973776950386295</v>
      </c>
      <c r="O1457" s="1649"/>
    </row>
    <row r="1458" spans="11:15">
      <c r="K1458" s="1646">
        <v>43515</v>
      </c>
      <c r="L1458" s="1647" t="s">
        <v>1653</v>
      </c>
      <c r="M1458" s="1648">
        <v>2.462E-2</v>
      </c>
      <c r="N1458" s="1649">
        <v>1.4977463494271481</v>
      </c>
      <c r="O1458" s="1649"/>
    </row>
    <row r="1459" spans="11:15">
      <c r="K1459" s="1646">
        <v>43516</v>
      </c>
      <c r="L1459" s="1647" t="s">
        <v>1653</v>
      </c>
      <c r="M1459" s="1648">
        <v>2.462E-2</v>
      </c>
      <c r="N1459" s="1649">
        <v>1.4981150945783772</v>
      </c>
      <c r="O1459" s="1649"/>
    </row>
    <row r="1460" spans="11:15">
      <c r="K1460" s="1646">
        <v>43517</v>
      </c>
      <c r="L1460" s="1647" t="s">
        <v>1653</v>
      </c>
      <c r="M1460" s="1648">
        <v>2.462E-2</v>
      </c>
      <c r="N1460" s="1649">
        <v>1.4984839305146624</v>
      </c>
      <c r="O1460" s="1649"/>
    </row>
    <row r="1461" spans="11:15">
      <c r="K1461" s="1646">
        <v>43518</v>
      </c>
      <c r="L1461" s="1647" t="s">
        <v>1653</v>
      </c>
      <c r="M1461" s="1648">
        <v>2.462E-2</v>
      </c>
      <c r="N1461" s="1649">
        <v>1.4988528572583553</v>
      </c>
      <c r="O1461" s="1649"/>
    </row>
    <row r="1462" spans="11:15">
      <c r="K1462" s="1646">
        <v>43519</v>
      </c>
      <c r="L1462" s="1647"/>
      <c r="M1462" s="1648">
        <v>0</v>
      </c>
      <c r="N1462" s="1649">
        <v>1.4988528572583553</v>
      </c>
      <c r="O1462" s="1649"/>
    </row>
    <row r="1463" spans="11:15">
      <c r="K1463" s="1646">
        <v>43520</v>
      </c>
      <c r="L1463" s="1647"/>
      <c r="M1463" s="1648">
        <v>0</v>
      </c>
      <c r="N1463" s="1649">
        <v>1.4988528572583553</v>
      </c>
      <c r="O1463" s="1649"/>
    </row>
    <row r="1464" spans="11:15">
      <c r="K1464" s="1646">
        <v>43521</v>
      </c>
      <c r="L1464" s="1647" t="s">
        <v>1653</v>
      </c>
      <c r="M1464" s="1648">
        <v>2.462E-2</v>
      </c>
      <c r="N1464" s="1649">
        <v>1.4992218748318125</v>
      </c>
      <c r="O1464" s="1649"/>
    </row>
    <row r="1465" spans="11:15">
      <c r="K1465" s="1646">
        <v>43522</v>
      </c>
      <c r="L1465" s="1647" t="s">
        <v>1653</v>
      </c>
      <c r="M1465" s="1648">
        <v>2.462E-2</v>
      </c>
      <c r="N1465" s="1649">
        <v>1.4995909832573961</v>
      </c>
      <c r="O1465" s="1649"/>
    </row>
    <row r="1466" spans="11:15">
      <c r="K1466" s="1646">
        <v>43523</v>
      </c>
      <c r="L1466" s="1647" t="s">
        <v>1653</v>
      </c>
      <c r="M1466" s="1648">
        <v>2.462E-2</v>
      </c>
      <c r="N1466" s="1649">
        <v>1.4999601825574742</v>
      </c>
      <c r="O1466" s="1649"/>
    </row>
    <row r="1467" spans="11:15">
      <c r="K1467" s="1646">
        <v>43524</v>
      </c>
      <c r="L1467" s="1647" t="s">
        <v>1653</v>
      </c>
      <c r="M1467" s="1648">
        <v>2.462E-2</v>
      </c>
      <c r="N1467" s="1649">
        <v>1.5003294727544201</v>
      </c>
      <c r="O1467" s="1649"/>
    </row>
    <row r="1468" spans="11:15">
      <c r="K1468" s="1646">
        <v>43525</v>
      </c>
      <c r="L1468" s="1647" t="s">
        <v>1653</v>
      </c>
      <c r="M1468" s="1648">
        <v>2.462E-2</v>
      </c>
      <c r="N1468" s="1649">
        <v>1.5006988538706123</v>
      </c>
      <c r="O1468" s="1649"/>
    </row>
    <row r="1469" spans="11:15">
      <c r="K1469" s="1646">
        <v>43526</v>
      </c>
      <c r="L1469" s="1647"/>
      <c r="M1469" s="1648">
        <v>0</v>
      </c>
      <c r="N1469" s="1649">
        <v>1.5006988538706123</v>
      </c>
      <c r="O1469" s="1649"/>
    </row>
    <row r="1470" spans="11:15">
      <c r="K1470" s="1646">
        <v>43527</v>
      </c>
      <c r="L1470" s="1647"/>
      <c r="M1470" s="1648">
        <v>0</v>
      </c>
      <c r="N1470" s="1649">
        <v>1.5006988538706123</v>
      </c>
      <c r="O1470" s="1649"/>
    </row>
    <row r="1471" spans="11:15">
      <c r="K1471" s="1646">
        <v>43528</v>
      </c>
      <c r="L1471" s="1647"/>
      <c r="M1471" s="1648">
        <v>0</v>
      </c>
      <c r="N1471" s="1649">
        <v>1.5006988538706123</v>
      </c>
      <c r="O1471" s="1649"/>
    </row>
    <row r="1472" spans="11:15">
      <c r="K1472" s="1646">
        <v>43529</v>
      </c>
      <c r="L1472" s="1647"/>
      <c r="M1472" s="1648">
        <v>0</v>
      </c>
      <c r="N1472" s="1649">
        <v>1.5006988538706123</v>
      </c>
      <c r="O1472" s="1649"/>
    </row>
    <row r="1473" spans="11:15">
      <c r="K1473" s="1646">
        <v>43530</v>
      </c>
      <c r="L1473" s="1647" t="s">
        <v>1653</v>
      </c>
      <c r="M1473" s="1648">
        <v>2.462E-2</v>
      </c>
      <c r="N1473" s="1649">
        <v>1.5010683259284354</v>
      </c>
      <c r="O1473" s="1649"/>
    </row>
    <row r="1474" spans="11:15">
      <c r="K1474" s="1646">
        <v>43531</v>
      </c>
      <c r="L1474" s="1647" t="s">
        <v>1653</v>
      </c>
      <c r="M1474" s="1648">
        <v>2.462E-2</v>
      </c>
      <c r="N1474" s="1649">
        <v>1.5014378889502791</v>
      </c>
      <c r="O1474" s="1649"/>
    </row>
    <row r="1475" spans="11:15">
      <c r="K1475" s="1646">
        <v>43532</v>
      </c>
      <c r="L1475" s="1647" t="s">
        <v>1653</v>
      </c>
      <c r="M1475" s="1648">
        <v>2.462E-2</v>
      </c>
      <c r="N1475" s="1649">
        <v>1.5018075429585387</v>
      </c>
      <c r="O1475" s="1649"/>
    </row>
    <row r="1476" spans="11:15">
      <c r="K1476" s="1646">
        <v>43533</v>
      </c>
      <c r="L1476" s="1647"/>
      <c r="M1476" s="1648">
        <v>0</v>
      </c>
      <c r="N1476" s="1649">
        <v>1.5018075429585387</v>
      </c>
      <c r="O1476" s="1649"/>
    </row>
    <row r="1477" spans="11:15">
      <c r="K1477" s="1646">
        <v>43534</v>
      </c>
      <c r="L1477" s="1647"/>
      <c r="M1477" s="1648">
        <v>0</v>
      </c>
      <c r="N1477" s="1649">
        <v>1.5018075429585387</v>
      </c>
      <c r="O1477" s="1649"/>
    </row>
    <row r="1478" spans="11:15">
      <c r="K1478" s="1646">
        <v>43535</v>
      </c>
      <c r="L1478" s="1647" t="s">
        <v>1653</v>
      </c>
      <c r="M1478" s="1648">
        <v>2.462E-2</v>
      </c>
      <c r="N1478" s="1649">
        <v>1.5021772879756152</v>
      </c>
      <c r="O1478" s="1649"/>
    </row>
    <row r="1479" spans="11:15">
      <c r="K1479" s="1646">
        <v>43536</v>
      </c>
      <c r="L1479" s="1647" t="s">
        <v>1653</v>
      </c>
      <c r="M1479" s="1648">
        <v>2.462E-2</v>
      </c>
      <c r="N1479" s="1649">
        <v>1.502547124023915</v>
      </c>
      <c r="O1479" s="1649"/>
    </row>
    <row r="1480" spans="11:15">
      <c r="K1480" s="1646">
        <v>43537</v>
      </c>
      <c r="L1480" s="1647" t="s">
        <v>1653</v>
      </c>
      <c r="M1480" s="1648">
        <v>2.462E-2</v>
      </c>
      <c r="N1480" s="1649">
        <v>1.5029170511258498</v>
      </c>
      <c r="O1480" s="1649"/>
    </row>
    <row r="1481" spans="11:15">
      <c r="K1481" s="1646">
        <v>43538</v>
      </c>
      <c r="L1481" s="1647" t="s">
        <v>1653</v>
      </c>
      <c r="M1481" s="1648">
        <v>2.462E-2</v>
      </c>
      <c r="N1481" s="1649">
        <v>1.5032870693038372</v>
      </c>
      <c r="O1481" s="1649"/>
    </row>
    <row r="1482" spans="11:15">
      <c r="K1482" s="1646">
        <v>43539</v>
      </c>
      <c r="L1482" s="1647" t="s">
        <v>1653</v>
      </c>
      <c r="M1482" s="1648">
        <v>2.462E-2</v>
      </c>
      <c r="N1482" s="1649">
        <v>1.5036571785802999</v>
      </c>
      <c r="O1482" s="1649"/>
    </row>
    <row r="1483" spans="11:15">
      <c r="K1483" s="1646">
        <v>43540</v>
      </c>
      <c r="L1483" s="1647"/>
      <c r="M1483" s="1648">
        <v>0</v>
      </c>
      <c r="N1483" s="1649">
        <v>1.5036571785802999</v>
      </c>
      <c r="O1483" s="1649"/>
    </row>
    <row r="1484" spans="11:15">
      <c r="K1484" s="1646">
        <v>43541</v>
      </c>
      <c r="L1484" s="1647"/>
      <c r="M1484" s="1648">
        <v>0</v>
      </c>
      <c r="N1484" s="1649">
        <v>1.5036571785802999</v>
      </c>
      <c r="O1484" s="1649"/>
    </row>
    <row r="1485" spans="11:15">
      <c r="K1485" s="1646">
        <v>43542</v>
      </c>
      <c r="L1485" s="1647" t="s">
        <v>1653</v>
      </c>
      <c r="M1485" s="1648">
        <v>2.462E-2</v>
      </c>
      <c r="N1485" s="1649">
        <v>1.5040273789776666</v>
      </c>
      <c r="O1485" s="1649"/>
    </row>
    <row r="1486" spans="11:15">
      <c r="K1486" s="1646">
        <v>43543</v>
      </c>
      <c r="L1486" s="1647" t="s">
        <v>1653</v>
      </c>
      <c r="M1486" s="1648">
        <v>2.462E-2</v>
      </c>
      <c r="N1486" s="1649">
        <v>1.504397670518371</v>
      </c>
      <c r="O1486" s="1649"/>
    </row>
    <row r="1487" spans="11:15">
      <c r="K1487" s="1646">
        <v>43544</v>
      </c>
      <c r="L1487" s="1647" t="s">
        <v>1653</v>
      </c>
      <c r="M1487" s="1648">
        <v>2.462E-2</v>
      </c>
      <c r="N1487" s="1649">
        <v>1.5047680532248529</v>
      </c>
      <c r="O1487" s="1649"/>
    </row>
    <row r="1488" spans="11:15">
      <c r="K1488" s="1646">
        <v>43545</v>
      </c>
      <c r="L1488" s="1647" t="s">
        <v>1653</v>
      </c>
      <c r="M1488" s="1648">
        <v>2.462E-2</v>
      </c>
      <c r="N1488" s="1649">
        <v>1.505138527119557</v>
      </c>
      <c r="O1488" s="1649"/>
    </row>
    <row r="1489" spans="11:15">
      <c r="K1489" s="1646">
        <v>43546</v>
      </c>
      <c r="L1489" s="1647" t="s">
        <v>1653</v>
      </c>
      <c r="M1489" s="1648">
        <v>2.462E-2</v>
      </c>
      <c r="N1489" s="1649">
        <v>1.5055090922249339</v>
      </c>
      <c r="O1489" s="1649"/>
    </row>
    <row r="1490" spans="11:15">
      <c r="K1490" s="1646">
        <v>43547</v>
      </c>
      <c r="L1490" s="1647"/>
      <c r="M1490" s="1648">
        <v>0</v>
      </c>
      <c r="N1490" s="1649">
        <v>1.5055090922249339</v>
      </c>
      <c r="O1490" s="1649"/>
    </row>
    <row r="1491" spans="11:15">
      <c r="K1491" s="1646">
        <v>43548</v>
      </c>
      <c r="L1491" s="1647"/>
      <c r="M1491" s="1648">
        <v>0</v>
      </c>
      <c r="N1491" s="1649">
        <v>1.5055090922249339</v>
      </c>
      <c r="O1491" s="1649"/>
    </row>
    <row r="1492" spans="11:15">
      <c r="K1492" s="1646">
        <v>43549</v>
      </c>
      <c r="L1492" s="1647" t="s">
        <v>1653</v>
      </c>
      <c r="M1492" s="1648">
        <v>2.462E-2</v>
      </c>
      <c r="N1492" s="1649">
        <v>1.5058797485634399</v>
      </c>
      <c r="O1492" s="1649"/>
    </row>
    <row r="1493" spans="11:15">
      <c r="K1493" s="1646">
        <v>43550</v>
      </c>
      <c r="L1493" s="1647" t="s">
        <v>1653</v>
      </c>
      <c r="M1493" s="1648">
        <v>2.462E-2</v>
      </c>
      <c r="N1493" s="1649">
        <v>1.5062504961575363</v>
      </c>
      <c r="O1493" s="1649"/>
    </row>
    <row r="1494" spans="11:15">
      <c r="K1494" s="1646">
        <v>43551</v>
      </c>
      <c r="L1494" s="1647" t="s">
        <v>1653</v>
      </c>
      <c r="M1494" s="1648">
        <v>2.462E-2</v>
      </c>
      <c r="N1494" s="1649">
        <v>1.5066213350296904</v>
      </c>
      <c r="O1494" s="1649"/>
    </row>
    <row r="1495" spans="11:15">
      <c r="K1495" s="1646">
        <v>43552</v>
      </c>
      <c r="L1495" s="1647" t="s">
        <v>1653</v>
      </c>
      <c r="M1495" s="1648">
        <v>2.462E-2</v>
      </c>
      <c r="N1495" s="1649">
        <v>1.5069922652023748</v>
      </c>
      <c r="O1495" s="1649"/>
    </row>
    <row r="1496" spans="11:15">
      <c r="K1496" s="1646">
        <v>43553</v>
      </c>
      <c r="L1496" s="1647" t="s">
        <v>1653</v>
      </c>
      <c r="M1496" s="1648">
        <v>2.462E-2</v>
      </c>
      <c r="N1496" s="1649">
        <v>1.5073632866980677</v>
      </c>
      <c r="O1496" s="1649"/>
    </row>
    <row r="1497" spans="11:15">
      <c r="K1497" s="1646">
        <v>43554</v>
      </c>
      <c r="L1497" s="1647"/>
      <c r="M1497" s="1648">
        <v>0</v>
      </c>
      <c r="N1497" s="1649">
        <v>1.5073632866980677</v>
      </c>
      <c r="O1497" s="1649"/>
    </row>
    <row r="1498" spans="11:15">
      <c r="K1498" s="1646">
        <v>43555</v>
      </c>
      <c r="L1498" s="1647"/>
      <c r="M1498" s="1648">
        <v>0</v>
      </c>
      <c r="N1498" s="1649">
        <v>1.5073632866980677</v>
      </c>
      <c r="O1498" s="1649"/>
    </row>
    <row r="1499" spans="11:15">
      <c r="K1499" s="1646">
        <v>43556</v>
      </c>
      <c r="L1499" s="1647" t="s">
        <v>1653</v>
      </c>
      <c r="M1499" s="1648">
        <v>2.462E-2</v>
      </c>
      <c r="N1499" s="1649">
        <v>1.5077343995392529</v>
      </c>
      <c r="O1499" s="1649"/>
    </row>
    <row r="1500" spans="11:15">
      <c r="K1500" s="1646">
        <v>43557</v>
      </c>
      <c r="L1500" s="1647" t="s">
        <v>1653</v>
      </c>
      <c r="M1500" s="1648">
        <v>2.462E-2</v>
      </c>
      <c r="N1500" s="1649">
        <v>1.5081056037484195</v>
      </c>
      <c r="O1500" s="1649"/>
    </row>
    <row r="1501" spans="11:15">
      <c r="K1501" s="1646">
        <v>43558</v>
      </c>
      <c r="L1501" s="1647" t="s">
        <v>1653</v>
      </c>
      <c r="M1501" s="1648">
        <v>2.462E-2</v>
      </c>
      <c r="N1501" s="1649">
        <v>1.5084768993480624</v>
      </c>
      <c r="O1501" s="1649"/>
    </row>
    <row r="1502" spans="11:15">
      <c r="K1502" s="1646">
        <v>43559</v>
      </c>
      <c r="L1502" s="1647" t="s">
        <v>1653</v>
      </c>
      <c r="M1502" s="1648">
        <v>2.462E-2</v>
      </c>
      <c r="N1502" s="1649">
        <v>1.508848286360682</v>
      </c>
      <c r="O1502" s="1649"/>
    </row>
    <row r="1503" spans="11:15">
      <c r="K1503" s="1646">
        <v>43560</v>
      </c>
      <c r="L1503" s="1647" t="s">
        <v>1653</v>
      </c>
      <c r="M1503" s="1648">
        <v>2.462E-2</v>
      </c>
      <c r="N1503" s="1649">
        <v>1.5092197648087842</v>
      </c>
      <c r="O1503" s="1649"/>
    </row>
    <row r="1504" spans="11:15">
      <c r="K1504" s="1646">
        <v>43561</v>
      </c>
      <c r="L1504" s="1647"/>
      <c r="M1504" s="1648">
        <v>0</v>
      </c>
      <c r="N1504" s="1649">
        <v>1.5092197648087842</v>
      </c>
      <c r="O1504" s="1649"/>
    </row>
    <row r="1505" spans="11:15">
      <c r="K1505" s="1646">
        <v>43562</v>
      </c>
      <c r="L1505" s="1647"/>
      <c r="M1505" s="1648">
        <v>0</v>
      </c>
      <c r="N1505" s="1649">
        <v>1.5092197648087842</v>
      </c>
      <c r="O1505" s="1649"/>
    </row>
    <row r="1506" spans="11:15">
      <c r="K1506" s="1646">
        <v>43563</v>
      </c>
      <c r="L1506" s="1647" t="s">
        <v>1653</v>
      </c>
      <c r="M1506" s="1648">
        <v>2.462E-2</v>
      </c>
      <c r="N1506" s="1649">
        <v>1.5095913347148802</v>
      </c>
      <c r="O1506" s="1649"/>
    </row>
    <row r="1507" spans="11:15">
      <c r="K1507" s="1646">
        <v>43564</v>
      </c>
      <c r="L1507" s="1647" t="s">
        <v>1653</v>
      </c>
      <c r="M1507" s="1648">
        <v>2.462E-2</v>
      </c>
      <c r="N1507" s="1649">
        <v>1.5099629961014871</v>
      </c>
      <c r="O1507" s="1649"/>
    </row>
    <row r="1508" spans="11:15">
      <c r="K1508" s="1646">
        <v>43565</v>
      </c>
      <c r="L1508" s="1647" t="s">
        <v>1653</v>
      </c>
      <c r="M1508" s="1648">
        <v>2.462E-2</v>
      </c>
      <c r="N1508" s="1649">
        <v>1.5103347489911274</v>
      </c>
      <c r="O1508" s="1649"/>
    </row>
    <row r="1509" spans="11:15">
      <c r="K1509" s="1646">
        <v>43566</v>
      </c>
      <c r="L1509" s="1647" t="s">
        <v>1653</v>
      </c>
      <c r="M1509" s="1648">
        <v>2.462E-2</v>
      </c>
      <c r="N1509" s="1649">
        <v>1.5107065934063291</v>
      </c>
      <c r="O1509" s="1649"/>
    </row>
    <row r="1510" spans="11:15">
      <c r="K1510" s="1646">
        <v>43567</v>
      </c>
      <c r="L1510" s="1647" t="s">
        <v>1653</v>
      </c>
      <c r="M1510" s="1648">
        <v>2.462E-2</v>
      </c>
      <c r="N1510" s="1649">
        <v>1.5110785293696258</v>
      </c>
      <c r="O1510" s="1649"/>
    </row>
    <row r="1511" spans="11:15">
      <c r="K1511" s="1646">
        <v>43568</v>
      </c>
      <c r="L1511" s="1647"/>
      <c r="M1511" s="1648">
        <v>0</v>
      </c>
      <c r="N1511" s="1649">
        <v>1.5110785293696258</v>
      </c>
      <c r="O1511" s="1649"/>
    </row>
    <row r="1512" spans="11:15">
      <c r="K1512" s="1646">
        <v>43569</v>
      </c>
      <c r="L1512" s="1647"/>
      <c r="M1512" s="1648">
        <v>0</v>
      </c>
      <c r="N1512" s="1649">
        <v>1.5110785293696258</v>
      </c>
      <c r="O1512" s="1649"/>
    </row>
    <row r="1513" spans="11:15">
      <c r="K1513" s="1646">
        <v>43570</v>
      </c>
      <c r="L1513" s="1647" t="s">
        <v>1653</v>
      </c>
      <c r="M1513" s="1648">
        <v>2.462E-2</v>
      </c>
      <c r="N1513" s="1649">
        <v>1.5114505569035568</v>
      </c>
      <c r="O1513" s="1649"/>
    </row>
    <row r="1514" spans="11:15">
      <c r="K1514" s="1646">
        <v>43571</v>
      </c>
      <c r="L1514" s="1647" t="s">
        <v>1653</v>
      </c>
      <c r="M1514" s="1648">
        <v>2.462E-2</v>
      </c>
      <c r="N1514" s="1649">
        <v>1.5118226760306666</v>
      </c>
      <c r="O1514" s="1649"/>
    </row>
    <row r="1515" spans="11:15">
      <c r="K1515" s="1646">
        <v>43572</v>
      </c>
      <c r="L1515" s="1647" t="s">
        <v>1653</v>
      </c>
      <c r="M1515" s="1648">
        <v>2.462E-2</v>
      </c>
      <c r="N1515" s="1649">
        <v>1.5121948867735053</v>
      </c>
      <c r="O1515" s="1649"/>
    </row>
    <row r="1516" spans="11:15">
      <c r="K1516" s="1646">
        <v>43573</v>
      </c>
      <c r="L1516" s="1647" t="s">
        <v>1653</v>
      </c>
      <c r="M1516" s="1648">
        <v>2.462E-2</v>
      </c>
      <c r="N1516" s="1649">
        <v>1.5125671891546291</v>
      </c>
      <c r="O1516" s="1649"/>
    </row>
    <row r="1517" spans="11:15">
      <c r="K1517" s="1646">
        <v>43574</v>
      </c>
      <c r="L1517" s="1647"/>
      <c r="M1517" s="1648">
        <v>0</v>
      </c>
      <c r="N1517" s="1649">
        <v>1.5125671891546291</v>
      </c>
      <c r="O1517" s="1649"/>
    </row>
    <row r="1518" spans="11:15">
      <c r="K1518" s="1646">
        <v>43575</v>
      </c>
      <c r="L1518" s="1647"/>
      <c r="M1518" s="1648">
        <v>0</v>
      </c>
      <c r="N1518" s="1649">
        <v>1.5125671891546291</v>
      </c>
      <c r="O1518" s="1649"/>
    </row>
    <row r="1519" spans="11:15">
      <c r="K1519" s="1646">
        <v>43576</v>
      </c>
      <c r="L1519" s="1647"/>
      <c r="M1519" s="1648">
        <v>0</v>
      </c>
      <c r="N1519" s="1649">
        <v>1.5125671891546291</v>
      </c>
      <c r="O1519" s="1649"/>
    </row>
    <row r="1520" spans="11:15">
      <c r="K1520" s="1646">
        <v>43577</v>
      </c>
      <c r="L1520" s="1647" t="s">
        <v>1653</v>
      </c>
      <c r="M1520" s="1648">
        <v>2.462E-2</v>
      </c>
      <c r="N1520" s="1649">
        <v>1.512939583196599</v>
      </c>
      <c r="O1520" s="1649"/>
    </row>
    <row r="1521" spans="11:15">
      <c r="K1521" s="1646">
        <v>43578</v>
      </c>
      <c r="L1521" s="1647" t="s">
        <v>1653</v>
      </c>
      <c r="M1521" s="1648">
        <v>2.462E-2</v>
      </c>
      <c r="N1521" s="1649">
        <v>1.5133120689219821</v>
      </c>
      <c r="O1521" s="1649"/>
    </row>
    <row r="1522" spans="11:15">
      <c r="K1522" s="1646">
        <v>43579</v>
      </c>
      <c r="L1522" s="1647" t="s">
        <v>1653</v>
      </c>
      <c r="M1522" s="1648">
        <v>2.462E-2</v>
      </c>
      <c r="N1522" s="1649">
        <v>1.5136846463533509</v>
      </c>
      <c r="O1522" s="1649"/>
    </row>
    <row r="1523" spans="11:15">
      <c r="K1523" s="1646">
        <v>43580</v>
      </c>
      <c r="L1523" s="1647" t="s">
        <v>1653</v>
      </c>
      <c r="M1523" s="1648">
        <v>2.462E-2</v>
      </c>
      <c r="N1523" s="1649">
        <v>1.5140573155132833</v>
      </c>
      <c r="O1523" s="1649"/>
    </row>
    <row r="1524" spans="11:15">
      <c r="K1524" s="1646">
        <v>43581</v>
      </c>
      <c r="L1524" s="1647" t="s">
        <v>1653</v>
      </c>
      <c r="M1524" s="1648">
        <v>2.462E-2</v>
      </c>
      <c r="N1524" s="1649">
        <v>1.5144300764243628</v>
      </c>
      <c r="O1524" s="1649"/>
    </row>
    <row r="1525" spans="11:15">
      <c r="K1525" s="1646">
        <v>43582</v>
      </c>
      <c r="L1525" s="1647"/>
      <c r="M1525" s="1648">
        <v>0</v>
      </c>
      <c r="N1525" s="1649">
        <v>1.5144300764243628</v>
      </c>
      <c r="O1525" s="1649"/>
    </row>
    <row r="1526" spans="11:15">
      <c r="K1526" s="1646">
        <v>43583</v>
      </c>
      <c r="L1526" s="1647"/>
      <c r="M1526" s="1648">
        <v>0</v>
      </c>
      <c r="N1526" s="1649">
        <v>1.5144300764243628</v>
      </c>
      <c r="O1526" s="1649"/>
    </row>
    <row r="1527" spans="11:15">
      <c r="K1527" s="1646">
        <v>43584</v>
      </c>
      <c r="L1527" s="1647" t="s">
        <v>1653</v>
      </c>
      <c r="M1527" s="1648">
        <v>2.462E-2</v>
      </c>
      <c r="N1527" s="1649">
        <v>1.5148029291091787</v>
      </c>
      <c r="O1527" s="1649"/>
    </row>
    <row r="1528" spans="11:15">
      <c r="K1528" s="1646">
        <v>43585</v>
      </c>
      <c r="L1528" s="1647" t="s">
        <v>1653</v>
      </c>
      <c r="M1528" s="1648">
        <v>2.462E-2</v>
      </c>
      <c r="N1528" s="1649">
        <v>1.5151758735903256</v>
      </c>
      <c r="O1528" s="1649"/>
    </row>
    <row r="1529" spans="11:15">
      <c r="K1529" s="1646">
        <v>43586</v>
      </c>
      <c r="L1529" s="1647"/>
      <c r="M1529" s="1648">
        <v>0</v>
      </c>
      <c r="N1529" s="1649">
        <v>1.5151758735903256</v>
      </c>
      <c r="O1529" s="1649"/>
    </row>
    <row r="1530" spans="11:15">
      <c r="K1530" s="1646">
        <v>43587</v>
      </c>
      <c r="L1530" s="1647" t="s">
        <v>1653</v>
      </c>
      <c r="M1530" s="1648">
        <v>2.462E-2</v>
      </c>
      <c r="N1530" s="1649">
        <v>1.5155489098904036</v>
      </c>
      <c r="O1530" s="1649"/>
    </row>
    <row r="1531" spans="11:15">
      <c r="K1531" s="1646">
        <v>43588</v>
      </c>
      <c r="L1531" s="1647" t="s">
        <v>1653</v>
      </c>
      <c r="M1531" s="1648">
        <v>2.462E-2</v>
      </c>
      <c r="N1531" s="1649">
        <v>1.5159220380320186</v>
      </c>
      <c r="O1531" s="1649"/>
    </row>
    <row r="1532" spans="11:15">
      <c r="K1532" s="1646">
        <v>43589</v>
      </c>
      <c r="L1532" s="1647"/>
      <c r="M1532" s="1648">
        <v>0</v>
      </c>
      <c r="N1532" s="1649">
        <v>1.5159220380320186</v>
      </c>
      <c r="O1532" s="1649"/>
    </row>
    <row r="1533" spans="11:15">
      <c r="K1533" s="1646">
        <v>43590</v>
      </c>
      <c r="L1533" s="1647"/>
      <c r="M1533" s="1648">
        <v>0</v>
      </c>
      <c r="N1533" s="1649">
        <v>1.5159220380320186</v>
      </c>
      <c r="O1533" s="1649"/>
    </row>
    <row r="1534" spans="11:15">
      <c r="K1534" s="1646">
        <v>43591</v>
      </c>
      <c r="L1534" s="1647" t="s">
        <v>1653</v>
      </c>
      <c r="M1534" s="1648">
        <v>2.462E-2</v>
      </c>
      <c r="N1534" s="1649">
        <v>1.5162952580377822</v>
      </c>
      <c r="O1534" s="1649"/>
    </row>
    <row r="1535" spans="11:15">
      <c r="K1535" s="1646">
        <v>43592</v>
      </c>
      <c r="L1535" s="1647" t="s">
        <v>1653</v>
      </c>
      <c r="M1535" s="1648">
        <v>2.462E-2</v>
      </c>
      <c r="N1535" s="1649">
        <v>1.5166685699303113</v>
      </c>
      <c r="O1535" s="1649"/>
    </row>
    <row r="1536" spans="11:15">
      <c r="K1536" s="1646">
        <v>43593</v>
      </c>
      <c r="L1536" s="1647" t="s">
        <v>1653</v>
      </c>
      <c r="M1536" s="1648">
        <v>2.462E-2</v>
      </c>
      <c r="N1536" s="1649">
        <v>1.5170419737322283</v>
      </c>
      <c r="O1536" s="1649"/>
    </row>
    <row r="1537" spans="11:15">
      <c r="K1537" s="1646">
        <v>43594</v>
      </c>
      <c r="L1537" s="1647" t="s">
        <v>1653</v>
      </c>
      <c r="M1537" s="1648">
        <v>2.462E-2</v>
      </c>
      <c r="N1537" s="1649">
        <v>1.5174154694661612</v>
      </c>
      <c r="O1537" s="1649"/>
    </row>
    <row r="1538" spans="11:15">
      <c r="K1538" s="1646">
        <v>43595</v>
      </c>
      <c r="L1538" s="1647" t="s">
        <v>1653</v>
      </c>
      <c r="M1538" s="1648">
        <v>2.462E-2</v>
      </c>
      <c r="N1538" s="1649">
        <v>1.5177890571547439</v>
      </c>
      <c r="O1538" s="1649"/>
    </row>
    <row r="1539" spans="11:15">
      <c r="K1539" s="1646">
        <v>43596</v>
      </c>
      <c r="L1539" s="1647"/>
      <c r="M1539" s="1648">
        <v>0</v>
      </c>
      <c r="N1539" s="1649">
        <v>1.5177890571547439</v>
      </c>
      <c r="O1539" s="1649"/>
    </row>
    <row r="1540" spans="11:15">
      <c r="K1540" s="1646">
        <v>43597</v>
      </c>
      <c r="L1540" s="1647"/>
      <c r="M1540" s="1648">
        <v>0</v>
      </c>
      <c r="N1540" s="1649">
        <v>1.5177890571547439</v>
      </c>
      <c r="O1540" s="1649"/>
    </row>
    <row r="1541" spans="11:15">
      <c r="K1541" s="1646">
        <v>43598</v>
      </c>
      <c r="L1541" s="1647" t="s">
        <v>1653</v>
      </c>
      <c r="M1541" s="1648">
        <v>2.462E-2</v>
      </c>
      <c r="N1541" s="1649">
        <v>1.5181627368206154</v>
      </c>
      <c r="O1541" s="1649"/>
    </row>
    <row r="1542" spans="11:15">
      <c r="K1542" s="1646">
        <v>43599</v>
      </c>
      <c r="L1542" s="1647" t="s">
        <v>1653</v>
      </c>
      <c r="M1542" s="1648">
        <v>2.462E-2</v>
      </c>
      <c r="N1542" s="1649">
        <v>1.5185365084864209</v>
      </c>
      <c r="O1542" s="1649"/>
    </row>
    <row r="1543" spans="11:15">
      <c r="K1543" s="1646">
        <v>43600</v>
      </c>
      <c r="L1543" s="1647" t="s">
        <v>1653</v>
      </c>
      <c r="M1543" s="1648">
        <v>2.462E-2</v>
      </c>
      <c r="N1543" s="1649">
        <v>1.5189103721748103</v>
      </c>
      <c r="O1543" s="1649"/>
    </row>
    <row r="1544" spans="11:15">
      <c r="K1544" s="1646">
        <v>43601</v>
      </c>
      <c r="L1544" s="1647" t="s">
        <v>1653</v>
      </c>
      <c r="M1544" s="1648">
        <v>2.462E-2</v>
      </c>
      <c r="N1544" s="1649">
        <v>1.5192843279084398</v>
      </c>
      <c r="O1544" s="1649"/>
    </row>
    <row r="1545" spans="11:15">
      <c r="K1545" s="1646">
        <v>43602</v>
      </c>
      <c r="L1545" s="1647" t="s">
        <v>1653</v>
      </c>
      <c r="M1545" s="1648">
        <v>2.462E-2</v>
      </c>
      <c r="N1545" s="1649">
        <v>1.5196583757099711</v>
      </c>
      <c r="O1545" s="1649"/>
    </row>
    <row r="1546" spans="11:15">
      <c r="K1546" s="1646">
        <v>43603</v>
      </c>
      <c r="L1546" s="1647"/>
      <c r="M1546" s="1648">
        <v>0</v>
      </c>
      <c r="N1546" s="1649">
        <v>1.5196583757099711</v>
      </c>
      <c r="O1546" s="1649"/>
    </row>
    <row r="1547" spans="11:15">
      <c r="K1547" s="1646">
        <v>43604</v>
      </c>
      <c r="L1547" s="1647"/>
      <c r="M1547" s="1648">
        <v>0</v>
      </c>
      <c r="N1547" s="1649">
        <v>1.5196583757099711</v>
      </c>
      <c r="O1547" s="1649"/>
    </row>
    <row r="1548" spans="11:15">
      <c r="K1548" s="1646">
        <v>43605</v>
      </c>
      <c r="L1548" s="1647" t="s">
        <v>1653</v>
      </c>
      <c r="M1548" s="1648">
        <v>2.462E-2</v>
      </c>
      <c r="N1548" s="1649">
        <v>1.5200325156020711</v>
      </c>
      <c r="O1548" s="1649"/>
    </row>
    <row r="1549" spans="11:15">
      <c r="K1549" s="1646">
        <v>43606</v>
      </c>
      <c r="L1549" s="1647" t="s">
        <v>1653</v>
      </c>
      <c r="M1549" s="1648">
        <v>2.462E-2</v>
      </c>
      <c r="N1549" s="1649">
        <v>1.5204067476074123</v>
      </c>
      <c r="O1549" s="1649"/>
    </row>
    <row r="1550" spans="11:15">
      <c r="K1550" s="1646">
        <v>43607</v>
      </c>
      <c r="L1550" s="1647" t="s">
        <v>1653</v>
      </c>
      <c r="M1550" s="1648">
        <v>2.462E-2</v>
      </c>
      <c r="N1550" s="1649">
        <v>1.5207810717486734</v>
      </c>
      <c r="O1550" s="1649"/>
    </row>
    <row r="1551" spans="11:15">
      <c r="K1551" s="1646">
        <v>43608</v>
      </c>
      <c r="L1551" s="1647" t="s">
        <v>1653</v>
      </c>
      <c r="M1551" s="1648">
        <v>2.462E-2</v>
      </c>
      <c r="N1551" s="1649">
        <v>1.5211554880485381</v>
      </c>
      <c r="O1551" s="1649"/>
    </row>
    <row r="1552" spans="11:15">
      <c r="K1552" s="1646">
        <v>43609</v>
      </c>
      <c r="L1552" s="1647" t="s">
        <v>1653</v>
      </c>
      <c r="M1552" s="1648">
        <v>2.462E-2</v>
      </c>
      <c r="N1552" s="1649">
        <v>1.5215299965296958</v>
      </c>
      <c r="O1552" s="1649"/>
    </row>
    <row r="1553" spans="11:15">
      <c r="K1553" s="1646">
        <v>43610</v>
      </c>
      <c r="L1553" s="1647"/>
      <c r="M1553" s="1648">
        <v>0</v>
      </c>
      <c r="N1553" s="1649">
        <v>1.5215299965296958</v>
      </c>
      <c r="O1553" s="1649"/>
    </row>
    <row r="1554" spans="11:15">
      <c r="K1554" s="1646">
        <v>43611</v>
      </c>
      <c r="L1554" s="1647"/>
      <c r="M1554" s="1648">
        <v>0</v>
      </c>
      <c r="N1554" s="1649">
        <v>1.5215299965296958</v>
      </c>
      <c r="O1554" s="1649"/>
    </row>
    <row r="1555" spans="11:15">
      <c r="K1555" s="1646">
        <v>43612</v>
      </c>
      <c r="L1555" s="1647" t="s">
        <v>1653</v>
      </c>
      <c r="M1555" s="1648">
        <v>2.462E-2</v>
      </c>
      <c r="N1555" s="1649">
        <v>1.5219045972148415</v>
      </c>
      <c r="O1555" s="1649"/>
    </row>
    <row r="1556" spans="11:15">
      <c r="K1556" s="1646">
        <v>43613</v>
      </c>
      <c r="L1556" s="1647" t="s">
        <v>1653</v>
      </c>
      <c r="M1556" s="1648">
        <v>2.462E-2</v>
      </c>
      <c r="N1556" s="1649">
        <v>1.522279290126676</v>
      </c>
      <c r="O1556" s="1649"/>
    </row>
    <row r="1557" spans="11:15">
      <c r="K1557" s="1646">
        <v>43614</v>
      </c>
      <c r="L1557" s="1647" t="s">
        <v>1653</v>
      </c>
      <c r="M1557" s="1648">
        <v>2.462E-2</v>
      </c>
      <c r="N1557" s="1649">
        <v>1.5226540752879052</v>
      </c>
      <c r="O1557" s="1649"/>
    </row>
    <row r="1558" spans="11:15">
      <c r="K1558" s="1646">
        <v>43615</v>
      </c>
      <c r="L1558" s="1647" t="s">
        <v>1653</v>
      </c>
      <c r="M1558" s="1648">
        <v>2.462E-2</v>
      </c>
      <c r="N1558" s="1649">
        <v>1.5230289527212413</v>
      </c>
      <c r="O1558" s="1649"/>
    </row>
    <row r="1559" spans="11:15">
      <c r="K1559" s="1646">
        <v>43616</v>
      </c>
      <c r="L1559" s="1647" t="s">
        <v>1653</v>
      </c>
      <c r="M1559" s="1648">
        <v>2.462E-2</v>
      </c>
      <c r="N1559" s="1649">
        <v>1.5234039224494014</v>
      </c>
      <c r="O1559" s="1649"/>
    </row>
    <row r="1560" spans="11:15">
      <c r="K1560" s="1646">
        <v>43617</v>
      </c>
      <c r="L1560" s="1647"/>
      <c r="M1560" s="1648">
        <v>0</v>
      </c>
      <c r="N1560" s="1649">
        <v>1.5234039224494014</v>
      </c>
      <c r="O1560" s="1649"/>
    </row>
    <row r="1561" spans="11:15">
      <c r="K1561" s="1646">
        <v>43618</v>
      </c>
      <c r="L1561" s="1647"/>
      <c r="M1561" s="1648">
        <v>0</v>
      </c>
      <c r="N1561" s="1649">
        <v>1.5234039224494014</v>
      </c>
      <c r="O1561" s="1649"/>
    </row>
    <row r="1562" spans="11:15">
      <c r="K1562" s="1646">
        <v>43619</v>
      </c>
      <c r="L1562" s="1647" t="s">
        <v>1653</v>
      </c>
      <c r="M1562" s="1648">
        <v>2.462E-2</v>
      </c>
      <c r="N1562" s="1649">
        <v>1.5237789844951086</v>
      </c>
      <c r="O1562" s="1649"/>
    </row>
    <row r="1563" spans="11:15">
      <c r="K1563" s="1646">
        <v>43620</v>
      </c>
      <c r="L1563" s="1647" t="s">
        <v>1653</v>
      </c>
      <c r="M1563" s="1648">
        <v>2.462E-2</v>
      </c>
      <c r="N1563" s="1649">
        <v>1.5241541388810915</v>
      </c>
      <c r="O1563" s="1649"/>
    </row>
    <row r="1564" spans="11:15">
      <c r="K1564" s="1646">
        <v>43621</v>
      </c>
      <c r="L1564" s="1647" t="s">
        <v>1653</v>
      </c>
      <c r="M1564" s="1648">
        <v>2.462E-2</v>
      </c>
      <c r="N1564" s="1649">
        <v>1.5245293856300841</v>
      </c>
      <c r="O1564" s="1649"/>
    </row>
    <row r="1565" spans="11:15">
      <c r="K1565" s="1646">
        <v>43622</v>
      </c>
      <c r="L1565" s="1647" t="s">
        <v>1653</v>
      </c>
      <c r="M1565" s="1648">
        <v>2.462E-2</v>
      </c>
      <c r="N1565" s="1649">
        <v>1.5249047247648264</v>
      </c>
      <c r="O1565" s="1649"/>
    </row>
    <row r="1566" spans="11:15">
      <c r="K1566" s="1646">
        <v>43623</v>
      </c>
      <c r="L1566" s="1647" t="s">
        <v>1653</v>
      </c>
      <c r="M1566" s="1648">
        <v>2.462E-2</v>
      </c>
      <c r="N1566" s="1649">
        <v>1.5252801563080636</v>
      </c>
      <c r="O1566" s="1649"/>
    </row>
    <row r="1567" spans="11:15">
      <c r="K1567" s="1646">
        <v>43624</v>
      </c>
      <c r="L1567" s="1647"/>
      <c r="M1567" s="1648">
        <v>0</v>
      </c>
      <c r="N1567" s="1649">
        <v>1.5252801563080636</v>
      </c>
      <c r="O1567" s="1649"/>
    </row>
    <row r="1568" spans="11:15">
      <c r="K1568" s="1646">
        <v>43625</v>
      </c>
      <c r="L1568" s="1647"/>
      <c r="M1568" s="1648">
        <v>0</v>
      </c>
      <c r="N1568" s="1649">
        <v>1.5252801563080636</v>
      </c>
      <c r="O1568" s="1649"/>
    </row>
    <row r="1569" spans="11:15">
      <c r="K1569" s="1646">
        <v>43626</v>
      </c>
      <c r="L1569" s="1647" t="s">
        <v>1653</v>
      </c>
      <c r="M1569" s="1648">
        <v>2.462E-2</v>
      </c>
      <c r="N1569" s="1649">
        <v>1.5256556802825467</v>
      </c>
      <c r="O1569" s="1649"/>
    </row>
    <row r="1570" spans="11:15">
      <c r="K1570" s="1646">
        <v>43627</v>
      </c>
      <c r="L1570" s="1647" t="s">
        <v>1653</v>
      </c>
      <c r="M1570" s="1648">
        <v>2.462E-2</v>
      </c>
      <c r="N1570" s="1649">
        <v>1.5260312967110323</v>
      </c>
      <c r="O1570" s="1649"/>
    </row>
    <row r="1571" spans="11:15">
      <c r="K1571" s="1646">
        <v>43628</v>
      </c>
      <c r="L1571" s="1647" t="s">
        <v>1653</v>
      </c>
      <c r="M1571" s="1648">
        <v>2.462E-2</v>
      </c>
      <c r="N1571" s="1649">
        <v>1.5264070056162826</v>
      </c>
      <c r="O1571" s="1649"/>
    </row>
    <row r="1572" spans="11:15">
      <c r="K1572" s="1646">
        <v>43629</v>
      </c>
      <c r="L1572" s="1647" t="s">
        <v>1653</v>
      </c>
      <c r="M1572" s="1648">
        <v>2.462E-2</v>
      </c>
      <c r="N1572" s="1649">
        <v>1.5267828070210654</v>
      </c>
      <c r="O1572" s="1649"/>
    </row>
    <row r="1573" spans="11:15">
      <c r="K1573" s="1646">
        <v>43630</v>
      </c>
      <c r="L1573" s="1647" t="s">
        <v>1653</v>
      </c>
      <c r="M1573" s="1648">
        <v>2.462E-2</v>
      </c>
      <c r="N1573" s="1649">
        <v>1.5271587009481542</v>
      </c>
      <c r="O1573" s="1649"/>
    </row>
    <row r="1574" spans="11:15">
      <c r="K1574" s="1646">
        <v>43631</v>
      </c>
      <c r="L1574" s="1647"/>
      <c r="M1574" s="1648">
        <v>0</v>
      </c>
      <c r="N1574" s="1649">
        <v>1.5271587009481542</v>
      </c>
      <c r="O1574" s="1649"/>
    </row>
    <row r="1575" spans="11:15">
      <c r="K1575" s="1646">
        <v>43632</v>
      </c>
      <c r="L1575" s="1647"/>
      <c r="M1575" s="1648">
        <v>0</v>
      </c>
      <c r="N1575" s="1649">
        <v>1.5271587009481542</v>
      </c>
      <c r="O1575" s="1649"/>
    </row>
    <row r="1576" spans="11:15">
      <c r="K1576" s="1646">
        <v>43633</v>
      </c>
      <c r="L1576" s="1647" t="s">
        <v>1653</v>
      </c>
      <c r="M1576" s="1648">
        <v>2.462E-2</v>
      </c>
      <c r="N1576" s="1649">
        <v>1.5275346874203277</v>
      </c>
      <c r="O1576" s="1649"/>
    </row>
    <row r="1577" spans="11:15">
      <c r="K1577" s="1646">
        <v>43634</v>
      </c>
      <c r="L1577" s="1647" t="s">
        <v>1653</v>
      </c>
      <c r="M1577" s="1648">
        <v>2.462E-2</v>
      </c>
      <c r="N1577" s="1649">
        <v>1.5279107664603708</v>
      </c>
      <c r="O1577" s="1649"/>
    </row>
    <row r="1578" spans="11:15">
      <c r="K1578" s="1646">
        <v>43635</v>
      </c>
      <c r="L1578" s="1647" t="s">
        <v>1653</v>
      </c>
      <c r="M1578" s="1648">
        <v>2.462E-2</v>
      </c>
      <c r="N1578" s="1649">
        <v>1.5282869380910735</v>
      </c>
      <c r="O1578" s="1649"/>
    </row>
    <row r="1579" spans="11:15">
      <c r="K1579" s="1646">
        <v>43636</v>
      </c>
      <c r="L1579" s="1647"/>
      <c r="M1579" s="1648">
        <v>0</v>
      </c>
      <c r="N1579" s="1649">
        <v>1.5282869380910735</v>
      </c>
      <c r="O1579" s="1649"/>
    </row>
    <row r="1580" spans="11:15">
      <c r="K1580" s="1646">
        <v>43637</v>
      </c>
      <c r="L1580" s="1647" t="s">
        <v>1653</v>
      </c>
      <c r="M1580" s="1648">
        <v>2.462E-2</v>
      </c>
      <c r="N1580" s="1649">
        <v>1.5286632023352316</v>
      </c>
      <c r="O1580" s="1649"/>
    </row>
    <row r="1581" spans="11:15">
      <c r="K1581" s="1646">
        <v>43638</v>
      </c>
      <c r="L1581" s="1647"/>
      <c r="M1581" s="1648">
        <v>0</v>
      </c>
      <c r="N1581" s="1649">
        <v>1.5286632023352316</v>
      </c>
      <c r="O1581" s="1649"/>
    </row>
    <row r="1582" spans="11:15">
      <c r="K1582" s="1646">
        <v>43639</v>
      </c>
      <c r="L1582" s="1647"/>
      <c r="M1582" s="1648">
        <v>0</v>
      </c>
      <c r="N1582" s="1649">
        <v>1.5286632023352316</v>
      </c>
      <c r="O1582" s="1649"/>
    </row>
    <row r="1583" spans="11:15">
      <c r="K1583" s="1646">
        <v>43640</v>
      </c>
      <c r="L1583" s="1647" t="s">
        <v>1653</v>
      </c>
      <c r="M1583" s="1648">
        <v>2.462E-2</v>
      </c>
      <c r="N1583" s="1649">
        <v>1.5290395592156467</v>
      </c>
      <c r="O1583" s="1649"/>
    </row>
    <row r="1584" spans="11:15">
      <c r="K1584" s="1646">
        <v>43641</v>
      </c>
      <c r="L1584" s="1647" t="s">
        <v>1653</v>
      </c>
      <c r="M1584" s="1648">
        <v>2.462E-2</v>
      </c>
      <c r="N1584" s="1649">
        <v>1.5294160087551258</v>
      </c>
      <c r="O1584" s="1649"/>
    </row>
    <row r="1585" spans="11:15">
      <c r="K1585" s="1646">
        <v>43642</v>
      </c>
      <c r="L1585" s="1647" t="s">
        <v>1653</v>
      </c>
      <c r="M1585" s="1648">
        <v>2.462E-2</v>
      </c>
      <c r="N1585" s="1649">
        <v>1.5297925509764816</v>
      </c>
      <c r="O1585" s="1649"/>
    </row>
    <row r="1586" spans="11:15">
      <c r="K1586" s="1646">
        <v>43643</v>
      </c>
      <c r="L1586" s="1647" t="s">
        <v>1653</v>
      </c>
      <c r="M1586" s="1648">
        <v>2.462E-2</v>
      </c>
      <c r="N1586" s="1649">
        <v>1.5301691859025321</v>
      </c>
      <c r="O1586" s="1649"/>
    </row>
    <row r="1587" spans="11:15">
      <c r="K1587" s="1646">
        <v>43644</v>
      </c>
      <c r="L1587" s="1647" t="s">
        <v>1653</v>
      </c>
      <c r="M1587" s="1648">
        <v>2.462E-2</v>
      </c>
      <c r="N1587" s="1649">
        <v>1.5305459135561015</v>
      </c>
      <c r="O1587" s="1649"/>
    </row>
    <row r="1588" spans="11:15">
      <c r="K1588" s="1646">
        <v>43645</v>
      </c>
      <c r="L1588" s="1647"/>
      <c r="M1588" s="1648">
        <v>0</v>
      </c>
      <c r="N1588" s="1649">
        <v>1.5305459135561015</v>
      </c>
      <c r="O1588" s="1649"/>
    </row>
    <row r="1589" spans="11:15">
      <c r="K1589" s="1646">
        <v>43646</v>
      </c>
      <c r="L1589" s="1647"/>
      <c r="M1589" s="1648">
        <v>0</v>
      </c>
      <c r="N1589" s="1649">
        <v>1.5305459135561015</v>
      </c>
      <c r="O1589" s="1649"/>
    </row>
    <row r="1590" spans="11:15">
      <c r="K1590" s="1646">
        <v>43647</v>
      </c>
      <c r="L1590" s="1647" t="s">
        <v>1653</v>
      </c>
      <c r="M1590" s="1648">
        <v>2.462E-2</v>
      </c>
      <c r="N1590" s="1649">
        <v>1.5309227339600191</v>
      </c>
      <c r="O1590" s="1649"/>
    </row>
    <row r="1591" spans="11:15">
      <c r="K1591" s="1646">
        <v>43648</v>
      </c>
      <c r="L1591" s="1647" t="s">
        <v>1653</v>
      </c>
      <c r="M1591" s="1648">
        <v>2.462E-2</v>
      </c>
      <c r="N1591" s="1649">
        <v>1.5312996471371201</v>
      </c>
      <c r="O1591" s="1649"/>
    </row>
    <row r="1592" spans="11:15">
      <c r="K1592" s="1646">
        <v>43649</v>
      </c>
      <c r="L1592" s="1647" t="s">
        <v>1653</v>
      </c>
      <c r="M1592" s="1648">
        <v>2.462E-2</v>
      </c>
      <c r="N1592" s="1649">
        <v>1.5316766531102455</v>
      </c>
      <c r="O1592" s="1649"/>
    </row>
    <row r="1593" spans="11:15">
      <c r="K1593" s="1646">
        <v>43650</v>
      </c>
      <c r="L1593" s="1647" t="s">
        <v>1653</v>
      </c>
      <c r="M1593" s="1648">
        <v>2.462E-2</v>
      </c>
      <c r="N1593" s="1649">
        <v>1.5320537519022412</v>
      </c>
      <c r="O1593" s="1649"/>
    </row>
    <row r="1594" spans="11:15">
      <c r="K1594" s="1646">
        <v>43651</v>
      </c>
      <c r="L1594" s="1647" t="s">
        <v>1653</v>
      </c>
      <c r="M1594" s="1648">
        <v>2.462E-2</v>
      </c>
      <c r="N1594" s="1649">
        <v>1.5324309435359598</v>
      </c>
      <c r="O1594" s="1649"/>
    </row>
    <row r="1595" spans="11:15">
      <c r="K1595" s="1646">
        <v>43652</v>
      </c>
      <c r="L1595" s="1647"/>
      <c r="M1595" s="1648">
        <v>0</v>
      </c>
      <c r="N1595" s="1649">
        <v>1.5324309435359598</v>
      </c>
      <c r="O1595" s="1649"/>
    </row>
    <row r="1596" spans="11:15">
      <c r="K1596" s="1646">
        <v>43653</v>
      </c>
      <c r="L1596" s="1647"/>
      <c r="M1596" s="1648">
        <v>0</v>
      </c>
      <c r="N1596" s="1649">
        <v>1.5324309435359598</v>
      </c>
      <c r="O1596" s="1649"/>
    </row>
    <row r="1597" spans="11:15">
      <c r="K1597" s="1646">
        <v>43654</v>
      </c>
      <c r="L1597" s="1647" t="s">
        <v>1653</v>
      </c>
      <c r="M1597" s="1648">
        <v>2.462E-2</v>
      </c>
      <c r="N1597" s="1649">
        <v>1.5328082280342585</v>
      </c>
      <c r="O1597" s="1649"/>
    </row>
    <row r="1598" spans="11:15">
      <c r="K1598" s="1646">
        <v>43655</v>
      </c>
      <c r="L1598" s="1647" t="s">
        <v>1653</v>
      </c>
      <c r="M1598" s="1648">
        <v>2.462E-2</v>
      </c>
      <c r="N1598" s="1649">
        <v>1.5331856054200006</v>
      </c>
      <c r="O1598" s="1649"/>
    </row>
    <row r="1599" spans="11:15">
      <c r="K1599" s="1646">
        <v>43656</v>
      </c>
      <c r="L1599" s="1647" t="s">
        <v>1653</v>
      </c>
      <c r="M1599" s="1648">
        <v>2.462E-2</v>
      </c>
      <c r="N1599" s="1649">
        <v>1.5335630757160552</v>
      </c>
      <c r="O1599" s="1649"/>
    </row>
    <row r="1600" spans="11:15">
      <c r="K1600" s="1646">
        <v>43657</v>
      </c>
      <c r="L1600" s="1647" t="s">
        <v>1653</v>
      </c>
      <c r="M1600" s="1648">
        <v>2.462E-2</v>
      </c>
      <c r="N1600" s="1649">
        <v>1.5339406389452965</v>
      </c>
      <c r="O1600" s="1649"/>
    </row>
    <row r="1601" spans="11:15">
      <c r="K1601" s="1646">
        <v>43658</v>
      </c>
      <c r="L1601" s="1647" t="s">
        <v>1653</v>
      </c>
      <c r="M1601" s="1648">
        <v>2.462E-2</v>
      </c>
      <c r="N1601" s="1649">
        <v>1.5343182951306049</v>
      </c>
      <c r="O1601" s="1649"/>
    </row>
    <row r="1602" spans="11:15">
      <c r="K1602" s="1646">
        <v>43659</v>
      </c>
      <c r="L1602" s="1647"/>
      <c r="M1602" s="1648">
        <v>0</v>
      </c>
      <c r="N1602" s="1649">
        <v>1.5343182951306049</v>
      </c>
      <c r="O1602" s="1649"/>
    </row>
    <row r="1603" spans="11:15">
      <c r="K1603" s="1646">
        <v>43660</v>
      </c>
      <c r="L1603" s="1647"/>
      <c r="M1603" s="1648">
        <v>0</v>
      </c>
      <c r="N1603" s="1649">
        <v>1.5343182951306049</v>
      </c>
      <c r="O1603" s="1649"/>
    </row>
    <row r="1604" spans="11:15">
      <c r="K1604" s="1646">
        <v>43661</v>
      </c>
      <c r="L1604" s="1647" t="s">
        <v>1653</v>
      </c>
      <c r="M1604" s="1648">
        <v>2.462E-2</v>
      </c>
      <c r="N1604" s="1649">
        <v>1.5346960442948663</v>
      </c>
      <c r="O1604" s="1649"/>
    </row>
    <row r="1605" spans="11:15">
      <c r="K1605" s="1646">
        <v>43662</v>
      </c>
      <c r="L1605" s="1647" t="s">
        <v>1653</v>
      </c>
      <c r="M1605" s="1648">
        <v>2.462E-2</v>
      </c>
      <c r="N1605" s="1649">
        <v>1.5350738864609719</v>
      </c>
      <c r="O1605" s="1649"/>
    </row>
    <row r="1606" spans="11:15">
      <c r="K1606" s="1646">
        <v>43663</v>
      </c>
      <c r="L1606" s="1647" t="s">
        <v>1653</v>
      </c>
      <c r="M1606" s="1648">
        <v>2.462E-2</v>
      </c>
      <c r="N1606" s="1649">
        <v>1.5354518216518187</v>
      </c>
      <c r="O1606" s="1649"/>
    </row>
    <row r="1607" spans="11:15">
      <c r="K1607" s="1646">
        <v>43664</v>
      </c>
      <c r="L1607" s="1647" t="s">
        <v>1653</v>
      </c>
      <c r="M1607" s="1648">
        <v>2.462E-2</v>
      </c>
      <c r="N1607" s="1649">
        <v>1.5358298498903096</v>
      </c>
      <c r="O1607" s="1649"/>
    </row>
    <row r="1608" spans="11:15">
      <c r="K1608" s="1646">
        <v>43665</v>
      </c>
      <c r="L1608" s="1647" t="s">
        <v>1653</v>
      </c>
      <c r="M1608" s="1648">
        <v>2.462E-2</v>
      </c>
      <c r="N1608" s="1649">
        <v>1.5362079711993526</v>
      </c>
      <c r="O1608" s="1649"/>
    </row>
    <row r="1609" spans="11:15">
      <c r="K1609" s="1646">
        <v>43666</v>
      </c>
      <c r="L1609" s="1647"/>
      <c r="M1609" s="1648">
        <v>0</v>
      </c>
      <c r="N1609" s="1649">
        <v>1.5362079711993526</v>
      </c>
      <c r="O1609" s="1649"/>
    </row>
    <row r="1610" spans="11:15">
      <c r="K1610" s="1646">
        <v>43667</v>
      </c>
      <c r="L1610" s="1647"/>
      <c r="M1610" s="1648">
        <v>0</v>
      </c>
      <c r="N1610" s="1649">
        <v>1.5362079711993526</v>
      </c>
      <c r="O1610" s="1649"/>
    </row>
    <row r="1611" spans="11:15">
      <c r="K1611" s="1646">
        <v>43668</v>
      </c>
      <c r="L1611" s="1647" t="s">
        <v>1653</v>
      </c>
      <c r="M1611" s="1648">
        <v>2.462E-2</v>
      </c>
      <c r="N1611" s="1649">
        <v>1.5365861856018621</v>
      </c>
      <c r="O1611" s="1649"/>
    </row>
    <row r="1612" spans="11:15">
      <c r="K1612" s="1646">
        <v>43669</v>
      </c>
      <c r="L1612" s="1647" t="s">
        <v>1653</v>
      </c>
      <c r="M1612" s="1648">
        <v>2.462E-2</v>
      </c>
      <c r="N1612" s="1649">
        <v>1.5369644931207573</v>
      </c>
      <c r="O1612" s="1649"/>
    </row>
    <row r="1613" spans="11:15">
      <c r="K1613" s="1646">
        <v>43670</v>
      </c>
      <c r="L1613" s="1647" t="s">
        <v>1653</v>
      </c>
      <c r="M1613" s="1648">
        <v>2.462E-2</v>
      </c>
      <c r="N1613" s="1649">
        <v>1.5373428937789637</v>
      </c>
      <c r="O1613" s="1649"/>
    </row>
    <row r="1614" spans="11:15">
      <c r="K1614" s="1646">
        <v>43671</v>
      </c>
      <c r="L1614" s="1647" t="s">
        <v>1653</v>
      </c>
      <c r="M1614" s="1648">
        <v>2.462E-2</v>
      </c>
      <c r="N1614" s="1649">
        <v>1.5377213875994122</v>
      </c>
      <c r="O1614" s="1649"/>
    </row>
    <row r="1615" spans="11:15">
      <c r="K1615" s="1646">
        <v>43672</v>
      </c>
      <c r="L1615" s="1647" t="s">
        <v>1653</v>
      </c>
      <c r="M1615" s="1648">
        <v>2.462E-2</v>
      </c>
      <c r="N1615" s="1649">
        <v>1.5380999746050394</v>
      </c>
      <c r="O1615" s="1649"/>
    </row>
    <row r="1616" spans="11:15">
      <c r="K1616" s="1646">
        <v>43673</v>
      </c>
      <c r="L1616" s="1647"/>
      <c r="M1616" s="1648">
        <v>0</v>
      </c>
      <c r="N1616" s="1649">
        <v>1.5380999746050394</v>
      </c>
      <c r="O1616" s="1649"/>
    </row>
    <row r="1617" spans="11:15">
      <c r="K1617" s="1646">
        <v>43674</v>
      </c>
      <c r="L1617" s="1647"/>
      <c r="M1617" s="1648">
        <v>0</v>
      </c>
      <c r="N1617" s="1649">
        <v>1.5380999746050394</v>
      </c>
      <c r="O1617" s="1649"/>
    </row>
    <row r="1618" spans="11:15">
      <c r="K1618" s="1646">
        <v>43675</v>
      </c>
      <c r="L1618" s="1647" t="s">
        <v>1653</v>
      </c>
      <c r="M1618" s="1648">
        <v>2.462E-2</v>
      </c>
      <c r="N1618" s="1649">
        <v>1.5384786548187874</v>
      </c>
      <c r="O1618" s="1649"/>
    </row>
    <row r="1619" spans="11:15">
      <c r="K1619" s="1646">
        <v>43676</v>
      </c>
      <c r="L1619" s="1647" t="s">
        <v>1653</v>
      </c>
      <c r="M1619" s="1648">
        <v>2.462E-2</v>
      </c>
      <c r="N1619" s="1649">
        <v>1.5388574282636041</v>
      </c>
      <c r="O1619" s="1649"/>
    </row>
    <row r="1620" spans="11:15">
      <c r="K1620" s="1646">
        <v>43677</v>
      </c>
      <c r="L1620" s="1647" t="s">
        <v>1653</v>
      </c>
      <c r="M1620" s="1648">
        <v>2.462E-2</v>
      </c>
      <c r="N1620" s="1649">
        <v>1.5392362949624427</v>
      </c>
      <c r="O1620" s="1649"/>
    </row>
    <row r="1621" spans="11:15">
      <c r="K1621" s="1646">
        <v>43678</v>
      </c>
      <c r="L1621" s="1647" t="s">
        <v>1653</v>
      </c>
      <c r="M1621" s="1648">
        <v>2.2751E-2</v>
      </c>
      <c r="N1621" s="1649">
        <v>1.5395864866119096</v>
      </c>
      <c r="O1621" s="1649"/>
    </row>
    <row r="1622" spans="11:15">
      <c r="K1622" s="1646">
        <v>43679</v>
      </c>
      <c r="L1622" s="1647" t="s">
        <v>1653</v>
      </c>
      <c r="M1622" s="1648">
        <v>2.2751E-2</v>
      </c>
      <c r="N1622" s="1649">
        <v>1.5399367579334786</v>
      </c>
      <c r="O1622" s="1649"/>
    </row>
    <row r="1623" spans="11:15">
      <c r="K1623" s="1646">
        <v>43680</v>
      </c>
      <c r="L1623" s="1647"/>
      <c r="M1623" s="1648">
        <v>0</v>
      </c>
      <c r="N1623" s="1649">
        <v>1.5399367579334786</v>
      </c>
      <c r="O1623" s="1649"/>
    </row>
    <row r="1624" spans="11:15">
      <c r="K1624" s="1646">
        <v>43681</v>
      </c>
      <c r="L1624" s="1647"/>
      <c r="M1624" s="1648">
        <v>0</v>
      </c>
      <c r="N1624" s="1649">
        <v>1.5399367579334786</v>
      </c>
      <c r="O1624" s="1649"/>
    </row>
    <row r="1625" spans="11:15">
      <c r="K1625" s="1646">
        <v>43682</v>
      </c>
      <c r="L1625" s="1647" t="s">
        <v>1653</v>
      </c>
      <c r="M1625" s="1648">
        <v>2.2751E-2</v>
      </c>
      <c r="N1625" s="1649">
        <v>1.5402871089452761</v>
      </c>
      <c r="O1625" s="1649"/>
    </row>
    <row r="1626" spans="11:15">
      <c r="K1626" s="1646">
        <v>43683</v>
      </c>
      <c r="L1626" s="1647" t="s">
        <v>1653</v>
      </c>
      <c r="M1626" s="1648">
        <v>2.2751E-2</v>
      </c>
      <c r="N1626" s="1649">
        <v>1.5406375396654322</v>
      </c>
      <c r="O1626" s="1649"/>
    </row>
    <row r="1627" spans="11:15">
      <c r="K1627" s="1646">
        <v>43684</v>
      </c>
      <c r="L1627" s="1647" t="s">
        <v>1653</v>
      </c>
      <c r="M1627" s="1648">
        <v>2.2751E-2</v>
      </c>
      <c r="N1627" s="1649">
        <v>1.5409880501120814</v>
      </c>
      <c r="O1627" s="1649"/>
    </row>
    <row r="1628" spans="11:15">
      <c r="K1628" s="1646">
        <v>43685</v>
      </c>
      <c r="L1628" s="1647" t="s">
        <v>1653</v>
      </c>
      <c r="M1628" s="1648">
        <v>2.2751E-2</v>
      </c>
      <c r="N1628" s="1649">
        <v>1.5413386403033624</v>
      </c>
      <c r="O1628" s="1649"/>
    </row>
    <row r="1629" spans="11:15">
      <c r="K1629" s="1646">
        <v>43686</v>
      </c>
      <c r="L1629" s="1647" t="s">
        <v>1653</v>
      </c>
      <c r="M1629" s="1648">
        <v>2.2751E-2</v>
      </c>
      <c r="N1629" s="1649">
        <v>1.5416893102574178</v>
      </c>
      <c r="O1629" s="1649"/>
    </row>
    <row r="1630" spans="11:15">
      <c r="K1630" s="1646">
        <v>43687</v>
      </c>
      <c r="L1630" s="1647"/>
      <c r="M1630" s="1648">
        <v>0</v>
      </c>
      <c r="N1630" s="1649">
        <v>1.5416893102574178</v>
      </c>
      <c r="O1630" s="1649"/>
    </row>
    <row r="1631" spans="11:15">
      <c r="K1631" s="1646">
        <v>43688</v>
      </c>
      <c r="L1631" s="1647"/>
      <c r="M1631" s="1648">
        <v>0</v>
      </c>
      <c r="N1631" s="1649">
        <v>1.5416893102574178</v>
      </c>
      <c r="O1631" s="1649"/>
    </row>
    <row r="1632" spans="11:15">
      <c r="K1632" s="1646">
        <v>43689</v>
      </c>
      <c r="L1632" s="1647" t="s">
        <v>1653</v>
      </c>
      <c r="M1632" s="1648">
        <v>2.2751E-2</v>
      </c>
      <c r="N1632" s="1649">
        <v>1.5420400599923945</v>
      </c>
      <c r="O1632" s="1649"/>
    </row>
    <row r="1633" spans="11:15">
      <c r="K1633" s="1646">
        <v>43690</v>
      </c>
      <c r="L1633" s="1647" t="s">
        <v>1653</v>
      </c>
      <c r="M1633" s="1648">
        <v>2.2751E-2</v>
      </c>
      <c r="N1633" s="1649">
        <v>1.5423908895264433</v>
      </c>
      <c r="O1633" s="1649"/>
    </row>
    <row r="1634" spans="11:15">
      <c r="K1634" s="1646">
        <v>43691</v>
      </c>
      <c r="L1634" s="1647" t="s">
        <v>1653</v>
      </c>
      <c r="M1634" s="1648">
        <v>2.2751E-2</v>
      </c>
      <c r="N1634" s="1649">
        <v>1.5427417988777195</v>
      </c>
      <c r="O1634" s="1649"/>
    </row>
    <row r="1635" spans="11:15">
      <c r="K1635" s="1646">
        <v>43692</v>
      </c>
      <c r="L1635" s="1647" t="s">
        <v>1653</v>
      </c>
      <c r="M1635" s="1648">
        <v>2.2751E-2</v>
      </c>
      <c r="N1635" s="1649">
        <v>1.5430927880643821</v>
      </c>
      <c r="O1635" s="1649"/>
    </row>
    <row r="1636" spans="11:15">
      <c r="K1636" s="1646">
        <v>43693</v>
      </c>
      <c r="L1636" s="1647" t="s">
        <v>1653</v>
      </c>
      <c r="M1636" s="1648">
        <v>2.2751E-2</v>
      </c>
      <c r="N1636" s="1649">
        <v>1.5434438571045945</v>
      </c>
      <c r="O1636" s="1649"/>
    </row>
    <row r="1637" spans="11:15">
      <c r="K1637" s="1646">
        <v>43694</v>
      </c>
      <c r="L1637" s="1647"/>
      <c r="M1637" s="1648">
        <v>0</v>
      </c>
      <c r="N1637" s="1649">
        <v>1.5434438571045945</v>
      </c>
      <c r="O1637" s="1649"/>
    </row>
    <row r="1638" spans="11:15">
      <c r="K1638" s="1646">
        <v>43695</v>
      </c>
      <c r="L1638" s="1647"/>
      <c r="M1638" s="1648">
        <v>0</v>
      </c>
      <c r="N1638" s="1649">
        <v>1.5434438571045945</v>
      </c>
      <c r="O1638" s="1649"/>
    </row>
    <row r="1639" spans="11:15">
      <c r="K1639" s="1646">
        <v>43696</v>
      </c>
      <c r="L1639" s="1647" t="s">
        <v>1653</v>
      </c>
      <c r="M1639" s="1648">
        <v>2.2751E-2</v>
      </c>
      <c r="N1639" s="1649">
        <v>1.5437950060165244</v>
      </c>
      <c r="O1639" s="1649"/>
    </row>
    <row r="1640" spans="11:15">
      <c r="K1640" s="1646">
        <v>43697</v>
      </c>
      <c r="L1640" s="1647" t="s">
        <v>1653</v>
      </c>
      <c r="M1640" s="1648">
        <v>2.2751E-2</v>
      </c>
      <c r="N1640" s="1649">
        <v>1.5441462348183432</v>
      </c>
      <c r="O1640" s="1649"/>
    </row>
    <row r="1641" spans="11:15">
      <c r="K1641" s="1646">
        <v>43698</v>
      </c>
      <c r="L1641" s="1647" t="s">
        <v>1653</v>
      </c>
      <c r="M1641" s="1648">
        <v>2.2751E-2</v>
      </c>
      <c r="N1641" s="1649">
        <v>1.5444975435282267</v>
      </c>
      <c r="O1641" s="1649"/>
    </row>
    <row r="1642" spans="11:15">
      <c r="K1642" s="1646">
        <v>43699</v>
      </c>
      <c r="L1642" s="1647" t="s">
        <v>1653</v>
      </c>
      <c r="M1642" s="1648">
        <v>2.2751E-2</v>
      </c>
      <c r="N1642" s="1649">
        <v>1.5448489321643548</v>
      </c>
      <c r="O1642" s="1649"/>
    </row>
    <row r="1643" spans="11:15">
      <c r="K1643" s="1646">
        <v>43700</v>
      </c>
      <c r="L1643" s="1647" t="s">
        <v>1653</v>
      </c>
      <c r="M1643" s="1648">
        <v>2.2751E-2</v>
      </c>
      <c r="N1643" s="1649">
        <v>1.5452004007449116</v>
      </c>
      <c r="O1643" s="1649"/>
    </row>
    <row r="1644" spans="11:15">
      <c r="K1644" s="1646">
        <v>43701</v>
      </c>
      <c r="L1644" s="1647"/>
      <c r="M1644" s="1648">
        <v>0</v>
      </c>
      <c r="N1644" s="1649">
        <v>1.5452004007449116</v>
      </c>
      <c r="O1644" s="1649"/>
    </row>
    <row r="1645" spans="11:15">
      <c r="K1645" s="1646">
        <v>43702</v>
      </c>
      <c r="L1645" s="1647"/>
      <c r="M1645" s="1648">
        <v>0</v>
      </c>
      <c r="N1645" s="1649">
        <v>1.5452004007449116</v>
      </c>
      <c r="O1645" s="1649"/>
    </row>
    <row r="1646" spans="11:15">
      <c r="K1646" s="1646">
        <v>43703</v>
      </c>
      <c r="L1646" s="1647" t="s">
        <v>1653</v>
      </c>
      <c r="M1646" s="1648">
        <v>2.2751E-2</v>
      </c>
      <c r="N1646" s="1649">
        <v>1.5455519492880851</v>
      </c>
      <c r="O1646" s="1649"/>
    </row>
    <row r="1647" spans="11:15">
      <c r="K1647" s="1646">
        <v>43704</v>
      </c>
      <c r="L1647" s="1647" t="s">
        <v>1653</v>
      </c>
      <c r="M1647" s="1648">
        <v>2.2751E-2</v>
      </c>
      <c r="N1647" s="1649">
        <v>1.5459035778120676</v>
      </c>
      <c r="O1647" s="1649"/>
    </row>
    <row r="1648" spans="11:15">
      <c r="K1648" s="1646">
        <v>43705</v>
      </c>
      <c r="L1648" s="1647" t="s">
        <v>1653</v>
      </c>
      <c r="M1648" s="1648">
        <v>2.2751E-2</v>
      </c>
      <c r="N1648" s="1649">
        <v>1.5462552863350556</v>
      </c>
      <c r="O1648" s="1649"/>
    </row>
    <row r="1649" spans="11:15">
      <c r="K1649" s="1646">
        <v>43706</v>
      </c>
      <c r="L1649" s="1647" t="s">
        <v>1653</v>
      </c>
      <c r="M1649" s="1648">
        <v>2.2751E-2</v>
      </c>
      <c r="N1649" s="1649">
        <v>1.5466070748752496</v>
      </c>
      <c r="O1649" s="1649"/>
    </row>
    <row r="1650" spans="11:15">
      <c r="K1650" s="1646">
        <v>43707</v>
      </c>
      <c r="L1650" s="1647" t="s">
        <v>1653</v>
      </c>
      <c r="M1650" s="1648">
        <v>2.2751E-2</v>
      </c>
      <c r="N1650" s="1649">
        <v>1.5469589434508544</v>
      </c>
      <c r="O1650" s="1649"/>
    </row>
    <row r="1651" spans="11:15">
      <c r="K1651" s="1646">
        <v>43708</v>
      </c>
      <c r="L1651" s="1647"/>
      <c r="M1651" s="1648">
        <v>0</v>
      </c>
      <c r="N1651" s="1649">
        <v>1.5469589434508544</v>
      </c>
      <c r="O1651" s="1649"/>
    </row>
    <row r="1652" spans="11:15">
      <c r="K1652" s="1646">
        <v>43709</v>
      </c>
      <c r="L1652" s="1647"/>
      <c r="M1652" s="1648">
        <v>0</v>
      </c>
      <c r="N1652" s="1649">
        <v>1.5469589434508544</v>
      </c>
      <c r="O1652" s="1649"/>
    </row>
    <row r="1653" spans="11:15">
      <c r="K1653" s="1646">
        <v>43710</v>
      </c>
      <c r="L1653" s="1647" t="s">
        <v>1653</v>
      </c>
      <c r="M1653" s="1648">
        <v>2.2751E-2</v>
      </c>
      <c r="N1653" s="1649">
        <v>1.5473108920800789</v>
      </c>
      <c r="O1653" s="1649"/>
    </row>
    <row r="1654" spans="11:15">
      <c r="K1654" s="1646">
        <v>43711</v>
      </c>
      <c r="L1654" s="1647" t="s">
        <v>1653</v>
      </c>
      <c r="M1654" s="1648">
        <v>2.2751E-2</v>
      </c>
      <c r="N1654" s="1649">
        <v>1.5476629207811361</v>
      </c>
      <c r="O1654" s="1649"/>
    </row>
    <row r="1655" spans="11:15">
      <c r="K1655" s="1646">
        <v>43712</v>
      </c>
      <c r="L1655" s="1647" t="s">
        <v>1653</v>
      </c>
      <c r="M1655" s="1648">
        <v>2.2751E-2</v>
      </c>
      <c r="N1655" s="1649">
        <v>1.548015029572243</v>
      </c>
      <c r="O1655" s="1649"/>
    </row>
    <row r="1656" spans="11:15">
      <c r="K1656" s="1646">
        <v>43713</v>
      </c>
      <c r="L1656" s="1647" t="s">
        <v>1653</v>
      </c>
      <c r="M1656" s="1648">
        <v>2.2751E-2</v>
      </c>
      <c r="N1656" s="1649">
        <v>1.5483672184716211</v>
      </c>
      <c r="O1656" s="1649"/>
    </row>
    <row r="1657" spans="11:15">
      <c r="K1657" s="1646">
        <v>43714</v>
      </c>
      <c r="L1657" s="1647" t="s">
        <v>1653</v>
      </c>
      <c r="M1657" s="1648">
        <v>2.2751E-2</v>
      </c>
      <c r="N1657" s="1649">
        <v>1.5487194874974954</v>
      </c>
      <c r="O1657" s="1649"/>
    </row>
    <row r="1658" spans="11:15">
      <c r="K1658" s="1646">
        <v>43715</v>
      </c>
      <c r="L1658" s="1647"/>
      <c r="M1658" s="1648">
        <v>0</v>
      </c>
      <c r="N1658" s="1649">
        <v>1.5487194874974954</v>
      </c>
      <c r="O1658" s="1649"/>
    </row>
    <row r="1659" spans="11:15">
      <c r="K1659" s="1646">
        <v>43716</v>
      </c>
      <c r="L1659" s="1647"/>
      <c r="M1659" s="1648">
        <v>0</v>
      </c>
      <c r="N1659" s="1649">
        <v>1.5487194874974954</v>
      </c>
      <c r="O1659" s="1649"/>
    </row>
    <row r="1660" spans="11:15">
      <c r="K1660" s="1646">
        <v>43717</v>
      </c>
      <c r="L1660" s="1647" t="s">
        <v>1653</v>
      </c>
      <c r="M1660" s="1648">
        <v>2.2751E-2</v>
      </c>
      <c r="N1660" s="1649">
        <v>1.549071836668096</v>
      </c>
      <c r="O1660" s="1649"/>
    </row>
    <row r="1661" spans="11:15">
      <c r="K1661" s="1646">
        <v>43718</v>
      </c>
      <c r="L1661" s="1647" t="s">
        <v>1653</v>
      </c>
      <c r="M1661" s="1648">
        <v>2.2751E-2</v>
      </c>
      <c r="N1661" s="1649">
        <v>1.5494242660016564</v>
      </c>
      <c r="O1661" s="1649"/>
    </row>
    <row r="1662" spans="11:15">
      <c r="K1662" s="1646">
        <v>43719</v>
      </c>
      <c r="L1662" s="1647" t="s">
        <v>1653</v>
      </c>
      <c r="M1662" s="1648">
        <v>2.2751E-2</v>
      </c>
      <c r="N1662" s="1649">
        <v>1.5497767755164145</v>
      </c>
      <c r="O1662" s="1649"/>
    </row>
    <row r="1663" spans="11:15">
      <c r="K1663" s="1646">
        <v>43720</v>
      </c>
      <c r="L1663" s="1647" t="s">
        <v>1653</v>
      </c>
      <c r="M1663" s="1648">
        <v>2.2751E-2</v>
      </c>
      <c r="N1663" s="1649">
        <v>1.5501293652306123</v>
      </c>
      <c r="O1663" s="1649"/>
    </row>
    <row r="1664" spans="11:15">
      <c r="K1664" s="1646">
        <v>43721</v>
      </c>
      <c r="L1664" s="1647" t="s">
        <v>1653</v>
      </c>
      <c r="M1664" s="1648">
        <v>2.2751E-2</v>
      </c>
      <c r="N1664" s="1649">
        <v>1.5504820351624959</v>
      </c>
      <c r="O1664" s="1649"/>
    </row>
    <row r="1665" spans="11:15">
      <c r="K1665" s="1646">
        <v>43722</v>
      </c>
      <c r="L1665" s="1647"/>
      <c r="M1665" s="1648">
        <v>0</v>
      </c>
      <c r="N1665" s="1649">
        <v>1.5504820351624959</v>
      </c>
      <c r="O1665" s="1649"/>
    </row>
    <row r="1666" spans="11:15">
      <c r="K1666" s="1646">
        <v>43723</v>
      </c>
      <c r="L1666" s="1647"/>
      <c r="M1666" s="1648">
        <v>0</v>
      </c>
      <c r="N1666" s="1649">
        <v>1.5504820351624959</v>
      </c>
      <c r="O1666" s="1649"/>
    </row>
    <row r="1667" spans="11:15">
      <c r="K1667" s="1646">
        <v>43724</v>
      </c>
      <c r="L1667" s="1647" t="s">
        <v>1653</v>
      </c>
      <c r="M1667" s="1648">
        <v>2.2751E-2</v>
      </c>
      <c r="N1667" s="1649">
        <v>1.5508347853303157</v>
      </c>
      <c r="O1667" s="1649"/>
    </row>
    <row r="1668" spans="11:15">
      <c r="K1668" s="1646">
        <v>43725</v>
      </c>
      <c r="L1668" s="1647" t="s">
        <v>1653</v>
      </c>
      <c r="M1668" s="1648">
        <v>2.2751E-2</v>
      </c>
      <c r="N1668" s="1649">
        <v>1.5511876157523261</v>
      </c>
      <c r="O1668" s="1649"/>
    </row>
    <row r="1669" spans="11:15">
      <c r="K1669" s="1646">
        <v>43726</v>
      </c>
      <c r="L1669" s="1647" t="s">
        <v>1653</v>
      </c>
      <c r="M1669" s="1648">
        <v>2.2751E-2</v>
      </c>
      <c r="N1669" s="1649">
        <v>1.5515405264467859</v>
      </c>
      <c r="O1669" s="1649"/>
    </row>
    <row r="1670" spans="11:15">
      <c r="K1670" s="1646">
        <v>43727</v>
      </c>
      <c r="L1670" s="1647" t="s">
        <v>1653</v>
      </c>
      <c r="M1670" s="1648">
        <v>2.0872000000000002E-2</v>
      </c>
      <c r="N1670" s="1649">
        <v>1.5518643639854659</v>
      </c>
      <c r="O1670" s="1649"/>
    </row>
    <row r="1671" spans="11:15">
      <c r="K1671" s="1646">
        <v>43728</v>
      </c>
      <c r="L1671" s="1647" t="s">
        <v>1653</v>
      </c>
      <c r="M1671" s="1648">
        <v>2.0872000000000002E-2</v>
      </c>
      <c r="N1671" s="1649">
        <v>1.5521882691155171</v>
      </c>
      <c r="O1671" s="1649"/>
    </row>
    <row r="1672" spans="11:15">
      <c r="K1672" s="1646">
        <v>43729</v>
      </c>
      <c r="L1672" s="1647"/>
      <c r="M1672" s="1648">
        <v>0</v>
      </c>
      <c r="N1672" s="1649">
        <v>1.5521882691155171</v>
      </c>
      <c r="O1672" s="1649"/>
    </row>
    <row r="1673" spans="11:15">
      <c r="K1673" s="1646">
        <v>43730</v>
      </c>
      <c r="L1673" s="1647"/>
      <c r="M1673" s="1648">
        <v>0</v>
      </c>
      <c r="N1673" s="1649">
        <v>1.5521882691155171</v>
      </c>
      <c r="O1673" s="1649"/>
    </row>
    <row r="1674" spans="11:15">
      <c r="K1674" s="1646">
        <v>43731</v>
      </c>
      <c r="L1674" s="1647" t="s">
        <v>1653</v>
      </c>
      <c r="M1674" s="1648">
        <v>2.0872000000000002E-2</v>
      </c>
      <c r="N1674" s="1649">
        <v>1.5525122418510471</v>
      </c>
      <c r="O1674" s="1649"/>
    </row>
    <row r="1675" spans="11:15">
      <c r="K1675" s="1646">
        <v>43732</v>
      </c>
      <c r="L1675" s="1647" t="s">
        <v>1653</v>
      </c>
      <c r="M1675" s="1648">
        <v>2.0872000000000002E-2</v>
      </c>
      <c r="N1675" s="1649">
        <v>1.5528362822061663</v>
      </c>
      <c r="O1675" s="1649"/>
    </row>
    <row r="1676" spans="11:15">
      <c r="K1676" s="1646">
        <v>43733</v>
      </c>
      <c r="L1676" s="1647" t="s">
        <v>1653</v>
      </c>
      <c r="M1676" s="1648">
        <v>2.0872000000000002E-2</v>
      </c>
      <c r="N1676" s="1649">
        <v>1.5531603901949884</v>
      </c>
      <c r="O1676" s="1649"/>
    </row>
    <row r="1677" spans="11:15">
      <c r="K1677" s="1646">
        <v>43734</v>
      </c>
      <c r="L1677" s="1647" t="s">
        <v>1653</v>
      </c>
      <c r="M1677" s="1648">
        <v>2.0872000000000002E-2</v>
      </c>
      <c r="N1677" s="1649">
        <v>1.5534845658316301</v>
      </c>
      <c r="O1677" s="1649"/>
    </row>
    <row r="1678" spans="11:15">
      <c r="K1678" s="1646">
        <v>43735</v>
      </c>
      <c r="L1678" s="1647" t="s">
        <v>1653</v>
      </c>
      <c r="M1678" s="1648">
        <v>2.0872000000000002E-2</v>
      </c>
      <c r="N1678" s="1649">
        <v>1.5538088091302105</v>
      </c>
      <c r="O1678" s="1649"/>
    </row>
    <row r="1679" spans="11:15">
      <c r="K1679" s="1646">
        <v>43736</v>
      </c>
      <c r="L1679" s="1647"/>
      <c r="M1679" s="1648">
        <v>0</v>
      </c>
      <c r="N1679" s="1649">
        <v>1.5538088091302105</v>
      </c>
      <c r="O1679" s="1649"/>
    </row>
    <row r="1680" spans="11:15">
      <c r="K1680" s="1646">
        <v>43737</v>
      </c>
      <c r="L1680" s="1647"/>
      <c r="M1680" s="1648">
        <v>0</v>
      </c>
      <c r="N1680" s="1649">
        <v>1.5538088091302105</v>
      </c>
      <c r="O1680" s="1649"/>
    </row>
    <row r="1681" spans="11:15">
      <c r="K1681" s="1646">
        <v>43738</v>
      </c>
      <c r="L1681" s="1647" t="s">
        <v>1653</v>
      </c>
      <c r="M1681" s="1648">
        <v>2.0872000000000002E-2</v>
      </c>
      <c r="N1681" s="1649">
        <v>1.5541331201048523</v>
      </c>
      <c r="O1681" s="1649"/>
    </row>
    <row r="1682" spans="11:15">
      <c r="K1682" s="1646">
        <v>43739</v>
      </c>
      <c r="L1682" s="1647" t="s">
        <v>1653</v>
      </c>
      <c r="M1682" s="1648">
        <v>2.0872000000000002E-2</v>
      </c>
      <c r="N1682" s="1649">
        <v>1.5544574987696806</v>
      </c>
      <c r="O1682" s="1649"/>
    </row>
    <row r="1683" spans="11:15">
      <c r="K1683" s="1646">
        <v>43740</v>
      </c>
      <c r="L1683" s="1647" t="s">
        <v>1653</v>
      </c>
      <c r="M1683" s="1648">
        <v>2.0872000000000002E-2</v>
      </c>
      <c r="N1683" s="1649">
        <v>1.5547819451388238</v>
      </c>
      <c r="O1683" s="1649"/>
    </row>
    <row r="1684" spans="11:15">
      <c r="K1684" s="1646">
        <v>43741</v>
      </c>
      <c r="L1684" s="1647" t="s">
        <v>1653</v>
      </c>
      <c r="M1684" s="1648">
        <v>2.0872000000000002E-2</v>
      </c>
      <c r="N1684" s="1649">
        <v>1.5551064592264132</v>
      </c>
      <c r="O1684" s="1649"/>
    </row>
    <row r="1685" spans="11:15">
      <c r="K1685" s="1646">
        <v>43742</v>
      </c>
      <c r="L1685" s="1647" t="s">
        <v>1653</v>
      </c>
      <c r="M1685" s="1648">
        <v>2.0872000000000002E-2</v>
      </c>
      <c r="N1685" s="1649">
        <v>1.555431041046583</v>
      </c>
      <c r="O1685" s="1649"/>
    </row>
    <row r="1686" spans="11:15">
      <c r="K1686" s="1646">
        <v>43743</v>
      </c>
      <c r="L1686" s="1647"/>
      <c r="M1686" s="1648">
        <v>0</v>
      </c>
      <c r="N1686" s="1649">
        <v>1.555431041046583</v>
      </c>
      <c r="O1686" s="1649"/>
    </row>
    <row r="1687" spans="11:15">
      <c r="K1687" s="1646">
        <v>43744</v>
      </c>
      <c r="L1687" s="1647"/>
      <c r="M1687" s="1648">
        <v>0</v>
      </c>
      <c r="N1687" s="1649">
        <v>1.555431041046583</v>
      </c>
      <c r="O1687" s="1649"/>
    </row>
    <row r="1688" spans="11:15">
      <c r="K1688" s="1646">
        <v>43745</v>
      </c>
      <c r="L1688" s="1647" t="s">
        <v>1653</v>
      </c>
      <c r="M1688" s="1648">
        <v>2.0872000000000002E-2</v>
      </c>
      <c r="N1688" s="1649">
        <v>1.5557556906134704</v>
      </c>
      <c r="O1688" s="1649"/>
    </row>
    <row r="1689" spans="11:15">
      <c r="K1689" s="1646">
        <v>43746</v>
      </c>
      <c r="L1689" s="1647" t="s">
        <v>1653</v>
      </c>
      <c r="M1689" s="1648">
        <v>2.0872000000000002E-2</v>
      </c>
      <c r="N1689" s="1649">
        <v>1.5560804079412154</v>
      </c>
      <c r="O1689" s="1649"/>
    </row>
    <row r="1690" spans="11:15">
      <c r="K1690" s="1646">
        <v>43747</v>
      </c>
      <c r="L1690" s="1647" t="s">
        <v>1653</v>
      </c>
      <c r="M1690" s="1648">
        <v>2.0872000000000002E-2</v>
      </c>
      <c r="N1690" s="1649">
        <v>1.5564051930439609</v>
      </c>
      <c r="O1690" s="1649"/>
    </row>
    <row r="1691" spans="11:15">
      <c r="K1691" s="1646">
        <v>43748</v>
      </c>
      <c r="L1691" s="1647" t="s">
        <v>1653</v>
      </c>
      <c r="M1691" s="1648">
        <v>2.0872000000000002E-2</v>
      </c>
      <c r="N1691" s="1649">
        <v>1.5567300459358531</v>
      </c>
      <c r="O1691" s="1649"/>
    </row>
    <row r="1692" spans="11:15">
      <c r="K1692" s="1646">
        <v>43749</v>
      </c>
      <c r="L1692" s="1647" t="s">
        <v>1653</v>
      </c>
      <c r="M1692" s="1648">
        <v>2.0872000000000002E-2</v>
      </c>
      <c r="N1692" s="1649">
        <v>1.5570549666310409</v>
      </c>
      <c r="O1692" s="1649"/>
    </row>
    <row r="1693" spans="11:15">
      <c r="K1693" s="1646">
        <v>43750</v>
      </c>
      <c r="L1693" s="1647"/>
      <c r="M1693" s="1648">
        <v>0</v>
      </c>
      <c r="N1693" s="1649">
        <v>1.5570549666310409</v>
      </c>
      <c r="O1693" s="1649"/>
    </row>
    <row r="1694" spans="11:15">
      <c r="K1694" s="1646">
        <v>43751</v>
      </c>
      <c r="L1694" s="1647"/>
      <c r="M1694" s="1648">
        <v>0</v>
      </c>
      <c r="N1694" s="1649">
        <v>1.5570549666310409</v>
      </c>
      <c r="O1694" s="1649"/>
    </row>
    <row r="1695" spans="11:15">
      <c r="K1695" s="1646">
        <v>43752</v>
      </c>
      <c r="L1695" s="1647" t="s">
        <v>1653</v>
      </c>
      <c r="M1695" s="1648">
        <v>2.0872000000000002E-2</v>
      </c>
      <c r="N1695" s="1649">
        <v>1.5573799551436762</v>
      </c>
      <c r="O1695" s="1649"/>
    </row>
    <row r="1696" spans="11:15">
      <c r="K1696" s="1646">
        <v>43753</v>
      </c>
      <c r="L1696" s="1647" t="s">
        <v>1653</v>
      </c>
      <c r="M1696" s="1648">
        <v>2.0872000000000002E-2</v>
      </c>
      <c r="N1696" s="1649">
        <v>1.5577050114879138</v>
      </c>
      <c r="O1696" s="1649"/>
    </row>
    <row r="1697" spans="11:15">
      <c r="K1697" s="1646">
        <v>43754</v>
      </c>
      <c r="L1697" s="1647" t="s">
        <v>1653</v>
      </c>
      <c r="M1697" s="1648">
        <v>2.0872000000000002E-2</v>
      </c>
      <c r="N1697" s="1649">
        <v>1.5580301356779116</v>
      </c>
      <c r="O1697" s="1649"/>
    </row>
    <row r="1698" spans="11:15">
      <c r="K1698" s="1646">
        <v>43755</v>
      </c>
      <c r="L1698" s="1647" t="s">
        <v>1653</v>
      </c>
      <c r="M1698" s="1648">
        <v>2.0872000000000002E-2</v>
      </c>
      <c r="N1698" s="1649">
        <v>1.5583553277278304</v>
      </c>
      <c r="O1698" s="1649"/>
    </row>
    <row r="1699" spans="11:15">
      <c r="K1699" s="1646">
        <v>43756</v>
      </c>
      <c r="L1699" s="1647" t="s">
        <v>1653</v>
      </c>
      <c r="M1699" s="1648">
        <v>2.0872000000000002E-2</v>
      </c>
      <c r="N1699" s="1649">
        <v>1.5586805876518337</v>
      </c>
      <c r="O1699" s="1649"/>
    </row>
    <row r="1700" spans="11:15">
      <c r="K1700" s="1646">
        <v>43757</v>
      </c>
      <c r="L1700" s="1647"/>
      <c r="M1700" s="1648">
        <v>0</v>
      </c>
      <c r="N1700" s="1649">
        <v>1.5586805876518337</v>
      </c>
      <c r="O1700" s="1649"/>
    </row>
    <row r="1701" spans="11:15">
      <c r="K1701" s="1646">
        <v>43758</v>
      </c>
      <c r="L1701" s="1647"/>
      <c r="M1701" s="1648">
        <v>0</v>
      </c>
      <c r="N1701" s="1649">
        <v>1.5586805876518337</v>
      </c>
      <c r="O1701" s="1649"/>
    </row>
    <row r="1702" spans="11:15">
      <c r="K1702" s="1646">
        <v>43759</v>
      </c>
      <c r="L1702" s="1647" t="s">
        <v>1653</v>
      </c>
      <c r="M1702" s="1648">
        <v>2.0872000000000002E-2</v>
      </c>
      <c r="N1702" s="1649">
        <v>1.5590059154640885</v>
      </c>
      <c r="O1702" s="1649"/>
    </row>
    <row r="1703" spans="11:15">
      <c r="K1703" s="1646">
        <v>43760</v>
      </c>
      <c r="L1703" s="1647" t="s">
        <v>1653</v>
      </c>
      <c r="M1703" s="1648">
        <v>2.0872000000000002E-2</v>
      </c>
      <c r="N1703" s="1649">
        <v>1.5593313111787643</v>
      </c>
      <c r="O1703" s="1649"/>
    </row>
    <row r="1704" spans="11:15">
      <c r="K1704" s="1646">
        <v>43761</v>
      </c>
      <c r="L1704" s="1647" t="s">
        <v>1653</v>
      </c>
      <c r="M1704" s="1648">
        <v>2.0872000000000002E-2</v>
      </c>
      <c r="N1704" s="1649">
        <v>1.5596567748100336</v>
      </c>
      <c r="O1704" s="1649"/>
    </row>
    <row r="1705" spans="11:15">
      <c r="K1705" s="1646">
        <v>43762</v>
      </c>
      <c r="L1705" s="1647" t="s">
        <v>1653</v>
      </c>
      <c r="M1705" s="1648">
        <v>2.0872000000000002E-2</v>
      </c>
      <c r="N1705" s="1649">
        <v>1.5599823063720721</v>
      </c>
      <c r="O1705" s="1649"/>
    </row>
    <row r="1706" spans="11:15">
      <c r="K1706" s="1646">
        <v>43763</v>
      </c>
      <c r="L1706" s="1647" t="s">
        <v>1653</v>
      </c>
      <c r="M1706" s="1648">
        <v>2.0872000000000002E-2</v>
      </c>
      <c r="N1706" s="1649">
        <v>1.5603079058790581</v>
      </c>
      <c r="O1706" s="1649"/>
    </row>
    <row r="1707" spans="11:15">
      <c r="K1707" s="1646">
        <v>43764</v>
      </c>
      <c r="L1707" s="1647"/>
      <c r="M1707" s="1648">
        <v>0</v>
      </c>
      <c r="N1707" s="1649">
        <v>1.5603079058790581</v>
      </c>
      <c r="O1707" s="1649"/>
    </row>
    <row r="1708" spans="11:15">
      <c r="K1708" s="1646">
        <v>43765</v>
      </c>
      <c r="L1708" s="1647"/>
      <c r="M1708" s="1648">
        <v>0</v>
      </c>
      <c r="N1708" s="1649">
        <v>1.5603079058790581</v>
      </c>
      <c r="O1708" s="1649"/>
    </row>
    <row r="1709" spans="11:15">
      <c r="K1709" s="1646">
        <v>43766</v>
      </c>
      <c r="L1709" s="1647" t="s">
        <v>1653</v>
      </c>
      <c r="M1709" s="1648">
        <v>2.0872000000000002E-2</v>
      </c>
      <c r="N1709" s="1649">
        <v>1.5606335733451733</v>
      </c>
      <c r="O1709" s="1649"/>
    </row>
    <row r="1710" spans="11:15">
      <c r="K1710" s="1646">
        <v>43767</v>
      </c>
      <c r="L1710" s="1647" t="s">
        <v>1653</v>
      </c>
      <c r="M1710" s="1648">
        <v>2.0872000000000002E-2</v>
      </c>
      <c r="N1710" s="1649">
        <v>1.5609593087846019</v>
      </c>
      <c r="O1710" s="1649"/>
    </row>
    <row r="1711" spans="11:15">
      <c r="K1711" s="1646">
        <v>43768</v>
      </c>
      <c r="L1711" s="1647" t="s">
        <v>1653</v>
      </c>
      <c r="M1711" s="1648">
        <v>2.0872000000000002E-2</v>
      </c>
      <c r="N1711" s="1649">
        <v>1.5612851122115314</v>
      </c>
      <c r="O1711" s="1649"/>
    </row>
    <row r="1712" spans="11:15">
      <c r="K1712" s="1646">
        <v>43769</v>
      </c>
      <c r="L1712" s="1647" t="s">
        <v>1653</v>
      </c>
      <c r="M1712" s="1648">
        <v>1.8984999999999998E-2</v>
      </c>
      <c r="N1712" s="1649">
        <v>1.5615815221900846</v>
      </c>
      <c r="O1712" s="1649"/>
    </row>
    <row r="1713" spans="11:15">
      <c r="K1713" s="1646">
        <v>43770</v>
      </c>
      <c r="L1713" s="1647" t="s">
        <v>1653</v>
      </c>
      <c r="M1713" s="1648">
        <v>1.8984999999999998E-2</v>
      </c>
      <c r="N1713" s="1649">
        <v>1.5618779884420724</v>
      </c>
      <c r="O1713" s="1649"/>
    </row>
    <row r="1714" spans="11:15">
      <c r="K1714" s="1646">
        <v>43771</v>
      </c>
      <c r="L1714" s="1647"/>
      <c r="M1714" s="1648">
        <v>0</v>
      </c>
      <c r="N1714" s="1649">
        <v>1.5618779884420724</v>
      </c>
      <c r="O1714" s="1649"/>
    </row>
    <row r="1715" spans="11:15">
      <c r="K1715" s="1646">
        <v>43772</v>
      </c>
      <c r="L1715" s="1647"/>
      <c r="M1715" s="1648">
        <v>0</v>
      </c>
      <c r="N1715" s="1649">
        <v>1.5618779884420724</v>
      </c>
      <c r="O1715" s="1649"/>
    </row>
    <row r="1716" spans="11:15">
      <c r="K1716" s="1646">
        <v>43773</v>
      </c>
      <c r="L1716" s="1647" t="s">
        <v>1653</v>
      </c>
      <c r="M1716" s="1648">
        <v>1.8984999999999998E-2</v>
      </c>
      <c r="N1716" s="1649">
        <v>1.5621745109781779</v>
      </c>
      <c r="O1716" s="1649"/>
    </row>
    <row r="1717" spans="11:15">
      <c r="K1717" s="1646">
        <v>43774</v>
      </c>
      <c r="L1717" s="1647" t="s">
        <v>1653</v>
      </c>
      <c r="M1717" s="1648">
        <v>1.8984999999999998E-2</v>
      </c>
      <c r="N1717" s="1649">
        <v>1.562471089809087</v>
      </c>
      <c r="O1717" s="1649"/>
    </row>
    <row r="1718" spans="11:15">
      <c r="K1718" s="1646">
        <v>43775</v>
      </c>
      <c r="L1718" s="1647" t="s">
        <v>1653</v>
      </c>
      <c r="M1718" s="1648">
        <v>1.8984999999999998E-2</v>
      </c>
      <c r="N1718" s="1649">
        <v>1.5627677249454872</v>
      </c>
      <c r="O1718" s="1649"/>
    </row>
    <row r="1719" spans="11:15">
      <c r="K1719" s="1646">
        <v>43776</v>
      </c>
      <c r="L1719" s="1647" t="s">
        <v>1653</v>
      </c>
      <c r="M1719" s="1648">
        <v>1.8984999999999998E-2</v>
      </c>
      <c r="N1719" s="1649">
        <v>1.563064416398068</v>
      </c>
      <c r="O1719" s="1649"/>
    </row>
    <row r="1720" spans="11:15">
      <c r="K1720" s="1646">
        <v>43777</v>
      </c>
      <c r="L1720" s="1647" t="s">
        <v>1653</v>
      </c>
      <c r="M1720" s="1648">
        <v>1.8984999999999998E-2</v>
      </c>
      <c r="N1720" s="1649">
        <v>1.5633611641775211</v>
      </c>
      <c r="O1720" s="1649"/>
    </row>
    <row r="1721" spans="11:15">
      <c r="K1721" s="1646">
        <v>43778</v>
      </c>
      <c r="L1721" s="1647"/>
      <c r="M1721" s="1648">
        <v>0</v>
      </c>
      <c r="N1721" s="1649">
        <v>1.5633611641775211</v>
      </c>
      <c r="O1721" s="1649"/>
    </row>
    <row r="1722" spans="11:15">
      <c r="K1722" s="1646">
        <v>43779</v>
      </c>
      <c r="L1722" s="1647"/>
      <c r="M1722" s="1648">
        <v>0</v>
      </c>
      <c r="N1722" s="1649">
        <v>1.5633611641775211</v>
      </c>
      <c r="O1722" s="1649"/>
    </row>
    <row r="1723" spans="11:15">
      <c r="K1723" s="1646">
        <v>43780</v>
      </c>
      <c r="L1723" s="1647" t="s">
        <v>1653</v>
      </c>
      <c r="M1723" s="1648">
        <v>1.8984999999999998E-2</v>
      </c>
      <c r="N1723" s="1649">
        <v>1.5636579682945402</v>
      </c>
      <c r="O1723" s="1649"/>
    </row>
    <row r="1724" spans="11:15">
      <c r="K1724" s="1646">
        <v>43781</v>
      </c>
      <c r="L1724" s="1647" t="s">
        <v>1653</v>
      </c>
      <c r="M1724" s="1648">
        <v>1.8984999999999998E-2</v>
      </c>
      <c r="N1724" s="1649">
        <v>1.5639548287598208</v>
      </c>
      <c r="O1724" s="1649"/>
    </row>
    <row r="1725" spans="11:15">
      <c r="K1725" s="1646">
        <v>43782</v>
      </c>
      <c r="L1725" s="1647" t="s">
        <v>1653</v>
      </c>
      <c r="M1725" s="1648">
        <v>1.8984999999999998E-2</v>
      </c>
      <c r="N1725" s="1649">
        <v>1.5642517455840608</v>
      </c>
      <c r="O1725" s="1649"/>
    </row>
    <row r="1726" spans="11:15">
      <c r="K1726" s="1646">
        <v>43783</v>
      </c>
      <c r="L1726" s="1647" t="s">
        <v>1653</v>
      </c>
      <c r="M1726" s="1648">
        <v>1.8984999999999998E-2</v>
      </c>
      <c r="N1726" s="1649">
        <v>1.5645487187779599</v>
      </c>
      <c r="O1726" s="1649"/>
    </row>
    <row r="1727" spans="11:15">
      <c r="K1727" s="1646">
        <v>43784</v>
      </c>
      <c r="L1727" s="1647"/>
      <c r="M1727" s="1648">
        <v>0</v>
      </c>
      <c r="N1727" s="1649">
        <v>1.5645487187779599</v>
      </c>
      <c r="O1727" s="1649"/>
    </row>
    <row r="1728" spans="11:15">
      <c r="K1728" s="1646">
        <v>43785</v>
      </c>
      <c r="L1728" s="1647"/>
      <c r="M1728" s="1648">
        <v>0</v>
      </c>
      <c r="N1728" s="1649">
        <v>1.5645487187779599</v>
      </c>
      <c r="O1728" s="1649"/>
    </row>
    <row r="1729" spans="11:15">
      <c r="K1729" s="1646">
        <v>43786</v>
      </c>
      <c r="L1729" s="1647"/>
      <c r="M1729" s="1648">
        <v>0</v>
      </c>
      <c r="N1729" s="1649">
        <v>1.5645487187779599</v>
      </c>
      <c r="O1729" s="1649"/>
    </row>
    <row r="1730" spans="11:15">
      <c r="K1730" s="1646">
        <v>43787</v>
      </c>
      <c r="L1730" s="1647" t="s">
        <v>1653</v>
      </c>
      <c r="M1730" s="1648">
        <v>1.8984999999999998E-2</v>
      </c>
      <c r="N1730" s="1649">
        <v>1.5648457483522198</v>
      </c>
      <c r="O1730" s="1649"/>
    </row>
    <row r="1731" spans="11:15">
      <c r="K1731" s="1646">
        <v>43788</v>
      </c>
      <c r="L1731" s="1647" t="s">
        <v>1653</v>
      </c>
      <c r="M1731" s="1648">
        <v>1.8984999999999998E-2</v>
      </c>
      <c r="N1731" s="1649">
        <v>1.5651428343175444</v>
      </c>
      <c r="O1731" s="1649"/>
    </row>
    <row r="1732" spans="11:15">
      <c r="K1732" s="1646">
        <v>43789</v>
      </c>
      <c r="L1732" s="1647" t="s">
        <v>1653</v>
      </c>
      <c r="M1732" s="1648">
        <v>1.8984999999999998E-2</v>
      </c>
      <c r="N1732" s="1649">
        <v>1.5654399766846394</v>
      </c>
      <c r="O1732" s="1649"/>
    </row>
    <row r="1733" spans="11:15">
      <c r="K1733" s="1646">
        <v>43790</v>
      </c>
      <c r="L1733" s="1647" t="s">
        <v>1653</v>
      </c>
      <c r="M1733" s="1648">
        <v>1.8984999999999998E-2</v>
      </c>
      <c r="N1733" s="1649">
        <v>1.5657371754642129</v>
      </c>
      <c r="O1733" s="1649"/>
    </row>
    <row r="1734" spans="11:15">
      <c r="K1734" s="1646">
        <v>43791</v>
      </c>
      <c r="L1734" s="1647" t="s">
        <v>1653</v>
      </c>
      <c r="M1734" s="1648">
        <v>1.8984999999999998E-2</v>
      </c>
      <c r="N1734" s="1649">
        <v>1.5660344306669747</v>
      </c>
      <c r="O1734" s="1649"/>
    </row>
    <row r="1735" spans="11:15">
      <c r="K1735" s="1646">
        <v>43792</v>
      </c>
      <c r="L1735" s="1647"/>
      <c r="M1735" s="1648">
        <v>0</v>
      </c>
      <c r="N1735" s="1649">
        <v>1.5660344306669747</v>
      </c>
      <c r="O1735" s="1649"/>
    </row>
    <row r="1736" spans="11:15">
      <c r="K1736" s="1646">
        <v>43793</v>
      </c>
      <c r="L1736" s="1647"/>
      <c r="M1736" s="1648">
        <v>0</v>
      </c>
      <c r="N1736" s="1649">
        <v>1.5660344306669747</v>
      </c>
      <c r="O1736" s="1649"/>
    </row>
    <row r="1737" spans="11:15">
      <c r="K1737" s="1646">
        <v>43794</v>
      </c>
      <c r="L1737" s="1647" t="s">
        <v>1653</v>
      </c>
      <c r="M1737" s="1648">
        <v>1.8984999999999998E-2</v>
      </c>
      <c r="N1737" s="1649">
        <v>1.5663317423036367</v>
      </c>
      <c r="O1737" s="1649"/>
    </row>
    <row r="1738" spans="11:15">
      <c r="K1738" s="1646">
        <v>43795</v>
      </c>
      <c r="L1738" s="1647" t="s">
        <v>1653</v>
      </c>
      <c r="M1738" s="1648">
        <v>1.8984999999999998E-2</v>
      </c>
      <c r="N1738" s="1649">
        <v>1.566629110384913</v>
      </c>
      <c r="O1738" s="1649"/>
    </row>
    <row r="1739" spans="11:15">
      <c r="K1739" s="1646">
        <v>43796</v>
      </c>
      <c r="L1739" s="1647" t="s">
        <v>1653</v>
      </c>
      <c r="M1739" s="1648">
        <v>1.8984999999999998E-2</v>
      </c>
      <c r="N1739" s="1649">
        <v>1.5669265349215196</v>
      </c>
      <c r="O1739" s="1649"/>
    </row>
    <row r="1740" spans="11:15">
      <c r="K1740" s="1646">
        <v>43797</v>
      </c>
      <c r="L1740" s="1647" t="s">
        <v>1653</v>
      </c>
      <c r="M1740" s="1648">
        <v>1.8984999999999998E-2</v>
      </c>
      <c r="N1740" s="1649">
        <v>1.5672240159241744</v>
      </c>
      <c r="O1740" s="1649"/>
    </row>
    <row r="1741" spans="11:15">
      <c r="K1741" s="1646">
        <v>43798</v>
      </c>
      <c r="L1741" s="1647" t="s">
        <v>1653</v>
      </c>
      <c r="M1741" s="1648">
        <v>1.8984999999999998E-2</v>
      </c>
      <c r="N1741" s="1649">
        <v>1.5675215534035976</v>
      </c>
      <c r="O1741" s="1649"/>
    </row>
    <row r="1742" spans="11:15">
      <c r="K1742" s="1646">
        <v>43799</v>
      </c>
      <c r="L1742" s="1647"/>
      <c r="M1742" s="1648">
        <v>0</v>
      </c>
      <c r="N1742" s="1649">
        <v>1.5675215534035976</v>
      </c>
      <c r="O1742" s="1649"/>
    </row>
    <row r="1743" spans="11:15">
      <c r="K1743" s="1646">
        <v>43800</v>
      </c>
      <c r="L1743" s="1647"/>
      <c r="M1743" s="1648">
        <v>0</v>
      </c>
      <c r="N1743" s="1649">
        <v>1.5675215534035976</v>
      </c>
      <c r="O1743" s="1649"/>
    </row>
    <row r="1744" spans="11:15">
      <c r="K1744" s="1646">
        <v>43801</v>
      </c>
      <c r="L1744" s="1647" t="s">
        <v>1653</v>
      </c>
      <c r="M1744" s="1648">
        <v>1.8984999999999998E-2</v>
      </c>
      <c r="N1744" s="1649">
        <v>1.5678191473705112</v>
      </c>
      <c r="O1744" s="1649"/>
    </row>
    <row r="1745" spans="11:15">
      <c r="K1745" s="1646">
        <v>43802</v>
      </c>
      <c r="L1745" s="1647" t="s">
        <v>1653</v>
      </c>
      <c r="M1745" s="1648">
        <v>1.8984999999999998E-2</v>
      </c>
      <c r="N1745" s="1649">
        <v>1.5681167978356394</v>
      </c>
      <c r="O1745" s="1649"/>
    </row>
    <row r="1746" spans="11:15">
      <c r="K1746" s="1646">
        <v>43803</v>
      </c>
      <c r="L1746" s="1647" t="s">
        <v>1653</v>
      </c>
      <c r="M1746" s="1648">
        <v>1.8984999999999998E-2</v>
      </c>
      <c r="N1746" s="1649">
        <v>1.5684145048097085</v>
      </c>
      <c r="O1746" s="1649"/>
    </row>
    <row r="1747" spans="11:15">
      <c r="K1747" s="1646">
        <v>43804</v>
      </c>
      <c r="L1747" s="1647" t="s">
        <v>1653</v>
      </c>
      <c r="M1747" s="1648">
        <v>1.8984999999999998E-2</v>
      </c>
      <c r="N1747" s="1649">
        <v>1.5687122683034465</v>
      </c>
      <c r="O1747" s="1649"/>
    </row>
    <row r="1748" spans="11:15">
      <c r="K1748" s="1646">
        <v>43805</v>
      </c>
      <c r="L1748" s="1647" t="s">
        <v>1653</v>
      </c>
      <c r="M1748" s="1648">
        <v>1.8984999999999998E-2</v>
      </c>
      <c r="N1748" s="1649">
        <v>1.5690100883275837</v>
      </c>
      <c r="O1748" s="1649"/>
    </row>
    <row r="1749" spans="11:15">
      <c r="K1749" s="1646">
        <v>43806</v>
      </c>
      <c r="L1749" s="1647"/>
      <c r="M1749" s="1648">
        <v>0</v>
      </c>
      <c r="N1749" s="1649">
        <v>1.5690100883275837</v>
      </c>
      <c r="O1749" s="1649"/>
    </row>
    <row r="1750" spans="11:15">
      <c r="K1750" s="1646">
        <v>43807</v>
      </c>
      <c r="L1750" s="1647"/>
      <c r="M1750" s="1648">
        <v>0</v>
      </c>
      <c r="N1750" s="1649">
        <v>1.5690100883275837</v>
      </c>
      <c r="O1750" s="1649"/>
    </row>
    <row r="1751" spans="11:15">
      <c r="K1751" s="1646">
        <v>43808</v>
      </c>
      <c r="L1751" s="1647" t="s">
        <v>1653</v>
      </c>
      <c r="M1751" s="1648">
        <v>1.8984999999999998E-2</v>
      </c>
      <c r="N1751" s="1649">
        <v>1.5693079648928525</v>
      </c>
      <c r="O1751" s="1649"/>
    </row>
    <row r="1752" spans="11:15">
      <c r="K1752" s="1646">
        <v>43809</v>
      </c>
      <c r="L1752" s="1647" t="s">
        <v>1653</v>
      </c>
      <c r="M1752" s="1648">
        <v>1.8984999999999998E-2</v>
      </c>
      <c r="N1752" s="1649">
        <v>1.5696058980099874</v>
      </c>
      <c r="O1752" s="1649"/>
    </row>
    <row r="1753" spans="11:15">
      <c r="K1753" s="1646">
        <v>43810</v>
      </c>
      <c r="L1753" s="1647" t="s">
        <v>1653</v>
      </c>
      <c r="M1753" s="1648">
        <v>1.8984999999999998E-2</v>
      </c>
      <c r="N1753" s="1649">
        <v>1.5699038876897244</v>
      </c>
      <c r="O1753" s="1649"/>
    </row>
    <row r="1754" spans="11:15">
      <c r="K1754" s="1646">
        <v>43811</v>
      </c>
      <c r="L1754" s="1647" t="s">
        <v>1653</v>
      </c>
      <c r="M1754" s="1648">
        <v>1.7089E-2</v>
      </c>
      <c r="N1754" s="1649">
        <v>1.5701721685650916</v>
      </c>
      <c r="O1754" s="1649"/>
    </row>
    <row r="1755" spans="11:15">
      <c r="K1755" s="1646">
        <v>43812</v>
      </c>
      <c r="L1755" s="1647" t="s">
        <v>1653</v>
      </c>
      <c r="M1755" s="1648">
        <v>1.7089E-2</v>
      </c>
      <c r="N1755" s="1649">
        <v>1.5704404952869775</v>
      </c>
      <c r="O1755" s="1649"/>
    </row>
    <row r="1756" spans="11:15">
      <c r="K1756" s="1646">
        <v>43813</v>
      </c>
      <c r="L1756" s="1647"/>
      <c r="M1756" s="1648">
        <v>0</v>
      </c>
      <c r="N1756" s="1649">
        <v>1.5704404952869775</v>
      </c>
      <c r="O1756" s="1649"/>
    </row>
    <row r="1757" spans="11:15">
      <c r="K1757" s="1646">
        <v>43814</v>
      </c>
      <c r="L1757" s="1647"/>
      <c r="M1757" s="1648">
        <v>0</v>
      </c>
      <c r="N1757" s="1649">
        <v>1.5704404952869775</v>
      </c>
      <c r="O1757" s="1649"/>
    </row>
    <row r="1758" spans="11:15">
      <c r="K1758" s="1646">
        <v>43815</v>
      </c>
      <c r="L1758" s="1647" t="s">
        <v>1653</v>
      </c>
      <c r="M1758" s="1648">
        <v>1.7089E-2</v>
      </c>
      <c r="N1758" s="1649">
        <v>1.5707088678632171</v>
      </c>
      <c r="O1758" s="1649"/>
    </row>
    <row r="1759" spans="11:15">
      <c r="K1759" s="1646">
        <v>43816</v>
      </c>
      <c r="L1759" s="1647" t="s">
        <v>1653</v>
      </c>
      <c r="M1759" s="1648">
        <v>1.7089E-2</v>
      </c>
      <c r="N1759" s="1649">
        <v>1.570977286301646</v>
      </c>
      <c r="O1759" s="1649"/>
    </row>
    <row r="1760" spans="11:15">
      <c r="K1760" s="1646">
        <v>43817</v>
      </c>
      <c r="L1760" s="1647" t="s">
        <v>1653</v>
      </c>
      <c r="M1760" s="1648">
        <v>1.7089E-2</v>
      </c>
      <c r="N1760" s="1649">
        <v>1.5712457506101021</v>
      </c>
      <c r="O1760" s="1649"/>
    </row>
    <row r="1761" spans="11:15">
      <c r="K1761" s="1646">
        <v>43818</v>
      </c>
      <c r="L1761" s="1647" t="s">
        <v>1653</v>
      </c>
      <c r="M1761" s="1648">
        <v>1.7089E-2</v>
      </c>
      <c r="N1761" s="1649">
        <v>1.5715142607964236</v>
      </c>
      <c r="O1761" s="1649"/>
    </row>
    <row r="1762" spans="11:15">
      <c r="K1762" s="1646">
        <v>43819</v>
      </c>
      <c r="L1762" s="1647" t="s">
        <v>1653</v>
      </c>
      <c r="M1762" s="1648">
        <v>1.7089E-2</v>
      </c>
      <c r="N1762" s="1649">
        <v>1.5717828168684511</v>
      </c>
      <c r="O1762" s="1649"/>
    </row>
    <row r="1763" spans="11:15">
      <c r="K1763" s="1646">
        <v>43820</v>
      </c>
      <c r="L1763" s="1647"/>
      <c r="M1763" s="1648">
        <v>0</v>
      </c>
      <c r="N1763" s="1649">
        <v>1.5717828168684511</v>
      </c>
      <c r="O1763" s="1649"/>
    </row>
    <row r="1764" spans="11:15">
      <c r="K1764" s="1646">
        <v>43821</v>
      </c>
      <c r="L1764" s="1647"/>
      <c r="M1764" s="1648">
        <v>0</v>
      </c>
      <c r="N1764" s="1649">
        <v>1.5717828168684511</v>
      </c>
      <c r="O1764" s="1649"/>
    </row>
    <row r="1765" spans="11:15">
      <c r="K1765" s="1646">
        <v>43822</v>
      </c>
      <c r="L1765" s="1647" t="s">
        <v>1653</v>
      </c>
      <c r="M1765" s="1648">
        <v>1.7089E-2</v>
      </c>
      <c r="N1765" s="1649">
        <v>1.5720514188340255</v>
      </c>
      <c r="O1765" s="1649"/>
    </row>
    <row r="1766" spans="11:15">
      <c r="K1766" s="1646">
        <v>43823</v>
      </c>
      <c r="L1766" s="1647" t="s">
        <v>1653</v>
      </c>
      <c r="M1766" s="1648">
        <v>1.7089E-2</v>
      </c>
      <c r="N1766" s="1649">
        <v>1.57232006670099</v>
      </c>
      <c r="O1766" s="1649"/>
    </row>
    <row r="1767" spans="11:15">
      <c r="K1767" s="1646">
        <v>43824</v>
      </c>
      <c r="L1767" s="1647"/>
      <c r="M1767" s="1648">
        <v>0</v>
      </c>
      <c r="N1767" s="1649">
        <v>1.57232006670099</v>
      </c>
      <c r="O1767" s="1649"/>
    </row>
    <row r="1768" spans="11:15">
      <c r="K1768" s="1646">
        <v>43825</v>
      </c>
      <c r="L1768" s="1647" t="s">
        <v>1653</v>
      </c>
      <c r="M1768" s="1648">
        <v>1.7089E-2</v>
      </c>
      <c r="N1768" s="1649">
        <v>1.5725887604771884</v>
      </c>
      <c r="O1768" s="1649"/>
    </row>
    <row r="1769" spans="11:15">
      <c r="K1769" s="1646">
        <v>43826</v>
      </c>
      <c r="L1769" s="1647" t="s">
        <v>1653</v>
      </c>
      <c r="M1769" s="1648">
        <v>1.7089E-2</v>
      </c>
      <c r="N1769" s="1649">
        <v>1.5728575001704663</v>
      </c>
      <c r="O1769" s="1649"/>
    </row>
    <row r="1770" spans="11:15">
      <c r="K1770" s="1646">
        <v>43827</v>
      </c>
      <c r="L1770" s="1647"/>
      <c r="M1770" s="1648">
        <v>0</v>
      </c>
      <c r="N1770" s="1649">
        <v>1.5728575001704663</v>
      </c>
      <c r="O1770" s="1649"/>
    </row>
    <row r="1771" spans="11:15">
      <c r="K1771" s="1646">
        <v>43828</v>
      </c>
      <c r="L1771" s="1647"/>
      <c r="M1771" s="1648">
        <v>0</v>
      </c>
      <c r="N1771" s="1649">
        <v>1.5728575001704663</v>
      </c>
      <c r="O1771" s="1649"/>
    </row>
    <row r="1772" spans="11:15">
      <c r="K1772" s="1646">
        <v>43829</v>
      </c>
      <c r="L1772" s="1647" t="s">
        <v>1653</v>
      </c>
      <c r="M1772" s="1648">
        <v>1.7089E-2</v>
      </c>
      <c r="N1772" s="1649">
        <v>1.5731262857886703</v>
      </c>
      <c r="O1772" s="1649"/>
    </row>
    <row r="1773" spans="11:15">
      <c r="K1773" s="1646">
        <v>43830</v>
      </c>
      <c r="L1773" s="1647" t="s">
        <v>1653</v>
      </c>
      <c r="M1773" s="1648">
        <v>1.7089E-2</v>
      </c>
      <c r="N1773" s="1649">
        <v>1.5733951173396485</v>
      </c>
      <c r="O1773" s="1649"/>
    </row>
    <row r="1774" spans="11:15">
      <c r="K1774" s="1646">
        <v>43831</v>
      </c>
      <c r="L1774" s="1647"/>
      <c r="M1774" s="1648">
        <v>0</v>
      </c>
      <c r="N1774" s="1649">
        <v>1.5733951173396485</v>
      </c>
      <c r="O1774" s="1649"/>
    </row>
    <row r="1775" spans="11:15">
      <c r="K1775" s="1646">
        <v>43832</v>
      </c>
      <c r="L1775" s="1647" t="s">
        <v>1653</v>
      </c>
      <c r="M1775" s="1648">
        <v>1.7089E-2</v>
      </c>
      <c r="N1775" s="1649">
        <v>1.5736639948312505</v>
      </c>
      <c r="O1775" s="1649"/>
    </row>
    <row r="1776" spans="11:15">
      <c r="K1776" s="1646">
        <v>43833</v>
      </c>
      <c r="L1776" s="1647" t="s">
        <v>1653</v>
      </c>
      <c r="M1776" s="1648">
        <v>1.7089E-2</v>
      </c>
      <c r="N1776" s="1649">
        <v>1.5739329182713271</v>
      </c>
      <c r="O1776" s="1649"/>
    </row>
    <row r="1777" spans="11:15">
      <c r="K1777" s="1646">
        <v>43834</v>
      </c>
      <c r="L1777" s="1647"/>
      <c r="M1777" s="1648">
        <v>0</v>
      </c>
      <c r="N1777" s="1649">
        <v>1.5739329182713271</v>
      </c>
      <c r="O1777" s="1649"/>
    </row>
    <row r="1778" spans="11:15">
      <c r="K1778" s="1646">
        <v>43835</v>
      </c>
      <c r="L1778" s="1647"/>
      <c r="M1778" s="1648">
        <v>0</v>
      </c>
      <c r="N1778" s="1649">
        <v>1.5739329182713271</v>
      </c>
      <c r="O1778" s="1649"/>
    </row>
    <row r="1779" spans="11:15">
      <c r="K1779" s="1646">
        <v>43836</v>
      </c>
      <c r="L1779" s="1647" t="s">
        <v>1653</v>
      </c>
      <c r="M1779" s="1648">
        <v>1.7089E-2</v>
      </c>
      <c r="N1779" s="1649">
        <v>1.5742018876677304</v>
      </c>
      <c r="O1779" s="1649"/>
    </row>
    <row r="1780" spans="11:15">
      <c r="K1780" s="1646">
        <v>43837</v>
      </c>
      <c r="L1780" s="1647" t="s">
        <v>1653</v>
      </c>
      <c r="M1780" s="1648">
        <v>1.7089E-2</v>
      </c>
      <c r="N1780" s="1649">
        <v>1.5744709030283137</v>
      </c>
      <c r="O1780" s="1649"/>
    </row>
    <row r="1781" spans="11:15">
      <c r="K1781" s="1646">
        <v>43838</v>
      </c>
      <c r="L1781" s="1647" t="s">
        <v>1653</v>
      </c>
      <c r="M1781" s="1648">
        <v>1.7089E-2</v>
      </c>
      <c r="N1781" s="1649">
        <v>1.5747399643609321</v>
      </c>
      <c r="O1781" s="1649"/>
    </row>
    <row r="1782" spans="11:15">
      <c r="K1782" s="1646">
        <v>43839</v>
      </c>
      <c r="L1782" s="1647" t="s">
        <v>1653</v>
      </c>
      <c r="M1782" s="1648">
        <v>1.7089E-2</v>
      </c>
      <c r="N1782" s="1649">
        <v>1.5750090716734417</v>
      </c>
      <c r="O1782" s="1649"/>
    </row>
    <row r="1783" spans="11:15">
      <c r="K1783" s="1646">
        <v>43840</v>
      </c>
      <c r="L1783" s="1647" t="s">
        <v>1653</v>
      </c>
      <c r="M1783" s="1648">
        <v>1.7089E-2</v>
      </c>
      <c r="N1783" s="1649">
        <v>1.5752782249736998</v>
      </c>
      <c r="O1783" s="1649"/>
    </row>
    <row r="1784" spans="11:15">
      <c r="K1784" s="1646">
        <v>43841</v>
      </c>
      <c r="L1784" s="1647"/>
      <c r="M1784" s="1648">
        <v>0</v>
      </c>
      <c r="N1784" s="1649">
        <v>1.5752782249736998</v>
      </c>
      <c r="O1784" s="1649"/>
    </row>
    <row r="1785" spans="11:15">
      <c r="K1785" s="1646">
        <v>43842</v>
      </c>
      <c r="L1785" s="1647"/>
      <c r="M1785" s="1648">
        <v>0</v>
      </c>
      <c r="N1785" s="1649">
        <v>1.5752782249736998</v>
      </c>
      <c r="O1785" s="1649"/>
    </row>
    <row r="1786" spans="11:15">
      <c r="K1786" s="1646">
        <v>43843</v>
      </c>
      <c r="L1786" s="1647" t="s">
        <v>1653</v>
      </c>
      <c r="M1786" s="1648">
        <v>1.7089E-2</v>
      </c>
      <c r="N1786" s="1649">
        <v>1.5755474242695655</v>
      </c>
      <c r="O1786" s="1649"/>
    </row>
    <row r="1787" spans="11:15">
      <c r="K1787" s="1646">
        <v>43844</v>
      </c>
      <c r="L1787" s="1647" t="s">
        <v>1653</v>
      </c>
      <c r="M1787" s="1648">
        <v>1.7089E-2</v>
      </c>
      <c r="N1787" s="1649">
        <v>1.5758166695688989</v>
      </c>
      <c r="O1787" s="1649"/>
    </row>
    <row r="1788" spans="11:15">
      <c r="K1788" s="1646">
        <v>43845</v>
      </c>
      <c r="L1788" s="1647" t="s">
        <v>1653</v>
      </c>
      <c r="M1788" s="1648">
        <v>1.7089E-2</v>
      </c>
      <c r="N1788" s="1649">
        <v>1.5760859608795614</v>
      </c>
      <c r="O1788" s="1649"/>
    </row>
    <row r="1789" spans="11:15">
      <c r="K1789" s="1646">
        <v>43846</v>
      </c>
      <c r="L1789" s="1647" t="s">
        <v>1653</v>
      </c>
      <c r="M1789" s="1648">
        <v>1.7089E-2</v>
      </c>
      <c r="N1789" s="1649">
        <v>1.576355298209416</v>
      </c>
      <c r="O1789" s="1649"/>
    </row>
    <row r="1790" spans="11:15">
      <c r="K1790" s="1646">
        <v>43847</v>
      </c>
      <c r="L1790" s="1647" t="s">
        <v>1653</v>
      </c>
      <c r="M1790" s="1648">
        <v>1.7089E-2</v>
      </c>
      <c r="N1790" s="1649">
        <v>1.576624681566327</v>
      </c>
      <c r="O1790" s="1649"/>
    </row>
    <row r="1791" spans="11:15">
      <c r="K1791" s="1646">
        <v>43848</v>
      </c>
      <c r="L1791" s="1647"/>
      <c r="M1791" s="1648">
        <v>0</v>
      </c>
      <c r="N1791" s="1649">
        <v>1.576624681566327</v>
      </c>
      <c r="O1791" s="1649"/>
    </row>
    <row r="1792" spans="11:15">
      <c r="K1792" s="1646">
        <v>43849</v>
      </c>
      <c r="L1792" s="1647"/>
      <c r="M1792" s="1648">
        <v>0</v>
      </c>
      <c r="N1792" s="1649">
        <v>1.576624681566327</v>
      </c>
      <c r="O1792" s="1649"/>
    </row>
    <row r="1793" spans="11:15">
      <c r="K1793" s="1646">
        <v>43850</v>
      </c>
      <c r="L1793" s="1647" t="s">
        <v>1653</v>
      </c>
      <c r="M1793" s="1648">
        <v>1.7089E-2</v>
      </c>
      <c r="N1793" s="1649">
        <v>1.5768941109581598</v>
      </c>
      <c r="O1793" s="1649"/>
    </row>
    <row r="1794" spans="11:15">
      <c r="K1794" s="1646">
        <v>43851</v>
      </c>
      <c r="L1794" s="1647" t="s">
        <v>1653</v>
      </c>
      <c r="M1794" s="1648">
        <v>1.7089E-2</v>
      </c>
      <c r="N1794" s="1649">
        <v>1.5771635863927813</v>
      </c>
      <c r="O1794" s="1649"/>
    </row>
    <row r="1795" spans="11:15">
      <c r="K1795" s="1646">
        <v>43852</v>
      </c>
      <c r="L1795" s="1647" t="s">
        <v>1653</v>
      </c>
      <c r="M1795" s="1648">
        <v>1.7089E-2</v>
      </c>
      <c r="N1795" s="1649">
        <v>1.5774331078780599</v>
      </c>
      <c r="O1795" s="1649"/>
    </row>
    <row r="1796" spans="11:15">
      <c r="K1796" s="1646">
        <v>43853</v>
      </c>
      <c r="L1796" s="1647" t="s">
        <v>1653</v>
      </c>
      <c r="M1796" s="1648">
        <v>1.7089E-2</v>
      </c>
      <c r="N1796" s="1649">
        <v>1.577702675421865</v>
      </c>
      <c r="O1796" s="1649"/>
    </row>
    <row r="1797" spans="11:15">
      <c r="K1797" s="1646">
        <v>43854</v>
      </c>
      <c r="L1797" s="1647" t="s">
        <v>1653</v>
      </c>
      <c r="M1797" s="1648">
        <v>1.7089E-2</v>
      </c>
      <c r="N1797" s="1649">
        <v>1.5779722890320678</v>
      </c>
      <c r="O1797" s="1649"/>
    </row>
    <row r="1798" spans="11:15">
      <c r="K1798" s="1646">
        <v>43855</v>
      </c>
      <c r="L1798" s="1647"/>
      <c r="M1798" s="1648">
        <v>0</v>
      </c>
      <c r="N1798" s="1649">
        <v>1.5779722890320678</v>
      </c>
      <c r="O1798" s="1649"/>
    </row>
    <row r="1799" spans="11:15">
      <c r="K1799" s="1646">
        <v>43856</v>
      </c>
      <c r="L1799" s="1647"/>
      <c r="M1799" s="1648">
        <v>0</v>
      </c>
      <c r="N1799" s="1649">
        <v>1.5779722890320678</v>
      </c>
      <c r="O1799" s="1649"/>
    </row>
    <row r="1800" spans="11:15">
      <c r="K1800" s="1646">
        <v>43857</v>
      </c>
      <c r="L1800" s="1647" t="s">
        <v>1653</v>
      </c>
      <c r="M1800" s="1648">
        <v>1.7089E-2</v>
      </c>
      <c r="N1800" s="1649">
        <v>1.5782419487165404</v>
      </c>
      <c r="O1800" s="1649"/>
    </row>
    <row r="1801" spans="11:15">
      <c r="K1801" s="1646">
        <v>43858</v>
      </c>
      <c r="L1801" s="1647" t="s">
        <v>1653</v>
      </c>
      <c r="M1801" s="1648">
        <v>1.7089E-2</v>
      </c>
      <c r="N1801" s="1649">
        <v>1.5785116544831566</v>
      </c>
      <c r="O1801" s="1649"/>
    </row>
    <row r="1802" spans="11:15">
      <c r="K1802" s="1646">
        <v>43859</v>
      </c>
      <c r="L1802" s="1647" t="s">
        <v>1653</v>
      </c>
      <c r="M1802" s="1648">
        <v>1.7089E-2</v>
      </c>
      <c r="N1802" s="1649">
        <v>1.5787814063397911</v>
      </c>
      <c r="O1802" s="1649"/>
    </row>
    <row r="1803" spans="11:15">
      <c r="K1803" s="1646">
        <v>43860</v>
      </c>
      <c r="L1803" s="1647" t="s">
        <v>1653</v>
      </c>
      <c r="M1803" s="1648">
        <v>1.7089E-2</v>
      </c>
      <c r="N1803" s="1649">
        <v>1.5790512042943203</v>
      </c>
      <c r="O1803" s="1649"/>
    </row>
    <row r="1804" spans="11:15">
      <c r="K1804" s="1646">
        <v>43861</v>
      </c>
      <c r="L1804" s="1647" t="s">
        <v>1653</v>
      </c>
      <c r="M1804" s="1648">
        <v>1.7089E-2</v>
      </c>
      <c r="N1804" s="1649">
        <v>1.5793210483546221</v>
      </c>
      <c r="O1804" s="1649"/>
    </row>
    <row r="1805" spans="11:15">
      <c r="K1805" s="1646">
        <v>43862</v>
      </c>
      <c r="L1805" s="1647"/>
      <c r="M1805" s="1648">
        <v>0</v>
      </c>
      <c r="N1805" s="1649">
        <v>1.5793210483546221</v>
      </c>
      <c r="O1805" s="1649"/>
    </row>
    <row r="1806" spans="11:15">
      <c r="K1806" s="1646">
        <v>43863</v>
      </c>
      <c r="L1806" s="1647"/>
      <c r="M1806" s="1648">
        <v>0</v>
      </c>
      <c r="N1806" s="1649">
        <v>1.5793210483546221</v>
      </c>
      <c r="O1806" s="1649"/>
    </row>
    <row r="1807" spans="11:15">
      <c r="K1807" s="1646">
        <v>43864</v>
      </c>
      <c r="L1807" s="1647" t="s">
        <v>1653</v>
      </c>
      <c r="M1807" s="1648">
        <v>1.7089E-2</v>
      </c>
      <c r="N1807" s="1649">
        <v>1.5795909385285754</v>
      </c>
      <c r="O1807" s="1649"/>
    </row>
    <row r="1808" spans="11:15">
      <c r="K1808" s="1646">
        <v>43865</v>
      </c>
      <c r="L1808" s="1647" t="s">
        <v>1653</v>
      </c>
      <c r="M1808" s="1648">
        <v>1.7089E-2</v>
      </c>
      <c r="N1808" s="1649">
        <v>1.5798608748240603</v>
      </c>
      <c r="O1808" s="1649"/>
    </row>
    <row r="1809" spans="11:15">
      <c r="K1809" s="1646">
        <v>43866</v>
      </c>
      <c r="L1809" s="1647" t="s">
        <v>1653</v>
      </c>
      <c r="M1809" s="1648">
        <v>1.7089E-2</v>
      </c>
      <c r="N1809" s="1649">
        <v>1.580130857248959</v>
      </c>
      <c r="O1809" s="1649"/>
    </row>
    <row r="1810" spans="11:15">
      <c r="K1810" s="1646">
        <v>43867</v>
      </c>
      <c r="L1810" s="1647" t="s">
        <v>1653</v>
      </c>
      <c r="M1810" s="1648">
        <v>1.6136999999999999E-2</v>
      </c>
      <c r="N1810" s="1649">
        <v>1.5803858429653934</v>
      </c>
      <c r="O1810" s="1649"/>
    </row>
    <row r="1811" spans="11:15">
      <c r="K1811" s="1646">
        <v>43868</v>
      </c>
      <c r="L1811" s="1647" t="s">
        <v>1653</v>
      </c>
      <c r="M1811" s="1648">
        <v>1.6136999999999999E-2</v>
      </c>
      <c r="N1811" s="1649">
        <v>1.5806408698288728</v>
      </c>
      <c r="O1811" s="1649"/>
    </row>
    <row r="1812" spans="11:15">
      <c r="K1812" s="1646">
        <v>43869</v>
      </c>
      <c r="L1812" s="1647"/>
      <c r="M1812" s="1648">
        <v>0</v>
      </c>
      <c r="N1812" s="1649">
        <v>1.5806408698288728</v>
      </c>
      <c r="O1812" s="1649"/>
    </row>
    <row r="1813" spans="11:15">
      <c r="K1813" s="1646">
        <v>43870</v>
      </c>
      <c r="L1813" s="1647"/>
      <c r="M1813" s="1648">
        <v>0</v>
      </c>
      <c r="N1813" s="1649">
        <v>1.5806408698288728</v>
      </c>
      <c r="O1813" s="1649"/>
    </row>
    <row r="1814" spans="11:15">
      <c r="K1814" s="1646">
        <v>43871</v>
      </c>
      <c r="L1814" s="1647" t="s">
        <v>1653</v>
      </c>
      <c r="M1814" s="1648">
        <v>1.6136999999999999E-2</v>
      </c>
      <c r="N1814" s="1649">
        <v>1.5808959378460372</v>
      </c>
      <c r="O1814" s="1649"/>
    </row>
    <row r="1815" spans="11:15">
      <c r="K1815" s="1646">
        <v>43872</v>
      </c>
      <c r="L1815" s="1647" t="s">
        <v>1653</v>
      </c>
      <c r="M1815" s="1648">
        <v>1.6136999999999999E-2</v>
      </c>
      <c r="N1815" s="1649">
        <v>1.5811510470235275</v>
      </c>
      <c r="O1815" s="1649"/>
    </row>
    <row r="1816" spans="11:15">
      <c r="K1816" s="1646">
        <v>43873</v>
      </c>
      <c r="L1816" s="1647" t="s">
        <v>1653</v>
      </c>
      <c r="M1816" s="1648">
        <v>1.6136999999999999E-2</v>
      </c>
      <c r="N1816" s="1649">
        <v>1.5814061973679858</v>
      </c>
      <c r="O1816" s="1649"/>
    </row>
    <row r="1817" spans="11:15">
      <c r="K1817" s="1646">
        <v>43874</v>
      </c>
      <c r="L1817" s="1647" t="s">
        <v>1653</v>
      </c>
      <c r="M1817" s="1648">
        <v>1.6136999999999999E-2</v>
      </c>
      <c r="N1817" s="1649">
        <v>1.5816613888860551</v>
      </c>
      <c r="O1817" s="1649"/>
    </row>
    <row r="1818" spans="11:15">
      <c r="K1818" s="1646">
        <v>43875</v>
      </c>
      <c r="L1818" s="1647" t="s">
        <v>1653</v>
      </c>
      <c r="M1818" s="1648">
        <v>1.6136999999999999E-2</v>
      </c>
      <c r="N1818" s="1649">
        <v>1.5819166215843798</v>
      </c>
      <c r="O1818" s="1649"/>
    </row>
    <row r="1819" spans="11:15">
      <c r="K1819" s="1646">
        <v>43876</v>
      </c>
      <c r="L1819" s="1647"/>
      <c r="M1819" s="1648">
        <v>0</v>
      </c>
      <c r="N1819" s="1649">
        <v>1.5819166215843798</v>
      </c>
      <c r="O1819" s="1649"/>
    </row>
    <row r="1820" spans="11:15">
      <c r="K1820" s="1646">
        <v>43877</v>
      </c>
      <c r="L1820" s="1647"/>
      <c r="M1820" s="1648">
        <v>0</v>
      </c>
      <c r="N1820" s="1649">
        <v>1.5819166215843798</v>
      </c>
      <c r="O1820" s="1649"/>
    </row>
    <row r="1821" spans="11:15">
      <c r="K1821" s="1646">
        <v>43878</v>
      </c>
      <c r="L1821" s="1647" t="s">
        <v>1653</v>
      </c>
      <c r="M1821" s="1648">
        <v>1.6136999999999999E-2</v>
      </c>
      <c r="N1821" s="1649">
        <v>1.5821718954696049</v>
      </c>
      <c r="O1821" s="1649"/>
    </row>
    <row r="1822" spans="11:15">
      <c r="K1822" s="1646">
        <v>43879</v>
      </c>
      <c r="L1822" s="1647" t="s">
        <v>1653</v>
      </c>
      <c r="M1822" s="1648">
        <v>1.6136999999999999E-2</v>
      </c>
      <c r="N1822" s="1649">
        <v>1.582427210548377</v>
      </c>
      <c r="O1822" s="1649"/>
    </row>
    <row r="1823" spans="11:15">
      <c r="K1823" s="1646">
        <v>43880</v>
      </c>
      <c r="L1823" s="1647" t="s">
        <v>1653</v>
      </c>
      <c r="M1823" s="1648">
        <v>1.6136999999999999E-2</v>
      </c>
      <c r="N1823" s="1649">
        <v>1.5826825668273432</v>
      </c>
      <c r="O1823" s="1649"/>
    </row>
    <row r="1824" spans="11:15">
      <c r="K1824" s="1646">
        <v>43881</v>
      </c>
      <c r="L1824" s="1647" t="s">
        <v>1653</v>
      </c>
      <c r="M1824" s="1648">
        <v>1.6136999999999999E-2</v>
      </c>
      <c r="N1824" s="1649">
        <v>1.5829379643131523</v>
      </c>
      <c r="O1824" s="1649"/>
    </row>
    <row r="1825" spans="11:15">
      <c r="K1825" s="1646">
        <v>43882</v>
      </c>
      <c r="L1825" s="1647" t="s">
        <v>1653</v>
      </c>
      <c r="M1825" s="1648">
        <v>1.6136999999999999E-2</v>
      </c>
      <c r="N1825" s="1649">
        <v>1.5831934030124535</v>
      </c>
      <c r="O1825" s="1649"/>
    </row>
    <row r="1826" spans="11:15">
      <c r="K1826" s="1646">
        <v>43883</v>
      </c>
      <c r="L1826" s="1647"/>
      <c r="M1826" s="1648">
        <v>0</v>
      </c>
      <c r="N1826" s="1649">
        <v>1.5831934030124535</v>
      </c>
      <c r="O1826" s="1649"/>
    </row>
    <row r="1827" spans="11:15">
      <c r="K1827" s="1646">
        <v>43884</v>
      </c>
      <c r="L1827" s="1647"/>
      <c r="M1827" s="1648">
        <v>0</v>
      </c>
      <c r="N1827" s="1649">
        <v>1.5831934030124535</v>
      </c>
      <c r="O1827" s="1649"/>
    </row>
    <row r="1828" spans="11:15">
      <c r="K1828" s="1646">
        <v>43885</v>
      </c>
      <c r="L1828" s="1647"/>
      <c r="M1828" s="1648">
        <v>0</v>
      </c>
      <c r="N1828" s="1649">
        <v>1.5831934030124535</v>
      </c>
      <c r="O1828" s="1649"/>
    </row>
    <row r="1829" spans="11:15">
      <c r="K1829" s="1646">
        <v>43886</v>
      </c>
      <c r="L1829" s="1647"/>
      <c r="M1829" s="1648">
        <v>0</v>
      </c>
      <c r="N1829" s="1649">
        <v>1.5831934030124535</v>
      </c>
      <c r="O1829" s="1649"/>
    </row>
    <row r="1830" spans="11:15">
      <c r="K1830" s="1646">
        <v>43887</v>
      </c>
      <c r="L1830" s="1647" t="s">
        <v>1653</v>
      </c>
      <c r="M1830" s="1648">
        <v>1.6136999999999999E-2</v>
      </c>
      <c r="N1830" s="1649">
        <v>1.5834488829318978</v>
      </c>
      <c r="O1830" s="1649"/>
    </row>
    <row r="1831" spans="11:15">
      <c r="K1831" s="1646">
        <v>43888</v>
      </c>
      <c r="L1831" s="1647" t="s">
        <v>1653</v>
      </c>
      <c r="M1831" s="1648">
        <v>1.6136999999999999E-2</v>
      </c>
      <c r="N1831" s="1649">
        <v>1.5837044040781365</v>
      </c>
      <c r="O1831" s="1649"/>
    </row>
    <row r="1832" spans="11:15">
      <c r="K1832" s="1646">
        <v>43889</v>
      </c>
      <c r="L1832" s="1647" t="s">
        <v>1653</v>
      </c>
      <c r="M1832" s="1648">
        <v>1.6136999999999999E-2</v>
      </c>
      <c r="N1832" s="1649">
        <v>1.5839599664578228</v>
      </c>
      <c r="O1832" s="1649"/>
    </row>
    <row r="1833" spans="11:15">
      <c r="K1833" s="1646">
        <v>43890</v>
      </c>
      <c r="L1833" s="1647"/>
      <c r="M1833" s="1648">
        <v>0</v>
      </c>
      <c r="N1833" s="1649">
        <v>1.5839599664578228</v>
      </c>
      <c r="O1833" s="1649"/>
    </row>
    <row r="1834" spans="11:15">
      <c r="K1834" s="1646">
        <v>43891</v>
      </c>
      <c r="L1834" s="1647"/>
      <c r="M1834" s="1648">
        <v>0</v>
      </c>
      <c r="N1834" s="1649">
        <v>1.5839599664578228</v>
      </c>
      <c r="O1834" s="1649"/>
    </row>
    <row r="1835" spans="11:15">
      <c r="K1835" s="1646">
        <v>43892</v>
      </c>
      <c r="L1835" s="1647" t="s">
        <v>1653</v>
      </c>
      <c r="M1835" s="1648">
        <v>1.6136999999999999E-2</v>
      </c>
      <c r="N1835" s="1649">
        <v>1.5842155700776102</v>
      </c>
      <c r="O1835" s="1649"/>
    </row>
    <row r="1836" spans="11:15">
      <c r="K1836" s="1646">
        <v>43893</v>
      </c>
      <c r="L1836" s="1647" t="s">
        <v>1653</v>
      </c>
      <c r="M1836" s="1648">
        <v>1.6136999999999999E-2</v>
      </c>
      <c r="N1836" s="1649">
        <v>1.5844712149441535</v>
      </c>
      <c r="O1836" s="1649"/>
    </row>
    <row r="1837" spans="11:15">
      <c r="K1837" s="1646">
        <v>43894</v>
      </c>
      <c r="L1837" s="1647" t="s">
        <v>1653</v>
      </c>
      <c r="M1837" s="1648">
        <v>1.6136999999999999E-2</v>
      </c>
      <c r="N1837" s="1649">
        <v>1.5847269010641092</v>
      </c>
      <c r="O1837" s="1649"/>
    </row>
    <row r="1838" spans="11:15">
      <c r="K1838" s="1646">
        <v>43895</v>
      </c>
      <c r="L1838" s="1647" t="s">
        <v>1653</v>
      </c>
      <c r="M1838" s="1648">
        <v>1.6136999999999999E-2</v>
      </c>
      <c r="N1838" s="1649">
        <v>1.584982628444134</v>
      </c>
      <c r="O1838" s="1649"/>
    </row>
    <row r="1839" spans="11:15">
      <c r="K1839" s="1646">
        <v>43896</v>
      </c>
      <c r="L1839" s="1647" t="s">
        <v>1653</v>
      </c>
      <c r="M1839" s="1648">
        <v>1.6136999999999999E-2</v>
      </c>
      <c r="N1839" s="1649">
        <v>1.5852383970908861</v>
      </c>
      <c r="O1839" s="1649"/>
    </row>
    <row r="1840" spans="11:15">
      <c r="K1840" s="1646">
        <v>43897</v>
      </c>
      <c r="L1840" s="1647"/>
      <c r="M1840" s="1648">
        <v>0</v>
      </c>
      <c r="N1840" s="1649">
        <v>1.5852383970908861</v>
      </c>
      <c r="O1840" s="1649"/>
    </row>
    <row r="1841" spans="11:15">
      <c r="K1841" s="1646">
        <v>43898</v>
      </c>
      <c r="L1841" s="1647"/>
      <c r="M1841" s="1648">
        <v>0</v>
      </c>
      <c r="N1841" s="1649">
        <v>1.5852383970908861</v>
      </c>
      <c r="O1841" s="1649"/>
    </row>
    <row r="1842" spans="11:15">
      <c r="K1842" s="1646">
        <v>43899</v>
      </c>
      <c r="L1842" s="1647" t="s">
        <v>1653</v>
      </c>
      <c r="M1842" s="1648">
        <v>1.6136999999999999E-2</v>
      </c>
      <c r="N1842" s="1649">
        <v>1.5854942070110247</v>
      </c>
      <c r="O1842" s="1649"/>
    </row>
    <row r="1843" spans="11:15">
      <c r="K1843" s="1646">
        <v>43900</v>
      </c>
      <c r="L1843" s="1647" t="s">
        <v>1653</v>
      </c>
      <c r="M1843" s="1648">
        <v>1.6136999999999999E-2</v>
      </c>
      <c r="N1843" s="1649">
        <v>1.5857500582112101</v>
      </c>
      <c r="O1843" s="1649"/>
    </row>
    <row r="1844" spans="11:15">
      <c r="K1844" s="1646">
        <v>43901</v>
      </c>
      <c r="L1844" s="1647" t="s">
        <v>1653</v>
      </c>
      <c r="M1844" s="1648">
        <v>1.6136999999999999E-2</v>
      </c>
      <c r="N1844" s="1649">
        <v>1.5860059506981037</v>
      </c>
      <c r="O1844" s="1649"/>
    </row>
    <row r="1845" spans="11:15">
      <c r="K1845" s="1646">
        <v>43902</v>
      </c>
      <c r="L1845" s="1647" t="s">
        <v>1653</v>
      </c>
      <c r="M1845" s="1648">
        <v>1.6136999999999999E-2</v>
      </c>
      <c r="N1845" s="1649">
        <v>1.586261884478368</v>
      </c>
      <c r="O1845" s="1649"/>
    </row>
    <row r="1846" spans="11:15">
      <c r="K1846" s="1646">
        <v>43903</v>
      </c>
      <c r="L1846" s="1647" t="s">
        <v>1653</v>
      </c>
      <c r="M1846" s="1648">
        <v>1.6136999999999999E-2</v>
      </c>
      <c r="N1846" s="1649">
        <v>1.5865178595586664</v>
      </c>
      <c r="O1846" s="1649"/>
    </row>
    <row r="1847" spans="11:15">
      <c r="K1847" s="1646">
        <v>43904</v>
      </c>
      <c r="L1847" s="1647"/>
      <c r="M1847" s="1648">
        <v>0</v>
      </c>
      <c r="N1847" s="1649">
        <v>1.5865178595586664</v>
      </c>
      <c r="O1847" s="1649"/>
    </row>
    <row r="1848" spans="11:15">
      <c r="K1848" s="1646">
        <v>43905</v>
      </c>
      <c r="L1848" s="1647"/>
      <c r="M1848" s="1648">
        <v>0</v>
      </c>
      <c r="N1848" s="1649">
        <v>1.5865178595586664</v>
      </c>
      <c r="O1848" s="1649"/>
    </row>
    <row r="1849" spans="11:15">
      <c r="K1849" s="1646">
        <v>43906</v>
      </c>
      <c r="L1849" s="1647" t="s">
        <v>1653</v>
      </c>
      <c r="M1849" s="1648">
        <v>1.6136999999999999E-2</v>
      </c>
      <c r="N1849" s="1649">
        <v>1.5867738759456635</v>
      </c>
      <c r="O1849" s="1649"/>
    </row>
    <row r="1850" spans="11:15">
      <c r="K1850" s="1646">
        <v>43907</v>
      </c>
      <c r="L1850" s="1647" t="s">
        <v>1653</v>
      </c>
      <c r="M1850" s="1648">
        <v>1.6136999999999999E-2</v>
      </c>
      <c r="N1850" s="1649">
        <v>1.587029933646025</v>
      </c>
      <c r="O1850" s="1649"/>
    </row>
    <row r="1851" spans="11:15">
      <c r="K1851" s="1646">
        <v>43908</v>
      </c>
      <c r="L1851" s="1647" t="s">
        <v>1653</v>
      </c>
      <c r="M1851" s="1648">
        <v>1.6136999999999999E-2</v>
      </c>
      <c r="N1851" s="1649">
        <v>1.5872860326664175</v>
      </c>
      <c r="O1851" s="1649"/>
    </row>
    <row r="1852" spans="11:15">
      <c r="K1852" s="1646">
        <v>43909</v>
      </c>
      <c r="L1852" s="1647" t="s">
        <v>1653</v>
      </c>
      <c r="M1852" s="1648">
        <v>1.4227E-2</v>
      </c>
      <c r="N1852" s="1649">
        <v>1.587511855850285</v>
      </c>
      <c r="O1852" s="1649"/>
    </row>
    <row r="1853" spans="11:15">
      <c r="K1853" s="1646">
        <v>43910</v>
      </c>
      <c r="L1853" s="1647" t="s">
        <v>1653</v>
      </c>
      <c r="M1853" s="1648">
        <v>1.4227E-2</v>
      </c>
      <c r="N1853" s="1649">
        <v>1.5877377111620168</v>
      </c>
      <c r="O1853" s="1649"/>
    </row>
    <row r="1854" spans="11:15">
      <c r="K1854" s="1646">
        <v>43911</v>
      </c>
      <c r="L1854" s="1647"/>
      <c r="M1854" s="1648">
        <v>0</v>
      </c>
      <c r="N1854" s="1649">
        <v>1.5877377111620168</v>
      </c>
      <c r="O1854" s="1649"/>
    </row>
    <row r="1855" spans="11:15">
      <c r="K1855" s="1646">
        <v>43912</v>
      </c>
      <c r="L1855" s="1647"/>
      <c r="M1855" s="1648">
        <v>0</v>
      </c>
      <c r="N1855" s="1649">
        <v>1.5877377111620168</v>
      </c>
      <c r="O1855" s="1649"/>
    </row>
    <row r="1856" spans="11:15">
      <c r="K1856" s="1646">
        <v>43913</v>
      </c>
      <c r="L1856" s="1647" t="s">
        <v>1653</v>
      </c>
      <c r="M1856" s="1648">
        <v>1.4227E-2</v>
      </c>
      <c r="N1856" s="1649">
        <v>1.5879635986061837</v>
      </c>
      <c r="O1856" s="1649"/>
    </row>
    <row r="1857" spans="11:15">
      <c r="K1857" s="1646">
        <v>43914</v>
      </c>
      <c r="L1857" s="1647" t="s">
        <v>1653</v>
      </c>
      <c r="M1857" s="1648">
        <v>1.4227E-2</v>
      </c>
      <c r="N1857" s="1649">
        <v>1.5881895181873575</v>
      </c>
      <c r="O1857" s="1649"/>
    </row>
    <row r="1858" spans="11:15">
      <c r="K1858" s="1646">
        <v>43915</v>
      </c>
      <c r="L1858" s="1647" t="s">
        <v>1653</v>
      </c>
      <c r="M1858" s="1648">
        <v>1.4227E-2</v>
      </c>
      <c r="N1858" s="1649">
        <v>1.5884154699101101</v>
      </c>
      <c r="O1858" s="1649"/>
    </row>
    <row r="1859" spans="11:15">
      <c r="K1859" s="1646">
        <v>43916</v>
      </c>
      <c r="L1859" s="1647" t="s">
        <v>1653</v>
      </c>
      <c r="M1859" s="1648">
        <v>1.4227E-2</v>
      </c>
      <c r="N1859" s="1649">
        <v>1.5886414537790141</v>
      </c>
      <c r="O1859" s="1649"/>
    </row>
    <row r="1860" spans="11:15">
      <c r="K1860" s="1646">
        <v>43917</v>
      </c>
      <c r="L1860" s="1647" t="s">
        <v>1653</v>
      </c>
      <c r="M1860" s="1648">
        <v>1.4227E-2</v>
      </c>
      <c r="N1860" s="1649">
        <v>1.5888674697986434</v>
      </c>
      <c r="O1860" s="1649"/>
    </row>
    <row r="1861" spans="11:15">
      <c r="K1861" s="1646">
        <v>43918</v>
      </c>
      <c r="L1861" s="1647"/>
      <c r="M1861" s="1648">
        <v>0</v>
      </c>
      <c r="N1861" s="1649">
        <v>1.5888674697986434</v>
      </c>
      <c r="O1861" s="1649"/>
    </row>
    <row r="1862" spans="11:15">
      <c r="K1862" s="1646">
        <v>43919</v>
      </c>
      <c r="L1862" s="1647"/>
      <c r="M1862" s="1648">
        <v>0</v>
      </c>
      <c r="N1862" s="1649">
        <v>1.5888674697986434</v>
      </c>
      <c r="O1862" s="1649"/>
    </row>
    <row r="1863" spans="11:15">
      <c r="K1863" s="1646">
        <v>43920</v>
      </c>
      <c r="L1863" s="1647" t="s">
        <v>1653</v>
      </c>
      <c r="M1863" s="1648">
        <v>1.4227E-2</v>
      </c>
      <c r="N1863" s="1649">
        <v>1.5890935179735717</v>
      </c>
      <c r="O1863" s="1649"/>
    </row>
    <row r="1864" spans="11:15">
      <c r="K1864" s="1646">
        <v>43921</v>
      </c>
      <c r="L1864" s="1647" t="s">
        <v>1653</v>
      </c>
      <c r="M1864" s="1648">
        <v>1.4227E-2</v>
      </c>
      <c r="N1864" s="1649">
        <v>1.5893195983083739</v>
      </c>
      <c r="O1864" s="1649"/>
    </row>
    <row r="1865" spans="11:15">
      <c r="K1865" s="1646">
        <v>43922</v>
      </c>
      <c r="L1865" s="1647" t="s">
        <v>1653</v>
      </c>
      <c r="M1865" s="1648">
        <v>1.4227E-2</v>
      </c>
      <c r="N1865" s="1649">
        <v>1.5895457108076252</v>
      </c>
      <c r="O1865" s="1649"/>
    </row>
    <row r="1866" spans="11:15">
      <c r="K1866" s="1646">
        <v>43923</v>
      </c>
      <c r="L1866" s="1647" t="s">
        <v>1653</v>
      </c>
      <c r="M1866" s="1648">
        <v>1.4227E-2</v>
      </c>
      <c r="N1866" s="1649">
        <v>1.5897718554759017</v>
      </c>
      <c r="O1866" s="1649"/>
    </row>
    <row r="1867" spans="11:15">
      <c r="K1867" s="1646">
        <v>43924</v>
      </c>
      <c r="L1867" s="1647" t="s">
        <v>1653</v>
      </c>
      <c r="M1867" s="1648">
        <v>1.4227E-2</v>
      </c>
      <c r="N1867" s="1649">
        <v>1.5899980323177803</v>
      </c>
      <c r="O1867" s="1649"/>
    </row>
    <row r="1868" spans="11:15">
      <c r="K1868" s="1646">
        <v>43925</v>
      </c>
      <c r="L1868" s="1647"/>
      <c r="M1868" s="1648">
        <v>0</v>
      </c>
      <c r="N1868" s="1649">
        <v>1.5899980323177803</v>
      </c>
      <c r="O1868" s="1649"/>
    </row>
    <row r="1869" spans="11:15">
      <c r="K1869" s="1646">
        <v>43926</v>
      </c>
      <c r="L1869" s="1647"/>
      <c r="M1869" s="1648">
        <v>0</v>
      </c>
      <c r="N1869" s="1649">
        <v>1.5899980323177803</v>
      </c>
      <c r="O1869" s="1649"/>
    </row>
    <row r="1870" spans="11:15">
      <c r="K1870" s="1646">
        <v>43927</v>
      </c>
      <c r="L1870" s="1647" t="s">
        <v>1653</v>
      </c>
      <c r="M1870" s="1648">
        <v>1.4227E-2</v>
      </c>
      <c r="N1870" s="1649">
        <v>1.590224241337838</v>
      </c>
      <c r="O1870" s="1649"/>
    </row>
    <row r="1871" spans="11:15">
      <c r="K1871" s="1646">
        <v>43928</v>
      </c>
      <c r="L1871" s="1647" t="s">
        <v>1653</v>
      </c>
      <c r="M1871" s="1648">
        <v>1.4227E-2</v>
      </c>
      <c r="N1871" s="1649">
        <v>1.5904504825406531</v>
      </c>
      <c r="O1871" s="1649"/>
    </row>
    <row r="1872" spans="11:15">
      <c r="K1872" s="1646">
        <v>43929</v>
      </c>
      <c r="L1872" s="1647" t="s">
        <v>1653</v>
      </c>
      <c r="M1872" s="1648">
        <v>1.4227E-2</v>
      </c>
      <c r="N1872" s="1649">
        <v>1.5906767559308042</v>
      </c>
      <c r="O1872" s="1649"/>
    </row>
    <row r="1873" spans="11:15">
      <c r="K1873" s="1646">
        <v>43930</v>
      </c>
      <c r="L1873" s="1647" t="s">
        <v>1653</v>
      </c>
      <c r="M1873" s="1648">
        <v>1.4227E-2</v>
      </c>
      <c r="N1873" s="1649">
        <v>1.5909030615128705</v>
      </c>
      <c r="O1873" s="1649"/>
    </row>
    <row r="1874" spans="11:15">
      <c r="K1874" s="1646">
        <v>43931</v>
      </c>
      <c r="L1874" s="1647"/>
      <c r="M1874" s="1648">
        <v>0</v>
      </c>
      <c r="N1874" s="1649">
        <v>1.5909030615128705</v>
      </c>
      <c r="O1874" s="1649"/>
    </row>
    <row r="1875" spans="11:15">
      <c r="K1875" s="1646">
        <v>43932</v>
      </c>
      <c r="L1875" s="1647"/>
      <c r="M1875" s="1648">
        <v>0</v>
      </c>
      <c r="N1875" s="1649">
        <v>1.5909030615128705</v>
      </c>
      <c r="O1875" s="1649"/>
    </row>
    <row r="1876" spans="11:15">
      <c r="K1876" s="1646">
        <v>43933</v>
      </c>
      <c r="L1876" s="1647"/>
      <c r="M1876" s="1648">
        <v>0</v>
      </c>
      <c r="N1876" s="1649">
        <v>1.5909030615128705</v>
      </c>
      <c r="O1876" s="1649"/>
    </row>
    <row r="1877" spans="11:15">
      <c r="K1877" s="1646">
        <v>43934</v>
      </c>
      <c r="L1877" s="1647" t="s">
        <v>1653</v>
      </c>
      <c r="M1877" s="1648">
        <v>1.4227E-2</v>
      </c>
      <c r="N1877" s="1649">
        <v>1.5911293992914319</v>
      </c>
      <c r="O1877" s="1649"/>
    </row>
    <row r="1878" spans="11:15">
      <c r="K1878" s="1646">
        <v>43935</v>
      </c>
      <c r="L1878" s="1647" t="s">
        <v>1653</v>
      </c>
      <c r="M1878" s="1648">
        <v>1.4227E-2</v>
      </c>
      <c r="N1878" s="1649">
        <v>1.5913557692710691</v>
      </c>
      <c r="O1878" s="1649"/>
    </row>
    <row r="1879" spans="11:15">
      <c r="K1879" s="1646">
        <v>43936</v>
      </c>
      <c r="L1879" s="1647" t="s">
        <v>1653</v>
      </c>
      <c r="M1879" s="1648">
        <v>1.4227E-2</v>
      </c>
      <c r="N1879" s="1649">
        <v>1.5915821714563634</v>
      </c>
      <c r="O1879" s="1649"/>
    </row>
    <row r="1880" spans="11:15">
      <c r="K1880" s="1646">
        <v>43937</v>
      </c>
      <c r="L1880" s="1647" t="s">
        <v>1653</v>
      </c>
      <c r="M1880" s="1648">
        <v>1.4227E-2</v>
      </c>
      <c r="N1880" s="1649">
        <v>1.5918086058518965</v>
      </c>
      <c r="O1880" s="1649"/>
    </row>
    <row r="1881" spans="11:15">
      <c r="K1881" s="1646">
        <v>43938</v>
      </c>
      <c r="L1881" s="1647" t="s">
        <v>1653</v>
      </c>
      <c r="M1881" s="1648">
        <v>1.4227E-2</v>
      </c>
      <c r="N1881" s="1649">
        <v>1.5920350724622512</v>
      </c>
      <c r="O1881" s="1649"/>
    </row>
    <row r="1882" spans="11:15">
      <c r="K1882" s="1646">
        <v>43939</v>
      </c>
      <c r="L1882" s="1647"/>
      <c r="M1882" s="1648">
        <v>0</v>
      </c>
      <c r="N1882" s="1649">
        <v>1.5920350724622512</v>
      </c>
      <c r="O1882" s="1649"/>
    </row>
    <row r="1883" spans="11:15">
      <c r="K1883" s="1646">
        <v>43940</v>
      </c>
      <c r="L1883" s="1647"/>
      <c r="M1883" s="1648">
        <v>0</v>
      </c>
      <c r="N1883" s="1649">
        <v>1.5920350724622512</v>
      </c>
      <c r="O1883" s="1649"/>
    </row>
    <row r="1884" spans="11:15">
      <c r="K1884" s="1646">
        <v>43941</v>
      </c>
      <c r="L1884" s="1647" t="s">
        <v>1653</v>
      </c>
      <c r="M1884" s="1648">
        <v>1.4227E-2</v>
      </c>
      <c r="N1884" s="1649">
        <v>1.5922615712920103</v>
      </c>
      <c r="O1884" s="1649"/>
    </row>
    <row r="1885" spans="11:15">
      <c r="K1885" s="1646">
        <v>43942</v>
      </c>
      <c r="L1885" s="1647"/>
      <c r="M1885" s="1648">
        <v>0</v>
      </c>
      <c r="N1885" s="1649">
        <v>1.5922615712920103</v>
      </c>
      <c r="O1885" s="1649"/>
    </row>
    <row r="1886" spans="11:15">
      <c r="K1886" s="1646">
        <v>43943</v>
      </c>
      <c r="L1886" s="1647" t="s">
        <v>1653</v>
      </c>
      <c r="M1886" s="1648">
        <v>1.4227E-2</v>
      </c>
      <c r="N1886" s="1649">
        <v>1.592488102345758</v>
      </c>
      <c r="O1886" s="1649"/>
    </row>
    <row r="1887" spans="11:15">
      <c r="K1887" s="1646">
        <v>43944</v>
      </c>
      <c r="L1887" s="1647" t="s">
        <v>1653</v>
      </c>
      <c r="M1887" s="1648">
        <v>1.4227E-2</v>
      </c>
      <c r="N1887" s="1649">
        <v>1.5927146656280786</v>
      </c>
      <c r="O1887" s="1649"/>
    </row>
    <row r="1888" spans="11:15">
      <c r="K1888" s="1646">
        <v>43945</v>
      </c>
      <c r="L1888" s="1647" t="s">
        <v>1653</v>
      </c>
      <c r="M1888" s="1648">
        <v>1.4227E-2</v>
      </c>
      <c r="N1888" s="1649">
        <v>1.5929412611435576</v>
      </c>
      <c r="O1888" s="1649"/>
    </row>
    <row r="1889" spans="11:15">
      <c r="K1889" s="1646">
        <v>43946</v>
      </c>
      <c r="L1889" s="1647"/>
      <c r="M1889" s="1648">
        <v>0</v>
      </c>
      <c r="N1889" s="1649">
        <v>1.5929412611435576</v>
      </c>
      <c r="O1889" s="1649"/>
    </row>
    <row r="1890" spans="11:15">
      <c r="K1890" s="1646">
        <v>43947</v>
      </c>
      <c r="L1890" s="1647"/>
      <c r="M1890" s="1648">
        <v>0</v>
      </c>
      <c r="N1890" s="1649">
        <v>1.5929412611435576</v>
      </c>
      <c r="O1890" s="1649"/>
    </row>
    <row r="1891" spans="11:15">
      <c r="K1891" s="1646">
        <v>43948</v>
      </c>
      <c r="L1891" s="1647" t="s">
        <v>1653</v>
      </c>
      <c r="M1891" s="1648">
        <v>1.4227E-2</v>
      </c>
      <c r="N1891" s="1649">
        <v>1.5931678888967804</v>
      </c>
      <c r="O1891" s="1649"/>
    </row>
    <row r="1892" spans="11:15">
      <c r="K1892" s="1646">
        <v>43949</v>
      </c>
      <c r="L1892" s="1647" t="s">
        <v>1653</v>
      </c>
      <c r="M1892" s="1648">
        <v>1.4227E-2</v>
      </c>
      <c r="N1892" s="1649">
        <v>1.5933945488923338</v>
      </c>
      <c r="O1892" s="1649"/>
    </row>
    <row r="1893" spans="11:15">
      <c r="K1893" s="1646">
        <v>43950</v>
      </c>
      <c r="L1893" s="1647" t="s">
        <v>1653</v>
      </c>
      <c r="M1893" s="1648">
        <v>1.4227E-2</v>
      </c>
      <c r="N1893" s="1649">
        <v>1.5936212411348047</v>
      </c>
      <c r="O1893" s="1649"/>
    </row>
    <row r="1894" spans="11:15">
      <c r="K1894" s="1646">
        <v>43951</v>
      </c>
      <c r="L1894" s="1647" t="s">
        <v>1653</v>
      </c>
      <c r="M1894" s="1648">
        <v>1.4227E-2</v>
      </c>
      <c r="N1894" s="1649">
        <v>1.5938479656287809</v>
      </c>
      <c r="O1894" s="1649"/>
    </row>
    <row r="1895" spans="11:15">
      <c r="K1895" s="1646">
        <v>43952</v>
      </c>
      <c r="L1895" s="1647"/>
      <c r="M1895" s="1648">
        <v>0</v>
      </c>
      <c r="N1895" s="1649">
        <v>1.5938479656287809</v>
      </c>
      <c r="O1895" s="1649"/>
    </row>
    <row r="1896" spans="11:15">
      <c r="K1896" s="1646">
        <v>43953</v>
      </c>
      <c r="L1896" s="1647"/>
      <c r="M1896" s="1648">
        <v>0</v>
      </c>
      <c r="N1896" s="1649">
        <v>1.5938479656287809</v>
      </c>
      <c r="O1896" s="1649"/>
    </row>
    <row r="1897" spans="11:15">
      <c r="K1897" s="1646">
        <v>43954</v>
      </c>
      <c r="L1897" s="1647"/>
      <c r="M1897" s="1648">
        <v>0</v>
      </c>
      <c r="N1897" s="1649">
        <v>1.5938479656287809</v>
      </c>
      <c r="O1897" s="1649"/>
    </row>
    <row r="1898" spans="11:15">
      <c r="K1898" s="1646">
        <v>43955</v>
      </c>
      <c r="L1898" s="1647" t="s">
        <v>1653</v>
      </c>
      <c r="M1898" s="1648">
        <v>1.4227E-2</v>
      </c>
      <c r="N1898" s="1649">
        <v>1.594074722378851</v>
      </c>
      <c r="O1898" s="1649"/>
    </row>
    <row r="1899" spans="11:15">
      <c r="K1899" s="1646">
        <v>43956</v>
      </c>
      <c r="L1899" s="1647" t="s">
        <v>1653</v>
      </c>
      <c r="M1899" s="1648">
        <v>1.4227E-2</v>
      </c>
      <c r="N1899" s="1649">
        <v>1.5943015113896037</v>
      </c>
      <c r="O1899" s="1649"/>
    </row>
    <row r="1900" spans="11:15">
      <c r="K1900" s="1646">
        <v>43957</v>
      </c>
      <c r="L1900" s="1647" t="s">
        <v>1653</v>
      </c>
      <c r="M1900" s="1648">
        <v>1.4227E-2</v>
      </c>
      <c r="N1900" s="1649">
        <v>1.5945283326656292</v>
      </c>
      <c r="O1900" s="1649"/>
    </row>
    <row r="1901" spans="11:15">
      <c r="K1901" s="1646">
        <v>43958</v>
      </c>
      <c r="L1901" s="1647" t="s">
        <v>1653</v>
      </c>
      <c r="M1901" s="1648">
        <v>1.1344999999999999E-2</v>
      </c>
      <c r="N1901" s="1649">
        <v>1.59470923190497</v>
      </c>
      <c r="O1901" s="1649"/>
    </row>
    <row r="1902" spans="11:15">
      <c r="K1902" s="1646">
        <v>43959</v>
      </c>
      <c r="L1902" s="1647" t="s">
        <v>1653</v>
      </c>
      <c r="M1902" s="1648">
        <v>1.1344999999999999E-2</v>
      </c>
      <c r="N1902" s="1649">
        <v>1.5948901516673295</v>
      </c>
      <c r="O1902" s="1649"/>
    </row>
    <row r="1903" spans="11:15">
      <c r="K1903" s="1646">
        <v>43960</v>
      </c>
      <c r="L1903" s="1647"/>
      <c r="M1903" s="1648">
        <v>0</v>
      </c>
      <c r="N1903" s="1649">
        <v>1.5948901516673295</v>
      </c>
      <c r="O1903" s="1649"/>
    </row>
    <row r="1904" spans="11:15">
      <c r="K1904" s="1646">
        <v>43961</v>
      </c>
      <c r="L1904" s="1647"/>
      <c r="M1904" s="1648">
        <v>0</v>
      </c>
      <c r="N1904" s="1649">
        <v>1.5948901516673295</v>
      </c>
      <c r="O1904" s="1649"/>
    </row>
    <row r="1905" spans="11:15">
      <c r="K1905" s="1646">
        <v>43962</v>
      </c>
      <c r="L1905" s="1647" t="s">
        <v>1653</v>
      </c>
      <c r="M1905" s="1648">
        <v>1.1344999999999999E-2</v>
      </c>
      <c r="N1905" s="1649">
        <v>1.5950710919550362</v>
      </c>
      <c r="O1905" s="1649"/>
    </row>
    <row r="1906" spans="11:15">
      <c r="K1906" s="1646">
        <v>43963</v>
      </c>
      <c r="L1906" s="1647" t="s">
        <v>1653</v>
      </c>
      <c r="M1906" s="1648">
        <v>1.1344999999999999E-2</v>
      </c>
      <c r="N1906" s="1649">
        <v>1.5952520527704184</v>
      </c>
      <c r="O1906" s="1649"/>
    </row>
    <row r="1907" spans="11:15">
      <c r="K1907" s="1646">
        <v>43964</v>
      </c>
      <c r="L1907" s="1647" t="s">
        <v>1653</v>
      </c>
      <c r="M1907" s="1648">
        <v>1.1344999999999999E-2</v>
      </c>
      <c r="N1907" s="1649">
        <v>1.5954330341158052</v>
      </c>
      <c r="O1907" s="1649"/>
    </row>
    <row r="1908" spans="11:15">
      <c r="K1908" s="1646">
        <v>43965</v>
      </c>
      <c r="L1908" s="1647" t="s">
        <v>1653</v>
      </c>
      <c r="M1908" s="1648">
        <v>1.1344999999999999E-2</v>
      </c>
      <c r="N1908" s="1649">
        <v>1.5956140359935256</v>
      </c>
      <c r="O1908" s="1649"/>
    </row>
    <row r="1909" spans="11:15">
      <c r="K1909" s="1646">
        <v>43966</v>
      </c>
      <c r="L1909" s="1647" t="s">
        <v>1653</v>
      </c>
      <c r="M1909" s="1648">
        <v>1.1344999999999999E-2</v>
      </c>
      <c r="N1909" s="1649">
        <v>1.5957950584059091</v>
      </c>
      <c r="O1909" s="1649"/>
    </row>
    <row r="1910" spans="11:15">
      <c r="K1910" s="1646">
        <v>43967</v>
      </c>
      <c r="L1910" s="1647"/>
      <c r="M1910" s="1648">
        <v>0</v>
      </c>
      <c r="N1910" s="1649">
        <v>1.5957950584059091</v>
      </c>
      <c r="O1910" s="1649"/>
    </row>
    <row r="1911" spans="11:15">
      <c r="K1911" s="1646">
        <v>43968</v>
      </c>
      <c r="L1911" s="1647"/>
      <c r="M1911" s="1648">
        <v>0</v>
      </c>
      <c r="N1911" s="1649">
        <v>1.5957950584059091</v>
      </c>
      <c r="O1911" s="1649"/>
    </row>
    <row r="1912" spans="11:15">
      <c r="K1912" s="1646">
        <v>43969</v>
      </c>
      <c r="L1912" s="1647" t="s">
        <v>1653</v>
      </c>
      <c r="M1912" s="1648">
        <v>1.1344999999999999E-2</v>
      </c>
      <c r="N1912" s="1649">
        <v>1.5959761013552851</v>
      </c>
      <c r="O1912" s="1649"/>
    </row>
    <row r="1913" spans="11:15">
      <c r="K1913" s="1646">
        <v>43970</v>
      </c>
      <c r="L1913" s="1647" t="s">
        <v>1653</v>
      </c>
      <c r="M1913" s="1648">
        <v>1.1344999999999999E-2</v>
      </c>
      <c r="N1913" s="1649">
        <v>1.5961571648439838</v>
      </c>
      <c r="O1913" s="1649"/>
    </row>
    <row r="1914" spans="11:15">
      <c r="K1914" s="1646">
        <v>43971</v>
      </c>
      <c r="L1914" s="1647" t="s">
        <v>1653</v>
      </c>
      <c r="M1914" s="1648">
        <v>1.1344999999999999E-2</v>
      </c>
      <c r="N1914" s="1649">
        <v>1.5963382488743354</v>
      </c>
      <c r="O1914" s="1649"/>
    </row>
    <row r="1915" spans="11:15">
      <c r="K1915" s="1646">
        <v>43972</v>
      </c>
      <c r="L1915" s="1647" t="s">
        <v>1653</v>
      </c>
      <c r="M1915" s="1648">
        <v>1.1344999999999999E-2</v>
      </c>
      <c r="N1915" s="1649">
        <v>1.5965193534486701</v>
      </c>
      <c r="O1915" s="1649"/>
    </row>
    <row r="1916" spans="11:15">
      <c r="K1916" s="1646">
        <v>43973</v>
      </c>
      <c r="L1916" s="1647" t="s">
        <v>1653</v>
      </c>
      <c r="M1916" s="1648">
        <v>1.1344999999999999E-2</v>
      </c>
      <c r="N1916" s="1649">
        <v>1.5967004785693188</v>
      </c>
      <c r="O1916" s="1649"/>
    </row>
    <row r="1917" spans="11:15">
      <c r="K1917" s="1646">
        <v>43974</v>
      </c>
      <c r="L1917" s="1647"/>
      <c r="M1917" s="1648">
        <v>0</v>
      </c>
      <c r="N1917" s="1649">
        <v>1.5967004785693188</v>
      </c>
      <c r="O1917" s="1649"/>
    </row>
    <row r="1918" spans="11:15">
      <c r="K1918" s="1646">
        <v>43975</v>
      </c>
      <c r="L1918" s="1647"/>
      <c r="M1918" s="1648">
        <v>0</v>
      </c>
      <c r="N1918" s="1649">
        <v>1.5967004785693188</v>
      </c>
      <c r="O1918" s="1649"/>
    </row>
    <row r="1919" spans="11:15">
      <c r="K1919" s="1646">
        <v>43976</v>
      </c>
      <c r="L1919" s="1647" t="s">
        <v>1653</v>
      </c>
      <c r="M1919" s="1648">
        <v>1.1344999999999999E-2</v>
      </c>
      <c r="N1919" s="1649">
        <v>1.5968816242386126</v>
      </c>
      <c r="O1919" s="1649"/>
    </row>
    <row r="1920" spans="11:15">
      <c r="K1920" s="1646">
        <v>43977</v>
      </c>
      <c r="L1920" s="1647" t="s">
        <v>1653</v>
      </c>
      <c r="M1920" s="1648">
        <v>1.1344999999999999E-2</v>
      </c>
      <c r="N1920" s="1649">
        <v>1.5970627904588823</v>
      </c>
      <c r="O1920" s="1649"/>
    </row>
    <row r="1921" spans="11:15">
      <c r="K1921" s="1646">
        <v>43978</v>
      </c>
      <c r="L1921" s="1647" t="s">
        <v>1653</v>
      </c>
      <c r="M1921" s="1648">
        <v>1.1344999999999999E-2</v>
      </c>
      <c r="N1921" s="1649">
        <v>1.5972439772324598</v>
      </c>
      <c r="O1921" s="1649"/>
    </row>
    <row r="1922" spans="11:15">
      <c r="K1922" s="1646">
        <v>43979</v>
      </c>
      <c r="L1922" s="1647" t="s">
        <v>1653</v>
      </c>
      <c r="M1922" s="1648">
        <v>1.1344999999999999E-2</v>
      </c>
      <c r="N1922" s="1649">
        <v>1.5974251845616767</v>
      </c>
      <c r="O1922" s="1649"/>
    </row>
    <row r="1923" spans="11:15">
      <c r="K1923" s="1646">
        <v>43980</v>
      </c>
      <c r="L1923" s="1647" t="s">
        <v>1653</v>
      </c>
      <c r="M1923" s="1648">
        <v>1.1344999999999999E-2</v>
      </c>
      <c r="N1923" s="1649">
        <v>1.5976064124488651</v>
      </c>
      <c r="O1923" s="1649"/>
    </row>
    <row r="1924" spans="11:15">
      <c r="K1924" s="1646">
        <v>43981</v>
      </c>
      <c r="L1924" s="1647"/>
      <c r="M1924" s="1648">
        <v>0</v>
      </c>
      <c r="N1924" s="1649">
        <v>1.5976064124488651</v>
      </c>
      <c r="O1924" s="1649"/>
    </row>
    <row r="1925" spans="11:15">
      <c r="K1925" s="1646">
        <v>43982</v>
      </c>
      <c r="L1925" s="1647"/>
      <c r="M1925" s="1648">
        <v>0</v>
      </c>
      <c r="N1925" s="1649">
        <v>1.5976064124488651</v>
      </c>
      <c r="O1925" s="1649"/>
    </row>
    <row r="1926" spans="11:15">
      <c r="K1926" s="1646">
        <v>43983</v>
      </c>
      <c r="L1926" s="1647" t="s">
        <v>1653</v>
      </c>
      <c r="M1926" s="1648">
        <v>1.1344999999999999E-2</v>
      </c>
      <c r="N1926" s="1649">
        <v>1.5977876608963575</v>
      </c>
      <c r="O1926" s="1649"/>
    </row>
    <row r="1927" spans="11:15">
      <c r="K1927" s="1646">
        <v>43984</v>
      </c>
      <c r="L1927" s="1647" t="s">
        <v>1653</v>
      </c>
      <c r="M1927" s="1648">
        <v>1.1344999999999999E-2</v>
      </c>
      <c r="N1927" s="1649">
        <v>1.5979689299064861</v>
      </c>
      <c r="O1927" s="1649"/>
    </row>
    <row r="1928" spans="11:15">
      <c r="K1928" s="1646">
        <v>43985</v>
      </c>
      <c r="L1928" s="1647" t="s">
        <v>1653</v>
      </c>
      <c r="M1928" s="1648">
        <v>1.1344999999999999E-2</v>
      </c>
      <c r="N1928" s="1649">
        <v>1.598150219481584</v>
      </c>
      <c r="O1928" s="1649"/>
    </row>
    <row r="1929" spans="11:15">
      <c r="K1929" s="1646">
        <v>43986</v>
      </c>
      <c r="L1929" s="1647" t="s">
        <v>1653</v>
      </c>
      <c r="M1929" s="1648">
        <v>1.1344999999999999E-2</v>
      </c>
      <c r="N1929" s="1649">
        <v>1.5983315296239842</v>
      </c>
      <c r="O1929" s="1649"/>
    </row>
    <row r="1930" spans="11:15">
      <c r="K1930" s="1646">
        <v>43987</v>
      </c>
      <c r="L1930" s="1647" t="s">
        <v>1653</v>
      </c>
      <c r="M1930" s="1648">
        <v>1.1344999999999999E-2</v>
      </c>
      <c r="N1930" s="1649">
        <v>1.5985128603360199</v>
      </c>
      <c r="O1930" s="1649"/>
    </row>
    <row r="1931" spans="11:15">
      <c r="K1931" s="1646">
        <v>43988</v>
      </c>
      <c r="L1931" s="1647"/>
      <c r="M1931" s="1648">
        <v>0</v>
      </c>
      <c r="N1931" s="1649">
        <v>1.5985128603360199</v>
      </c>
      <c r="O1931" s="1649"/>
    </row>
    <row r="1932" spans="11:15">
      <c r="K1932" s="1646">
        <v>43989</v>
      </c>
      <c r="L1932" s="1647"/>
      <c r="M1932" s="1648">
        <v>0</v>
      </c>
      <c r="N1932" s="1649">
        <v>1.5985128603360199</v>
      </c>
      <c r="O1932" s="1649"/>
    </row>
    <row r="1933" spans="11:15">
      <c r="K1933" s="1646">
        <v>43990</v>
      </c>
      <c r="L1933" s="1647" t="s">
        <v>1653</v>
      </c>
      <c r="M1933" s="1648">
        <v>1.1344999999999999E-2</v>
      </c>
      <c r="N1933" s="1649">
        <v>1.5986942116200249</v>
      </c>
      <c r="O1933" s="1649"/>
    </row>
    <row r="1934" spans="11:15">
      <c r="K1934" s="1646">
        <v>43991</v>
      </c>
      <c r="L1934" s="1647" t="s">
        <v>1653</v>
      </c>
      <c r="M1934" s="1648">
        <v>1.1344999999999999E-2</v>
      </c>
      <c r="N1934" s="1649">
        <v>1.598875583478333</v>
      </c>
      <c r="O1934" s="1649"/>
    </row>
    <row r="1935" spans="11:15">
      <c r="K1935" s="1646">
        <v>43992</v>
      </c>
      <c r="L1935" s="1647" t="s">
        <v>1653</v>
      </c>
      <c r="M1935" s="1648">
        <v>1.1344999999999999E-2</v>
      </c>
      <c r="N1935" s="1649">
        <v>1.5990569759132787</v>
      </c>
      <c r="O1935" s="1649"/>
    </row>
    <row r="1936" spans="11:15">
      <c r="K1936" s="1646">
        <v>43993</v>
      </c>
      <c r="L1936" s="1647"/>
      <c r="M1936" s="1648">
        <v>0</v>
      </c>
      <c r="N1936" s="1649">
        <v>1.5990569759132787</v>
      </c>
      <c r="O1936" s="1649"/>
    </row>
    <row r="1937" spans="11:15">
      <c r="K1937" s="1646">
        <v>43994</v>
      </c>
      <c r="L1937" s="1647" t="s">
        <v>1653</v>
      </c>
      <c r="M1937" s="1648">
        <v>1.1344999999999999E-2</v>
      </c>
      <c r="N1937" s="1649">
        <v>1.5992383889271959</v>
      </c>
      <c r="O1937" s="1649"/>
    </row>
    <row r="1938" spans="11:15">
      <c r="K1938" s="1646">
        <v>43995</v>
      </c>
      <c r="L1938" s="1647"/>
      <c r="M1938" s="1648">
        <v>0</v>
      </c>
      <c r="N1938" s="1649">
        <v>1.5992383889271959</v>
      </c>
      <c r="O1938" s="1649"/>
    </row>
    <row r="1939" spans="11:15">
      <c r="K1939" s="1646">
        <v>43996</v>
      </c>
      <c r="L1939" s="1647"/>
      <c r="M1939" s="1648">
        <v>0</v>
      </c>
      <c r="N1939" s="1649">
        <v>1.5992383889271959</v>
      </c>
      <c r="O1939" s="1649"/>
    </row>
    <row r="1940" spans="11:15">
      <c r="K1940" s="1646">
        <v>43997</v>
      </c>
      <c r="L1940" s="1647" t="s">
        <v>1653</v>
      </c>
      <c r="M1940" s="1648">
        <v>1.1344999999999999E-2</v>
      </c>
      <c r="N1940" s="1649">
        <v>1.5994198225224197</v>
      </c>
      <c r="O1940" s="1649"/>
    </row>
    <row r="1941" spans="11:15">
      <c r="K1941" s="1646">
        <v>43998</v>
      </c>
      <c r="L1941" s="1647" t="s">
        <v>1653</v>
      </c>
      <c r="M1941" s="1648">
        <v>1.1344999999999999E-2</v>
      </c>
      <c r="N1941" s="1649">
        <v>1.5996012767012848</v>
      </c>
      <c r="O1941" s="1649"/>
    </row>
    <row r="1942" spans="11:15">
      <c r="K1942" s="1646">
        <v>43999</v>
      </c>
      <c r="L1942" s="1647" t="s">
        <v>1653</v>
      </c>
      <c r="M1942" s="1648">
        <v>1.1344999999999999E-2</v>
      </c>
      <c r="N1942" s="1649">
        <v>1.5997827514661265</v>
      </c>
      <c r="O1942" s="1649"/>
    </row>
    <row r="1943" spans="11:15">
      <c r="K1943" s="1646">
        <v>44000</v>
      </c>
      <c r="L1943" s="1647" t="s">
        <v>1653</v>
      </c>
      <c r="M1943" s="1648">
        <v>8.4419999999999999E-3</v>
      </c>
      <c r="N1943" s="1649">
        <v>1.5999178051260055</v>
      </c>
      <c r="O1943" s="1649"/>
    </row>
    <row r="1944" spans="11:15">
      <c r="K1944" s="1646">
        <v>44001</v>
      </c>
      <c r="L1944" s="1647" t="s">
        <v>1653</v>
      </c>
      <c r="M1944" s="1648">
        <v>8.4419999999999999E-3</v>
      </c>
      <c r="N1944" s="1649">
        <v>1.6000528701871144</v>
      </c>
      <c r="O1944" s="1649"/>
    </row>
    <row r="1945" spans="11:15">
      <c r="K1945" s="1646">
        <v>44002</v>
      </c>
      <c r="L1945" s="1647"/>
      <c r="M1945" s="1648">
        <v>0</v>
      </c>
      <c r="N1945" s="1649">
        <v>1.6000528701871144</v>
      </c>
      <c r="O1945" s="1649"/>
    </row>
    <row r="1946" spans="11:15">
      <c r="K1946" s="1646">
        <v>44003</v>
      </c>
      <c r="L1946" s="1647"/>
      <c r="M1946" s="1648">
        <v>0</v>
      </c>
      <c r="N1946" s="1649">
        <v>1.6000528701871144</v>
      </c>
      <c r="O1946" s="1649"/>
    </row>
    <row r="1947" spans="11:15">
      <c r="K1947" s="1646">
        <v>44004</v>
      </c>
      <c r="L1947" s="1647" t="s">
        <v>1653</v>
      </c>
      <c r="M1947" s="1648">
        <v>8.4419999999999999E-3</v>
      </c>
      <c r="N1947" s="1649">
        <v>1.6001879466504156</v>
      </c>
      <c r="O1947" s="1649"/>
    </row>
    <row r="1948" spans="11:15">
      <c r="K1948" s="1646">
        <v>44005</v>
      </c>
      <c r="L1948" s="1647" t="s">
        <v>1653</v>
      </c>
      <c r="M1948" s="1648">
        <v>8.4419999999999999E-3</v>
      </c>
      <c r="N1948" s="1649">
        <v>1.600323034516872</v>
      </c>
      <c r="O1948" s="1649"/>
    </row>
    <row r="1949" spans="11:15">
      <c r="K1949" s="1646">
        <v>44006</v>
      </c>
      <c r="L1949" s="1647" t="s">
        <v>1653</v>
      </c>
      <c r="M1949" s="1648">
        <v>8.4419999999999999E-3</v>
      </c>
      <c r="N1949" s="1649">
        <v>1.6004581337874459</v>
      </c>
      <c r="O1949" s="1649"/>
    </row>
    <row r="1950" spans="11:15">
      <c r="K1950" s="1646">
        <v>44007</v>
      </c>
      <c r="L1950" s="1647" t="s">
        <v>1653</v>
      </c>
      <c r="M1950" s="1648">
        <v>8.4419999999999999E-3</v>
      </c>
      <c r="N1950" s="1649">
        <v>1.6005932444631004</v>
      </c>
      <c r="O1950" s="1649"/>
    </row>
    <row r="1951" spans="11:15">
      <c r="K1951" s="1646">
        <v>44008</v>
      </c>
      <c r="L1951" s="1647" t="s">
        <v>1653</v>
      </c>
      <c r="M1951" s="1648">
        <v>8.4419999999999999E-3</v>
      </c>
      <c r="N1951" s="1649">
        <v>1.600728366544798</v>
      </c>
      <c r="O1951" s="1649"/>
    </row>
    <row r="1952" spans="11:15">
      <c r="K1952" s="1646">
        <v>44009</v>
      </c>
      <c r="L1952" s="1647"/>
      <c r="M1952" s="1648">
        <v>0</v>
      </c>
      <c r="N1952" s="1649">
        <v>1.600728366544798</v>
      </c>
      <c r="O1952" s="1649"/>
    </row>
    <row r="1953" spans="11:15">
      <c r="K1953" s="1646">
        <v>44010</v>
      </c>
      <c r="L1953" s="1647"/>
      <c r="M1953" s="1648">
        <v>0</v>
      </c>
      <c r="N1953" s="1649">
        <v>1.600728366544798</v>
      </c>
      <c r="O1953" s="1649"/>
    </row>
    <row r="1954" spans="11:15">
      <c r="K1954" s="1646">
        <v>44011</v>
      </c>
      <c r="L1954" s="1647" t="s">
        <v>1653</v>
      </c>
      <c r="M1954" s="1648">
        <v>8.4419999999999999E-3</v>
      </c>
      <c r="N1954" s="1649">
        <v>1.6008635000335019</v>
      </c>
      <c r="O1954" s="1649"/>
    </row>
    <row r="1955" spans="11:15">
      <c r="K1955" s="1646">
        <v>44012</v>
      </c>
      <c r="L1955" s="1647" t="s">
        <v>1653</v>
      </c>
      <c r="M1955" s="1648">
        <v>8.4419999999999999E-3</v>
      </c>
      <c r="N1955" s="1649">
        <v>1.6009986449301747</v>
      </c>
      <c r="O1955" s="1649"/>
    </row>
    <row r="1956" spans="11:15">
      <c r="K1956" s="1646">
        <v>44013</v>
      </c>
      <c r="L1956" s="1647" t="s">
        <v>1653</v>
      </c>
      <c r="M1956" s="1648">
        <v>8.4419999999999999E-3</v>
      </c>
      <c r="N1956" s="1649">
        <v>1.6011338012357799</v>
      </c>
      <c r="O1956" s="1649"/>
    </row>
    <row r="1957" spans="11:15">
      <c r="K1957" s="1646">
        <v>44014</v>
      </c>
      <c r="L1957" s="1647" t="s">
        <v>1653</v>
      </c>
      <c r="M1957" s="1648">
        <v>8.4419999999999999E-3</v>
      </c>
      <c r="N1957" s="1649">
        <v>1.6012689689512802</v>
      </c>
      <c r="O1957" s="1649"/>
    </row>
    <row r="1958" spans="11:15">
      <c r="K1958" s="1646">
        <v>44015</v>
      </c>
      <c r="L1958" s="1647" t="s">
        <v>1653</v>
      </c>
      <c r="M1958" s="1648">
        <v>8.4419999999999999E-3</v>
      </c>
      <c r="N1958" s="1649">
        <v>1.6014041480776393</v>
      </c>
      <c r="O1958" s="1649"/>
    </row>
    <row r="1959" spans="11:15">
      <c r="K1959" s="1646">
        <v>44016</v>
      </c>
      <c r="L1959" s="1647"/>
      <c r="M1959" s="1648">
        <v>0</v>
      </c>
      <c r="N1959" s="1649">
        <v>1.6014041480776393</v>
      </c>
      <c r="O1959" s="1649"/>
    </row>
    <row r="1960" spans="11:15">
      <c r="K1960" s="1646">
        <v>44017</v>
      </c>
      <c r="L1960" s="1647"/>
      <c r="M1960" s="1648">
        <v>0</v>
      </c>
      <c r="N1960" s="1649">
        <v>1.6014041480776393</v>
      </c>
      <c r="O1960" s="1649"/>
    </row>
    <row r="1961" spans="11:15">
      <c r="K1961" s="1646">
        <v>44018</v>
      </c>
      <c r="L1961" s="1647" t="s">
        <v>1653</v>
      </c>
      <c r="M1961" s="1648">
        <v>8.4419999999999999E-3</v>
      </c>
      <c r="N1961" s="1649">
        <v>1.6015393386158201</v>
      </c>
      <c r="O1961" s="1649"/>
    </row>
    <row r="1962" spans="11:15">
      <c r="K1962" s="1646">
        <v>44019</v>
      </c>
      <c r="L1962" s="1647" t="s">
        <v>1653</v>
      </c>
      <c r="M1962" s="1648">
        <v>8.4419999999999999E-3</v>
      </c>
      <c r="N1962" s="1649">
        <v>1.6016745405667863</v>
      </c>
      <c r="O1962" s="1649"/>
    </row>
    <row r="1963" spans="11:15">
      <c r="K1963" s="1646">
        <v>44020</v>
      </c>
      <c r="L1963" s="1647" t="s">
        <v>1653</v>
      </c>
      <c r="M1963" s="1648">
        <v>8.4419999999999999E-3</v>
      </c>
      <c r="N1963" s="1649">
        <v>1.601809753931501</v>
      </c>
      <c r="O1963" s="1649"/>
    </row>
    <row r="1964" spans="11:15">
      <c r="K1964" s="1646">
        <v>44021</v>
      </c>
      <c r="L1964" s="1647" t="s">
        <v>1653</v>
      </c>
      <c r="M1964" s="1648">
        <v>8.4419999999999999E-3</v>
      </c>
      <c r="N1964" s="1649">
        <v>1.6019449787109281</v>
      </c>
      <c r="O1964" s="1649"/>
    </row>
    <row r="1965" spans="11:15">
      <c r="K1965" s="1646">
        <v>44022</v>
      </c>
      <c r="L1965" s="1647" t="s">
        <v>1653</v>
      </c>
      <c r="M1965" s="1648">
        <v>8.4419999999999999E-3</v>
      </c>
      <c r="N1965" s="1649">
        <v>1.6020802149060309</v>
      </c>
      <c r="O1965" s="1649"/>
    </row>
    <row r="1966" spans="11:15">
      <c r="K1966" s="1646">
        <v>44023</v>
      </c>
      <c r="L1966" s="1647"/>
      <c r="M1966" s="1648">
        <v>0</v>
      </c>
      <c r="N1966" s="1649">
        <v>1.6020802149060309</v>
      </c>
      <c r="O1966" s="1649"/>
    </row>
    <row r="1967" spans="11:15">
      <c r="K1967" s="1646">
        <v>44024</v>
      </c>
      <c r="L1967" s="1647"/>
      <c r="M1967" s="1648">
        <v>0</v>
      </c>
      <c r="N1967" s="1649">
        <v>1.6020802149060309</v>
      </c>
      <c r="O1967" s="1649"/>
    </row>
    <row r="1968" spans="11:15">
      <c r="K1968" s="1646">
        <v>44025</v>
      </c>
      <c r="L1968" s="1647" t="s">
        <v>1653</v>
      </c>
      <c r="M1968" s="1648">
        <v>8.4419999999999999E-3</v>
      </c>
      <c r="N1968" s="1649">
        <v>1.6022154625177734</v>
      </c>
      <c r="O1968" s="1649"/>
    </row>
    <row r="1969" spans="11:15">
      <c r="K1969" s="1646">
        <v>44026</v>
      </c>
      <c r="L1969" s="1647" t="s">
        <v>1653</v>
      </c>
      <c r="M1969" s="1648">
        <v>8.4419999999999999E-3</v>
      </c>
      <c r="N1969" s="1649">
        <v>1.6023507215471193</v>
      </c>
      <c r="O1969" s="1649"/>
    </row>
    <row r="1970" spans="11:15">
      <c r="K1970" s="1646">
        <v>44027</v>
      </c>
      <c r="L1970" s="1647" t="s">
        <v>1653</v>
      </c>
      <c r="M1970" s="1648">
        <v>8.4419999999999999E-3</v>
      </c>
      <c r="N1970" s="1649">
        <v>1.6024859919950325</v>
      </c>
      <c r="O1970" s="1649"/>
    </row>
    <row r="1971" spans="11:15">
      <c r="K1971" s="1646">
        <v>44028</v>
      </c>
      <c r="L1971" s="1647" t="s">
        <v>1653</v>
      </c>
      <c r="M1971" s="1648">
        <v>8.4419999999999999E-3</v>
      </c>
      <c r="N1971" s="1649">
        <v>1.6026212738624768</v>
      </c>
      <c r="O1971" s="1649"/>
    </row>
    <row r="1972" spans="11:15">
      <c r="K1972" s="1646">
        <v>44029</v>
      </c>
      <c r="L1972" s="1647" t="s">
        <v>1653</v>
      </c>
      <c r="M1972" s="1648">
        <v>8.4419999999999999E-3</v>
      </c>
      <c r="N1972" s="1649">
        <v>1.6027565671504165</v>
      </c>
      <c r="O1972" s="1649"/>
    </row>
    <row r="1973" spans="11:15">
      <c r="K1973" s="1646">
        <v>44030</v>
      </c>
      <c r="L1973" s="1647"/>
      <c r="M1973" s="1648">
        <v>0</v>
      </c>
      <c r="N1973" s="1649">
        <v>1.6027565671504165</v>
      </c>
      <c r="O1973" s="1649"/>
    </row>
    <row r="1974" spans="11:15">
      <c r="K1974" s="1646">
        <v>44031</v>
      </c>
      <c r="L1974" s="1647"/>
      <c r="M1974" s="1648">
        <v>0</v>
      </c>
      <c r="N1974" s="1649">
        <v>1.6027565671504165</v>
      </c>
      <c r="O1974" s="1649"/>
    </row>
    <row r="1975" spans="11:15">
      <c r="K1975" s="1646">
        <v>44032</v>
      </c>
      <c r="L1975" s="1647" t="s">
        <v>1653</v>
      </c>
      <c r="M1975" s="1648">
        <v>8.4419999999999999E-3</v>
      </c>
      <c r="N1975" s="1649">
        <v>1.6028918718598155</v>
      </c>
      <c r="O1975" s="1649"/>
    </row>
    <row r="1976" spans="11:15">
      <c r="K1976" s="1646">
        <v>44033</v>
      </c>
      <c r="L1976" s="1647" t="s">
        <v>1653</v>
      </c>
      <c r="M1976" s="1648">
        <v>8.4419999999999999E-3</v>
      </c>
      <c r="N1976" s="1649">
        <v>1.603027187991638</v>
      </c>
      <c r="O1976" s="1649"/>
    </row>
    <row r="1977" spans="11:15">
      <c r="K1977" s="1646">
        <v>44034</v>
      </c>
      <c r="L1977" s="1647" t="s">
        <v>1653</v>
      </c>
      <c r="M1977" s="1648">
        <v>8.4419999999999999E-3</v>
      </c>
      <c r="N1977" s="1649">
        <v>1.6031625155468483</v>
      </c>
      <c r="O1977" s="1649"/>
    </row>
    <row r="1978" spans="11:15">
      <c r="K1978" s="1646">
        <v>44035</v>
      </c>
      <c r="L1978" s="1647" t="s">
        <v>1653</v>
      </c>
      <c r="M1978" s="1648">
        <v>8.4419999999999999E-3</v>
      </c>
      <c r="N1978" s="1649">
        <v>1.6032978545264109</v>
      </c>
      <c r="O1978" s="1649"/>
    </row>
    <row r="1979" spans="11:15">
      <c r="K1979" s="1646">
        <v>44036</v>
      </c>
      <c r="L1979" s="1647" t="s">
        <v>1653</v>
      </c>
      <c r="M1979" s="1648">
        <v>8.4419999999999999E-3</v>
      </c>
      <c r="N1979" s="1649">
        <v>1.6034332049312903</v>
      </c>
      <c r="O1979" s="1649"/>
    </row>
    <row r="1980" spans="11:15">
      <c r="K1980" s="1646">
        <v>44037</v>
      </c>
      <c r="L1980" s="1647"/>
      <c r="M1980" s="1648">
        <v>0</v>
      </c>
      <c r="N1980" s="1649">
        <v>1.6034332049312903</v>
      </c>
      <c r="O1980" s="1649"/>
    </row>
    <row r="1981" spans="11:15">
      <c r="K1981" s="1646">
        <v>44038</v>
      </c>
      <c r="L1981" s="1647"/>
      <c r="M1981" s="1648">
        <v>0</v>
      </c>
      <c r="N1981" s="1649">
        <v>1.6034332049312903</v>
      </c>
      <c r="O1981" s="1649"/>
    </row>
    <row r="1982" spans="11:15">
      <c r="K1982" s="1646">
        <v>44039</v>
      </c>
      <c r="L1982" s="1647" t="s">
        <v>1653</v>
      </c>
      <c r="M1982" s="1648">
        <v>8.4419999999999999E-3</v>
      </c>
      <c r="N1982" s="1649">
        <v>1.6035685667624506</v>
      </c>
      <c r="O1982" s="1649"/>
    </row>
    <row r="1983" spans="11:15">
      <c r="K1983" s="1646">
        <v>44040</v>
      </c>
      <c r="L1983" s="1647" t="s">
        <v>1653</v>
      </c>
      <c r="M1983" s="1648">
        <v>8.4419999999999999E-3</v>
      </c>
      <c r="N1983" s="1649">
        <v>1.6037039400208568</v>
      </c>
      <c r="O1983" s="1649"/>
    </row>
    <row r="1984" spans="11:15">
      <c r="K1984" s="1646">
        <v>44041</v>
      </c>
      <c r="L1984" s="1647" t="s">
        <v>1653</v>
      </c>
      <c r="M1984" s="1648">
        <v>8.4419999999999999E-3</v>
      </c>
      <c r="N1984" s="1649">
        <v>1.6038393247074736</v>
      </c>
      <c r="O1984" s="1649"/>
    </row>
    <row r="1985" spans="11:15">
      <c r="K1985" s="1646">
        <v>44042</v>
      </c>
      <c r="L1985" s="1647" t="s">
        <v>1653</v>
      </c>
      <c r="M1985" s="1648">
        <v>8.4419999999999999E-3</v>
      </c>
      <c r="N1985" s="1649">
        <v>1.6039747208232655</v>
      </c>
      <c r="O1985" s="1649"/>
    </row>
    <row r="1986" spans="11:15">
      <c r="K1986" s="1646">
        <v>44043</v>
      </c>
      <c r="L1986" s="1647" t="s">
        <v>1653</v>
      </c>
      <c r="M1986" s="1648">
        <v>8.4419999999999999E-3</v>
      </c>
      <c r="N1986" s="1649">
        <v>1.6041101283691976</v>
      </c>
      <c r="O1986" s="1649"/>
    </row>
    <row r="1987" spans="11:15">
      <c r="K1987" s="1646">
        <v>44044</v>
      </c>
      <c r="L1987" s="1647"/>
      <c r="M1987" s="1648">
        <v>0</v>
      </c>
      <c r="N1987" s="1649">
        <v>1.6041101283691976</v>
      </c>
      <c r="O1987" s="1649"/>
    </row>
    <row r="1988" spans="11:15">
      <c r="K1988" s="1646">
        <v>44045</v>
      </c>
      <c r="L1988" s="1647"/>
      <c r="M1988" s="1648">
        <v>0</v>
      </c>
      <c r="N1988" s="1649">
        <v>1.6041101283691976</v>
      </c>
      <c r="O1988" s="1649"/>
    </row>
    <row r="1989" spans="11:15">
      <c r="K1989" s="1646">
        <v>44046</v>
      </c>
      <c r="L1989" s="1647" t="s">
        <v>1653</v>
      </c>
      <c r="M1989" s="1648">
        <v>8.4419999999999999E-3</v>
      </c>
      <c r="N1989" s="1649">
        <v>1.6042455473462347</v>
      </c>
      <c r="O1989" s="1649"/>
    </row>
    <row r="1990" spans="11:15">
      <c r="K1990" s="1646">
        <v>44047</v>
      </c>
      <c r="L1990" s="1647" t="s">
        <v>1653</v>
      </c>
      <c r="M1990" s="1648">
        <v>8.4419999999999999E-3</v>
      </c>
      <c r="N1990" s="1649">
        <v>1.6043809777553417</v>
      </c>
      <c r="O1990" s="1649"/>
    </row>
    <row r="1991" spans="11:15">
      <c r="K1991" s="1646">
        <v>44048</v>
      </c>
      <c r="L1991" s="1647" t="s">
        <v>1653</v>
      </c>
      <c r="M1991" s="1648">
        <v>8.4419999999999999E-3</v>
      </c>
      <c r="N1991" s="1649">
        <v>1.6045164195974839</v>
      </c>
      <c r="O1991" s="1649"/>
    </row>
    <row r="1992" spans="11:15">
      <c r="K1992" s="1646">
        <v>44049</v>
      </c>
      <c r="L1992" s="1647" t="s">
        <v>1653</v>
      </c>
      <c r="M1992" s="1648">
        <v>7.4689999999999999E-3</v>
      </c>
      <c r="N1992" s="1649">
        <v>1.6046362609288636</v>
      </c>
      <c r="O1992" s="1649"/>
    </row>
    <row r="1993" spans="11:15">
      <c r="K1993" s="1646">
        <v>44050</v>
      </c>
      <c r="L1993" s="1647" t="s">
        <v>1653</v>
      </c>
      <c r="M1993" s="1648">
        <v>7.4689999999999999E-3</v>
      </c>
      <c r="N1993" s="1649">
        <v>1.6047561112111923</v>
      </c>
      <c r="O1993" s="1649"/>
    </row>
    <row r="1994" spans="11:15">
      <c r="K1994" s="1646">
        <v>44051</v>
      </c>
      <c r="L1994" s="1647"/>
      <c r="M1994" s="1648">
        <v>0</v>
      </c>
      <c r="N1994" s="1649">
        <v>1.6047561112111923</v>
      </c>
      <c r="O1994" s="1649"/>
    </row>
    <row r="1995" spans="11:15">
      <c r="K1995" s="1646">
        <v>44052</v>
      </c>
      <c r="L1995" s="1647"/>
      <c r="M1995" s="1648">
        <v>0</v>
      </c>
      <c r="N1995" s="1649">
        <v>1.6047561112111923</v>
      </c>
      <c r="O1995" s="1649"/>
    </row>
    <row r="1996" spans="11:15">
      <c r="K1996" s="1646">
        <v>44053</v>
      </c>
      <c r="L1996" s="1647" t="s">
        <v>1653</v>
      </c>
      <c r="M1996" s="1648">
        <v>7.4689999999999999E-3</v>
      </c>
      <c r="N1996" s="1649">
        <v>1.6048759704451385</v>
      </c>
      <c r="O1996" s="1649"/>
    </row>
    <row r="1997" spans="11:15">
      <c r="K1997" s="1646">
        <v>44054</v>
      </c>
      <c r="L1997" s="1647" t="s">
        <v>1653</v>
      </c>
      <c r="M1997" s="1648">
        <v>7.4689999999999999E-3</v>
      </c>
      <c r="N1997" s="1649">
        <v>1.604995838631371</v>
      </c>
      <c r="O1997" s="1649"/>
    </row>
    <row r="1998" spans="11:15">
      <c r="K1998" s="1646">
        <v>44055</v>
      </c>
      <c r="L1998" s="1647" t="s">
        <v>1653</v>
      </c>
      <c r="M1998" s="1648">
        <v>7.4689999999999999E-3</v>
      </c>
      <c r="N1998" s="1649">
        <v>1.6051157157705582</v>
      </c>
      <c r="O1998" s="1649"/>
    </row>
    <row r="1999" spans="11:15">
      <c r="K1999" s="1646">
        <v>44056</v>
      </c>
      <c r="L1999" s="1647" t="s">
        <v>1653</v>
      </c>
      <c r="M1999" s="1648">
        <v>7.4689999999999999E-3</v>
      </c>
      <c r="N1999" s="1649">
        <v>1.6052356018633691</v>
      </c>
      <c r="O1999" s="1649"/>
    </row>
    <row r="2000" spans="11:15">
      <c r="K2000" s="1646">
        <v>44057</v>
      </c>
      <c r="L2000" s="1647" t="s">
        <v>1653</v>
      </c>
      <c r="M2000" s="1648">
        <v>7.4689999999999999E-3</v>
      </c>
      <c r="N2000" s="1649">
        <v>1.6053554969104722</v>
      </c>
      <c r="O2000" s="1649"/>
    </row>
    <row r="2001" spans="11:15">
      <c r="K2001" s="1646">
        <v>44058</v>
      </c>
      <c r="L2001" s="1647"/>
      <c r="M2001" s="1648">
        <v>0</v>
      </c>
      <c r="N2001" s="1649">
        <v>1.6053554969104722</v>
      </c>
      <c r="O2001" s="1649"/>
    </row>
    <row r="2002" spans="11:15">
      <c r="K2002" s="1646">
        <v>44059</v>
      </c>
      <c r="L2002" s="1647"/>
      <c r="M2002" s="1648">
        <v>0</v>
      </c>
      <c r="N2002" s="1649">
        <v>1.6053554969104722</v>
      </c>
      <c r="O2002" s="1649"/>
    </row>
    <row r="2003" spans="11:15">
      <c r="K2003" s="1646">
        <v>44060</v>
      </c>
      <c r="L2003" s="1647" t="s">
        <v>1653</v>
      </c>
      <c r="M2003" s="1648">
        <v>7.4689999999999999E-3</v>
      </c>
      <c r="N2003" s="1649">
        <v>1.6054754009125363</v>
      </c>
      <c r="O2003" s="1649"/>
    </row>
    <row r="2004" spans="11:15">
      <c r="K2004" s="1646">
        <v>44061</v>
      </c>
      <c r="L2004" s="1647" t="s">
        <v>1653</v>
      </c>
      <c r="M2004" s="1648">
        <v>7.4689999999999999E-3</v>
      </c>
      <c r="N2004" s="1649">
        <v>1.6055953138702304</v>
      </c>
      <c r="O2004" s="1649"/>
    </row>
    <row r="2005" spans="11:15">
      <c r="K2005" s="1646">
        <v>44062</v>
      </c>
      <c r="L2005" s="1647" t="s">
        <v>1653</v>
      </c>
      <c r="M2005" s="1648">
        <v>7.4689999999999999E-3</v>
      </c>
      <c r="N2005" s="1649">
        <v>1.6057152357842233</v>
      </c>
      <c r="O2005" s="1649"/>
    </row>
    <row r="2006" spans="11:15">
      <c r="K2006" s="1646">
        <v>44063</v>
      </c>
      <c r="L2006" s="1647" t="s">
        <v>1653</v>
      </c>
      <c r="M2006" s="1648">
        <v>7.4689999999999999E-3</v>
      </c>
      <c r="N2006" s="1649">
        <v>1.6058351666551838</v>
      </c>
      <c r="O2006" s="1649"/>
    </row>
    <row r="2007" spans="11:15">
      <c r="K2007" s="1646">
        <v>44064</v>
      </c>
      <c r="L2007" s="1647" t="s">
        <v>1653</v>
      </c>
      <c r="M2007" s="1648">
        <v>7.4689999999999999E-3</v>
      </c>
      <c r="N2007" s="1649">
        <v>1.6059551064837811</v>
      </c>
      <c r="O2007" s="1649"/>
    </row>
    <row r="2008" spans="11:15">
      <c r="K2008" s="1646">
        <v>44065</v>
      </c>
      <c r="L2008" s="1647"/>
      <c r="M2008" s="1648">
        <v>0</v>
      </c>
      <c r="N2008" s="1649">
        <v>1.6059551064837811</v>
      </c>
      <c r="O2008" s="1649"/>
    </row>
    <row r="2009" spans="11:15">
      <c r="K2009" s="1646">
        <v>44066</v>
      </c>
      <c r="L2009" s="1647"/>
      <c r="M2009" s="1648">
        <v>0</v>
      </c>
      <c r="N2009" s="1649">
        <v>1.6059551064837811</v>
      </c>
      <c r="O2009" s="1649"/>
    </row>
    <row r="2010" spans="11:15">
      <c r="K2010" s="1646">
        <v>44067</v>
      </c>
      <c r="L2010" s="1647" t="s">
        <v>1653</v>
      </c>
      <c r="M2010" s="1648">
        <v>7.4689999999999999E-3</v>
      </c>
      <c r="N2010" s="1649">
        <v>1.6060750552706844</v>
      </c>
      <c r="O2010" s="1649"/>
    </row>
    <row r="2011" spans="11:15">
      <c r="K2011" s="1646">
        <v>44068</v>
      </c>
      <c r="L2011" s="1647" t="s">
        <v>1653</v>
      </c>
      <c r="M2011" s="1648">
        <v>7.4689999999999999E-3</v>
      </c>
      <c r="N2011" s="1649">
        <v>1.6061950130165625</v>
      </c>
      <c r="O2011" s="1649"/>
    </row>
    <row r="2012" spans="11:15">
      <c r="K2012" s="1646">
        <v>44069</v>
      </c>
      <c r="L2012" s="1647" t="s">
        <v>1653</v>
      </c>
      <c r="M2012" s="1648">
        <v>7.4689999999999999E-3</v>
      </c>
      <c r="N2012" s="1649">
        <v>1.6063149797220846</v>
      </c>
      <c r="O2012" s="1649"/>
    </row>
    <row r="2013" spans="11:15">
      <c r="K2013" s="1646">
        <v>44070</v>
      </c>
      <c r="L2013" s="1647" t="s">
        <v>1653</v>
      </c>
      <c r="M2013" s="1648">
        <v>7.4689999999999999E-3</v>
      </c>
      <c r="N2013" s="1649">
        <v>1.60643495538792</v>
      </c>
      <c r="O2013" s="1649"/>
    </row>
    <row r="2014" spans="11:15">
      <c r="K2014" s="1646">
        <v>44071</v>
      </c>
      <c r="L2014" s="1647" t="s">
        <v>1653</v>
      </c>
      <c r="M2014" s="1648">
        <v>7.4689999999999999E-3</v>
      </c>
      <c r="N2014" s="1649">
        <v>1.6065549400147379</v>
      </c>
      <c r="O2014" s="1649"/>
    </row>
    <row r="2015" spans="11:15">
      <c r="K2015" s="1646">
        <v>44072</v>
      </c>
      <c r="L2015" s="1647"/>
      <c r="M2015" s="1648">
        <v>0</v>
      </c>
      <c r="N2015" s="1649">
        <v>1.6065549400147379</v>
      </c>
      <c r="O2015" s="1649"/>
    </row>
    <row r="2016" spans="11:15">
      <c r="K2016" s="1646">
        <v>44073</v>
      </c>
      <c r="L2016" s="1647"/>
      <c r="M2016" s="1648">
        <v>0</v>
      </c>
      <c r="N2016" s="1649">
        <v>1.6065549400147379</v>
      </c>
      <c r="O2016" s="1649"/>
    </row>
    <row r="2017" spans="11:15">
      <c r="K2017" s="1646">
        <v>44074</v>
      </c>
      <c r="L2017" s="1647" t="s">
        <v>1653</v>
      </c>
      <c r="M2017" s="1648">
        <v>7.4689999999999999E-3</v>
      </c>
      <c r="N2017" s="1649">
        <v>1.6066749336032076</v>
      </c>
      <c r="O2017" s="1649"/>
    </row>
    <row r="2018" spans="11:15">
      <c r="K2018" s="1646">
        <v>44075</v>
      </c>
      <c r="L2018" s="1647" t="s">
        <v>1653</v>
      </c>
      <c r="M2018" s="1648">
        <v>7.4689999999999999E-3</v>
      </c>
      <c r="N2018" s="1649">
        <v>1.6067949361539984</v>
      </c>
      <c r="O2018" s="1649"/>
    </row>
    <row r="2019" spans="11:15">
      <c r="K2019" s="1646">
        <v>44076</v>
      </c>
      <c r="L2019" s="1647" t="s">
        <v>1653</v>
      </c>
      <c r="M2019" s="1648">
        <v>7.4689999999999999E-3</v>
      </c>
      <c r="N2019" s="1649">
        <v>1.6069149476677795</v>
      </c>
      <c r="O2019" s="1649"/>
    </row>
    <row r="2020" spans="11:15">
      <c r="K2020" s="1646">
        <v>44077</v>
      </c>
      <c r="L2020" s="1647" t="s">
        <v>1653</v>
      </c>
      <c r="M2020" s="1648">
        <v>7.4689999999999999E-3</v>
      </c>
      <c r="N2020" s="1649">
        <v>1.6070349681452207</v>
      </c>
      <c r="O2020" s="1649"/>
    </row>
    <row r="2021" spans="11:15">
      <c r="K2021" s="1646">
        <v>44078</v>
      </c>
      <c r="L2021" s="1647" t="s">
        <v>1653</v>
      </c>
      <c r="M2021" s="1648">
        <v>7.4689999999999999E-3</v>
      </c>
      <c r="N2021" s="1649">
        <v>1.6071549975869914</v>
      </c>
      <c r="O2021" s="1649"/>
    </row>
    <row r="2022" spans="11:15">
      <c r="K2022" s="1646">
        <v>44079</v>
      </c>
      <c r="L2022" s="1647"/>
      <c r="M2022" s="1648">
        <v>0</v>
      </c>
      <c r="N2022" s="1649">
        <v>1.6071549975869914</v>
      </c>
      <c r="O2022" s="1649"/>
    </row>
    <row r="2023" spans="11:15">
      <c r="K2023" s="1646">
        <v>44080</v>
      </c>
      <c r="L2023" s="1647"/>
      <c r="M2023" s="1648">
        <v>0</v>
      </c>
      <c r="N2023" s="1649">
        <v>1.6071549975869914</v>
      </c>
      <c r="O2023" s="1649"/>
    </row>
    <row r="2024" spans="11:15">
      <c r="K2024" s="1646">
        <v>44081</v>
      </c>
      <c r="L2024" s="1647"/>
      <c r="M2024" s="1648">
        <v>0</v>
      </c>
      <c r="N2024" s="1649">
        <v>1.6071549975869914</v>
      </c>
      <c r="O2024" s="1649"/>
    </row>
    <row r="2025" spans="11:15">
      <c r="K2025" s="1646">
        <v>44082</v>
      </c>
      <c r="L2025" s="1647" t="s">
        <v>1653</v>
      </c>
      <c r="M2025" s="1648">
        <v>7.4689999999999999E-3</v>
      </c>
      <c r="N2025" s="1649">
        <v>1.6072750359937611</v>
      </c>
      <c r="O2025" s="1649"/>
    </row>
    <row r="2026" spans="11:15">
      <c r="K2026" s="1646">
        <v>44083</v>
      </c>
      <c r="L2026" s="1647" t="s">
        <v>1653</v>
      </c>
      <c r="M2026" s="1648">
        <v>7.4689999999999999E-3</v>
      </c>
      <c r="N2026" s="1649">
        <v>1.6073950833661994</v>
      </c>
      <c r="O2026" s="1649"/>
    </row>
    <row r="2027" spans="11:15">
      <c r="K2027" s="1646">
        <v>44084</v>
      </c>
      <c r="L2027" s="1647" t="s">
        <v>1653</v>
      </c>
      <c r="M2027" s="1648">
        <v>7.4689999999999999E-3</v>
      </c>
      <c r="N2027" s="1649">
        <v>1.6075151397049758</v>
      </c>
      <c r="O2027" s="1649"/>
    </row>
    <row r="2028" spans="11:15">
      <c r="K2028" s="1646">
        <v>44085</v>
      </c>
      <c r="L2028" s="1647" t="s">
        <v>1653</v>
      </c>
      <c r="M2028" s="1648">
        <v>7.4689999999999999E-3</v>
      </c>
      <c r="N2028" s="1649">
        <v>1.6076352050107603</v>
      </c>
      <c r="O2028" s="1649"/>
    </row>
    <row r="2029" spans="11:15">
      <c r="K2029" s="1646">
        <v>44086</v>
      </c>
      <c r="L2029" s="1647"/>
      <c r="M2029" s="1648">
        <v>0</v>
      </c>
      <c r="N2029" s="1649">
        <v>1.6076352050107603</v>
      </c>
      <c r="O2029" s="1649"/>
    </row>
    <row r="2030" spans="11:15">
      <c r="K2030" s="1646">
        <v>44087</v>
      </c>
      <c r="L2030" s="1647"/>
      <c r="M2030" s="1648">
        <v>0</v>
      </c>
      <c r="N2030" s="1649">
        <v>1.6076352050107603</v>
      </c>
      <c r="O2030" s="1649"/>
    </row>
    <row r="2031" spans="11:15">
      <c r="K2031" s="1646">
        <v>44088</v>
      </c>
      <c r="L2031" s="1647" t="s">
        <v>1653</v>
      </c>
      <c r="M2031" s="1648">
        <v>7.4689999999999999E-3</v>
      </c>
      <c r="N2031" s="1649">
        <v>1.6077552792842225</v>
      </c>
      <c r="O2031" s="1649"/>
    </row>
    <row r="2032" spans="11:15">
      <c r="K2032" s="1646">
        <v>44089</v>
      </c>
      <c r="L2032" s="1647" t="s">
        <v>1653</v>
      </c>
      <c r="M2032" s="1648">
        <v>7.4689999999999999E-3</v>
      </c>
      <c r="N2032" s="1649">
        <v>1.607875362526032</v>
      </c>
      <c r="O2032" s="1649"/>
    </row>
    <row r="2033" spans="11:15">
      <c r="K2033" s="1646">
        <v>44090</v>
      </c>
      <c r="L2033" s="1647" t="s">
        <v>1653</v>
      </c>
      <c r="M2033" s="1648">
        <v>7.4689999999999999E-3</v>
      </c>
      <c r="N2033" s="1649">
        <v>1.6079954547368589</v>
      </c>
      <c r="O2033" s="1649"/>
    </row>
    <row r="2034" spans="11:15">
      <c r="K2034" s="1646">
        <v>44091</v>
      </c>
      <c r="L2034" s="1647" t="s">
        <v>1653</v>
      </c>
      <c r="M2034" s="1648">
        <v>7.4689999999999999E-3</v>
      </c>
      <c r="N2034" s="1649">
        <v>1.608115555917373</v>
      </c>
      <c r="O2034" s="1649"/>
    </row>
    <row r="2035" spans="11:15">
      <c r="K2035" s="1646">
        <v>44092</v>
      </c>
      <c r="L2035" s="1647" t="s">
        <v>1653</v>
      </c>
      <c r="M2035" s="1648">
        <v>7.4689999999999999E-3</v>
      </c>
      <c r="N2035" s="1649">
        <v>1.6082356660682444</v>
      </c>
      <c r="O2035" s="1649"/>
    </row>
    <row r="2036" spans="11:15">
      <c r="K2036" s="1646">
        <v>44093</v>
      </c>
      <c r="L2036" s="1647"/>
      <c r="M2036" s="1648">
        <v>0</v>
      </c>
      <c r="N2036" s="1649">
        <v>1.6082356660682444</v>
      </c>
      <c r="O2036" s="1649"/>
    </row>
    <row r="2037" spans="11:15">
      <c r="K2037" s="1646">
        <v>44094</v>
      </c>
      <c r="L2037" s="1647"/>
      <c r="M2037" s="1648">
        <v>0</v>
      </c>
      <c r="N2037" s="1649">
        <v>1.6082356660682444</v>
      </c>
      <c r="O2037" s="1649"/>
    </row>
    <row r="2038" spans="11:15">
      <c r="K2038" s="1646">
        <v>44095</v>
      </c>
      <c r="L2038" s="1647" t="s">
        <v>1653</v>
      </c>
      <c r="M2038" s="1648">
        <v>7.4689999999999999E-3</v>
      </c>
      <c r="N2038" s="1649">
        <v>1.6083557851901429</v>
      </c>
      <c r="O2038" s="1649"/>
    </row>
    <row r="2039" spans="11:15">
      <c r="K2039" s="1646">
        <v>44096</v>
      </c>
      <c r="L2039" s="1647" t="s">
        <v>1653</v>
      </c>
      <c r="M2039" s="1648">
        <v>7.4689999999999999E-3</v>
      </c>
      <c r="N2039" s="1649">
        <v>1.6084759132837387</v>
      </c>
      <c r="O2039" s="1649"/>
    </row>
    <row r="2040" spans="11:15">
      <c r="K2040" s="1646">
        <v>44097</v>
      </c>
      <c r="L2040" s="1647" t="s">
        <v>1653</v>
      </c>
      <c r="M2040" s="1648">
        <v>7.4689999999999999E-3</v>
      </c>
      <c r="N2040" s="1649">
        <v>1.6085960503497019</v>
      </c>
      <c r="O2040" s="1649"/>
    </row>
    <row r="2041" spans="11:15">
      <c r="K2041" s="1646">
        <v>44098</v>
      </c>
      <c r="L2041" s="1647" t="s">
        <v>1653</v>
      </c>
      <c r="M2041" s="1648">
        <v>7.4689999999999999E-3</v>
      </c>
      <c r="N2041" s="1649">
        <v>1.6087161963887024</v>
      </c>
      <c r="O2041" s="1649"/>
    </row>
    <row r="2042" spans="11:15">
      <c r="K2042" s="1646">
        <v>44099</v>
      </c>
      <c r="L2042" s="1647" t="s">
        <v>1653</v>
      </c>
      <c r="M2042" s="1648">
        <v>7.4689999999999999E-3</v>
      </c>
      <c r="N2042" s="1649">
        <v>1.6088363514014106</v>
      </c>
      <c r="O2042" s="1649"/>
    </row>
    <row r="2043" spans="11:15">
      <c r="K2043" s="1646">
        <v>44100</v>
      </c>
      <c r="L2043" s="1647"/>
      <c r="M2043" s="1648">
        <v>0</v>
      </c>
      <c r="N2043" s="1649">
        <v>1.6088363514014106</v>
      </c>
      <c r="O2043" s="1649"/>
    </row>
    <row r="2044" spans="11:15">
      <c r="K2044" s="1646">
        <v>44101</v>
      </c>
      <c r="L2044" s="1647"/>
      <c r="M2044" s="1648">
        <v>0</v>
      </c>
      <c r="N2044" s="1649">
        <v>1.6088363514014106</v>
      </c>
      <c r="O2044" s="1649"/>
    </row>
    <row r="2045" spans="11:15">
      <c r="K2045" s="1646">
        <v>44102</v>
      </c>
      <c r="L2045" s="1647" t="s">
        <v>1653</v>
      </c>
      <c r="M2045" s="1648">
        <v>7.4689999999999999E-3</v>
      </c>
      <c r="N2045" s="1649">
        <v>1.6089565153884966</v>
      </c>
      <c r="O2045" s="1649"/>
    </row>
    <row r="2046" spans="11:15">
      <c r="K2046" s="1646">
        <v>44103</v>
      </c>
      <c r="L2046" s="1647" t="s">
        <v>1653</v>
      </c>
      <c r="M2046" s="1648">
        <v>7.4689999999999999E-3</v>
      </c>
      <c r="N2046" s="1649">
        <v>1.6090766883506309</v>
      </c>
      <c r="O2046" s="1649"/>
    </row>
    <row r="2047" spans="11:15">
      <c r="K2047" s="1646">
        <v>44104</v>
      </c>
      <c r="L2047" s="1647" t="s">
        <v>1653</v>
      </c>
      <c r="M2047" s="1648">
        <v>7.4689999999999999E-3</v>
      </c>
      <c r="N2047" s="1649">
        <v>1.6091968702884838</v>
      </c>
      <c r="O2047" s="1649"/>
    </row>
    <row r="2048" spans="11:15">
      <c r="K2048" s="1646">
        <v>44105</v>
      </c>
      <c r="L2048" s="1647" t="s">
        <v>1653</v>
      </c>
      <c r="M2048" s="1648">
        <v>7.4689999999999999E-3</v>
      </c>
      <c r="N2048" s="1649">
        <v>1.6093170612027254</v>
      </c>
      <c r="O2048" s="1649"/>
    </row>
    <row r="2049" spans="11:15">
      <c r="K2049" s="1646">
        <v>44106</v>
      </c>
      <c r="L2049" s="1647" t="s">
        <v>1653</v>
      </c>
      <c r="M2049" s="1648">
        <v>7.4689999999999999E-3</v>
      </c>
      <c r="N2049" s="1649">
        <v>1.6094372610940266</v>
      </c>
      <c r="O2049" s="1649"/>
    </row>
    <row r="2050" spans="11:15">
      <c r="K2050" s="1646">
        <v>44107</v>
      </c>
      <c r="L2050" s="1647"/>
      <c r="M2050" s="1648">
        <v>0</v>
      </c>
      <c r="N2050" s="1649">
        <v>1.6094372610940266</v>
      </c>
      <c r="O2050" s="1649"/>
    </row>
    <row r="2051" spans="11:15">
      <c r="K2051" s="1646">
        <v>44108</v>
      </c>
      <c r="L2051" s="1647"/>
      <c r="M2051" s="1648">
        <v>0</v>
      </c>
      <c r="N2051" s="1649">
        <v>1.6094372610940266</v>
      </c>
      <c r="O2051" s="1649"/>
    </row>
    <row r="2052" spans="11:15">
      <c r="K2052" s="1646">
        <v>44109</v>
      </c>
      <c r="L2052" s="1647" t="s">
        <v>1653</v>
      </c>
      <c r="M2052" s="1648">
        <v>7.4689999999999999E-3</v>
      </c>
      <c r="N2052" s="1649">
        <v>1.6095574699630577</v>
      </c>
      <c r="O2052" s="1649"/>
    </row>
    <row r="2053" spans="11:15">
      <c r="K2053" s="1646">
        <v>44110</v>
      </c>
      <c r="L2053" s="1647" t="s">
        <v>1653</v>
      </c>
      <c r="M2053" s="1648">
        <v>7.4689999999999999E-3</v>
      </c>
      <c r="N2053" s="1649">
        <v>1.609677687810489</v>
      </c>
      <c r="O2053" s="1649"/>
    </row>
    <row r="2054" spans="11:15">
      <c r="K2054" s="1646">
        <v>44111</v>
      </c>
      <c r="L2054" s="1647" t="s">
        <v>1653</v>
      </c>
      <c r="M2054" s="1648">
        <v>7.4689999999999999E-3</v>
      </c>
      <c r="N2054" s="1649">
        <v>1.6097979146369914</v>
      </c>
      <c r="O2054" s="1649"/>
    </row>
    <row r="2055" spans="11:15">
      <c r="K2055" s="1646">
        <v>44112</v>
      </c>
      <c r="L2055" s="1647" t="s">
        <v>1653</v>
      </c>
      <c r="M2055" s="1648">
        <v>7.4689999999999999E-3</v>
      </c>
      <c r="N2055" s="1649">
        <v>1.6099181504432356</v>
      </c>
      <c r="O2055" s="1649"/>
    </row>
    <row r="2056" spans="11:15">
      <c r="K2056" s="1646">
        <v>44113</v>
      </c>
      <c r="L2056" s="1647" t="s">
        <v>1653</v>
      </c>
      <c r="M2056" s="1648">
        <v>7.4689999999999999E-3</v>
      </c>
      <c r="N2056" s="1649">
        <v>1.610038395229892</v>
      </c>
      <c r="O2056" s="1649"/>
    </row>
    <row r="2057" spans="11:15">
      <c r="K2057" s="1646">
        <v>44114</v>
      </c>
      <c r="L2057" s="1647"/>
      <c r="M2057" s="1648">
        <v>0</v>
      </c>
      <c r="N2057" s="1649">
        <v>1.610038395229892</v>
      </c>
      <c r="O2057" s="1649"/>
    </row>
    <row r="2058" spans="11:15">
      <c r="K2058" s="1646">
        <v>44115</v>
      </c>
      <c r="L2058" s="1647"/>
      <c r="M2058" s="1648">
        <v>0</v>
      </c>
      <c r="N2058" s="1649">
        <v>1.610038395229892</v>
      </c>
      <c r="O2058" s="1649"/>
    </row>
    <row r="2059" spans="11:15">
      <c r="K2059" s="1646">
        <v>44116</v>
      </c>
      <c r="L2059" s="1647"/>
      <c r="M2059" s="1648">
        <v>0</v>
      </c>
      <c r="N2059" s="1649">
        <v>1.610038395229892</v>
      </c>
      <c r="O2059" s="1649"/>
    </row>
    <row r="2060" spans="11:15">
      <c r="K2060" s="1646">
        <v>44117</v>
      </c>
      <c r="L2060" s="1647" t="s">
        <v>1653</v>
      </c>
      <c r="M2060" s="1648">
        <v>7.4689999999999999E-3</v>
      </c>
      <c r="N2060" s="1649">
        <v>1.6101586489976316</v>
      </c>
      <c r="O2060" s="1649"/>
    </row>
    <row r="2061" spans="11:15">
      <c r="K2061" s="1646">
        <v>44118</v>
      </c>
      <c r="L2061" s="1647" t="s">
        <v>1653</v>
      </c>
      <c r="M2061" s="1648">
        <v>7.4689999999999999E-3</v>
      </c>
      <c r="N2061" s="1649">
        <v>1.6102789117471252</v>
      </c>
      <c r="O2061" s="1649"/>
    </row>
    <row r="2062" spans="11:15">
      <c r="K2062" s="1646">
        <v>44119</v>
      </c>
      <c r="L2062" s="1647" t="s">
        <v>1653</v>
      </c>
      <c r="M2062" s="1648">
        <v>7.4689999999999999E-3</v>
      </c>
      <c r="N2062" s="1649">
        <v>1.6103991834790434</v>
      </c>
      <c r="O2062" s="1649"/>
    </row>
    <row r="2063" spans="11:15">
      <c r="K2063" s="1646">
        <v>44120</v>
      </c>
      <c r="L2063" s="1647" t="s">
        <v>1653</v>
      </c>
      <c r="M2063" s="1648">
        <v>7.4689999999999999E-3</v>
      </c>
      <c r="N2063" s="1649">
        <v>1.6105194641940574</v>
      </c>
      <c r="O2063" s="1649"/>
    </row>
    <row r="2064" spans="11:15">
      <c r="K2064" s="1646">
        <v>44121</v>
      </c>
      <c r="L2064" s="1647"/>
      <c r="M2064" s="1648">
        <v>0</v>
      </c>
      <c r="N2064" s="1649">
        <v>1.6105194641940574</v>
      </c>
      <c r="O2064" s="1649"/>
    </row>
    <row r="2065" spans="11:15">
      <c r="K2065" s="1646">
        <v>44122</v>
      </c>
      <c r="L2065" s="1647"/>
      <c r="M2065" s="1648">
        <v>0</v>
      </c>
      <c r="N2065" s="1649">
        <v>1.6105194641940574</v>
      </c>
      <c r="O2065" s="1649"/>
    </row>
    <row r="2066" spans="11:15">
      <c r="K2066" s="1646">
        <v>44123</v>
      </c>
      <c r="L2066" s="1647" t="s">
        <v>1653</v>
      </c>
      <c r="M2066" s="1648">
        <v>7.4689999999999999E-3</v>
      </c>
      <c r="N2066" s="1649">
        <v>1.6106397538928381</v>
      </c>
      <c r="O2066" s="1649"/>
    </row>
    <row r="2067" spans="11:15">
      <c r="K2067" s="1646">
        <v>44124</v>
      </c>
      <c r="L2067" s="1647" t="s">
        <v>1653</v>
      </c>
      <c r="M2067" s="1648">
        <v>7.4689999999999999E-3</v>
      </c>
      <c r="N2067" s="1649">
        <v>1.6107600525760561</v>
      </c>
      <c r="O2067" s="1649"/>
    </row>
    <row r="2068" spans="11:15">
      <c r="K2068" s="1646">
        <v>44125</v>
      </c>
      <c r="L2068" s="1647" t="s">
        <v>1653</v>
      </c>
      <c r="M2068" s="1648">
        <v>7.4689999999999999E-3</v>
      </c>
      <c r="N2068" s="1649">
        <v>1.6108803602443829</v>
      </c>
      <c r="O2068" s="1649"/>
    </row>
    <row r="2069" spans="11:15">
      <c r="K2069" s="1646">
        <v>44126</v>
      </c>
      <c r="L2069" s="1647" t="s">
        <v>1653</v>
      </c>
      <c r="M2069" s="1648">
        <v>7.4689999999999999E-3</v>
      </c>
      <c r="N2069" s="1649">
        <v>1.6110006768984895</v>
      </c>
      <c r="O2069" s="1649"/>
    </row>
    <row r="2070" spans="11:15">
      <c r="K2070" s="1646">
        <v>44127</v>
      </c>
      <c r="L2070" s="1647" t="s">
        <v>1653</v>
      </c>
      <c r="M2070" s="1648">
        <v>7.4689999999999999E-3</v>
      </c>
      <c r="N2070" s="1649">
        <v>1.611121002539047</v>
      </c>
      <c r="O2070" s="1649"/>
    </row>
    <row r="2071" spans="11:15">
      <c r="K2071" s="1646">
        <v>44128</v>
      </c>
      <c r="L2071" s="1647"/>
      <c r="M2071" s="1648">
        <v>0</v>
      </c>
      <c r="N2071" s="1649">
        <v>1.611121002539047</v>
      </c>
      <c r="O2071" s="1649"/>
    </row>
    <row r="2072" spans="11:15">
      <c r="K2072" s="1646">
        <v>44129</v>
      </c>
      <c r="L2072" s="1647"/>
      <c r="M2072" s="1648">
        <v>0</v>
      </c>
      <c r="N2072" s="1649">
        <v>1.611121002539047</v>
      </c>
      <c r="O2072" s="1649"/>
    </row>
    <row r="2073" spans="11:15">
      <c r="K2073" s="1646">
        <v>44130</v>
      </c>
      <c r="L2073" s="1647" t="s">
        <v>1653</v>
      </c>
      <c r="M2073" s="1648">
        <v>7.4689999999999999E-3</v>
      </c>
      <c r="N2073" s="1649">
        <v>1.6112413371667265</v>
      </c>
      <c r="O2073" s="1649"/>
    </row>
    <row r="2074" spans="11:15">
      <c r="K2074" s="1646">
        <v>44131</v>
      </c>
      <c r="L2074" s="1647" t="s">
        <v>1653</v>
      </c>
      <c r="M2074" s="1648">
        <v>7.4689999999999999E-3</v>
      </c>
      <c r="N2074" s="1649">
        <v>1.6113616807821993</v>
      </c>
      <c r="O2074" s="1649"/>
    </row>
    <row r="2075" spans="11:15">
      <c r="K2075" s="1646">
        <v>44132</v>
      </c>
      <c r="L2075" s="1647" t="s">
        <v>1653</v>
      </c>
      <c r="M2075" s="1648">
        <v>7.4689999999999999E-3</v>
      </c>
      <c r="N2075" s="1649">
        <v>1.6114820333861368</v>
      </c>
      <c r="O2075" s="1649"/>
    </row>
    <row r="2076" spans="11:15">
      <c r="K2076" s="1646">
        <v>44133</v>
      </c>
      <c r="L2076" s="1647" t="s">
        <v>1653</v>
      </c>
      <c r="M2076" s="1648">
        <v>7.4689999999999999E-3</v>
      </c>
      <c r="N2076" s="1649">
        <v>1.6116023949792104</v>
      </c>
      <c r="O2076" s="1649"/>
    </row>
    <row r="2077" spans="11:15">
      <c r="K2077" s="1646">
        <v>44134</v>
      </c>
      <c r="L2077" s="1647" t="s">
        <v>1653</v>
      </c>
      <c r="M2077" s="1648">
        <v>7.4689999999999999E-3</v>
      </c>
      <c r="N2077" s="1649">
        <v>1.6117227655620914</v>
      </c>
      <c r="O2077" s="1649"/>
    </row>
    <row r="2078" spans="11:15">
      <c r="K2078" s="1646">
        <v>44135</v>
      </c>
      <c r="L2078" s="1647"/>
      <c r="M2078" s="1648">
        <v>0</v>
      </c>
      <c r="N2078" s="1649">
        <v>1.6117227655620914</v>
      </c>
      <c r="O2078" s="1649"/>
    </row>
    <row r="2079" spans="11:15">
      <c r="K2079" s="1646">
        <v>44136</v>
      </c>
      <c r="L2079" s="1647"/>
      <c r="M2079" s="1648">
        <v>0</v>
      </c>
      <c r="N2079" s="1649">
        <v>1.6117227655620914</v>
      </c>
      <c r="O2079" s="1649"/>
    </row>
    <row r="2080" spans="11:15">
      <c r="K2080" s="1646">
        <v>44137</v>
      </c>
      <c r="L2080" s="1647"/>
      <c r="M2080" s="1648">
        <v>0</v>
      </c>
      <c r="N2080" s="1649">
        <v>1.6117227655620914</v>
      </c>
      <c r="O2080" s="1649"/>
    </row>
    <row r="2081" spans="11:15">
      <c r="K2081" s="1646">
        <v>44138</v>
      </c>
      <c r="L2081" s="1647" t="s">
        <v>1653</v>
      </c>
      <c r="M2081" s="1648">
        <v>7.4689999999999999E-3</v>
      </c>
      <c r="N2081" s="1649">
        <v>1.6118431451354511</v>
      </c>
      <c r="O2081" s="1649"/>
    </row>
    <row r="2082" spans="11:15">
      <c r="K2082" s="1646">
        <v>44139</v>
      </c>
      <c r="L2082" s="1647" t="s">
        <v>1653</v>
      </c>
      <c r="M2082" s="1648">
        <v>7.4689999999999999E-3</v>
      </c>
      <c r="N2082" s="1649">
        <v>1.6119635336999611</v>
      </c>
      <c r="O2082" s="1649"/>
    </row>
    <row r="2083" spans="11:15">
      <c r="K2083" s="1646">
        <v>44140</v>
      </c>
      <c r="L2083" s="1647" t="s">
        <v>1653</v>
      </c>
      <c r="M2083" s="1648">
        <v>7.4689999999999999E-3</v>
      </c>
      <c r="N2083" s="1649">
        <v>1.6120839312562931</v>
      </c>
      <c r="O2083" s="1649"/>
    </row>
    <row r="2084" spans="11:15">
      <c r="K2084" s="1646">
        <v>44141</v>
      </c>
      <c r="L2084" s="1647" t="s">
        <v>1653</v>
      </c>
      <c r="M2084" s="1648">
        <v>7.4689999999999999E-3</v>
      </c>
      <c r="N2084" s="1649">
        <v>1.6122043378051185</v>
      </c>
      <c r="O2084" s="1649"/>
    </row>
    <row r="2085" spans="11:15">
      <c r="K2085" s="1646">
        <v>44142</v>
      </c>
      <c r="L2085" s="1647"/>
      <c r="M2085" s="1648">
        <v>0</v>
      </c>
      <c r="N2085" s="1649">
        <v>1.6122043378051185</v>
      </c>
      <c r="O2085" s="1649"/>
    </row>
    <row r="2086" spans="11:15">
      <c r="K2086" s="1646">
        <v>44143</v>
      </c>
      <c r="L2086" s="1647"/>
      <c r="M2086" s="1648">
        <v>0</v>
      </c>
      <c r="N2086" s="1649">
        <v>1.6122043378051185</v>
      </c>
      <c r="O2086" s="1649"/>
    </row>
    <row r="2087" spans="11:15">
      <c r="K2087" s="1646">
        <v>44144</v>
      </c>
      <c r="L2087" s="1647" t="s">
        <v>1653</v>
      </c>
      <c r="M2087" s="1648">
        <v>7.4689999999999999E-3</v>
      </c>
      <c r="N2087" s="1649">
        <v>1.612324753347109</v>
      </c>
      <c r="O2087" s="1649"/>
    </row>
    <row r="2088" spans="11:15">
      <c r="K2088" s="1646">
        <v>44145</v>
      </c>
      <c r="L2088" s="1647" t="s">
        <v>1653</v>
      </c>
      <c r="M2088" s="1648">
        <v>7.4689999999999999E-3</v>
      </c>
      <c r="N2088" s="1649">
        <v>1.6124451778829363</v>
      </c>
      <c r="O2088" s="1649"/>
    </row>
    <row r="2089" spans="11:15">
      <c r="K2089" s="1646">
        <v>44146</v>
      </c>
      <c r="L2089" s="1647" t="s">
        <v>1653</v>
      </c>
      <c r="M2089" s="1648">
        <v>7.4689999999999999E-3</v>
      </c>
      <c r="N2089" s="1649">
        <v>1.6125656114132723</v>
      </c>
      <c r="O2089" s="1649"/>
    </row>
    <row r="2090" spans="11:15">
      <c r="K2090" s="1646">
        <v>44147</v>
      </c>
      <c r="L2090" s="1647" t="s">
        <v>1653</v>
      </c>
      <c r="M2090" s="1648">
        <v>7.4689999999999999E-3</v>
      </c>
      <c r="N2090" s="1649">
        <v>1.6126860539387886</v>
      </c>
      <c r="O2090" s="1649"/>
    </row>
    <row r="2091" spans="11:15">
      <c r="K2091" s="1646">
        <v>44148</v>
      </c>
      <c r="L2091" s="1647" t="s">
        <v>1653</v>
      </c>
      <c r="M2091" s="1648">
        <v>7.4689999999999999E-3</v>
      </c>
      <c r="N2091" s="1649">
        <v>1.6128065054601572</v>
      </c>
      <c r="O2091" s="1649"/>
    </row>
    <row r="2092" spans="11:15">
      <c r="K2092" s="1646">
        <v>44149</v>
      </c>
      <c r="L2092" s="1647"/>
      <c r="M2092" s="1648">
        <v>0</v>
      </c>
      <c r="N2092" s="1649">
        <v>1.6128065054601572</v>
      </c>
      <c r="O2092" s="1649"/>
    </row>
    <row r="2093" spans="11:15">
      <c r="K2093" s="1646">
        <v>44150</v>
      </c>
      <c r="L2093" s="1647"/>
      <c r="M2093" s="1648">
        <v>0</v>
      </c>
      <c r="N2093" s="1649">
        <v>1.6128065054601572</v>
      </c>
      <c r="O2093" s="1649"/>
    </row>
    <row r="2094" spans="11:15">
      <c r="K2094" s="1646">
        <v>44151</v>
      </c>
      <c r="L2094" s="1647" t="s">
        <v>1653</v>
      </c>
      <c r="M2094" s="1648">
        <v>7.4689999999999999E-3</v>
      </c>
      <c r="N2094" s="1649">
        <v>1.6129269659780499</v>
      </c>
      <c r="O2094" s="1649"/>
    </row>
    <row r="2095" spans="11:15">
      <c r="K2095" s="1646">
        <v>44152</v>
      </c>
      <c r="L2095" s="1647" t="s">
        <v>1653</v>
      </c>
      <c r="M2095" s="1648">
        <v>7.4689999999999999E-3</v>
      </c>
      <c r="N2095" s="1649">
        <v>1.6130474354931386</v>
      </c>
      <c r="O2095" s="1649"/>
    </row>
    <row r="2096" spans="11:15">
      <c r="K2096" s="1646">
        <v>44153</v>
      </c>
      <c r="L2096" s="1647" t="s">
        <v>1653</v>
      </c>
      <c r="M2096" s="1648">
        <v>7.4689999999999999E-3</v>
      </c>
      <c r="N2096" s="1649">
        <v>1.6131679140060955</v>
      </c>
      <c r="O2096" s="1649"/>
    </row>
    <row r="2097" spans="11:15">
      <c r="K2097" s="1646">
        <v>44154</v>
      </c>
      <c r="L2097" s="1647" t="s">
        <v>1653</v>
      </c>
      <c r="M2097" s="1648">
        <v>7.4689999999999999E-3</v>
      </c>
      <c r="N2097" s="1649">
        <v>1.6132884015175926</v>
      </c>
      <c r="O2097" s="1649"/>
    </row>
    <row r="2098" spans="11:15">
      <c r="K2098" s="1646">
        <v>44155</v>
      </c>
      <c r="L2098" s="1647" t="s">
        <v>1653</v>
      </c>
      <c r="M2098" s="1648">
        <v>7.4689999999999999E-3</v>
      </c>
      <c r="N2098" s="1649">
        <v>1.6134088980283019</v>
      </c>
      <c r="O2098" s="1649"/>
    </row>
    <row r="2099" spans="11:15">
      <c r="K2099" s="1646">
        <v>44156</v>
      </c>
      <c r="L2099" s="1647"/>
      <c r="M2099" s="1648">
        <v>0</v>
      </c>
      <c r="N2099" s="1649">
        <v>1.6134088980283019</v>
      </c>
      <c r="O2099" s="1649"/>
    </row>
    <row r="2100" spans="11:15">
      <c r="K2100" s="1646">
        <v>44157</v>
      </c>
      <c r="L2100" s="1647"/>
      <c r="M2100" s="1648">
        <v>0</v>
      </c>
      <c r="N2100" s="1649">
        <v>1.6134088980283019</v>
      </c>
      <c r="O2100" s="1649"/>
    </row>
    <row r="2101" spans="11:15">
      <c r="K2101" s="1646">
        <v>44158</v>
      </c>
      <c r="L2101" s="1647" t="s">
        <v>1653</v>
      </c>
      <c r="M2101" s="1648">
        <v>7.4689999999999999E-3</v>
      </c>
      <c r="N2101" s="1649">
        <v>1.6135294035388956</v>
      </c>
      <c r="O2101" s="1649"/>
    </row>
    <row r="2102" spans="11:15">
      <c r="K2102" s="1646">
        <v>44159</v>
      </c>
      <c r="L2102" s="1647" t="s">
        <v>1653</v>
      </c>
      <c r="M2102" s="1648">
        <v>7.4689999999999999E-3</v>
      </c>
      <c r="N2102" s="1649">
        <v>1.6136499180500459</v>
      </c>
      <c r="O2102" s="1649"/>
    </row>
    <row r="2103" spans="11:15">
      <c r="K2103" s="1646">
        <v>44160</v>
      </c>
      <c r="L2103" s="1647" t="s">
        <v>1653</v>
      </c>
      <c r="M2103" s="1648">
        <v>7.4689999999999999E-3</v>
      </c>
      <c r="N2103" s="1649">
        <v>1.613770441562425</v>
      </c>
      <c r="O2103" s="1649"/>
    </row>
    <row r="2104" spans="11:15">
      <c r="K2104" s="1646">
        <v>44161</v>
      </c>
      <c r="L2104" s="1647" t="s">
        <v>1653</v>
      </c>
      <c r="M2104" s="1648">
        <v>7.4689999999999999E-3</v>
      </c>
      <c r="N2104" s="1649">
        <v>1.6138909740767051</v>
      </c>
      <c r="O2104" s="1649"/>
    </row>
    <row r="2105" spans="11:15">
      <c r="K2105" s="1646">
        <v>44162</v>
      </c>
      <c r="L2105" s="1647" t="s">
        <v>1653</v>
      </c>
      <c r="M2105" s="1648">
        <v>7.4689999999999999E-3</v>
      </c>
      <c r="N2105" s="1649">
        <v>1.6140115155935588</v>
      </c>
      <c r="O2105" s="1649"/>
    </row>
    <row r="2106" spans="11:15">
      <c r="K2106" s="1646">
        <v>44163</v>
      </c>
      <c r="L2106" s="1647"/>
      <c r="M2106" s="1648">
        <v>0</v>
      </c>
      <c r="N2106" s="1649">
        <v>1.6140115155935588</v>
      </c>
      <c r="O2106" s="1649"/>
    </row>
    <row r="2107" spans="11:15">
      <c r="K2107" s="1646">
        <v>44164</v>
      </c>
      <c r="L2107" s="1647"/>
      <c r="M2107" s="1648">
        <v>0</v>
      </c>
      <c r="N2107" s="1649">
        <v>1.6140115155935588</v>
      </c>
      <c r="O2107" s="1649"/>
    </row>
    <row r="2108" spans="11:15">
      <c r="K2108" s="1646">
        <v>44165</v>
      </c>
      <c r="L2108" s="1647" t="s">
        <v>1653</v>
      </c>
      <c r="M2108" s="1648">
        <v>7.4689999999999999E-3</v>
      </c>
      <c r="N2108" s="1649">
        <v>1.6141320661136584</v>
      </c>
      <c r="O2108" s="1649"/>
    </row>
    <row r="2109" spans="11:15">
      <c r="K2109" s="1646">
        <v>44166</v>
      </c>
      <c r="L2109" s="1647" t="s">
        <v>1653</v>
      </c>
      <c r="M2109" s="1648">
        <v>7.4689999999999999E-3</v>
      </c>
      <c r="N2109" s="1649">
        <v>1.6142526256376764</v>
      </c>
      <c r="O2109" s="1649"/>
    </row>
    <row r="2110" spans="11:15">
      <c r="K2110" s="1646">
        <v>44167</v>
      </c>
      <c r="L2110" s="1647" t="s">
        <v>1653</v>
      </c>
      <c r="M2110" s="1648">
        <v>7.4689999999999999E-3</v>
      </c>
      <c r="N2110" s="1649">
        <v>1.6143731941662851</v>
      </c>
      <c r="O2110" s="1649"/>
    </row>
    <row r="2111" spans="11:15">
      <c r="K2111" s="1646">
        <v>44168</v>
      </c>
      <c r="L2111" s="1647" t="s">
        <v>1653</v>
      </c>
      <c r="M2111" s="1648">
        <v>7.4689999999999999E-3</v>
      </c>
      <c r="N2111" s="1649">
        <v>1.6144937717001573</v>
      </c>
      <c r="O2111" s="1649"/>
    </row>
    <row r="2112" spans="11:15">
      <c r="K2112" s="1646">
        <v>44169</v>
      </c>
      <c r="L2112" s="1647" t="s">
        <v>1653</v>
      </c>
      <c r="M2112" s="1648">
        <v>7.4689999999999999E-3</v>
      </c>
      <c r="N2112" s="1649">
        <v>1.6146143582399655</v>
      </c>
      <c r="O2112" s="1649"/>
    </row>
    <row r="2113" spans="11:15">
      <c r="K2113" s="1646">
        <v>44170</v>
      </c>
      <c r="L2113" s="1647"/>
      <c r="M2113" s="1648">
        <v>0</v>
      </c>
      <c r="N2113" s="1649">
        <v>1.6146143582399655</v>
      </c>
      <c r="O2113" s="1649"/>
    </row>
    <row r="2114" spans="11:15">
      <c r="K2114" s="1646">
        <v>44171</v>
      </c>
      <c r="L2114" s="1647"/>
      <c r="M2114" s="1648">
        <v>0</v>
      </c>
      <c r="N2114" s="1649">
        <v>1.6146143582399655</v>
      </c>
      <c r="O2114" s="1649"/>
    </row>
    <row r="2115" spans="11:15">
      <c r="K2115" s="1646">
        <v>44172</v>
      </c>
      <c r="L2115" s="1647" t="s">
        <v>1653</v>
      </c>
      <c r="M2115" s="1648">
        <v>7.4689999999999999E-3</v>
      </c>
      <c r="N2115" s="1649">
        <v>1.6147349537863822</v>
      </c>
      <c r="O2115" s="1649"/>
    </row>
    <row r="2116" spans="11:15">
      <c r="K2116" s="1646">
        <v>44173</v>
      </c>
      <c r="L2116" s="1647" t="s">
        <v>1653</v>
      </c>
      <c r="M2116" s="1648">
        <v>7.4689999999999999E-3</v>
      </c>
      <c r="N2116" s="1649">
        <v>1.6148555583400803</v>
      </c>
      <c r="O2116" s="1649"/>
    </row>
    <row r="2117" spans="11:15">
      <c r="K2117" s="1646">
        <v>44174</v>
      </c>
      <c r="L2117" s="1647" t="s">
        <v>1653</v>
      </c>
      <c r="M2117" s="1648">
        <v>7.4689999999999999E-3</v>
      </c>
      <c r="N2117" s="1649">
        <v>1.6149761719017326</v>
      </c>
      <c r="O2117" s="1649"/>
    </row>
    <row r="2118" spans="11:15">
      <c r="K2118" s="1646">
        <v>44175</v>
      </c>
      <c r="L2118" s="1647" t="s">
        <v>1653</v>
      </c>
      <c r="M2118" s="1648">
        <v>7.4689999999999999E-3</v>
      </c>
      <c r="N2118" s="1649">
        <v>1.6150967944720118</v>
      </c>
      <c r="O2118" s="1649"/>
    </row>
    <row r="2119" spans="11:15">
      <c r="K2119" s="1646">
        <v>44176</v>
      </c>
      <c r="L2119" s="1647" t="s">
        <v>1653</v>
      </c>
      <c r="M2119" s="1648">
        <v>7.4689999999999999E-3</v>
      </c>
      <c r="N2119" s="1649">
        <v>1.6152174260515908</v>
      </c>
      <c r="O2119" s="1649"/>
    </row>
    <row r="2120" spans="11:15">
      <c r="K2120" s="1646">
        <v>44177</v>
      </c>
      <c r="L2120" s="1647"/>
      <c r="M2120" s="1648">
        <v>0</v>
      </c>
      <c r="N2120" s="1649">
        <v>1.6152174260515908</v>
      </c>
      <c r="O2120" s="1649"/>
    </row>
    <row r="2121" spans="11:15">
      <c r="K2121" s="1646">
        <v>44178</v>
      </c>
      <c r="L2121" s="1647"/>
      <c r="M2121" s="1648">
        <v>0</v>
      </c>
      <c r="N2121" s="1649">
        <v>1.6152174260515908</v>
      </c>
      <c r="O2121" s="1649"/>
    </row>
    <row r="2122" spans="11:15">
      <c r="K2122" s="1646">
        <v>44179</v>
      </c>
      <c r="L2122" s="1647" t="s">
        <v>1653</v>
      </c>
      <c r="M2122" s="1648">
        <v>7.4689999999999999E-3</v>
      </c>
      <c r="N2122" s="1649">
        <v>1.6153380666411425</v>
      </c>
      <c r="O2122" s="1649"/>
    </row>
    <row r="2123" spans="11:15">
      <c r="K2123" s="1646">
        <v>44180</v>
      </c>
      <c r="L2123" s="1647" t="s">
        <v>1653</v>
      </c>
      <c r="M2123" s="1648">
        <v>7.4689999999999999E-3</v>
      </c>
      <c r="N2123" s="1649">
        <v>1.6154587162413399</v>
      </c>
      <c r="O2123" s="1649"/>
    </row>
    <row r="2124" spans="11:15">
      <c r="K2124" s="1646">
        <v>44181</v>
      </c>
      <c r="L2124" s="1647" t="s">
        <v>1653</v>
      </c>
      <c r="M2124" s="1648">
        <v>7.4689999999999999E-3</v>
      </c>
      <c r="N2124" s="1649">
        <v>1.6155793748528557</v>
      </c>
      <c r="O2124" s="1649"/>
    </row>
    <row r="2125" spans="11:15">
      <c r="K2125" s="1646">
        <v>44182</v>
      </c>
      <c r="L2125" s="1647" t="s">
        <v>1653</v>
      </c>
      <c r="M2125" s="1648">
        <v>7.4689999999999999E-3</v>
      </c>
      <c r="N2125" s="1649">
        <v>1.6157000424763635</v>
      </c>
      <c r="O2125" s="1649"/>
    </row>
    <row r="2126" spans="11:15">
      <c r="K2126" s="1646">
        <v>44183</v>
      </c>
      <c r="L2126" s="1647" t="s">
        <v>1653</v>
      </c>
      <c r="M2126" s="1648">
        <v>7.4689999999999999E-3</v>
      </c>
      <c r="N2126" s="1649">
        <v>1.615820719112536</v>
      </c>
      <c r="O2126" s="1649"/>
    </row>
    <row r="2127" spans="11:15">
      <c r="K2127" s="1646">
        <v>44184</v>
      </c>
      <c r="L2127" s="1647"/>
      <c r="M2127" s="1648">
        <v>0</v>
      </c>
      <c r="N2127" s="1649">
        <v>1.615820719112536</v>
      </c>
      <c r="O2127" s="1649"/>
    </row>
    <row r="2128" spans="11:15">
      <c r="K2128" s="1646">
        <v>44185</v>
      </c>
      <c r="L2128" s="1647"/>
      <c r="M2128" s="1648">
        <v>0</v>
      </c>
      <c r="N2128" s="1649">
        <v>1.615820719112536</v>
      </c>
      <c r="O2128" s="1649"/>
    </row>
    <row r="2129" spans="11:15">
      <c r="K2129" s="1646">
        <v>44186</v>
      </c>
      <c r="L2129" s="1647" t="s">
        <v>1653</v>
      </c>
      <c r="M2129" s="1648">
        <v>7.4689999999999999E-3</v>
      </c>
      <c r="N2129" s="1649">
        <v>1.6159414047620464</v>
      </c>
      <c r="O2129" s="1649"/>
    </row>
    <row r="2130" spans="11:15">
      <c r="K2130" s="1646">
        <v>44187</v>
      </c>
      <c r="L2130" s="1647" t="s">
        <v>1653</v>
      </c>
      <c r="M2130" s="1648">
        <v>7.4689999999999999E-3</v>
      </c>
      <c r="N2130" s="1649">
        <v>1.6160620994255679</v>
      </c>
      <c r="O2130" s="1649"/>
    </row>
    <row r="2131" spans="11:15">
      <c r="K2131" s="1646">
        <v>44188</v>
      </c>
      <c r="L2131" s="1647" t="s">
        <v>1653</v>
      </c>
      <c r="M2131" s="1648">
        <v>7.4689999999999999E-3</v>
      </c>
      <c r="N2131" s="1649">
        <v>1.6161828031037739</v>
      </c>
      <c r="O2131" s="1649"/>
    </row>
    <row r="2132" spans="11:15">
      <c r="K2132" s="1646">
        <v>44189</v>
      </c>
      <c r="L2132" s="1647" t="s">
        <v>1653</v>
      </c>
      <c r="M2132" s="1648">
        <v>7.4689999999999999E-3</v>
      </c>
      <c r="N2132" s="1649">
        <v>1.6163035157973376</v>
      </c>
      <c r="O2132" s="1649"/>
    </row>
    <row r="2133" spans="11:15">
      <c r="K2133" s="1646">
        <v>44190</v>
      </c>
      <c r="L2133" s="1647"/>
      <c r="M2133" s="1648">
        <v>0</v>
      </c>
      <c r="N2133" s="1649">
        <v>1.6163035157973376</v>
      </c>
      <c r="O2133" s="1649"/>
    </row>
    <row r="2134" spans="11:15">
      <c r="K2134" s="1646">
        <v>44191</v>
      </c>
      <c r="L2134" s="1647"/>
      <c r="M2134" s="1648">
        <v>0</v>
      </c>
      <c r="N2134" s="1649">
        <v>1.6163035157973376</v>
      </c>
      <c r="O2134" s="1649"/>
    </row>
    <row r="2135" spans="11:15">
      <c r="K2135" s="1646">
        <v>44192</v>
      </c>
      <c r="L2135" s="1647"/>
      <c r="M2135" s="1648">
        <v>0</v>
      </c>
      <c r="N2135" s="1649">
        <v>1.6163035157973376</v>
      </c>
      <c r="O2135" s="1649"/>
    </row>
    <row r="2136" spans="11:15">
      <c r="K2136" s="1646">
        <v>44193</v>
      </c>
      <c r="L2136" s="1647" t="s">
        <v>1653</v>
      </c>
      <c r="M2136" s="1648">
        <v>7.4689999999999999E-3</v>
      </c>
      <c r="N2136" s="1649">
        <v>1.6164242375069324</v>
      </c>
      <c r="O2136" s="1649"/>
    </row>
    <row r="2137" spans="11:15">
      <c r="K2137" s="1646">
        <v>44194</v>
      </c>
      <c r="L2137" s="1647" t="s">
        <v>1653</v>
      </c>
      <c r="M2137" s="1648">
        <v>7.4689999999999999E-3</v>
      </c>
      <c r="N2137" s="1649">
        <v>1.6165449682332318</v>
      </c>
      <c r="O2137" s="1649"/>
    </row>
    <row r="2138" spans="11:15">
      <c r="K2138" s="1646">
        <v>44195</v>
      </c>
      <c r="L2138" s="1647" t="s">
        <v>1653</v>
      </c>
      <c r="M2138" s="1648">
        <v>7.4689999999999999E-3</v>
      </c>
      <c r="N2138" s="1649">
        <v>1.6166657079769091</v>
      </c>
      <c r="O2138" s="1649"/>
    </row>
    <row r="2139" spans="11:15">
      <c r="K2139" s="1646">
        <v>44196</v>
      </c>
      <c r="L2139" s="1647" t="s">
        <v>1653</v>
      </c>
      <c r="M2139" s="1648">
        <v>7.4689999999999999E-3</v>
      </c>
      <c r="N2139" s="1649">
        <v>1.6167864567386379</v>
      </c>
      <c r="O2139" s="1649"/>
    </row>
    <row r="2140" spans="11:15">
      <c r="K2140" s="1646">
        <v>44197</v>
      </c>
      <c r="L2140" s="1647"/>
      <c r="M2140" s="1648">
        <v>0</v>
      </c>
      <c r="N2140" s="1649">
        <v>1.6167864567386379</v>
      </c>
      <c r="O2140" s="1649"/>
    </row>
    <row r="2141" spans="11:15">
      <c r="K2141" s="1646">
        <v>44198</v>
      </c>
      <c r="L2141" s="1647"/>
      <c r="M2141" s="1648">
        <v>0</v>
      </c>
      <c r="N2141" s="1649">
        <v>1.6167864567386379</v>
      </c>
      <c r="O2141" s="1649"/>
    </row>
    <row r="2142" spans="11:15">
      <c r="K2142" s="1646">
        <v>44199</v>
      </c>
      <c r="L2142" s="1647"/>
      <c r="M2142" s="1648">
        <v>0</v>
      </c>
      <c r="N2142" s="1649">
        <v>1.6167864567386379</v>
      </c>
      <c r="O2142" s="1649"/>
    </row>
    <row r="2143" spans="11:15">
      <c r="K2143" s="1646">
        <v>44200</v>
      </c>
      <c r="L2143" s="1647" t="s">
        <v>1653</v>
      </c>
      <c r="M2143" s="1648">
        <v>7.4689999999999999E-3</v>
      </c>
      <c r="N2143" s="1649">
        <v>1.6169072145190915</v>
      </c>
      <c r="O2143" s="1649"/>
    </row>
    <row r="2144" spans="11:15">
      <c r="K2144" s="1646">
        <v>44201</v>
      </c>
      <c r="L2144" s="1647" t="s">
        <v>1653</v>
      </c>
      <c r="M2144" s="1648">
        <v>7.4689999999999999E-3</v>
      </c>
      <c r="N2144" s="1649">
        <v>1.6170279813189439</v>
      </c>
      <c r="O2144" s="1649"/>
    </row>
    <row r="2145" spans="11:15">
      <c r="K2145" s="1646">
        <v>44202</v>
      </c>
      <c r="L2145" s="1647" t="s">
        <v>1653</v>
      </c>
      <c r="M2145" s="1648">
        <v>7.4689999999999999E-3</v>
      </c>
      <c r="N2145" s="1649">
        <v>1.6171487571388685</v>
      </c>
      <c r="O2145" s="1649"/>
    </row>
    <row r="2146" spans="11:15">
      <c r="K2146" s="1646">
        <v>44203</v>
      </c>
      <c r="L2146" s="1647" t="s">
        <v>1653</v>
      </c>
      <c r="M2146" s="1648">
        <v>7.4689999999999999E-3</v>
      </c>
      <c r="N2146" s="1649">
        <v>1.6172695419795391</v>
      </c>
      <c r="O2146" s="1649"/>
    </row>
    <row r="2147" spans="11:15">
      <c r="K2147" s="1646">
        <v>44204</v>
      </c>
      <c r="L2147" s="1647" t="s">
        <v>1653</v>
      </c>
      <c r="M2147" s="1648">
        <v>7.4689999999999999E-3</v>
      </c>
      <c r="N2147" s="1649">
        <v>1.6173903358416295</v>
      </c>
      <c r="O2147" s="1649"/>
    </row>
    <row r="2148" spans="11:15">
      <c r="K2148" s="1646">
        <v>44205</v>
      </c>
      <c r="L2148" s="1647"/>
      <c r="M2148" s="1648">
        <v>0</v>
      </c>
      <c r="N2148" s="1649">
        <v>1.6173903358416295</v>
      </c>
      <c r="O2148" s="1649"/>
    </row>
    <row r="2149" spans="11:15">
      <c r="K2149" s="1646">
        <v>44206</v>
      </c>
      <c r="L2149" s="1647"/>
      <c r="M2149" s="1648">
        <v>0</v>
      </c>
      <c r="N2149" s="1649">
        <v>1.6173903358416295</v>
      </c>
      <c r="O2149" s="1649"/>
    </row>
    <row r="2150" spans="11:15">
      <c r="K2150" s="1646">
        <v>44207</v>
      </c>
      <c r="L2150" s="1647" t="s">
        <v>1653</v>
      </c>
      <c r="M2150" s="1648">
        <v>7.4689999999999999E-3</v>
      </c>
      <c r="N2150" s="1649">
        <v>1.6175111387258134</v>
      </c>
      <c r="O2150" s="1649"/>
    </row>
    <row r="2151" spans="11:15">
      <c r="K2151" s="1646">
        <v>44208</v>
      </c>
      <c r="L2151" s="1647" t="s">
        <v>1653</v>
      </c>
      <c r="M2151" s="1648">
        <v>7.4689999999999999E-3</v>
      </c>
      <c r="N2151" s="1649">
        <v>1.6176319506327648</v>
      </c>
      <c r="O2151" s="1649"/>
    </row>
    <row r="2152" spans="11:15">
      <c r="K2152" s="1646">
        <v>44209</v>
      </c>
      <c r="L2152" s="1647" t="s">
        <v>1653</v>
      </c>
      <c r="M2152" s="1648">
        <v>7.4689999999999999E-3</v>
      </c>
      <c r="N2152" s="1649">
        <v>1.6177527715631574</v>
      </c>
      <c r="O2152" s="1649"/>
    </row>
    <row r="2153" spans="11:15">
      <c r="K2153" s="1646">
        <v>44210</v>
      </c>
      <c r="L2153" s="1647" t="s">
        <v>1653</v>
      </c>
      <c r="M2153" s="1648">
        <v>7.4689999999999999E-3</v>
      </c>
      <c r="N2153" s="1649">
        <v>1.6178736015176653</v>
      </c>
      <c r="O2153" s="1649"/>
    </row>
    <row r="2154" spans="11:15">
      <c r="K2154" s="1646">
        <v>44211</v>
      </c>
      <c r="L2154" s="1647" t="s">
        <v>1653</v>
      </c>
      <c r="M2154" s="1648">
        <v>7.4689999999999999E-3</v>
      </c>
      <c r="N2154" s="1649">
        <v>1.6179944404969626</v>
      </c>
      <c r="O2154" s="1649"/>
    </row>
    <row r="2155" spans="11:15">
      <c r="K2155" s="1646">
        <v>44212</v>
      </c>
      <c r="L2155" s="1647"/>
      <c r="M2155" s="1648">
        <v>0</v>
      </c>
      <c r="N2155" s="1649">
        <v>1.6179944404969626</v>
      </c>
      <c r="O2155" s="1649"/>
    </row>
    <row r="2156" spans="11:15">
      <c r="K2156" s="1646">
        <v>44213</v>
      </c>
      <c r="L2156" s="1647"/>
      <c r="M2156" s="1648">
        <v>0</v>
      </c>
      <c r="N2156" s="1649">
        <v>1.6179944404969626</v>
      </c>
      <c r="O2156" s="1649"/>
    </row>
    <row r="2157" spans="11:15">
      <c r="K2157" s="1646">
        <v>44214</v>
      </c>
      <c r="L2157" s="1647" t="s">
        <v>1653</v>
      </c>
      <c r="M2157" s="1648">
        <v>7.4689999999999999E-3</v>
      </c>
      <c r="N2157" s="1649">
        <v>1.6181152885017231</v>
      </c>
      <c r="O2157" s="1649"/>
    </row>
    <row r="2158" spans="11:15">
      <c r="K2158" s="1646">
        <v>44215</v>
      </c>
      <c r="L2158" s="1647" t="s">
        <v>1653</v>
      </c>
      <c r="M2158" s="1648">
        <v>7.4689999999999999E-3</v>
      </c>
      <c r="N2158" s="1649">
        <v>1.6182361455326213</v>
      </c>
      <c r="O2158" s="1649"/>
    </row>
    <row r="2159" spans="11:15">
      <c r="K2159" s="1646">
        <v>44216</v>
      </c>
      <c r="L2159" s="1647" t="s">
        <v>1653</v>
      </c>
      <c r="M2159" s="1648">
        <v>7.4689999999999999E-3</v>
      </c>
      <c r="N2159" s="1649">
        <v>1.618357011590331</v>
      </c>
      <c r="O2159" s="1649"/>
    </row>
    <row r="2160" spans="11:15">
      <c r="K2160" s="1646">
        <v>44217</v>
      </c>
      <c r="L2160" s="1647" t="s">
        <v>1653</v>
      </c>
      <c r="M2160" s="1648">
        <v>7.4689999999999999E-3</v>
      </c>
      <c r="N2160" s="1649">
        <v>1.6184778866755265</v>
      </c>
      <c r="O2160" s="1649"/>
    </row>
    <row r="2161" spans="11:15">
      <c r="K2161" s="1646">
        <v>44218</v>
      </c>
      <c r="L2161" s="1647" t="s">
        <v>1653</v>
      </c>
      <c r="M2161" s="1648">
        <v>7.4689999999999999E-3</v>
      </c>
      <c r="N2161" s="1649">
        <v>1.6185987707888823</v>
      </c>
      <c r="O2161" s="1649"/>
    </row>
    <row r="2162" spans="11:15">
      <c r="K2162" s="1646">
        <v>44219</v>
      </c>
      <c r="L2162" s="1647"/>
      <c r="M2162" s="1648">
        <v>0</v>
      </c>
      <c r="N2162" s="1649">
        <v>1.6185987707888823</v>
      </c>
      <c r="O2162" s="1649"/>
    </row>
    <row r="2163" spans="11:15">
      <c r="K2163" s="1646">
        <v>44220</v>
      </c>
      <c r="L2163" s="1647"/>
      <c r="M2163" s="1648">
        <v>0</v>
      </c>
      <c r="N2163" s="1649">
        <v>1.6185987707888823</v>
      </c>
      <c r="O2163" s="1649"/>
    </row>
    <row r="2164" spans="11:15">
      <c r="K2164" s="1646">
        <v>44221</v>
      </c>
      <c r="L2164" s="1647" t="s">
        <v>1653</v>
      </c>
      <c r="M2164" s="1648">
        <v>7.4689999999999999E-3</v>
      </c>
      <c r="N2164" s="1649">
        <v>1.6187196639310724</v>
      </c>
      <c r="O2164" s="1649"/>
    </row>
    <row r="2165" spans="11:15">
      <c r="K2165" s="1646">
        <v>44222</v>
      </c>
      <c r="L2165" s="1647" t="s">
        <v>1653</v>
      </c>
      <c r="M2165" s="1648">
        <v>7.4689999999999999E-3</v>
      </c>
      <c r="N2165" s="1649">
        <v>1.6188405661027712</v>
      </c>
      <c r="O2165" s="1649"/>
    </row>
    <row r="2166" spans="11:15">
      <c r="K2166" s="1646">
        <v>44223</v>
      </c>
      <c r="L2166" s="1647" t="s">
        <v>1653</v>
      </c>
      <c r="M2166" s="1648">
        <v>7.4689999999999999E-3</v>
      </c>
      <c r="N2166" s="1649">
        <v>1.6189614773046532</v>
      </c>
      <c r="O2166" s="1649"/>
    </row>
    <row r="2167" spans="11:15">
      <c r="K2167" s="1646">
        <v>44224</v>
      </c>
      <c r="L2167" s="1647" t="s">
        <v>1653</v>
      </c>
      <c r="M2167" s="1648">
        <v>7.4689999999999999E-3</v>
      </c>
      <c r="N2167" s="1649">
        <v>1.6190823975373929</v>
      </c>
      <c r="O2167" s="1649"/>
    </row>
    <row r="2168" spans="11:15">
      <c r="K2168" s="1646">
        <v>44225</v>
      </c>
      <c r="L2168" s="1647" t="s">
        <v>1653</v>
      </c>
      <c r="M2168" s="1648">
        <v>7.4689999999999999E-3</v>
      </c>
      <c r="N2168" s="1649">
        <v>1.6192033268016648</v>
      </c>
      <c r="O2168" s="1649"/>
    </row>
    <row r="2169" spans="11:15">
      <c r="K2169" s="1646">
        <v>44226</v>
      </c>
      <c r="L2169" s="1647"/>
      <c r="M2169" s="1648">
        <v>0</v>
      </c>
      <c r="N2169" s="1649">
        <v>1.6192033268016648</v>
      </c>
      <c r="O2169" s="1649"/>
    </row>
    <row r="2170" spans="11:15">
      <c r="K2170" s="1646">
        <v>44227</v>
      </c>
      <c r="L2170" s="1647"/>
      <c r="M2170" s="1648">
        <v>0</v>
      </c>
      <c r="N2170" s="1649">
        <v>1.6192033268016648</v>
      </c>
      <c r="O2170" s="1649"/>
    </row>
    <row r="2171" spans="11:15">
      <c r="K2171" s="1646">
        <v>44228</v>
      </c>
      <c r="L2171" s="1647" t="s">
        <v>1653</v>
      </c>
      <c r="M2171" s="1648">
        <v>7.4689999999999999E-3</v>
      </c>
      <c r="N2171" s="1649">
        <v>1.6193242650981434</v>
      </c>
      <c r="O2171" s="1649"/>
    </row>
    <row r="2172" spans="11:15">
      <c r="K2172" s="1646">
        <v>44229</v>
      </c>
      <c r="L2172" s="1647" t="s">
        <v>1653</v>
      </c>
      <c r="M2172" s="1648">
        <v>7.4689999999999999E-3</v>
      </c>
      <c r="N2172" s="1649">
        <v>1.6194452124275034</v>
      </c>
      <c r="O2172" s="1649"/>
    </row>
    <row r="2173" spans="11:15">
      <c r="K2173" s="1646">
        <v>44230</v>
      </c>
      <c r="L2173" s="1647" t="s">
        <v>1653</v>
      </c>
      <c r="M2173" s="1648">
        <v>7.4689999999999999E-3</v>
      </c>
      <c r="N2173" s="1649">
        <v>1.6195661687904195</v>
      </c>
      <c r="O2173" s="1649"/>
    </row>
    <row r="2174" spans="11:15">
      <c r="K2174" s="1646">
        <v>44231</v>
      </c>
      <c r="L2174" s="1647" t="s">
        <v>1653</v>
      </c>
      <c r="M2174" s="1648">
        <v>7.4689999999999999E-3</v>
      </c>
      <c r="N2174" s="1649">
        <v>1.6196871341875663</v>
      </c>
      <c r="O2174" s="1649"/>
    </row>
    <row r="2175" spans="11:15">
      <c r="K2175" s="1646">
        <v>44232</v>
      </c>
      <c r="L2175" s="1647" t="s">
        <v>1653</v>
      </c>
      <c r="M2175" s="1648">
        <v>7.4689999999999999E-3</v>
      </c>
      <c r="N2175" s="1649">
        <v>1.6198081086196185</v>
      </c>
      <c r="O2175" s="1649"/>
    </row>
    <row r="2176" spans="11:15">
      <c r="K2176" s="1646">
        <v>44233</v>
      </c>
      <c r="L2176" s="1647"/>
      <c r="M2176" s="1648">
        <v>0</v>
      </c>
      <c r="N2176" s="1649">
        <v>1.6198081086196185</v>
      </c>
      <c r="O2176" s="1649"/>
    </row>
    <row r="2177" spans="11:15">
      <c r="K2177" s="1646">
        <v>44234</v>
      </c>
      <c r="L2177" s="1647"/>
      <c r="M2177" s="1648">
        <v>0</v>
      </c>
      <c r="N2177" s="1649">
        <v>1.6198081086196185</v>
      </c>
      <c r="O2177" s="1649"/>
    </row>
    <row r="2178" spans="11:15">
      <c r="K2178" s="1646">
        <v>44235</v>
      </c>
      <c r="L2178" s="1647" t="s">
        <v>1653</v>
      </c>
      <c r="M2178" s="1648">
        <v>7.4689999999999999E-3</v>
      </c>
      <c r="N2178" s="1649">
        <v>1.6199290920872513</v>
      </c>
      <c r="O2178" s="1649"/>
    </row>
    <row r="2179" spans="11:15">
      <c r="K2179" s="1646">
        <v>44236</v>
      </c>
      <c r="L2179" s="1647" t="s">
        <v>1653</v>
      </c>
      <c r="M2179" s="1648">
        <v>7.4689999999999999E-3</v>
      </c>
      <c r="N2179" s="1649">
        <v>1.6200500845911392</v>
      </c>
      <c r="O2179" s="1649"/>
    </row>
    <row r="2180" spans="11:15">
      <c r="K2180" s="1646">
        <v>44237</v>
      </c>
      <c r="L2180" s="1647" t="s">
        <v>1653</v>
      </c>
      <c r="M2180" s="1648">
        <v>7.4689999999999999E-3</v>
      </c>
      <c r="N2180" s="1649">
        <v>1.6201710861319571</v>
      </c>
      <c r="O2180" s="1649"/>
    </row>
    <row r="2181" spans="11:15">
      <c r="K2181" s="1646">
        <v>44238</v>
      </c>
      <c r="L2181" s="1647" t="s">
        <v>1653</v>
      </c>
      <c r="M2181" s="1648">
        <v>7.4689999999999999E-3</v>
      </c>
      <c r="N2181" s="1649">
        <v>1.6202920967103802</v>
      </c>
      <c r="O2181" s="1649"/>
    </row>
    <row r="2182" spans="11:15">
      <c r="K2182" s="1646">
        <v>44239</v>
      </c>
      <c r="L2182" s="1647" t="s">
        <v>1653</v>
      </c>
      <c r="M2182" s="1648">
        <v>7.4689999999999999E-3</v>
      </c>
      <c r="N2182" s="1649">
        <v>1.6204131163270834</v>
      </c>
      <c r="O2182" s="1649"/>
    </row>
    <row r="2183" spans="11:15">
      <c r="K2183" s="1646">
        <v>44240</v>
      </c>
      <c r="L2183" s="1647"/>
      <c r="M2183" s="1648">
        <v>0</v>
      </c>
      <c r="N2183" s="1649">
        <v>1.6204131163270834</v>
      </c>
      <c r="O2183" s="1649"/>
    </row>
    <row r="2184" spans="11:15">
      <c r="K2184" s="1646">
        <v>44241</v>
      </c>
      <c r="L2184" s="1647"/>
      <c r="M2184" s="1648">
        <v>0</v>
      </c>
      <c r="N2184" s="1649">
        <v>1.6204131163270834</v>
      </c>
      <c r="O2184" s="1649"/>
    </row>
    <row r="2185" spans="11:15">
      <c r="K2185" s="1646">
        <v>44242</v>
      </c>
      <c r="L2185" s="1647"/>
      <c r="M2185" s="1648">
        <v>0</v>
      </c>
      <c r="N2185" s="1649">
        <v>1.6204131163270834</v>
      </c>
      <c r="O2185" s="1649"/>
    </row>
    <row r="2186" spans="11:15">
      <c r="K2186" s="1646">
        <v>44243</v>
      </c>
      <c r="L2186" s="1647"/>
      <c r="M2186" s="1648">
        <v>0</v>
      </c>
      <c r="N2186" s="1649">
        <v>1.6204131163270834</v>
      </c>
      <c r="O2186" s="1649"/>
    </row>
    <row r="2187" spans="11:15">
      <c r="K2187" s="1646">
        <v>44244</v>
      </c>
      <c r="L2187" s="1647" t="s">
        <v>1653</v>
      </c>
      <c r="M2187" s="1648">
        <v>7.4689999999999999E-3</v>
      </c>
      <c r="N2187" s="1649">
        <v>1.6205341449827417</v>
      </c>
      <c r="O2187" s="1649"/>
    </row>
    <row r="2188" spans="11:15">
      <c r="K2188" s="1646">
        <v>44245</v>
      </c>
      <c r="L2188" s="1647" t="s">
        <v>1653</v>
      </c>
      <c r="M2188" s="1648">
        <v>7.4689999999999999E-3</v>
      </c>
      <c r="N2188" s="1649">
        <v>1.6206551826780304</v>
      </c>
      <c r="O2188" s="1649"/>
    </row>
    <row r="2189" spans="11:15">
      <c r="K2189" s="1646">
        <v>44246</v>
      </c>
      <c r="L2189" s="1647" t="s">
        <v>1653</v>
      </c>
      <c r="M2189" s="1648">
        <v>7.4689999999999999E-3</v>
      </c>
      <c r="N2189" s="1649">
        <v>1.6207762294136245</v>
      </c>
      <c r="O2189" s="1649"/>
    </row>
    <row r="2190" spans="11:15">
      <c r="K2190" s="1646">
        <v>44247</v>
      </c>
      <c r="L2190" s="1647"/>
      <c r="M2190" s="1648">
        <v>0</v>
      </c>
      <c r="N2190" s="1649">
        <v>1.6207762294136245</v>
      </c>
      <c r="O2190" s="1649"/>
    </row>
    <row r="2191" spans="11:15">
      <c r="K2191" s="1646">
        <v>44248</v>
      </c>
      <c r="L2191" s="1647"/>
      <c r="M2191" s="1648">
        <v>0</v>
      </c>
      <c r="N2191" s="1649">
        <v>1.6207762294136245</v>
      </c>
      <c r="O2191" s="1649"/>
    </row>
    <row r="2192" spans="11:15">
      <c r="K2192" s="1646">
        <v>44249</v>
      </c>
      <c r="L2192" s="1647" t="s">
        <v>1653</v>
      </c>
      <c r="M2192" s="1648">
        <v>7.4689999999999999E-3</v>
      </c>
      <c r="N2192" s="1649">
        <v>1.6208972851901993</v>
      </c>
      <c r="O2192" s="1649"/>
    </row>
    <row r="2193" spans="11:15">
      <c r="K2193" s="1646">
        <v>44250</v>
      </c>
      <c r="L2193" s="1647" t="s">
        <v>1653</v>
      </c>
      <c r="M2193" s="1648">
        <v>7.4689999999999999E-3</v>
      </c>
      <c r="N2193" s="1649">
        <v>1.6210183500084301</v>
      </c>
      <c r="O2193" s="1649"/>
    </row>
    <row r="2194" spans="11:15">
      <c r="K2194" s="1646">
        <v>44251</v>
      </c>
      <c r="L2194" s="1647" t="s">
        <v>1653</v>
      </c>
      <c r="M2194" s="1648">
        <v>7.4689999999999999E-3</v>
      </c>
      <c r="N2194" s="1649">
        <v>1.621139423868992</v>
      </c>
      <c r="O2194" s="1649"/>
    </row>
    <row r="2195" spans="11:15">
      <c r="K2195" s="1646">
        <v>44252</v>
      </c>
      <c r="L2195" s="1647" t="s">
        <v>1653</v>
      </c>
      <c r="M2195" s="1648">
        <v>7.4689999999999999E-3</v>
      </c>
      <c r="N2195" s="1649">
        <v>1.6212605067725607</v>
      </c>
      <c r="O2195" s="1649"/>
    </row>
    <row r="2196" spans="11:15">
      <c r="K2196" s="1646">
        <v>44253</v>
      </c>
      <c r="L2196" s="1647" t="s">
        <v>1653</v>
      </c>
      <c r="M2196" s="1648">
        <v>7.4689999999999999E-3</v>
      </c>
      <c r="N2196" s="1649">
        <v>1.6213815987198115</v>
      </c>
      <c r="O2196" s="1649"/>
    </row>
    <row r="2197" spans="11:15">
      <c r="K2197" s="1646">
        <v>44254</v>
      </c>
      <c r="L2197" s="1647"/>
      <c r="M2197" s="1648">
        <v>0</v>
      </c>
      <c r="N2197" s="1649">
        <v>1.6213815987198115</v>
      </c>
      <c r="O2197" s="1649"/>
    </row>
    <row r="2198" spans="11:15">
      <c r="K2198" s="1646">
        <v>44255</v>
      </c>
      <c r="L2198" s="1647"/>
      <c r="M2198" s="1648">
        <v>0</v>
      </c>
      <c r="N2198" s="1649">
        <v>1.6213815987198115</v>
      </c>
      <c r="O2198" s="1649"/>
    </row>
    <row r="2199" spans="11:15">
      <c r="K2199" s="1646">
        <v>44256</v>
      </c>
      <c r="L2199" s="1647" t="s">
        <v>1653</v>
      </c>
      <c r="M2199" s="1648">
        <v>7.4689999999999999E-3</v>
      </c>
      <c r="N2199" s="1649">
        <v>1.6215026997114197</v>
      </c>
      <c r="O2199" s="1649"/>
    </row>
    <row r="2200" spans="11:15">
      <c r="K2200" s="1646">
        <v>44257</v>
      </c>
      <c r="L2200" s="1647" t="s">
        <v>1653</v>
      </c>
      <c r="M2200" s="1648">
        <v>7.4689999999999999E-3</v>
      </c>
      <c r="N2200" s="1649">
        <v>1.6216238097480611</v>
      </c>
      <c r="O2200" s="1649"/>
    </row>
    <row r="2201" spans="11:15">
      <c r="K2201" s="1646">
        <v>44258</v>
      </c>
      <c r="L2201" s="1647" t="s">
        <v>1653</v>
      </c>
      <c r="M2201" s="1648">
        <v>7.4689999999999999E-3</v>
      </c>
      <c r="N2201" s="1649">
        <v>1.6217449288304111</v>
      </c>
      <c r="O2201" s="1649"/>
    </row>
    <row r="2202" spans="11:15">
      <c r="K2202" s="1646">
        <v>44259</v>
      </c>
      <c r="L2202" s="1647" t="s">
        <v>1653</v>
      </c>
      <c r="M2202" s="1648">
        <v>7.4689999999999999E-3</v>
      </c>
      <c r="N2202" s="1649">
        <v>1.6218660569591454</v>
      </c>
      <c r="O2202" s="1649"/>
    </row>
    <row r="2203" spans="11:15">
      <c r="K2203" s="1646">
        <v>44260</v>
      </c>
      <c r="L2203" s="1647" t="s">
        <v>1653</v>
      </c>
      <c r="M2203" s="1648">
        <v>7.4689999999999999E-3</v>
      </c>
      <c r="N2203" s="1649">
        <v>1.6219871941349395</v>
      </c>
      <c r="O2203" s="1649"/>
    </row>
    <row r="2204" spans="11:15">
      <c r="K2204" s="1646">
        <v>44261</v>
      </c>
      <c r="L2204" s="1647"/>
      <c r="M2204" s="1648">
        <v>0</v>
      </c>
      <c r="N2204" s="1649">
        <v>1.6219871941349395</v>
      </c>
      <c r="O2204" s="1649"/>
    </row>
    <row r="2205" spans="11:15">
      <c r="K2205" s="1646">
        <v>44262</v>
      </c>
      <c r="L2205" s="1647"/>
      <c r="M2205" s="1648">
        <v>0</v>
      </c>
      <c r="N2205" s="1649">
        <v>1.6219871941349395</v>
      </c>
      <c r="O2205" s="1649"/>
    </row>
    <row r="2206" spans="11:15">
      <c r="K2206" s="1646">
        <v>44263</v>
      </c>
      <c r="L2206" s="1647" t="s">
        <v>1653</v>
      </c>
      <c r="M2206" s="1648">
        <v>7.4689999999999999E-3</v>
      </c>
      <c r="N2206" s="1649">
        <v>1.6221083403584693</v>
      </c>
      <c r="O2206" s="1649"/>
    </row>
    <row r="2207" spans="11:15">
      <c r="K2207" s="1646">
        <v>44264</v>
      </c>
      <c r="L2207" s="1647" t="s">
        <v>1653</v>
      </c>
      <c r="M2207" s="1648">
        <v>7.4689999999999999E-3</v>
      </c>
      <c r="N2207" s="1649">
        <v>1.6222294956304106</v>
      </c>
      <c r="O2207" s="1649"/>
    </row>
    <row r="2208" spans="11:15">
      <c r="K2208" s="1646">
        <v>44265</v>
      </c>
      <c r="L2208" s="1647" t="s">
        <v>1653</v>
      </c>
      <c r="M2208" s="1648">
        <v>7.4689999999999999E-3</v>
      </c>
      <c r="N2208" s="1649">
        <v>1.6223506599514392</v>
      </c>
      <c r="O2208" s="1649"/>
    </row>
    <row r="2209" spans="11:15">
      <c r="K2209" s="1646">
        <v>44266</v>
      </c>
      <c r="L2209" s="1647" t="s">
        <v>1653</v>
      </c>
      <c r="M2209" s="1648">
        <v>7.4689999999999999E-3</v>
      </c>
      <c r="N2209" s="1649">
        <v>1.622471833322231</v>
      </c>
      <c r="O2209" s="1649"/>
    </row>
    <row r="2210" spans="11:15">
      <c r="K2210" s="1646">
        <v>44267</v>
      </c>
      <c r="L2210" s="1647" t="s">
        <v>1653</v>
      </c>
      <c r="M2210" s="1648">
        <v>7.4689999999999999E-3</v>
      </c>
      <c r="N2210" s="1649">
        <v>1.6225930157434618</v>
      </c>
      <c r="O2210" s="1649"/>
    </row>
    <row r="2211" spans="11:15">
      <c r="K2211" s="1646">
        <v>44268</v>
      </c>
      <c r="L2211" s="1647"/>
      <c r="M2211" s="1648">
        <v>0</v>
      </c>
      <c r="N2211" s="1649">
        <v>1.6225930157434618</v>
      </c>
      <c r="O2211" s="1649"/>
    </row>
    <row r="2212" spans="11:15">
      <c r="K2212" s="1646">
        <v>44269</v>
      </c>
      <c r="L2212" s="1647"/>
      <c r="M2212" s="1648">
        <v>0</v>
      </c>
      <c r="N2212" s="1649">
        <v>1.6225930157434618</v>
      </c>
      <c r="O2212" s="1649"/>
    </row>
    <row r="2213" spans="11:15">
      <c r="K2213" s="1646">
        <v>44270</v>
      </c>
      <c r="L2213" s="1647" t="s">
        <v>1653</v>
      </c>
      <c r="M2213" s="1648">
        <v>7.4689999999999999E-3</v>
      </c>
      <c r="N2213" s="1649">
        <v>1.6227142072158076</v>
      </c>
      <c r="O2213" s="1649"/>
    </row>
    <row r="2214" spans="11:15">
      <c r="K2214" s="1646">
        <v>44271</v>
      </c>
      <c r="L2214" s="1647" t="s">
        <v>1653</v>
      </c>
      <c r="M2214" s="1648">
        <v>7.4689999999999999E-3</v>
      </c>
      <c r="N2214" s="1649">
        <v>1.6228354077399445</v>
      </c>
      <c r="O2214" s="1649"/>
    </row>
    <row r="2215" spans="11:15">
      <c r="K2215" s="1646">
        <v>44272</v>
      </c>
      <c r="L2215" s="1647" t="s">
        <v>1653</v>
      </c>
      <c r="M2215" s="1648">
        <v>7.4689999999999999E-3</v>
      </c>
      <c r="N2215" s="1649">
        <v>1.6229566173165484</v>
      </c>
      <c r="O2215" s="1649"/>
    </row>
    <row r="2216" spans="11:15">
      <c r="K2216" s="1646">
        <v>44273</v>
      </c>
      <c r="L2216" s="1647" t="s">
        <v>1653</v>
      </c>
      <c r="M2216" s="1648">
        <v>1.0378999999999999E-2</v>
      </c>
      <c r="N2216" s="1649">
        <v>1.6231250639838597</v>
      </c>
      <c r="O2216" s="1649"/>
    </row>
    <row r="2217" spans="11:15">
      <c r="K2217" s="1646">
        <v>44274</v>
      </c>
      <c r="L2217" s="1647" t="s">
        <v>1653</v>
      </c>
      <c r="M2217" s="1648">
        <v>1.0378999999999999E-2</v>
      </c>
      <c r="N2217" s="1649">
        <v>1.6232935281342507</v>
      </c>
      <c r="O2217" s="1649"/>
    </row>
    <row r="2218" spans="11:15">
      <c r="K2218" s="1646">
        <v>44275</v>
      </c>
      <c r="L2218" s="1647"/>
      <c r="M2218" s="1648">
        <v>0</v>
      </c>
      <c r="N2218" s="1649">
        <v>1.6232935281342507</v>
      </c>
      <c r="O2218" s="1649"/>
    </row>
    <row r="2219" spans="11:15">
      <c r="K2219" s="1646">
        <v>44276</v>
      </c>
      <c r="L2219" s="1647"/>
      <c r="M2219" s="1648">
        <v>0</v>
      </c>
      <c r="N2219" s="1649">
        <v>1.6232935281342507</v>
      </c>
      <c r="O2219" s="1649"/>
    </row>
    <row r="2220" spans="11:15">
      <c r="K2220" s="1646">
        <v>44277</v>
      </c>
      <c r="L2220" s="1647" t="s">
        <v>1653</v>
      </c>
      <c r="M2220" s="1648">
        <v>1.0378999999999999E-2</v>
      </c>
      <c r="N2220" s="1649">
        <v>1.6234620097695358</v>
      </c>
      <c r="O2220" s="1649"/>
    </row>
    <row r="2221" spans="11:15">
      <c r="K2221" s="1646">
        <v>44278</v>
      </c>
      <c r="L2221" s="1647" t="s">
        <v>1653</v>
      </c>
      <c r="M2221" s="1648">
        <v>1.0378999999999999E-2</v>
      </c>
      <c r="N2221" s="1649">
        <v>1.6236305088915299</v>
      </c>
      <c r="O2221" s="1649"/>
    </row>
    <row r="2222" spans="11:15">
      <c r="K2222" s="1646">
        <v>44279</v>
      </c>
      <c r="L2222" s="1647" t="s">
        <v>1653</v>
      </c>
      <c r="M2222" s="1648">
        <v>1.0378999999999999E-2</v>
      </c>
      <c r="N2222" s="1649">
        <v>1.6237990255020478</v>
      </c>
      <c r="O2222" s="1649"/>
    </row>
    <row r="2223" spans="11:15">
      <c r="K2223" s="1646">
        <v>44280</v>
      </c>
      <c r="L2223" s="1647" t="s">
        <v>1653</v>
      </c>
      <c r="M2223" s="1648">
        <v>1.0378999999999999E-2</v>
      </c>
      <c r="N2223" s="1649">
        <v>1.6239675596029048</v>
      </c>
      <c r="O2223" s="1649"/>
    </row>
    <row r="2224" spans="11:15">
      <c r="K2224" s="1646">
        <v>44281</v>
      </c>
      <c r="L2224" s="1647" t="s">
        <v>1653</v>
      </c>
      <c r="M2224" s="1648">
        <v>1.0378999999999999E-2</v>
      </c>
      <c r="N2224" s="1649">
        <v>1.6241361111959161</v>
      </c>
      <c r="O2224" s="1649"/>
    </row>
    <row r="2225" spans="11:15">
      <c r="K2225" s="1646">
        <v>44282</v>
      </c>
      <c r="L2225" s="1647"/>
      <c r="M2225" s="1648">
        <v>0</v>
      </c>
      <c r="N2225" s="1649">
        <v>1.6241361111959161</v>
      </c>
      <c r="O2225" s="1649"/>
    </row>
    <row r="2226" spans="11:15">
      <c r="K2226" s="1646">
        <v>44283</v>
      </c>
      <c r="L2226" s="1647"/>
      <c r="M2226" s="1648">
        <v>0</v>
      </c>
      <c r="N2226" s="1649">
        <v>1.6241361111959161</v>
      </c>
      <c r="O2226" s="1649"/>
    </row>
    <row r="2227" spans="11:15">
      <c r="K2227" s="1646">
        <v>44284</v>
      </c>
      <c r="L2227" s="1647" t="s">
        <v>1653</v>
      </c>
      <c r="M2227" s="1648">
        <v>1.0378999999999999E-2</v>
      </c>
      <c r="N2227" s="1649">
        <v>1.6243046802828971</v>
      </c>
      <c r="O2227" s="1649"/>
    </row>
    <row r="2228" spans="11:15">
      <c r="K2228" s="1646">
        <v>44285</v>
      </c>
      <c r="L2228" s="1647" t="s">
        <v>1653</v>
      </c>
      <c r="M2228" s="1648">
        <v>1.0378999999999999E-2</v>
      </c>
      <c r="N2228" s="1649">
        <v>1.6244732668656638</v>
      </c>
      <c r="O2228" s="1649"/>
    </row>
    <row r="2229" spans="11:15">
      <c r="K2229" s="1646">
        <v>44286</v>
      </c>
      <c r="L2229" s="1647" t="s">
        <v>1653</v>
      </c>
      <c r="M2229" s="1648">
        <v>1.0378999999999999E-2</v>
      </c>
      <c r="N2229" s="1649">
        <v>1.624641870946032</v>
      </c>
      <c r="O2229" s="1649"/>
    </row>
    <row r="2230" spans="11:15">
      <c r="K2230" s="1646">
        <v>44287</v>
      </c>
      <c r="L2230" s="1647" t="s">
        <v>1653</v>
      </c>
      <c r="M2230" s="1648">
        <v>1.0378999999999999E-2</v>
      </c>
      <c r="N2230" s="1649">
        <v>1.6248104925258176</v>
      </c>
      <c r="O2230" s="1649"/>
    </row>
    <row r="2231" spans="11:15">
      <c r="K2231" s="1646">
        <v>44288</v>
      </c>
      <c r="L2231" s="1647"/>
      <c r="M2231" s="1648">
        <v>0</v>
      </c>
      <c r="N2231" s="1649">
        <v>1.6248104925258176</v>
      </c>
      <c r="O2231" s="1649"/>
    </row>
    <row r="2232" spans="11:15">
      <c r="K2232" s="1646">
        <v>44289</v>
      </c>
      <c r="L2232" s="1647"/>
      <c r="M2232" s="1648">
        <v>0</v>
      </c>
      <c r="N2232" s="1649">
        <v>1.6248104925258176</v>
      </c>
      <c r="O2232" s="1649"/>
    </row>
    <row r="2233" spans="11:15">
      <c r="K2233" s="1646">
        <v>44290</v>
      </c>
      <c r="L2233" s="1647"/>
      <c r="M2233" s="1648">
        <v>0</v>
      </c>
      <c r="N2233" s="1649">
        <v>1.6248104925258176</v>
      </c>
      <c r="O2233" s="1649"/>
    </row>
    <row r="2234" spans="11:15">
      <c r="K2234" s="1646">
        <v>44291</v>
      </c>
      <c r="L2234" s="1647" t="s">
        <v>1653</v>
      </c>
      <c r="M2234" s="1648">
        <v>1.0378999999999999E-2</v>
      </c>
      <c r="N2234" s="1649">
        <v>1.6249791316068369</v>
      </c>
      <c r="O2234" s="1649"/>
    </row>
    <row r="2235" spans="11:15">
      <c r="K2235" s="1646">
        <v>44292</v>
      </c>
      <c r="L2235" s="1647" t="s">
        <v>1653</v>
      </c>
      <c r="M2235" s="1648">
        <v>1.0378999999999999E-2</v>
      </c>
      <c r="N2235" s="1649">
        <v>1.6251477881909064</v>
      </c>
      <c r="O2235" s="1649"/>
    </row>
    <row r="2236" spans="11:15">
      <c r="K2236" s="1646">
        <v>44293</v>
      </c>
      <c r="L2236" s="1647" t="s">
        <v>1653</v>
      </c>
      <c r="M2236" s="1648">
        <v>1.0378999999999999E-2</v>
      </c>
      <c r="N2236" s="1649">
        <v>1.6253164622798428</v>
      </c>
      <c r="O2236" s="1649"/>
    </row>
    <row r="2237" spans="11:15">
      <c r="K2237" s="1646">
        <v>44294</v>
      </c>
      <c r="L2237" s="1647" t="s">
        <v>1653</v>
      </c>
      <c r="M2237" s="1648">
        <v>1.0378999999999999E-2</v>
      </c>
      <c r="N2237" s="1649">
        <v>1.6254851538754629</v>
      </c>
      <c r="O2237" s="1649"/>
    </row>
    <row r="2238" spans="11:15">
      <c r="K2238" s="1646">
        <v>44295</v>
      </c>
      <c r="L2238" s="1647" t="s">
        <v>1653</v>
      </c>
      <c r="M2238" s="1648">
        <v>1.0378999999999999E-2</v>
      </c>
      <c r="N2238" s="1649">
        <v>1.6256538629795838</v>
      </c>
      <c r="O2238" s="1649"/>
    </row>
    <row r="2239" spans="11:15">
      <c r="K2239" s="1646">
        <v>44296</v>
      </c>
      <c r="L2239" s="1647"/>
      <c r="M2239" s="1648">
        <v>0</v>
      </c>
      <c r="N2239" s="1649">
        <v>1.6256538629795838</v>
      </c>
      <c r="O2239" s="1649"/>
    </row>
    <row r="2240" spans="11:15">
      <c r="K2240" s="1646">
        <v>44297</v>
      </c>
      <c r="L2240" s="1647"/>
      <c r="M2240" s="1648">
        <v>0</v>
      </c>
      <c r="N2240" s="1649">
        <v>1.6256538629795838</v>
      </c>
      <c r="O2240" s="1649"/>
    </row>
    <row r="2241" spans="11:15">
      <c r="K2241" s="1646">
        <v>44298</v>
      </c>
      <c r="L2241" s="1647" t="s">
        <v>1653</v>
      </c>
      <c r="M2241" s="1648">
        <v>1.0378999999999999E-2</v>
      </c>
      <c r="N2241" s="1649">
        <v>1.6258225895940226</v>
      </c>
      <c r="O2241" s="1649"/>
    </row>
    <row r="2242" spans="11:15">
      <c r="K2242" s="1646">
        <v>44299</v>
      </c>
      <c r="L2242" s="1647" t="s">
        <v>1653</v>
      </c>
      <c r="M2242" s="1648">
        <v>1.0378999999999999E-2</v>
      </c>
      <c r="N2242" s="1649">
        <v>1.6259913337205967</v>
      </c>
      <c r="O2242" s="1649"/>
    </row>
    <row r="2243" spans="11:15">
      <c r="K2243" s="1646">
        <v>44300</v>
      </c>
      <c r="L2243" s="1647" t="s">
        <v>1653</v>
      </c>
      <c r="M2243" s="1648">
        <v>1.0378999999999999E-2</v>
      </c>
      <c r="N2243" s="1649">
        <v>1.6261600953611237</v>
      </c>
      <c r="O2243" s="1649"/>
    </row>
    <row r="2244" spans="11:15">
      <c r="K2244" s="1646">
        <v>44301</v>
      </c>
      <c r="L2244" s="1647" t="s">
        <v>1653</v>
      </c>
      <c r="M2244" s="1648">
        <v>1.0378999999999999E-2</v>
      </c>
      <c r="N2244" s="1649">
        <v>1.6263288745174214</v>
      </c>
      <c r="O2244" s="1649"/>
    </row>
    <row r="2245" spans="11:15">
      <c r="K2245" s="1646">
        <v>44302</v>
      </c>
      <c r="L2245" s="1647" t="s">
        <v>1653</v>
      </c>
      <c r="M2245" s="1648">
        <v>1.0378999999999999E-2</v>
      </c>
      <c r="N2245" s="1649">
        <v>1.6264976711913075</v>
      </c>
      <c r="O2245" s="1649"/>
    </row>
    <row r="2246" spans="11:15">
      <c r="K2246" s="1646">
        <v>44303</v>
      </c>
      <c r="L2246" s="1647"/>
      <c r="M2246" s="1648">
        <v>0</v>
      </c>
      <c r="N2246" s="1649">
        <v>1.6264976711913075</v>
      </c>
      <c r="O2246" s="1649"/>
    </row>
    <row r="2247" spans="11:15">
      <c r="K2247" s="1646">
        <v>44304</v>
      </c>
      <c r="L2247" s="1647"/>
      <c r="M2247" s="1648">
        <v>0</v>
      </c>
      <c r="N2247" s="1649">
        <v>1.6264976711913075</v>
      </c>
      <c r="O2247" s="1649"/>
    </row>
    <row r="2248" spans="11:15">
      <c r="K2248" s="1646">
        <v>44305</v>
      </c>
      <c r="L2248" s="1647" t="s">
        <v>1653</v>
      </c>
      <c r="M2248" s="1648">
        <v>1.0378999999999999E-2</v>
      </c>
      <c r="N2248" s="1649">
        <v>1.6266664853846005</v>
      </c>
      <c r="O2248" s="1649"/>
    </row>
    <row r="2249" spans="11:15">
      <c r="K2249" s="1646">
        <v>44306</v>
      </c>
      <c r="L2249" s="1647" t="s">
        <v>1653</v>
      </c>
      <c r="M2249" s="1648">
        <v>1.0378999999999999E-2</v>
      </c>
      <c r="N2249" s="1649">
        <v>1.6268353170991185</v>
      </c>
      <c r="O2249" s="1649"/>
    </row>
    <row r="2250" spans="11:15">
      <c r="K2250" s="1646">
        <v>44307</v>
      </c>
      <c r="L2250" s="1647"/>
      <c r="M2250" s="1648">
        <v>0</v>
      </c>
      <c r="N2250" s="1649">
        <v>1.6268353170991185</v>
      </c>
      <c r="O2250" s="1649"/>
    </row>
    <row r="2251" spans="11:15">
      <c r="K2251" s="1646">
        <v>44308</v>
      </c>
      <c r="L2251" s="1647" t="s">
        <v>1653</v>
      </c>
      <c r="M2251" s="1648">
        <v>1.0378999999999999E-2</v>
      </c>
      <c r="N2251" s="1649">
        <v>1.6270041663366803</v>
      </c>
      <c r="O2251" s="1649"/>
    </row>
    <row r="2252" spans="11:15">
      <c r="K2252" s="1646">
        <v>44309</v>
      </c>
      <c r="L2252" s="1647" t="s">
        <v>1653</v>
      </c>
      <c r="M2252" s="1648">
        <v>1.0378999999999999E-2</v>
      </c>
      <c r="N2252" s="1649">
        <v>1.6271730330991045</v>
      </c>
      <c r="O2252" s="1649"/>
    </row>
    <row r="2253" spans="11:15">
      <c r="K2253" s="1646">
        <v>44310</v>
      </c>
      <c r="L2253" s="1647"/>
      <c r="M2253" s="1648">
        <v>0</v>
      </c>
      <c r="N2253" s="1649">
        <v>1.6271730330991045</v>
      </c>
      <c r="O2253" s="1649"/>
    </row>
    <row r="2254" spans="11:15">
      <c r="K2254" s="1646">
        <v>44311</v>
      </c>
      <c r="L2254" s="1647"/>
      <c r="M2254" s="1648">
        <v>0</v>
      </c>
      <c r="N2254" s="1649">
        <v>1.6271730330991045</v>
      </c>
      <c r="O2254" s="1649"/>
    </row>
    <row r="2255" spans="11:15">
      <c r="K2255" s="1646">
        <v>44312</v>
      </c>
      <c r="L2255" s="1647" t="s">
        <v>1653</v>
      </c>
      <c r="M2255" s="1648">
        <v>1.0378999999999999E-2</v>
      </c>
      <c r="N2255" s="1649">
        <v>1.62734191738821</v>
      </c>
      <c r="O2255" s="1649"/>
    </row>
    <row r="2256" spans="11:15">
      <c r="K2256" s="1646">
        <v>44313</v>
      </c>
      <c r="L2256" s="1647" t="s">
        <v>1653</v>
      </c>
      <c r="M2256" s="1648">
        <v>1.0378999999999999E-2</v>
      </c>
      <c r="N2256" s="1649">
        <v>1.6275108192058159</v>
      </c>
      <c r="O2256" s="1649"/>
    </row>
    <row r="2257" spans="11:15">
      <c r="K2257" s="1646">
        <v>44314</v>
      </c>
      <c r="L2257" s="1647" t="s">
        <v>1653</v>
      </c>
      <c r="M2257" s="1648">
        <v>1.0378999999999999E-2</v>
      </c>
      <c r="N2257" s="1649">
        <v>1.6276797385537414</v>
      </c>
      <c r="O2257" s="1649"/>
    </row>
    <row r="2258" spans="11:15">
      <c r="K2258" s="1646">
        <v>44315</v>
      </c>
      <c r="L2258" s="1647" t="s">
        <v>1653</v>
      </c>
      <c r="M2258" s="1648">
        <v>1.0378999999999999E-2</v>
      </c>
      <c r="N2258" s="1649">
        <v>1.627848675433806</v>
      </c>
      <c r="O2258" s="1649"/>
    </row>
    <row r="2259" spans="11:15">
      <c r="K2259" s="1646">
        <v>44316</v>
      </c>
      <c r="L2259" s="1647" t="s">
        <v>1653</v>
      </c>
      <c r="M2259" s="1648">
        <v>1.0378999999999999E-2</v>
      </c>
      <c r="N2259" s="1649">
        <v>1.6280176298478293</v>
      </c>
      <c r="O2259" s="1649"/>
    </row>
    <row r="2260" spans="11:15">
      <c r="K2260" s="1646">
        <v>44317</v>
      </c>
      <c r="L2260" s="1647"/>
      <c r="M2260" s="1648">
        <v>0</v>
      </c>
      <c r="N2260" s="1649">
        <v>1.6280176298478293</v>
      </c>
      <c r="O2260" s="1649"/>
    </row>
    <row r="2261" spans="11:15">
      <c r="K2261" s="1646">
        <v>44318</v>
      </c>
      <c r="L2261" s="1647"/>
      <c r="M2261" s="1648">
        <v>0</v>
      </c>
      <c r="N2261" s="1649">
        <v>1.6280176298478293</v>
      </c>
      <c r="O2261" s="1649"/>
    </row>
    <row r="2262" spans="11:15">
      <c r="K2262" s="1646">
        <v>44319</v>
      </c>
      <c r="L2262" s="1647" t="s">
        <v>1653</v>
      </c>
      <c r="M2262" s="1648">
        <v>1.0378999999999999E-2</v>
      </c>
      <c r="N2262" s="1649">
        <v>1.6281866017976312</v>
      </c>
      <c r="O2262" s="1649"/>
    </row>
    <row r="2263" spans="11:15">
      <c r="K2263" s="1646">
        <v>44320</v>
      </c>
      <c r="L2263" s="1647" t="s">
        <v>1653</v>
      </c>
      <c r="M2263" s="1648">
        <v>1.0378999999999999E-2</v>
      </c>
      <c r="N2263" s="1649">
        <v>1.6283555912850318</v>
      </c>
      <c r="O2263" s="1649"/>
    </row>
    <row r="2264" spans="11:15">
      <c r="K2264" s="1646">
        <v>44321</v>
      </c>
      <c r="L2264" s="1647" t="s">
        <v>1653</v>
      </c>
      <c r="M2264" s="1648">
        <v>1.0378999999999999E-2</v>
      </c>
      <c r="N2264" s="1649">
        <v>1.6285245983118515</v>
      </c>
      <c r="O2264" s="1649"/>
    </row>
    <row r="2265" spans="11:15">
      <c r="K2265" s="1646">
        <v>44322</v>
      </c>
      <c r="L2265" s="1647" t="s">
        <v>1653</v>
      </c>
      <c r="M2265" s="1648">
        <v>1.3269E-2</v>
      </c>
      <c r="N2265" s="1649">
        <v>1.6287406872408015</v>
      </c>
      <c r="O2265" s="1649"/>
    </row>
    <row r="2266" spans="11:15">
      <c r="K2266" s="1646">
        <v>44323</v>
      </c>
      <c r="L2266" s="1647" t="s">
        <v>1653</v>
      </c>
      <c r="M2266" s="1648">
        <v>1.3269E-2</v>
      </c>
      <c r="N2266" s="1649">
        <v>1.6289568048425915</v>
      </c>
      <c r="O2266" s="1649"/>
    </row>
    <row r="2267" spans="11:15">
      <c r="K2267" s="1646">
        <v>44324</v>
      </c>
      <c r="L2267" s="1647"/>
      <c r="M2267" s="1648">
        <v>0</v>
      </c>
      <c r="N2267" s="1649">
        <v>1.6289568048425915</v>
      </c>
      <c r="O2267" s="1649"/>
    </row>
    <row r="2268" spans="11:15">
      <c r="K2268" s="1646">
        <v>44325</v>
      </c>
      <c r="L2268" s="1647"/>
      <c r="M2268" s="1648">
        <v>0</v>
      </c>
      <c r="N2268" s="1649">
        <v>1.6289568048425915</v>
      </c>
      <c r="O2268" s="1649"/>
    </row>
    <row r="2269" spans="11:15">
      <c r="K2269" s="1646">
        <v>44326</v>
      </c>
      <c r="L2269" s="1647" t="s">
        <v>1653</v>
      </c>
      <c r="M2269" s="1648">
        <v>1.3269E-2</v>
      </c>
      <c r="N2269" s="1649">
        <v>1.6291729511210262</v>
      </c>
      <c r="O2269" s="1649"/>
    </row>
    <row r="2270" spans="11:15">
      <c r="K2270" s="1646">
        <v>44327</v>
      </c>
      <c r="L2270" s="1647" t="s">
        <v>1653</v>
      </c>
      <c r="M2270" s="1648">
        <v>1.3269E-2</v>
      </c>
      <c r="N2270" s="1649">
        <v>1.6293891260799105</v>
      </c>
      <c r="O2270" s="1649"/>
    </row>
    <row r="2271" spans="11:15">
      <c r="K2271" s="1646">
        <v>44328</v>
      </c>
      <c r="L2271" s="1647" t="s">
        <v>1653</v>
      </c>
      <c r="M2271" s="1648">
        <v>1.3269E-2</v>
      </c>
      <c r="N2271" s="1649">
        <v>1.6296053297230502</v>
      </c>
      <c r="O2271" s="1649"/>
    </row>
    <row r="2272" spans="11:15">
      <c r="K2272" s="1646">
        <v>44329</v>
      </c>
      <c r="L2272" s="1647" t="s">
        <v>1653</v>
      </c>
      <c r="M2272" s="1648">
        <v>1.3269E-2</v>
      </c>
      <c r="N2272" s="1649">
        <v>1.6298215620542511</v>
      </c>
      <c r="O2272" s="1649"/>
    </row>
    <row r="2273" spans="11:15">
      <c r="K2273" s="1646">
        <v>44330</v>
      </c>
      <c r="L2273" s="1647" t="s">
        <v>1653</v>
      </c>
      <c r="M2273" s="1648">
        <v>1.3269E-2</v>
      </c>
      <c r="N2273" s="1649">
        <v>1.6300378230773203</v>
      </c>
      <c r="O2273" s="1649"/>
    </row>
    <row r="2274" spans="11:15">
      <c r="K2274" s="1646">
        <v>44331</v>
      </c>
      <c r="L2274" s="1647"/>
      <c r="M2274" s="1648">
        <v>0</v>
      </c>
      <c r="N2274" s="1649">
        <v>1.6300378230773203</v>
      </c>
      <c r="O2274" s="1649"/>
    </row>
    <row r="2275" spans="11:15">
      <c r="K2275" s="1646">
        <v>44332</v>
      </c>
      <c r="L2275" s="1647"/>
      <c r="M2275" s="1648">
        <v>0</v>
      </c>
      <c r="N2275" s="1649">
        <v>1.6300378230773203</v>
      </c>
      <c r="O2275" s="1649"/>
    </row>
    <row r="2276" spans="11:15">
      <c r="K2276" s="1646">
        <v>44333</v>
      </c>
      <c r="L2276" s="1647" t="s">
        <v>1653</v>
      </c>
      <c r="M2276" s="1648">
        <v>1.3269E-2</v>
      </c>
      <c r="N2276" s="1649">
        <v>1.6302541127960644</v>
      </c>
      <c r="O2276" s="1649"/>
    </row>
    <row r="2277" spans="11:15">
      <c r="K2277" s="1646">
        <v>44334</v>
      </c>
      <c r="L2277" s="1647" t="s">
        <v>1653</v>
      </c>
      <c r="M2277" s="1648">
        <v>1.3269E-2</v>
      </c>
      <c r="N2277" s="1649">
        <v>1.6304704312142912</v>
      </c>
      <c r="O2277" s="1649"/>
    </row>
    <row r="2278" spans="11:15">
      <c r="K2278" s="1646">
        <v>44335</v>
      </c>
      <c r="L2278" s="1647" t="s">
        <v>1653</v>
      </c>
      <c r="M2278" s="1648">
        <v>1.3269E-2</v>
      </c>
      <c r="N2278" s="1649">
        <v>1.6306867783358092</v>
      </c>
      <c r="O2278" s="1649"/>
    </row>
    <row r="2279" spans="11:15">
      <c r="K2279" s="1646">
        <v>44336</v>
      </c>
      <c r="L2279" s="1647" t="s">
        <v>1653</v>
      </c>
      <c r="M2279" s="1648">
        <v>1.3269E-2</v>
      </c>
      <c r="N2279" s="1649">
        <v>1.6309031541644268</v>
      </c>
      <c r="O2279" s="1649"/>
    </row>
    <row r="2280" spans="11:15">
      <c r="K2280" s="1646">
        <v>44337</v>
      </c>
      <c r="L2280" s="1647" t="s">
        <v>1653</v>
      </c>
      <c r="M2280" s="1648">
        <v>1.3269E-2</v>
      </c>
      <c r="N2280" s="1649">
        <v>1.6311195587039529</v>
      </c>
      <c r="O2280" s="1649"/>
    </row>
    <row r="2281" spans="11:15">
      <c r="K2281" s="1646">
        <v>44338</v>
      </c>
      <c r="L2281" s="1647"/>
      <c r="M2281" s="1648">
        <v>0</v>
      </c>
      <c r="N2281" s="1649">
        <v>1.6311195587039529</v>
      </c>
      <c r="O2281" s="1649"/>
    </row>
    <row r="2282" spans="11:15">
      <c r="K2282" s="1646">
        <v>44339</v>
      </c>
      <c r="L2282" s="1647"/>
      <c r="M2282" s="1648">
        <v>0</v>
      </c>
      <c r="N2282" s="1649">
        <v>1.6311195587039529</v>
      </c>
      <c r="O2282" s="1649"/>
    </row>
    <row r="2283" spans="11:15">
      <c r="K2283" s="1646">
        <v>44340</v>
      </c>
      <c r="L2283" s="1647" t="s">
        <v>1653</v>
      </c>
      <c r="M2283" s="1648">
        <v>1.3269E-2</v>
      </c>
      <c r="N2283" s="1649">
        <v>1.6313359919581973</v>
      </c>
      <c r="O2283" s="1649"/>
    </row>
    <row r="2284" spans="11:15">
      <c r="K2284" s="1646">
        <v>44341</v>
      </c>
      <c r="L2284" s="1647" t="s">
        <v>1653</v>
      </c>
      <c r="M2284" s="1648">
        <v>1.3269E-2</v>
      </c>
      <c r="N2284" s="1649">
        <v>1.6315524539309703</v>
      </c>
      <c r="O2284" s="1649"/>
    </row>
    <row r="2285" spans="11:15">
      <c r="K2285" s="1646">
        <v>44342</v>
      </c>
      <c r="L2285" s="1647" t="s">
        <v>1653</v>
      </c>
      <c r="M2285" s="1648">
        <v>1.3269E-2</v>
      </c>
      <c r="N2285" s="1649">
        <v>1.6317689446260824</v>
      </c>
      <c r="O2285" s="1649"/>
    </row>
    <row r="2286" spans="11:15">
      <c r="K2286" s="1646">
        <v>44343</v>
      </c>
      <c r="L2286" s="1647" t="s">
        <v>1653</v>
      </c>
      <c r="M2286" s="1648">
        <v>1.3269E-2</v>
      </c>
      <c r="N2286" s="1649">
        <v>1.6319854640473448</v>
      </c>
      <c r="O2286" s="1649"/>
    </row>
    <row r="2287" spans="11:15">
      <c r="K2287" s="1646">
        <v>44344</v>
      </c>
      <c r="L2287" s="1647" t="s">
        <v>1653</v>
      </c>
      <c r="M2287" s="1648">
        <v>1.3269E-2</v>
      </c>
      <c r="N2287" s="1649">
        <v>1.6322020121985694</v>
      </c>
      <c r="O2287" s="1649"/>
    </row>
    <row r="2288" spans="11:15">
      <c r="K2288" s="1646">
        <v>44345</v>
      </c>
      <c r="L2288" s="1647"/>
      <c r="M2288" s="1648">
        <v>0</v>
      </c>
      <c r="N2288" s="1649">
        <v>1.6322020121985694</v>
      </c>
      <c r="O2288" s="1649"/>
    </row>
    <row r="2289" spans="11:15">
      <c r="K2289" s="1646">
        <v>44346</v>
      </c>
      <c r="L2289" s="1647"/>
      <c r="M2289" s="1648">
        <v>0</v>
      </c>
      <c r="N2289" s="1649">
        <v>1.6322020121985694</v>
      </c>
      <c r="O2289" s="1649"/>
    </row>
    <row r="2290" spans="11:15">
      <c r="K2290" s="1646">
        <v>44347</v>
      </c>
      <c r="L2290" s="1647" t="s">
        <v>1653</v>
      </c>
      <c r="M2290" s="1648">
        <v>1.3269E-2</v>
      </c>
      <c r="N2290" s="1649">
        <v>1.6324185890835681</v>
      </c>
      <c r="O2290" s="1649"/>
    </row>
    <row r="2291" spans="11:15">
      <c r="K2291" s="1646">
        <v>44348</v>
      </c>
      <c r="L2291" s="1647" t="s">
        <v>1653</v>
      </c>
      <c r="M2291" s="1648">
        <v>1.3269E-2</v>
      </c>
      <c r="N2291" s="1649">
        <v>1.6326351947061537</v>
      </c>
      <c r="O2291" s="1649"/>
    </row>
    <row r="2292" spans="11:15">
      <c r="K2292" s="1646">
        <v>44349</v>
      </c>
      <c r="L2292" s="1647" t="s">
        <v>1653</v>
      </c>
      <c r="M2292" s="1648">
        <v>1.3269E-2</v>
      </c>
      <c r="N2292" s="1649">
        <v>1.6328518290701393</v>
      </c>
      <c r="O2292" s="1649"/>
    </row>
    <row r="2293" spans="11:15">
      <c r="K2293" s="1646">
        <v>44350</v>
      </c>
      <c r="L2293" s="1647"/>
      <c r="M2293" s="1648">
        <v>0</v>
      </c>
      <c r="N2293" s="1649">
        <v>1.6328518290701393</v>
      </c>
      <c r="O2293" s="1649"/>
    </row>
    <row r="2294" spans="11:15">
      <c r="K2294" s="1646">
        <v>44351</v>
      </c>
      <c r="L2294" s="1647" t="s">
        <v>1653</v>
      </c>
      <c r="M2294" s="1648">
        <v>1.3269E-2</v>
      </c>
      <c r="N2294" s="1649">
        <v>1.6330684921793386</v>
      </c>
      <c r="O2294" s="1649"/>
    </row>
    <row r="2295" spans="11:15">
      <c r="K2295" s="1646">
        <v>44352</v>
      </c>
      <c r="L2295" s="1647"/>
      <c r="M2295" s="1648">
        <v>0</v>
      </c>
      <c r="N2295" s="1649">
        <v>1.6330684921793386</v>
      </c>
      <c r="O2295" s="1649"/>
    </row>
    <row r="2296" spans="11:15">
      <c r="K2296" s="1646">
        <v>44353</v>
      </c>
      <c r="L2296" s="1647"/>
      <c r="M2296" s="1648">
        <v>0</v>
      </c>
      <c r="N2296" s="1649">
        <v>1.6330684921793386</v>
      </c>
      <c r="O2296" s="1649"/>
    </row>
    <row r="2297" spans="11:15">
      <c r="K2297" s="1646">
        <v>44354</v>
      </c>
      <c r="L2297" s="1647" t="s">
        <v>1653</v>
      </c>
      <c r="M2297" s="1648">
        <v>1.3269E-2</v>
      </c>
      <c r="N2297" s="1649">
        <v>1.633285184037566</v>
      </c>
      <c r="O2297" s="1649"/>
    </row>
    <row r="2298" spans="11:15">
      <c r="K2298" s="1646">
        <v>44355</v>
      </c>
      <c r="L2298" s="1647" t="s">
        <v>1653</v>
      </c>
      <c r="M2298" s="1648">
        <v>1.3269E-2</v>
      </c>
      <c r="N2298" s="1649">
        <v>1.6335019046486359</v>
      </c>
      <c r="O2298" s="1649"/>
    </row>
    <row r="2299" spans="11:15">
      <c r="K2299" s="1646">
        <v>44356</v>
      </c>
      <c r="L2299" s="1647" t="s">
        <v>1653</v>
      </c>
      <c r="M2299" s="1648">
        <v>1.3269E-2</v>
      </c>
      <c r="N2299" s="1649">
        <v>1.6337186540163637</v>
      </c>
      <c r="O2299" s="1649"/>
    </row>
    <row r="2300" spans="11:15">
      <c r="K2300" s="1646">
        <v>44357</v>
      </c>
      <c r="L2300" s="1647" t="s">
        <v>1653</v>
      </c>
      <c r="M2300" s="1648">
        <v>1.3269E-2</v>
      </c>
      <c r="N2300" s="1649">
        <v>1.6339354321445652</v>
      </c>
      <c r="O2300" s="1649"/>
    </row>
    <row r="2301" spans="11:15">
      <c r="K2301" s="1646">
        <v>44358</v>
      </c>
      <c r="L2301" s="1647" t="s">
        <v>1653</v>
      </c>
      <c r="M2301" s="1648">
        <v>1.3269E-2</v>
      </c>
      <c r="N2301" s="1649">
        <v>1.6341522390370564</v>
      </c>
      <c r="O2301" s="1649"/>
    </row>
    <row r="2302" spans="11:15">
      <c r="K2302" s="1646">
        <v>44359</v>
      </c>
      <c r="L2302" s="1647"/>
      <c r="M2302" s="1648">
        <v>0</v>
      </c>
      <c r="N2302" s="1649">
        <v>1.6341522390370564</v>
      </c>
      <c r="O2302" s="1649"/>
    </row>
    <row r="2303" spans="11:15">
      <c r="K2303" s="1646">
        <v>44360</v>
      </c>
      <c r="L2303" s="1647"/>
      <c r="M2303" s="1648">
        <v>0</v>
      </c>
      <c r="N2303" s="1649">
        <v>1.6341522390370564</v>
      </c>
      <c r="O2303" s="1649"/>
    </row>
    <row r="2304" spans="11:15">
      <c r="K2304" s="1646">
        <v>44361</v>
      </c>
      <c r="L2304" s="1647" t="s">
        <v>1653</v>
      </c>
      <c r="M2304" s="1648">
        <v>1.3269E-2</v>
      </c>
      <c r="N2304" s="1649">
        <v>1.6343690746976542</v>
      </c>
      <c r="O2304" s="1649"/>
    </row>
    <row r="2305" spans="11:15">
      <c r="K2305" s="1646">
        <v>44362</v>
      </c>
      <c r="L2305" s="1647" t="s">
        <v>1653</v>
      </c>
      <c r="M2305" s="1648">
        <v>1.3269E-2</v>
      </c>
      <c r="N2305" s="1649">
        <v>1.634585939130176</v>
      </c>
      <c r="O2305" s="1649"/>
    </row>
    <row r="2306" spans="11:15">
      <c r="K2306" s="1646">
        <v>44363</v>
      </c>
      <c r="L2306" s="1647" t="s">
        <v>1653</v>
      </c>
      <c r="M2306" s="1648">
        <v>1.3269E-2</v>
      </c>
      <c r="N2306" s="1649">
        <v>1.6348028323384394</v>
      </c>
      <c r="O2306" s="1649"/>
    </row>
    <row r="2307" spans="11:15">
      <c r="K2307" s="1646">
        <v>44364</v>
      </c>
      <c r="L2307" s="1647" t="s">
        <v>1653</v>
      </c>
      <c r="M2307" s="1648">
        <v>1.6136999999999999E-2</v>
      </c>
      <c r="N2307" s="1649">
        <v>1.635066640471494</v>
      </c>
      <c r="O2307" s="1649"/>
    </row>
    <row r="2308" spans="11:15">
      <c r="K2308" s="1646">
        <v>44365</v>
      </c>
      <c r="L2308" s="1647" t="s">
        <v>1653</v>
      </c>
      <c r="M2308" s="1648">
        <v>1.6136999999999999E-2</v>
      </c>
      <c r="N2308" s="1649">
        <v>1.6353304911752669</v>
      </c>
      <c r="O2308" s="1649"/>
    </row>
    <row r="2309" spans="11:15">
      <c r="K2309" s="1646">
        <v>44366</v>
      </c>
      <c r="L2309" s="1647"/>
      <c r="M2309" s="1648">
        <v>0</v>
      </c>
      <c r="N2309" s="1649">
        <v>1.6353304911752669</v>
      </c>
      <c r="O2309" s="1649"/>
    </row>
    <row r="2310" spans="11:15">
      <c r="K2310" s="1646">
        <v>44367</v>
      </c>
      <c r="L2310" s="1647"/>
      <c r="M2310" s="1648">
        <v>0</v>
      </c>
      <c r="N2310" s="1649">
        <v>1.6353304911752669</v>
      </c>
      <c r="O2310" s="1649"/>
    </row>
    <row r="2311" spans="11:15">
      <c r="K2311" s="1646">
        <v>44368</v>
      </c>
      <c r="L2311" s="1647" t="s">
        <v>1653</v>
      </c>
      <c r="M2311" s="1648">
        <v>1.6136999999999999E-2</v>
      </c>
      <c r="N2311" s="1649">
        <v>1.6355943844566279</v>
      </c>
      <c r="O2311" s="1649"/>
    </row>
    <row r="2312" spans="11:15">
      <c r="K2312" s="1646">
        <v>44369</v>
      </c>
      <c r="L2312" s="1647" t="s">
        <v>1653</v>
      </c>
      <c r="M2312" s="1648">
        <v>1.6136999999999999E-2</v>
      </c>
      <c r="N2312" s="1649">
        <v>1.6358583203224477</v>
      </c>
      <c r="O2312" s="1649"/>
    </row>
    <row r="2313" spans="11:15">
      <c r="K2313" s="1646">
        <v>44370</v>
      </c>
      <c r="L2313" s="1647" t="s">
        <v>1653</v>
      </c>
      <c r="M2313" s="1648">
        <v>1.6136999999999999E-2</v>
      </c>
      <c r="N2313" s="1649">
        <v>1.6361222987795982</v>
      </c>
      <c r="O2313" s="1649"/>
    </row>
    <row r="2314" spans="11:15">
      <c r="K2314" s="1646">
        <v>44371</v>
      </c>
      <c r="L2314" s="1647" t="s">
        <v>1653</v>
      </c>
      <c r="M2314" s="1648">
        <v>1.6136999999999999E-2</v>
      </c>
      <c r="N2314" s="1649">
        <v>1.6363863198349524</v>
      </c>
      <c r="O2314" s="1649"/>
    </row>
    <row r="2315" spans="11:15">
      <c r="K2315" s="1646">
        <v>44372</v>
      </c>
      <c r="L2315" s="1647" t="s">
        <v>1653</v>
      </c>
      <c r="M2315" s="1648">
        <v>1.6136999999999999E-2</v>
      </c>
      <c r="N2315" s="1649">
        <v>1.6366503834953843</v>
      </c>
      <c r="O2315" s="1649"/>
    </row>
    <row r="2316" spans="11:15">
      <c r="K2316" s="1646">
        <v>44373</v>
      </c>
      <c r="L2316" s="1647"/>
      <c r="M2316" s="1648">
        <v>0</v>
      </c>
      <c r="N2316" s="1649">
        <v>1.6366503834953843</v>
      </c>
      <c r="O2316" s="1649"/>
    </row>
    <row r="2317" spans="11:15">
      <c r="K2317" s="1646">
        <v>44374</v>
      </c>
      <c r="L2317" s="1647"/>
      <c r="M2317" s="1648">
        <v>0</v>
      </c>
      <c r="N2317" s="1649">
        <v>1.6366503834953843</v>
      </c>
      <c r="O2317" s="1649"/>
    </row>
    <row r="2318" spans="11:15">
      <c r="K2318" s="1646">
        <v>44375</v>
      </c>
      <c r="L2318" s="1647" t="s">
        <v>1653</v>
      </c>
      <c r="M2318" s="1648">
        <v>1.6136999999999999E-2</v>
      </c>
      <c r="N2318" s="1649">
        <v>1.636914489767769</v>
      </c>
      <c r="O2318" s="1649"/>
    </row>
    <row r="2319" spans="11:15">
      <c r="K2319" s="1646">
        <v>44376</v>
      </c>
      <c r="L2319" s="1647" t="s">
        <v>1653</v>
      </c>
      <c r="M2319" s="1648">
        <v>1.6136999999999999E-2</v>
      </c>
      <c r="N2319" s="1649">
        <v>1.6371786386589828</v>
      </c>
      <c r="O2319" s="1649"/>
    </row>
    <row r="2320" spans="11:15">
      <c r="K2320" s="1646">
        <v>44377</v>
      </c>
      <c r="L2320" s="1647" t="s">
        <v>1653</v>
      </c>
      <c r="M2320" s="1648">
        <v>1.6136999999999999E-2</v>
      </c>
      <c r="N2320" s="1649">
        <v>1.6374428301759034</v>
      </c>
      <c r="O2320" s="1649"/>
    </row>
    <row r="2321" spans="11:15">
      <c r="K2321" s="1646">
        <v>44378</v>
      </c>
      <c r="L2321" s="1647" t="s">
        <v>1653</v>
      </c>
      <c r="M2321" s="1648">
        <v>1.6136999999999999E-2</v>
      </c>
      <c r="N2321" s="1649">
        <v>1.637707064325409</v>
      </c>
      <c r="O2321" s="1649"/>
    </row>
    <row r="2322" spans="11:15">
      <c r="K2322" s="1646">
        <v>44379</v>
      </c>
      <c r="L2322" s="1647" t="s">
        <v>1653</v>
      </c>
      <c r="M2322" s="1648">
        <v>1.6136999999999999E-2</v>
      </c>
      <c r="N2322" s="1649">
        <v>1.6379713411143793</v>
      </c>
      <c r="O2322" s="1649"/>
    </row>
    <row r="2323" spans="11:15">
      <c r="K2323" s="1646">
        <v>44380</v>
      </c>
      <c r="L2323" s="1647"/>
      <c r="M2323" s="1648">
        <v>0</v>
      </c>
      <c r="N2323" s="1649">
        <v>1.6379713411143793</v>
      </c>
      <c r="O2323" s="1649"/>
    </row>
    <row r="2324" spans="11:15">
      <c r="K2324" s="1646">
        <v>44381</v>
      </c>
      <c r="L2324" s="1647"/>
      <c r="M2324" s="1648">
        <v>0</v>
      </c>
      <c r="N2324" s="1649">
        <v>1.6379713411143793</v>
      </c>
      <c r="O2324" s="1649"/>
    </row>
    <row r="2325" spans="11:15">
      <c r="K2325" s="1646">
        <v>44382</v>
      </c>
      <c r="L2325" s="1647" t="s">
        <v>1653</v>
      </c>
      <c r="M2325" s="1648">
        <v>1.6136999999999999E-2</v>
      </c>
      <c r="N2325" s="1649">
        <v>1.638235660549695</v>
      </c>
      <c r="O2325" s="1649"/>
    </row>
    <row r="2326" spans="11:15">
      <c r="K2326" s="1646">
        <v>44383</v>
      </c>
      <c r="L2326" s="1647" t="s">
        <v>1653</v>
      </c>
      <c r="M2326" s="1648">
        <v>1.6136999999999999E-2</v>
      </c>
      <c r="N2326" s="1649">
        <v>1.638500022638238</v>
      </c>
      <c r="O2326" s="1649"/>
    </row>
    <row r="2327" spans="11:15">
      <c r="K2327" s="1646">
        <v>44384</v>
      </c>
      <c r="L2327" s="1647" t="s">
        <v>1653</v>
      </c>
      <c r="M2327" s="1648">
        <v>1.6136999999999999E-2</v>
      </c>
      <c r="N2327" s="1649">
        <v>1.6387644273868913</v>
      </c>
      <c r="O2327" s="1649"/>
    </row>
    <row r="2328" spans="11:15">
      <c r="K2328" s="1646">
        <v>44385</v>
      </c>
      <c r="L2328" s="1647" t="s">
        <v>1653</v>
      </c>
      <c r="M2328" s="1648">
        <v>1.6136999999999999E-2</v>
      </c>
      <c r="N2328" s="1649">
        <v>1.6390288748025388</v>
      </c>
      <c r="O2328" s="1649"/>
    </row>
    <row r="2329" spans="11:15">
      <c r="K2329" s="1646">
        <v>44386</v>
      </c>
      <c r="L2329" s="1647" t="s">
        <v>1653</v>
      </c>
      <c r="M2329" s="1648">
        <v>1.6136999999999999E-2</v>
      </c>
      <c r="N2329" s="1649">
        <v>1.6392933648920658</v>
      </c>
      <c r="O2329" s="1649"/>
    </row>
    <row r="2330" spans="11:15">
      <c r="K2330" s="1646">
        <v>44387</v>
      </c>
      <c r="L2330" s="1647"/>
      <c r="M2330" s="1648">
        <v>0</v>
      </c>
      <c r="N2330" s="1649">
        <v>1.6392933648920658</v>
      </c>
      <c r="O2330" s="1649"/>
    </row>
    <row r="2331" spans="11:15">
      <c r="K2331" s="1646">
        <v>44388</v>
      </c>
      <c r="L2331" s="1647"/>
      <c r="M2331" s="1648">
        <v>0</v>
      </c>
      <c r="N2331" s="1649">
        <v>1.6392933648920658</v>
      </c>
      <c r="O2331" s="1649"/>
    </row>
    <row r="2332" spans="11:15">
      <c r="K2332" s="1646">
        <v>44389</v>
      </c>
      <c r="L2332" s="1647" t="s">
        <v>1653</v>
      </c>
      <c r="M2332" s="1648">
        <v>1.6136999999999999E-2</v>
      </c>
      <c r="N2332" s="1649">
        <v>1.6395578976623586</v>
      </c>
      <c r="O2332" s="1649"/>
    </row>
    <row r="2333" spans="11:15">
      <c r="K2333" s="1646">
        <v>44390</v>
      </c>
      <c r="L2333" s="1647" t="s">
        <v>1653</v>
      </c>
      <c r="M2333" s="1648">
        <v>1.6136999999999999E-2</v>
      </c>
      <c r="N2333" s="1649">
        <v>1.6398224731203044</v>
      </c>
      <c r="O2333" s="1649"/>
    </row>
    <row r="2334" spans="11:15">
      <c r="K2334" s="1646">
        <v>44391</v>
      </c>
      <c r="L2334" s="1647" t="s">
        <v>1653</v>
      </c>
      <c r="M2334" s="1648">
        <v>1.6136999999999999E-2</v>
      </c>
      <c r="N2334" s="1649">
        <v>1.6400870912727918</v>
      </c>
      <c r="O2334" s="1649"/>
    </row>
    <row r="2335" spans="11:15">
      <c r="K2335" s="1646">
        <v>44392</v>
      </c>
      <c r="L2335" s="1647" t="s">
        <v>1653</v>
      </c>
      <c r="M2335" s="1648">
        <v>1.6136999999999999E-2</v>
      </c>
      <c r="N2335" s="1649">
        <v>1.6403517521267106</v>
      </c>
      <c r="O2335" s="1649"/>
    </row>
    <row r="2336" spans="11:15">
      <c r="K2336" s="1646">
        <v>44393</v>
      </c>
      <c r="L2336" s="1647" t="s">
        <v>1653</v>
      </c>
      <c r="M2336" s="1648">
        <v>1.6136999999999999E-2</v>
      </c>
      <c r="N2336" s="1649">
        <v>1.6406164556889513</v>
      </c>
      <c r="O2336" s="1649"/>
    </row>
    <row r="2337" spans="11:15">
      <c r="K2337" s="1646">
        <v>44394</v>
      </c>
      <c r="L2337" s="1647"/>
      <c r="M2337" s="1648">
        <v>0</v>
      </c>
      <c r="N2337" s="1649">
        <v>1.6406164556889513</v>
      </c>
      <c r="O2337" s="1649"/>
    </row>
    <row r="2338" spans="11:15">
      <c r="K2338" s="1646">
        <v>44395</v>
      </c>
      <c r="L2338" s="1647"/>
      <c r="M2338" s="1648">
        <v>0</v>
      </c>
      <c r="N2338" s="1649">
        <v>1.6406164556889513</v>
      </c>
      <c r="O2338" s="1649"/>
    </row>
    <row r="2339" spans="11:15">
      <c r="K2339" s="1646">
        <v>44396</v>
      </c>
      <c r="L2339" s="1647" t="s">
        <v>1653</v>
      </c>
      <c r="M2339" s="1648">
        <v>1.6136999999999999E-2</v>
      </c>
      <c r="N2339" s="1649">
        <v>1.6408812019664059</v>
      </c>
      <c r="O2339" s="1649"/>
    </row>
    <row r="2340" spans="11:15">
      <c r="K2340" s="1646">
        <v>44397</v>
      </c>
      <c r="L2340" s="1647" t="s">
        <v>1653</v>
      </c>
      <c r="M2340" s="1648">
        <v>1.6136999999999999E-2</v>
      </c>
      <c r="N2340" s="1649">
        <v>1.6411459909659674</v>
      </c>
      <c r="O2340" s="1649"/>
    </row>
    <row r="2341" spans="11:15">
      <c r="K2341" s="1646">
        <v>44398</v>
      </c>
      <c r="L2341" s="1647" t="s">
        <v>1653</v>
      </c>
      <c r="M2341" s="1648">
        <v>1.6136999999999999E-2</v>
      </c>
      <c r="N2341" s="1649">
        <v>1.6414108226945296</v>
      </c>
      <c r="O2341" s="1649"/>
    </row>
    <row r="2342" spans="11:15">
      <c r="K2342" s="1646">
        <v>44399</v>
      </c>
      <c r="L2342" s="1647" t="s">
        <v>1653</v>
      </c>
      <c r="M2342" s="1648">
        <v>1.6136999999999999E-2</v>
      </c>
      <c r="N2342" s="1649">
        <v>1.6416756971589879</v>
      </c>
      <c r="O2342" s="1649"/>
    </row>
    <row r="2343" spans="11:15">
      <c r="K2343" s="1646">
        <v>44400</v>
      </c>
      <c r="L2343" s="1647" t="s">
        <v>1653</v>
      </c>
      <c r="M2343" s="1648">
        <v>1.6136999999999999E-2</v>
      </c>
      <c r="N2343" s="1649">
        <v>1.6419406143662385</v>
      </c>
      <c r="O2343" s="1649"/>
    </row>
    <row r="2344" spans="11:15">
      <c r="K2344" s="1646">
        <v>44401</v>
      </c>
      <c r="L2344" s="1647"/>
      <c r="M2344" s="1648">
        <v>0</v>
      </c>
      <c r="N2344" s="1649">
        <v>1.6419406143662385</v>
      </c>
      <c r="O2344" s="1649"/>
    </row>
    <row r="2345" spans="11:15">
      <c r="K2345" s="1646">
        <v>44402</v>
      </c>
      <c r="L2345" s="1647"/>
      <c r="M2345" s="1648">
        <v>0</v>
      </c>
      <c r="N2345" s="1649">
        <v>1.6419406143662385</v>
      </c>
      <c r="O2345" s="1649"/>
    </row>
    <row r="2346" spans="11:15">
      <c r="K2346" s="1646">
        <v>44403</v>
      </c>
      <c r="L2346" s="1647" t="s">
        <v>1653</v>
      </c>
      <c r="M2346" s="1648">
        <v>1.6136999999999999E-2</v>
      </c>
      <c r="N2346" s="1649">
        <v>1.6422055743231789</v>
      </c>
      <c r="O2346" s="1649"/>
    </row>
    <row r="2347" spans="11:15">
      <c r="K2347" s="1646">
        <v>44404</v>
      </c>
      <c r="L2347" s="1647" t="s">
        <v>1653</v>
      </c>
      <c r="M2347" s="1648">
        <v>1.6136999999999999E-2</v>
      </c>
      <c r="N2347" s="1649">
        <v>1.6424705770367076</v>
      </c>
      <c r="O2347" s="1649"/>
    </row>
    <row r="2348" spans="11:15">
      <c r="K2348" s="1646">
        <v>44405</v>
      </c>
      <c r="L2348" s="1647" t="s">
        <v>1653</v>
      </c>
      <c r="M2348" s="1648">
        <v>1.6136999999999999E-2</v>
      </c>
      <c r="N2348" s="1649">
        <v>1.6427356225137242</v>
      </c>
      <c r="O2348" s="1649"/>
    </row>
    <row r="2349" spans="11:15">
      <c r="K2349" s="1646">
        <v>44406</v>
      </c>
      <c r="L2349" s="1647" t="s">
        <v>1653</v>
      </c>
      <c r="M2349" s="1648">
        <v>1.6136999999999999E-2</v>
      </c>
      <c r="N2349" s="1649">
        <v>1.6430007107611293</v>
      </c>
      <c r="O2349" s="1649"/>
    </row>
    <row r="2350" spans="11:15">
      <c r="K2350" s="1646">
        <v>44407</v>
      </c>
      <c r="L2350" s="1647" t="s">
        <v>1653</v>
      </c>
      <c r="M2350" s="1648">
        <v>1.6136999999999999E-2</v>
      </c>
      <c r="N2350" s="1649">
        <v>1.6432658417858248</v>
      </c>
      <c r="O2350" s="1649"/>
    </row>
    <row r="2351" spans="11:15">
      <c r="K2351" s="1646">
        <v>44408</v>
      </c>
      <c r="L2351" s="1647"/>
      <c r="M2351" s="1648">
        <v>0</v>
      </c>
      <c r="N2351" s="1649">
        <v>1.6432658417858248</v>
      </c>
      <c r="O2351" s="1649"/>
    </row>
    <row r="2352" spans="11:15">
      <c r="K2352" s="1646">
        <v>44409</v>
      </c>
      <c r="L2352" s="1647"/>
      <c r="M2352" s="1648">
        <v>0</v>
      </c>
      <c r="N2352" s="1649">
        <v>1.6432658417858248</v>
      </c>
      <c r="O2352" s="1649"/>
    </row>
    <row r="2353" spans="11:15">
      <c r="K2353" s="1646">
        <v>44410</v>
      </c>
      <c r="L2353" s="1647" t="s">
        <v>1653</v>
      </c>
      <c r="M2353" s="1648">
        <v>1.6136999999999999E-2</v>
      </c>
      <c r="N2353" s="1649">
        <v>1.6435310155947138</v>
      </c>
      <c r="O2353" s="1649"/>
    </row>
    <row r="2354" spans="11:15">
      <c r="K2354" s="1646">
        <v>44411</v>
      </c>
      <c r="L2354" s="1647" t="s">
        <v>1653</v>
      </c>
      <c r="M2354" s="1648">
        <v>1.6136999999999999E-2</v>
      </c>
      <c r="N2354" s="1649">
        <v>1.6437962321947004</v>
      </c>
      <c r="O2354" s="1649"/>
    </row>
    <row r="2355" spans="11:15">
      <c r="K2355" s="1646">
        <v>44412</v>
      </c>
      <c r="L2355" s="1647" t="s">
        <v>1653</v>
      </c>
      <c r="M2355" s="1648">
        <v>1.6136999999999999E-2</v>
      </c>
      <c r="N2355" s="1649">
        <v>1.6440614915926897</v>
      </c>
      <c r="O2355" s="1649"/>
    </row>
    <row r="2356" spans="11:15">
      <c r="K2356" s="1646">
        <v>44413</v>
      </c>
      <c r="L2356" s="1647" t="s">
        <v>1653</v>
      </c>
      <c r="M2356" s="1648">
        <v>1.993E-2</v>
      </c>
      <c r="N2356" s="1649">
        <v>1.6443891530479642</v>
      </c>
      <c r="O2356" s="1649"/>
    </row>
    <row r="2357" spans="11:15">
      <c r="K2357" s="1646">
        <v>44414</v>
      </c>
      <c r="L2357" s="1647" t="s">
        <v>1653</v>
      </c>
      <c r="M2357" s="1648">
        <v>1.993E-2</v>
      </c>
      <c r="N2357" s="1649">
        <v>1.6447168798061667</v>
      </c>
      <c r="O2357" s="1649"/>
    </row>
    <row r="2358" spans="11:15">
      <c r="K2358" s="1646">
        <v>44415</v>
      </c>
      <c r="L2358" s="1647"/>
      <c r="M2358" s="1648">
        <v>0</v>
      </c>
      <c r="N2358" s="1649">
        <v>1.6447168798061667</v>
      </c>
      <c r="O2358" s="1649"/>
    </row>
    <row r="2359" spans="11:15">
      <c r="K2359" s="1646">
        <v>44416</v>
      </c>
      <c r="L2359" s="1647"/>
      <c r="M2359" s="1648">
        <v>0</v>
      </c>
      <c r="N2359" s="1649">
        <v>1.6447168798061667</v>
      </c>
      <c r="O2359" s="1649"/>
    </row>
    <row r="2360" spans="11:15">
      <c r="K2360" s="1646">
        <v>44417</v>
      </c>
      <c r="L2360" s="1647" t="s">
        <v>1653</v>
      </c>
      <c r="M2360" s="1648">
        <v>1.993E-2</v>
      </c>
      <c r="N2360" s="1649">
        <v>1.645044671880312</v>
      </c>
      <c r="O2360" s="1649"/>
    </row>
    <row r="2361" spans="11:15">
      <c r="K2361" s="1646">
        <v>44418</v>
      </c>
      <c r="L2361" s="1647" t="s">
        <v>1653</v>
      </c>
      <c r="M2361" s="1648">
        <v>1.993E-2</v>
      </c>
      <c r="N2361" s="1649">
        <v>1.6453725292834178</v>
      </c>
      <c r="O2361" s="1649"/>
    </row>
    <row r="2362" spans="11:15">
      <c r="K2362" s="1646">
        <v>44419</v>
      </c>
      <c r="L2362" s="1647" t="s">
        <v>1653</v>
      </c>
      <c r="M2362" s="1648">
        <v>1.993E-2</v>
      </c>
      <c r="N2362" s="1649">
        <v>1.6457004520285041</v>
      </c>
      <c r="O2362" s="1649"/>
    </row>
    <row r="2363" spans="11:15">
      <c r="K2363" s="1646">
        <v>44420</v>
      </c>
      <c r="L2363" s="1647" t="s">
        <v>1653</v>
      </c>
      <c r="M2363" s="1648">
        <v>1.993E-2</v>
      </c>
      <c r="N2363" s="1649">
        <v>1.6460284401285934</v>
      </c>
      <c r="O2363" s="1649"/>
    </row>
    <row r="2364" spans="11:15">
      <c r="K2364" s="1646">
        <v>44421</v>
      </c>
      <c r="L2364" s="1647" t="s">
        <v>1653</v>
      </c>
      <c r="M2364" s="1648">
        <v>1.993E-2</v>
      </c>
      <c r="N2364" s="1649">
        <v>1.646356493596711</v>
      </c>
      <c r="O2364" s="1649"/>
    </row>
    <row r="2365" spans="11:15">
      <c r="K2365" s="1646">
        <v>44422</v>
      </c>
      <c r="L2365" s="1647"/>
      <c r="M2365" s="1648">
        <v>0</v>
      </c>
      <c r="N2365" s="1649">
        <v>1.646356493596711</v>
      </c>
      <c r="O2365" s="1649"/>
    </row>
    <row r="2366" spans="11:15">
      <c r="K2366" s="1646">
        <v>44423</v>
      </c>
      <c r="L2366" s="1647"/>
      <c r="M2366" s="1648">
        <v>0</v>
      </c>
      <c r="N2366" s="1649">
        <v>1.646356493596711</v>
      </c>
      <c r="O2366" s="1649"/>
    </row>
    <row r="2367" spans="11:15">
      <c r="K2367" s="1646">
        <v>44424</v>
      </c>
      <c r="L2367" s="1647" t="s">
        <v>1653</v>
      </c>
      <c r="M2367" s="1648">
        <v>1.993E-2</v>
      </c>
      <c r="N2367" s="1649">
        <v>1.6466846124458849</v>
      </c>
      <c r="O2367" s="1649"/>
    </row>
    <row r="2368" spans="11:15">
      <c r="K2368" s="1646">
        <v>44425</v>
      </c>
      <c r="L2368" s="1647" t="s">
        <v>1653</v>
      </c>
      <c r="M2368" s="1648">
        <v>1.993E-2</v>
      </c>
      <c r="N2368" s="1649">
        <v>1.6470127966891455</v>
      </c>
      <c r="O2368" s="1649"/>
    </row>
    <row r="2369" spans="11:15">
      <c r="K2369" s="1646">
        <v>44426</v>
      </c>
      <c r="L2369" s="1647" t="s">
        <v>1653</v>
      </c>
      <c r="M2369" s="1648">
        <v>1.993E-2</v>
      </c>
      <c r="N2369" s="1649">
        <v>1.6473410463395257</v>
      </c>
      <c r="O2369" s="1649"/>
    </row>
    <row r="2370" spans="11:15">
      <c r="K2370" s="1646">
        <v>44427</v>
      </c>
      <c r="L2370" s="1647" t="s">
        <v>1653</v>
      </c>
      <c r="M2370" s="1648">
        <v>1.993E-2</v>
      </c>
      <c r="N2370" s="1649">
        <v>1.6476693614100613</v>
      </c>
      <c r="O2370" s="1649"/>
    </row>
    <row r="2371" spans="11:15">
      <c r="K2371" s="1646">
        <v>44428</v>
      </c>
      <c r="L2371" s="1647" t="s">
        <v>1653</v>
      </c>
      <c r="M2371" s="1648">
        <v>1.993E-2</v>
      </c>
      <c r="N2371" s="1649">
        <v>1.6479977419137903</v>
      </c>
      <c r="O2371" s="1649"/>
    </row>
    <row r="2372" spans="11:15">
      <c r="K2372" s="1646">
        <v>44429</v>
      </c>
      <c r="L2372" s="1647"/>
      <c r="M2372" s="1648">
        <v>0</v>
      </c>
      <c r="N2372" s="1649">
        <v>1.6479977419137903</v>
      </c>
      <c r="O2372" s="1649"/>
    </row>
    <row r="2373" spans="11:15">
      <c r="K2373" s="1646">
        <v>44430</v>
      </c>
      <c r="L2373" s="1647"/>
      <c r="M2373" s="1648">
        <v>0</v>
      </c>
      <c r="N2373" s="1649">
        <v>1.6479977419137903</v>
      </c>
      <c r="O2373" s="1649"/>
    </row>
    <row r="2374" spans="11:15">
      <c r="K2374" s="1646">
        <v>44431</v>
      </c>
      <c r="L2374" s="1647" t="s">
        <v>1653</v>
      </c>
      <c r="M2374" s="1648">
        <v>1.993E-2</v>
      </c>
      <c r="N2374" s="1649">
        <v>1.6483261878637538</v>
      </c>
      <c r="O2374" s="1649"/>
    </row>
    <row r="2375" spans="11:15">
      <c r="K2375" s="1646">
        <v>44432</v>
      </c>
      <c r="L2375" s="1647" t="s">
        <v>1653</v>
      </c>
      <c r="M2375" s="1648">
        <v>1.993E-2</v>
      </c>
      <c r="N2375" s="1649">
        <v>1.6486546992729951</v>
      </c>
      <c r="O2375" s="1649"/>
    </row>
    <row r="2376" spans="11:15">
      <c r="K2376" s="1646">
        <v>44433</v>
      </c>
      <c r="L2376" s="1647" t="s">
        <v>1653</v>
      </c>
      <c r="M2376" s="1648">
        <v>1.993E-2</v>
      </c>
      <c r="N2376" s="1649">
        <v>1.6489832761545602</v>
      </c>
      <c r="O2376" s="1649"/>
    </row>
    <row r="2377" spans="11:15">
      <c r="K2377" s="1646">
        <v>44434</v>
      </c>
      <c r="L2377" s="1647" t="s">
        <v>1653</v>
      </c>
      <c r="M2377" s="1648">
        <v>1.993E-2</v>
      </c>
      <c r="N2377" s="1649">
        <v>1.6493119185214977</v>
      </c>
      <c r="O2377" s="1649"/>
    </row>
    <row r="2378" spans="11:15">
      <c r="K2378" s="1646">
        <v>44435</v>
      </c>
      <c r="L2378" s="1647" t="s">
        <v>1653</v>
      </c>
      <c r="M2378" s="1648">
        <v>1.993E-2</v>
      </c>
      <c r="N2378" s="1649">
        <v>1.649640626386859</v>
      </c>
      <c r="O2378" s="1649"/>
    </row>
    <row r="2379" spans="11:15">
      <c r="K2379" s="1646">
        <v>44436</v>
      </c>
      <c r="L2379" s="1647"/>
      <c r="M2379" s="1648">
        <v>0</v>
      </c>
      <c r="N2379" s="1649">
        <v>1.649640626386859</v>
      </c>
      <c r="O2379" s="1649"/>
    </row>
    <row r="2380" spans="11:15">
      <c r="K2380" s="1646">
        <v>44437</v>
      </c>
      <c r="L2380" s="1647"/>
      <c r="M2380" s="1648">
        <v>0</v>
      </c>
      <c r="N2380" s="1649">
        <v>1.649640626386859</v>
      </c>
      <c r="O2380" s="1649"/>
    </row>
    <row r="2381" spans="11:15">
      <c r="K2381" s="1646">
        <v>44438</v>
      </c>
      <c r="L2381" s="1647" t="s">
        <v>1653</v>
      </c>
      <c r="M2381" s="1648">
        <v>1.993E-2</v>
      </c>
      <c r="N2381" s="1649">
        <v>1.6499693997636979</v>
      </c>
      <c r="O2381" s="1649"/>
    </row>
    <row r="2382" spans="11:15">
      <c r="K2382" s="1646">
        <v>44439</v>
      </c>
      <c r="L2382" s="1647" t="s">
        <v>1653</v>
      </c>
      <c r="M2382" s="1648">
        <v>1.993E-2</v>
      </c>
      <c r="N2382" s="1649">
        <v>1.6502982386650709</v>
      </c>
      <c r="O2382" s="1649"/>
    </row>
    <row r="2383" spans="11:15">
      <c r="K2383" s="1646">
        <v>44440</v>
      </c>
      <c r="L2383" s="1647" t="s">
        <v>1653</v>
      </c>
      <c r="M2383" s="1648">
        <v>1.993E-2</v>
      </c>
      <c r="N2383" s="1649">
        <v>1.6506271431040369</v>
      </c>
      <c r="O2383" s="1649"/>
    </row>
    <row r="2384" spans="11:15">
      <c r="K2384" s="1646">
        <v>44441</v>
      </c>
      <c r="L2384" s="1647" t="s">
        <v>1653</v>
      </c>
      <c r="M2384" s="1648">
        <v>1.993E-2</v>
      </c>
      <c r="N2384" s="1649">
        <v>1.6509561130936576</v>
      </c>
      <c r="O2384" s="1649"/>
    </row>
    <row r="2385" spans="11:15">
      <c r="K2385" s="1646">
        <v>44442</v>
      </c>
      <c r="L2385" s="1647" t="s">
        <v>1653</v>
      </c>
      <c r="M2385" s="1648">
        <v>1.993E-2</v>
      </c>
      <c r="N2385" s="1649">
        <v>1.6512851486469973</v>
      </c>
      <c r="O2385" s="1649"/>
    </row>
    <row r="2386" spans="11:15">
      <c r="K2386" s="1646">
        <v>44443</v>
      </c>
      <c r="L2386" s="1647"/>
      <c r="M2386" s="1648">
        <v>0</v>
      </c>
      <c r="N2386" s="1649">
        <v>1.6512851486469973</v>
      </c>
      <c r="O2386" s="1649"/>
    </row>
    <row r="2387" spans="11:15">
      <c r="K2387" s="1646">
        <v>44444</v>
      </c>
      <c r="L2387" s="1647"/>
      <c r="M2387" s="1648">
        <v>0</v>
      </c>
      <c r="N2387" s="1649">
        <v>1.6512851486469973</v>
      </c>
      <c r="O2387" s="1649"/>
    </row>
    <row r="2388" spans="11:15">
      <c r="K2388" s="1646">
        <v>44445</v>
      </c>
      <c r="L2388" s="1647" t="s">
        <v>1653</v>
      </c>
      <c r="M2388" s="1648">
        <v>1.993E-2</v>
      </c>
      <c r="N2388" s="1649">
        <v>1.6516142497771227</v>
      </c>
      <c r="O2388" s="1649"/>
    </row>
    <row r="2389" spans="11:15">
      <c r="K2389" s="1646">
        <v>44446</v>
      </c>
      <c r="L2389" s="1647"/>
      <c r="M2389" s="1648">
        <v>0</v>
      </c>
      <c r="N2389" s="1649">
        <v>1.6516142497771227</v>
      </c>
      <c r="O2389" s="1649"/>
    </row>
    <row r="2390" spans="11:15">
      <c r="K2390" s="1646">
        <v>44447</v>
      </c>
      <c r="L2390" s="1647" t="s">
        <v>1653</v>
      </c>
      <c r="M2390" s="1648">
        <v>1.993E-2</v>
      </c>
      <c r="N2390" s="1649">
        <v>1.6519434164971032</v>
      </c>
      <c r="O2390" s="1649"/>
    </row>
    <row r="2391" spans="11:15">
      <c r="K2391" s="1646">
        <v>44448</v>
      </c>
      <c r="L2391" s="1647" t="s">
        <v>1653</v>
      </c>
      <c r="M2391" s="1648">
        <v>1.993E-2</v>
      </c>
      <c r="N2391" s="1649">
        <v>1.652272648820011</v>
      </c>
      <c r="O2391" s="1649"/>
    </row>
    <row r="2392" spans="11:15">
      <c r="K2392" s="1646">
        <v>44449</v>
      </c>
      <c r="L2392" s="1647" t="s">
        <v>1653</v>
      </c>
      <c r="M2392" s="1648">
        <v>1.993E-2</v>
      </c>
      <c r="N2392" s="1649">
        <v>1.6526019467589208</v>
      </c>
      <c r="O2392" s="1649"/>
    </row>
    <row r="2393" spans="11:15">
      <c r="K2393" s="1646">
        <v>44450</v>
      </c>
      <c r="L2393" s="1647"/>
      <c r="M2393" s="1648">
        <v>0</v>
      </c>
      <c r="N2393" s="1649">
        <v>1.6526019467589208</v>
      </c>
      <c r="O2393" s="1649"/>
    </row>
    <row r="2394" spans="11:15">
      <c r="K2394" s="1646">
        <v>44451</v>
      </c>
      <c r="L2394" s="1647"/>
      <c r="M2394" s="1648">
        <v>0</v>
      </c>
      <c r="N2394" s="1649">
        <v>1.6526019467589208</v>
      </c>
      <c r="O2394" s="1649"/>
    </row>
    <row r="2395" spans="11:15">
      <c r="K2395" s="1646">
        <v>44452</v>
      </c>
      <c r="L2395" s="1647" t="s">
        <v>1653</v>
      </c>
      <c r="M2395" s="1648">
        <v>1.993E-2</v>
      </c>
      <c r="N2395" s="1649">
        <v>1.6529313103269099</v>
      </c>
      <c r="O2395" s="1649"/>
    </row>
    <row r="2396" spans="11:15">
      <c r="K2396" s="1646">
        <v>44453</v>
      </c>
      <c r="L2396" s="1647" t="s">
        <v>1653</v>
      </c>
      <c r="M2396" s="1648">
        <v>1.993E-2</v>
      </c>
      <c r="N2396" s="1649">
        <v>1.653260739537058</v>
      </c>
      <c r="O2396" s="1649"/>
    </row>
    <row r="2397" spans="11:15">
      <c r="K2397" s="1646">
        <v>44454</v>
      </c>
      <c r="L2397" s="1647" t="s">
        <v>1653</v>
      </c>
      <c r="M2397" s="1648">
        <v>1.993E-2</v>
      </c>
      <c r="N2397" s="1649">
        <v>1.6535902344024478</v>
      </c>
      <c r="O2397" s="1649"/>
    </row>
    <row r="2398" spans="11:15">
      <c r="K2398" s="1646">
        <v>44455</v>
      </c>
      <c r="L2398" s="1647" t="s">
        <v>1653</v>
      </c>
      <c r="M2398" s="1648">
        <v>1.993E-2</v>
      </c>
      <c r="N2398" s="1649">
        <v>1.6539197949361641</v>
      </c>
      <c r="O2398" s="1649"/>
    </row>
    <row r="2399" spans="11:15">
      <c r="K2399" s="1646">
        <v>44456</v>
      </c>
      <c r="L2399" s="1647" t="s">
        <v>1653</v>
      </c>
      <c r="M2399" s="1648">
        <v>1.993E-2</v>
      </c>
      <c r="N2399" s="1649">
        <v>1.654249421151295</v>
      </c>
      <c r="O2399" s="1649"/>
    </row>
    <row r="2400" spans="11:15">
      <c r="K2400" s="1646">
        <v>44457</v>
      </c>
      <c r="L2400" s="1647"/>
      <c r="M2400" s="1648">
        <v>0</v>
      </c>
      <c r="N2400" s="1649">
        <v>1.654249421151295</v>
      </c>
      <c r="O2400" s="1649"/>
    </row>
    <row r="2401" spans="11:15">
      <c r="K2401" s="1646">
        <v>44458</v>
      </c>
      <c r="L2401" s="1647"/>
      <c r="M2401" s="1648">
        <v>0</v>
      </c>
      <c r="N2401" s="1649">
        <v>1.654249421151295</v>
      </c>
      <c r="O2401" s="1649"/>
    </row>
    <row r="2402" spans="11:15">
      <c r="K2402" s="1646">
        <v>44459</v>
      </c>
      <c r="L2402" s="1647" t="s">
        <v>1653</v>
      </c>
      <c r="M2402" s="1648">
        <v>1.993E-2</v>
      </c>
      <c r="N2402" s="1649">
        <v>1.6545791130609304</v>
      </c>
      <c r="O2402" s="1649"/>
    </row>
    <row r="2403" spans="11:15">
      <c r="K2403" s="1646">
        <v>44460</v>
      </c>
      <c r="L2403" s="1647" t="s">
        <v>1653</v>
      </c>
      <c r="M2403" s="1648">
        <v>1.993E-2</v>
      </c>
      <c r="N2403" s="1649">
        <v>1.6549088706781634</v>
      </c>
      <c r="O2403" s="1649"/>
    </row>
    <row r="2404" spans="11:15">
      <c r="K2404" s="1646">
        <v>44461</v>
      </c>
      <c r="L2404" s="1647" t="s">
        <v>1653</v>
      </c>
      <c r="M2404" s="1648">
        <v>1.993E-2</v>
      </c>
      <c r="N2404" s="1649">
        <v>1.6552386940160895</v>
      </c>
      <c r="O2404" s="1649"/>
    </row>
    <row r="2405" spans="11:15">
      <c r="K2405" s="1646">
        <v>44462</v>
      </c>
      <c r="L2405" s="1647" t="s">
        <v>1653</v>
      </c>
      <c r="M2405" s="1648">
        <v>2.3687E-2</v>
      </c>
      <c r="N2405" s="1649">
        <v>1.6556307704055411</v>
      </c>
      <c r="O2405" s="1649"/>
    </row>
    <row r="2406" spans="11:15">
      <c r="K2406" s="1646">
        <v>44463</v>
      </c>
      <c r="L2406" s="1647" t="s">
        <v>1653</v>
      </c>
      <c r="M2406" s="1648">
        <v>2.3687E-2</v>
      </c>
      <c r="N2406" s="1649">
        <v>1.656022939666127</v>
      </c>
      <c r="O2406" s="1649"/>
    </row>
    <row r="2407" spans="11:15">
      <c r="K2407" s="1646">
        <v>44464</v>
      </c>
      <c r="L2407" s="1647"/>
      <c r="M2407" s="1648">
        <v>0</v>
      </c>
      <c r="N2407" s="1649">
        <v>1.656022939666127</v>
      </c>
      <c r="O2407" s="1649"/>
    </row>
    <row r="2408" spans="11:15">
      <c r="K2408" s="1646">
        <v>44465</v>
      </c>
      <c r="L2408" s="1647"/>
      <c r="M2408" s="1648">
        <v>0</v>
      </c>
      <c r="N2408" s="1649">
        <v>1.656022939666127</v>
      </c>
      <c r="O2408" s="1649"/>
    </row>
    <row r="2409" spans="11:15">
      <c r="K2409" s="1646">
        <v>44466</v>
      </c>
      <c r="L2409" s="1647" t="s">
        <v>1653</v>
      </c>
      <c r="M2409" s="1648">
        <v>2.3687E-2</v>
      </c>
      <c r="N2409" s="1649">
        <v>1.6564152018198457</v>
      </c>
      <c r="O2409" s="1649"/>
    </row>
    <row r="2410" spans="11:15">
      <c r="K2410" s="1646">
        <v>44467</v>
      </c>
      <c r="L2410" s="1647" t="s">
        <v>1653</v>
      </c>
      <c r="M2410" s="1648">
        <v>2.3687E-2</v>
      </c>
      <c r="N2410" s="1649">
        <v>1.6568075568887006</v>
      </c>
      <c r="O2410" s="1649"/>
    </row>
    <row r="2411" spans="11:15">
      <c r="K2411" s="1646">
        <v>44468</v>
      </c>
      <c r="L2411" s="1647" t="s">
        <v>1653</v>
      </c>
      <c r="M2411" s="1648">
        <v>2.3687E-2</v>
      </c>
      <c r="N2411" s="1649">
        <v>1.6572000048947009</v>
      </c>
      <c r="O2411" s="1649"/>
    </row>
    <row r="2412" spans="11:15">
      <c r="K2412" s="1646">
        <v>44469</v>
      </c>
      <c r="L2412" s="1647" t="s">
        <v>1653</v>
      </c>
      <c r="M2412" s="1648">
        <v>2.3687E-2</v>
      </c>
      <c r="N2412" s="1649">
        <v>1.6575925458598602</v>
      </c>
      <c r="O2412" s="1649"/>
    </row>
    <row r="2413" spans="11:15">
      <c r="K2413" s="1646">
        <v>44470</v>
      </c>
      <c r="L2413" s="1647" t="s">
        <v>1653</v>
      </c>
      <c r="M2413" s="1648">
        <v>2.3687E-2</v>
      </c>
      <c r="N2413" s="1649">
        <v>1.657985179806198</v>
      </c>
      <c r="O2413" s="1649"/>
    </row>
    <row r="2414" spans="11:15">
      <c r="K2414" s="1646">
        <v>44471</v>
      </c>
      <c r="L2414" s="1647"/>
      <c r="M2414" s="1648">
        <v>0</v>
      </c>
      <c r="N2414" s="1649">
        <v>1.657985179806198</v>
      </c>
      <c r="O2414" s="1649"/>
    </row>
    <row r="2415" spans="11:15">
      <c r="K2415" s="1646">
        <v>44472</v>
      </c>
      <c r="L2415" s="1647"/>
      <c r="M2415" s="1648">
        <v>0</v>
      </c>
      <c r="N2415" s="1649">
        <v>1.657985179806198</v>
      </c>
      <c r="O2415" s="1649"/>
    </row>
    <row r="2416" spans="11:15">
      <c r="K2416" s="1646">
        <v>44473</v>
      </c>
      <c r="L2416" s="1647" t="s">
        <v>1653</v>
      </c>
      <c r="M2416" s="1648">
        <v>2.3687E-2</v>
      </c>
      <c r="N2416" s="1649">
        <v>1.6583779067557385</v>
      </c>
      <c r="O2416" s="1649"/>
    </row>
    <row r="2417" spans="11:15">
      <c r="K2417" s="1646">
        <v>44474</v>
      </c>
      <c r="L2417" s="1647" t="s">
        <v>1653</v>
      </c>
      <c r="M2417" s="1648">
        <v>2.3687E-2</v>
      </c>
      <c r="N2417" s="1649">
        <v>1.6587707267305116</v>
      </c>
      <c r="O2417" s="1649"/>
    </row>
    <row r="2418" spans="11:15">
      <c r="K2418" s="1646">
        <v>44475</v>
      </c>
      <c r="L2418" s="1647" t="s">
        <v>1653</v>
      </c>
      <c r="M2418" s="1648">
        <v>2.3687E-2</v>
      </c>
      <c r="N2418" s="1649">
        <v>1.6591636397525522</v>
      </c>
      <c r="O2418" s="1649"/>
    </row>
    <row r="2419" spans="11:15">
      <c r="K2419" s="1646">
        <v>44476</v>
      </c>
      <c r="L2419" s="1647" t="s">
        <v>1653</v>
      </c>
      <c r="M2419" s="1648">
        <v>2.3687E-2</v>
      </c>
      <c r="N2419" s="1649">
        <v>1.6595566458439004</v>
      </c>
      <c r="O2419" s="1649"/>
    </row>
    <row r="2420" spans="11:15">
      <c r="K2420" s="1646">
        <v>44477</v>
      </c>
      <c r="L2420" s="1647" t="s">
        <v>1653</v>
      </c>
      <c r="M2420" s="1648">
        <v>2.3687E-2</v>
      </c>
      <c r="N2420" s="1649">
        <v>1.6599497450266014</v>
      </c>
      <c r="O2420" s="1649"/>
    </row>
    <row r="2421" spans="11:15">
      <c r="K2421" s="1646">
        <v>44478</v>
      </c>
      <c r="L2421" s="1647"/>
      <c r="M2421" s="1648">
        <v>0</v>
      </c>
      <c r="N2421" s="1649">
        <v>1.6599497450266014</v>
      </c>
      <c r="O2421" s="1649"/>
    </row>
    <row r="2422" spans="11:15">
      <c r="K2422" s="1646">
        <v>44479</v>
      </c>
      <c r="L2422" s="1647"/>
      <c r="M2422" s="1648">
        <v>0</v>
      </c>
      <c r="N2422" s="1649">
        <v>1.6599497450266014</v>
      </c>
      <c r="O2422" s="1649"/>
    </row>
    <row r="2423" spans="11:15">
      <c r="K2423" s="1646">
        <v>44480</v>
      </c>
      <c r="L2423" s="1647" t="s">
        <v>1653</v>
      </c>
      <c r="M2423" s="1648">
        <v>2.3687E-2</v>
      </c>
      <c r="N2423" s="1649">
        <v>1.6603429373227059</v>
      </c>
      <c r="O2423" s="1649"/>
    </row>
    <row r="2424" spans="11:15">
      <c r="K2424" s="1646">
        <v>44481</v>
      </c>
      <c r="L2424" s="1647"/>
      <c r="M2424" s="1648">
        <v>0</v>
      </c>
      <c r="N2424" s="1649">
        <v>1.6603429373227059</v>
      </c>
      <c r="O2424" s="1649"/>
    </row>
    <row r="2425" spans="11:15">
      <c r="K2425" s="1646">
        <v>44482</v>
      </c>
      <c r="L2425" s="1647" t="s">
        <v>1653</v>
      </c>
      <c r="M2425" s="1648">
        <v>2.3687E-2</v>
      </c>
      <c r="N2425" s="1649">
        <v>1.6607362227542695</v>
      </c>
      <c r="O2425" s="1649"/>
    </row>
    <row r="2426" spans="11:15">
      <c r="K2426" s="1646">
        <v>44483</v>
      </c>
      <c r="L2426" s="1647" t="s">
        <v>1653</v>
      </c>
      <c r="M2426" s="1648">
        <v>2.3687E-2</v>
      </c>
      <c r="N2426" s="1649">
        <v>1.6611296013433532</v>
      </c>
      <c r="O2426" s="1649"/>
    </row>
    <row r="2427" spans="11:15">
      <c r="K2427" s="1646">
        <v>44484</v>
      </c>
      <c r="L2427" s="1647" t="s">
        <v>1653</v>
      </c>
      <c r="M2427" s="1648">
        <v>2.3687E-2</v>
      </c>
      <c r="N2427" s="1649">
        <v>1.6615230731120234</v>
      </c>
      <c r="O2427" s="1649"/>
    </row>
    <row r="2428" spans="11:15">
      <c r="K2428" s="1646">
        <v>44485</v>
      </c>
      <c r="L2428" s="1647"/>
      <c r="M2428" s="1648">
        <v>0</v>
      </c>
      <c r="N2428" s="1649">
        <v>1.6615230731120234</v>
      </c>
      <c r="O2428" s="1649"/>
    </row>
    <row r="2429" spans="11:15">
      <c r="K2429" s="1646">
        <v>44486</v>
      </c>
      <c r="L2429" s="1647"/>
      <c r="M2429" s="1648">
        <v>0</v>
      </c>
      <c r="N2429" s="1649">
        <v>1.6615230731120234</v>
      </c>
      <c r="O2429" s="1649"/>
    </row>
    <row r="2430" spans="11:15">
      <c r="K2430" s="1646">
        <v>44487</v>
      </c>
      <c r="L2430" s="1647" t="s">
        <v>1653</v>
      </c>
      <c r="M2430" s="1648">
        <v>2.3687E-2</v>
      </c>
      <c r="N2430" s="1649">
        <v>1.6619166380823513</v>
      </c>
      <c r="O2430" s="1649"/>
    </row>
    <row r="2431" spans="11:15">
      <c r="K2431" s="1646">
        <v>44488</v>
      </c>
      <c r="L2431" s="1647" t="s">
        <v>1653</v>
      </c>
      <c r="M2431" s="1648">
        <v>2.3687E-2</v>
      </c>
      <c r="N2431" s="1649">
        <v>1.6623102962764138</v>
      </c>
      <c r="O2431" s="1649"/>
    </row>
    <row r="2432" spans="11:15">
      <c r="K2432" s="1646">
        <v>44489</v>
      </c>
      <c r="L2432" s="1647" t="s">
        <v>1653</v>
      </c>
      <c r="M2432" s="1648">
        <v>2.3687E-2</v>
      </c>
      <c r="N2432" s="1649">
        <v>1.6627040477162927</v>
      </c>
      <c r="O2432" s="1649"/>
    </row>
    <row r="2433" spans="11:15">
      <c r="K2433" s="1646">
        <v>44490</v>
      </c>
      <c r="L2433" s="1647" t="s">
        <v>1653</v>
      </c>
      <c r="M2433" s="1648">
        <v>2.3687E-2</v>
      </c>
      <c r="N2433" s="1649">
        <v>1.6630978924240751</v>
      </c>
      <c r="O2433" s="1649"/>
    </row>
    <row r="2434" spans="11:15">
      <c r="K2434" s="1646">
        <v>44491</v>
      </c>
      <c r="L2434" s="1647" t="s">
        <v>1653</v>
      </c>
      <c r="M2434" s="1648">
        <v>2.3687E-2</v>
      </c>
      <c r="N2434" s="1649">
        <v>1.6634918304218536</v>
      </c>
      <c r="O2434" s="1649"/>
    </row>
    <row r="2435" spans="11:15">
      <c r="K2435" s="1646">
        <v>44492</v>
      </c>
      <c r="L2435" s="1647"/>
      <c r="M2435" s="1648">
        <v>0</v>
      </c>
      <c r="N2435" s="1649">
        <v>1.6634918304218536</v>
      </c>
      <c r="O2435" s="1649"/>
    </row>
    <row r="2436" spans="11:15">
      <c r="K2436" s="1646">
        <v>44493</v>
      </c>
      <c r="L2436" s="1647"/>
      <c r="M2436" s="1648">
        <v>0</v>
      </c>
      <c r="N2436" s="1649">
        <v>1.6634918304218536</v>
      </c>
      <c r="O2436" s="1649"/>
    </row>
    <row r="2437" spans="11:15">
      <c r="K2437" s="1646">
        <v>44494</v>
      </c>
      <c r="L2437" s="1647" t="s">
        <v>1653</v>
      </c>
      <c r="M2437" s="1648">
        <v>2.3687E-2</v>
      </c>
      <c r="N2437" s="1649">
        <v>1.6638858617317256</v>
      </c>
      <c r="O2437" s="1649"/>
    </row>
    <row r="2438" spans="11:15">
      <c r="K2438" s="1646">
        <v>44495</v>
      </c>
      <c r="L2438" s="1647" t="s">
        <v>1653</v>
      </c>
      <c r="M2438" s="1648">
        <v>2.3687E-2</v>
      </c>
      <c r="N2438" s="1649">
        <v>1.664279986375794</v>
      </c>
      <c r="O2438" s="1649"/>
    </row>
    <row r="2439" spans="11:15">
      <c r="K2439" s="1646">
        <v>44496</v>
      </c>
      <c r="L2439" s="1647" t="s">
        <v>1653</v>
      </c>
      <c r="M2439" s="1648">
        <v>2.3687E-2</v>
      </c>
      <c r="N2439" s="1649">
        <v>1.6646742043761666</v>
      </c>
      <c r="O2439" s="1649"/>
    </row>
    <row r="2440" spans="11:15">
      <c r="K2440" s="1646">
        <v>44497</v>
      </c>
      <c r="L2440" s="1647" t="s">
        <v>1653</v>
      </c>
      <c r="M2440" s="1648">
        <v>2.9256000000000001E-2</v>
      </c>
      <c r="N2440" s="1649">
        <v>1.6651612214613991</v>
      </c>
      <c r="O2440" s="1649"/>
    </row>
    <row r="2441" spans="11:15">
      <c r="K2441" s="1646">
        <v>44498</v>
      </c>
      <c r="L2441" s="1647" t="s">
        <v>1653</v>
      </c>
      <c r="M2441" s="1648">
        <v>2.9256000000000001E-2</v>
      </c>
      <c r="N2441" s="1649">
        <v>1.66564838102835</v>
      </c>
      <c r="O2441" s="1649"/>
    </row>
    <row r="2442" spans="11:15">
      <c r="K2442" s="1646">
        <v>44499</v>
      </c>
      <c r="L2442" s="1647"/>
      <c r="M2442" s="1648">
        <v>0</v>
      </c>
      <c r="N2442" s="1649">
        <v>1.66564838102835</v>
      </c>
      <c r="O2442" s="1649"/>
    </row>
    <row r="2443" spans="11:15">
      <c r="K2443" s="1646">
        <v>44500</v>
      </c>
      <c r="L2443" s="1647"/>
      <c r="M2443" s="1648">
        <v>0</v>
      </c>
      <c r="N2443" s="1649">
        <v>1.66564838102835</v>
      </c>
      <c r="O2443" s="1649"/>
    </row>
    <row r="2444" spans="11:15">
      <c r="K2444" s="1646">
        <v>44501</v>
      </c>
      <c r="L2444" s="1647" t="s">
        <v>1653</v>
      </c>
      <c r="M2444" s="1648">
        <v>2.9256000000000001E-2</v>
      </c>
      <c r="N2444" s="1649">
        <v>1.6661356831187037</v>
      </c>
      <c r="O2444" s="1649"/>
    </row>
    <row r="2445" spans="11:15">
      <c r="K2445" s="1646">
        <v>44502</v>
      </c>
      <c r="L2445" s="1647"/>
      <c r="M2445" s="1648">
        <v>0</v>
      </c>
      <c r="N2445" s="1649">
        <v>1.6661356831187037</v>
      </c>
      <c r="O2445" s="1649"/>
    </row>
    <row r="2446" spans="11:15">
      <c r="K2446" s="1646">
        <v>44503</v>
      </c>
      <c r="L2446" s="1647" t="s">
        <v>1653</v>
      </c>
      <c r="M2446" s="1648">
        <v>2.9256000000000001E-2</v>
      </c>
      <c r="N2446" s="1649">
        <v>1.6666231277741572</v>
      </c>
      <c r="O2446" s="1649"/>
    </row>
    <row r="2447" spans="11:15">
      <c r="K2447" s="1646">
        <v>44504</v>
      </c>
      <c r="L2447" s="1647" t="s">
        <v>1653</v>
      </c>
      <c r="M2447" s="1648">
        <v>2.9256000000000001E-2</v>
      </c>
      <c r="N2447" s="1649">
        <v>1.6671107150364191</v>
      </c>
      <c r="O2447" s="1649"/>
    </row>
    <row r="2448" spans="11:15">
      <c r="K2448" s="1646">
        <v>44505</v>
      </c>
      <c r="L2448" s="1647" t="s">
        <v>1653</v>
      </c>
      <c r="M2448" s="1648">
        <v>2.9256000000000001E-2</v>
      </c>
      <c r="N2448" s="1649">
        <v>1.6675984449472103</v>
      </c>
      <c r="O2448" s="1649"/>
    </row>
    <row r="2449" spans="11:15">
      <c r="K2449" s="1646">
        <v>44506</v>
      </c>
      <c r="L2449" s="1647"/>
      <c r="M2449" s="1648">
        <v>0</v>
      </c>
      <c r="N2449" s="1649">
        <v>1.6675984449472103</v>
      </c>
      <c r="O2449" s="1649"/>
    </row>
    <row r="2450" spans="11:15">
      <c r="K2450" s="1646">
        <v>44507</v>
      </c>
      <c r="L2450" s="1647"/>
      <c r="M2450" s="1648">
        <v>0</v>
      </c>
      <c r="N2450" s="1649">
        <v>1.6675984449472103</v>
      </c>
      <c r="O2450" s="1649"/>
    </row>
    <row r="2451" spans="11:15">
      <c r="K2451" s="1646">
        <v>44508</v>
      </c>
      <c r="L2451" s="1647" t="s">
        <v>1653</v>
      </c>
      <c r="M2451" s="1648">
        <v>2.9256000000000001E-2</v>
      </c>
      <c r="N2451" s="1649">
        <v>1.6680863175482643</v>
      </c>
      <c r="O2451" s="1649"/>
    </row>
    <row r="2452" spans="11:15">
      <c r="K2452" s="1646">
        <v>44509</v>
      </c>
      <c r="L2452" s="1647" t="s">
        <v>1653</v>
      </c>
      <c r="M2452" s="1648">
        <v>2.9256000000000001E-2</v>
      </c>
      <c r="N2452" s="1649">
        <v>1.6685743328813265</v>
      </c>
      <c r="O2452" s="1649"/>
    </row>
    <row r="2453" spans="11:15">
      <c r="K2453" s="1646">
        <v>44510</v>
      </c>
      <c r="L2453" s="1647" t="s">
        <v>1653</v>
      </c>
      <c r="M2453" s="1648">
        <v>2.9256000000000001E-2</v>
      </c>
      <c r="N2453" s="1649">
        <v>1.6690624909881544</v>
      </c>
      <c r="O2453" s="1649"/>
    </row>
    <row r="2454" spans="11:15">
      <c r="K2454" s="1646">
        <v>44511</v>
      </c>
      <c r="L2454" s="1647" t="s">
        <v>1653</v>
      </c>
      <c r="M2454" s="1648">
        <v>2.9256000000000001E-2</v>
      </c>
      <c r="N2454" s="1649">
        <v>1.6695507919105181</v>
      </c>
      <c r="O2454" s="1649"/>
    </row>
    <row r="2455" spans="11:15">
      <c r="K2455" s="1646">
        <v>44512</v>
      </c>
      <c r="L2455" s="1647" t="s">
        <v>1653</v>
      </c>
      <c r="M2455" s="1648">
        <v>2.9256000000000001E-2</v>
      </c>
      <c r="N2455" s="1649">
        <v>1.6700392356901996</v>
      </c>
      <c r="O2455" s="1649"/>
    </row>
    <row r="2456" spans="11:15">
      <c r="K2456" s="1646">
        <v>44513</v>
      </c>
      <c r="L2456" s="1647"/>
      <c r="M2456" s="1648">
        <v>0</v>
      </c>
      <c r="N2456" s="1649">
        <v>1.6700392356901996</v>
      </c>
      <c r="O2456" s="1649"/>
    </row>
    <row r="2457" spans="11:15">
      <c r="K2457" s="1646">
        <v>44514</v>
      </c>
      <c r="L2457" s="1647"/>
      <c r="M2457" s="1648">
        <v>0</v>
      </c>
      <c r="N2457" s="1649">
        <v>1.6700392356901996</v>
      </c>
      <c r="O2457" s="1649"/>
    </row>
    <row r="2458" spans="11:15">
      <c r="K2458" s="1646">
        <v>44515</v>
      </c>
      <c r="L2458" s="1647"/>
      <c r="M2458" s="1648">
        <v>0</v>
      </c>
      <c r="N2458" s="1649">
        <v>1.6700392356901996</v>
      </c>
      <c r="O2458" s="1649"/>
    </row>
    <row r="2459" spans="11:15">
      <c r="K2459" s="1646">
        <v>44516</v>
      </c>
      <c r="L2459" s="1647" t="s">
        <v>1653</v>
      </c>
      <c r="M2459" s="1648">
        <v>2.9256000000000001E-2</v>
      </c>
      <c r="N2459" s="1649">
        <v>1.6705278223689934</v>
      </c>
      <c r="O2459" s="1649"/>
    </row>
    <row r="2460" spans="11:15">
      <c r="K2460" s="1646">
        <v>44517</v>
      </c>
      <c r="L2460" s="1647" t="s">
        <v>1653</v>
      </c>
      <c r="M2460" s="1648">
        <v>2.9256000000000001E-2</v>
      </c>
      <c r="N2460" s="1649">
        <v>1.6710165519887059</v>
      </c>
      <c r="O2460" s="1649"/>
    </row>
    <row r="2461" spans="11:15">
      <c r="K2461" s="1646">
        <v>44518</v>
      </c>
      <c r="L2461" s="1647" t="s">
        <v>1653</v>
      </c>
      <c r="M2461" s="1648">
        <v>2.9256000000000001E-2</v>
      </c>
      <c r="N2461" s="1649">
        <v>1.6715054245911558</v>
      </c>
      <c r="O2461" s="1649"/>
    </row>
    <row r="2462" spans="11:15">
      <c r="K2462" s="1646">
        <v>44519</v>
      </c>
      <c r="L2462" s="1647" t="s">
        <v>1653</v>
      </c>
      <c r="M2462" s="1648">
        <v>2.9256000000000001E-2</v>
      </c>
      <c r="N2462" s="1649">
        <v>1.6719944402181743</v>
      </c>
      <c r="O2462" s="1649"/>
    </row>
    <row r="2463" spans="11:15">
      <c r="K2463" s="1646">
        <v>44520</v>
      </c>
      <c r="L2463" s="1647"/>
      <c r="M2463" s="1648">
        <v>0</v>
      </c>
      <c r="N2463" s="1649">
        <v>1.6719944402181743</v>
      </c>
      <c r="O2463" s="1649"/>
    </row>
    <row r="2464" spans="11:15">
      <c r="K2464" s="1646">
        <v>44521</v>
      </c>
      <c r="L2464" s="1647"/>
      <c r="M2464" s="1648">
        <v>0</v>
      </c>
      <c r="N2464" s="1649">
        <v>1.6719944402181743</v>
      </c>
      <c r="O2464" s="1649"/>
    </row>
    <row r="2465" spans="11:15">
      <c r="K2465" s="1646">
        <v>44522</v>
      </c>
      <c r="L2465" s="1647" t="s">
        <v>1653</v>
      </c>
      <c r="M2465" s="1648">
        <v>2.9256000000000001E-2</v>
      </c>
      <c r="N2465" s="1649">
        <v>1.6724835989116047</v>
      </c>
      <c r="O2465" s="1649"/>
    </row>
    <row r="2466" spans="11:15">
      <c r="K2466" s="1646">
        <v>44523</v>
      </c>
      <c r="L2466" s="1647" t="s">
        <v>1653</v>
      </c>
      <c r="M2466" s="1648">
        <v>2.9256000000000001E-2</v>
      </c>
      <c r="N2466" s="1649">
        <v>1.6729729007133025</v>
      </c>
      <c r="O2466" s="1649"/>
    </row>
    <row r="2467" spans="11:15">
      <c r="K2467" s="1646">
        <v>44524</v>
      </c>
      <c r="L2467" s="1647" t="s">
        <v>1653</v>
      </c>
      <c r="M2467" s="1648">
        <v>2.9256000000000001E-2</v>
      </c>
      <c r="N2467" s="1649">
        <v>1.6734623456651354</v>
      </c>
      <c r="O2467" s="1649"/>
    </row>
    <row r="2468" spans="11:15">
      <c r="K2468" s="1646">
        <v>44525</v>
      </c>
      <c r="L2468" s="1647" t="s">
        <v>1653</v>
      </c>
      <c r="M2468" s="1648">
        <v>2.9256000000000001E-2</v>
      </c>
      <c r="N2468" s="1649">
        <v>1.6739519338089834</v>
      </c>
      <c r="O2468" s="1649"/>
    </row>
    <row r="2469" spans="11:15">
      <c r="K2469" s="1646">
        <v>44526</v>
      </c>
      <c r="L2469" s="1647" t="s">
        <v>1653</v>
      </c>
      <c r="M2469" s="1648">
        <v>2.9256000000000001E-2</v>
      </c>
      <c r="N2469" s="1649">
        <v>1.6744416651867389</v>
      </c>
      <c r="O2469" s="1649"/>
    </row>
    <row r="2470" spans="11:15">
      <c r="K2470" s="1646">
        <v>44527</v>
      </c>
      <c r="L2470" s="1647"/>
      <c r="M2470" s="1648">
        <v>0</v>
      </c>
      <c r="N2470" s="1649">
        <v>1.6744416651867389</v>
      </c>
      <c r="O2470" s="1649"/>
    </row>
    <row r="2471" spans="11:15">
      <c r="K2471" s="1646">
        <v>44528</v>
      </c>
      <c r="L2471" s="1647"/>
      <c r="M2471" s="1648">
        <v>0</v>
      </c>
      <c r="N2471" s="1649">
        <v>1.6744416651867389</v>
      </c>
      <c r="O2471" s="1649"/>
    </row>
    <row r="2472" spans="11:15">
      <c r="K2472" s="1646">
        <v>44529</v>
      </c>
      <c r="L2472" s="1647" t="s">
        <v>1653</v>
      </c>
      <c r="M2472" s="1648">
        <v>2.9256000000000001E-2</v>
      </c>
      <c r="N2472" s="1649">
        <v>1.6749315398403062</v>
      </c>
      <c r="O2472" s="1649"/>
    </row>
    <row r="2473" spans="11:15">
      <c r="K2473" s="1646">
        <v>44530</v>
      </c>
      <c r="L2473" s="1647" t="s">
        <v>1653</v>
      </c>
      <c r="M2473" s="1648">
        <v>2.9256000000000001E-2</v>
      </c>
      <c r="N2473" s="1649">
        <v>1.6754215578116021</v>
      </c>
      <c r="O2473" s="1649"/>
    </row>
    <row r="2474" spans="11:15">
      <c r="K2474" s="1646">
        <v>44531</v>
      </c>
      <c r="L2474" s="1647" t="s">
        <v>1653</v>
      </c>
      <c r="M2474" s="1648">
        <v>2.9256000000000001E-2</v>
      </c>
      <c r="N2474" s="1649">
        <v>1.6759117191425557</v>
      </c>
      <c r="O2474" s="1649"/>
    </row>
    <row r="2475" spans="11:15">
      <c r="K2475" s="1646">
        <v>44532</v>
      </c>
      <c r="L2475" s="1647" t="s">
        <v>1653</v>
      </c>
      <c r="M2475" s="1648">
        <v>2.9256000000000001E-2</v>
      </c>
      <c r="N2475" s="1649">
        <v>1.6764020238751083</v>
      </c>
      <c r="O2475" s="1649"/>
    </row>
    <row r="2476" spans="11:15">
      <c r="K2476" s="1646">
        <v>44533</v>
      </c>
      <c r="L2476" s="1647" t="s">
        <v>1653</v>
      </c>
      <c r="M2476" s="1648">
        <v>2.9256000000000001E-2</v>
      </c>
      <c r="N2476" s="1649">
        <v>1.6768924720512133</v>
      </c>
      <c r="O2476" s="1649"/>
    </row>
    <row r="2477" spans="11:15">
      <c r="K2477" s="1646">
        <v>44534</v>
      </c>
      <c r="L2477" s="1647"/>
      <c r="M2477" s="1648">
        <v>0</v>
      </c>
      <c r="N2477" s="1649">
        <v>1.6768924720512133</v>
      </c>
      <c r="O2477" s="1649"/>
    </row>
    <row r="2478" spans="11:15">
      <c r="K2478" s="1646">
        <v>44535</v>
      </c>
      <c r="L2478" s="1647"/>
      <c r="M2478" s="1648">
        <v>0</v>
      </c>
      <c r="N2478" s="1649">
        <v>1.6768924720512133</v>
      </c>
      <c r="O2478" s="1649"/>
    </row>
    <row r="2479" spans="11:15">
      <c r="K2479" s="1646">
        <v>44536</v>
      </c>
      <c r="L2479" s="1647" t="s">
        <v>1653</v>
      </c>
      <c r="M2479" s="1648">
        <v>2.9256000000000001E-2</v>
      </c>
      <c r="N2479" s="1649">
        <v>1.6773830637128369</v>
      </c>
      <c r="O2479" s="1649"/>
    </row>
    <row r="2480" spans="11:15">
      <c r="K2480" s="1646">
        <v>44537</v>
      </c>
      <c r="L2480" s="1647" t="s">
        <v>1653</v>
      </c>
      <c r="M2480" s="1648">
        <v>2.9256000000000001E-2</v>
      </c>
      <c r="N2480" s="1649">
        <v>1.6778737989019568</v>
      </c>
      <c r="O2480" s="1649"/>
    </row>
    <row r="2481" spans="11:15">
      <c r="K2481" s="1646">
        <v>44538</v>
      </c>
      <c r="L2481" s="1647" t="s">
        <v>1653</v>
      </c>
      <c r="M2481" s="1648">
        <v>2.9256000000000001E-2</v>
      </c>
      <c r="N2481" s="1649">
        <v>1.6783646776605636</v>
      </c>
      <c r="O2481" s="1649"/>
    </row>
    <row r="2482" spans="11:15">
      <c r="K2482" s="1646">
        <v>44539</v>
      </c>
      <c r="L2482" s="1647" t="s">
        <v>1653</v>
      </c>
      <c r="M2482" s="1648">
        <v>3.4749000000000002E-2</v>
      </c>
      <c r="N2482" s="1649">
        <v>1.678947892602404</v>
      </c>
      <c r="O2482" s="1649"/>
    </row>
    <row r="2483" spans="11:15">
      <c r="K2483" s="1646">
        <v>44540</v>
      </c>
      <c r="L2483" s="1647" t="s">
        <v>1653</v>
      </c>
      <c r="M2483" s="1648">
        <v>3.4749000000000002E-2</v>
      </c>
      <c r="N2483" s="1649">
        <v>1.6795313102056044</v>
      </c>
      <c r="O2483" s="1649"/>
    </row>
    <row r="2484" spans="11:15">
      <c r="K2484" s="1646">
        <v>44541</v>
      </c>
      <c r="L2484" s="1647"/>
      <c r="M2484" s="1648">
        <v>0</v>
      </c>
      <c r="N2484" s="1649">
        <v>1.6795313102056044</v>
      </c>
      <c r="O2484" s="1649"/>
    </row>
    <row r="2485" spans="11:15">
      <c r="K2485" s="1646">
        <v>44542</v>
      </c>
      <c r="L2485" s="1647"/>
      <c r="M2485" s="1648">
        <v>0</v>
      </c>
      <c r="N2485" s="1649">
        <v>1.6795313102056044</v>
      </c>
      <c r="O2485" s="1649"/>
    </row>
    <row r="2486" spans="11:15">
      <c r="K2486" s="1646">
        <v>44543</v>
      </c>
      <c r="L2486" s="1647" t="s">
        <v>1653</v>
      </c>
      <c r="M2486" s="1648">
        <v>3.4749000000000002E-2</v>
      </c>
      <c r="N2486" s="1649">
        <v>1.6801149305405878</v>
      </c>
      <c r="O2486" s="1649"/>
    </row>
    <row r="2487" spans="11:15">
      <c r="K2487" s="1646">
        <v>44544</v>
      </c>
      <c r="L2487" s="1647" t="s">
        <v>1653</v>
      </c>
      <c r="M2487" s="1648">
        <v>3.4749000000000002E-2</v>
      </c>
      <c r="N2487" s="1649">
        <v>1.6806987536778013</v>
      </c>
      <c r="O2487" s="1649"/>
    </row>
    <row r="2488" spans="11:15">
      <c r="K2488" s="1646">
        <v>44545</v>
      </c>
      <c r="L2488" s="1647" t="s">
        <v>1653</v>
      </c>
      <c r="M2488" s="1648">
        <v>3.4749000000000002E-2</v>
      </c>
      <c r="N2488" s="1649">
        <v>1.6812827796877168</v>
      </c>
      <c r="O2488" s="1649"/>
    </row>
    <row r="2489" spans="11:15">
      <c r="K2489" s="1646">
        <v>44546</v>
      </c>
      <c r="L2489" s="1647" t="s">
        <v>1653</v>
      </c>
      <c r="M2489" s="1648">
        <v>3.4749000000000002E-2</v>
      </c>
      <c r="N2489" s="1649">
        <v>1.6818670086408305</v>
      </c>
      <c r="O2489" s="1649"/>
    </row>
    <row r="2490" spans="11:15">
      <c r="K2490" s="1646">
        <v>44547</v>
      </c>
      <c r="L2490" s="1647" t="s">
        <v>1653</v>
      </c>
      <c r="M2490" s="1648">
        <v>3.4749000000000002E-2</v>
      </c>
      <c r="N2490" s="1649">
        <v>1.6824514406076632</v>
      </c>
      <c r="O2490" s="1649"/>
    </row>
    <row r="2491" spans="11:15">
      <c r="K2491" s="1646">
        <v>44548</v>
      </c>
      <c r="L2491" s="1647"/>
      <c r="M2491" s="1648">
        <v>0</v>
      </c>
      <c r="N2491" s="1649">
        <v>1.6824514406076632</v>
      </c>
      <c r="O2491" s="1649"/>
    </row>
    <row r="2492" spans="11:15">
      <c r="K2492" s="1646">
        <v>44549</v>
      </c>
      <c r="L2492" s="1647"/>
      <c r="M2492" s="1648">
        <v>0</v>
      </c>
      <c r="N2492" s="1649">
        <v>1.6824514406076632</v>
      </c>
      <c r="O2492" s="1649"/>
    </row>
    <row r="2493" spans="11:15">
      <c r="K2493" s="1646">
        <v>44550</v>
      </c>
      <c r="L2493" s="1647" t="s">
        <v>1653</v>
      </c>
      <c r="M2493" s="1648">
        <v>3.4749000000000002E-2</v>
      </c>
      <c r="N2493" s="1649">
        <v>1.6830360756587599</v>
      </c>
      <c r="O2493" s="1649"/>
    </row>
    <row r="2494" spans="11:15">
      <c r="K2494" s="1646">
        <v>44551</v>
      </c>
      <c r="L2494" s="1647" t="s">
        <v>1653</v>
      </c>
      <c r="M2494" s="1648">
        <v>3.4749000000000002E-2</v>
      </c>
      <c r="N2494" s="1649">
        <v>1.6836209138646905</v>
      </c>
      <c r="O2494" s="1649"/>
    </row>
    <row r="2495" spans="11:15">
      <c r="K2495" s="1646">
        <v>44552</v>
      </c>
      <c r="L2495" s="1647" t="s">
        <v>1653</v>
      </c>
      <c r="M2495" s="1648">
        <v>3.4749000000000002E-2</v>
      </c>
      <c r="N2495" s="1649">
        <v>1.6842059552960493</v>
      </c>
      <c r="O2495" s="1649"/>
    </row>
    <row r="2496" spans="11:15">
      <c r="K2496" s="1646">
        <v>44553</v>
      </c>
      <c r="L2496" s="1647" t="s">
        <v>1653</v>
      </c>
      <c r="M2496" s="1648">
        <v>3.4749000000000002E-2</v>
      </c>
      <c r="N2496" s="1649">
        <v>1.6847912000234551</v>
      </c>
      <c r="O2496" s="1649"/>
    </row>
    <row r="2497" spans="11:15">
      <c r="K2497" s="1646">
        <v>44554</v>
      </c>
      <c r="L2497" s="1647" t="s">
        <v>1653</v>
      </c>
      <c r="M2497" s="1648">
        <v>3.4749000000000002E-2</v>
      </c>
      <c r="N2497" s="1649">
        <v>1.6853766481175512</v>
      </c>
      <c r="O2497" s="1649"/>
    </row>
    <row r="2498" spans="11:15">
      <c r="K2498" s="1646">
        <v>44555</v>
      </c>
      <c r="L2498" s="1647"/>
      <c r="M2498" s="1648">
        <v>0</v>
      </c>
      <c r="N2498" s="1649">
        <v>1.6853766481175512</v>
      </c>
      <c r="O2498" s="1649"/>
    </row>
    <row r="2499" spans="11:15">
      <c r="K2499" s="1646">
        <v>44556</v>
      </c>
      <c r="L2499" s="1647"/>
      <c r="M2499" s="1648">
        <v>0</v>
      </c>
      <c r="N2499" s="1649">
        <v>1.6853766481175512</v>
      </c>
      <c r="O2499" s="1649"/>
    </row>
    <row r="2500" spans="11:15">
      <c r="K2500" s="1646">
        <v>44557</v>
      </c>
      <c r="L2500" s="1647" t="s">
        <v>1653</v>
      </c>
      <c r="M2500" s="1648">
        <v>3.4749000000000002E-2</v>
      </c>
      <c r="N2500" s="1649">
        <v>1.6859622996490056</v>
      </c>
      <c r="O2500" s="1649"/>
    </row>
    <row r="2501" spans="11:15">
      <c r="K2501" s="1646">
        <v>44558</v>
      </c>
      <c r="L2501" s="1647" t="s">
        <v>1653</v>
      </c>
      <c r="M2501" s="1648">
        <v>3.4749000000000002E-2</v>
      </c>
      <c r="N2501" s="1649">
        <v>1.6865481546885106</v>
      </c>
      <c r="O2501" s="1649"/>
    </row>
    <row r="2502" spans="11:15">
      <c r="K2502" s="1646">
        <v>44559</v>
      </c>
      <c r="L2502" s="1647" t="s">
        <v>1653</v>
      </c>
      <c r="M2502" s="1648">
        <v>3.4749000000000002E-2</v>
      </c>
      <c r="N2502" s="1649">
        <v>1.6871342133067833</v>
      </c>
      <c r="O2502" s="1649"/>
    </row>
    <row r="2503" spans="11:15">
      <c r="K2503" s="1646">
        <v>44560</v>
      </c>
      <c r="L2503" s="1647" t="s">
        <v>1653</v>
      </c>
      <c r="M2503" s="1648">
        <v>3.4749000000000002E-2</v>
      </c>
      <c r="N2503" s="1649">
        <v>1.6877204755745652</v>
      </c>
      <c r="O2503" s="1649"/>
    </row>
    <row r="2504" spans="11:15">
      <c r="K2504" s="1646">
        <v>44561</v>
      </c>
      <c r="L2504" s="1647" t="s">
        <v>1653</v>
      </c>
      <c r="M2504" s="1648">
        <v>3.4749000000000002E-2</v>
      </c>
      <c r="N2504" s="1649">
        <v>1.6883069415626226</v>
      </c>
      <c r="O2504" s="1649"/>
    </row>
    <row r="2505" spans="11:15">
      <c r="K2505" s="1646">
        <v>44562</v>
      </c>
      <c r="L2505" s="1647"/>
      <c r="M2505" s="1648">
        <v>0</v>
      </c>
      <c r="N2505" s="1649">
        <v>1.6883069415626226</v>
      </c>
      <c r="O2505" s="1649"/>
    </row>
    <row r="2506" spans="11:15">
      <c r="K2506" s="1646">
        <v>44563</v>
      </c>
      <c r="L2506" s="1647"/>
      <c r="M2506" s="1648">
        <v>0</v>
      </c>
      <c r="N2506" s="1649">
        <v>1.6883069415626226</v>
      </c>
      <c r="O2506" s="1649"/>
    </row>
    <row r="2507" spans="11:15">
      <c r="K2507" s="1646">
        <v>44564</v>
      </c>
      <c r="L2507" s="1647" t="s">
        <v>1653</v>
      </c>
      <c r="M2507" s="1648">
        <v>3.4749000000000002E-2</v>
      </c>
      <c r="N2507" s="1649">
        <v>1.6888936113417463</v>
      </c>
      <c r="O2507" s="1649"/>
    </row>
    <row r="2508" spans="11:15">
      <c r="K2508" s="1646">
        <v>44565</v>
      </c>
      <c r="L2508" s="1647" t="s">
        <v>1653</v>
      </c>
      <c r="M2508" s="1648">
        <v>3.4749000000000002E-2</v>
      </c>
      <c r="N2508" s="1649">
        <v>1.6894804849827514</v>
      </c>
      <c r="O2508" s="1649"/>
    </row>
    <row r="2509" spans="11:15">
      <c r="K2509" s="1646">
        <v>44566</v>
      </c>
      <c r="L2509" s="1647" t="s">
        <v>1653</v>
      </c>
      <c r="M2509" s="1648">
        <v>3.4749000000000002E-2</v>
      </c>
      <c r="N2509" s="1649">
        <v>1.6900675625564781</v>
      </c>
      <c r="O2509" s="1649"/>
    </row>
    <row r="2510" spans="11:15">
      <c r="K2510" s="1646">
        <v>44567</v>
      </c>
      <c r="L2510" s="1647" t="s">
        <v>1653</v>
      </c>
      <c r="M2510" s="1648">
        <v>3.4749000000000002E-2</v>
      </c>
      <c r="N2510" s="1649">
        <v>1.6906548441337907</v>
      </c>
      <c r="O2510" s="1649"/>
    </row>
    <row r="2511" spans="11:15">
      <c r="K2511" s="1646">
        <v>44568</v>
      </c>
      <c r="L2511" s="1647" t="s">
        <v>1653</v>
      </c>
      <c r="M2511" s="1648">
        <v>3.4749000000000002E-2</v>
      </c>
      <c r="N2511" s="1649">
        <v>1.6912423297855788</v>
      </c>
      <c r="O2511" s="1649"/>
    </row>
    <row r="2512" spans="11:15">
      <c r="K2512" s="1646">
        <v>44569</v>
      </c>
      <c r="L2512" s="1647"/>
      <c r="M2512" s="1648">
        <v>0</v>
      </c>
      <c r="N2512" s="1649">
        <v>1.6912423297855788</v>
      </c>
      <c r="O2512" s="1649"/>
    </row>
    <row r="2513" spans="11:15">
      <c r="K2513" s="1646">
        <v>44570</v>
      </c>
      <c r="L2513" s="1647"/>
      <c r="M2513" s="1648">
        <v>0</v>
      </c>
      <c r="N2513" s="1649">
        <v>1.6912423297855788</v>
      </c>
      <c r="O2513" s="1649"/>
    </row>
    <row r="2514" spans="11:15">
      <c r="K2514" s="1646">
        <v>44571</v>
      </c>
      <c r="L2514" s="1647" t="s">
        <v>1653</v>
      </c>
      <c r="M2514" s="1648">
        <v>3.4749000000000002E-2</v>
      </c>
      <c r="N2514" s="1649">
        <v>1.691830019582756</v>
      </c>
      <c r="O2514" s="1649"/>
    </row>
    <row r="2515" spans="11:15">
      <c r="K2515" s="1646">
        <v>44572</v>
      </c>
      <c r="L2515" s="1647" t="s">
        <v>1653</v>
      </c>
      <c r="M2515" s="1648">
        <v>3.4749000000000002E-2</v>
      </c>
      <c r="N2515" s="1649">
        <v>1.6924179135962609</v>
      </c>
      <c r="O2515" s="1649"/>
    </row>
    <row r="2516" spans="11:15">
      <c r="K2516" s="1646">
        <v>44573</v>
      </c>
      <c r="L2516" s="1647" t="s">
        <v>1653</v>
      </c>
      <c r="M2516" s="1648">
        <v>3.4749000000000002E-2</v>
      </c>
      <c r="N2516" s="1649">
        <v>1.6930060118970565</v>
      </c>
      <c r="O2516" s="1649"/>
    </row>
    <row r="2517" spans="11:15">
      <c r="K2517" s="1646">
        <v>44574</v>
      </c>
      <c r="L2517" s="1647" t="s">
        <v>1653</v>
      </c>
      <c r="M2517" s="1648">
        <v>3.4749000000000002E-2</v>
      </c>
      <c r="N2517" s="1649">
        <v>1.6935943145561305</v>
      </c>
      <c r="O2517" s="1649"/>
    </row>
    <row r="2518" spans="11:15">
      <c r="K2518" s="1646">
        <v>44575</v>
      </c>
      <c r="L2518" s="1647" t="s">
        <v>1653</v>
      </c>
      <c r="M2518" s="1648">
        <v>3.4749000000000002E-2</v>
      </c>
      <c r="N2518" s="1649">
        <v>1.6941828216444956</v>
      </c>
      <c r="O2518" s="1649"/>
    </row>
    <row r="2519" spans="11:15">
      <c r="K2519" s="1646">
        <v>44576</v>
      </c>
      <c r="L2519" s="1647"/>
      <c r="M2519" s="1648">
        <v>0</v>
      </c>
      <c r="N2519" s="1649">
        <v>1.6941828216444956</v>
      </c>
      <c r="O2519" s="1649"/>
    </row>
    <row r="2520" spans="11:15">
      <c r="K2520" s="1646">
        <v>44577</v>
      </c>
      <c r="L2520" s="1647"/>
      <c r="M2520" s="1648">
        <v>0</v>
      </c>
      <c r="N2520" s="1649">
        <v>1.6941828216444956</v>
      </c>
      <c r="O2520" s="1649"/>
    </row>
    <row r="2521" spans="11:15">
      <c r="K2521" s="1646">
        <v>44578</v>
      </c>
      <c r="L2521" s="1647" t="s">
        <v>1653</v>
      </c>
      <c r="M2521" s="1648">
        <v>3.4749000000000002E-2</v>
      </c>
      <c r="N2521" s="1649">
        <v>1.694771533233189</v>
      </c>
      <c r="O2521" s="1649"/>
    </row>
    <row r="2522" spans="11:15">
      <c r="K2522" s="1646">
        <v>44579</v>
      </c>
      <c r="L2522" s="1647" t="s">
        <v>1653</v>
      </c>
      <c r="M2522" s="1648">
        <v>3.4749000000000002E-2</v>
      </c>
      <c r="N2522" s="1649">
        <v>1.6953604493932721</v>
      </c>
      <c r="O2522" s="1649"/>
    </row>
    <row r="2523" spans="11:15">
      <c r="K2523" s="1646">
        <v>44580</v>
      </c>
      <c r="L2523" s="1647" t="s">
        <v>1653</v>
      </c>
      <c r="M2523" s="1648">
        <v>3.4749000000000002E-2</v>
      </c>
      <c r="N2523" s="1649">
        <v>1.6959495701958318</v>
      </c>
      <c r="O2523" s="1649"/>
    </row>
    <row r="2524" spans="11:15">
      <c r="K2524" s="1646">
        <v>44581</v>
      </c>
      <c r="L2524" s="1647" t="s">
        <v>1653</v>
      </c>
      <c r="M2524" s="1648">
        <v>3.4749000000000002E-2</v>
      </c>
      <c r="N2524" s="1649">
        <v>1.6965388957119791</v>
      </c>
      <c r="O2524" s="1649"/>
    </row>
    <row r="2525" spans="11:15">
      <c r="K2525" s="1646">
        <v>44582</v>
      </c>
      <c r="L2525" s="1647" t="s">
        <v>1653</v>
      </c>
      <c r="M2525" s="1648">
        <v>3.4749000000000002E-2</v>
      </c>
      <c r="N2525" s="1649">
        <v>1.6971284260128501</v>
      </c>
      <c r="O2525" s="1649"/>
    </row>
    <row r="2526" spans="11:15">
      <c r="K2526" s="1646">
        <v>44583</v>
      </c>
      <c r="L2526" s="1647"/>
      <c r="M2526" s="1648">
        <v>0</v>
      </c>
      <c r="N2526" s="1649">
        <v>1.6971284260128501</v>
      </c>
      <c r="O2526" s="1649"/>
    </row>
    <row r="2527" spans="11:15">
      <c r="K2527" s="1646">
        <v>44584</v>
      </c>
      <c r="L2527" s="1647"/>
      <c r="M2527" s="1648">
        <v>0</v>
      </c>
      <c r="N2527" s="1649">
        <v>1.6971284260128501</v>
      </c>
      <c r="O2527" s="1649"/>
    </row>
    <row r="2528" spans="11:15">
      <c r="K2528" s="1646">
        <v>44585</v>
      </c>
      <c r="L2528" s="1647" t="s">
        <v>1653</v>
      </c>
      <c r="M2528" s="1648">
        <v>3.4749000000000002E-2</v>
      </c>
      <c r="N2528" s="1649">
        <v>1.6977181611696053</v>
      </c>
      <c r="O2528" s="1649"/>
    </row>
    <row r="2529" spans="11:15">
      <c r="K2529" s="1646">
        <v>44586</v>
      </c>
      <c r="L2529" s="1647" t="s">
        <v>1653</v>
      </c>
      <c r="M2529" s="1648">
        <v>3.4749000000000002E-2</v>
      </c>
      <c r="N2529" s="1649">
        <v>1.69830810125343</v>
      </c>
      <c r="O2529" s="1649"/>
    </row>
    <row r="2530" spans="11:15">
      <c r="K2530" s="1646">
        <v>44587</v>
      </c>
      <c r="L2530" s="1647" t="s">
        <v>1653</v>
      </c>
      <c r="M2530" s="1648">
        <v>3.4749000000000002E-2</v>
      </c>
      <c r="N2530" s="1649">
        <v>1.6988982463355347</v>
      </c>
      <c r="O2530" s="1649"/>
    </row>
    <row r="2531" spans="11:15">
      <c r="K2531" s="1646">
        <v>44588</v>
      </c>
      <c r="L2531" s="1647" t="s">
        <v>1653</v>
      </c>
      <c r="M2531" s="1648">
        <v>3.4749000000000002E-2</v>
      </c>
      <c r="N2531" s="1649">
        <v>1.6994885964871538</v>
      </c>
      <c r="O2531" s="1649"/>
    </row>
    <row r="2532" spans="11:15">
      <c r="K2532" s="1646">
        <v>44589</v>
      </c>
      <c r="L2532" s="1647" t="s">
        <v>1653</v>
      </c>
      <c r="M2532" s="1648">
        <v>3.4749000000000002E-2</v>
      </c>
      <c r="N2532" s="1649">
        <v>1.700079151779547</v>
      </c>
      <c r="O2532" s="1649"/>
    </row>
    <row r="2533" spans="11:15">
      <c r="K2533" s="1646">
        <v>44590</v>
      </c>
      <c r="L2533" s="1647"/>
      <c r="M2533" s="1648">
        <v>0</v>
      </c>
      <c r="N2533" s="1649">
        <v>1.700079151779547</v>
      </c>
      <c r="O2533" s="1649"/>
    </row>
    <row r="2534" spans="11:15">
      <c r="K2534" s="1646">
        <v>44591</v>
      </c>
      <c r="L2534" s="1647"/>
      <c r="M2534" s="1648">
        <v>0</v>
      </c>
      <c r="N2534" s="1649">
        <v>1.700079151779547</v>
      </c>
      <c r="O2534" s="1649"/>
    </row>
    <row r="2535" spans="11:15">
      <c r="K2535" s="1646">
        <v>44592</v>
      </c>
      <c r="L2535" s="1647" t="s">
        <v>1653</v>
      </c>
      <c r="M2535" s="1648">
        <v>3.4749000000000002E-2</v>
      </c>
      <c r="N2535" s="1649">
        <v>1.700669912283999</v>
      </c>
      <c r="O2535" s="1649"/>
    </row>
    <row r="2536" spans="11:15">
      <c r="K2536" s="1646">
        <v>44593</v>
      </c>
      <c r="L2536" s="1647" t="s">
        <v>1653</v>
      </c>
      <c r="M2536" s="1648">
        <v>3.4749000000000002E-2</v>
      </c>
      <c r="N2536" s="1649">
        <v>1.7012608780718186</v>
      </c>
      <c r="O2536" s="1649"/>
    </row>
    <row r="2537" spans="11:15">
      <c r="K2537" s="1646">
        <v>44594</v>
      </c>
      <c r="L2537" s="1647" t="s">
        <v>1653</v>
      </c>
      <c r="M2537" s="1648">
        <v>3.4749000000000002E-2</v>
      </c>
      <c r="N2537" s="1649">
        <v>1.7018520492143399</v>
      </c>
      <c r="O2537" s="1649"/>
    </row>
    <row r="2538" spans="11:15">
      <c r="K2538" s="1646">
        <v>44595</v>
      </c>
      <c r="L2538" s="1647" t="s">
        <v>1653</v>
      </c>
      <c r="M2538" s="1648">
        <v>4.0168000000000002E-2</v>
      </c>
      <c r="N2538" s="1649">
        <v>1.7025356491454682</v>
      </c>
      <c r="O2538" s="1649"/>
    </row>
    <row r="2539" spans="11:15">
      <c r="K2539" s="1646">
        <v>44596</v>
      </c>
      <c r="L2539" s="1647" t="s">
        <v>1653</v>
      </c>
      <c r="M2539" s="1648">
        <v>4.0168000000000002E-2</v>
      </c>
      <c r="N2539" s="1649">
        <v>1.7032195236650169</v>
      </c>
      <c r="O2539" s="1649"/>
    </row>
    <row r="2540" spans="11:15">
      <c r="K2540" s="1646">
        <v>44597</v>
      </c>
      <c r="L2540" s="1647"/>
      <c r="M2540" s="1648">
        <v>0</v>
      </c>
      <c r="N2540" s="1649">
        <v>1.7032195236650169</v>
      </c>
      <c r="O2540" s="1649"/>
    </row>
    <row r="2541" spans="11:15">
      <c r="K2541" s="1646">
        <v>44598</v>
      </c>
      <c r="L2541" s="1647"/>
      <c r="M2541" s="1648">
        <v>0</v>
      </c>
      <c r="N2541" s="1649">
        <v>1.7032195236650169</v>
      </c>
      <c r="O2541" s="1649"/>
    </row>
    <row r="2542" spans="11:15">
      <c r="K2542" s="1646">
        <v>44599</v>
      </c>
      <c r="L2542" s="1647" t="s">
        <v>1653</v>
      </c>
      <c r="M2542" s="1648">
        <v>4.0168000000000002E-2</v>
      </c>
      <c r="N2542" s="1649">
        <v>1.7039036728832826</v>
      </c>
      <c r="O2542" s="1649"/>
    </row>
    <row r="2543" spans="11:15">
      <c r="K2543" s="1646">
        <v>44600</v>
      </c>
      <c r="L2543" s="1647" t="s">
        <v>1653</v>
      </c>
      <c r="M2543" s="1648">
        <v>4.0168000000000002E-2</v>
      </c>
      <c r="N2543" s="1649">
        <v>1.7045880969106062</v>
      </c>
      <c r="O2543" s="1649"/>
    </row>
    <row r="2544" spans="11:15">
      <c r="K2544" s="1646">
        <v>44601</v>
      </c>
      <c r="L2544" s="1647" t="s">
        <v>1653</v>
      </c>
      <c r="M2544" s="1648">
        <v>4.0168000000000002E-2</v>
      </c>
      <c r="N2544" s="1649">
        <v>1.7052727958573732</v>
      </c>
      <c r="O2544" s="1649"/>
    </row>
    <row r="2545" spans="11:15">
      <c r="K2545" s="1646">
        <v>44602</v>
      </c>
      <c r="L2545" s="1647" t="s">
        <v>1653</v>
      </c>
      <c r="M2545" s="1648">
        <v>4.0168000000000002E-2</v>
      </c>
      <c r="N2545" s="1649">
        <v>1.7059577698340131</v>
      </c>
      <c r="O2545" s="1649"/>
    </row>
    <row r="2546" spans="11:15">
      <c r="K2546" s="1646">
        <v>44603</v>
      </c>
      <c r="L2546" s="1647" t="s">
        <v>1653</v>
      </c>
      <c r="M2546" s="1648">
        <v>4.0168000000000002E-2</v>
      </c>
      <c r="N2546" s="1649">
        <v>1.706643018951</v>
      </c>
      <c r="O2546" s="1649"/>
    </row>
    <row r="2547" spans="11:15">
      <c r="K2547" s="1646">
        <v>44604</v>
      </c>
      <c r="L2547" s="1647"/>
      <c r="M2547" s="1648">
        <v>0</v>
      </c>
      <c r="N2547" s="1649">
        <v>1.706643018951</v>
      </c>
      <c r="O2547" s="1649"/>
    </row>
    <row r="2548" spans="11:15">
      <c r="K2548" s="1646">
        <v>44605</v>
      </c>
      <c r="L2548" s="1647"/>
      <c r="M2548" s="1648">
        <v>0</v>
      </c>
      <c r="N2548" s="1649">
        <v>1.706643018951</v>
      </c>
      <c r="O2548" s="1649"/>
    </row>
    <row r="2549" spans="11:15">
      <c r="K2549" s="1646">
        <v>44606</v>
      </c>
      <c r="L2549" s="1647" t="s">
        <v>1653</v>
      </c>
      <c r="M2549" s="1648">
        <v>4.0168000000000002E-2</v>
      </c>
      <c r="N2549" s="1649">
        <v>1.7073285433188521</v>
      </c>
      <c r="O2549" s="1649"/>
    </row>
    <row r="2550" spans="11:15">
      <c r="K2550" s="1646">
        <v>44607</v>
      </c>
      <c r="L2550" s="1647" t="s">
        <v>1653</v>
      </c>
      <c r="M2550" s="1648">
        <v>4.0168000000000002E-2</v>
      </c>
      <c r="N2550" s="1649">
        <v>1.7080143430481323</v>
      </c>
      <c r="O2550" s="1649"/>
    </row>
    <row r="2551" spans="11:15">
      <c r="K2551" s="1646">
        <v>44608</v>
      </c>
      <c r="L2551" s="1647" t="s">
        <v>1653</v>
      </c>
      <c r="M2551" s="1648">
        <v>4.0168000000000002E-2</v>
      </c>
      <c r="N2551" s="1649">
        <v>1.7087004182494478</v>
      </c>
      <c r="O2551" s="1649"/>
    </row>
    <row r="2552" spans="11:15">
      <c r="K2552" s="1646">
        <v>44609</v>
      </c>
      <c r="L2552" s="1647" t="s">
        <v>1653</v>
      </c>
      <c r="M2552" s="1648">
        <v>4.0168000000000002E-2</v>
      </c>
      <c r="N2552" s="1649">
        <v>1.7093867690334503</v>
      </c>
      <c r="O2552" s="1649"/>
    </row>
    <row r="2553" spans="11:15">
      <c r="K2553" s="1646">
        <v>44610</v>
      </c>
      <c r="L2553" s="1647" t="s">
        <v>1653</v>
      </c>
      <c r="M2553" s="1648">
        <v>4.0168000000000002E-2</v>
      </c>
      <c r="N2553" s="1649">
        <v>1.7100733955108356</v>
      </c>
      <c r="O2553" s="1649"/>
    </row>
    <row r="2554" spans="11:15">
      <c r="K2554" s="1646">
        <v>44611</v>
      </c>
      <c r="L2554" s="1647"/>
      <c r="M2554" s="1648">
        <v>0</v>
      </c>
      <c r="N2554" s="1649">
        <v>1.7100733955108356</v>
      </c>
      <c r="O2554" s="1649"/>
    </row>
    <row r="2555" spans="11:15">
      <c r="K2555" s="1646">
        <v>44612</v>
      </c>
      <c r="L2555" s="1647"/>
      <c r="M2555" s="1648">
        <v>0</v>
      </c>
      <c r="N2555" s="1649">
        <v>1.7100733955108356</v>
      </c>
      <c r="O2555" s="1649"/>
    </row>
    <row r="2556" spans="11:15">
      <c r="K2556" s="1646">
        <v>44613</v>
      </c>
      <c r="L2556" s="1647" t="s">
        <v>1653</v>
      </c>
      <c r="M2556" s="1648">
        <v>4.0168000000000002E-2</v>
      </c>
      <c r="N2556" s="1649">
        <v>1.7107602977923444</v>
      </c>
      <c r="O2556" s="1649"/>
    </row>
    <row r="2557" spans="11:15">
      <c r="K2557" s="1646">
        <v>44614</v>
      </c>
      <c r="L2557" s="1647" t="s">
        <v>1653</v>
      </c>
      <c r="M2557" s="1648">
        <v>4.0168000000000002E-2</v>
      </c>
      <c r="N2557" s="1649">
        <v>1.7114474759887615</v>
      </c>
      <c r="O2557" s="1649"/>
    </row>
    <row r="2558" spans="11:15">
      <c r="K2558" s="1646">
        <v>44615</v>
      </c>
      <c r="L2558" s="1647" t="s">
        <v>1653</v>
      </c>
      <c r="M2558" s="1648">
        <v>4.0168000000000002E-2</v>
      </c>
      <c r="N2558" s="1649">
        <v>1.7121349302109166</v>
      </c>
      <c r="O2558" s="1649"/>
    </row>
    <row r="2559" spans="11:15">
      <c r="K2559" s="1646">
        <v>44616</v>
      </c>
      <c r="L2559" s="1647" t="s">
        <v>1653</v>
      </c>
      <c r="M2559" s="1648">
        <v>4.0168000000000002E-2</v>
      </c>
      <c r="N2559" s="1649">
        <v>1.7128226605696837</v>
      </c>
      <c r="O2559" s="1649"/>
    </row>
    <row r="2560" spans="11:15">
      <c r="K2560" s="1646">
        <v>44617</v>
      </c>
      <c r="L2560" s="1647" t="s">
        <v>1653</v>
      </c>
      <c r="M2560" s="1648">
        <v>4.0168000000000002E-2</v>
      </c>
      <c r="N2560" s="1649">
        <v>1.7135106671759812</v>
      </c>
      <c r="O2560" s="1649"/>
    </row>
    <row r="2561" spans="11:15">
      <c r="K2561" s="1646">
        <v>44618</v>
      </c>
      <c r="L2561" s="1647"/>
      <c r="M2561" s="1648">
        <v>0</v>
      </c>
      <c r="N2561" s="1649">
        <v>1.7135106671759812</v>
      </c>
      <c r="O2561" s="1649"/>
    </row>
    <row r="2562" spans="11:15">
      <c r="K2562" s="1646">
        <v>44619</v>
      </c>
      <c r="L2562" s="1647"/>
      <c r="M2562" s="1648">
        <v>0</v>
      </c>
      <c r="N2562" s="1649">
        <v>1.7135106671759812</v>
      </c>
      <c r="O2562" s="1649"/>
    </row>
    <row r="2563" spans="11:15">
      <c r="K2563" s="1646">
        <v>44620</v>
      </c>
      <c r="L2563" s="1647"/>
      <c r="M2563" s="1648">
        <v>0</v>
      </c>
      <c r="N2563" s="1649">
        <v>1.7135106671759812</v>
      </c>
      <c r="O2563" s="1649"/>
    </row>
    <row r="2564" spans="11:15">
      <c r="K2564" s="1646">
        <v>44621</v>
      </c>
      <c r="L2564" s="1647"/>
      <c r="M2564" s="1648">
        <v>0</v>
      </c>
      <c r="N2564" s="1649">
        <v>1.7135106671759812</v>
      </c>
      <c r="O2564" s="1649"/>
    </row>
    <row r="2565" spans="11:15">
      <c r="K2565" s="1646">
        <v>44622</v>
      </c>
      <c r="L2565" s="1647" t="s">
        <v>1653</v>
      </c>
      <c r="M2565" s="1648">
        <v>4.0168000000000002E-2</v>
      </c>
      <c r="N2565" s="1649">
        <v>1.7141989501407724</v>
      </c>
      <c r="O2565" s="1649"/>
    </row>
    <row r="2566" spans="11:15">
      <c r="K2566" s="1646">
        <v>44623</v>
      </c>
      <c r="L2566" s="1647" t="s">
        <v>1653</v>
      </c>
      <c r="M2566" s="1648">
        <v>4.0168000000000002E-2</v>
      </c>
      <c r="N2566" s="1649">
        <v>1.7148875095750649</v>
      </c>
      <c r="O2566" s="1649"/>
    </row>
    <row r="2567" spans="11:15">
      <c r="K2567" s="1646">
        <v>44624</v>
      </c>
      <c r="L2567" s="1647" t="s">
        <v>1653</v>
      </c>
      <c r="M2567" s="1648">
        <v>4.0168000000000002E-2</v>
      </c>
      <c r="N2567" s="1649">
        <v>1.7155763455899109</v>
      </c>
      <c r="O2567" s="1649"/>
    </row>
    <row r="2568" spans="11:15">
      <c r="K2568" s="1646">
        <v>44625</v>
      </c>
      <c r="L2568" s="1647"/>
      <c r="M2568" s="1648">
        <v>0</v>
      </c>
      <c r="N2568" s="1649">
        <v>1.7155763455899109</v>
      </c>
      <c r="O2568" s="1649"/>
    </row>
    <row r="2569" spans="11:15">
      <c r="K2569" s="1646">
        <v>44626</v>
      </c>
      <c r="L2569" s="1647"/>
      <c r="M2569" s="1648">
        <v>0</v>
      </c>
      <c r="N2569" s="1649">
        <v>1.7155763455899109</v>
      </c>
      <c r="O2569" s="1649"/>
    </row>
    <row r="2570" spans="11:15">
      <c r="K2570" s="1646">
        <v>44627</v>
      </c>
      <c r="L2570" s="1647" t="s">
        <v>1653</v>
      </c>
      <c r="M2570" s="1648">
        <v>4.0168000000000002E-2</v>
      </c>
      <c r="N2570" s="1649">
        <v>1.7162654582964074</v>
      </c>
      <c r="O2570" s="1649"/>
    </row>
    <row r="2571" spans="11:15">
      <c r="K2571" s="1646">
        <v>44628</v>
      </c>
      <c r="L2571" s="1647" t="s">
        <v>1653</v>
      </c>
      <c r="M2571" s="1648">
        <v>4.0168000000000002E-2</v>
      </c>
      <c r="N2571" s="1649">
        <v>1.716954847805696</v>
      </c>
      <c r="O2571" s="1649"/>
    </row>
    <row r="2572" spans="11:15">
      <c r="K2572" s="1646">
        <v>44629</v>
      </c>
      <c r="L2572" s="1647" t="s">
        <v>1653</v>
      </c>
      <c r="M2572" s="1648">
        <v>4.0168000000000002E-2</v>
      </c>
      <c r="N2572" s="1649">
        <v>1.7176445142289625</v>
      </c>
      <c r="O2572" s="1649"/>
    </row>
    <row r="2573" spans="11:15">
      <c r="K2573" s="1646">
        <v>44630</v>
      </c>
      <c r="L2573" s="1647" t="s">
        <v>1653</v>
      </c>
      <c r="M2573" s="1648">
        <v>4.0168000000000002E-2</v>
      </c>
      <c r="N2573" s="1649">
        <v>1.718334457677438</v>
      </c>
      <c r="O2573" s="1649"/>
    </row>
    <row r="2574" spans="11:15">
      <c r="K2574" s="1646">
        <v>44631</v>
      </c>
      <c r="L2574" s="1647" t="s">
        <v>1653</v>
      </c>
      <c r="M2574" s="1648">
        <v>4.0168000000000002E-2</v>
      </c>
      <c r="N2574" s="1649">
        <v>1.7190246782623977</v>
      </c>
      <c r="O2574" s="1649"/>
    </row>
    <row r="2575" spans="11:15">
      <c r="K2575" s="1646">
        <v>44632</v>
      </c>
      <c r="L2575" s="1647"/>
      <c r="M2575" s="1648">
        <v>0</v>
      </c>
      <c r="N2575" s="1649">
        <v>1.7190246782623977</v>
      </c>
      <c r="O2575" s="1649"/>
    </row>
    <row r="2576" spans="11:15">
      <c r="K2576" s="1646">
        <v>44633</v>
      </c>
      <c r="L2576" s="1647"/>
      <c r="M2576" s="1648">
        <v>0</v>
      </c>
      <c r="N2576" s="1649">
        <v>1.7190246782623977</v>
      </c>
      <c r="O2576" s="1649"/>
    </row>
    <row r="2577" spans="11:15">
      <c r="K2577" s="1646">
        <v>44634</v>
      </c>
      <c r="L2577" s="1647" t="s">
        <v>1653</v>
      </c>
      <c r="M2577" s="1648">
        <v>4.0168000000000002E-2</v>
      </c>
      <c r="N2577" s="1649">
        <v>1.7197151760951621</v>
      </c>
      <c r="O2577" s="1649"/>
    </row>
    <row r="2578" spans="11:15">
      <c r="K2578" s="1646">
        <v>44635</v>
      </c>
      <c r="L2578" s="1647" t="s">
        <v>1653</v>
      </c>
      <c r="M2578" s="1648">
        <v>4.0168000000000002E-2</v>
      </c>
      <c r="N2578" s="1649">
        <v>1.7204059512870959</v>
      </c>
      <c r="O2578" s="1649"/>
    </row>
    <row r="2579" spans="11:15">
      <c r="K2579" s="1646">
        <v>44636</v>
      </c>
      <c r="L2579" s="1647" t="s">
        <v>1653</v>
      </c>
      <c r="M2579" s="1648">
        <v>4.0168000000000002E-2</v>
      </c>
      <c r="N2579" s="1649">
        <v>1.721097003949609</v>
      </c>
      <c r="O2579" s="1649"/>
    </row>
    <row r="2580" spans="11:15">
      <c r="K2580" s="1646">
        <v>44637</v>
      </c>
      <c r="L2580" s="1647" t="s">
        <v>1653</v>
      </c>
      <c r="M2580" s="1648">
        <v>4.3739E-2</v>
      </c>
      <c r="N2580" s="1649">
        <v>1.7218497945681666</v>
      </c>
      <c r="O2580" s="1649"/>
    </row>
    <row r="2581" spans="11:15">
      <c r="K2581" s="1646">
        <v>44638</v>
      </c>
      <c r="L2581" s="1647" t="s">
        <v>1653</v>
      </c>
      <c r="M2581" s="1648">
        <v>4.3739E-2</v>
      </c>
      <c r="N2581" s="1649">
        <v>1.7226029144498129</v>
      </c>
      <c r="O2581" s="1649"/>
    </row>
    <row r="2582" spans="11:15">
      <c r="K2582" s="1646">
        <v>44639</v>
      </c>
      <c r="L2582" s="1647"/>
      <c r="M2582" s="1648">
        <v>0</v>
      </c>
      <c r="N2582" s="1649">
        <v>1.7226029144498129</v>
      </c>
      <c r="O2582" s="1649"/>
    </row>
    <row r="2583" spans="11:15">
      <c r="K2583" s="1646">
        <v>44640</v>
      </c>
      <c r="L2583" s="1647"/>
      <c r="M2583" s="1648">
        <v>0</v>
      </c>
      <c r="N2583" s="1649">
        <v>1.7226029144498129</v>
      </c>
      <c r="O2583" s="1649"/>
    </row>
    <row r="2584" spans="11:15">
      <c r="K2584" s="1646">
        <v>44641</v>
      </c>
      <c r="L2584" s="1647" t="s">
        <v>1653</v>
      </c>
      <c r="M2584" s="1648">
        <v>4.3739E-2</v>
      </c>
      <c r="N2584" s="1649">
        <v>1.7233563637385643</v>
      </c>
      <c r="O2584" s="1649"/>
    </row>
    <row r="2585" spans="11:15">
      <c r="K2585" s="1646">
        <v>44642</v>
      </c>
      <c r="L2585" s="1647" t="s">
        <v>1653</v>
      </c>
      <c r="M2585" s="1648">
        <v>4.3739E-2</v>
      </c>
      <c r="N2585" s="1649">
        <v>1.7241101425785001</v>
      </c>
      <c r="O2585" s="1649"/>
    </row>
    <row r="2586" spans="11:15">
      <c r="K2586" s="1646">
        <v>44643</v>
      </c>
      <c r="L2586" s="1647" t="s">
        <v>1653</v>
      </c>
      <c r="M2586" s="1648">
        <v>4.3739E-2</v>
      </c>
      <c r="N2586" s="1649">
        <v>1.7248642511137626</v>
      </c>
      <c r="O2586" s="1649"/>
    </row>
    <row r="2587" spans="11:15">
      <c r="K2587" s="1646">
        <v>44644</v>
      </c>
      <c r="L2587" s="1647" t="s">
        <v>1653</v>
      </c>
      <c r="M2587" s="1648">
        <v>4.3739E-2</v>
      </c>
      <c r="N2587" s="1649">
        <v>1.7256186894885575</v>
      </c>
      <c r="O2587" s="1649"/>
    </row>
    <row r="2588" spans="11:15">
      <c r="K2588" s="1646">
        <v>44645</v>
      </c>
      <c r="L2588" s="1647" t="s">
        <v>1653</v>
      </c>
      <c r="M2588" s="1648">
        <v>4.3739E-2</v>
      </c>
      <c r="N2588" s="1649">
        <v>1.726373457847153</v>
      </c>
      <c r="O2588" s="1649"/>
    </row>
    <row r="2589" spans="11:15">
      <c r="K2589" s="1646">
        <v>44646</v>
      </c>
      <c r="L2589" s="1647"/>
      <c r="M2589" s="1648">
        <v>0</v>
      </c>
      <c r="N2589" s="1649">
        <v>1.726373457847153</v>
      </c>
      <c r="O2589" s="1649"/>
    </row>
    <row r="2590" spans="11:15">
      <c r="K2590" s="1646">
        <v>44647</v>
      </c>
      <c r="L2590" s="1647"/>
      <c r="M2590" s="1648">
        <v>0</v>
      </c>
      <c r="N2590" s="1649">
        <v>1.726373457847153</v>
      </c>
      <c r="O2590" s="1649"/>
    </row>
    <row r="2591" spans="11:15">
      <c r="K2591" s="1646">
        <v>44648</v>
      </c>
      <c r="L2591" s="1647" t="s">
        <v>1653</v>
      </c>
      <c r="M2591" s="1648">
        <v>4.3739E-2</v>
      </c>
      <c r="N2591" s="1649">
        <v>1.727128556333881</v>
      </c>
      <c r="O2591" s="1649"/>
    </row>
    <row r="2592" spans="11:15">
      <c r="K2592" s="1646">
        <v>44649</v>
      </c>
      <c r="L2592" s="1647" t="s">
        <v>1653</v>
      </c>
      <c r="M2592" s="1648">
        <v>4.3739E-2</v>
      </c>
      <c r="N2592" s="1649">
        <v>1.727883985093136</v>
      </c>
      <c r="O2592" s="1649"/>
    </row>
    <row r="2593" spans="11:15">
      <c r="K2593" s="1646">
        <v>44650</v>
      </c>
      <c r="L2593" s="1647" t="s">
        <v>1653</v>
      </c>
      <c r="M2593" s="1648">
        <v>4.3739E-2</v>
      </c>
      <c r="N2593" s="1649">
        <v>1.7286397442693762</v>
      </c>
      <c r="O2593" s="1649"/>
    </row>
    <row r="2594" spans="11:15">
      <c r="K2594" s="1646">
        <v>44651</v>
      </c>
      <c r="L2594" s="1647" t="s">
        <v>1653</v>
      </c>
      <c r="M2594" s="1648">
        <v>4.3739E-2</v>
      </c>
      <c r="N2594" s="1649">
        <v>1.7293958340071223</v>
      </c>
      <c r="O2594" s="1649"/>
    </row>
    <row r="2595" spans="11:15">
      <c r="K2595" s="1646">
        <v>44652</v>
      </c>
      <c r="L2595" s="1647" t="s">
        <v>1653</v>
      </c>
      <c r="M2595" s="1648">
        <v>4.3739E-2</v>
      </c>
      <c r="N2595" s="1649">
        <v>1.7301522544509589</v>
      </c>
      <c r="O2595" s="1649"/>
    </row>
    <row r="2596" spans="11:15">
      <c r="K2596" s="1646">
        <v>44653</v>
      </c>
      <c r="L2596" s="1647"/>
      <c r="M2596" s="1648">
        <v>0</v>
      </c>
      <c r="N2596" s="1649">
        <v>1.7301522544509589</v>
      </c>
      <c r="O2596" s="1649"/>
    </row>
    <row r="2597" spans="11:15">
      <c r="K2597" s="1646">
        <v>44654</v>
      </c>
      <c r="L2597" s="1647"/>
      <c r="M2597" s="1648">
        <v>0</v>
      </c>
      <c r="N2597" s="1649">
        <v>1.7301522544509589</v>
      </c>
      <c r="O2597" s="1649"/>
    </row>
    <row r="2598" spans="11:15">
      <c r="K2598" s="1646">
        <v>44655</v>
      </c>
      <c r="L2598" s="1647" t="s">
        <v>1653</v>
      </c>
      <c r="M2598" s="1648">
        <v>4.3739E-2</v>
      </c>
      <c r="N2598" s="1649">
        <v>1.7309090057455334</v>
      </c>
      <c r="O2598" s="1649"/>
    </row>
    <row r="2599" spans="11:15">
      <c r="K2599" s="1646">
        <v>44656</v>
      </c>
      <c r="L2599" s="1647" t="s">
        <v>1653</v>
      </c>
      <c r="M2599" s="1648">
        <v>4.3739E-2</v>
      </c>
      <c r="N2599" s="1649">
        <v>1.7316660880355565</v>
      </c>
      <c r="O2599" s="1649"/>
    </row>
    <row r="2600" spans="11:15">
      <c r="K2600" s="1646">
        <v>44657</v>
      </c>
      <c r="L2600" s="1647" t="s">
        <v>1653</v>
      </c>
      <c r="M2600" s="1648">
        <v>4.3739E-2</v>
      </c>
      <c r="N2600" s="1649">
        <v>1.7324235014658025</v>
      </c>
      <c r="O2600" s="1649"/>
    </row>
    <row r="2601" spans="11:15">
      <c r="K2601" s="1646">
        <v>44658</v>
      </c>
      <c r="L2601" s="1647" t="s">
        <v>1653</v>
      </c>
      <c r="M2601" s="1648">
        <v>4.3739E-2</v>
      </c>
      <c r="N2601" s="1649">
        <v>1.7331812461811087</v>
      </c>
      <c r="O2601" s="1649"/>
    </row>
    <row r="2602" spans="11:15">
      <c r="K2602" s="1646">
        <v>44659</v>
      </c>
      <c r="L2602" s="1647" t="s">
        <v>1653</v>
      </c>
      <c r="M2602" s="1648">
        <v>4.3739E-2</v>
      </c>
      <c r="N2602" s="1649">
        <v>1.7339393223263759</v>
      </c>
      <c r="O2602" s="1649"/>
    </row>
    <row r="2603" spans="11:15">
      <c r="K2603" s="1646">
        <v>44660</v>
      </c>
      <c r="L2603" s="1647"/>
      <c r="M2603" s="1648">
        <v>0</v>
      </c>
      <c r="N2603" s="1649">
        <v>1.7339393223263759</v>
      </c>
      <c r="O2603" s="1649"/>
    </row>
    <row r="2604" spans="11:15">
      <c r="K2604" s="1646">
        <v>44661</v>
      </c>
      <c r="L2604" s="1647"/>
      <c r="M2604" s="1648">
        <v>0</v>
      </c>
      <c r="N2604" s="1649">
        <v>1.7339393223263759</v>
      </c>
      <c r="O2604" s="1649"/>
    </row>
    <row r="2605" spans="11:15">
      <c r="K2605" s="1646">
        <v>44662</v>
      </c>
      <c r="L2605" s="1647" t="s">
        <v>1653</v>
      </c>
      <c r="M2605" s="1648">
        <v>4.3739E-2</v>
      </c>
      <c r="N2605" s="1649">
        <v>1.7346977300465685</v>
      </c>
      <c r="O2605" s="1649"/>
    </row>
    <row r="2606" spans="11:15">
      <c r="K2606" s="1646">
        <v>44663</v>
      </c>
      <c r="L2606" s="1647" t="s">
        <v>1653</v>
      </c>
      <c r="M2606" s="1648">
        <v>4.3739E-2</v>
      </c>
      <c r="N2606" s="1649">
        <v>1.7354564694867136</v>
      </c>
      <c r="O2606" s="1649"/>
    </row>
    <row r="2607" spans="11:15">
      <c r="K2607" s="1646">
        <v>44664</v>
      </c>
      <c r="L2607" s="1647" t="s">
        <v>1653</v>
      </c>
      <c r="M2607" s="1648">
        <v>4.3739E-2</v>
      </c>
      <c r="N2607" s="1649">
        <v>1.7362155407919027</v>
      </c>
      <c r="O2607" s="1649"/>
    </row>
    <row r="2608" spans="11:15">
      <c r="K2608" s="1646">
        <v>44665</v>
      </c>
      <c r="L2608" s="1647" t="s">
        <v>1653</v>
      </c>
      <c r="M2608" s="1648">
        <v>4.3739E-2</v>
      </c>
      <c r="N2608" s="1649">
        <v>1.7369749441072897</v>
      </c>
      <c r="O2608" s="1649"/>
    </row>
    <row r="2609" spans="11:15">
      <c r="K2609" s="1646">
        <v>44666</v>
      </c>
      <c r="L2609" s="1647"/>
      <c r="M2609" s="1648">
        <v>0</v>
      </c>
      <c r="N2609" s="1649">
        <v>1.7369749441072897</v>
      </c>
      <c r="O2609" s="1649"/>
    </row>
    <row r="2610" spans="11:15">
      <c r="K2610" s="1646">
        <v>44667</v>
      </c>
      <c r="L2610" s="1647"/>
      <c r="M2610" s="1648">
        <v>0</v>
      </c>
      <c r="N2610" s="1649">
        <v>1.7369749441072897</v>
      </c>
      <c r="O2610" s="1649"/>
    </row>
    <row r="2611" spans="11:15">
      <c r="K2611" s="1646">
        <v>44668</v>
      </c>
      <c r="L2611" s="1647"/>
      <c r="M2611" s="1648">
        <v>0</v>
      </c>
      <c r="N2611" s="1649">
        <v>1.7369749441072897</v>
      </c>
      <c r="O2611" s="1649"/>
    </row>
    <row r="2612" spans="11:15">
      <c r="K2612" s="1646">
        <v>44669</v>
      </c>
      <c r="L2612" s="1647" t="s">
        <v>1653</v>
      </c>
      <c r="M2612" s="1648">
        <v>4.3739E-2</v>
      </c>
      <c r="N2612" s="1649">
        <v>1.737734679578093</v>
      </c>
      <c r="O2612" s="1649"/>
    </row>
    <row r="2613" spans="11:15">
      <c r="K2613" s="1646">
        <v>44670</v>
      </c>
      <c r="L2613" s="1647" t="s">
        <v>1653</v>
      </c>
      <c r="M2613" s="1648">
        <v>4.3739E-2</v>
      </c>
      <c r="N2613" s="1649">
        <v>1.7384947473495937</v>
      </c>
      <c r="O2613" s="1649"/>
    </row>
    <row r="2614" spans="11:15">
      <c r="K2614" s="1646">
        <v>44671</v>
      </c>
      <c r="L2614" s="1647" t="s">
        <v>1653</v>
      </c>
      <c r="M2614" s="1648">
        <v>4.3739E-2</v>
      </c>
      <c r="N2614" s="1649">
        <v>1.7392551475671372</v>
      </c>
      <c r="O2614" s="1649"/>
    </row>
    <row r="2615" spans="11:15">
      <c r="K2615" s="1646">
        <v>44672</v>
      </c>
      <c r="L2615" s="1647"/>
      <c r="M2615" s="1648">
        <v>0</v>
      </c>
      <c r="N2615" s="1649">
        <v>1.7392551475671372</v>
      </c>
      <c r="O2615" s="1649"/>
    </row>
    <row r="2616" spans="11:15">
      <c r="K2616" s="1646">
        <v>44673</v>
      </c>
      <c r="L2616" s="1647" t="s">
        <v>1653</v>
      </c>
      <c r="M2616" s="1648">
        <v>4.3739E-2</v>
      </c>
      <c r="N2616" s="1649">
        <v>1.7400158803761316</v>
      </c>
      <c r="O2616" s="1649"/>
    </row>
    <row r="2617" spans="11:15">
      <c r="K2617" s="1646">
        <v>44674</v>
      </c>
      <c r="L2617" s="1647"/>
      <c r="M2617" s="1648">
        <v>0</v>
      </c>
      <c r="N2617" s="1649">
        <v>1.7400158803761316</v>
      </c>
      <c r="O2617" s="1649"/>
    </row>
    <row r="2618" spans="11:15">
      <c r="K2618" s="1646">
        <v>44675</v>
      </c>
      <c r="L2618" s="1647"/>
      <c r="M2618" s="1648">
        <v>0</v>
      </c>
      <c r="N2618" s="1649">
        <v>1.7400158803761316</v>
      </c>
      <c r="O2618" s="1649"/>
    </row>
    <row r="2619" spans="11:15">
      <c r="K2619" s="1646">
        <v>44676</v>
      </c>
      <c r="L2619" s="1647" t="s">
        <v>1653</v>
      </c>
      <c r="M2619" s="1648">
        <v>4.3739E-2</v>
      </c>
      <c r="N2619" s="1649">
        <v>1.7407769459220495</v>
      </c>
      <c r="O2619" s="1649"/>
    </row>
    <row r="2620" spans="11:15">
      <c r="K2620" s="1646">
        <v>44677</v>
      </c>
      <c r="L2620" s="1647" t="s">
        <v>1653</v>
      </c>
      <c r="M2620" s="1648">
        <v>4.3739E-2</v>
      </c>
      <c r="N2620" s="1649">
        <v>1.7415383443504264</v>
      </c>
      <c r="O2620" s="1649"/>
    </row>
    <row r="2621" spans="11:15">
      <c r="K2621" s="1646">
        <v>44678</v>
      </c>
      <c r="L2621" s="1647" t="s">
        <v>1653</v>
      </c>
      <c r="M2621" s="1648">
        <v>4.3739E-2</v>
      </c>
      <c r="N2621" s="1649">
        <v>1.7423000758068621</v>
      </c>
      <c r="O2621" s="1649"/>
    </row>
    <row r="2622" spans="11:15">
      <c r="K2622" s="1646">
        <v>44679</v>
      </c>
      <c r="L2622" s="1647" t="s">
        <v>1653</v>
      </c>
      <c r="M2622" s="1648">
        <v>4.3739E-2</v>
      </c>
      <c r="N2622" s="1649">
        <v>1.7430621404370195</v>
      </c>
      <c r="O2622" s="1649"/>
    </row>
    <row r="2623" spans="11:15">
      <c r="K2623" s="1646">
        <v>44680</v>
      </c>
      <c r="L2623" s="1647" t="s">
        <v>1653</v>
      </c>
      <c r="M2623" s="1648">
        <v>4.3739E-2</v>
      </c>
      <c r="N2623" s="1649">
        <v>1.7438245383866253</v>
      </c>
      <c r="O2623" s="1649"/>
    </row>
    <row r="2624" spans="11:15">
      <c r="K2624" s="1646">
        <v>44681</v>
      </c>
      <c r="L2624" s="1647"/>
      <c r="M2624" s="1648">
        <v>0</v>
      </c>
      <c r="N2624" s="1649">
        <v>1.7438245383866253</v>
      </c>
      <c r="O2624" s="1649"/>
    </row>
    <row r="2625" spans="11:15">
      <c r="K2625" s="1646">
        <v>44682</v>
      </c>
      <c r="L2625" s="1647"/>
      <c r="M2625" s="1648">
        <v>0</v>
      </c>
      <c r="N2625" s="1649">
        <v>1.7438245383866253</v>
      </c>
      <c r="O2625" s="1649"/>
    </row>
    <row r="2626" spans="11:15">
      <c r="K2626" s="1646">
        <v>44683</v>
      </c>
      <c r="L2626" s="1647" t="s">
        <v>1653</v>
      </c>
      <c r="M2626" s="1648">
        <v>4.3739E-2</v>
      </c>
      <c r="N2626" s="1649">
        <v>1.7445872698014704</v>
      </c>
      <c r="O2626" s="1649"/>
    </row>
    <row r="2627" spans="11:15">
      <c r="K2627" s="1646">
        <v>44684</v>
      </c>
      <c r="L2627" s="1647" t="s">
        <v>1653</v>
      </c>
      <c r="M2627" s="1648">
        <v>4.3739E-2</v>
      </c>
      <c r="N2627" s="1649">
        <v>1.7453503348274091</v>
      </c>
      <c r="O2627" s="1649"/>
    </row>
    <row r="2628" spans="11:15">
      <c r="K2628" s="1646">
        <v>44685</v>
      </c>
      <c r="L2628" s="1647" t="s">
        <v>1653</v>
      </c>
      <c r="M2628" s="1648">
        <v>4.3739E-2</v>
      </c>
      <c r="N2628" s="1649">
        <v>1.7461137336103594</v>
      </c>
      <c r="O2628" s="1649"/>
    </row>
    <row r="2629" spans="11:15">
      <c r="K2629" s="1646">
        <v>44686</v>
      </c>
      <c r="L2629" s="1647" t="s">
        <v>1653</v>
      </c>
      <c r="M2629" s="1648">
        <v>4.7279000000000002E-2</v>
      </c>
      <c r="N2629" s="1649">
        <v>1.7469392787224729</v>
      </c>
      <c r="O2629" s="1649"/>
    </row>
    <row r="2630" spans="11:15">
      <c r="K2630" s="1646">
        <v>44687</v>
      </c>
      <c r="L2630" s="1647" t="s">
        <v>1653</v>
      </c>
      <c r="M2630" s="1648">
        <v>4.7279000000000002E-2</v>
      </c>
      <c r="N2630" s="1649">
        <v>1.7477652141440598</v>
      </c>
      <c r="O2630" s="1649"/>
    </row>
    <row r="2631" spans="11:15">
      <c r="K2631" s="1646">
        <v>44688</v>
      </c>
      <c r="L2631" s="1647"/>
      <c r="M2631" s="1648">
        <v>0</v>
      </c>
      <c r="N2631" s="1649">
        <v>1.7477652141440598</v>
      </c>
      <c r="O2631" s="1649"/>
    </row>
    <row r="2632" spans="11:15">
      <c r="K2632" s="1646">
        <v>44689</v>
      </c>
      <c r="L2632" s="1647"/>
      <c r="M2632" s="1648">
        <v>0</v>
      </c>
      <c r="N2632" s="1649">
        <v>1.7477652141440598</v>
      </c>
      <c r="O2632" s="1649"/>
    </row>
    <row r="2633" spans="11:15">
      <c r="K2633" s="1646">
        <v>44690</v>
      </c>
      <c r="L2633" s="1647" t="s">
        <v>1653</v>
      </c>
      <c r="M2633" s="1648">
        <v>4.7279000000000002E-2</v>
      </c>
      <c r="N2633" s="1649">
        <v>1.7485915400596548</v>
      </c>
      <c r="O2633" s="1649"/>
    </row>
    <row r="2634" spans="11:15">
      <c r="K2634" s="1646">
        <v>44691</v>
      </c>
      <c r="L2634" s="1647" t="s">
        <v>1653</v>
      </c>
      <c r="M2634" s="1648">
        <v>4.7279000000000002E-2</v>
      </c>
      <c r="N2634" s="1649">
        <v>1.7494182566538794</v>
      </c>
      <c r="O2634" s="1649"/>
    </row>
    <row r="2635" spans="11:15">
      <c r="K2635" s="1646">
        <v>44692</v>
      </c>
      <c r="L2635" s="1647" t="s">
        <v>1653</v>
      </c>
      <c r="M2635" s="1648">
        <v>4.7279000000000002E-2</v>
      </c>
      <c r="N2635" s="1649">
        <v>1.7502453641114426</v>
      </c>
      <c r="O2635" s="1649"/>
    </row>
    <row r="2636" spans="11:15">
      <c r="K2636" s="1646">
        <v>44693</v>
      </c>
      <c r="L2636" s="1647" t="s">
        <v>1653</v>
      </c>
      <c r="M2636" s="1648">
        <v>4.7279000000000002E-2</v>
      </c>
      <c r="N2636" s="1649">
        <v>1.7510728626171406</v>
      </c>
      <c r="O2636" s="1649"/>
    </row>
    <row r="2637" spans="11:15">
      <c r="K2637" s="1646">
        <v>44694</v>
      </c>
      <c r="L2637" s="1647" t="s">
        <v>1653</v>
      </c>
      <c r="M2637" s="1648">
        <v>4.7279000000000002E-2</v>
      </c>
      <c r="N2637" s="1649">
        <v>1.7519007523558572</v>
      </c>
      <c r="O2637" s="1649"/>
    </row>
    <row r="2638" spans="11:15">
      <c r="K2638" s="1646">
        <v>44695</v>
      </c>
      <c r="L2638" s="1647"/>
      <c r="M2638" s="1648">
        <v>0</v>
      </c>
      <c r="N2638" s="1649">
        <v>1.7519007523558572</v>
      </c>
      <c r="O2638" s="1649"/>
    </row>
    <row r="2639" spans="11:15">
      <c r="K2639" s="1646">
        <v>44696</v>
      </c>
      <c r="L2639" s="1647"/>
      <c r="M2639" s="1648">
        <v>0</v>
      </c>
      <c r="N2639" s="1649">
        <v>1.7519007523558572</v>
      </c>
      <c r="O2639" s="1649"/>
    </row>
    <row r="2640" spans="11:15">
      <c r="K2640" s="1646">
        <v>44697</v>
      </c>
      <c r="L2640" s="1647" t="s">
        <v>1653</v>
      </c>
      <c r="M2640" s="1648">
        <v>4.7279000000000002E-2</v>
      </c>
      <c r="N2640" s="1649">
        <v>1.7527290335125634</v>
      </c>
      <c r="O2640" s="1649"/>
    </row>
    <row r="2641" spans="11:15">
      <c r="K2641" s="1646">
        <v>44698</v>
      </c>
      <c r="L2641" s="1647" t="s">
        <v>1653</v>
      </c>
      <c r="M2641" s="1648">
        <v>4.7279000000000002E-2</v>
      </c>
      <c r="N2641" s="1649">
        <v>1.7535577062723176</v>
      </c>
      <c r="O2641" s="1649"/>
    </row>
    <row r="2642" spans="11:15">
      <c r="K2642" s="1646">
        <v>44699</v>
      </c>
      <c r="L2642" s="1647" t="s">
        <v>1653</v>
      </c>
      <c r="M2642" s="1648">
        <v>4.7279000000000002E-2</v>
      </c>
      <c r="N2642" s="1649">
        <v>1.7543867708202658</v>
      </c>
      <c r="O2642" s="1649"/>
    </row>
    <row r="2643" spans="11:15">
      <c r="K2643" s="1646">
        <v>44700</v>
      </c>
      <c r="L2643" s="1647" t="s">
        <v>1653</v>
      </c>
      <c r="M2643" s="1648">
        <v>4.7279000000000002E-2</v>
      </c>
      <c r="N2643" s="1649">
        <v>1.7552162273416418</v>
      </c>
      <c r="O2643" s="1649"/>
    </row>
    <row r="2644" spans="11:15">
      <c r="K2644" s="1646">
        <v>44701</v>
      </c>
      <c r="L2644" s="1647" t="s">
        <v>1653</v>
      </c>
      <c r="M2644" s="1648">
        <v>4.7279000000000002E-2</v>
      </c>
      <c r="N2644" s="1649">
        <v>1.7560460760217664</v>
      </c>
      <c r="O2644" s="1649"/>
    </row>
    <row r="2645" spans="11:15">
      <c r="K2645" s="1646">
        <v>44702</v>
      </c>
      <c r="L2645" s="1647"/>
      <c r="M2645" s="1648">
        <v>0</v>
      </c>
      <c r="N2645" s="1649">
        <v>1.7560460760217664</v>
      </c>
      <c r="O2645" s="1649"/>
    </row>
    <row r="2646" spans="11:15">
      <c r="K2646" s="1646">
        <v>44703</v>
      </c>
      <c r="L2646" s="1647"/>
      <c r="M2646" s="1648">
        <v>0</v>
      </c>
      <c r="N2646" s="1649">
        <v>1.7560460760217664</v>
      </c>
      <c r="O2646" s="1649"/>
    </row>
    <row r="2647" spans="11:15">
      <c r="K2647" s="1646">
        <v>44704</v>
      </c>
      <c r="L2647" s="1647" t="s">
        <v>1653</v>
      </c>
      <c r="M2647" s="1648">
        <v>4.7279000000000002E-2</v>
      </c>
      <c r="N2647" s="1649">
        <v>1.7568763170460486</v>
      </c>
      <c r="O2647" s="1649"/>
    </row>
    <row r="2648" spans="11:15">
      <c r="K2648" s="1646">
        <v>44705</v>
      </c>
      <c r="L2648" s="1647" t="s">
        <v>1653</v>
      </c>
      <c r="M2648" s="1648">
        <v>4.7279000000000002E-2</v>
      </c>
      <c r="N2648" s="1649">
        <v>1.7577069505999847</v>
      </c>
      <c r="O2648" s="1649"/>
    </row>
    <row r="2649" spans="11:15">
      <c r="K2649" s="1646">
        <v>44706</v>
      </c>
      <c r="L2649" s="1647" t="s">
        <v>1653</v>
      </c>
      <c r="M2649" s="1648">
        <v>4.7279000000000002E-2</v>
      </c>
      <c r="N2649" s="1649">
        <v>1.7585379768691587</v>
      </c>
      <c r="O2649" s="1649"/>
    </row>
    <row r="2650" spans="11:15">
      <c r="K2650" s="1646">
        <v>44707</v>
      </c>
      <c r="L2650" s="1647" t="s">
        <v>1653</v>
      </c>
      <c r="M2650" s="1648">
        <v>4.7279000000000002E-2</v>
      </c>
      <c r="N2650" s="1649">
        <v>1.7593693960392425</v>
      </c>
      <c r="O2650" s="1649"/>
    </row>
    <row r="2651" spans="11:15">
      <c r="K2651" s="1646">
        <v>44708</v>
      </c>
      <c r="L2651" s="1647" t="s">
        <v>1653</v>
      </c>
      <c r="M2651" s="1648">
        <v>4.7279000000000002E-2</v>
      </c>
      <c r="N2651" s="1649">
        <v>1.7602012082959957</v>
      </c>
      <c r="O2651" s="1649"/>
    </row>
    <row r="2652" spans="11:15">
      <c r="K2652" s="1646">
        <v>44709</v>
      </c>
      <c r="L2652" s="1647"/>
      <c r="M2652" s="1648">
        <v>0</v>
      </c>
      <c r="N2652" s="1649">
        <v>1.7602012082959957</v>
      </c>
      <c r="O2652" s="1649"/>
    </row>
    <row r="2653" spans="11:15">
      <c r="K2653" s="1646">
        <v>44710</v>
      </c>
      <c r="L2653" s="1647"/>
      <c r="M2653" s="1648">
        <v>0</v>
      </c>
      <c r="N2653" s="1649">
        <v>1.7602012082959957</v>
      </c>
      <c r="O2653" s="1649"/>
    </row>
    <row r="2654" spans="11:15">
      <c r="K2654" s="1646">
        <v>44711</v>
      </c>
      <c r="L2654" s="1647" t="s">
        <v>1653</v>
      </c>
      <c r="M2654" s="1648">
        <v>4.7279000000000002E-2</v>
      </c>
      <c r="N2654" s="1649">
        <v>1.7610334138252657</v>
      </c>
      <c r="O2654" s="1649"/>
    </row>
    <row r="2655" spans="11:15">
      <c r="K2655" s="1646">
        <v>44712</v>
      </c>
      <c r="L2655" s="1647" t="s">
        <v>1653</v>
      </c>
      <c r="M2655" s="1648">
        <v>4.7279000000000002E-2</v>
      </c>
      <c r="N2655" s="1649">
        <v>1.7618660128129879</v>
      </c>
      <c r="O2655" s="1649"/>
    </row>
    <row r="2656" spans="11:15">
      <c r="K2656" s="1646">
        <v>44713</v>
      </c>
      <c r="L2656" s="1647" t="s">
        <v>1653</v>
      </c>
      <c r="M2656" s="1648">
        <v>4.7279000000000002E-2</v>
      </c>
      <c r="N2656" s="1649">
        <v>1.7626990054451857</v>
      </c>
      <c r="O2656" s="1649"/>
    </row>
    <row r="2657" spans="11:15">
      <c r="K2657" s="1646">
        <v>44714</v>
      </c>
      <c r="L2657" s="1647" t="s">
        <v>1653</v>
      </c>
      <c r="M2657" s="1648">
        <v>4.7279000000000002E-2</v>
      </c>
      <c r="N2657" s="1649">
        <v>1.76353239190797</v>
      </c>
      <c r="O2657" s="1649"/>
    </row>
    <row r="2658" spans="11:15">
      <c r="K2658" s="1646">
        <v>44715</v>
      </c>
      <c r="L2658" s="1647" t="s">
        <v>1653</v>
      </c>
      <c r="M2658" s="1648">
        <v>4.7279000000000002E-2</v>
      </c>
      <c r="N2658" s="1649">
        <v>1.7643661723875399</v>
      </c>
      <c r="O2658" s="1649"/>
    </row>
    <row r="2659" spans="11:15">
      <c r="K2659" s="1646">
        <v>44716</v>
      </c>
      <c r="L2659" s="1647"/>
      <c r="M2659" s="1648">
        <v>0</v>
      </c>
      <c r="N2659" s="1649">
        <v>1.7643661723875399</v>
      </c>
      <c r="O2659" s="1649"/>
    </row>
    <row r="2660" spans="11:15">
      <c r="K2660" s="1646">
        <v>44717</v>
      </c>
      <c r="L2660" s="1647"/>
      <c r="M2660" s="1648">
        <v>0</v>
      </c>
      <c r="N2660" s="1649">
        <v>1.7643661723875399</v>
      </c>
      <c r="O2660" s="1649"/>
    </row>
    <row r="2661" spans="11:15">
      <c r="K2661" s="1646">
        <v>44718</v>
      </c>
      <c r="L2661" s="1647" t="s">
        <v>1653</v>
      </c>
      <c r="M2661" s="1648">
        <v>4.7279000000000002E-2</v>
      </c>
      <c r="N2661" s="1649">
        <v>1.7652003470701829</v>
      </c>
      <c r="O2661" s="1649"/>
    </row>
    <row r="2662" spans="11:15">
      <c r="K2662" s="1646">
        <v>44719</v>
      </c>
      <c r="L2662" s="1647" t="s">
        <v>1653</v>
      </c>
      <c r="M2662" s="1648">
        <v>4.7279000000000002E-2</v>
      </c>
      <c r="N2662" s="1649">
        <v>1.7660349161422739</v>
      </c>
      <c r="O2662" s="1649"/>
    </row>
    <row r="2663" spans="11:15">
      <c r="K2663" s="1646">
        <v>44720</v>
      </c>
      <c r="L2663" s="1647" t="s">
        <v>1653</v>
      </c>
      <c r="M2663" s="1648">
        <v>4.7279000000000002E-2</v>
      </c>
      <c r="N2663" s="1649">
        <v>1.7668698797902767</v>
      </c>
      <c r="O2663" s="1649"/>
    </row>
    <row r="2664" spans="11:15">
      <c r="K2664" s="1646">
        <v>44721</v>
      </c>
      <c r="L2664" s="1647" t="s">
        <v>1653</v>
      </c>
      <c r="M2664" s="1648">
        <v>4.7279000000000002E-2</v>
      </c>
      <c r="N2664" s="1649">
        <v>1.7677052382007425</v>
      </c>
      <c r="O2664" s="1649"/>
    </row>
    <row r="2665" spans="11:15">
      <c r="K2665" s="1646">
        <v>44722</v>
      </c>
      <c r="L2665" s="1647" t="s">
        <v>1653</v>
      </c>
      <c r="M2665" s="1648">
        <v>4.7279000000000002E-2</v>
      </c>
      <c r="N2665" s="1649">
        <v>1.7685409915603112</v>
      </c>
      <c r="O2665" s="1649"/>
    </row>
    <row r="2666" spans="11:15">
      <c r="K2666" s="1646">
        <v>44723</v>
      </c>
      <c r="L2666" s="1647"/>
      <c r="M2666" s="1648">
        <v>0</v>
      </c>
      <c r="N2666" s="1649">
        <v>1.7685409915603112</v>
      </c>
      <c r="O2666" s="1649"/>
    </row>
    <row r="2667" spans="11:15">
      <c r="K2667" s="1646">
        <v>44724</v>
      </c>
      <c r="L2667" s="1647"/>
      <c r="M2667" s="1648">
        <v>0</v>
      </c>
      <c r="N2667" s="1649">
        <v>1.7685409915603112</v>
      </c>
      <c r="O2667" s="1649"/>
    </row>
    <row r="2668" spans="11:15">
      <c r="K2668" s="1646">
        <v>44725</v>
      </c>
      <c r="L2668" s="1647" t="s">
        <v>1653</v>
      </c>
      <c r="M2668" s="1648">
        <v>4.7279000000000002E-2</v>
      </c>
      <c r="N2668" s="1649">
        <v>1.7693771400557108</v>
      </c>
      <c r="O2668" s="1649"/>
    </row>
    <row r="2669" spans="11:15">
      <c r="K2669" s="1646">
        <v>44726</v>
      </c>
      <c r="L2669" s="1647" t="s">
        <v>1653</v>
      </c>
      <c r="M2669" s="1648">
        <v>4.7279000000000002E-2</v>
      </c>
      <c r="N2669" s="1649">
        <v>1.7702136838737574</v>
      </c>
      <c r="O2669" s="1649"/>
    </row>
    <row r="2670" spans="11:15">
      <c r="K2670" s="1646">
        <v>44727</v>
      </c>
      <c r="L2670" s="1647" t="s">
        <v>1653</v>
      </c>
      <c r="M2670" s="1648">
        <v>4.7279000000000002E-2</v>
      </c>
      <c r="N2670" s="1649">
        <v>1.7710506232013559</v>
      </c>
      <c r="O2670" s="1649"/>
    </row>
    <row r="2671" spans="11:15">
      <c r="K2671" s="1646">
        <v>44728</v>
      </c>
      <c r="L2671" s="1647"/>
      <c r="M2671" s="1648">
        <v>0</v>
      </c>
      <c r="N2671" s="1649">
        <v>1.7710506232013559</v>
      </c>
      <c r="O2671" s="1649"/>
    </row>
    <row r="2672" spans="11:15">
      <c r="K2672" s="1646">
        <v>44729</v>
      </c>
      <c r="L2672" s="1647" t="s">
        <v>1653</v>
      </c>
      <c r="M2672" s="1648">
        <v>4.9036999999999997E-2</v>
      </c>
      <c r="N2672" s="1649">
        <v>1.7719190932954552</v>
      </c>
      <c r="O2672" s="1649"/>
    </row>
    <row r="2673" spans="11:15">
      <c r="K2673" s="1646">
        <v>44730</v>
      </c>
      <c r="L2673" s="1647"/>
      <c r="M2673" s="1648">
        <v>0</v>
      </c>
      <c r="N2673" s="1649">
        <v>1.7719190932954552</v>
      </c>
      <c r="O2673" s="1649"/>
    </row>
    <row r="2674" spans="11:15">
      <c r="K2674" s="1646">
        <v>44731</v>
      </c>
      <c r="L2674" s="1647"/>
      <c r="M2674" s="1648">
        <v>0</v>
      </c>
      <c r="N2674" s="1649">
        <v>1.7719190932954552</v>
      </c>
      <c r="O2674" s="1649"/>
    </row>
    <row r="2675" spans="11:15">
      <c r="K2675" s="1646">
        <v>44732</v>
      </c>
      <c r="L2675" s="1647" t="s">
        <v>1653</v>
      </c>
      <c r="M2675" s="1648">
        <v>4.9036999999999997E-2</v>
      </c>
      <c r="N2675" s="1649">
        <v>1.7727879892612346</v>
      </c>
      <c r="O2675" s="1649"/>
    </row>
    <row r="2676" spans="11:15">
      <c r="K2676" s="1646">
        <v>44733</v>
      </c>
      <c r="L2676" s="1647" t="s">
        <v>1653</v>
      </c>
      <c r="M2676" s="1648">
        <v>4.9036999999999997E-2</v>
      </c>
      <c r="N2676" s="1649">
        <v>1.7736573113075287</v>
      </c>
      <c r="O2676" s="1649"/>
    </row>
    <row r="2677" spans="11:15">
      <c r="K2677" s="1646">
        <v>44734</v>
      </c>
      <c r="L2677" s="1647" t="s">
        <v>1653</v>
      </c>
      <c r="M2677" s="1648">
        <v>4.9036999999999997E-2</v>
      </c>
      <c r="N2677" s="1649">
        <v>1.7745270596432747</v>
      </c>
      <c r="O2677" s="1649"/>
    </row>
    <row r="2678" spans="11:15">
      <c r="K2678" s="1646">
        <v>44735</v>
      </c>
      <c r="L2678" s="1647" t="s">
        <v>1653</v>
      </c>
      <c r="M2678" s="1648">
        <v>4.9036999999999997E-2</v>
      </c>
      <c r="N2678" s="1649">
        <v>1.7753972344775122</v>
      </c>
      <c r="O2678" s="1649"/>
    </row>
    <row r="2679" spans="11:15">
      <c r="K2679" s="1646">
        <v>44736</v>
      </c>
      <c r="L2679" s="1647" t="s">
        <v>1653</v>
      </c>
      <c r="M2679" s="1648">
        <v>4.9036999999999997E-2</v>
      </c>
      <c r="N2679" s="1649">
        <v>1.7762678360193831</v>
      </c>
      <c r="O2679" s="1649"/>
    </row>
    <row r="2680" spans="11:15">
      <c r="K2680" s="1646">
        <v>44737</v>
      </c>
      <c r="L2680" s="1647"/>
      <c r="M2680" s="1648">
        <v>0</v>
      </c>
      <c r="N2680" s="1649">
        <v>1.7762678360193831</v>
      </c>
      <c r="O2680" s="1649"/>
    </row>
    <row r="2681" spans="11:15">
      <c r="K2681" s="1646">
        <v>44738</v>
      </c>
      <c r="L2681" s="1647"/>
      <c r="M2681" s="1648">
        <v>0</v>
      </c>
      <c r="N2681" s="1649">
        <v>1.7762678360193831</v>
      </c>
      <c r="O2681" s="1649"/>
    </row>
    <row r="2682" spans="11:15">
      <c r="K2682" s="1646">
        <v>44739</v>
      </c>
      <c r="L2682" s="1647" t="s">
        <v>1653</v>
      </c>
      <c r="M2682" s="1648">
        <v>4.9036999999999997E-2</v>
      </c>
      <c r="N2682" s="1649">
        <v>1.7771388644781321</v>
      </c>
      <c r="O2682" s="1649"/>
    </row>
    <row r="2683" spans="11:15">
      <c r="K2683" s="1646">
        <v>44740</v>
      </c>
      <c r="L2683" s="1647" t="s">
        <v>1653</v>
      </c>
      <c r="M2683" s="1648">
        <v>4.9036999999999997E-2</v>
      </c>
      <c r="N2683" s="1649">
        <v>1.7780103200631063</v>
      </c>
      <c r="O2683" s="1649"/>
    </row>
    <row r="2684" spans="11:15">
      <c r="K2684" s="1646">
        <v>44741</v>
      </c>
      <c r="L2684" s="1647" t="s">
        <v>1653</v>
      </c>
      <c r="M2684" s="1648">
        <v>4.9036999999999997E-2</v>
      </c>
      <c r="N2684" s="1649">
        <v>1.7788822029837559</v>
      </c>
      <c r="O2684" s="1649"/>
    </row>
    <row r="2685" spans="11:15">
      <c r="K2685" s="1646">
        <v>44742</v>
      </c>
      <c r="L2685" s="1647" t="s">
        <v>1653</v>
      </c>
      <c r="M2685" s="1648">
        <v>4.9036999999999997E-2</v>
      </c>
      <c r="N2685" s="1649">
        <v>1.7797545134496331</v>
      </c>
      <c r="O2685" s="1649"/>
    </row>
    <row r="2686" spans="11:15">
      <c r="K2686" s="1646">
        <v>44743</v>
      </c>
      <c r="L2686" s="1647" t="s">
        <v>1653</v>
      </c>
      <c r="M2686" s="1648">
        <v>4.9036999999999997E-2</v>
      </c>
      <c r="N2686" s="1649">
        <v>1.7806272516703936</v>
      </c>
      <c r="O2686" s="1649"/>
    </row>
    <row r="2687" spans="11:15">
      <c r="K2687" s="1646">
        <v>44744</v>
      </c>
      <c r="L2687" s="1647"/>
      <c r="M2687" s="1648">
        <v>0</v>
      </c>
      <c r="N2687" s="1649">
        <v>1.7806272516703936</v>
      </c>
      <c r="O2687" s="1649"/>
    </row>
    <row r="2688" spans="11:15">
      <c r="K2688" s="1646">
        <v>44745</v>
      </c>
      <c r="L2688" s="1647"/>
      <c r="M2688" s="1648">
        <v>0</v>
      </c>
      <c r="N2688" s="1649">
        <v>1.7806272516703936</v>
      </c>
      <c r="O2688" s="1649"/>
    </row>
    <row r="2689" spans="11:15">
      <c r="K2689" s="1646">
        <v>44746</v>
      </c>
      <c r="L2689" s="1647" t="s">
        <v>1653</v>
      </c>
      <c r="M2689" s="1648">
        <v>4.9036999999999997E-2</v>
      </c>
      <c r="N2689" s="1649">
        <v>1.7815004178557954</v>
      </c>
      <c r="O2689" s="1649"/>
    </row>
    <row r="2690" spans="11:15">
      <c r="K2690" s="1646">
        <v>44747</v>
      </c>
      <c r="L2690" s="1647" t="s">
        <v>1653</v>
      </c>
      <c r="M2690" s="1648">
        <v>4.9036999999999997E-2</v>
      </c>
      <c r="N2690" s="1649">
        <v>1.7823740122156995</v>
      </c>
      <c r="O2690" s="1649"/>
    </row>
    <row r="2691" spans="11:15">
      <c r="K2691" s="1646">
        <v>44748</v>
      </c>
      <c r="L2691" s="1647" t="s">
        <v>1653</v>
      </c>
      <c r="M2691" s="1648">
        <v>4.9036999999999997E-2</v>
      </c>
      <c r="N2691" s="1649">
        <v>1.7832480349600699</v>
      </c>
      <c r="O2691" s="1649"/>
    </row>
    <row r="2692" spans="11:15">
      <c r="K2692" s="1646">
        <v>44749</v>
      </c>
      <c r="L2692" s="1647" t="s">
        <v>1653</v>
      </c>
      <c r="M2692" s="1648">
        <v>4.9036999999999997E-2</v>
      </c>
      <c r="N2692" s="1649">
        <v>1.7841224862989733</v>
      </c>
      <c r="O2692" s="1649"/>
    </row>
    <row r="2693" spans="11:15">
      <c r="K2693" s="1646">
        <v>44750</v>
      </c>
      <c r="L2693" s="1647" t="s">
        <v>1653</v>
      </c>
      <c r="M2693" s="1648">
        <v>4.9036999999999997E-2</v>
      </c>
      <c r="N2693" s="1649">
        <v>1.7849973664425798</v>
      </c>
      <c r="O2693" s="1649"/>
    </row>
    <row r="2694" spans="11:15">
      <c r="K2694" s="1646">
        <v>44751</v>
      </c>
      <c r="L2694" s="1647"/>
      <c r="M2694" s="1648">
        <v>0</v>
      </c>
      <c r="N2694" s="1649">
        <v>1.7849973664425798</v>
      </c>
      <c r="O2694" s="1649"/>
    </row>
    <row r="2695" spans="11:15">
      <c r="K2695" s="1646">
        <v>44752</v>
      </c>
      <c r="L2695" s="1647"/>
      <c r="M2695" s="1648">
        <v>0</v>
      </c>
      <c r="N2695" s="1649">
        <v>1.7849973664425798</v>
      </c>
      <c r="O2695" s="1649"/>
    </row>
    <row r="2696" spans="11:15">
      <c r="K2696" s="1646">
        <v>44753</v>
      </c>
      <c r="L2696" s="1647" t="s">
        <v>1653</v>
      </c>
      <c r="M2696" s="1648">
        <v>4.9036999999999997E-2</v>
      </c>
      <c r="N2696" s="1649">
        <v>1.7858726756011623</v>
      </c>
      <c r="O2696" s="1649"/>
    </row>
    <row r="2697" spans="11:15">
      <c r="K2697" s="1646">
        <v>44754</v>
      </c>
      <c r="L2697" s="1647" t="s">
        <v>1653</v>
      </c>
      <c r="M2697" s="1648">
        <v>4.9036999999999997E-2</v>
      </c>
      <c r="N2697" s="1649">
        <v>1.7867484139850969</v>
      </c>
      <c r="O2697" s="1649"/>
    </row>
    <row r="2698" spans="11:15">
      <c r="K2698" s="1646">
        <v>44755</v>
      </c>
      <c r="L2698" s="1647" t="s">
        <v>1653</v>
      </c>
      <c r="M2698" s="1648">
        <v>4.9036999999999997E-2</v>
      </c>
      <c r="N2698" s="1649">
        <v>1.7876245818048628</v>
      </c>
      <c r="O2698" s="1649"/>
    </row>
    <row r="2699" spans="11:15">
      <c r="K2699" s="1646">
        <v>44756</v>
      </c>
      <c r="L2699" s="1647" t="s">
        <v>1653</v>
      </c>
      <c r="M2699" s="1648">
        <v>4.9036999999999997E-2</v>
      </c>
      <c r="N2699" s="1649">
        <v>1.7885011792710426</v>
      </c>
      <c r="O2699" s="1649"/>
    </row>
    <row r="2700" spans="11:15">
      <c r="K2700" s="1646">
        <v>44757</v>
      </c>
      <c r="L2700" s="1647" t="s">
        <v>1653</v>
      </c>
      <c r="M2700" s="1648">
        <v>4.9036999999999997E-2</v>
      </c>
      <c r="N2700" s="1649">
        <v>1.7893782065943218</v>
      </c>
      <c r="O2700" s="1649"/>
    </row>
    <row r="2701" spans="11:15">
      <c r="K2701" s="1646">
        <v>44758</v>
      </c>
      <c r="L2701" s="1647"/>
      <c r="M2701" s="1648">
        <v>0</v>
      </c>
      <c r="N2701" s="1649">
        <v>1.7893782065943218</v>
      </c>
      <c r="O2701" s="1649"/>
    </row>
    <row r="2702" spans="11:15">
      <c r="K2702" s="1646">
        <v>44759</v>
      </c>
      <c r="L2702" s="1647"/>
      <c r="M2702" s="1648">
        <v>0</v>
      </c>
      <c r="N2702" s="1649">
        <v>1.7893782065943218</v>
      </c>
      <c r="O2702" s="1649"/>
    </row>
    <row r="2703" spans="11:15">
      <c r="K2703" s="1646">
        <v>44760</v>
      </c>
      <c r="L2703" s="1647" t="s">
        <v>1653</v>
      </c>
      <c r="M2703" s="1648">
        <v>4.9036999999999997E-2</v>
      </c>
      <c r="N2703" s="1649">
        <v>1.7902556639854896</v>
      </c>
      <c r="O2703" s="1649"/>
    </row>
    <row r="2704" spans="11:15">
      <c r="K2704" s="1646">
        <v>44761</v>
      </c>
      <c r="L2704" s="1647" t="s">
        <v>1653</v>
      </c>
      <c r="M2704" s="1648">
        <v>4.9036999999999997E-2</v>
      </c>
      <c r="N2704" s="1649">
        <v>1.7911335516554383</v>
      </c>
      <c r="O2704" s="1649"/>
    </row>
    <row r="2705" spans="11:15">
      <c r="K2705" s="1646">
        <v>44762</v>
      </c>
      <c r="L2705" s="1647" t="s">
        <v>1653</v>
      </c>
      <c r="M2705" s="1648">
        <v>4.9036999999999997E-2</v>
      </c>
      <c r="N2705" s="1649">
        <v>1.7920118698151637</v>
      </c>
      <c r="O2705" s="1649"/>
    </row>
    <row r="2706" spans="11:15">
      <c r="K2706" s="1646">
        <v>44763</v>
      </c>
      <c r="L2706" s="1647" t="s">
        <v>1653</v>
      </c>
      <c r="M2706" s="1648">
        <v>4.9036999999999997E-2</v>
      </c>
      <c r="N2706" s="1649">
        <v>1.7928906186757652</v>
      </c>
      <c r="O2706" s="1649"/>
    </row>
    <row r="2707" spans="11:15">
      <c r="K2707" s="1646">
        <v>44764</v>
      </c>
      <c r="L2707" s="1647" t="s">
        <v>1653</v>
      </c>
      <c r="M2707" s="1648">
        <v>4.9036999999999997E-2</v>
      </c>
      <c r="N2707" s="1649">
        <v>1.7937697984484453</v>
      </c>
      <c r="O2707" s="1649"/>
    </row>
    <row r="2708" spans="11:15">
      <c r="K2708" s="1646">
        <v>44765</v>
      </c>
      <c r="L2708" s="1647"/>
      <c r="M2708" s="1648">
        <v>0</v>
      </c>
      <c r="N2708" s="1649">
        <v>1.7937697984484453</v>
      </c>
      <c r="O2708" s="1649"/>
    </row>
    <row r="2709" spans="11:15">
      <c r="K2709" s="1646">
        <v>44766</v>
      </c>
      <c r="L2709" s="1647"/>
      <c r="M2709" s="1648">
        <v>0</v>
      </c>
      <c r="N2709" s="1649">
        <v>1.7937697984484453</v>
      </c>
      <c r="O2709" s="1649"/>
    </row>
    <row r="2710" spans="11:15">
      <c r="K2710" s="1646">
        <v>44767</v>
      </c>
      <c r="L2710" s="1647" t="s">
        <v>1653</v>
      </c>
      <c r="M2710" s="1648">
        <v>4.9036999999999997E-2</v>
      </c>
      <c r="N2710" s="1649">
        <v>1.7946494093445107</v>
      </c>
      <c r="O2710" s="1649"/>
    </row>
    <row r="2711" spans="11:15">
      <c r="K2711" s="1646">
        <v>44768</v>
      </c>
      <c r="L2711" s="1647" t="s">
        <v>1653</v>
      </c>
      <c r="M2711" s="1648">
        <v>4.9036999999999997E-2</v>
      </c>
      <c r="N2711" s="1649">
        <v>1.795529451575371</v>
      </c>
      <c r="O2711" s="1649"/>
    </row>
    <row r="2712" spans="11:15">
      <c r="K2712" s="1646">
        <v>44769</v>
      </c>
      <c r="L2712" s="1647" t="s">
        <v>1653</v>
      </c>
      <c r="M2712" s="1648">
        <v>4.9036999999999997E-2</v>
      </c>
      <c r="N2712" s="1649">
        <v>1.7964099253525401</v>
      </c>
      <c r="O2712" s="1649"/>
    </row>
    <row r="2713" spans="11:15">
      <c r="K2713" s="1646">
        <v>44770</v>
      </c>
      <c r="L2713" s="1647" t="s">
        <v>1653</v>
      </c>
      <c r="M2713" s="1648">
        <v>4.9036999999999997E-2</v>
      </c>
      <c r="N2713" s="1649">
        <v>1.7972908308876354</v>
      </c>
      <c r="O2713" s="1649"/>
    </row>
    <row r="2714" spans="11:15">
      <c r="K2714" s="1646">
        <v>44771</v>
      </c>
      <c r="L2714" s="1647" t="s">
        <v>1653</v>
      </c>
      <c r="M2714" s="1648">
        <v>4.9036999999999997E-2</v>
      </c>
      <c r="N2714" s="1649">
        <v>1.7981721683923779</v>
      </c>
      <c r="O2714" s="1649"/>
    </row>
    <row r="2715" spans="11:15">
      <c r="K2715" s="1646">
        <v>44772</v>
      </c>
      <c r="L2715" s="1647"/>
      <c r="M2715" s="1648">
        <v>0</v>
      </c>
      <c r="N2715" s="1649">
        <v>1.7981721683923779</v>
      </c>
      <c r="O2715" s="1649"/>
    </row>
    <row r="2716" spans="11:15">
      <c r="K2716" s="1646">
        <v>44773</v>
      </c>
      <c r="L2716" s="1647"/>
      <c r="M2716" s="1648">
        <v>0</v>
      </c>
      <c r="N2716" s="1649">
        <v>1.7981721683923779</v>
      </c>
      <c r="O2716" s="1649"/>
    </row>
    <row r="2717" spans="11:15">
      <c r="K2717" s="1646">
        <v>44774</v>
      </c>
      <c r="L2717" s="1647" t="s">
        <v>1653</v>
      </c>
      <c r="M2717" s="1648">
        <v>4.9036999999999997E-2</v>
      </c>
      <c r="N2717" s="1649">
        <v>1.7990539380785926</v>
      </c>
      <c r="O2717" s="1649"/>
    </row>
    <row r="2718" spans="11:15">
      <c r="K2718" s="1646">
        <v>44775</v>
      </c>
      <c r="L2718" s="1647" t="s">
        <v>1653</v>
      </c>
      <c r="M2718" s="1648">
        <v>4.9036999999999997E-2</v>
      </c>
      <c r="N2718" s="1649">
        <v>1.7999361401582084</v>
      </c>
      <c r="O2718" s="1649"/>
    </row>
    <row r="2719" spans="11:15">
      <c r="K2719" s="1646">
        <v>44776</v>
      </c>
      <c r="L2719" s="1647" t="s">
        <v>1653</v>
      </c>
      <c r="M2719" s="1648">
        <v>4.9036999999999997E-2</v>
      </c>
      <c r="N2719" s="1649">
        <v>1.8008187748432578</v>
      </c>
      <c r="O2719" s="1649"/>
    </row>
    <row r="2720" spans="11:15">
      <c r="K2720" s="1646">
        <v>44777</v>
      </c>
      <c r="L2720" s="1647" t="s">
        <v>1653</v>
      </c>
      <c r="M2720" s="1648">
        <v>4.9036999999999997E-2</v>
      </c>
      <c r="N2720" s="1649">
        <v>1.8017018423458779</v>
      </c>
      <c r="O2720" s="1649"/>
    </row>
    <row r="2721" spans="11:15">
      <c r="K2721" s="1646">
        <v>44778</v>
      </c>
      <c r="L2721" s="1647" t="s">
        <v>1653</v>
      </c>
      <c r="M2721" s="1648">
        <v>4.9036999999999997E-2</v>
      </c>
      <c r="N2721" s="1649">
        <v>1.8025853428783092</v>
      </c>
      <c r="O2721" s="1649"/>
    </row>
    <row r="2722" spans="11:15">
      <c r="K2722" s="1646">
        <v>44779</v>
      </c>
      <c r="L2722" s="1647"/>
      <c r="M2722" s="1648">
        <v>0</v>
      </c>
      <c r="N2722" s="1649">
        <v>1.8025853428783092</v>
      </c>
      <c r="O2722" s="1649"/>
    </row>
    <row r="2723" spans="11:15">
      <c r="K2723" s="1646">
        <v>44780</v>
      </c>
      <c r="L2723" s="1647"/>
      <c r="M2723" s="1648">
        <v>0</v>
      </c>
      <c r="N2723" s="1649">
        <v>1.8025853428783092</v>
      </c>
      <c r="O2723" s="1649"/>
    </row>
    <row r="2724" spans="11:15">
      <c r="K2724" s="1646">
        <v>44781</v>
      </c>
      <c r="L2724" s="1647" t="s">
        <v>1653</v>
      </c>
      <c r="M2724" s="1648">
        <v>4.9036999999999997E-2</v>
      </c>
      <c r="N2724" s="1649">
        <v>1.8034692766528966</v>
      </c>
      <c r="O2724" s="1649"/>
    </row>
    <row r="2725" spans="11:15">
      <c r="K2725" s="1646">
        <v>44782</v>
      </c>
      <c r="L2725" s="1647" t="s">
        <v>1653</v>
      </c>
      <c r="M2725" s="1648">
        <v>4.9036999999999997E-2</v>
      </c>
      <c r="N2725" s="1649">
        <v>1.8043536438820891</v>
      </c>
      <c r="O2725" s="1649"/>
    </row>
    <row r="2726" spans="11:15">
      <c r="K2726" s="1646">
        <v>44783</v>
      </c>
      <c r="L2726" s="1647" t="s">
        <v>1653</v>
      </c>
      <c r="M2726" s="1648">
        <v>4.9036999999999997E-2</v>
      </c>
      <c r="N2726" s="1649">
        <v>1.8052384447784398</v>
      </c>
      <c r="O2726" s="1649"/>
    </row>
    <row r="2727" spans="11:15">
      <c r="K2727" s="1646">
        <v>44784</v>
      </c>
      <c r="L2727" s="1647" t="s">
        <v>1653</v>
      </c>
      <c r="M2727" s="1648">
        <v>4.9036999999999997E-2</v>
      </c>
      <c r="N2727" s="1649">
        <v>1.8061236795546058</v>
      </c>
      <c r="O2727" s="1649"/>
    </row>
    <row r="2728" spans="11:15">
      <c r="K2728" s="1646">
        <v>44785</v>
      </c>
      <c r="L2728" s="1647" t="s">
        <v>1653</v>
      </c>
      <c r="M2728" s="1648">
        <v>4.9036999999999997E-2</v>
      </c>
      <c r="N2728" s="1649">
        <v>1.8070093484233491</v>
      </c>
      <c r="O2728" s="1649"/>
    </row>
    <row r="2729" spans="11:15">
      <c r="K2729" s="1646">
        <v>44786</v>
      </c>
      <c r="L2729" s="1647"/>
      <c r="M2729" s="1648">
        <v>0</v>
      </c>
      <c r="N2729" s="1649">
        <v>1.8070093484233491</v>
      </c>
      <c r="O2729" s="1649"/>
    </row>
    <row r="2730" spans="11:15">
      <c r="K2730" s="1646">
        <v>44787</v>
      </c>
      <c r="L2730" s="1647"/>
      <c r="M2730" s="1648">
        <v>0</v>
      </c>
      <c r="N2730" s="1649">
        <v>1.8070093484233491</v>
      </c>
      <c r="O2730" s="1649"/>
    </row>
    <row r="2731" spans="11:15">
      <c r="K2731" s="1646">
        <v>44788</v>
      </c>
      <c r="L2731" s="1647" t="s">
        <v>1653</v>
      </c>
      <c r="M2731" s="1648">
        <v>4.9036999999999997E-2</v>
      </c>
      <c r="N2731" s="1649">
        <v>1.8078954515975356</v>
      </c>
      <c r="O2731" s="1649"/>
    </row>
    <row r="2732" spans="11:15">
      <c r="K2732" s="1646">
        <v>44789</v>
      </c>
      <c r="L2732" s="1647" t="s">
        <v>1653</v>
      </c>
      <c r="M2732" s="1648">
        <v>4.9036999999999997E-2</v>
      </c>
      <c r="N2732" s="1649">
        <v>1.8087819892901356</v>
      </c>
      <c r="O2732" s="1649"/>
    </row>
    <row r="2733" spans="11:15">
      <c r="K2733" s="1646">
        <v>44790</v>
      </c>
      <c r="L2733" s="1647" t="s">
        <v>1653</v>
      </c>
      <c r="M2733" s="1648">
        <v>4.9036999999999997E-2</v>
      </c>
      <c r="N2733" s="1649">
        <v>1.8096689617142239</v>
      </c>
      <c r="O2733" s="1649"/>
    </row>
    <row r="2734" spans="11:15">
      <c r="K2734" s="1646">
        <v>44791</v>
      </c>
      <c r="L2734" s="1647" t="s">
        <v>1653</v>
      </c>
      <c r="M2734" s="1648">
        <v>4.9036999999999997E-2</v>
      </c>
      <c r="N2734" s="1649">
        <v>1.8105563690829798</v>
      </c>
      <c r="O2734" s="1649"/>
    </row>
    <row r="2735" spans="11:15">
      <c r="K2735" s="1646">
        <v>44792</v>
      </c>
      <c r="L2735" s="1647" t="s">
        <v>1653</v>
      </c>
      <c r="M2735" s="1648">
        <v>4.9036999999999997E-2</v>
      </c>
      <c r="N2735" s="1649">
        <v>1.8114442116096872</v>
      </c>
      <c r="O2735" s="1649"/>
    </row>
    <row r="2736" spans="11:15">
      <c r="K2736" s="1646">
        <v>44793</v>
      </c>
      <c r="L2736" s="1647"/>
      <c r="M2736" s="1648">
        <v>0</v>
      </c>
      <c r="N2736" s="1649">
        <v>1.8114442116096872</v>
      </c>
      <c r="O2736" s="1649"/>
    </row>
    <row r="2737" spans="11:15">
      <c r="K2737" s="1646">
        <v>44794</v>
      </c>
      <c r="L2737" s="1647"/>
      <c r="M2737" s="1648">
        <v>0</v>
      </c>
      <c r="N2737" s="1649">
        <v>1.8114442116096872</v>
      </c>
      <c r="O2737" s="1649"/>
    </row>
    <row r="2738" spans="11:15">
      <c r="K2738" s="1646">
        <v>44795</v>
      </c>
      <c r="L2738" s="1647" t="s">
        <v>1653</v>
      </c>
      <c r="M2738" s="1648">
        <v>4.9036999999999997E-2</v>
      </c>
      <c r="N2738" s="1649">
        <v>1.8123324895077344</v>
      </c>
      <c r="O2738" s="1649"/>
    </row>
    <row r="2739" spans="11:15">
      <c r="K2739" s="1646">
        <v>44796</v>
      </c>
      <c r="L2739" s="1647" t="s">
        <v>1653</v>
      </c>
      <c r="M2739" s="1648">
        <v>4.9036999999999997E-2</v>
      </c>
      <c r="N2739" s="1649">
        <v>1.8132212029906145</v>
      </c>
      <c r="O2739" s="1649"/>
    </row>
    <row r="2740" spans="11:15">
      <c r="K2740" s="1646">
        <v>44797</v>
      </c>
      <c r="L2740" s="1647" t="s">
        <v>1653</v>
      </c>
      <c r="M2740" s="1648">
        <v>4.9036999999999997E-2</v>
      </c>
      <c r="N2740" s="1649">
        <v>1.8141103522719251</v>
      </c>
      <c r="O2740" s="1649"/>
    </row>
    <row r="2741" spans="11:15">
      <c r="K2741" s="1646">
        <v>44798</v>
      </c>
      <c r="L2741" s="1647" t="s">
        <v>1653</v>
      </c>
      <c r="M2741" s="1648">
        <v>4.9036999999999997E-2</v>
      </c>
      <c r="N2741" s="1649">
        <v>1.8149999375653687</v>
      </c>
      <c r="O2741" s="1649"/>
    </row>
    <row r="2742" spans="11:15">
      <c r="K2742" s="1646">
        <v>44799</v>
      </c>
      <c r="L2742" s="1647" t="s">
        <v>1653</v>
      </c>
      <c r="M2742" s="1648">
        <v>4.9036999999999997E-2</v>
      </c>
      <c r="N2742" s="1649">
        <v>1.8158899590847528</v>
      </c>
      <c r="O2742" s="1649"/>
    </row>
    <row r="2743" spans="11:15">
      <c r="K2743" s="1646">
        <v>44800</v>
      </c>
      <c r="L2743" s="1647"/>
      <c r="M2743" s="1648">
        <v>0</v>
      </c>
      <c r="N2743" s="1649">
        <v>1.8158899590847528</v>
      </c>
      <c r="O2743" s="1649"/>
    </row>
    <row r="2744" spans="11:15">
      <c r="K2744" s="1646">
        <v>44801</v>
      </c>
      <c r="L2744" s="1647"/>
      <c r="M2744" s="1648">
        <v>0</v>
      </c>
      <c r="N2744" s="1649">
        <v>1.8158899590847528</v>
      </c>
      <c r="O2744" s="1649"/>
    </row>
    <row r="2745" spans="11:15">
      <c r="K2745" s="1646">
        <v>44802</v>
      </c>
      <c r="L2745" s="1647" t="s">
        <v>1653</v>
      </c>
      <c r="M2745" s="1648">
        <v>4.9036999999999997E-2</v>
      </c>
      <c r="N2745" s="1649">
        <v>1.8167804170439894</v>
      </c>
      <c r="O2745" s="1649"/>
    </row>
    <row r="2746" spans="11:15">
      <c r="K2746" s="1646">
        <v>44803</v>
      </c>
      <c r="L2746" s="1647" t="s">
        <v>1653</v>
      </c>
      <c r="M2746" s="1648">
        <v>4.9036999999999997E-2</v>
      </c>
      <c r="N2746" s="1649">
        <v>1.8176713116570955</v>
      </c>
      <c r="O2746" s="1649"/>
    </row>
    <row r="2747" spans="11:15">
      <c r="K2747" s="1646">
        <v>44804</v>
      </c>
      <c r="L2747" s="1647" t="s">
        <v>1653</v>
      </c>
      <c r="M2747" s="1648">
        <v>4.9036999999999997E-2</v>
      </c>
      <c r="N2747" s="1649">
        <v>1.8185626431381929</v>
      </c>
      <c r="O2747" s="1649"/>
    </row>
    <row r="2748" spans="11:15">
      <c r="K2748" s="1646">
        <v>44805</v>
      </c>
      <c r="L2748" s="1647" t="s">
        <v>1653</v>
      </c>
      <c r="M2748" s="1648">
        <v>4.9036999999999997E-2</v>
      </c>
      <c r="N2748" s="1649">
        <v>1.8194544117015088</v>
      </c>
      <c r="O2748" s="1649"/>
    </row>
    <row r="2749" spans="11:15">
      <c r="K2749" s="1646">
        <v>44806</v>
      </c>
      <c r="L2749" s="1647" t="s">
        <v>1653</v>
      </c>
      <c r="M2749" s="1648">
        <v>4.9036999999999997E-2</v>
      </c>
      <c r="N2749" s="1649">
        <v>1.8203466175613749</v>
      </c>
      <c r="O2749" s="1649"/>
    </row>
    <row r="2750" spans="11:15">
      <c r="K2750" s="1646">
        <v>44807</v>
      </c>
      <c r="L2750" s="1647"/>
      <c r="M2750" s="1648">
        <v>0</v>
      </c>
      <c r="N2750" s="1649">
        <v>1.8203466175613749</v>
      </c>
      <c r="O2750" s="1649"/>
    </row>
    <row r="2751" spans="11:15">
      <c r="K2751" s="1646">
        <v>44808</v>
      </c>
      <c r="L2751" s="1647"/>
      <c r="M2751" s="1648">
        <v>0</v>
      </c>
      <c r="N2751" s="1649">
        <v>1.8203466175613749</v>
      </c>
      <c r="O2751" s="1649"/>
    </row>
    <row r="2752" spans="11:15">
      <c r="K2752" s="1646">
        <v>44809</v>
      </c>
      <c r="L2752" s="1647" t="s">
        <v>1653</v>
      </c>
      <c r="M2752" s="1648">
        <v>4.9036999999999997E-2</v>
      </c>
      <c r="N2752" s="1649">
        <v>1.8212392609322285</v>
      </c>
      <c r="O2752" s="1649"/>
    </row>
    <row r="2753" spans="11:15">
      <c r="K2753" s="1646">
        <v>44810</v>
      </c>
      <c r="L2753" s="1647" t="s">
        <v>1653</v>
      </c>
      <c r="M2753" s="1648">
        <v>4.9036999999999997E-2</v>
      </c>
      <c r="N2753" s="1649">
        <v>1.822132342028612</v>
      </c>
      <c r="O2753" s="1649"/>
    </row>
    <row r="2754" spans="11:15">
      <c r="K2754" s="1646">
        <v>44811</v>
      </c>
      <c r="L2754" s="1647"/>
      <c r="M2754" s="1648">
        <v>0</v>
      </c>
      <c r="N2754" s="1649">
        <v>1.822132342028612</v>
      </c>
      <c r="O2754" s="1649"/>
    </row>
    <row r="2755" spans="11:15">
      <c r="K2755" s="1646">
        <v>44812</v>
      </c>
      <c r="L2755" s="1647" t="s">
        <v>1653</v>
      </c>
      <c r="M2755" s="1648">
        <v>4.9036999999999997E-2</v>
      </c>
      <c r="N2755" s="1649">
        <v>1.8230258610651726</v>
      </c>
      <c r="O2755" s="1649"/>
    </row>
    <row r="2756" spans="11:15">
      <c r="K2756" s="1646">
        <v>44813</v>
      </c>
      <c r="L2756" s="1647" t="s">
        <v>1653</v>
      </c>
      <c r="M2756" s="1648">
        <v>4.9036999999999997E-2</v>
      </c>
      <c r="N2756" s="1649">
        <v>1.8239198182566634</v>
      </c>
      <c r="O2756" s="1649"/>
    </row>
    <row r="2757" spans="11:15">
      <c r="K2757" s="1646">
        <v>44814</v>
      </c>
      <c r="L2757" s="1647"/>
      <c r="M2757" s="1648">
        <v>0</v>
      </c>
      <c r="N2757" s="1649">
        <v>1.8239198182566634</v>
      </c>
      <c r="O2757" s="1649"/>
    </row>
    <row r="2758" spans="11:15">
      <c r="K2758" s="1646">
        <v>44815</v>
      </c>
      <c r="L2758" s="1647"/>
      <c r="M2758" s="1648">
        <v>0</v>
      </c>
      <c r="N2758" s="1649">
        <v>1.8239198182566634</v>
      </c>
      <c r="O2758" s="1649"/>
    </row>
    <row r="2759" spans="11:15">
      <c r="K2759" s="1646">
        <v>44816</v>
      </c>
      <c r="L2759" s="1647" t="s">
        <v>1653</v>
      </c>
      <c r="M2759" s="1648">
        <v>4.9036999999999997E-2</v>
      </c>
      <c r="N2759" s="1649">
        <v>1.824814213817942</v>
      </c>
      <c r="O2759" s="1649"/>
    </row>
    <row r="2760" spans="11:15">
      <c r="K2760" s="1646">
        <v>44817</v>
      </c>
      <c r="L2760" s="1647" t="s">
        <v>1653</v>
      </c>
      <c r="M2760" s="1648">
        <v>4.9036999999999997E-2</v>
      </c>
      <c r="N2760" s="1649">
        <v>1.8257090479639719</v>
      </c>
      <c r="O2760" s="1649"/>
    </row>
    <row r="2761" spans="11:15">
      <c r="K2761" s="1646">
        <v>44818</v>
      </c>
      <c r="L2761" s="1647" t="s">
        <v>1653</v>
      </c>
      <c r="M2761" s="1648">
        <v>4.9036999999999997E-2</v>
      </c>
      <c r="N2761" s="1649">
        <v>1.8266043209098222</v>
      </c>
      <c r="O2761" s="1649"/>
    </row>
    <row r="2762" spans="11:15">
      <c r="K2762" s="1646">
        <v>44819</v>
      </c>
      <c r="L2762" s="1647" t="s">
        <v>1653</v>
      </c>
      <c r="M2762" s="1648">
        <v>4.9036999999999997E-2</v>
      </c>
      <c r="N2762" s="1649">
        <v>1.8275000328706668</v>
      </c>
      <c r="O2762" s="1649"/>
    </row>
    <row r="2763" spans="11:15">
      <c r="K2763" s="1646">
        <v>44820</v>
      </c>
      <c r="L2763" s="1647" t="s">
        <v>1653</v>
      </c>
      <c r="M2763" s="1648">
        <v>4.9036999999999997E-2</v>
      </c>
      <c r="N2763" s="1649">
        <v>1.8283961840617857</v>
      </c>
      <c r="O2763" s="1649"/>
    </row>
    <row r="2764" spans="11:15">
      <c r="K2764" s="1646">
        <v>44821</v>
      </c>
      <c r="L2764" s="1647"/>
      <c r="M2764" s="1648">
        <v>0</v>
      </c>
      <c r="N2764" s="1649">
        <v>1.8283961840617857</v>
      </c>
      <c r="O2764" s="1649"/>
    </row>
    <row r="2765" spans="11:15">
      <c r="K2765" s="1646">
        <v>44822</v>
      </c>
      <c r="L2765" s="1647"/>
      <c r="M2765" s="1648">
        <v>0</v>
      </c>
      <c r="N2765" s="1649">
        <v>1.8283961840617857</v>
      </c>
      <c r="O2765" s="1649"/>
    </row>
    <row r="2766" spans="11:15">
      <c r="K2766" s="1646">
        <v>44823</v>
      </c>
      <c r="L2766" s="1647" t="s">
        <v>1653</v>
      </c>
      <c r="M2766" s="1648">
        <v>4.9036999999999997E-2</v>
      </c>
      <c r="N2766" s="1649">
        <v>1.8292927746985643</v>
      </c>
      <c r="O2766" s="1649"/>
    </row>
    <row r="2767" spans="11:15">
      <c r="K2767" s="1646">
        <v>44824</v>
      </c>
      <c r="L2767" s="1647" t="s">
        <v>1653</v>
      </c>
      <c r="M2767" s="1648">
        <v>4.9036999999999997E-2</v>
      </c>
      <c r="N2767" s="1649">
        <v>1.8301898049964933</v>
      </c>
      <c r="O2767" s="1649"/>
    </row>
    <row r="2768" spans="11:15">
      <c r="K2768" s="1646">
        <v>44825</v>
      </c>
      <c r="L2768" s="1647" t="s">
        <v>1653</v>
      </c>
      <c r="M2768" s="1648">
        <v>4.9036999999999997E-2</v>
      </c>
      <c r="N2768" s="1649">
        <v>1.8310872751711695</v>
      </c>
      <c r="O2768" s="1649"/>
    </row>
    <row r="2769" spans="11:15">
      <c r="K2769" s="1646">
        <v>44826</v>
      </c>
      <c r="L2769" s="1647" t="s">
        <v>1653</v>
      </c>
      <c r="M2769" s="1648">
        <v>4.9036999999999997E-2</v>
      </c>
      <c r="N2769" s="1649">
        <v>1.8319851854382954</v>
      </c>
      <c r="O2769" s="1649"/>
    </row>
    <row r="2770" spans="11:15">
      <c r="K2770" s="1646">
        <v>44827</v>
      </c>
      <c r="L2770" s="1647" t="s">
        <v>1653</v>
      </c>
      <c r="M2770" s="1648">
        <v>4.9036999999999997E-2</v>
      </c>
      <c r="N2770" s="1649">
        <v>1.8328835360136788</v>
      </c>
      <c r="O2770" s="1649"/>
    </row>
    <row r="2771" spans="11:15">
      <c r="K2771" s="1646">
        <v>44828</v>
      </c>
      <c r="L2771" s="1647"/>
      <c r="M2771" s="1648">
        <v>0</v>
      </c>
      <c r="N2771" s="1649">
        <v>1.8328835360136788</v>
      </c>
      <c r="O2771" s="1649"/>
    </row>
    <row r="2772" spans="11:15">
      <c r="K2772" s="1646">
        <v>44829</v>
      </c>
      <c r="L2772" s="1647"/>
      <c r="M2772" s="1648">
        <v>0</v>
      </c>
      <c r="N2772" s="1649">
        <v>1.8328835360136788</v>
      </c>
      <c r="O2772" s="1649"/>
    </row>
    <row r="2773" spans="11:15">
      <c r="K2773" s="1646">
        <v>44830</v>
      </c>
      <c r="L2773" s="1647" t="s">
        <v>1653</v>
      </c>
      <c r="M2773" s="1648">
        <v>4.9036999999999997E-2</v>
      </c>
      <c r="N2773" s="1649">
        <v>1.8337823271132341</v>
      </c>
      <c r="O2773" s="1649"/>
    </row>
    <row r="2774" spans="11:15">
      <c r="K2774" s="1646">
        <v>44831</v>
      </c>
      <c r="L2774" s="1647" t="s">
        <v>1653</v>
      </c>
      <c r="M2774" s="1648">
        <v>4.9036999999999997E-2</v>
      </c>
      <c r="N2774" s="1649">
        <v>1.8346815589529808</v>
      </c>
      <c r="O2774" s="1649"/>
    </row>
    <row r="2775" spans="11:15">
      <c r="K2775" s="1646">
        <v>44832</v>
      </c>
      <c r="L2775" s="1647" t="s">
        <v>1653</v>
      </c>
      <c r="M2775" s="1648">
        <v>4.9036999999999997E-2</v>
      </c>
      <c r="N2775" s="1649">
        <v>1.8355812317490448</v>
      </c>
      <c r="O2775" s="1649"/>
    </row>
    <row r="2776" spans="11:15">
      <c r="K2776" s="1646">
        <v>44833</v>
      </c>
      <c r="L2776" s="1647" t="s">
        <v>1653</v>
      </c>
      <c r="M2776" s="1648">
        <v>4.9036999999999997E-2</v>
      </c>
      <c r="N2776" s="1649">
        <v>1.8364813457176576</v>
      </c>
      <c r="O2776" s="1649"/>
    </row>
    <row r="2777" spans="11:15">
      <c r="K2777" s="1646">
        <v>44834</v>
      </c>
      <c r="L2777" s="1647" t="s">
        <v>1653</v>
      </c>
      <c r="M2777" s="1648">
        <v>4.9036999999999997E-2</v>
      </c>
      <c r="N2777" s="1649">
        <v>1.8373819010751573</v>
      </c>
      <c r="O2777" s="1649"/>
    </row>
    <row r="2778" spans="11:15">
      <c r="K2778" s="1646">
        <v>44835</v>
      </c>
      <c r="L2778" s="1647"/>
      <c r="M2778" s="1648">
        <v>0</v>
      </c>
      <c r="N2778" s="1649">
        <v>1.8373819010751573</v>
      </c>
      <c r="O2778" s="1649"/>
    </row>
    <row r="2779" spans="11:15">
      <c r="K2779" s="1646">
        <v>44836</v>
      </c>
      <c r="L2779" s="1647"/>
      <c r="M2779" s="1648">
        <v>0</v>
      </c>
      <c r="N2779" s="1649">
        <v>1.8373819010751573</v>
      </c>
      <c r="O2779" s="1649"/>
    </row>
    <row r="2780" spans="11:15">
      <c r="K2780" s="1646">
        <v>44837</v>
      </c>
      <c r="L2780" s="1647" t="s">
        <v>1653</v>
      </c>
      <c r="M2780" s="1648">
        <v>4.9036999999999997E-2</v>
      </c>
      <c r="N2780" s="1649">
        <v>1.8382828980379877</v>
      </c>
      <c r="O2780" s="1649"/>
    </row>
    <row r="2781" spans="11:15">
      <c r="K2781" s="1646">
        <v>44838</v>
      </c>
      <c r="L2781" s="1647" t="s">
        <v>1653</v>
      </c>
      <c r="M2781" s="1648">
        <v>4.9036999999999997E-2</v>
      </c>
      <c r="N2781" s="1649">
        <v>1.8391843368226988</v>
      </c>
      <c r="O2781" s="1649"/>
    </row>
    <row r="2782" spans="11:15">
      <c r="K2782" s="1646">
        <v>44839</v>
      </c>
      <c r="L2782" s="1647" t="s">
        <v>1653</v>
      </c>
      <c r="M2782" s="1648">
        <v>4.9036999999999997E-2</v>
      </c>
      <c r="N2782" s="1649">
        <v>1.8400862176459467</v>
      </c>
      <c r="O2782" s="1649"/>
    </row>
    <row r="2783" spans="11:15">
      <c r="K2783" s="1646">
        <v>44840</v>
      </c>
      <c r="L2783" s="1647" t="s">
        <v>1653</v>
      </c>
      <c r="M2783" s="1648">
        <v>4.9036999999999997E-2</v>
      </c>
      <c r="N2783" s="1649">
        <v>1.8409885407244939</v>
      </c>
      <c r="O2783" s="1649"/>
    </row>
    <row r="2784" spans="11:15">
      <c r="K2784" s="1646">
        <v>44841</v>
      </c>
      <c r="L2784" s="1647" t="s">
        <v>1653</v>
      </c>
      <c r="M2784" s="1648">
        <v>4.9036999999999997E-2</v>
      </c>
      <c r="N2784" s="1649">
        <v>1.8418913062752091</v>
      </c>
      <c r="O2784" s="1649"/>
    </row>
    <row r="2785" spans="11:15">
      <c r="K2785" s="1646">
        <v>44842</v>
      </c>
      <c r="L2785" s="1647"/>
      <c r="M2785" s="1648">
        <v>0</v>
      </c>
      <c r="N2785" s="1649">
        <v>1.8418913062752091</v>
      </c>
      <c r="O2785" s="1649"/>
    </row>
    <row r="2786" spans="11:15">
      <c r="K2786" s="1646">
        <v>44843</v>
      </c>
      <c r="L2786" s="1647"/>
      <c r="M2786" s="1648">
        <v>0</v>
      </c>
      <c r="N2786" s="1649">
        <v>1.8418913062752091</v>
      </c>
      <c r="O2786" s="1649"/>
    </row>
    <row r="2787" spans="11:15">
      <c r="K2787" s="1646">
        <v>44844</v>
      </c>
      <c r="L2787" s="1647" t="s">
        <v>1653</v>
      </c>
      <c r="M2787" s="1648">
        <v>4.9036999999999997E-2</v>
      </c>
      <c r="N2787" s="1649">
        <v>1.8427945145150675</v>
      </c>
      <c r="O2787" s="1649"/>
    </row>
    <row r="2788" spans="11:15">
      <c r="K2788" s="1646">
        <v>44845</v>
      </c>
      <c r="L2788" s="1647" t="s">
        <v>1653</v>
      </c>
      <c r="M2788" s="1648">
        <v>4.9036999999999997E-2</v>
      </c>
      <c r="N2788" s="1649">
        <v>1.8436981656611504</v>
      </c>
      <c r="O2788" s="1649"/>
    </row>
    <row r="2789" spans="11:15">
      <c r="K2789" s="1646">
        <v>44846</v>
      </c>
      <c r="L2789" s="1647"/>
      <c r="M2789" s="1648">
        <v>0</v>
      </c>
      <c r="N2789" s="1649">
        <v>1.8436981656611504</v>
      </c>
      <c r="O2789" s="1649"/>
    </row>
    <row r="2790" spans="11:15">
      <c r="K2790" s="1646">
        <v>44847</v>
      </c>
      <c r="L2790" s="1647" t="s">
        <v>1653</v>
      </c>
      <c r="M2790" s="1648">
        <v>4.9036999999999997E-2</v>
      </c>
      <c r="N2790" s="1649">
        <v>1.8446022599306457</v>
      </c>
      <c r="O2790" s="1649"/>
    </row>
    <row r="2791" spans="11:15">
      <c r="K2791" s="1646">
        <v>44848</v>
      </c>
      <c r="L2791" s="1647" t="s">
        <v>1653</v>
      </c>
      <c r="M2791" s="1648">
        <v>4.9036999999999997E-2</v>
      </c>
      <c r="N2791" s="1649">
        <v>1.8455067975408481</v>
      </c>
      <c r="O2791" s="1649"/>
    </row>
    <row r="2792" spans="11:15">
      <c r="K2792" s="1646">
        <v>44849</v>
      </c>
      <c r="L2792" s="1647"/>
      <c r="M2792" s="1648">
        <v>0</v>
      </c>
      <c r="N2792" s="1649">
        <v>1.8455067975408481</v>
      </c>
      <c r="O2792" s="1649"/>
    </row>
    <row r="2793" spans="11:15">
      <c r="K2793" s="1646">
        <v>44850</v>
      </c>
      <c r="L2793" s="1647"/>
      <c r="M2793" s="1648">
        <v>0</v>
      </c>
      <c r="N2793" s="1649">
        <v>1.8455067975408481</v>
      </c>
      <c r="O2793" s="1649"/>
    </row>
    <row r="2794" spans="11:15">
      <c r="K2794" s="1646">
        <v>44851</v>
      </c>
      <c r="L2794" s="1647" t="s">
        <v>1653</v>
      </c>
      <c r="M2794" s="1648">
        <v>4.9036999999999997E-2</v>
      </c>
      <c r="N2794" s="1649">
        <v>1.8464117787091583</v>
      </c>
      <c r="O2794" s="1649"/>
    </row>
    <row r="2795" spans="11:15">
      <c r="K2795" s="1646">
        <v>44852</v>
      </c>
      <c r="L2795" s="1647" t="s">
        <v>1653</v>
      </c>
      <c r="M2795" s="1648">
        <v>4.9036999999999997E-2</v>
      </c>
      <c r="N2795" s="1649">
        <v>1.8473172036530841</v>
      </c>
      <c r="O2795" s="1649"/>
    </row>
    <row r="2796" spans="11:15">
      <c r="K2796" s="1646">
        <v>44853</v>
      </c>
      <c r="L2796" s="1647" t="s">
        <v>1653</v>
      </c>
      <c r="M2796" s="1648">
        <v>4.9036999999999997E-2</v>
      </c>
      <c r="N2796" s="1649">
        <v>1.8482230725902395</v>
      </c>
      <c r="O2796" s="1649"/>
    </row>
    <row r="2797" spans="11:15">
      <c r="K2797" s="1646">
        <v>44854</v>
      </c>
      <c r="L2797" s="1647" t="s">
        <v>1653</v>
      </c>
      <c r="M2797" s="1648">
        <v>4.9036999999999997E-2</v>
      </c>
      <c r="N2797" s="1649">
        <v>1.8491293857383457</v>
      </c>
      <c r="O2797" s="1649"/>
    </row>
    <row r="2798" spans="11:15">
      <c r="K2798" s="1646">
        <v>44855</v>
      </c>
      <c r="L2798" s="1647" t="s">
        <v>1653</v>
      </c>
      <c r="M2798" s="1648">
        <v>4.9036999999999997E-2</v>
      </c>
      <c r="N2798" s="1649">
        <v>1.8500361433152304</v>
      </c>
      <c r="O2798" s="1649"/>
    </row>
    <row r="2799" spans="11:15">
      <c r="K2799" s="1646">
        <v>44856</v>
      </c>
      <c r="L2799" s="1647"/>
      <c r="M2799" s="1648">
        <v>0</v>
      </c>
      <c r="N2799" s="1649">
        <v>1.8500361433152304</v>
      </c>
      <c r="O2799" s="1649"/>
    </row>
    <row r="2800" spans="11:15">
      <c r="K2800" s="1646">
        <v>44857</v>
      </c>
      <c r="L2800" s="1647"/>
      <c r="M2800" s="1648">
        <v>0</v>
      </c>
      <c r="N2800" s="1649">
        <v>1.8500361433152304</v>
      </c>
      <c r="O2800" s="1649"/>
    </row>
    <row r="2801" spans="11:15">
      <c r="K2801" s="1646">
        <v>44858</v>
      </c>
      <c r="L2801" s="1647" t="s">
        <v>1653</v>
      </c>
      <c r="M2801" s="1648">
        <v>4.9036999999999997E-2</v>
      </c>
      <c r="N2801" s="1649">
        <v>1.850943345538828</v>
      </c>
      <c r="O2801" s="1649"/>
    </row>
    <row r="2802" spans="11:15">
      <c r="K2802" s="1646">
        <v>44859</v>
      </c>
      <c r="L2802" s="1647" t="s">
        <v>1653</v>
      </c>
      <c r="M2802" s="1648">
        <v>4.9036999999999997E-2</v>
      </c>
      <c r="N2802" s="1649">
        <v>1.85185099262718</v>
      </c>
      <c r="O2802" s="1649"/>
    </row>
    <row r="2803" spans="11:15">
      <c r="K2803" s="1646">
        <v>44860</v>
      </c>
      <c r="L2803" s="1647" t="s">
        <v>1653</v>
      </c>
      <c r="M2803" s="1648">
        <v>4.9036999999999997E-2</v>
      </c>
      <c r="N2803" s="1649">
        <v>1.8527590847984348</v>
      </c>
      <c r="O2803" s="1649"/>
    </row>
    <row r="2804" spans="11:15">
      <c r="K2804" s="1646">
        <v>44861</v>
      </c>
      <c r="L2804" s="1647" t="s">
        <v>1653</v>
      </c>
      <c r="M2804" s="1648">
        <v>4.9036999999999997E-2</v>
      </c>
      <c r="N2804" s="1649">
        <v>1.8536676222708475</v>
      </c>
      <c r="O2804" s="1649"/>
    </row>
    <row r="2805" spans="11:15">
      <c r="K2805" s="1646">
        <v>44862</v>
      </c>
      <c r="L2805" s="1647" t="s">
        <v>1653</v>
      </c>
      <c r="M2805" s="1648">
        <v>4.9036999999999997E-2</v>
      </c>
      <c r="N2805" s="1649">
        <v>1.8545766052627806</v>
      </c>
      <c r="O2805" s="1649"/>
    </row>
    <row r="2806" spans="11:15">
      <c r="K2806" s="1646">
        <v>44863</v>
      </c>
      <c r="L2806" s="1647"/>
      <c r="M2806" s="1648">
        <v>0</v>
      </c>
      <c r="N2806" s="1649">
        <v>1.8545766052627806</v>
      </c>
      <c r="O2806" s="1649"/>
    </row>
    <row r="2807" spans="11:15">
      <c r="K2807" s="1646">
        <v>44864</v>
      </c>
      <c r="L2807" s="1647"/>
      <c r="M2807" s="1648">
        <v>0</v>
      </c>
      <c r="N2807" s="1649">
        <v>1.8545766052627806</v>
      </c>
      <c r="O2807" s="1649"/>
    </row>
    <row r="2808" spans="11:15">
      <c r="K2808" s="1646">
        <v>44865</v>
      </c>
      <c r="L2808" s="1647" t="s">
        <v>1653</v>
      </c>
      <c r="M2808" s="1648">
        <v>4.9036999999999997E-2</v>
      </c>
      <c r="N2808" s="1649">
        <v>1.8554860339927035</v>
      </c>
      <c r="O2808" s="1649"/>
    </row>
    <row r="2809" spans="11:15">
      <c r="K2809" s="1646">
        <v>44866</v>
      </c>
      <c r="L2809" s="1647" t="s">
        <v>1653</v>
      </c>
      <c r="M2809" s="1648">
        <v>4.9036999999999997E-2</v>
      </c>
      <c r="N2809" s="1649">
        <v>1.8563959086791926</v>
      </c>
      <c r="O2809" s="1649"/>
    </row>
    <row r="2810" spans="11:15">
      <c r="K2810" s="1646">
        <v>44867</v>
      </c>
      <c r="L2810" s="1647"/>
      <c r="M2810" s="1648">
        <v>0</v>
      </c>
      <c r="N2810" s="1649">
        <v>1.8563959086791926</v>
      </c>
      <c r="O2810" s="1649"/>
    </row>
    <row r="2811" spans="11:15">
      <c r="K2811" s="1646">
        <v>44868</v>
      </c>
      <c r="L2811" s="1647" t="s">
        <v>1653</v>
      </c>
      <c r="M2811" s="1648">
        <v>4.9036999999999997E-2</v>
      </c>
      <c r="N2811" s="1649">
        <v>1.8573062295409317</v>
      </c>
      <c r="O2811" s="1649"/>
    </row>
    <row r="2812" spans="11:15">
      <c r="K2812" s="1646">
        <v>44869</v>
      </c>
      <c r="L2812" s="1647" t="s">
        <v>1653</v>
      </c>
      <c r="M2812" s="1648">
        <v>4.9036999999999997E-2</v>
      </c>
      <c r="N2812" s="1649">
        <v>1.8582169967967119</v>
      </c>
      <c r="O2812" s="1649"/>
    </row>
    <row r="2813" spans="11:15">
      <c r="K2813" s="1646">
        <v>44870</v>
      </c>
      <c r="L2813" s="1647"/>
      <c r="M2813" s="1648">
        <v>0</v>
      </c>
      <c r="N2813" s="1649">
        <v>1.8582169967967119</v>
      </c>
      <c r="O2813" s="1649"/>
    </row>
    <row r="2814" spans="11:15">
      <c r="K2814" s="1646">
        <v>44871</v>
      </c>
      <c r="L2814" s="1647"/>
      <c r="M2814" s="1648">
        <v>0</v>
      </c>
      <c r="N2814" s="1649">
        <v>1.8582169967967119</v>
      </c>
      <c r="O2814" s="1649"/>
    </row>
    <row r="2815" spans="11:15">
      <c r="K2815" s="1646">
        <v>44872</v>
      </c>
      <c r="L2815" s="1647" t="s">
        <v>1653</v>
      </c>
      <c r="M2815" s="1648">
        <v>4.9036999999999997E-2</v>
      </c>
      <c r="N2815" s="1649">
        <v>1.8591282106654312</v>
      </c>
      <c r="O2815" s="1649"/>
    </row>
    <row r="2816" spans="11:15">
      <c r="K2816" s="1646">
        <v>44873</v>
      </c>
      <c r="L2816" s="1647" t="s">
        <v>1653</v>
      </c>
      <c r="M2816" s="1648">
        <v>4.9036999999999997E-2</v>
      </c>
      <c r="N2816" s="1649">
        <v>1.8600398713660953</v>
      </c>
      <c r="O2816" s="1649"/>
    </row>
    <row r="2817" spans="11:15">
      <c r="K2817" s="1646">
        <v>44874</v>
      </c>
      <c r="L2817" s="1647" t="s">
        <v>1653</v>
      </c>
      <c r="M2817" s="1648">
        <v>4.9036999999999997E-2</v>
      </c>
      <c r="N2817" s="1649">
        <v>1.8609519791178173</v>
      </c>
      <c r="O2817" s="1649"/>
    </row>
    <row r="2818" spans="11:15">
      <c r="K2818" s="1646">
        <v>44875</v>
      </c>
      <c r="L2818" s="1647" t="s">
        <v>1653</v>
      </c>
      <c r="M2818" s="1648">
        <v>4.9036999999999997E-2</v>
      </c>
      <c r="N2818" s="1649">
        <v>1.8618645341398175</v>
      </c>
      <c r="O2818" s="1649"/>
    </row>
    <row r="2819" spans="11:15">
      <c r="K2819" s="1646">
        <v>44876</v>
      </c>
      <c r="L2819" s="1647" t="s">
        <v>1653</v>
      </c>
      <c r="M2819" s="1648">
        <v>4.9036999999999997E-2</v>
      </c>
      <c r="N2819" s="1649">
        <v>1.8627775366514236</v>
      </c>
      <c r="O2819" s="1649"/>
    </row>
    <row r="2820" spans="11:15">
      <c r="K2820" s="1646">
        <v>44877</v>
      </c>
      <c r="L2820" s="1647"/>
      <c r="M2820" s="1648">
        <v>0</v>
      </c>
      <c r="N2820" s="1649">
        <v>1.8627775366514236</v>
      </c>
      <c r="O2820" s="1649"/>
    </row>
    <row r="2821" spans="11:15">
      <c r="K2821" s="1646">
        <v>44878</v>
      </c>
      <c r="L2821" s="1647"/>
      <c r="M2821" s="1648">
        <v>0</v>
      </c>
      <c r="N2821" s="1649">
        <v>1.8627775366514236</v>
      </c>
      <c r="O2821" s="1649"/>
    </row>
    <row r="2822" spans="11:15">
      <c r="K2822" s="1646">
        <v>44879</v>
      </c>
      <c r="L2822" s="1647" t="s">
        <v>1653</v>
      </c>
      <c r="M2822" s="1648">
        <v>4.9036999999999997E-2</v>
      </c>
      <c r="N2822" s="1649">
        <v>1.8636909868720715</v>
      </c>
      <c r="O2822" s="1649"/>
    </row>
    <row r="2823" spans="11:15">
      <c r="K2823" s="1646">
        <v>44880</v>
      </c>
      <c r="L2823" s="1647"/>
      <c r="M2823" s="1648">
        <v>0</v>
      </c>
      <c r="N2823" s="1649">
        <v>1.8636909868720715</v>
      </c>
      <c r="O2823" s="1649"/>
    </row>
    <row r="2824" spans="11:15">
      <c r="K2824" s="1646">
        <v>44881</v>
      </c>
      <c r="L2824" s="1647" t="s">
        <v>1653</v>
      </c>
      <c r="M2824" s="1648">
        <v>4.9036999999999997E-2</v>
      </c>
      <c r="N2824" s="1649">
        <v>1.8646048850213039</v>
      </c>
      <c r="O2824" s="1649"/>
    </row>
    <row r="2825" spans="11:15">
      <c r="K2825" s="1646">
        <v>44882</v>
      </c>
      <c r="L2825" s="1647" t="s">
        <v>1653</v>
      </c>
      <c r="M2825" s="1648">
        <v>4.9036999999999997E-2</v>
      </c>
      <c r="N2825" s="1649">
        <v>1.8655192313187721</v>
      </c>
      <c r="O2825" s="1649"/>
    </row>
    <row r="2826" spans="11:15">
      <c r="K2826" s="1646">
        <v>44883</v>
      </c>
      <c r="L2826" s="1647" t="s">
        <v>1653</v>
      </c>
      <c r="M2826" s="1648">
        <v>4.9036999999999997E-2</v>
      </c>
      <c r="N2826" s="1649">
        <v>1.866434025984234</v>
      </c>
      <c r="O2826" s="1649"/>
    </row>
    <row r="2827" spans="11:15">
      <c r="K2827" s="1646">
        <v>44884</v>
      </c>
      <c r="L2827" s="1647"/>
      <c r="M2827" s="1648">
        <v>0</v>
      </c>
      <c r="N2827" s="1649">
        <v>1.866434025984234</v>
      </c>
      <c r="O2827" s="1649"/>
    </row>
    <row r="2828" spans="11:15">
      <c r="K2828" s="1646">
        <v>44885</v>
      </c>
      <c r="L2828" s="1647"/>
      <c r="M2828" s="1648">
        <v>0</v>
      </c>
      <c r="N2828" s="1649">
        <v>1.866434025984234</v>
      </c>
      <c r="O2828" s="1649"/>
    </row>
    <row r="2829" spans="11:15">
      <c r="K2829" s="1646">
        <v>44886</v>
      </c>
      <c r="L2829" s="1647" t="s">
        <v>1653</v>
      </c>
      <c r="M2829" s="1648">
        <v>4.9036999999999997E-2</v>
      </c>
      <c r="N2829" s="1649">
        <v>1.867349269237556</v>
      </c>
      <c r="O2829" s="1649"/>
    </row>
    <row r="2830" spans="11:15">
      <c r="K2830" s="1646">
        <v>44887</v>
      </c>
      <c r="L2830" s="1647" t="s">
        <v>1653</v>
      </c>
      <c r="M2830" s="1648">
        <v>4.9036999999999997E-2</v>
      </c>
      <c r="N2830" s="1649">
        <v>1.8682649612987121</v>
      </c>
      <c r="O2830" s="1649"/>
    </row>
    <row r="2831" spans="11:15">
      <c r="K2831" s="1646">
        <v>44888</v>
      </c>
      <c r="L2831" s="1647" t="s">
        <v>1653</v>
      </c>
      <c r="M2831" s="1648">
        <v>4.9036999999999997E-2</v>
      </c>
      <c r="N2831" s="1649">
        <v>1.8691811023877842</v>
      </c>
      <c r="O2831" s="1649"/>
    </row>
    <row r="2832" spans="11:15">
      <c r="K2832" s="1646">
        <v>44889</v>
      </c>
      <c r="L2832" s="1647" t="s">
        <v>1653</v>
      </c>
      <c r="M2832" s="1648">
        <v>4.9036999999999997E-2</v>
      </c>
      <c r="N2832" s="1649">
        <v>1.8700976927249622</v>
      </c>
      <c r="O2832" s="1649"/>
    </row>
    <row r="2833" spans="11:15">
      <c r="K2833" s="1646">
        <v>44890</v>
      </c>
      <c r="L2833" s="1647" t="s">
        <v>1653</v>
      </c>
      <c r="M2833" s="1648">
        <v>4.9036999999999997E-2</v>
      </c>
      <c r="N2833" s="1649">
        <v>1.871014732530544</v>
      </c>
      <c r="O2833" s="1649"/>
    </row>
    <row r="2834" spans="11:15">
      <c r="K2834" s="1646">
        <v>44891</v>
      </c>
      <c r="L2834" s="1647"/>
      <c r="M2834" s="1648">
        <v>0</v>
      </c>
      <c r="N2834" s="1649">
        <v>1.871014732530544</v>
      </c>
      <c r="O2834" s="1649"/>
    </row>
    <row r="2835" spans="11:15">
      <c r="K2835" s="1646">
        <v>44892</v>
      </c>
      <c r="L2835" s="1647"/>
      <c r="M2835" s="1648">
        <v>0</v>
      </c>
      <c r="N2835" s="1649">
        <v>1.871014732530544</v>
      </c>
      <c r="O2835" s="1649"/>
    </row>
    <row r="2836" spans="11:15">
      <c r="K2836" s="1646">
        <v>44893</v>
      </c>
      <c r="L2836" s="1647" t="s">
        <v>1653</v>
      </c>
      <c r="M2836" s="1648">
        <v>4.9036999999999997E-2</v>
      </c>
      <c r="N2836" s="1649">
        <v>1.871932222024935</v>
      </c>
      <c r="O2836" s="1649"/>
    </row>
    <row r="2837" spans="11:15">
      <c r="K2837" s="1646">
        <v>44894</v>
      </c>
      <c r="L2837" s="1647" t="s">
        <v>1653</v>
      </c>
      <c r="M2837" s="1648">
        <v>4.9036999999999997E-2</v>
      </c>
      <c r="N2837" s="1649">
        <v>1.8728501614286495</v>
      </c>
      <c r="O2837" s="1649"/>
    </row>
    <row r="2838" spans="11:15">
      <c r="K2838" s="1646">
        <v>44895</v>
      </c>
      <c r="L2838" s="1647" t="s">
        <v>1653</v>
      </c>
      <c r="M2838" s="1648">
        <v>4.9036999999999997E-2</v>
      </c>
      <c r="N2838" s="1649">
        <v>1.8737685509623094</v>
      </c>
      <c r="O2838" s="1649"/>
    </row>
    <row r="2839" spans="11:15">
      <c r="K2839" s="1646">
        <v>44896</v>
      </c>
      <c r="L2839" s="1647" t="s">
        <v>1653</v>
      </c>
      <c r="M2839" s="1648">
        <v>4.9036999999999997E-2</v>
      </c>
      <c r="N2839" s="1649">
        <v>1.874687390846645</v>
      </c>
      <c r="O2839" s="1649"/>
    </row>
    <row r="2840" spans="11:15">
      <c r="K2840" s="1646">
        <v>44897</v>
      </c>
      <c r="L2840" s="1647" t="s">
        <v>1653</v>
      </c>
      <c r="M2840" s="1648">
        <v>4.9036999999999997E-2</v>
      </c>
      <c r="N2840" s="1649">
        <v>1.8756066813024947</v>
      </c>
      <c r="O2840" s="1649"/>
    </row>
    <row r="2841" spans="11:15">
      <c r="K2841" s="1646">
        <v>44898</v>
      </c>
      <c r="L2841" s="1647"/>
      <c r="M2841" s="1648">
        <v>0</v>
      </c>
      <c r="N2841" s="1649">
        <v>1.8756066813024947</v>
      </c>
      <c r="O2841" s="1649"/>
    </row>
    <row r="2842" spans="11:15">
      <c r="K2842" s="1646">
        <v>44899</v>
      </c>
      <c r="L2842" s="1647"/>
      <c r="M2842" s="1648">
        <v>0</v>
      </c>
      <c r="N2842" s="1649">
        <v>1.8756066813024947</v>
      </c>
      <c r="O2842" s="1649"/>
    </row>
    <row r="2843" spans="11:15">
      <c r="K2843" s="1646">
        <v>44900</v>
      </c>
      <c r="L2843" s="1647" t="s">
        <v>1653</v>
      </c>
      <c r="M2843" s="1648">
        <v>4.9036999999999997E-2</v>
      </c>
      <c r="N2843" s="1649">
        <v>1.8765264225508052</v>
      </c>
      <c r="O2843" s="1649"/>
    </row>
    <row r="2844" spans="11:15">
      <c r="K2844" s="1646">
        <v>44901</v>
      </c>
      <c r="L2844" s="1647" t="s">
        <v>1653</v>
      </c>
      <c r="M2844" s="1648">
        <v>4.9036999999999997E-2</v>
      </c>
      <c r="N2844" s="1649">
        <v>1.8774466148126314</v>
      </c>
      <c r="O2844" s="1649"/>
    </row>
    <row r="2845" spans="11:15">
      <c r="K2845" s="1646">
        <v>44902</v>
      </c>
      <c r="L2845" s="1647" t="s">
        <v>1653</v>
      </c>
      <c r="M2845" s="1648">
        <v>4.9036999999999997E-2</v>
      </c>
      <c r="N2845" s="1649">
        <v>1.8783672583091373</v>
      </c>
      <c r="O2845" s="1649"/>
    </row>
    <row r="2846" spans="11:15">
      <c r="K2846" s="1646">
        <v>44903</v>
      </c>
      <c r="L2846" s="1647" t="s">
        <v>1653</v>
      </c>
      <c r="M2846" s="1648">
        <v>4.9036999999999997E-2</v>
      </c>
      <c r="N2846" s="1649">
        <v>1.8792883532615945</v>
      </c>
      <c r="O2846" s="1649"/>
    </row>
    <row r="2847" spans="11:15">
      <c r="K2847" s="1646">
        <v>44904</v>
      </c>
      <c r="L2847" s="1647" t="s">
        <v>1653</v>
      </c>
      <c r="M2847" s="1648">
        <v>4.9036999999999997E-2</v>
      </c>
      <c r="N2847" s="1649">
        <v>1.8802098998913834</v>
      </c>
      <c r="O2847" s="1649"/>
    </row>
    <row r="2848" spans="11:15">
      <c r="K2848" s="1646">
        <v>44905</v>
      </c>
      <c r="L2848" s="1647"/>
      <c r="M2848" s="1648">
        <v>0</v>
      </c>
      <c r="N2848" s="1649">
        <v>1.8802098998913834</v>
      </c>
      <c r="O2848" s="1649"/>
    </row>
    <row r="2849" spans="11:15">
      <c r="K2849" s="1646">
        <v>44906</v>
      </c>
      <c r="L2849" s="1647"/>
      <c r="M2849" s="1648">
        <v>0</v>
      </c>
      <c r="N2849" s="1649">
        <v>1.8802098998913834</v>
      </c>
      <c r="O2849" s="1649"/>
    </row>
    <row r="2850" spans="11:15">
      <c r="K2850" s="1646">
        <v>44907</v>
      </c>
      <c r="L2850" s="1647" t="s">
        <v>1653</v>
      </c>
      <c r="M2850" s="1648">
        <v>4.9036999999999997E-2</v>
      </c>
      <c r="N2850" s="1649">
        <v>1.8811318984199934</v>
      </c>
      <c r="O2850" s="1649"/>
    </row>
    <row r="2851" spans="11:15">
      <c r="K2851" s="1646">
        <v>44908</v>
      </c>
      <c r="L2851" s="1647" t="s">
        <v>1653</v>
      </c>
      <c r="M2851" s="1648">
        <v>4.9036999999999997E-2</v>
      </c>
      <c r="N2851" s="1649">
        <v>1.8820543490690218</v>
      </c>
      <c r="O2851" s="1649"/>
    </row>
    <row r="2852" spans="11:15">
      <c r="K2852" s="1646">
        <v>44909</v>
      </c>
      <c r="L2852" s="1647" t="s">
        <v>1653</v>
      </c>
      <c r="M2852" s="1648">
        <v>4.9036999999999997E-2</v>
      </c>
      <c r="N2852" s="1649">
        <v>1.8829772520601749</v>
      </c>
      <c r="O2852" s="1649"/>
    </row>
    <row r="2853" spans="11:15">
      <c r="K2853" s="1646">
        <v>44910</v>
      </c>
      <c r="L2853" s="1647" t="s">
        <v>1653</v>
      </c>
      <c r="M2853" s="1648">
        <v>4.9036999999999997E-2</v>
      </c>
      <c r="N2853" s="1649">
        <v>1.8839006076152678</v>
      </c>
      <c r="O2853" s="1649"/>
    </row>
    <row r="2854" spans="11:15">
      <c r="K2854" s="1646">
        <v>44911</v>
      </c>
      <c r="L2854" s="1647" t="s">
        <v>1653</v>
      </c>
      <c r="M2854" s="1648">
        <v>4.9036999999999997E-2</v>
      </c>
      <c r="N2854" s="1649">
        <v>1.8848244159562242</v>
      </c>
      <c r="O2854" s="1649"/>
    </row>
    <row r="2855" spans="11:15">
      <c r="K2855" s="1646">
        <v>44912</v>
      </c>
      <c r="L2855" s="1647"/>
      <c r="M2855" s="1648">
        <v>0</v>
      </c>
      <c r="N2855" s="1649">
        <v>1.8848244159562242</v>
      </c>
      <c r="O2855" s="1649"/>
    </row>
    <row r="2856" spans="11:15">
      <c r="K2856" s="1646">
        <v>44913</v>
      </c>
      <c r="L2856" s="1647"/>
      <c r="M2856" s="1648">
        <v>0</v>
      </c>
      <c r="N2856" s="1649">
        <v>1.8848244159562242</v>
      </c>
      <c r="O2856" s="1649"/>
    </row>
    <row r="2857" spans="11:15">
      <c r="K2857" s="1646">
        <v>44914</v>
      </c>
      <c r="L2857" s="1647" t="s">
        <v>1653</v>
      </c>
      <c r="M2857" s="1648">
        <v>4.9036999999999997E-2</v>
      </c>
      <c r="N2857" s="1649">
        <v>1.8857486773050767</v>
      </c>
      <c r="O2857" s="1649"/>
    </row>
    <row r="2858" spans="11:15">
      <c r="K2858" s="1646">
        <v>44915</v>
      </c>
      <c r="L2858" s="1647" t="s">
        <v>1653</v>
      </c>
      <c r="M2858" s="1648">
        <v>4.9036999999999997E-2</v>
      </c>
      <c r="N2858" s="1649">
        <v>1.8866733918839669</v>
      </c>
      <c r="O2858" s="1649"/>
    </row>
    <row r="2859" spans="11:15">
      <c r="K2859" s="1646">
        <v>44916</v>
      </c>
      <c r="L2859" s="1647" t="s">
        <v>1653</v>
      </c>
      <c r="M2859" s="1648">
        <v>4.9036999999999997E-2</v>
      </c>
      <c r="N2859" s="1649">
        <v>1.8875985599151452</v>
      </c>
      <c r="O2859" s="1649"/>
    </row>
    <row r="2860" spans="11:15">
      <c r="K2860" s="1646">
        <v>44917</v>
      </c>
      <c r="L2860" s="1647" t="s">
        <v>1653</v>
      </c>
      <c r="M2860" s="1648">
        <v>4.9036999999999997E-2</v>
      </c>
      <c r="N2860" s="1649">
        <v>1.888524181620971</v>
      </c>
      <c r="O2860" s="1649"/>
    </row>
    <row r="2861" spans="11:15">
      <c r="K2861" s="1646">
        <v>44918</v>
      </c>
      <c r="L2861" s="1647" t="s">
        <v>1653</v>
      </c>
      <c r="M2861" s="1648">
        <v>4.9036999999999997E-2</v>
      </c>
      <c r="N2861" s="1649">
        <v>1.8894502572239127</v>
      </c>
      <c r="O2861" s="1649"/>
    </row>
    <row r="2862" spans="11:15">
      <c r="K2862" s="1646">
        <v>44919</v>
      </c>
      <c r="L2862" s="1647"/>
      <c r="M2862" s="1648">
        <v>0</v>
      </c>
      <c r="N2862" s="1649">
        <v>1.8894502572239127</v>
      </c>
      <c r="O2862" s="1649"/>
    </row>
    <row r="2863" spans="11:15">
      <c r="K2863" s="1646">
        <v>44920</v>
      </c>
      <c r="L2863" s="1647"/>
      <c r="M2863" s="1648">
        <v>0</v>
      </c>
      <c r="N2863" s="1649">
        <v>1.8894502572239127</v>
      </c>
      <c r="O2863" s="1649"/>
    </row>
    <row r="2864" spans="11:15">
      <c r="K2864" s="1646">
        <v>44921</v>
      </c>
      <c r="L2864" s="1647" t="s">
        <v>1653</v>
      </c>
      <c r="M2864" s="1648">
        <v>4.9036999999999997E-2</v>
      </c>
      <c r="N2864" s="1649">
        <v>1.8903767869465478</v>
      </c>
      <c r="O2864" s="1649"/>
    </row>
    <row r="2865" spans="11:15">
      <c r="K2865" s="1646">
        <v>44922</v>
      </c>
      <c r="L2865" s="1647" t="s">
        <v>1653</v>
      </c>
      <c r="M2865" s="1648">
        <v>4.9036999999999997E-2</v>
      </c>
      <c r="N2865" s="1649">
        <v>1.8913037710115628</v>
      </c>
      <c r="O2865" s="1649"/>
    </row>
    <row r="2866" spans="11:15">
      <c r="K2866" s="1646">
        <v>44923</v>
      </c>
      <c r="L2866" s="1647" t="s">
        <v>1653</v>
      </c>
      <c r="M2866" s="1648">
        <v>4.9036999999999997E-2</v>
      </c>
      <c r="N2866" s="1649">
        <v>1.892231209641754</v>
      </c>
      <c r="O2866" s="1649"/>
    </row>
    <row r="2867" spans="11:15">
      <c r="K2867" s="1646">
        <v>44924</v>
      </c>
      <c r="L2867" s="1647" t="s">
        <v>1653</v>
      </c>
      <c r="M2867" s="1648">
        <v>4.9036999999999997E-2</v>
      </c>
      <c r="N2867" s="1649">
        <v>1.8931591030600261</v>
      </c>
      <c r="O2867" s="1649"/>
    </row>
    <row r="2868" spans="11:15">
      <c r="K2868" s="1646">
        <v>44925</v>
      </c>
      <c r="L2868" s="1647" t="s">
        <v>1653</v>
      </c>
      <c r="M2868" s="1648">
        <v>4.9036999999999997E-2</v>
      </c>
      <c r="N2868" s="1649">
        <v>1.8940874514893937</v>
      </c>
      <c r="O2868" s="1649"/>
    </row>
    <row r="2869" spans="11:15">
      <c r="K2869" s="1646">
        <v>44926</v>
      </c>
      <c r="L2869" s="1647"/>
      <c r="M2869" s="1648">
        <v>0</v>
      </c>
      <c r="N2869" s="1649">
        <v>1.8940874514893937</v>
      </c>
      <c r="O2869" s="1649"/>
    </row>
    <row r="2870" spans="11:15">
      <c r="K2870" s="1646">
        <v>44927</v>
      </c>
      <c r="L2870" s="1647"/>
      <c r="M2870" s="1648">
        <v>0</v>
      </c>
      <c r="N2870" s="1649">
        <v>1.8940874514893937</v>
      </c>
      <c r="O2870" s="1649"/>
    </row>
    <row r="2871" spans="11:15">
      <c r="K2871" s="1646">
        <v>44928</v>
      </c>
      <c r="L2871" s="1647" t="s">
        <v>1653</v>
      </c>
      <c r="M2871" s="1648">
        <v>4.9036999999999997E-2</v>
      </c>
      <c r="N2871" s="1649">
        <v>1.8950162551529808</v>
      </c>
      <c r="O2871" s="1649"/>
    </row>
    <row r="2872" spans="11:15">
      <c r="K2872" s="1646">
        <v>44929</v>
      </c>
      <c r="L2872" s="1647" t="s">
        <v>1653</v>
      </c>
      <c r="M2872" s="1648">
        <v>4.9036999999999997E-2</v>
      </c>
      <c r="N2872" s="1649">
        <v>1.8959455142740202</v>
      </c>
      <c r="O2872" s="1649"/>
    </row>
    <row r="2873" spans="11:15">
      <c r="K2873" s="1646">
        <v>44930</v>
      </c>
      <c r="L2873" s="1647" t="s">
        <v>1653</v>
      </c>
      <c r="M2873" s="1648">
        <v>4.9036999999999997E-2</v>
      </c>
      <c r="N2873" s="1649">
        <v>1.896875229075855</v>
      </c>
      <c r="O2873" s="1649"/>
    </row>
    <row r="2874" spans="11:15">
      <c r="K2874" s="1646">
        <v>44931</v>
      </c>
      <c r="L2874" s="1647" t="s">
        <v>1653</v>
      </c>
      <c r="M2874" s="1648">
        <v>4.9036999999999997E-2</v>
      </c>
      <c r="N2874" s="1649">
        <v>1.8978053997819371</v>
      </c>
      <c r="O2874" s="1649"/>
    </row>
    <row r="2875" spans="11:15">
      <c r="K2875" s="1646">
        <v>44932</v>
      </c>
      <c r="L2875" s="1647" t="s">
        <v>1653</v>
      </c>
      <c r="M2875" s="1648">
        <v>4.9036999999999997E-2</v>
      </c>
      <c r="N2875" s="1649">
        <v>1.8987360266158282</v>
      </c>
      <c r="O2875" s="1649"/>
    </row>
    <row r="2876" spans="11:15">
      <c r="K2876" s="1646">
        <v>44933</v>
      </c>
      <c r="L2876" s="1647"/>
      <c r="M2876" s="1648">
        <v>0</v>
      </c>
      <c r="N2876" s="1649">
        <v>1.8987360266158282</v>
      </c>
      <c r="O2876" s="1649"/>
    </row>
    <row r="2877" spans="11:15">
      <c r="K2877" s="1646">
        <v>44934</v>
      </c>
      <c r="L2877" s="1647"/>
      <c r="M2877" s="1648">
        <v>0</v>
      </c>
      <c r="N2877" s="1649">
        <v>1.8987360266158282</v>
      </c>
      <c r="O2877" s="1649"/>
    </row>
    <row r="2878" spans="11:15">
      <c r="K2878" s="1646">
        <v>44935</v>
      </c>
      <c r="L2878" s="1647" t="s">
        <v>1653</v>
      </c>
      <c r="M2878" s="1648">
        <v>4.9036999999999997E-2</v>
      </c>
      <c r="N2878" s="1649">
        <v>1.8996671098011999</v>
      </c>
      <c r="O2878" s="1649"/>
    </row>
    <row r="2879" spans="11:15">
      <c r="K2879" s="1646">
        <v>44936</v>
      </c>
      <c r="L2879" s="1647" t="s">
        <v>1653</v>
      </c>
      <c r="M2879" s="1648">
        <v>4.9036999999999997E-2</v>
      </c>
      <c r="N2879" s="1649">
        <v>1.9005986495618332</v>
      </c>
      <c r="O2879" s="1649"/>
    </row>
    <row r="2880" spans="11:15">
      <c r="K2880" s="1646">
        <v>44937</v>
      </c>
      <c r="L2880" s="1647" t="s">
        <v>1653</v>
      </c>
      <c r="M2880" s="1648">
        <v>4.9036999999999997E-2</v>
      </c>
      <c r="N2880" s="1649">
        <v>1.901530646121619</v>
      </c>
      <c r="O2880" s="1649"/>
    </row>
    <row r="2881" spans="11:15">
      <c r="K2881" s="1646">
        <v>44938</v>
      </c>
      <c r="L2881" s="1647" t="s">
        <v>1653</v>
      </c>
      <c r="M2881" s="1648">
        <v>4.9036999999999997E-2</v>
      </c>
      <c r="N2881" s="1649">
        <v>1.9024630997045577</v>
      </c>
      <c r="O2881" s="1649"/>
    </row>
    <row r="2882" spans="11:15">
      <c r="K2882" s="1646">
        <v>44939</v>
      </c>
      <c r="L2882" s="1647" t="s">
        <v>1653</v>
      </c>
      <c r="M2882" s="1648">
        <v>4.9036999999999997E-2</v>
      </c>
      <c r="N2882" s="1649">
        <v>1.90339601053476</v>
      </c>
      <c r="O2882" s="1649"/>
    </row>
    <row r="2883" spans="11:15">
      <c r="K2883" s="1646">
        <v>44940</v>
      </c>
      <c r="L2883" s="1647"/>
      <c r="M2883" s="1648">
        <v>0</v>
      </c>
      <c r="N2883" s="1649">
        <v>1.90339601053476</v>
      </c>
      <c r="O2883" s="1649"/>
    </row>
    <row r="2884" spans="11:15">
      <c r="K2884" s="1646">
        <v>44941</v>
      </c>
      <c r="L2884" s="1647"/>
      <c r="M2884" s="1648">
        <v>0</v>
      </c>
      <c r="N2884" s="1649">
        <v>1.90339601053476</v>
      </c>
      <c r="O2884" s="1649"/>
    </row>
    <row r="2885" spans="11:15">
      <c r="K2885" s="1646">
        <v>44942</v>
      </c>
      <c r="L2885" s="1647" t="s">
        <v>1653</v>
      </c>
      <c r="M2885" s="1648">
        <v>4.9036999999999997E-2</v>
      </c>
      <c r="N2885" s="1649">
        <v>1.9043293788364462</v>
      </c>
      <c r="O2885" s="1649"/>
    </row>
    <row r="2886" spans="11:15">
      <c r="K2886" s="1646">
        <v>44943</v>
      </c>
      <c r="L2886" s="1647" t="s">
        <v>1653</v>
      </c>
      <c r="M2886" s="1648">
        <v>4.9036999999999997E-2</v>
      </c>
      <c r="N2886" s="1649">
        <v>1.9052632048339464</v>
      </c>
      <c r="O2886" s="1649"/>
    </row>
    <row r="2887" spans="11:15">
      <c r="K2887" s="1646">
        <v>44944</v>
      </c>
      <c r="L2887" s="1647" t="s">
        <v>1653</v>
      </c>
      <c r="M2887" s="1648">
        <v>4.9036999999999997E-2</v>
      </c>
      <c r="N2887" s="1649">
        <v>1.906197488751701</v>
      </c>
      <c r="O2887" s="1649"/>
    </row>
    <row r="2888" spans="11:15">
      <c r="K2888" s="1646">
        <v>44945</v>
      </c>
      <c r="L2888" s="1647" t="s">
        <v>1653</v>
      </c>
      <c r="M2888" s="1648">
        <v>4.9036999999999997E-2</v>
      </c>
      <c r="N2888" s="1649">
        <v>1.9071322308142604</v>
      </c>
      <c r="O2888" s="1649"/>
    </row>
    <row r="2889" spans="11:15">
      <c r="K2889" s="1646">
        <v>44946</v>
      </c>
      <c r="L2889" s="1647" t="s">
        <v>1653</v>
      </c>
      <c r="M2889" s="1648">
        <v>4.9036999999999997E-2</v>
      </c>
      <c r="N2889" s="1649">
        <v>1.9080674312462849</v>
      </c>
      <c r="O2889" s="1649"/>
    </row>
    <row r="2890" spans="11:15">
      <c r="K2890" s="1646">
        <v>44947</v>
      </c>
      <c r="L2890" s="1647"/>
      <c r="M2890" s="1648">
        <v>0</v>
      </c>
      <c r="N2890" s="1649">
        <v>1.9080674312462849</v>
      </c>
      <c r="O2890" s="1649"/>
    </row>
    <row r="2891" spans="11:15">
      <c r="K2891" s="1646">
        <v>44948</v>
      </c>
      <c r="L2891" s="1647"/>
      <c r="M2891" s="1648">
        <v>0</v>
      </c>
      <c r="N2891" s="1649">
        <v>1.9080674312462849</v>
      </c>
      <c r="O2891" s="1649"/>
    </row>
    <row r="2892" spans="11:15">
      <c r="K2892" s="1646">
        <v>44949</v>
      </c>
      <c r="L2892" s="1647" t="s">
        <v>1653</v>
      </c>
      <c r="M2892" s="1648">
        <v>4.9036999999999997E-2</v>
      </c>
      <c r="N2892" s="1649">
        <v>1.9090030902725452</v>
      </c>
      <c r="O2892" s="1649"/>
    </row>
    <row r="2893" spans="11:15">
      <c r="K2893" s="1646">
        <v>44950</v>
      </c>
      <c r="L2893" s="1647" t="s">
        <v>1653</v>
      </c>
      <c r="M2893" s="1648">
        <v>4.9036999999999997E-2</v>
      </c>
      <c r="N2893" s="1649">
        <v>1.9099392081179223</v>
      </c>
      <c r="O2893" s="1649"/>
    </row>
    <row r="2894" spans="11:15">
      <c r="K2894" s="1646">
        <v>44951</v>
      </c>
      <c r="L2894" s="1647" t="s">
        <v>1653</v>
      </c>
      <c r="M2894" s="1648">
        <v>4.9036999999999997E-2</v>
      </c>
      <c r="N2894" s="1649">
        <v>1.9108757850074072</v>
      </c>
      <c r="O2894" s="1649"/>
    </row>
    <row r="2895" spans="11:15">
      <c r="K2895" s="1646">
        <v>44952</v>
      </c>
      <c r="L2895" s="1647" t="s">
        <v>1653</v>
      </c>
      <c r="M2895" s="1648">
        <v>4.9036999999999997E-2</v>
      </c>
      <c r="N2895" s="1649">
        <v>1.9118128211661014</v>
      </c>
      <c r="O2895" s="1649"/>
    </row>
    <row r="2896" spans="11:15">
      <c r="K2896" s="1646">
        <v>44953</v>
      </c>
      <c r="L2896" s="1647" t="s">
        <v>1653</v>
      </c>
      <c r="M2896" s="1648">
        <v>4.9036999999999997E-2</v>
      </c>
      <c r="N2896" s="1649">
        <v>1.9127503168192168</v>
      </c>
      <c r="O2896" s="1649"/>
    </row>
    <row r="2897" spans="11:15">
      <c r="K2897" s="1646">
        <v>44954</v>
      </c>
      <c r="L2897" s="1647"/>
      <c r="M2897" s="1648">
        <v>0</v>
      </c>
      <c r="N2897" s="1649">
        <v>1.9127503168192168</v>
      </c>
      <c r="O2897" s="1649"/>
    </row>
    <row r="2898" spans="11:15">
      <c r="K2898" s="1646">
        <v>44955</v>
      </c>
      <c r="L2898" s="1647"/>
      <c r="M2898" s="1648">
        <v>0</v>
      </c>
      <c r="N2898" s="1649">
        <v>1.9127503168192168</v>
      </c>
      <c r="O2898" s="1649"/>
    </row>
    <row r="2899" spans="11:15">
      <c r="K2899" s="1646">
        <v>44956</v>
      </c>
      <c r="L2899" s="1647" t="s">
        <v>1653</v>
      </c>
      <c r="M2899" s="1648">
        <v>4.9036999999999997E-2</v>
      </c>
      <c r="N2899" s="1649">
        <v>1.9136882721920756</v>
      </c>
      <c r="O2899" s="1649"/>
    </row>
    <row r="2900" spans="11:15">
      <c r="K2900" s="1646">
        <v>44957</v>
      </c>
      <c r="L2900" s="1647" t="s">
        <v>1653</v>
      </c>
      <c r="M2900" s="1648">
        <v>4.9036999999999997E-2</v>
      </c>
      <c r="N2900" s="1649">
        <v>1.9146266875101106</v>
      </c>
      <c r="O2900" s="1649"/>
    </row>
    <row r="2901" spans="11:15">
      <c r="K2901" s="1646">
        <v>44958</v>
      </c>
      <c r="L2901" s="1647" t="s">
        <v>1653</v>
      </c>
      <c r="M2901" s="1648">
        <v>4.9036999999999997E-2</v>
      </c>
      <c r="N2901" s="1649">
        <v>1.915565562998865</v>
      </c>
      <c r="O2901" s="1649"/>
    </row>
    <row r="2902" spans="11:15">
      <c r="K2902" s="1646">
        <v>44959</v>
      </c>
      <c r="L2902" s="1647" t="s">
        <v>1653</v>
      </c>
      <c r="M2902" s="1648">
        <v>4.9036999999999997E-2</v>
      </c>
      <c r="N2902" s="1649">
        <v>1.916504898883993</v>
      </c>
      <c r="O2902" s="1649"/>
    </row>
    <row r="2903" spans="11:15">
      <c r="K2903" s="1646">
        <v>44960</v>
      </c>
      <c r="L2903" s="1647" t="s">
        <v>1653</v>
      </c>
      <c r="M2903" s="1648">
        <v>4.9036999999999997E-2</v>
      </c>
      <c r="N2903" s="1649">
        <v>1.9174446953912589</v>
      </c>
      <c r="O2903" s="1649"/>
    </row>
    <row r="2904" spans="11:15">
      <c r="K2904" s="1646">
        <v>44961</v>
      </c>
      <c r="L2904" s="1647"/>
      <c r="M2904" s="1648">
        <v>0</v>
      </c>
      <c r="N2904" s="1649">
        <v>1.9174446953912589</v>
      </c>
      <c r="O2904" s="1649"/>
    </row>
    <row r="2905" spans="11:15">
      <c r="K2905" s="1646">
        <v>44962</v>
      </c>
      <c r="L2905" s="1647"/>
      <c r="M2905" s="1648">
        <v>0</v>
      </c>
      <c r="N2905" s="1649">
        <v>1.9174446953912589</v>
      </c>
      <c r="O2905" s="1649"/>
    </row>
    <row r="2906" spans="11:15">
      <c r="K2906" s="1646">
        <v>44963</v>
      </c>
      <c r="L2906" s="1647" t="s">
        <v>1653</v>
      </c>
      <c r="M2906" s="1648">
        <v>4.9036999999999997E-2</v>
      </c>
      <c r="N2906" s="1649">
        <v>1.9183849527465382</v>
      </c>
      <c r="O2906" s="1649"/>
    </row>
    <row r="2907" spans="11:15">
      <c r="K2907" s="1646">
        <v>44964</v>
      </c>
      <c r="L2907" s="1647" t="s">
        <v>1653</v>
      </c>
      <c r="M2907" s="1648">
        <v>4.9036999999999997E-2</v>
      </c>
      <c r="N2907" s="1649">
        <v>1.9193256711758166</v>
      </c>
      <c r="O2907" s="1649"/>
    </row>
    <row r="2908" spans="11:15">
      <c r="K2908" s="1646">
        <v>44965</v>
      </c>
      <c r="L2908" s="1647" t="s">
        <v>1653</v>
      </c>
      <c r="M2908" s="1648">
        <v>4.9036999999999997E-2</v>
      </c>
      <c r="N2908" s="1649">
        <v>1.9202668509051912</v>
      </c>
      <c r="O2908" s="1649"/>
    </row>
    <row r="2909" spans="11:15">
      <c r="K2909" s="1646">
        <v>44966</v>
      </c>
      <c r="L2909" s="1647" t="s">
        <v>1653</v>
      </c>
      <c r="M2909" s="1648">
        <v>4.9036999999999997E-2</v>
      </c>
      <c r="N2909" s="1649">
        <v>1.9212084921608696</v>
      </c>
      <c r="O2909" s="1649"/>
    </row>
    <row r="2910" spans="11:15">
      <c r="K2910" s="1646">
        <v>44967</v>
      </c>
      <c r="L2910" s="1647" t="s">
        <v>1653</v>
      </c>
      <c r="M2910" s="1648">
        <v>4.9036999999999997E-2</v>
      </c>
      <c r="N2910" s="1649">
        <v>1.9221505951691706</v>
      </c>
      <c r="O2910" s="1649"/>
    </row>
    <row r="2911" spans="11:15">
      <c r="K2911" s="1646">
        <v>44968</v>
      </c>
      <c r="L2911" s="1647"/>
      <c r="M2911" s="1648">
        <v>0</v>
      </c>
      <c r="N2911" s="1649">
        <v>1.9221505951691706</v>
      </c>
      <c r="O2911" s="1649"/>
    </row>
    <row r="2912" spans="11:15">
      <c r="K2912" s="1646">
        <v>44969</v>
      </c>
      <c r="L2912" s="1647"/>
      <c r="M2912" s="1648">
        <v>0</v>
      </c>
      <c r="N2912" s="1649">
        <v>1.9221505951691706</v>
      </c>
      <c r="O2912" s="1649"/>
    </row>
    <row r="2913" spans="11:15">
      <c r="K2913" s="1646">
        <v>44970</v>
      </c>
      <c r="L2913" s="1647" t="s">
        <v>1653</v>
      </c>
      <c r="M2913" s="1648">
        <v>4.9036999999999997E-2</v>
      </c>
      <c r="N2913" s="1649">
        <v>1.923093160156524</v>
      </c>
      <c r="O2913" s="1649"/>
    </row>
    <row r="2914" spans="11:15">
      <c r="K2914" s="1646">
        <v>44971</v>
      </c>
      <c r="L2914" s="1647" t="s">
        <v>1653</v>
      </c>
      <c r="M2914" s="1648">
        <v>4.9036999999999997E-2</v>
      </c>
      <c r="N2914" s="1649">
        <v>1.92403618734947</v>
      </c>
      <c r="O2914" s="1649"/>
    </row>
    <row r="2915" spans="11:15">
      <c r="K2915" s="1646">
        <v>44972</v>
      </c>
      <c r="L2915" s="1647" t="s">
        <v>1653</v>
      </c>
      <c r="M2915" s="1648">
        <v>4.9036999999999997E-2</v>
      </c>
      <c r="N2915" s="1649">
        <v>1.9249796769746608</v>
      </c>
      <c r="O2915" s="1649"/>
    </row>
    <row r="2916" spans="11:15">
      <c r="K2916" s="1646">
        <v>44973</v>
      </c>
      <c r="L2916" s="1647" t="s">
        <v>1653</v>
      </c>
      <c r="M2916" s="1648">
        <v>4.9036999999999997E-2</v>
      </c>
      <c r="N2916" s="1649">
        <v>1.9259236292588591</v>
      </c>
      <c r="O2916" s="1649"/>
    </row>
    <row r="2917" spans="11:15">
      <c r="K2917" s="1646">
        <v>44974</v>
      </c>
      <c r="L2917" s="1647" t="s">
        <v>1653</v>
      </c>
      <c r="M2917" s="1648">
        <v>4.9036999999999997E-2</v>
      </c>
      <c r="N2917" s="1649">
        <v>1.9268680444289388</v>
      </c>
      <c r="O2917" s="1649"/>
    </row>
    <row r="2918" spans="11:15">
      <c r="K2918" s="1646">
        <v>44975</v>
      </c>
      <c r="L2918" s="1647"/>
      <c r="M2918" s="1648">
        <v>0</v>
      </c>
      <c r="N2918" s="1649">
        <v>1.9268680444289388</v>
      </c>
      <c r="O2918" s="1649"/>
    </row>
    <row r="2919" spans="11:15">
      <c r="K2919" s="1646">
        <v>44976</v>
      </c>
      <c r="L2919" s="1647"/>
      <c r="M2919" s="1648">
        <v>0</v>
      </c>
      <c r="N2919" s="1649">
        <v>1.9268680444289388</v>
      </c>
      <c r="O2919" s="1649"/>
    </row>
    <row r="2920" spans="11:15">
      <c r="K2920" s="1646">
        <v>44977</v>
      </c>
      <c r="L2920" s="1647"/>
      <c r="M2920" s="1648">
        <v>0</v>
      </c>
      <c r="N2920" s="1649">
        <v>1.9268680444289388</v>
      </c>
      <c r="O2920" s="1649"/>
    </row>
    <row r="2921" spans="11:15">
      <c r="K2921" s="1646">
        <v>44978</v>
      </c>
      <c r="L2921" s="1647"/>
      <c r="M2921" s="1648">
        <v>0</v>
      </c>
      <c r="N2921" s="1649">
        <v>1.9268680444289388</v>
      </c>
      <c r="O2921" s="1649"/>
    </row>
    <row r="2922" spans="11:15">
      <c r="K2922" s="1646">
        <v>44979</v>
      </c>
      <c r="L2922" s="1647" t="s">
        <v>1653</v>
      </c>
      <c r="M2922" s="1648">
        <v>4.9036999999999997E-2</v>
      </c>
      <c r="N2922" s="1649">
        <v>1.9278129227118856</v>
      </c>
      <c r="O2922" s="1649"/>
    </row>
    <row r="2923" spans="11:15">
      <c r="K2923" s="1646">
        <v>44980</v>
      </c>
      <c r="L2923" s="1647" t="s">
        <v>1653</v>
      </c>
      <c r="M2923" s="1648">
        <v>4.9036999999999997E-2</v>
      </c>
      <c r="N2923" s="1649">
        <v>1.928758264334796</v>
      </c>
      <c r="O2923" s="1649"/>
    </row>
    <row r="2924" spans="11:15">
      <c r="K2924" s="1646">
        <v>44981</v>
      </c>
      <c r="L2924" s="1647" t="s">
        <v>1653</v>
      </c>
      <c r="M2924" s="1648">
        <v>4.9036999999999997E-2</v>
      </c>
      <c r="N2924" s="1649">
        <v>1.9297040695248779</v>
      </c>
      <c r="O2924" s="1649"/>
    </row>
    <row r="2925" spans="11:15">
      <c r="K2925" s="1646">
        <v>44982</v>
      </c>
      <c r="L2925" s="1647"/>
      <c r="M2925" s="1648">
        <v>0</v>
      </c>
      <c r="N2925" s="1649">
        <v>1.9297040695248779</v>
      </c>
      <c r="O2925" s="1649"/>
    </row>
    <row r="2926" spans="11:15">
      <c r="K2926" s="1646">
        <v>44983</v>
      </c>
      <c r="L2926" s="1647"/>
      <c r="M2926" s="1648">
        <v>0</v>
      </c>
      <c r="N2926" s="1649">
        <v>1.9297040695248779</v>
      </c>
      <c r="O2926" s="1649"/>
    </row>
    <row r="2927" spans="11:15">
      <c r="K2927" s="1646">
        <v>44984</v>
      </c>
      <c r="L2927" s="1647" t="s">
        <v>1653</v>
      </c>
      <c r="M2927" s="1648">
        <v>4.9036999999999997E-2</v>
      </c>
      <c r="N2927" s="1649">
        <v>1.9306503385094509</v>
      </c>
      <c r="O2927" s="1649"/>
    </row>
    <row r="2928" spans="11:15">
      <c r="K2928" s="1646">
        <v>44985</v>
      </c>
      <c r="L2928" s="1647" t="s">
        <v>1653</v>
      </c>
      <c r="M2928" s="1648">
        <v>4.9036999999999997E-2</v>
      </c>
      <c r="N2928" s="1649">
        <v>1.9315970715159458</v>
      </c>
      <c r="O2928" s="1649"/>
    </row>
    <row r="2929" spans="11:15">
      <c r="K2929" s="1646">
        <v>44986</v>
      </c>
      <c r="L2929" s="1647" t="s">
        <v>1653</v>
      </c>
      <c r="M2929" s="1648">
        <v>4.9036999999999997E-2</v>
      </c>
      <c r="N2929" s="1649">
        <v>1.9325442687719052</v>
      </c>
      <c r="O2929" s="1649"/>
    </row>
    <row r="2930" spans="11:15">
      <c r="K2930" s="1646">
        <v>44987</v>
      </c>
      <c r="L2930" s="1569" t="s">
        <v>1653</v>
      </c>
      <c r="M2930" s="895">
        <v>4.9036999999999997E-2</v>
      </c>
      <c r="N2930" s="1569">
        <v>1.9334919305049831</v>
      </c>
      <c r="O2930" s="1569"/>
    </row>
    <row r="2931" spans="11:15">
      <c r="K2931" s="1646">
        <v>44988</v>
      </c>
      <c r="L2931" s="1569" t="s">
        <v>1653</v>
      </c>
      <c r="M2931" s="895">
        <v>4.9036999999999997E-2</v>
      </c>
      <c r="N2931" s="1569">
        <v>1.934440056942945</v>
      </c>
      <c r="O2931" s="1569"/>
    </row>
    <row r="2932" spans="11:15">
      <c r="K2932" s="1646">
        <v>44989</v>
      </c>
      <c r="L2932" s="1569"/>
      <c r="M2932" s="895">
        <v>0</v>
      </c>
      <c r="N2932" s="1569">
        <v>1.934440056942945</v>
      </c>
      <c r="O2932" s="1569"/>
    </row>
    <row r="2933" spans="11:15">
      <c r="K2933" s="1646">
        <v>44990</v>
      </c>
      <c r="L2933" s="1569"/>
      <c r="M2933" s="895">
        <v>0</v>
      </c>
      <c r="N2933" s="1569">
        <v>1.934440056942945</v>
      </c>
      <c r="O2933" s="1569"/>
    </row>
    <row r="2934" spans="11:15">
      <c r="K2934" s="1646">
        <v>44991</v>
      </c>
      <c r="L2934" s="1569" t="s">
        <v>1653</v>
      </c>
      <c r="M2934" s="895">
        <v>4.9036999999999997E-2</v>
      </c>
      <c r="N2934" s="1569">
        <v>1.9353886483136682</v>
      </c>
      <c r="O2934" s="1569"/>
    </row>
    <row r="2935" spans="11:15">
      <c r="K2935" s="1646">
        <v>44992</v>
      </c>
      <c r="L2935" s="1569" t="s">
        <v>1653</v>
      </c>
      <c r="M2935" s="895">
        <v>4.9036999999999997E-2</v>
      </c>
      <c r="N2935" s="1569">
        <v>1.936337704845142</v>
      </c>
      <c r="O2935" s="1569"/>
    </row>
    <row r="2936" spans="11:15">
      <c r="K2936" s="1646">
        <v>44993</v>
      </c>
      <c r="L2936" s="1569" t="s">
        <v>1653</v>
      </c>
      <c r="M2936" s="895">
        <v>4.9036999999999997E-2</v>
      </c>
      <c r="N2936" s="1569">
        <v>1.9372872267654671</v>
      </c>
      <c r="O2936" s="1569"/>
    </row>
    <row r="2937" spans="11:15">
      <c r="K2937" s="1646">
        <v>44994</v>
      </c>
      <c r="L2937" s="1569" t="s">
        <v>1653</v>
      </c>
      <c r="M2937" s="895">
        <v>4.9036999999999997E-2</v>
      </c>
      <c r="N2937" s="1569">
        <v>1.9382372143028561</v>
      </c>
      <c r="O2937" s="1569"/>
    </row>
    <row r="2938" spans="11:15">
      <c r="K2938" s="1646">
        <v>44995</v>
      </c>
      <c r="L2938" s="1569" t="s">
        <v>1653</v>
      </c>
      <c r="M2938" s="895">
        <v>4.9036999999999997E-2</v>
      </c>
      <c r="N2938" s="1569">
        <v>1.9391876676856339</v>
      </c>
      <c r="O2938" s="1569"/>
    </row>
    <row r="2939" spans="11:15">
      <c r="K2939" s="1646">
        <v>44996</v>
      </c>
      <c r="L2939" s="1569"/>
      <c r="M2939" s="895">
        <v>0</v>
      </c>
      <c r="N2939" s="1569">
        <v>1.9391876676856339</v>
      </c>
      <c r="O2939" s="1569"/>
    </row>
    <row r="2940" spans="11:15">
      <c r="K2940" s="1646">
        <v>44997</v>
      </c>
      <c r="L2940" s="1569"/>
      <c r="M2940" s="895">
        <v>0</v>
      </c>
      <c r="N2940" s="1569">
        <v>1.9391876676856339</v>
      </c>
      <c r="O2940" s="1569"/>
    </row>
    <row r="2941" spans="11:15">
      <c r="K2941" s="1646">
        <v>44998</v>
      </c>
      <c r="L2941" s="1569" t="s">
        <v>1653</v>
      </c>
      <c r="M2941" s="895">
        <v>4.9036999999999997E-2</v>
      </c>
      <c r="N2941" s="1569">
        <v>1.940138587142237</v>
      </c>
      <c r="O2941" s="1569"/>
    </row>
    <row r="2942" spans="11:15">
      <c r="K2942" s="1646">
        <v>44999</v>
      </c>
      <c r="L2942" s="1569" t="s">
        <v>1653</v>
      </c>
      <c r="M2942" s="895">
        <v>4.9036999999999997E-2</v>
      </c>
      <c r="N2942" s="1569">
        <v>1.9410899729012141</v>
      </c>
      <c r="O2942" s="1569"/>
    </row>
    <row r="2943" spans="11:15">
      <c r="K2943" s="1646">
        <v>45000</v>
      </c>
      <c r="L2943" s="1569" t="s">
        <v>1653</v>
      </c>
      <c r="M2943" s="895">
        <v>4.9036999999999997E-2</v>
      </c>
      <c r="N2943" s="1569">
        <v>1.9420418251912257</v>
      </c>
      <c r="O2943" s="1569"/>
    </row>
    <row r="2944" spans="11:15">
      <c r="K2944" s="1646">
        <v>45001</v>
      </c>
      <c r="L2944" s="1569" t="s">
        <v>1653</v>
      </c>
      <c r="M2944" s="895">
        <v>4.9036999999999997E-2</v>
      </c>
      <c r="N2944" s="1569">
        <v>1.9429941442410448</v>
      </c>
      <c r="O2944" s="1569"/>
    </row>
    <row r="2945" spans="11:15">
      <c r="K2945" s="1646">
        <v>45002</v>
      </c>
      <c r="L2945" s="1569" t="s">
        <v>1653</v>
      </c>
      <c r="M2945" s="895">
        <v>4.9036999999999997E-2</v>
      </c>
      <c r="N2945" s="1569">
        <v>1.9439469302795565</v>
      </c>
      <c r="O2945" s="1569"/>
    </row>
    <row r="2946" spans="11:15">
      <c r="K2946" s="1646">
        <v>45003</v>
      </c>
      <c r="L2946" s="1569"/>
      <c r="M2946" s="895">
        <v>0</v>
      </c>
      <c r="N2946" s="1569">
        <v>1.9439469302795565</v>
      </c>
      <c r="O2946" s="1569"/>
    </row>
    <row r="2947" spans="11:15">
      <c r="K2947" s="1646">
        <v>45004</v>
      </c>
      <c r="L2947" s="1569"/>
      <c r="M2947" s="895">
        <v>0</v>
      </c>
      <c r="N2947" s="1569">
        <v>1.9439469302795565</v>
      </c>
      <c r="O2947" s="1569"/>
    </row>
    <row r="2948" spans="11:15">
      <c r="K2948" s="1646">
        <v>45005</v>
      </c>
      <c r="L2948" s="1569" t="s">
        <v>1653</v>
      </c>
      <c r="M2948" s="895">
        <v>4.9036999999999997E-2</v>
      </c>
      <c r="N2948" s="1569">
        <v>1.9449001835357578</v>
      </c>
      <c r="O2948" s="1569"/>
    </row>
    <row r="2949" spans="11:15">
      <c r="K2949" s="1646">
        <v>45006</v>
      </c>
      <c r="L2949" s="1569" t="s">
        <v>1653</v>
      </c>
      <c r="M2949" s="895">
        <v>4.9036999999999997E-2</v>
      </c>
      <c r="N2949" s="1569">
        <v>1.9458539042387584</v>
      </c>
      <c r="O2949" s="1569"/>
    </row>
    <row r="2950" spans="11:15">
      <c r="K2950" s="1646">
        <v>45007</v>
      </c>
      <c r="L2950" s="1569" t="s">
        <v>1653</v>
      </c>
      <c r="M2950" s="895">
        <v>4.9036999999999997E-2</v>
      </c>
      <c r="N2950" s="1569">
        <v>1.94680809261778</v>
      </c>
      <c r="O2950" s="1569"/>
    </row>
    <row r="2951" spans="11:15">
      <c r="K2951" s="1646">
        <v>45008</v>
      </c>
      <c r="L2951" s="1569" t="s">
        <v>1653</v>
      </c>
      <c r="M2951" s="895">
        <v>4.9036999999999997E-2</v>
      </c>
      <c r="N2951" s="1569">
        <v>1.9477627489021572</v>
      </c>
      <c r="O2951" s="1569"/>
    </row>
    <row r="2952" spans="11:15">
      <c r="K2952" s="1646">
        <v>45009</v>
      </c>
      <c r="L2952" s="1569" t="s">
        <v>1653</v>
      </c>
      <c r="M2952" s="895">
        <v>4.9036999999999997E-2</v>
      </c>
      <c r="N2952" s="1569">
        <v>1.9487178733213364</v>
      </c>
      <c r="O2952" s="1569"/>
    </row>
    <row r="2953" spans="11:15">
      <c r="K2953" s="1646">
        <v>45010</v>
      </c>
      <c r="L2953" s="1569"/>
      <c r="M2953" s="895">
        <v>0</v>
      </c>
      <c r="N2953" s="1569">
        <v>1.9487178733213364</v>
      </c>
      <c r="O2953" s="1569"/>
    </row>
    <row r="2954" spans="11:15">
      <c r="K2954" s="1646">
        <v>45011</v>
      </c>
      <c r="L2954" s="1569"/>
      <c r="M2954" s="895">
        <v>0</v>
      </c>
      <c r="N2954" s="1569">
        <v>1.9487178733213364</v>
      </c>
      <c r="O2954" s="1569"/>
    </row>
    <row r="2955" spans="11:15">
      <c r="K2955" s="1646">
        <v>45012</v>
      </c>
      <c r="L2955" s="1569" t="s">
        <v>1653</v>
      </c>
      <c r="M2955" s="895">
        <v>4.9036999999999997E-2</v>
      </c>
      <c r="N2955" s="1569">
        <v>1.9496734661048771</v>
      </c>
      <c r="O2955" s="1569"/>
    </row>
    <row r="2956" spans="11:15">
      <c r="K2956" s="1646">
        <v>45013</v>
      </c>
      <c r="L2956" s="1569" t="s">
        <v>1653</v>
      </c>
      <c r="M2956" s="895">
        <v>4.9036999999999997E-2</v>
      </c>
      <c r="N2956" s="1569">
        <v>1.9506295274824512</v>
      </c>
      <c r="O2956" s="1569"/>
    </row>
    <row r="2957" spans="11:15">
      <c r="K2957" s="1646">
        <v>45014</v>
      </c>
      <c r="L2957" s="1569" t="s">
        <v>1653</v>
      </c>
      <c r="M2957" s="895">
        <v>4.9036999999999997E-2</v>
      </c>
      <c r="N2957" s="1569">
        <v>1.9515860576838429</v>
      </c>
      <c r="O2957" s="1569"/>
    </row>
    <row r="2958" spans="11:15">
      <c r="K2958" s="1646">
        <v>45015</v>
      </c>
      <c r="L2958" s="1569" t="s">
        <v>1653</v>
      </c>
      <c r="M2958" s="895">
        <v>4.9036999999999997E-2</v>
      </c>
      <c r="N2958" s="1569">
        <v>1.9525430569389495</v>
      </c>
      <c r="O2958" s="1569"/>
    </row>
    <row r="2959" spans="11:15">
      <c r="K2959" s="1646">
        <v>45016</v>
      </c>
      <c r="L2959" s="1569" t="s">
        <v>1653</v>
      </c>
      <c r="M2959" s="895">
        <v>4.9036999999999997E-2</v>
      </c>
      <c r="N2959" s="1569">
        <v>1.9535005254777809</v>
      </c>
      <c r="O2959" s="1569"/>
    </row>
    <row r="2960" spans="11:15">
      <c r="K2960" s="1646">
        <v>45017</v>
      </c>
      <c r="L2960" s="1569"/>
      <c r="M2960" s="895">
        <v>0</v>
      </c>
      <c r="N2960" s="1569">
        <v>1.9535005254777809</v>
      </c>
      <c r="O2960" s="1569"/>
    </row>
    <row r="2961" spans="11:15">
      <c r="K2961" s="1646">
        <v>45018</v>
      </c>
      <c r="L2961" s="1569"/>
      <c r="M2961" s="895">
        <v>0</v>
      </c>
      <c r="N2961" s="1569">
        <v>1.9535005254777809</v>
      </c>
      <c r="O2961" s="1569"/>
    </row>
    <row r="2962" spans="11:15">
      <c r="K2962" s="1646">
        <v>45019</v>
      </c>
      <c r="L2962" s="1569" t="s">
        <v>1653</v>
      </c>
      <c r="M2962" s="895">
        <v>4.9036999999999997E-2</v>
      </c>
      <c r="N2962" s="1569">
        <v>1.9544584635304596</v>
      </c>
      <c r="O2962" s="1569"/>
    </row>
    <row r="2963" spans="11:15">
      <c r="K2963" s="1646">
        <v>45020</v>
      </c>
      <c r="L2963" s="1569" t="s">
        <v>1653</v>
      </c>
      <c r="M2963" s="895">
        <v>4.9036999999999997E-2</v>
      </c>
      <c r="N2963" s="1569">
        <v>1.9554168713272211</v>
      </c>
      <c r="O2963" s="1569"/>
    </row>
    <row r="2964" spans="11:15">
      <c r="K2964" s="1646">
        <v>45021</v>
      </c>
      <c r="L2964" s="1569" t="s">
        <v>1653</v>
      </c>
      <c r="M2964" s="895">
        <v>4.9036999999999997E-2</v>
      </c>
      <c r="N2964" s="1569">
        <v>1.9563757490984139</v>
      </c>
      <c r="O2964" s="1569"/>
    </row>
    <row r="2965" spans="11:15">
      <c r="K2965" s="1646">
        <v>45022</v>
      </c>
      <c r="L2965" s="1569" t="s">
        <v>1653</v>
      </c>
      <c r="M2965" s="895">
        <v>4.9036999999999997E-2</v>
      </c>
      <c r="N2965" s="1569">
        <v>1.9573350970744994</v>
      </c>
      <c r="O2965" s="1569"/>
    </row>
    <row r="2966" spans="11:15">
      <c r="K2966" s="1646">
        <v>45023</v>
      </c>
      <c r="L2966" s="1569"/>
      <c r="M2966" s="895">
        <v>0</v>
      </c>
      <c r="N2966" s="1569">
        <v>1.9573350970744994</v>
      </c>
      <c r="O2966" s="1569"/>
    </row>
    <row r="2967" spans="11:15">
      <c r="K2967" s="1646">
        <v>45024</v>
      </c>
      <c r="L2967" s="1569"/>
      <c r="M2967" s="895">
        <v>0</v>
      </c>
      <c r="N2967" s="1569">
        <v>1.9573350970744994</v>
      </c>
      <c r="O2967" s="1569"/>
    </row>
    <row r="2968" spans="11:15">
      <c r="K2968" s="1646">
        <v>45025</v>
      </c>
      <c r="L2968" s="1569"/>
      <c r="M2968" s="895">
        <v>0</v>
      </c>
      <c r="N2968" s="1569">
        <v>1.9573350970744994</v>
      </c>
      <c r="O2968" s="1569"/>
    </row>
    <row r="2969" spans="11:15">
      <c r="K2969" s="1646">
        <v>45026</v>
      </c>
      <c r="L2969" s="1569" t="s">
        <v>1653</v>
      </c>
      <c r="M2969" s="895">
        <v>4.9036999999999997E-2</v>
      </c>
      <c r="N2969" s="1569">
        <v>1.9582949154860518</v>
      </c>
      <c r="O2969" s="1569"/>
    </row>
    <row r="2970" spans="11:15">
      <c r="K2970" s="1646">
        <v>45027</v>
      </c>
      <c r="L2970" s="1569" t="s">
        <v>1653</v>
      </c>
      <c r="M2970" s="895">
        <v>4.9036999999999997E-2</v>
      </c>
      <c r="N2970" s="1569">
        <v>1.9592552045637588</v>
      </c>
      <c r="O2970" s="1569"/>
    </row>
    <row r="2971" spans="11:15">
      <c r="K2971" s="1646">
        <v>45028</v>
      </c>
      <c r="L2971" s="1569" t="s">
        <v>1653</v>
      </c>
      <c r="M2971" s="895">
        <v>4.9036999999999997E-2</v>
      </c>
      <c r="N2971" s="1569">
        <v>1.960215964538421</v>
      </c>
      <c r="O2971" s="1569"/>
    </row>
    <row r="2972" spans="11:15">
      <c r="K2972" s="1646">
        <v>45029</v>
      </c>
      <c r="L2972" s="1569" t="s">
        <v>1653</v>
      </c>
      <c r="M2972" s="895">
        <v>4.9036999999999997E-2</v>
      </c>
      <c r="N2972" s="1569">
        <v>1.9611771956409518</v>
      </c>
      <c r="O2972" s="1569"/>
    </row>
    <row r="2973" spans="11:15">
      <c r="K2973" s="1646">
        <v>45030</v>
      </c>
      <c r="L2973" s="1569" t="s">
        <v>1653</v>
      </c>
      <c r="M2973" s="895">
        <v>4.9036999999999997E-2</v>
      </c>
      <c r="N2973" s="1569">
        <v>1.9621388981023784</v>
      </c>
      <c r="O2973" s="1569"/>
    </row>
    <row r="2974" spans="11:15">
      <c r="K2974" s="1646">
        <v>45031</v>
      </c>
      <c r="L2974" s="1569"/>
      <c r="M2974" s="895">
        <v>0</v>
      </c>
      <c r="N2974" s="1569">
        <v>1.9621388981023784</v>
      </c>
      <c r="O2974" s="1569"/>
    </row>
    <row r="2975" spans="11:15">
      <c r="K2975" s="1646">
        <v>45032</v>
      </c>
      <c r="L2975" s="1569"/>
      <c r="M2975" s="895">
        <v>0</v>
      </c>
      <c r="N2975" s="1569">
        <v>1.9621388981023784</v>
      </c>
      <c r="O2975" s="1569"/>
    </row>
    <row r="2976" spans="11:15">
      <c r="K2976" s="1646">
        <v>45033</v>
      </c>
      <c r="L2976" s="1569" t="s">
        <v>1653</v>
      </c>
      <c r="M2976" s="895">
        <v>4.9036999999999997E-2</v>
      </c>
      <c r="N2976" s="1569">
        <v>1.9631010721538411</v>
      </c>
      <c r="O2976" s="1569"/>
    </row>
    <row r="2977" spans="11:15">
      <c r="K2977" s="1646">
        <v>45034</v>
      </c>
      <c r="L2977" s="1569" t="s">
        <v>1653</v>
      </c>
      <c r="M2977" s="895">
        <v>4.9036999999999997E-2</v>
      </c>
      <c r="N2977" s="1569">
        <v>1.9640637180265934</v>
      </c>
      <c r="O2977" s="1569"/>
    </row>
    <row r="2978" spans="11:15">
      <c r="K2978" s="1646">
        <v>45035</v>
      </c>
      <c r="L2978" s="1569" t="s">
        <v>1653</v>
      </c>
      <c r="M2978" s="895">
        <v>4.9036999999999997E-2</v>
      </c>
      <c r="N2978" s="1569">
        <v>1.9650268359520022</v>
      </c>
      <c r="O2978" s="1569"/>
    </row>
    <row r="2979" spans="11:15">
      <c r="K2979" s="1646">
        <v>45036</v>
      </c>
      <c r="L2979" s="1569" t="s">
        <v>1653</v>
      </c>
      <c r="M2979" s="895">
        <v>4.9036999999999997E-2</v>
      </c>
      <c r="N2979" s="1569">
        <v>1.9659904261615482</v>
      </c>
      <c r="O2979" s="1569"/>
    </row>
    <row r="2980" spans="11:15">
      <c r="K2980" s="1646">
        <v>45037</v>
      </c>
      <c r="L2980" s="1569"/>
      <c r="M2980" s="895">
        <v>0</v>
      </c>
      <c r="N2980" s="1569">
        <v>1.9659904261615482</v>
      </c>
      <c r="O2980" s="1569"/>
    </row>
    <row r="2981" spans="11:15">
      <c r="K2981" s="1646">
        <v>45038</v>
      </c>
      <c r="L2981" s="1569"/>
      <c r="M2981" s="895">
        <v>0</v>
      </c>
      <c r="N2981" s="1569">
        <v>1.9659904261615482</v>
      </c>
      <c r="O2981" s="1569"/>
    </row>
    <row r="2982" spans="11:15">
      <c r="K2982" s="1646">
        <v>45039</v>
      </c>
      <c r="L2982" s="1569"/>
      <c r="M2982" s="895">
        <v>0</v>
      </c>
      <c r="N2982" s="1569">
        <v>1.9659904261615482</v>
      </c>
      <c r="O2982" s="1569"/>
    </row>
    <row r="2983" spans="11:15">
      <c r="K2983" s="1646">
        <v>45040</v>
      </c>
      <c r="L2983" s="1569" t="s">
        <v>1653</v>
      </c>
      <c r="M2983" s="895">
        <v>4.9036999999999997E-2</v>
      </c>
      <c r="N2983" s="1569">
        <v>1.9669544888868251</v>
      </c>
      <c r="O2983" s="1569"/>
    </row>
    <row r="2984" spans="11:15">
      <c r="K2984" s="1646">
        <v>45041</v>
      </c>
      <c r="L2984" s="1569" t="s">
        <v>1653</v>
      </c>
      <c r="M2984" s="895">
        <v>4.9036999999999997E-2</v>
      </c>
      <c r="N2984" s="1569">
        <v>1.9679190243595406</v>
      </c>
      <c r="O2984" s="1569"/>
    </row>
    <row r="2985" spans="11:15">
      <c r="K2985" s="1646">
        <v>45042</v>
      </c>
      <c r="L2985" s="1569" t="s">
        <v>1653</v>
      </c>
      <c r="M2985" s="895">
        <v>4.9036999999999997E-2</v>
      </c>
      <c r="N2985" s="1569">
        <v>1.9688840328115158</v>
      </c>
      <c r="O2985" s="1569"/>
    </row>
    <row r="2986" spans="11:15">
      <c r="K2986" s="1646">
        <v>45043</v>
      </c>
      <c r="L2986" s="1569" t="s">
        <v>1653</v>
      </c>
      <c r="M2986" s="895">
        <v>4.9036999999999997E-2</v>
      </c>
      <c r="N2986" s="1569">
        <v>1.9698495144746857</v>
      </c>
      <c r="O2986" s="1569"/>
    </row>
    <row r="2987" spans="11:15">
      <c r="K2987" s="1646">
        <v>45044</v>
      </c>
      <c r="L2987" s="1569" t="s">
        <v>1653</v>
      </c>
      <c r="M2987" s="895">
        <v>4.9036999999999997E-2</v>
      </c>
      <c r="N2987" s="1569">
        <v>1.9708154695810989</v>
      </c>
      <c r="O2987" s="1569"/>
    </row>
    <row r="2988" spans="11:15">
      <c r="K2988" s="1646">
        <v>45045</v>
      </c>
      <c r="L2988" s="1569"/>
      <c r="M2988" s="895">
        <v>0</v>
      </c>
      <c r="N2988" s="1569">
        <v>1.9708154695810989</v>
      </c>
      <c r="O2988" s="1569"/>
    </row>
    <row r="2989" spans="11:15">
      <c r="K2989" s="1646">
        <v>45046</v>
      </c>
      <c r="L2989" s="1569"/>
      <c r="M2989" s="895">
        <v>0</v>
      </c>
      <c r="N2989" s="1569">
        <v>1.9708154695810989</v>
      </c>
      <c r="O2989" s="1569"/>
    </row>
    <row r="2990" spans="11:15">
      <c r="K2990" s="1646">
        <v>45047</v>
      </c>
      <c r="L2990" s="1569"/>
      <c r="M2990" s="895">
        <v>0</v>
      </c>
      <c r="N2990" s="1569">
        <v>1.9708154695810989</v>
      </c>
      <c r="O2990" s="1569"/>
    </row>
    <row r="2991" spans="11:15">
      <c r="K2991" s="1646">
        <v>45048</v>
      </c>
      <c r="L2991" s="1569" t="s">
        <v>1653</v>
      </c>
      <c r="M2991" s="895">
        <v>4.9036999999999997E-2</v>
      </c>
      <c r="N2991" s="1569">
        <v>1.9717818983629174</v>
      </c>
      <c r="O2991" s="1569"/>
    </row>
    <row r="2992" spans="11:15">
      <c r="K2992" s="1646">
        <v>45049</v>
      </c>
      <c r="L2992" s="1569" t="s">
        <v>1653</v>
      </c>
      <c r="M2992" s="895">
        <v>4.9036999999999997E-2</v>
      </c>
      <c r="N2992" s="1569">
        <v>1.9727488010524177</v>
      </c>
      <c r="O2992" s="1569"/>
    </row>
    <row r="2993" spans="11:15">
      <c r="K2993" s="1646">
        <v>45050</v>
      </c>
      <c r="L2993" s="1569" t="s">
        <v>1653</v>
      </c>
      <c r="M2993" s="895">
        <v>4.9036999999999997E-2</v>
      </c>
      <c r="N2993" s="1569">
        <v>1.9737161778819898</v>
      </c>
      <c r="O2993" s="1569"/>
    </row>
    <row r="2994" spans="11:15">
      <c r="K2994" s="1646">
        <v>45051</v>
      </c>
      <c r="L2994" s="1569" t="s">
        <v>1653</v>
      </c>
      <c r="M2994" s="895">
        <v>4.9036999999999997E-2</v>
      </c>
      <c r="N2994" s="1569">
        <v>1.9746840290841379</v>
      </c>
      <c r="O2994" s="1569"/>
    </row>
    <row r="2995" spans="11:15">
      <c r="K2995" s="1646">
        <v>45052</v>
      </c>
      <c r="L2995" s="1569"/>
      <c r="M2995" s="895">
        <v>0</v>
      </c>
      <c r="N2995" s="1569">
        <v>1.9746840290841379</v>
      </c>
      <c r="O2995" s="1569"/>
    </row>
    <row r="2996" spans="11:15">
      <c r="K2996" s="1646">
        <v>45053</v>
      </c>
      <c r="L2996" s="1569"/>
      <c r="M2996" s="895">
        <v>0</v>
      </c>
      <c r="N2996" s="1569">
        <v>1.9746840290841379</v>
      </c>
      <c r="O2996" s="1569"/>
    </row>
    <row r="2997" spans="11:15">
      <c r="K2997" s="1646">
        <v>45054</v>
      </c>
      <c r="L2997" s="1569" t="s">
        <v>1653</v>
      </c>
      <c r="M2997" s="895">
        <v>4.9036999999999997E-2</v>
      </c>
      <c r="N2997" s="1569">
        <v>1.9756523548914799</v>
      </c>
      <c r="O2997" s="1569"/>
    </row>
    <row r="2998" spans="11:15">
      <c r="K2998" s="1646">
        <v>45055</v>
      </c>
      <c r="L2998" s="1569" t="s">
        <v>1653</v>
      </c>
      <c r="M2998" s="895">
        <v>4.9036999999999997E-2</v>
      </c>
      <c r="N2998" s="1569">
        <v>1.9766211555367483</v>
      </c>
      <c r="O2998" s="1569"/>
    </row>
    <row r="2999" spans="11:15">
      <c r="K2999" s="1646">
        <v>45056</v>
      </c>
      <c r="L2999" s="1569" t="s">
        <v>1653</v>
      </c>
      <c r="M2999" s="895">
        <v>4.9036999999999997E-2</v>
      </c>
      <c r="N2999" s="1569">
        <v>1.977590431252789</v>
      </c>
      <c r="O2999" s="1569"/>
    </row>
    <row r="3000" spans="11:15">
      <c r="K3000" s="1646">
        <v>45057</v>
      </c>
      <c r="L3000" s="1569" t="s">
        <v>1653</v>
      </c>
      <c r="M3000" s="895">
        <v>4.9036999999999997E-2</v>
      </c>
      <c r="N3000" s="1569">
        <v>1.9785601822725625</v>
      </c>
      <c r="O3000" s="1569"/>
    </row>
    <row r="3001" spans="11:15">
      <c r="K3001" s="1646">
        <v>45058</v>
      </c>
      <c r="L3001" s="1569" t="s">
        <v>1653</v>
      </c>
      <c r="M3001" s="895">
        <v>4.9036999999999997E-2</v>
      </c>
      <c r="N3001" s="1569">
        <v>1.9795304088291437</v>
      </c>
      <c r="O3001" s="1569"/>
    </row>
    <row r="3002" spans="11:15">
      <c r="K3002" s="1646">
        <v>45059</v>
      </c>
      <c r="L3002" s="1569"/>
      <c r="M3002" s="895">
        <v>0</v>
      </c>
      <c r="N3002" s="1569">
        <v>1.9795304088291437</v>
      </c>
      <c r="O3002" s="1569"/>
    </row>
    <row r="3003" spans="11:15">
      <c r="K3003" s="1646">
        <v>45060</v>
      </c>
      <c r="L3003" s="1569"/>
      <c r="M3003" s="895">
        <v>0</v>
      </c>
      <c r="N3003" s="1569">
        <v>1.9795304088291437</v>
      </c>
      <c r="O3003" s="1569"/>
    </row>
    <row r="3004" spans="11:15">
      <c r="K3004" s="1646">
        <v>45061</v>
      </c>
      <c r="L3004" s="1569" t="s">
        <v>1653</v>
      </c>
      <c r="M3004" s="895">
        <v>4.9036999999999997E-2</v>
      </c>
      <c r="N3004" s="1569">
        <v>1.9805011111557214</v>
      </c>
      <c r="O3004" s="1569"/>
    </row>
    <row r="3005" spans="11:15">
      <c r="K3005" s="1646">
        <v>45062</v>
      </c>
      <c r="L3005" s="1569" t="s">
        <v>1653</v>
      </c>
      <c r="M3005" s="895">
        <v>4.9036999999999997E-2</v>
      </c>
      <c r="N3005" s="1569">
        <v>1.9814722894855989</v>
      </c>
      <c r="O3005" s="1569"/>
    </row>
    <row r="3006" spans="11:15">
      <c r="K3006" s="1646">
        <v>45063</v>
      </c>
      <c r="L3006" s="1569" t="s">
        <v>1653</v>
      </c>
      <c r="M3006" s="895">
        <v>4.9036999999999997E-2</v>
      </c>
      <c r="N3006" s="1569">
        <v>1.9824439440521942</v>
      </c>
      <c r="O3006" s="1569"/>
    </row>
    <row r="3007" spans="11:15">
      <c r="K3007" s="1646">
        <v>45064</v>
      </c>
      <c r="L3007" s="1569" t="s">
        <v>1653</v>
      </c>
      <c r="M3007" s="895">
        <v>4.9036999999999997E-2</v>
      </c>
      <c r="N3007" s="1569">
        <v>1.9834160750890393</v>
      </c>
      <c r="O3007" s="1569"/>
    </row>
    <row r="3008" spans="11:15">
      <c r="K3008" s="1646">
        <v>45065</v>
      </c>
      <c r="L3008" s="1569" t="s">
        <v>1653</v>
      </c>
      <c r="M3008" s="895">
        <v>4.9036999999999997E-2</v>
      </c>
      <c r="N3008" s="1569">
        <v>1.9843886828297808</v>
      </c>
      <c r="O3008" s="1569"/>
    </row>
    <row r="3009" spans="11:15">
      <c r="K3009" s="1646">
        <v>45066</v>
      </c>
      <c r="L3009" s="1569"/>
      <c r="M3009" s="895">
        <v>0</v>
      </c>
      <c r="N3009" s="1569">
        <v>1.9843886828297808</v>
      </c>
      <c r="O3009" s="1569"/>
    </row>
    <row r="3010" spans="11:15">
      <c r="K3010" s="1646">
        <v>45067</v>
      </c>
      <c r="L3010" s="1569"/>
      <c r="M3010" s="895">
        <v>0</v>
      </c>
      <c r="N3010" s="1569">
        <v>1.9843886828297808</v>
      </c>
      <c r="O3010" s="1569"/>
    </row>
    <row r="3011" spans="11:15">
      <c r="K3011" s="1646">
        <v>45068</v>
      </c>
      <c r="L3011" s="1569" t="s">
        <v>1653</v>
      </c>
      <c r="M3011" s="895">
        <v>4.9036999999999997E-2</v>
      </c>
      <c r="N3011" s="1569">
        <v>1.9853617675081801</v>
      </c>
      <c r="O3011" s="1569"/>
    </row>
    <row r="3012" spans="11:15">
      <c r="K3012" s="1646">
        <v>45069</v>
      </c>
      <c r="L3012" s="1569" t="s">
        <v>1653</v>
      </c>
      <c r="M3012" s="895">
        <v>4.9036999999999997E-2</v>
      </c>
      <c r="N3012" s="1569">
        <v>1.9863353293581132</v>
      </c>
      <c r="O3012" s="1569"/>
    </row>
    <row r="3013" spans="11:15">
      <c r="K3013" s="1646">
        <v>45070</v>
      </c>
      <c r="L3013" s="1569" t="s">
        <v>1653</v>
      </c>
      <c r="M3013" s="895">
        <v>4.9036999999999997E-2</v>
      </c>
      <c r="N3013" s="1569">
        <v>1.9873093686135708</v>
      </c>
      <c r="O3013" s="1569"/>
    </row>
    <row r="3014" spans="11:15">
      <c r="K3014" s="1646">
        <v>45071</v>
      </c>
      <c r="L3014" s="1569" t="s">
        <v>1653</v>
      </c>
      <c r="M3014" s="895">
        <v>4.9036999999999997E-2</v>
      </c>
      <c r="N3014" s="1569">
        <v>1.988283885508658</v>
      </c>
      <c r="O3014" s="1569"/>
    </row>
    <row r="3015" spans="11:15">
      <c r="K3015" s="1646">
        <v>45072</v>
      </c>
      <c r="L3015" s="1569" t="s">
        <v>1653</v>
      </c>
      <c r="M3015" s="895">
        <v>4.9036999999999997E-2</v>
      </c>
      <c r="N3015" s="1569">
        <v>1.989258880277595</v>
      </c>
      <c r="O3015" s="1569"/>
    </row>
    <row r="3016" spans="11:15">
      <c r="K3016" s="1646">
        <v>45073</v>
      </c>
      <c r="L3016" s="1569"/>
      <c r="M3016" s="895">
        <v>0</v>
      </c>
      <c r="N3016" s="1569">
        <v>1.989258880277595</v>
      </c>
      <c r="O3016" s="1569"/>
    </row>
    <row r="3017" spans="11:15">
      <c r="K3017" s="1646">
        <v>45074</v>
      </c>
      <c r="L3017" s="1569"/>
      <c r="M3017" s="895">
        <v>0</v>
      </c>
      <c r="N3017" s="1569">
        <v>1.989258880277595</v>
      </c>
      <c r="O3017" s="1569"/>
    </row>
    <row r="3018" spans="11:15">
      <c r="K3018" s="1646">
        <v>45075</v>
      </c>
      <c r="L3018" s="1569" t="s">
        <v>1653</v>
      </c>
      <c r="M3018" s="895">
        <v>4.9036999999999997E-2</v>
      </c>
      <c r="N3018" s="1569">
        <v>1.9902343531547169</v>
      </c>
      <c r="O3018" s="1569"/>
    </row>
    <row r="3019" spans="11:15">
      <c r="K3019" s="1646">
        <v>45076</v>
      </c>
      <c r="L3019" s="1569" t="s">
        <v>1653</v>
      </c>
      <c r="M3019" s="895">
        <v>4.9036999999999997E-2</v>
      </c>
      <c r="N3019" s="1569">
        <v>1.9912103043744735</v>
      </c>
      <c r="O3019" s="1569"/>
    </row>
    <row r="3020" spans="11:15">
      <c r="K3020" s="1646">
        <v>45077</v>
      </c>
      <c r="L3020" s="1569" t="s">
        <v>1653</v>
      </c>
      <c r="M3020" s="895">
        <v>4.9036999999999997E-2</v>
      </c>
      <c r="N3020" s="1569">
        <v>1.9921867341714299</v>
      </c>
      <c r="O3020" s="1569"/>
    </row>
    <row r="3021" spans="11:15">
      <c r="K3021" s="1646">
        <v>45078</v>
      </c>
      <c r="L3021" s="1569" t="s">
        <v>1653</v>
      </c>
      <c r="M3021" s="895">
        <v>4.9036999999999997E-2</v>
      </c>
      <c r="N3021" s="1569">
        <v>1.9931636427802657</v>
      </c>
      <c r="O3021" s="1569"/>
    </row>
    <row r="3022" spans="11:15">
      <c r="K3022" s="1646">
        <v>45079</v>
      </c>
      <c r="L3022" s="1569" t="s">
        <v>1653</v>
      </c>
      <c r="M3022" s="895">
        <v>4.9036999999999997E-2</v>
      </c>
      <c r="N3022" s="1569">
        <v>1.9941410304357761</v>
      </c>
      <c r="O3022" s="1569"/>
    </row>
    <row r="3023" spans="11:15">
      <c r="K3023" s="1646">
        <v>45080</v>
      </c>
      <c r="L3023" s="1569"/>
      <c r="M3023" s="895">
        <v>0</v>
      </c>
      <c r="N3023" s="1569">
        <v>1.9941410304357761</v>
      </c>
      <c r="O3023" s="1569"/>
    </row>
    <row r="3024" spans="11:15">
      <c r="K3024" s="1646">
        <v>45081</v>
      </c>
      <c r="L3024" s="1569"/>
      <c r="M3024" s="895">
        <v>0</v>
      </c>
      <c r="N3024" s="1569">
        <v>1.9941410304357761</v>
      </c>
      <c r="O3024" s="1569"/>
    </row>
    <row r="3025" spans="11:15">
      <c r="K3025" s="1646">
        <v>45082</v>
      </c>
      <c r="L3025" s="1569" t="s">
        <v>1653</v>
      </c>
      <c r="M3025" s="895">
        <v>4.9036999999999997E-2</v>
      </c>
      <c r="N3025" s="1569">
        <v>1.9951188973728711</v>
      </c>
      <c r="O3025" s="1569"/>
    </row>
    <row r="3026" spans="11:15">
      <c r="K3026" s="1646">
        <v>45083</v>
      </c>
      <c r="L3026" s="1569" t="s">
        <v>1653</v>
      </c>
      <c r="M3026" s="895">
        <v>4.9036999999999997E-2</v>
      </c>
      <c r="N3026" s="1569">
        <v>1.9960972438265761</v>
      </c>
      <c r="O3026" s="1569"/>
    </row>
    <row r="3027" spans="11:15">
      <c r="K3027" s="1646">
        <v>45084</v>
      </c>
      <c r="L3027" s="1569" t="s">
        <v>1653</v>
      </c>
      <c r="M3027" s="895">
        <v>4.9036999999999997E-2</v>
      </c>
      <c r="N3027" s="1569">
        <v>1.9970760700320314</v>
      </c>
      <c r="O3027" s="1569"/>
    </row>
    <row r="3028" spans="11:15">
      <c r="K3028" s="1646">
        <v>45085</v>
      </c>
      <c r="L3028" s="1569"/>
      <c r="M3028" s="895">
        <v>0</v>
      </c>
      <c r="N3028" s="1569">
        <v>1.9970760700320314</v>
      </c>
      <c r="O3028" s="1569"/>
    </row>
    <row r="3029" spans="11:15">
      <c r="K3029" s="1646">
        <v>45086</v>
      </c>
      <c r="L3029" s="1569" t="s">
        <v>1653</v>
      </c>
      <c r="M3029" s="895">
        <v>4.9036999999999997E-2</v>
      </c>
      <c r="N3029" s="1569">
        <v>1.998055376224493</v>
      </c>
      <c r="O3029" s="1569"/>
    </row>
    <row r="3030" spans="11:15">
      <c r="K3030" s="1646">
        <v>45087</v>
      </c>
      <c r="L3030" s="1569"/>
      <c r="M3030" s="895">
        <v>0</v>
      </c>
      <c r="N3030" s="1569">
        <v>1.998055376224493</v>
      </c>
      <c r="O3030" s="1569"/>
    </row>
    <row r="3031" spans="11:15">
      <c r="K3031" s="1646">
        <v>45088</v>
      </c>
      <c r="L3031" s="1569"/>
      <c r="M3031" s="895">
        <v>0</v>
      </c>
      <c r="N3031" s="1569">
        <v>1.998055376224493</v>
      </c>
      <c r="O3031" s="1569"/>
    </row>
    <row r="3032" spans="11:15">
      <c r="K3032" s="1646">
        <v>45089</v>
      </c>
      <c r="L3032" s="1569" t="s">
        <v>1653</v>
      </c>
      <c r="M3032" s="895">
        <v>4.9036999999999997E-2</v>
      </c>
      <c r="N3032" s="1569">
        <v>1.9990351626393323</v>
      </c>
      <c r="O3032" s="1569"/>
    </row>
    <row r="3033" spans="11:15">
      <c r="K3033" s="1646">
        <v>45090</v>
      </c>
      <c r="L3033" s="1569" t="s">
        <v>1653</v>
      </c>
      <c r="M3033" s="895">
        <v>4.9036999999999997E-2</v>
      </c>
      <c r="N3033" s="1569">
        <v>2.000015429512036</v>
      </c>
      <c r="O3033" s="1569"/>
    </row>
    <row r="3034" spans="11:15">
      <c r="K3034" s="1646">
        <v>45091</v>
      </c>
      <c r="L3034" s="1569" t="s">
        <v>1653</v>
      </c>
      <c r="M3034" s="895">
        <v>4.9036999999999997E-2</v>
      </c>
      <c r="N3034" s="1569">
        <v>2.0009961770782061</v>
      </c>
      <c r="O3034" s="1569"/>
    </row>
    <row r="3035" spans="11:15">
      <c r="K3035" s="1646">
        <v>45092</v>
      </c>
      <c r="L3035" s="1569" t="s">
        <v>1653</v>
      </c>
      <c r="M3035" s="895">
        <v>4.9036999999999997E-2</v>
      </c>
      <c r="N3035" s="1569">
        <v>2.0019774055735602</v>
      </c>
      <c r="O3035" s="1569"/>
    </row>
    <row r="3036" spans="11:15">
      <c r="K3036" s="1646">
        <v>45093</v>
      </c>
      <c r="L3036" s="1569" t="s">
        <v>1653</v>
      </c>
      <c r="M3036" s="895">
        <v>4.9036999999999997E-2</v>
      </c>
      <c r="N3036" s="1569">
        <v>2.0029591152339314</v>
      </c>
      <c r="O3036" s="1569"/>
    </row>
    <row r="3037" spans="11:15">
      <c r="K3037" s="1646">
        <v>45094</v>
      </c>
      <c r="L3037" s="1569"/>
      <c r="M3037" s="895">
        <v>0</v>
      </c>
      <c r="N3037" s="1569">
        <v>2.0029591152339314</v>
      </c>
      <c r="O3037" s="1569"/>
    </row>
    <row r="3038" spans="11:15">
      <c r="K3038" s="1646">
        <v>45095</v>
      </c>
      <c r="L3038" s="1569"/>
      <c r="M3038" s="895">
        <v>0</v>
      </c>
      <c r="N3038" s="1569">
        <v>2.0029591152339314</v>
      </c>
      <c r="O3038" s="1569"/>
    </row>
    <row r="3039" spans="11:15">
      <c r="K3039" s="1646">
        <v>45096</v>
      </c>
      <c r="L3039" s="1569" t="s">
        <v>1653</v>
      </c>
      <c r="M3039" s="895">
        <v>4.9036999999999997E-2</v>
      </c>
      <c r="N3039" s="1569">
        <v>2.0039413062952689</v>
      </c>
      <c r="O3039" s="1569"/>
    </row>
    <row r="3040" spans="11:15">
      <c r="K3040" s="1646">
        <v>45097</v>
      </c>
      <c r="L3040" s="1569" t="s">
        <v>1653</v>
      </c>
      <c r="M3040" s="895">
        <v>4.9036999999999997E-2</v>
      </c>
      <c r="N3040" s="1569">
        <v>2.0049239789936371</v>
      </c>
      <c r="O3040" s="1569"/>
    </row>
    <row r="3041" spans="11:15">
      <c r="K3041" s="1646">
        <v>45098</v>
      </c>
      <c r="L3041" s="1569" t="s">
        <v>1653</v>
      </c>
      <c r="M3041" s="895">
        <v>4.9036999999999997E-2</v>
      </c>
      <c r="N3041" s="1569">
        <v>2.0059071335652163</v>
      </c>
      <c r="O3041" s="1569"/>
    </row>
    <row r="3042" spans="11:15">
      <c r="K3042" s="1646">
        <v>45099</v>
      </c>
      <c r="L3042" s="1569" t="s">
        <v>1653</v>
      </c>
      <c r="M3042" s="895">
        <v>4.9036999999999997E-2</v>
      </c>
      <c r="N3042" s="1569">
        <v>2.006890770246303</v>
      </c>
      <c r="O3042" s="1569"/>
    </row>
    <row r="3043" spans="11:15">
      <c r="K3043" s="1646">
        <v>45100</v>
      </c>
      <c r="L3043" s="1569" t="s">
        <v>1653</v>
      </c>
      <c r="M3043" s="895">
        <v>4.9036999999999997E-2</v>
      </c>
      <c r="N3043" s="1569">
        <v>2.0078748892733089</v>
      </c>
      <c r="O3043" s="1569"/>
    </row>
    <row r="3044" spans="11:15">
      <c r="K3044" s="1646">
        <v>45101</v>
      </c>
      <c r="L3044" s="1569"/>
      <c r="M3044" s="895">
        <v>0</v>
      </c>
      <c r="N3044" s="1569">
        <v>2.0078748892733089</v>
      </c>
      <c r="O3044" s="1569"/>
    </row>
    <row r="3045" spans="11:15">
      <c r="K3045" s="1646">
        <v>45102</v>
      </c>
      <c r="L3045" s="1569"/>
      <c r="M3045" s="895">
        <v>0</v>
      </c>
      <c r="N3045" s="1569">
        <v>2.0078748892733089</v>
      </c>
      <c r="O3045" s="1569"/>
    </row>
    <row r="3046" spans="11:15">
      <c r="K3046" s="1646">
        <v>45103</v>
      </c>
      <c r="L3046" s="1569" t="s">
        <v>1653</v>
      </c>
      <c r="M3046" s="895">
        <v>4.9036999999999997E-2</v>
      </c>
      <c r="N3046" s="1569">
        <v>2.0088594908827622</v>
      </c>
      <c r="O3046" s="1569"/>
    </row>
    <row r="3047" spans="11:15">
      <c r="K3047" s="1646">
        <v>45104</v>
      </c>
      <c r="L3047" s="1569" t="s">
        <v>1653</v>
      </c>
      <c r="M3047" s="895">
        <v>4.9036999999999997E-2</v>
      </c>
      <c r="N3047" s="1569">
        <v>2.0098445753113063</v>
      </c>
      <c r="O3047" s="1569"/>
    </row>
    <row r="3048" spans="11:15">
      <c r="K3048" s="1646">
        <v>45105</v>
      </c>
      <c r="L3048" s="1569" t="s">
        <v>1653</v>
      </c>
      <c r="M3048" s="895">
        <v>4.9036999999999997E-2</v>
      </c>
      <c r="N3048" s="1569">
        <v>2.0108301427957018</v>
      </c>
      <c r="O3048" s="1569"/>
    </row>
    <row r="3049" spans="11:15">
      <c r="K3049" s="1646">
        <v>45106</v>
      </c>
      <c r="L3049" s="1569" t="s">
        <v>1653</v>
      </c>
      <c r="M3049" s="895">
        <v>4.9036999999999997E-2</v>
      </c>
      <c r="N3049" s="1569">
        <v>2.0118161935728245</v>
      </c>
      <c r="O3049" s="1569"/>
    </row>
    <row r="3050" spans="11:15">
      <c r="K3050" s="1646">
        <v>45107</v>
      </c>
      <c r="L3050" s="1569" t="s">
        <v>1653</v>
      </c>
      <c r="M3050" s="895">
        <v>4.9036999999999997E-2</v>
      </c>
      <c r="N3050" s="1569">
        <v>2.012802727879667</v>
      </c>
      <c r="O3050" s="1569"/>
    </row>
    <row r="3051" spans="11:15">
      <c r="K3051" s="1646">
        <v>45108</v>
      </c>
      <c r="L3051" s="1569"/>
      <c r="M3051" s="895">
        <v>0</v>
      </c>
      <c r="N3051" s="1569">
        <v>2.012802727879667</v>
      </c>
      <c r="O3051" s="1569"/>
    </row>
    <row r="3052" spans="11:15">
      <c r="K3052" s="1646">
        <v>45109</v>
      </c>
      <c r="L3052" s="1569"/>
      <c r="M3052" s="895">
        <v>0</v>
      </c>
      <c r="N3052" s="1569">
        <v>2.012802727879667</v>
      </c>
      <c r="O3052" s="1569"/>
    </row>
    <row r="3053" spans="11:15">
      <c r="K3053" s="1646">
        <v>45110</v>
      </c>
      <c r="L3053" s="1569" t="s">
        <v>1653</v>
      </c>
      <c r="M3053" s="895">
        <v>4.9036999999999997E-2</v>
      </c>
      <c r="N3053" s="1569">
        <v>2.0137897459533374</v>
      </c>
      <c r="O3053" s="1569"/>
    </row>
    <row r="3054" spans="11:15">
      <c r="K3054" s="1646">
        <v>45111</v>
      </c>
      <c r="L3054" s="1569" t="s">
        <v>1653</v>
      </c>
      <c r="M3054" s="895">
        <v>4.9036999999999997E-2</v>
      </c>
      <c r="N3054" s="1569">
        <v>2.0147772480310606</v>
      </c>
      <c r="O3054" s="1569"/>
    </row>
    <row r="3055" spans="11:15">
      <c r="K3055" s="1646">
        <v>45112</v>
      </c>
      <c r="L3055" s="1569" t="s">
        <v>1653</v>
      </c>
      <c r="M3055" s="895">
        <v>4.9036999999999997E-2</v>
      </c>
      <c r="N3055" s="1569">
        <v>2.015765234350178</v>
      </c>
      <c r="O3055" s="1569"/>
    </row>
    <row r="3056" spans="11:15">
      <c r="K3056" s="1646">
        <v>45113</v>
      </c>
      <c r="L3056" s="1569" t="s">
        <v>1653</v>
      </c>
      <c r="M3056" s="895">
        <v>4.9036999999999997E-2</v>
      </c>
      <c r="N3056" s="1569">
        <v>2.0167537051481466</v>
      </c>
      <c r="O3056" s="1569"/>
    </row>
    <row r="3057" spans="11:15">
      <c r="K3057" s="1646">
        <v>45114</v>
      </c>
      <c r="L3057" s="1569" t="s">
        <v>1653</v>
      </c>
      <c r="M3057" s="895">
        <v>4.9036999999999997E-2</v>
      </c>
      <c r="N3057" s="1569">
        <v>2.0177426606625404</v>
      </c>
      <c r="O3057" s="1569"/>
    </row>
    <row r="3058" spans="11:15">
      <c r="K3058" s="1646">
        <v>45115</v>
      </c>
      <c r="L3058" s="1569"/>
      <c r="M3058" s="895">
        <v>0</v>
      </c>
      <c r="N3058" s="1569">
        <v>2.0177426606625404</v>
      </c>
      <c r="O3058" s="1569"/>
    </row>
    <row r="3059" spans="11:15">
      <c r="K3059" s="1646">
        <v>45116</v>
      </c>
      <c r="L3059" s="1569"/>
      <c r="M3059" s="895">
        <v>0</v>
      </c>
      <c r="N3059" s="1569">
        <v>2.0177426606625404</v>
      </c>
      <c r="O3059" s="1569"/>
    </row>
    <row r="3060" spans="11:15">
      <c r="K3060" s="1646">
        <v>45117</v>
      </c>
      <c r="L3060" s="1569" t="s">
        <v>1653</v>
      </c>
      <c r="M3060" s="895">
        <v>4.9036999999999997E-2</v>
      </c>
      <c r="N3060" s="1569">
        <v>2.0187321011310497</v>
      </c>
      <c r="O3060" s="1569"/>
    </row>
    <row r="3061" spans="11:15">
      <c r="K3061" s="1646">
        <v>45118</v>
      </c>
      <c r="L3061" s="1569" t="s">
        <v>1653</v>
      </c>
      <c r="M3061" s="895">
        <v>4.9036999999999997E-2</v>
      </c>
      <c r="N3061" s="1569">
        <v>2.0197220267914817</v>
      </c>
      <c r="O3061" s="1569"/>
    </row>
    <row r="3062" spans="11:15">
      <c r="K3062" s="1646">
        <v>45119</v>
      </c>
      <c r="L3062" s="1569" t="s">
        <v>1653</v>
      </c>
      <c r="M3062" s="895">
        <v>4.9036999999999997E-2</v>
      </c>
      <c r="N3062" s="1569">
        <v>2.0207124378817598</v>
      </c>
      <c r="O3062" s="1569"/>
    </row>
    <row r="3063" spans="11:15">
      <c r="K3063" s="1646">
        <v>45120</v>
      </c>
      <c r="L3063" s="1569" t="s">
        <v>1653</v>
      </c>
      <c r="M3063" s="895">
        <v>4.9036999999999997E-2</v>
      </c>
      <c r="N3063" s="1569">
        <v>2.0217033346399242</v>
      </c>
      <c r="O3063" s="1569"/>
    </row>
    <row r="3064" spans="11:15">
      <c r="K3064" s="1646">
        <v>45121</v>
      </c>
      <c r="L3064" s="1569" t="s">
        <v>1653</v>
      </c>
      <c r="M3064" s="895">
        <v>4.9036999999999997E-2</v>
      </c>
      <c r="N3064" s="1569">
        <v>2.0226947173041316</v>
      </c>
      <c r="O3064" s="1569"/>
    </row>
    <row r="3065" spans="11:15">
      <c r="K3065" s="1646">
        <v>45122</v>
      </c>
      <c r="L3065" s="1569"/>
      <c r="M3065" s="895">
        <v>0</v>
      </c>
      <c r="N3065" s="1569">
        <v>2.0226947173041316</v>
      </c>
      <c r="O3065" s="1569"/>
    </row>
    <row r="3066" spans="11:15">
      <c r="K3066" s="1646">
        <v>45123</v>
      </c>
      <c r="L3066" s="1569"/>
      <c r="M3066" s="895">
        <v>0</v>
      </c>
      <c r="N3066" s="1569">
        <v>2.0226947173041316</v>
      </c>
      <c r="O3066" s="1569"/>
    </row>
    <row r="3067" spans="11:15">
      <c r="K3067" s="1646">
        <v>45124</v>
      </c>
      <c r="L3067" s="1569" t="s">
        <v>1653</v>
      </c>
      <c r="M3067" s="895">
        <v>4.9036999999999997E-2</v>
      </c>
      <c r="N3067" s="1569">
        <v>2.0236865861126563</v>
      </c>
      <c r="O3067" s="1569"/>
    </row>
    <row r="3068" spans="11:15">
      <c r="K3068" s="1646">
        <v>45125</v>
      </c>
      <c r="L3068" s="1569" t="s">
        <v>1653</v>
      </c>
      <c r="M3068" s="895">
        <v>4.9036999999999997E-2</v>
      </c>
      <c r="N3068" s="1569">
        <v>2.0246789413038884</v>
      </c>
      <c r="O3068" s="1569"/>
    </row>
    <row r="3069" spans="11:15">
      <c r="K3069" s="1646">
        <v>45126</v>
      </c>
      <c r="L3069" s="1569" t="s">
        <v>1653</v>
      </c>
      <c r="M3069" s="895">
        <v>4.9036999999999997E-2</v>
      </c>
      <c r="N3069" s="1569">
        <v>2.0256717831163358</v>
      </c>
      <c r="O3069" s="1569"/>
    </row>
    <row r="3070" spans="11:15">
      <c r="K3070" s="1646">
        <v>45127</v>
      </c>
      <c r="L3070" s="1569" t="s">
        <v>1653</v>
      </c>
      <c r="M3070" s="895">
        <v>4.9036999999999997E-2</v>
      </c>
      <c r="N3070" s="1569">
        <v>2.0266651117886227</v>
      </c>
      <c r="O3070" s="1569"/>
    </row>
    <row r="3071" spans="11:15">
      <c r="K3071" s="1646">
        <v>45128</v>
      </c>
      <c r="L3071" s="1569" t="s">
        <v>1653</v>
      </c>
      <c r="M3071" s="895">
        <v>4.9036999999999997E-2</v>
      </c>
      <c r="N3071" s="1569">
        <v>2.0276589275594907</v>
      </c>
      <c r="O3071" s="1569"/>
    </row>
    <row r="3072" spans="11:15">
      <c r="K3072" s="1646">
        <v>45129</v>
      </c>
      <c r="L3072" s="1569"/>
      <c r="M3072" s="895">
        <v>0</v>
      </c>
      <c r="N3072" s="1569">
        <v>2.0276589275594907</v>
      </c>
      <c r="O3072" s="1569"/>
    </row>
    <row r="3073" spans="11:15">
      <c r="K3073" s="1646">
        <v>45130</v>
      </c>
      <c r="L3073" s="1569"/>
      <c r="M3073" s="895">
        <v>0</v>
      </c>
      <c r="N3073" s="1569">
        <v>2.0276589275594907</v>
      </c>
      <c r="O3073" s="1569"/>
    </row>
    <row r="3074" spans="11:15">
      <c r="K3074" s="1646">
        <v>45131</v>
      </c>
      <c r="L3074" s="1569" t="s">
        <v>1653</v>
      </c>
      <c r="M3074" s="895">
        <v>4.9036999999999997E-2</v>
      </c>
      <c r="N3074" s="1569">
        <v>2.028653230667798</v>
      </c>
      <c r="O3074" s="1569"/>
    </row>
    <row r="3075" spans="11:15">
      <c r="K3075" s="1646">
        <v>45132</v>
      </c>
      <c r="L3075" s="1569" t="s">
        <v>1653</v>
      </c>
      <c r="M3075" s="895">
        <v>4.9036999999999997E-2</v>
      </c>
      <c r="N3075" s="1569">
        <v>2.0296480213525205</v>
      </c>
      <c r="O3075" s="1569"/>
    </row>
    <row r="3076" spans="11:15">
      <c r="K3076" s="1646">
        <v>45133</v>
      </c>
      <c r="L3076" s="1569" t="s">
        <v>1653</v>
      </c>
      <c r="M3076" s="895">
        <v>4.9036999999999997E-2</v>
      </c>
      <c r="N3076" s="1569">
        <v>2.0306432998527515</v>
      </c>
      <c r="O3076" s="1569"/>
    </row>
    <row r="3077" spans="11:15">
      <c r="K3077" s="1646">
        <v>45134</v>
      </c>
      <c r="L3077" s="1569" t="s">
        <v>1653</v>
      </c>
      <c r="M3077" s="895">
        <v>4.9036999999999997E-2</v>
      </c>
      <c r="N3077" s="1569">
        <v>2.0316390664077004</v>
      </c>
      <c r="O3077" s="1569"/>
    </row>
    <row r="3078" spans="11:15">
      <c r="K3078" s="1646">
        <v>45135</v>
      </c>
      <c r="L3078" s="1569" t="s">
        <v>1653</v>
      </c>
      <c r="M3078" s="895">
        <v>4.9036999999999997E-2</v>
      </c>
      <c r="N3078" s="1569">
        <v>2.032635321256695</v>
      </c>
      <c r="O3078" s="1569"/>
    </row>
    <row r="3079" spans="11:15">
      <c r="K3079" s="1646">
        <v>45136</v>
      </c>
      <c r="L3079" s="1569"/>
      <c r="M3079" s="895">
        <v>0</v>
      </c>
      <c r="N3079" s="1569">
        <v>2.032635321256695</v>
      </c>
      <c r="O3079" s="1569"/>
    </row>
    <row r="3080" spans="11:15">
      <c r="K3080" s="1646">
        <v>45137</v>
      </c>
      <c r="L3080" s="1569"/>
      <c r="M3080" s="895">
        <v>0</v>
      </c>
      <c r="N3080" s="1569">
        <v>2.032635321256695</v>
      </c>
      <c r="O3080" s="1569"/>
    </row>
    <row r="3081" spans="11:15">
      <c r="K3081" s="1646">
        <v>45138</v>
      </c>
      <c r="L3081" s="1569" t="s">
        <v>1653</v>
      </c>
      <c r="M3081" s="895">
        <v>4.9036999999999997E-2</v>
      </c>
      <c r="N3081" s="1569">
        <v>2.0336320646391797</v>
      </c>
      <c r="O3081" s="1569"/>
    </row>
    <row r="3082" spans="11:15">
      <c r="K3082" s="1646">
        <v>45139</v>
      </c>
      <c r="L3082" s="1569" t="s">
        <v>1653</v>
      </c>
      <c r="M3082" s="895">
        <v>4.9036999999999997E-2</v>
      </c>
      <c r="N3082" s="1569">
        <v>2.034629296794717</v>
      </c>
      <c r="O3082" s="1569"/>
    </row>
    <row r="3083" spans="11:15">
      <c r="K3083" s="1646">
        <v>45140</v>
      </c>
      <c r="L3083" s="1569" t="s">
        <v>1653</v>
      </c>
      <c r="M3083" s="895">
        <v>4.9036999999999997E-2</v>
      </c>
      <c r="N3083" s="1569">
        <v>2.0356270179629865</v>
      </c>
      <c r="O3083" s="1569"/>
    </row>
    <row r="3084" spans="11:15">
      <c r="K3084" s="1646">
        <v>45141</v>
      </c>
      <c r="L3084" s="1569" t="s">
        <v>1653</v>
      </c>
      <c r="M3084" s="895">
        <v>4.9036999999999997E-2</v>
      </c>
      <c r="N3084" s="1569">
        <v>2.0366252283837851</v>
      </c>
      <c r="O3084" s="1569"/>
    </row>
    <row r="3085" spans="11:15">
      <c r="K3085" s="1646">
        <v>45142</v>
      </c>
      <c r="L3085" s="1569" t="s">
        <v>1653</v>
      </c>
      <c r="M3085" s="895">
        <v>4.9036999999999997E-2</v>
      </c>
      <c r="N3085" s="1569">
        <v>2.0376239282970277</v>
      </c>
      <c r="O3085" s="1569"/>
    </row>
    <row r="3086" spans="11:15">
      <c r="K3086" s="1646">
        <v>45143</v>
      </c>
      <c r="L3086" s="1569"/>
      <c r="M3086" s="895">
        <v>0</v>
      </c>
      <c r="N3086" s="1569">
        <v>2.0376239282970277</v>
      </c>
      <c r="O3086" s="1569"/>
    </row>
    <row r="3087" spans="11:15">
      <c r="K3087" s="1646">
        <v>45144</v>
      </c>
      <c r="L3087" s="1569"/>
      <c r="M3087" s="895">
        <v>0</v>
      </c>
      <c r="N3087" s="1569">
        <v>2.0376239282970277</v>
      </c>
      <c r="O3087" s="1569"/>
    </row>
    <row r="3088" spans="11:15">
      <c r="K3088" s="1646">
        <v>45145</v>
      </c>
      <c r="L3088" s="1569" t="s">
        <v>1653</v>
      </c>
      <c r="M3088" s="895">
        <v>4.9036999999999997E-2</v>
      </c>
      <c r="N3088" s="1569">
        <v>2.038623117942747</v>
      </c>
      <c r="O3088" s="1569"/>
    </row>
    <row r="3089" spans="11:15">
      <c r="K3089" s="1646">
        <v>45146</v>
      </c>
      <c r="L3089" s="1569" t="s">
        <v>1653</v>
      </c>
      <c r="M3089" s="895">
        <v>4.9036999999999997E-2</v>
      </c>
      <c r="N3089" s="1569">
        <v>2.0396227975610928</v>
      </c>
      <c r="O3089" s="1569"/>
    </row>
    <row r="3090" spans="11:15">
      <c r="K3090" s="1646">
        <v>45147</v>
      </c>
      <c r="L3090" s="1569" t="s">
        <v>1653</v>
      </c>
      <c r="M3090" s="895">
        <v>4.9036999999999997E-2</v>
      </c>
      <c r="N3090" s="1569">
        <v>2.0406229673923328</v>
      </c>
      <c r="O3090" s="1569"/>
    </row>
    <row r="3091" spans="11:15">
      <c r="K3091" s="1646">
        <v>45148</v>
      </c>
      <c r="L3091" s="1569" t="s">
        <v>1653</v>
      </c>
      <c r="M3091" s="895">
        <v>4.9036999999999997E-2</v>
      </c>
      <c r="N3091" s="1569">
        <v>2.0416236276768531</v>
      </c>
      <c r="O3091" s="1569"/>
    </row>
    <row r="3092" spans="11:15">
      <c r="K3092" s="1646">
        <v>45149</v>
      </c>
      <c r="L3092" s="1569" t="s">
        <v>1653</v>
      </c>
      <c r="M3092" s="895">
        <v>4.9036999999999997E-2</v>
      </c>
      <c r="N3092" s="1569">
        <v>2.0426247786551572</v>
      </c>
      <c r="O3092" s="1569"/>
    </row>
    <row r="3093" spans="11:15">
      <c r="K3093" s="1646">
        <v>45150</v>
      </c>
      <c r="L3093" s="1569"/>
      <c r="M3093" s="895">
        <v>0</v>
      </c>
      <c r="N3093" s="1569">
        <v>2.0426247786551572</v>
      </c>
      <c r="O3093" s="1569"/>
    </row>
    <row r="3094" spans="11:15">
      <c r="K3094" s="1646">
        <v>45151</v>
      </c>
      <c r="L3094" s="1569"/>
      <c r="M3094" s="895">
        <v>0</v>
      </c>
      <c r="N3094" s="1569">
        <v>2.0426247786551572</v>
      </c>
      <c r="O3094" s="1569"/>
    </row>
    <row r="3095" spans="11:15">
      <c r="K3095" s="1646">
        <v>45152</v>
      </c>
      <c r="L3095" s="1569" t="s">
        <v>1653</v>
      </c>
      <c r="M3095" s="895">
        <v>4.9036999999999997E-2</v>
      </c>
      <c r="N3095" s="1569">
        <v>2.0436264205678665</v>
      </c>
      <c r="O3095" s="1569"/>
    </row>
    <row r="3096" spans="11:15">
      <c r="K3096" s="1646">
        <v>45153</v>
      </c>
      <c r="L3096" s="1569" t="s">
        <v>1653</v>
      </c>
      <c r="M3096" s="895">
        <v>4.9036999999999997E-2</v>
      </c>
      <c r="N3096" s="1569">
        <v>2.0446285536557203</v>
      </c>
      <c r="O3096" s="1569"/>
    </row>
    <row r="3097" spans="11:15">
      <c r="K3097" s="1646">
        <v>45154</v>
      </c>
      <c r="L3097" s="1569" t="s">
        <v>1653</v>
      </c>
      <c r="M3097" s="895">
        <v>4.9036999999999997E-2</v>
      </c>
      <c r="N3097" s="1569">
        <v>2.0456311781595766</v>
      </c>
      <c r="O3097" s="1569"/>
    </row>
    <row r="3098" spans="11:15">
      <c r="K3098" s="1646">
        <v>45155</v>
      </c>
      <c r="L3098" s="1569" t="s">
        <v>1653</v>
      </c>
      <c r="M3098" s="895">
        <v>4.9036999999999997E-2</v>
      </c>
      <c r="N3098" s="1569">
        <v>2.0466342943204108</v>
      </c>
      <c r="O3098" s="1569"/>
    </row>
    <row r="3099" spans="11:15">
      <c r="K3099" s="1646">
        <v>45156</v>
      </c>
      <c r="L3099" s="1569" t="s">
        <v>1653</v>
      </c>
      <c r="M3099" s="895">
        <v>4.9036999999999997E-2</v>
      </c>
      <c r="N3099" s="1569">
        <v>2.047637902379317</v>
      </c>
      <c r="O3099" s="1569"/>
    </row>
    <row r="3100" spans="11:15">
      <c r="K3100" s="1646">
        <v>45157</v>
      </c>
      <c r="L3100" s="1569"/>
      <c r="M3100" s="895">
        <v>0</v>
      </c>
      <c r="N3100" s="1569">
        <v>2.047637902379317</v>
      </c>
      <c r="O3100" s="1569"/>
    </row>
    <row r="3101" spans="11:15">
      <c r="K3101" s="1646">
        <v>45158</v>
      </c>
      <c r="L3101" s="1569"/>
      <c r="M3101" s="895">
        <v>0</v>
      </c>
      <c r="N3101" s="1569">
        <v>2.047637902379317</v>
      </c>
      <c r="O3101" s="1569"/>
    </row>
    <row r="3102" spans="11:15">
      <c r="K3102" s="1646">
        <v>45159</v>
      </c>
      <c r="L3102" s="1569" t="s">
        <v>1653</v>
      </c>
      <c r="M3102" s="895">
        <v>4.9036999999999997E-2</v>
      </c>
      <c r="N3102" s="1569">
        <v>2.0486420025775067</v>
      </c>
      <c r="O3102" s="1569"/>
    </row>
    <row r="3103" spans="11:15">
      <c r="K3103" s="1646">
        <v>45160</v>
      </c>
      <c r="L3103" s="1569" t="s">
        <v>1653</v>
      </c>
      <c r="M3103" s="895">
        <v>4.9036999999999997E-2</v>
      </c>
      <c r="N3103" s="1569">
        <v>2.049646595156311</v>
      </c>
      <c r="O3103" s="1569"/>
    </row>
    <row r="3104" spans="11:15">
      <c r="K3104" s="1646">
        <v>45161</v>
      </c>
      <c r="L3104" s="1569" t="s">
        <v>1653</v>
      </c>
      <c r="M3104" s="895">
        <v>4.9036999999999997E-2</v>
      </c>
      <c r="N3104" s="1569">
        <v>2.0506516803571779</v>
      </c>
      <c r="O3104" s="1569"/>
    </row>
    <row r="3105" spans="11:15">
      <c r="K3105" s="1646">
        <v>45162</v>
      </c>
      <c r="L3105" s="1569" t="s">
        <v>1653</v>
      </c>
      <c r="M3105" s="895">
        <v>4.9036999999999997E-2</v>
      </c>
      <c r="N3105" s="1569">
        <v>2.0516572584216748</v>
      </c>
      <c r="O3105" s="1569"/>
    </row>
    <row r="3106" spans="11:15">
      <c r="K3106" s="1646">
        <v>45163</v>
      </c>
      <c r="L3106" s="1569" t="s">
        <v>1653</v>
      </c>
      <c r="M3106" s="895">
        <v>4.9036999999999997E-2</v>
      </c>
      <c r="N3106" s="1569">
        <v>2.0526633295914873</v>
      </c>
      <c r="O3106" s="1569"/>
    </row>
    <row r="3107" spans="11:15">
      <c r="K3107" s="1646">
        <v>45164</v>
      </c>
      <c r="L3107" s="1569"/>
      <c r="M3107" s="895">
        <v>0</v>
      </c>
      <c r="N3107" s="1569">
        <v>2.0526633295914873</v>
      </c>
      <c r="O3107" s="1569"/>
    </row>
    <row r="3108" spans="11:15">
      <c r="K3108" s="1646">
        <v>45165</v>
      </c>
      <c r="L3108" s="1569"/>
      <c r="M3108" s="895">
        <v>0</v>
      </c>
      <c r="N3108" s="1569">
        <v>2.0526633295914873</v>
      </c>
      <c r="O3108" s="1569"/>
    </row>
    <row r="3109" spans="11:15">
      <c r="K3109" s="1646">
        <v>45166</v>
      </c>
      <c r="L3109" s="1569" t="s">
        <v>1653</v>
      </c>
      <c r="M3109" s="895">
        <v>4.9036999999999997E-2</v>
      </c>
      <c r="N3109" s="1569">
        <v>2.053669894108419</v>
      </c>
      <c r="O3109" s="1569"/>
    </row>
    <row r="3110" spans="11:15">
      <c r="K3110" s="1646">
        <v>45167</v>
      </c>
      <c r="L3110" s="1569" t="s">
        <v>1653</v>
      </c>
      <c r="M3110" s="895">
        <v>4.9036999999999997E-2</v>
      </c>
      <c r="N3110" s="1569">
        <v>2.0546769522143933</v>
      </c>
      <c r="O3110" s="1569"/>
    </row>
    <row r="3111" spans="11:15">
      <c r="K3111" s="1646">
        <v>45168</v>
      </c>
      <c r="L3111" s="1569" t="s">
        <v>1653</v>
      </c>
      <c r="M3111" s="895">
        <v>4.9036999999999997E-2</v>
      </c>
      <c r="N3111" s="1569">
        <v>2.0556845041514507</v>
      </c>
      <c r="O3111" s="1569"/>
    </row>
    <row r="3112" spans="11:15">
      <c r="K3112" s="1646">
        <v>45169</v>
      </c>
      <c r="L3112" s="1569" t="s">
        <v>1653</v>
      </c>
      <c r="M3112" s="895">
        <v>4.9036999999999997E-2</v>
      </c>
      <c r="N3112" s="1569">
        <v>2.0566925501617517</v>
      </c>
      <c r="O3112" s="1569"/>
    </row>
    <row r="3113" spans="11:15">
      <c r="K3113" s="1646">
        <v>45170</v>
      </c>
      <c r="L3113" s="1569" t="s">
        <v>1653</v>
      </c>
      <c r="M3113" s="895">
        <v>4.9036999999999997E-2</v>
      </c>
      <c r="N3113" s="1569">
        <v>2.0577010904875745</v>
      </c>
      <c r="O3113" s="1569"/>
    </row>
    <row r="3114" spans="11:15">
      <c r="K3114" s="1646">
        <v>45171</v>
      </c>
      <c r="L3114" s="1569"/>
      <c r="M3114" s="895">
        <v>0</v>
      </c>
      <c r="N3114" s="1569">
        <v>2.0577010904875745</v>
      </c>
      <c r="O3114" s="1569"/>
    </row>
    <row r="3115" spans="11:15">
      <c r="K3115" s="1646">
        <v>45172</v>
      </c>
      <c r="L3115" s="1569"/>
      <c r="M3115" s="895">
        <v>0</v>
      </c>
      <c r="N3115" s="1569">
        <v>2.0577010904875745</v>
      </c>
      <c r="O3115" s="1569"/>
    </row>
    <row r="3116" spans="11:15">
      <c r="K3116" s="1646">
        <v>45173</v>
      </c>
      <c r="L3116" s="1569" t="s">
        <v>1653</v>
      </c>
      <c r="M3116" s="895">
        <v>4.9036999999999997E-2</v>
      </c>
      <c r="N3116" s="1569">
        <v>2.0587101253713169</v>
      </c>
      <c r="O3116" s="1569"/>
    </row>
    <row r="3117" spans="11:15">
      <c r="K3117" s="1646">
        <v>45174</v>
      </c>
      <c r="L3117" s="1569" t="s">
        <v>1653</v>
      </c>
      <c r="M3117" s="895">
        <v>4.9036999999999997E-2</v>
      </c>
      <c r="N3117" s="1569">
        <v>2.0597196550554955</v>
      </c>
      <c r="O3117" s="1569"/>
    </row>
    <row r="3118" spans="11:15">
      <c r="K3118" s="1646">
        <v>45175</v>
      </c>
      <c r="L3118" s="1569" t="s">
        <v>1653</v>
      </c>
      <c r="M3118" s="895">
        <v>4.9036999999999997E-2</v>
      </c>
      <c r="N3118" s="1569">
        <v>2.060729679782745</v>
      </c>
      <c r="O3118" s="1569"/>
    </row>
    <row r="3119" spans="11:15">
      <c r="K3119" s="1646">
        <v>45176</v>
      </c>
      <c r="L3119" s="1569"/>
      <c r="M3119" s="895">
        <v>0</v>
      </c>
      <c r="N3119" s="1569">
        <v>2.060729679782745</v>
      </c>
      <c r="O3119" s="1569"/>
    </row>
    <row r="3120" spans="11:15">
      <c r="K3120" s="1646">
        <v>45177</v>
      </c>
      <c r="L3120" s="1569" t="s">
        <v>1653</v>
      </c>
      <c r="M3120" s="895">
        <v>4.9036999999999997E-2</v>
      </c>
      <c r="N3120" s="1569">
        <v>2.0617401997958202</v>
      </c>
      <c r="O3120" s="1569"/>
    </row>
    <row r="3121" spans="11:15">
      <c r="K3121" s="1646">
        <v>45178</v>
      </c>
      <c r="L3121" s="1569"/>
      <c r="M3121" s="895">
        <v>0</v>
      </c>
      <c r="N3121" s="1569">
        <v>2.0617401997958202</v>
      </c>
      <c r="O3121" s="1569"/>
    </row>
    <row r="3122" spans="11:15">
      <c r="K3122" s="1646">
        <v>45179</v>
      </c>
      <c r="L3122" s="1569"/>
      <c r="M3122" s="895">
        <v>0</v>
      </c>
      <c r="N3122" s="1569">
        <v>2.0617401997958202</v>
      </c>
      <c r="O3122" s="1569"/>
    </row>
    <row r="3123" spans="11:15">
      <c r="K3123" s="1646">
        <v>45180</v>
      </c>
      <c r="L3123" s="1569" t="s">
        <v>1653</v>
      </c>
      <c r="M3123" s="895">
        <v>4.9036999999999997E-2</v>
      </c>
      <c r="N3123" s="1569">
        <v>2.0627512153375944</v>
      </c>
      <c r="O3123" s="1569"/>
    </row>
    <row r="3124" spans="11:15">
      <c r="K3124" s="1646">
        <v>45181</v>
      </c>
      <c r="L3124" s="1569" t="s">
        <v>1653</v>
      </c>
      <c r="M3124" s="895">
        <v>4.9036999999999997E-2</v>
      </c>
      <c r="N3124" s="1569">
        <v>2.0637627266510599</v>
      </c>
      <c r="O3124" s="1569"/>
    </row>
    <row r="3125" spans="11:15">
      <c r="K3125" s="1646">
        <v>45182</v>
      </c>
      <c r="L3125" s="1569" t="s">
        <v>1653</v>
      </c>
      <c r="M3125" s="895">
        <v>4.9036999999999997E-2</v>
      </c>
      <c r="N3125" s="1569">
        <v>2.0647747339793279</v>
      </c>
      <c r="O3125" s="1569"/>
    </row>
    <row r="3126" spans="11:15">
      <c r="K3126" s="1646">
        <v>45183</v>
      </c>
      <c r="L3126" s="1569" t="s">
        <v>1653</v>
      </c>
      <c r="M3126" s="895">
        <v>4.9036999999999997E-2</v>
      </c>
      <c r="N3126" s="1569">
        <v>2.0657872375656297</v>
      </c>
      <c r="O3126" s="1569"/>
    </row>
    <row r="3127" spans="11:15">
      <c r="K3127" s="1646">
        <v>45184</v>
      </c>
      <c r="L3127" s="1569" t="s">
        <v>1653</v>
      </c>
      <c r="M3127" s="895">
        <v>4.9036999999999997E-2</v>
      </c>
      <c r="N3127" s="1569">
        <v>2.066800237653315</v>
      </c>
      <c r="O3127" s="1569"/>
    </row>
    <row r="3128" spans="11:15">
      <c r="K3128" s="1646">
        <v>45185</v>
      </c>
      <c r="L3128" s="1569"/>
      <c r="M3128" s="895">
        <v>0</v>
      </c>
      <c r="N3128" s="1569">
        <v>2.066800237653315</v>
      </c>
      <c r="O3128" s="1569"/>
    </row>
    <row r="3129" spans="11:15">
      <c r="K3129" s="1646">
        <v>45186</v>
      </c>
      <c r="L3129" s="1569"/>
      <c r="M3129" s="895">
        <v>0</v>
      </c>
      <c r="N3129" s="1569">
        <v>2.066800237653315</v>
      </c>
      <c r="O3129" s="1569"/>
    </row>
    <row r="3130" spans="11:15">
      <c r="K3130" s="1646">
        <v>45187</v>
      </c>
      <c r="L3130" s="1569" t="s">
        <v>1653</v>
      </c>
      <c r="M3130" s="895">
        <v>4.9036999999999997E-2</v>
      </c>
      <c r="N3130" s="1569">
        <v>2.0678137344858531</v>
      </c>
      <c r="O3130" s="1569"/>
    </row>
    <row r="3131" spans="11:15">
      <c r="K3131" s="1646">
        <v>45188</v>
      </c>
      <c r="L3131" s="1569" t="s">
        <v>1653</v>
      </c>
      <c r="M3131" s="895">
        <v>4.9036999999999997E-2</v>
      </c>
      <c r="N3131" s="1569">
        <v>2.0688277283068333</v>
      </c>
      <c r="O3131" s="1569"/>
    </row>
    <row r="3132" spans="11:15">
      <c r="K3132" s="1646">
        <v>45189</v>
      </c>
      <c r="L3132" s="1569" t="s">
        <v>1653</v>
      </c>
      <c r="M3132" s="895">
        <v>4.9036999999999997E-2</v>
      </c>
      <c r="N3132" s="1569">
        <v>2.069842219359963</v>
      </c>
      <c r="O3132" s="1569"/>
    </row>
    <row r="3133" spans="11:15">
      <c r="K3133" s="1646">
        <v>45190</v>
      </c>
      <c r="L3133" s="1569" t="s">
        <v>1653</v>
      </c>
      <c r="M3133" s="895">
        <v>4.9036999999999997E-2</v>
      </c>
      <c r="N3133" s="1569">
        <v>2.0708572078890706</v>
      </c>
      <c r="O3133" s="1569"/>
    </row>
    <row r="3134" spans="11:15">
      <c r="K3134" s="1646">
        <v>45191</v>
      </c>
      <c r="L3134" s="1569" t="s">
        <v>1653</v>
      </c>
      <c r="M3134" s="895">
        <v>4.9036999999999997E-2</v>
      </c>
      <c r="N3134" s="1569">
        <v>2.0718726941381034</v>
      </c>
      <c r="O3134" s="1569"/>
    </row>
    <row r="3135" spans="11:15">
      <c r="K3135" s="1646">
        <v>45192</v>
      </c>
      <c r="L3135" s="1569"/>
      <c r="M3135" s="895">
        <v>0</v>
      </c>
      <c r="N3135" s="1569">
        <v>2.0718726941381034</v>
      </c>
      <c r="O3135" s="1569"/>
    </row>
    <row r="3136" spans="11:15">
      <c r="K3136" s="1646">
        <v>45193</v>
      </c>
      <c r="L3136" s="1569"/>
      <c r="M3136" s="895">
        <v>0</v>
      </c>
      <c r="N3136" s="1569">
        <v>2.0718726941381034</v>
      </c>
      <c r="O3136" s="1569"/>
    </row>
    <row r="3137" spans="11:15">
      <c r="K3137" s="1646">
        <v>45194</v>
      </c>
      <c r="L3137" s="1569" t="s">
        <v>1653</v>
      </c>
      <c r="M3137" s="895">
        <v>4.9036999999999997E-2</v>
      </c>
      <c r="N3137" s="1569">
        <v>2.072888678351128</v>
      </c>
      <c r="O3137" s="1569"/>
    </row>
    <row r="3138" spans="11:15">
      <c r="K3138" s="1646">
        <v>45195</v>
      </c>
      <c r="L3138" s="1569" t="s">
        <v>1653</v>
      </c>
      <c r="M3138" s="895">
        <v>4.9036999999999997E-2</v>
      </c>
      <c r="N3138" s="1569">
        <v>2.0739051607723313</v>
      </c>
      <c r="O3138" s="1569"/>
    </row>
    <row r="3139" spans="11:15">
      <c r="K3139" s="1646">
        <v>45196</v>
      </c>
      <c r="L3139" s="1569" t="s">
        <v>1653</v>
      </c>
      <c r="M3139" s="895">
        <v>4.9036999999999997E-2</v>
      </c>
      <c r="N3139" s="1569">
        <v>2.0749221416460193</v>
      </c>
      <c r="O3139" s="1569"/>
    </row>
    <row r="3140" spans="11:15">
      <c r="K3140" s="1646">
        <v>45197</v>
      </c>
      <c r="L3140" s="1569" t="s">
        <v>1653</v>
      </c>
      <c r="M3140" s="895">
        <v>4.9036999999999997E-2</v>
      </c>
      <c r="N3140" s="1569">
        <v>2.0759396212166186</v>
      </c>
      <c r="O3140" s="1569"/>
    </row>
    <row r="3141" spans="11:15">
      <c r="K3141" s="1646">
        <v>45198</v>
      </c>
      <c r="L3141" s="1569" t="s">
        <v>1653</v>
      </c>
      <c r="M3141" s="895">
        <v>4.9036999999999997E-2</v>
      </c>
      <c r="N3141" s="1569">
        <v>2.0769575997286749</v>
      </c>
      <c r="O3141" s="1569"/>
    </row>
    <row r="3142" spans="11:15">
      <c r="K3142" s="1646">
        <v>45199</v>
      </c>
      <c r="L3142" s="1569"/>
      <c r="M3142" s="895">
        <v>0</v>
      </c>
      <c r="N3142" s="1569">
        <v>2.0769575997286749</v>
      </c>
      <c r="O3142" s="1569"/>
    </row>
    <row r="3143" spans="11:15">
      <c r="K3143" s="1646">
        <v>45200</v>
      </c>
      <c r="L3143" s="1569"/>
      <c r="M3143" s="895">
        <v>0</v>
      </c>
      <c r="N3143" s="1569">
        <v>2.0769575997286749</v>
      </c>
      <c r="O3143" s="1569"/>
    </row>
    <row r="3144" spans="11:15">
      <c r="K3144" s="1646">
        <v>45201</v>
      </c>
      <c r="L3144" s="1569" t="s">
        <v>1653</v>
      </c>
      <c r="M3144" s="895">
        <v>4.9036999999999997E-2</v>
      </c>
      <c r="N3144" s="1569">
        <v>2.0779760774268539</v>
      </c>
      <c r="O3144" s="1569"/>
    </row>
    <row r="3145" spans="11:15">
      <c r="K3145" s="1646">
        <v>45202</v>
      </c>
      <c r="L3145" s="1569" t="s">
        <v>1653</v>
      </c>
      <c r="M3145" s="895">
        <v>4.9036999999999997E-2</v>
      </c>
      <c r="N3145" s="1569">
        <v>2.0789950545559419</v>
      </c>
      <c r="O3145" s="1569"/>
    </row>
    <row r="3146" spans="11:15">
      <c r="K3146" s="1646">
        <v>45203</v>
      </c>
      <c r="L3146" s="1569" t="s">
        <v>1653</v>
      </c>
      <c r="M3146" s="895">
        <v>4.9036999999999997E-2</v>
      </c>
      <c r="N3146" s="1569">
        <v>2.0800145313608445</v>
      </c>
      <c r="O3146" s="1569"/>
    </row>
    <row r="3147" spans="11:15">
      <c r="K3147" s="1646">
        <v>45204</v>
      </c>
      <c r="L3147" s="1569" t="s">
        <v>1653</v>
      </c>
      <c r="M3147" s="895">
        <v>4.9036999999999997E-2</v>
      </c>
      <c r="N3147" s="1569">
        <v>2.0810345080865882</v>
      </c>
      <c r="O3147" s="1569"/>
    </row>
    <row r="3148" spans="11:15">
      <c r="K3148" s="1646">
        <v>45205</v>
      </c>
      <c r="L3148" s="1569" t="s">
        <v>1653</v>
      </c>
      <c r="M3148" s="895">
        <v>4.9036999999999997E-2</v>
      </c>
      <c r="N3148" s="1569">
        <v>2.0820549849783188</v>
      </c>
      <c r="O3148" s="1569"/>
    </row>
    <row r="3149" spans="11:15">
      <c r="K3149" s="1646">
        <v>45206</v>
      </c>
      <c r="L3149" s="1569"/>
      <c r="M3149" s="895">
        <v>0</v>
      </c>
      <c r="N3149" s="1569">
        <v>2.0820549849783188</v>
      </c>
      <c r="O3149" s="1569"/>
    </row>
    <row r="3150" spans="11:15">
      <c r="K3150" s="1646">
        <v>45207</v>
      </c>
      <c r="L3150" s="1569"/>
      <c r="M3150" s="895">
        <v>0</v>
      </c>
      <c r="N3150" s="1569">
        <v>2.0820549849783188</v>
      </c>
      <c r="O3150" s="1569"/>
    </row>
    <row r="3151" spans="11:15">
      <c r="K3151" s="1646">
        <v>45208</v>
      </c>
      <c r="L3151" s="1569" t="s">
        <v>1653</v>
      </c>
      <c r="M3151" s="895">
        <v>4.9036999999999997E-2</v>
      </c>
      <c r="N3151" s="1569">
        <v>2.0830759622813027</v>
      </c>
      <c r="O3151" s="1569"/>
    </row>
    <row r="3152" spans="11:15">
      <c r="K3152" s="1646">
        <v>45209</v>
      </c>
      <c r="L3152" s="1569" t="s">
        <v>1653</v>
      </c>
      <c r="M3152" s="895">
        <v>4.9036999999999997E-2</v>
      </c>
      <c r="N3152" s="1569">
        <v>2.0840974402409267</v>
      </c>
      <c r="O3152" s="1569"/>
    </row>
    <row r="3153" spans="11:15">
      <c r="K3153" s="1646">
        <v>45210</v>
      </c>
      <c r="L3153" s="1569" t="s">
        <v>1653</v>
      </c>
      <c r="M3153" s="895">
        <v>4.9036999999999997E-2</v>
      </c>
      <c r="N3153" s="1569">
        <v>2.0851194191026976</v>
      </c>
      <c r="O3153" s="1569"/>
    </row>
    <row r="3154" spans="11:15">
      <c r="K3154" s="1646">
        <v>45211</v>
      </c>
      <c r="L3154" s="1569"/>
      <c r="M3154" s="895">
        <v>0</v>
      </c>
      <c r="N3154" s="1569">
        <v>2.0851194191026976</v>
      </c>
      <c r="O3154" s="1569"/>
    </row>
    <row r="3155" spans="11:15">
      <c r="K3155" s="1646">
        <v>45212</v>
      </c>
      <c r="L3155" s="1569" t="s">
        <v>1653</v>
      </c>
      <c r="M3155" s="895">
        <v>4.9036999999999997E-2</v>
      </c>
      <c r="N3155" s="1569">
        <v>2.0861418991122433</v>
      </c>
      <c r="O3155" s="1569"/>
    </row>
    <row r="3156" spans="11:15">
      <c r="K3156" s="1646">
        <v>45213</v>
      </c>
      <c r="L3156" s="1569"/>
      <c r="M3156" s="895">
        <v>0</v>
      </c>
      <c r="N3156" s="1569">
        <v>2.0861418991122433</v>
      </c>
      <c r="O3156" s="1569"/>
    </row>
    <row r="3157" spans="11:15">
      <c r="K3157" s="1646">
        <v>45214</v>
      </c>
      <c r="L3157" s="1569"/>
      <c r="M3157" s="895">
        <v>0</v>
      </c>
      <c r="N3157" s="1569">
        <v>2.0861418991122433</v>
      </c>
      <c r="O3157" s="1569"/>
    </row>
    <row r="3158" spans="11:15">
      <c r="K3158" s="1646">
        <v>45215</v>
      </c>
      <c r="L3158" s="1569" t="s">
        <v>1653</v>
      </c>
      <c r="M3158" s="895">
        <v>4.9036999999999997E-2</v>
      </c>
      <c r="N3158" s="1569">
        <v>2.0871648805153113</v>
      </c>
      <c r="O3158" s="1569"/>
    </row>
    <row r="3159" spans="11:15">
      <c r="K3159" s="1646">
        <v>45216</v>
      </c>
      <c r="L3159" s="1569" t="s">
        <v>1653</v>
      </c>
      <c r="M3159" s="895">
        <v>4.9036999999999997E-2</v>
      </c>
      <c r="N3159" s="1569">
        <v>2.0881883635577698</v>
      </c>
      <c r="O3159" s="1569"/>
    </row>
    <row r="3160" spans="11:15">
      <c r="K3160" s="1646">
        <v>45217</v>
      </c>
      <c r="L3160" s="1569" t="s">
        <v>1653</v>
      </c>
      <c r="M3160" s="895">
        <v>4.9036999999999997E-2</v>
      </c>
      <c r="N3160" s="1569">
        <v>2.0892123484856078</v>
      </c>
      <c r="O3160" s="1569"/>
    </row>
    <row r="3161" spans="11:15">
      <c r="K3161" s="1646">
        <v>45218</v>
      </c>
      <c r="L3161" s="1569" t="s">
        <v>1653</v>
      </c>
      <c r="M3161" s="895">
        <v>4.9036999999999997E-2</v>
      </c>
      <c r="N3161" s="1569">
        <v>2.090236835544935</v>
      </c>
      <c r="O3161" s="1569"/>
    </row>
    <row r="3162" spans="11:15">
      <c r="K3162" s="1646">
        <v>45219</v>
      </c>
      <c r="L3162" s="1569" t="s">
        <v>1653</v>
      </c>
      <c r="M3162" s="895">
        <v>4.9036999999999997E-2</v>
      </c>
      <c r="N3162" s="1569">
        <v>2.0912618249819812</v>
      </c>
      <c r="O3162" s="1569"/>
    </row>
    <row r="3163" spans="11:15">
      <c r="K3163" s="1646">
        <v>45220</v>
      </c>
      <c r="L3163" s="1569"/>
      <c r="M3163" s="895">
        <v>0</v>
      </c>
      <c r="N3163" s="1569">
        <v>2.0912618249819812</v>
      </c>
      <c r="O3163" s="1569"/>
    </row>
    <row r="3164" spans="11:15">
      <c r="K3164" s="1646">
        <v>45221</v>
      </c>
      <c r="L3164" s="1569"/>
      <c r="M3164" s="895">
        <v>0</v>
      </c>
      <c r="N3164" s="1569">
        <v>2.0912618249819812</v>
      </c>
      <c r="O3164" s="1569"/>
    </row>
    <row r="3165" spans="11:15">
      <c r="K3165" s="1646">
        <v>45222</v>
      </c>
      <c r="L3165" s="1569" t="s">
        <v>1653</v>
      </c>
      <c r="M3165" s="895">
        <v>4.9036999999999997E-2</v>
      </c>
      <c r="N3165" s="1569">
        <v>2.0922873170430978</v>
      </c>
      <c r="O3165" s="1569"/>
    </row>
    <row r="3166" spans="11:15">
      <c r="K3166" s="1646">
        <v>45223</v>
      </c>
      <c r="L3166" s="1569" t="s">
        <v>1653</v>
      </c>
      <c r="M3166" s="895">
        <v>4.9036999999999997E-2</v>
      </c>
      <c r="N3166" s="1569">
        <v>2.0933133119747565</v>
      </c>
      <c r="O3166" s="1569"/>
    </row>
    <row r="3167" spans="11:15">
      <c r="K3167" s="1646">
        <v>45224</v>
      </c>
      <c r="L3167" s="1569" t="s">
        <v>1653</v>
      </c>
      <c r="M3167" s="895">
        <v>4.9036999999999997E-2</v>
      </c>
      <c r="N3167" s="1569">
        <v>2.0943398100235497</v>
      </c>
      <c r="O3167" s="1569"/>
    </row>
    <row r="3168" spans="11:15">
      <c r="K3168" s="1646">
        <v>45225</v>
      </c>
      <c r="L3168" s="1569" t="s">
        <v>1653</v>
      </c>
      <c r="M3168" s="895">
        <v>4.9036999999999997E-2</v>
      </c>
      <c r="N3168" s="1569">
        <v>2.095366811436191</v>
      </c>
      <c r="O3168" s="1569"/>
    </row>
    <row r="3169" spans="11:15">
      <c r="K3169" s="1646">
        <v>45226</v>
      </c>
      <c r="L3169" s="1569" t="s">
        <v>1653</v>
      </c>
      <c r="M3169" s="895">
        <v>4.9036999999999997E-2</v>
      </c>
      <c r="N3169" s="1569">
        <v>2.0963943164595151</v>
      </c>
      <c r="O3169" s="1569"/>
    </row>
    <row r="3170" spans="11:15">
      <c r="K3170" s="1646">
        <v>45227</v>
      </c>
      <c r="L3170" s="1569"/>
      <c r="M3170" s="895">
        <v>0</v>
      </c>
      <c r="N3170" s="1569">
        <v>2.0963943164595151</v>
      </c>
      <c r="O3170" s="1569"/>
    </row>
    <row r="3171" spans="11:15">
      <c r="K3171" s="1646">
        <v>45228</v>
      </c>
      <c r="L3171" s="1569"/>
      <c r="M3171" s="895">
        <v>0</v>
      </c>
      <c r="N3171" s="1569">
        <v>2.0963943164595151</v>
      </c>
      <c r="O3171" s="1569"/>
    </row>
    <row r="3172" spans="11:15">
      <c r="K3172" s="1646">
        <v>45229</v>
      </c>
      <c r="L3172" s="1569" t="s">
        <v>1653</v>
      </c>
      <c r="M3172" s="895">
        <v>4.9036999999999997E-2</v>
      </c>
      <c r="N3172" s="1569">
        <v>2.0974223253404776</v>
      </c>
      <c r="O3172" s="1569"/>
    </row>
    <row r="3173" spans="11:15">
      <c r="K3173" s="1646">
        <v>45230</v>
      </c>
      <c r="L3173" s="1569" t="s">
        <v>1653</v>
      </c>
      <c r="M3173" s="895">
        <v>4.9036999999999997E-2</v>
      </c>
      <c r="N3173" s="1569">
        <v>2.0984508383261549</v>
      </c>
      <c r="O3173" s="1569"/>
    </row>
    <row r="3174" spans="11:15">
      <c r="K3174" s="1646">
        <v>45231</v>
      </c>
      <c r="L3174" s="1569" t="s">
        <v>1653</v>
      </c>
      <c r="M3174" s="895">
        <v>4.9036999999999997E-2</v>
      </c>
      <c r="N3174" s="1569">
        <v>2.0994798556637448</v>
      </c>
      <c r="O3174" s="1569"/>
    </row>
    <row r="3175" spans="11:15">
      <c r="K3175" s="1646">
        <v>45232</v>
      </c>
      <c r="L3175" s="1569"/>
      <c r="M3175" s="895">
        <v>0</v>
      </c>
      <c r="N3175" s="1569">
        <v>2.0994798556637448</v>
      </c>
      <c r="O3175" s="1569"/>
    </row>
    <row r="3176" spans="11:15">
      <c r="K3176" s="1646">
        <v>45233</v>
      </c>
      <c r="L3176" s="1569" t="s">
        <v>1653</v>
      </c>
      <c r="M3176" s="895">
        <v>4.9036999999999997E-2</v>
      </c>
      <c r="N3176" s="1569">
        <v>2.100509377600567</v>
      </c>
      <c r="O3176" s="1569"/>
    </row>
    <row r="3177" spans="11:15">
      <c r="K3177" s="1646">
        <v>45234</v>
      </c>
      <c r="L3177" s="1569"/>
      <c r="M3177" s="895">
        <v>0</v>
      </c>
      <c r="N3177" s="1569">
        <v>2.100509377600567</v>
      </c>
      <c r="O3177" s="1569"/>
    </row>
    <row r="3178" spans="11:15">
      <c r="K3178" s="1646">
        <v>45235</v>
      </c>
      <c r="L3178" s="1569"/>
      <c r="M3178" s="895">
        <v>0</v>
      </c>
      <c r="N3178" s="1569">
        <v>2.100509377600567</v>
      </c>
      <c r="O3178" s="1569"/>
    </row>
    <row r="3179" spans="11:15">
      <c r="K3179" s="1646">
        <v>45236</v>
      </c>
      <c r="L3179" s="1569" t="s">
        <v>1653</v>
      </c>
      <c r="M3179" s="895">
        <v>4.9036999999999997E-2</v>
      </c>
      <c r="N3179" s="1569">
        <v>2.1015394043840612</v>
      </c>
      <c r="O3179" s="1569"/>
    </row>
    <row r="3180" spans="11:15">
      <c r="K3180" s="1646">
        <v>45237</v>
      </c>
      <c r="L3180" s="1569" t="s">
        <v>1653</v>
      </c>
      <c r="M3180" s="895">
        <v>4.9036999999999997E-2</v>
      </c>
      <c r="N3180" s="1569">
        <v>2.1025699362617893</v>
      </c>
      <c r="O3180" s="1569"/>
    </row>
    <row r="3181" spans="11:15">
      <c r="K3181" s="1646">
        <v>45238</v>
      </c>
      <c r="L3181" s="1569" t="s">
        <v>1653</v>
      </c>
      <c r="M3181" s="895">
        <v>4.9036999999999997E-2</v>
      </c>
      <c r="N3181" s="1569">
        <v>2.1036009734814343</v>
      </c>
      <c r="O3181" s="1569"/>
    </row>
    <row r="3182" spans="11:15">
      <c r="K3182" s="1646">
        <v>45239</v>
      </c>
      <c r="L3182" s="1569" t="s">
        <v>1653</v>
      </c>
      <c r="M3182" s="895">
        <v>4.9036999999999997E-2</v>
      </c>
      <c r="N3182" s="1569">
        <v>2.1046325162908004</v>
      </c>
      <c r="O3182" s="1569"/>
    </row>
    <row r="3183" spans="11:15">
      <c r="K3183" s="1646">
        <v>45240</v>
      </c>
      <c r="L3183" s="1569" t="s">
        <v>1653</v>
      </c>
      <c r="M3183" s="895">
        <v>4.9036999999999997E-2</v>
      </c>
      <c r="N3183" s="1569">
        <v>2.1056645649378143</v>
      </c>
      <c r="O3183" s="1569"/>
    </row>
    <row r="3184" spans="11:15">
      <c r="K3184" s="1646">
        <v>45241</v>
      </c>
      <c r="L3184" s="1569"/>
      <c r="M3184" s="895">
        <v>0</v>
      </c>
      <c r="N3184" s="1569">
        <v>2.1056645649378143</v>
      </c>
      <c r="O3184" s="1569"/>
    </row>
    <row r="3185" spans="11:15">
      <c r="K3185" s="1646">
        <v>45242</v>
      </c>
      <c r="L3185" s="1569"/>
      <c r="M3185" s="895">
        <v>0</v>
      </c>
      <c r="N3185" s="1569">
        <v>2.1056645649378143</v>
      </c>
      <c r="O3185" s="1569"/>
    </row>
    <row r="3186" spans="11:15">
      <c r="K3186" s="1646">
        <v>45243</v>
      </c>
      <c r="L3186" s="1569" t="s">
        <v>1653</v>
      </c>
      <c r="M3186" s="895">
        <v>4.9036999999999997E-2</v>
      </c>
      <c r="N3186" s="1569">
        <v>2.1066971196705229</v>
      </c>
      <c r="O3186" s="1569"/>
    </row>
    <row r="3187" spans="11:15">
      <c r="K3187" s="1646">
        <v>45244</v>
      </c>
      <c r="L3187" s="1569" t="s">
        <v>1653</v>
      </c>
      <c r="M3187" s="895">
        <v>4.9036999999999997E-2</v>
      </c>
      <c r="N3187" s="1569">
        <v>2.1077301807370961</v>
      </c>
      <c r="O3187" s="1569"/>
    </row>
    <row r="3188" spans="11:15">
      <c r="K3188" s="1646">
        <v>45245</v>
      </c>
      <c r="L3188" s="1569"/>
      <c r="M3188" s="895">
        <v>0</v>
      </c>
      <c r="N3188" s="1569">
        <v>2.1077301807370961</v>
      </c>
      <c r="O3188" s="1569"/>
    </row>
    <row r="3189" spans="11:15">
      <c r="K3189" s="1646">
        <v>45246</v>
      </c>
      <c r="L3189" s="1569" t="s">
        <v>1653</v>
      </c>
      <c r="M3189" s="895">
        <v>4.9036999999999997E-2</v>
      </c>
      <c r="N3189" s="1569">
        <v>2.1087637483858241</v>
      </c>
      <c r="O3189" s="1569"/>
    </row>
    <row r="3190" spans="11:15">
      <c r="K3190" s="1646">
        <v>45247</v>
      </c>
      <c r="L3190" s="1569" t="s">
        <v>1653</v>
      </c>
      <c r="M3190" s="895">
        <v>4.9036999999999997E-2</v>
      </c>
      <c r="N3190" s="1569">
        <v>2.1097978228651204</v>
      </c>
      <c r="O3190" s="1569"/>
    </row>
    <row r="3191" spans="11:15">
      <c r="K3191" s="1646">
        <v>45248</v>
      </c>
      <c r="L3191" s="1569"/>
      <c r="M3191" s="895">
        <v>0</v>
      </c>
      <c r="N3191" s="1569">
        <v>2.1097978228651204</v>
      </c>
      <c r="O3191" s="1569"/>
    </row>
    <row r="3192" spans="11:15">
      <c r="K3192" s="1646">
        <v>45249</v>
      </c>
      <c r="L3192" s="1569"/>
      <c r="M3192" s="895">
        <v>0</v>
      </c>
      <c r="N3192" s="1569">
        <v>2.1097978228651204</v>
      </c>
      <c r="O3192" s="1569"/>
    </row>
    <row r="3193" spans="11:15">
      <c r="K3193" s="1646">
        <v>45250</v>
      </c>
      <c r="L3193" s="1569" t="s">
        <v>1653</v>
      </c>
      <c r="M3193" s="895">
        <v>4.9036999999999997E-2</v>
      </c>
      <c r="N3193" s="1569">
        <v>2.1108324044235189</v>
      </c>
      <c r="O3193" s="1569"/>
    </row>
    <row r="3194" spans="11:15">
      <c r="K3194" s="1646">
        <v>45251</v>
      </c>
      <c r="L3194" s="1569" t="s">
        <v>1653</v>
      </c>
      <c r="M3194" s="895">
        <v>4.9036999999999997E-2</v>
      </c>
      <c r="N3194" s="1569">
        <v>2.1118674933096764</v>
      </c>
      <c r="O3194" s="1569"/>
    </row>
    <row r="3195" spans="11:15">
      <c r="K3195" s="1646">
        <v>45252</v>
      </c>
      <c r="L3195" s="1569" t="s">
        <v>1653</v>
      </c>
      <c r="M3195" s="895">
        <v>4.9036999999999997E-2</v>
      </c>
      <c r="N3195" s="1569">
        <v>2.1129030897723706</v>
      </c>
      <c r="O3195" s="1569"/>
    </row>
    <row r="3196" spans="11:15">
      <c r="K3196" s="1646">
        <v>45253</v>
      </c>
      <c r="L3196" s="1569" t="s">
        <v>1653</v>
      </c>
      <c r="M3196" s="895">
        <v>4.9036999999999997E-2</v>
      </c>
      <c r="N3196" s="1569">
        <v>2.1139391940605026</v>
      </c>
      <c r="O3196" s="1569"/>
    </row>
    <row r="3197" spans="11:15">
      <c r="K3197" s="1646">
        <v>45254</v>
      </c>
      <c r="L3197" s="1569" t="s">
        <v>1653</v>
      </c>
      <c r="M3197" s="895">
        <v>4.9036999999999997E-2</v>
      </c>
      <c r="N3197" s="1569">
        <v>2.1149758064230944</v>
      </c>
      <c r="O3197" s="1569"/>
    </row>
    <row r="3198" spans="11:15">
      <c r="K3198" s="1646">
        <v>45255</v>
      </c>
      <c r="L3198" s="1569"/>
      <c r="M3198" s="895">
        <v>0</v>
      </c>
      <c r="N3198" s="1569">
        <v>2.1149758064230944</v>
      </c>
      <c r="O3198" s="1569"/>
    </row>
    <row r="3199" spans="11:15">
      <c r="K3199" s="1646">
        <v>45256</v>
      </c>
      <c r="L3199" s="1569"/>
      <c r="M3199" s="895">
        <v>0</v>
      </c>
      <c r="N3199" s="1569">
        <v>2.1149758064230944</v>
      </c>
      <c r="O3199" s="1569"/>
    </row>
    <row r="3200" spans="11:15">
      <c r="K3200" s="1646">
        <v>45257</v>
      </c>
      <c r="L3200" s="1569" t="s">
        <v>1653</v>
      </c>
      <c r="M3200" s="895">
        <v>4.9036999999999997E-2</v>
      </c>
      <c r="N3200" s="1569">
        <v>2.1160129271092902</v>
      </c>
      <c r="O3200" s="1569"/>
    </row>
    <row r="3201" spans="11:15">
      <c r="K3201" s="1646">
        <v>45258</v>
      </c>
      <c r="L3201" s="1569" t="s">
        <v>1653</v>
      </c>
      <c r="M3201" s="895">
        <v>4.9036999999999997E-2</v>
      </c>
      <c r="N3201" s="1569">
        <v>2.117050556368357</v>
      </c>
      <c r="O3201" s="1569"/>
    </row>
    <row r="3202" spans="11:15">
      <c r="K3202" s="1646">
        <v>45259</v>
      </c>
      <c r="L3202" s="1569" t="s">
        <v>1653</v>
      </c>
      <c r="M3202" s="895">
        <v>4.9036999999999997E-2</v>
      </c>
      <c r="N3202" s="1569">
        <v>2.1180886944496837</v>
      </c>
      <c r="O3202" s="1569"/>
    </row>
    <row r="3203" spans="11:15">
      <c r="K3203" s="1646">
        <v>45260</v>
      </c>
      <c r="L3203" s="1569" t="s">
        <v>1653</v>
      </c>
      <c r="M3203" s="895">
        <v>4.9036999999999997E-2</v>
      </c>
      <c r="N3203" s="1569">
        <v>2.1191273416027814</v>
      </c>
      <c r="O3203" s="1569"/>
    </row>
    <row r="3204" spans="11:15">
      <c r="K3204" s="1646">
        <v>45261</v>
      </c>
      <c r="L3204" s="1569" t="s">
        <v>1653</v>
      </c>
      <c r="M3204" s="895">
        <v>4.9036999999999997E-2</v>
      </c>
      <c r="N3204" s="1569">
        <v>2.1201664980772832</v>
      </c>
      <c r="O3204" s="1569"/>
    </row>
    <row r="3205" spans="11:15">
      <c r="K3205" s="1646">
        <v>45262</v>
      </c>
      <c r="L3205" s="1569"/>
      <c r="M3205" s="895">
        <v>0</v>
      </c>
      <c r="N3205" s="1569">
        <v>2.1201664980772832</v>
      </c>
      <c r="O3205" s="1569"/>
    </row>
    <row r="3206" spans="11:15">
      <c r="K3206" s="1646">
        <v>45263</v>
      </c>
      <c r="L3206" s="1569"/>
      <c r="M3206" s="895">
        <v>0</v>
      </c>
      <c r="N3206" s="1569">
        <v>2.1201664980772832</v>
      </c>
      <c r="O3206" s="1569"/>
    </row>
    <row r="3207" spans="11:15">
      <c r="K3207" s="1646">
        <v>45264</v>
      </c>
      <c r="L3207" s="1569" t="s">
        <v>1653</v>
      </c>
      <c r="M3207" s="895">
        <v>4.9036999999999997E-2</v>
      </c>
      <c r="N3207" s="1569">
        <v>2.1212061641229454</v>
      </c>
      <c r="O3207" s="1569"/>
    </row>
    <row r="3208" spans="11:15">
      <c r="K3208" s="1646">
        <v>45265</v>
      </c>
      <c r="L3208" s="1569" t="s">
        <v>1653</v>
      </c>
      <c r="M3208" s="895">
        <v>4.9036999999999997E-2</v>
      </c>
      <c r="N3208" s="1569">
        <v>2.1222463399896463</v>
      </c>
      <c r="O3208" s="1569"/>
    </row>
    <row r="3209" spans="11:15">
      <c r="K3209" s="1646">
        <v>45266</v>
      </c>
      <c r="L3209" s="1569" t="s">
        <v>1653</v>
      </c>
      <c r="M3209" s="895">
        <v>4.9036999999999997E-2</v>
      </c>
      <c r="N3209" s="1569">
        <v>2.1232870259273873</v>
      </c>
      <c r="O3209" s="1569"/>
    </row>
    <row r="3210" spans="11:15">
      <c r="K3210" s="1646">
        <v>45267</v>
      </c>
      <c r="L3210" s="1569" t="s">
        <v>1653</v>
      </c>
      <c r="M3210" s="895">
        <v>4.9036999999999997E-2</v>
      </c>
      <c r="N3210" s="1569">
        <v>2.1243282221862914</v>
      </c>
      <c r="O3210" s="1569"/>
    </row>
    <row r="3211" spans="11:15">
      <c r="K3211" s="1646">
        <v>45268</v>
      </c>
      <c r="L3211" s="1569" t="s">
        <v>1653</v>
      </c>
      <c r="M3211" s="895">
        <v>4.9036999999999997E-2</v>
      </c>
      <c r="N3211" s="1569">
        <v>2.125369929016605</v>
      </c>
      <c r="O3211" s="1569"/>
    </row>
    <row r="3212" spans="11:15">
      <c r="K3212" s="1646">
        <v>45269</v>
      </c>
      <c r="L3212" s="1569"/>
      <c r="M3212" s="895">
        <v>0</v>
      </c>
      <c r="N3212" s="1569">
        <v>2.125369929016605</v>
      </c>
      <c r="O3212" s="1569"/>
    </row>
    <row r="3213" spans="11:15">
      <c r="K3213" s="1646">
        <v>45270</v>
      </c>
      <c r="L3213" s="1569"/>
      <c r="M3213" s="895">
        <v>0</v>
      </c>
      <c r="N3213" s="1569">
        <v>2.125369929016605</v>
      </c>
      <c r="O3213" s="1569"/>
    </row>
    <row r="3214" spans="11:15">
      <c r="K3214" s="1646">
        <v>45271</v>
      </c>
      <c r="L3214" s="1569" t="s">
        <v>1653</v>
      </c>
      <c r="M3214" s="895">
        <v>4.9036999999999997E-2</v>
      </c>
      <c r="N3214" s="1569">
        <v>2.1264121466686969</v>
      </c>
      <c r="O3214" s="1569"/>
    </row>
    <row r="3215" spans="11:15">
      <c r="K3215" s="1646">
        <v>45272</v>
      </c>
      <c r="L3215" s="1" t="s">
        <v>1653</v>
      </c>
      <c r="M3215" s="1">
        <v>4.9036999999999997E-2</v>
      </c>
      <c r="N3215" s="1">
        <v>2.1274548753930591</v>
      </c>
    </row>
    <row r="3216" spans="11:15">
      <c r="K3216" s="1646">
        <v>45273</v>
      </c>
      <c r="L3216" s="1" t="s">
        <v>1653</v>
      </c>
      <c r="M3216" s="1">
        <v>4.9036999999999997E-2</v>
      </c>
      <c r="N3216" s="1">
        <v>2.1284981154403058</v>
      </c>
    </row>
    <row r="3217" spans="11:14">
      <c r="K3217" s="1646">
        <v>45274</v>
      </c>
      <c r="L3217" s="1" t="s">
        <v>1653</v>
      </c>
      <c r="M3217" s="1">
        <v>4.9036999999999997E-2</v>
      </c>
      <c r="N3217" s="1">
        <v>2.1295418670611745</v>
      </c>
    </row>
    <row r="3218" spans="11:14">
      <c r="K3218" s="1646">
        <v>45275</v>
      </c>
      <c r="L3218" s="1" t="s">
        <v>1653</v>
      </c>
      <c r="M3218" s="1">
        <v>4.9036999999999997E-2</v>
      </c>
      <c r="N3218" s="1">
        <v>2.1305861305065257</v>
      </c>
    </row>
    <row r="3219" spans="11:14">
      <c r="K3219" s="1646">
        <v>45276</v>
      </c>
      <c r="M3219" s="1">
        <v>0</v>
      </c>
      <c r="N3219" s="1">
        <v>2.1305861305065257</v>
      </c>
    </row>
    <row r="3220" spans="11:14">
      <c r="K3220" s="1646">
        <v>45277</v>
      </c>
      <c r="M3220" s="1">
        <v>0</v>
      </c>
      <c r="N3220" s="1">
        <v>2.1305861305065257</v>
      </c>
    </row>
    <row r="3221" spans="11:14">
      <c r="K3221" s="1646">
        <v>45278</v>
      </c>
      <c r="L3221" s="1" t="s">
        <v>1653</v>
      </c>
      <c r="M3221" s="1">
        <v>4.9036999999999997E-2</v>
      </c>
      <c r="N3221" s="1">
        <v>2.1316309060273424</v>
      </c>
    </row>
    <row r="3222" spans="11:14">
      <c r="K3222" s="1646">
        <v>45279</v>
      </c>
      <c r="L3222" s="1" t="s">
        <v>1653</v>
      </c>
      <c r="M3222" s="1">
        <v>4.9036999999999997E-2</v>
      </c>
      <c r="N3222" s="1">
        <v>2.1326761938747314</v>
      </c>
    </row>
    <row r="3223" spans="11:14">
      <c r="K3223" s="1646">
        <v>45280</v>
      </c>
      <c r="L3223" s="1" t="s">
        <v>1653</v>
      </c>
      <c r="M3223" s="1">
        <v>4.9036999999999997E-2</v>
      </c>
      <c r="N3223" s="1">
        <v>2.1337219942999219</v>
      </c>
    </row>
    <row r="3224" spans="11:14">
      <c r="K3224" s="1646">
        <v>45281</v>
      </c>
      <c r="L3224" s="1" t="s">
        <v>1653</v>
      </c>
      <c r="M3224" s="1">
        <v>4.9036999999999997E-2</v>
      </c>
      <c r="N3224" s="1">
        <v>2.1347683075542667</v>
      </c>
    </row>
    <row r="3225" spans="11:14">
      <c r="K3225" s="1646">
        <v>45282</v>
      </c>
      <c r="L3225" s="1" t="s">
        <v>1653</v>
      </c>
      <c r="M3225" s="1">
        <v>4.9036999999999997E-2</v>
      </c>
      <c r="N3225" s="1">
        <v>2.1358151338892424</v>
      </c>
    </row>
    <row r="3226" spans="11:14">
      <c r="K3226" s="1646">
        <v>45283</v>
      </c>
      <c r="M3226" s="1">
        <v>0</v>
      </c>
      <c r="N3226" s="1">
        <v>2.1358151338892424</v>
      </c>
    </row>
    <row r="3227" spans="11:14">
      <c r="K3227" s="1646">
        <v>45284</v>
      </c>
      <c r="M3227" s="1">
        <v>0</v>
      </c>
      <c r="N3227" s="1">
        <v>2.1358151338892424</v>
      </c>
    </row>
    <row r="3228" spans="11:14">
      <c r="K3228" s="1646">
        <v>45285</v>
      </c>
      <c r="M3228" s="1">
        <v>0</v>
      </c>
      <c r="N3228" s="1">
        <v>2.1358151338892424</v>
      </c>
    </row>
    <row r="3229" spans="11:14">
      <c r="K3229" s="1646">
        <v>45286</v>
      </c>
      <c r="L3229" s="1" t="s">
        <v>1653</v>
      </c>
      <c r="M3229" s="1">
        <v>4.9036999999999997E-2</v>
      </c>
      <c r="N3229" s="1">
        <v>2.1368624735564477</v>
      </c>
    </row>
    <row r="3230" spans="11:14">
      <c r="K3230" s="1646">
        <v>45287</v>
      </c>
      <c r="L3230" s="1" t="s">
        <v>1653</v>
      </c>
      <c r="M3230" s="1">
        <v>4.9036999999999997E-2</v>
      </c>
      <c r="N3230" s="1">
        <v>2.1379103268076056</v>
      </c>
    </row>
    <row r="3231" spans="11:14">
      <c r="K3231" s="1646">
        <v>45288</v>
      </c>
      <c r="L3231" s="1" t="s">
        <v>1653</v>
      </c>
      <c r="M3231" s="1">
        <v>4.9036999999999997E-2</v>
      </c>
      <c r="N3231" s="1">
        <v>2.1389586938945624</v>
      </c>
    </row>
    <row r="3232" spans="11:14">
      <c r="K3232" s="1646">
        <v>45289</v>
      </c>
      <c r="L3232" s="1" t="s">
        <v>1653</v>
      </c>
      <c r="M3232" s="1">
        <v>4.9036999999999997E-2</v>
      </c>
      <c r="N3232" s="1">
        <v>2.1400075750692875</v>
      </c>
    </row>
    <row r="3233" spans="11:14">
      <c r="K3233" s="1646">
        <v>45290</v>
      </c>
      <c r="M3233" s="1">
        <v>0</v>
      </c>
      <c r="N3233" s="1">
        <v>2.1400075750692875</v>
      </c>
    </row>
    <row r="3234" spans="11:14">
      <c r="K3234" s="1646">
        <v>45291</v>
      </c>
      <c r="M3234" s="1">
        <v>0</v>
      </c>
      <c r="N3234" s="1">
        <v>2.1400075750692875</v>
      </c>
    </row>
    <row r="3235" spans="11:14">
      <c r="K3235" s="1646">
        <v>45292</v>
      </c>
      <c r="M3235" s="1">
        <v>0</v>
      </c>
      <c r="N3235" s="1">
        <v>2.1400075750692875</v>
      </c>
    </row>
    <row r="3236" spans="11:14">
      <c r="K3236" s="1646">
        <v>45293</v>
      </c>
      <c r="L3236" s="1" t="s">
        <v>1653</v>
      </c>
      <c r="M3236" s="1">
        <v>4.9036999999999997E-2</v>
      </c>
      <c r="N3236" s="1">
        <v>2.1410569705838745</v>
      </c>
    </row>
    <row r="3237" spans="11:14">
      <c r="K3237" s="1646">
        <v>45294</v>
      </c>
      <c r="L3237" s="1" t="s">
        <v>1653</v>
      </c>
      <c r="M3237" s="1">
        <v>4.9036999999999997E-2</v>
      </c>
      <c r="N3237" s="1">
        <v>2.1421068806905397</v>
      </c>
    </row>
    <row r="3238" spans="11:14">
      <c r="K3238" s="1646">
        <v>45295</v>
      </c>
      <c r="L3238" s="1" t="s">
        <v>1653</v>
      </c>
      <c r="M3238" s="1">
        <v>4.9036999999999997E-2</v>
      </c>
      <c r="N3238" s="1">
        <v>2.143157305641624</v>
      </c>
    </row>
    <row r="3239" spans="11:14">
      <c r="K3239" s="1646">
        <v>45296</v>
      </c>
      <c r="L3239" s="1" t="s">
        <v>1653</v>
      </c>
      <c r="M3239" s="1">
        <v>4.9036999999999997E-2</v>
      </c>
      <c r="N3239" s="1">
        <v>2.1442082456895917</v>
      </c>
    </row>
    <row r="3240" spans="11:14">
      <c r="K3240" s="1646">
        <v>45297</v>
      </c>
      <c r="M3240" s="1">
        <v>0</v>
      </c>
      <c r="N3240" s="1">
        <v>2.1442082456895917</v>
      </c>
    </row>
    <row r="3241" spans="11:14">
      <c r="K3241" s="1646">
        <v>45298</v>
      </c>
      <c r="M3241" s="1">
        <v>0</v>
      </c>
      <c r="N3241" s="1">
        <v>2.1442082456895917</v>
      </c>
    </row>
    <row r="3242" spans="11:14">
      <c r="K3242" s="1646">
        <v>45299</v>
      </c>
      <c r="L3242" s="1" t="s">
        <v>1653</v>
      </c>
      <c r="M3242" s="1">
        <v>4.9036999999999997E-2</v>
      </c>
      <c r="N3242" s="1">
        <v>2.1452597010870305</v>
      </c>
    </row>
    <row r="3243" spans="11:14">
      <c r="K3243" s="1646">
        <v>45300</v>
      </c>
      <c r="L3243" s="1" t="s">
        <v>1653</v>
      </c>
      <c r="M3243" s="1">
        <v>4.9036999999999997E-2</v>
      </c>
      <c r="N3243" s="1">
        <v>2.1463116720866529</v>
      </c>
    </row>
    <row r="3244" spans="11:14">
      <c r="K3244" s="1646">
        <v>45301</v>
      </c>
      <c r="L3244" s="1" t="s">
        <v>1653</v>
      </c>
      <c r="M3244" s="1">
        <v>4.9036999999999997E-2</v>
      </c>
      <c r="N3244" s="1">
        <v>2.147364158941294</v>
      </c>
    </row>
    <row r="3245" spans="11:14">
      <c r="K3245" s="1646">
        <v>45302</v>
      </c>
      <c r="L3245" s="1" t="s">
        <v>1653</v>
      </c>
      <c r="M3245" s="1">
        <v>4.9036999999999997E-2</v>
      </c>
      <c r="N3245" s="1">
        <v>2.1484171619039141</v>
      </c>
    </row>
    <row r="3246" spans="11:14">
      <c r="K3246" s="1646">
        <v>45303</v>
      </c>
      <c r="L3246" s="1" t="s">
        <v>1653</v>
      </c>
      <c r="M3246" s="1">
        <v>4.9036999999999997E-2</v>
      </c>
      <c r="N3246" s="1">
        <v>2.149470681227597</v>
      </c>
    </row>
    <row r="3247" spans="11:14">
      <c r="K3247" s="1646">
        <v>45304</v>
      </c>
      <c r="M3247" s="1">
        <v>0</v>
      </c>
      <c r="N3247" s="1">
        <v>2.149470681227597</v>
      </c>
    </row>
    <row r="3248" spans="11:14">
      <c r="K3248" s="1646">
        <v>45305</v>
      </c>
      <c r="M3248" s="1">
        <v>0</v>
      </c>
      <c r="N3248" s="1">
        <v>2.149470681227597</v>
      </c>
    </row>
    <row r="3249" spans="11:14">
      <c r="K3249" s="1646">
        <v>45306</v>
      </c>
      <c r="L3249" s="1" t="s">
        <v>1653</v>
      </c>
      <c r="M3249" s="1">
        <v>4.9036999999999997E-2</v>
      </c>
      <c r="N3249" s="1">
        <v>2.1505247171655508</v>
      </c>
    </row>
    <row r="3250" spans="11:14">
      <c r="K3250" s="1646">
        <v>45307</v>
      </c>
      <c r="L3250" s="1" t="s">
        <v>1653</v>
      </c>
      <c r="M3250" s="1">
        <v>4.9036999999999997E-2</v>
      </c>
      <c r="N3250" s="1">
        <v>2.1515792699711076</v>
      </c>
    </row>
    <row r="3251" spans="11:14">
      <c r="K3251" s="1646">
        <v>45308</v>
      </c>
      <c r="L3251" s="1" t="s">
        <v>1653</v>
      </c>
      <c r="M3251" s="1">
        <v>4.9036999999999997E-2</v>
      </c>
      <c r="N3251" s="1">
        <v>2.1526343398977237</v>
      </c>
    </row>
    <row r="3252" spans="11:14">
      <c r="K3252" s="1646">
        <v>45309</v>
      </c>
      <c r="L3252" s="1" t="s">
        <v>1653</v>
      </c>
      <c r="M3252" s="1">
        <v>4.9036999999999997E-2</v>
      </c>
      <c r="N3252" s="1">
        <v>2.1536899271989793</v>
      </c>
    </row>
    <row r="3253" spans="11:14">
      <c r="K3253" s="1646">
        <v>45310</v>
      </c>
      <c r="L3253" s="1" t="s">
        <v>1653</v>
      </c>
      <c r="M3253" s="1">
        <v>4.9036999999999997E-2</v>
      </c>
      <c r="N3253" s="1">
        <v>2.1547460321285801</v>
      </c>
    </row>
    <row r="3254" spans="11:14">
      <c r="K3254" s="1646"/>
    </row>
    <row r="3255" spans="11:14">
      <c r="K3255" s="1646"/>
    </row>
    <row r="3256" spans="11:14">
      <c r="K3256" s="1646"/>
    </row>
    <row r="3257" spans="11:14">
      <c r="K3257" s="1646"/>
    </row>
    <row r="3258" spans="11:14">
      <c r="K3258" s="1646"/>
    </row>
    <row r="3259" spans="11:14">
      <c r="K3259" s="1646"/>
    </row>
    <row r="3260" spans="11:14">
      <c r="K3260" s="1646"/>
    </row>
    <row r="3261" spans="11:14">
      <c r="K3261" s="1646"/>
    </row>
    <row r="3262" spans="11:14">
      <c r="K3262" s="1646"/>
    </row>
    <row r="3263" spans="11:14">
      <c r="K3263" s="1646"/>
    </row>
    <row r="3264" spans="11:14">
      <c r="K3264" s="1646"/>
    </row>
    <row r="3265" spans="11:11">
      <c r="K3265" s="1646"/>
    </row>
    <row r="3266" spans="11:11">
      <c r="K3266" s="1646"/>
    </row>
    <row r="3267" spans="11:11">
      <c r="K3267" s="1646"/>
    </row>
    <row r="3268" spans="11:11">
      <c r="K3268" s="1646"/>
    </row>
    <row r="3269" spans="11:11">
      <c r="K3269" s="1646"/>
    </row>
    <row r="3270" spans="11:11">
      <c r="K3270" s="1646"/>
    </row>
    <row r="3271" spans="11:11">
      <c r="K3271" s="1646"/>
    </row>
    <row r="3272" spans="11:11">
      <c r="K3272" s="1646"/>
    </row>
    <row r="3273" spans="11:11">
      <c r="K3273" s="1646"/>
    </row>
    <row r="3274" spans="11:11">
      <c r="K3274" s="1646"/>
    </row>
    <row r="3275" spans="11:11">
      <c r="K3275" s="1646"/>
    </row>
    <row r="3276" spans="11:11">
      <c r="K3276" s="1646"/>
    </row>
    <row r="3277" spans="11:11">
      <c r="K3277" s="1646"/>
    </row>
    <row r="3278" spans="11:11">
      <c r="K3278" s="1646"/>
    </row>
    <row r="3279" spans="11:11">
      <c r="K3279" s="1646"/>
    </row>
    <row r="3280" spans="11:11">
      <c r="K3280" s="1646"/>
    </row>
    <row r="3281" spans="11:11">
      <c r="K3281" s="1646"/>
    </row>
    <row r="3282" spans="11:11">
      <c r="K3282" s="1646"/>
    </row>
    <row r="3283" spans="11:11">
      <c r="K3283" s="1646"/>
    </row>
    <row r="3284" spans="11:11">
      <c r="K3284" s="1646"/>
    </row>
    <row r="3285" spans="11:11">
      <c r="K3285" s="1646"/>
    </row>
    <row r="3286" spans="11:11">
      <c r="K3286" s="1646"/>
    </row>
    <row r="3287" spans="11:11">
      <c r="K3287" s="1646"/>
    </row>
    <row r="3288" spans="11:11">
      <c r="K3288" s="1646"/>
    </row>
    <row r="3289" spans="11:11">
      <c r="K3289" s="1646"/>
    </row>
    <row r="3290" spans="11:11">
      <c r="K3290" s="1646"/>
    </row>
    <row r="3291" spans="11:11">
      <c r="K3291" s="1646"/>
    </row>
    <row r="3292" spans="11:11">
      <c r="K3292" s="1646"/>
    </row>
    <row r="3293" spans="11:11">
      <c r="K3293" s="1646"/>
    </row>
    <row r="3294" spans="11:11">
      <c r="K3294" s="1646"/>
    </row>
    <row r="3295" spans="11:11">
      <c r="K3295" s="1646"/>
    </row>
    <row r="3296" spans="11:11">
      <c r="K3296" s="1646"/>
    </row>
    <row r="3297" spans="11:11">
      <c r="K3297" s="1646"/>
    </row>
    <row r="3298" spans="11:11">
      <c r="K3298" s="1646"/>
    </row>
    <row r="3299" spans="11:11">
      <c r="K3299" s="1646"/>
    </row>
    <row r="3300" spans="11:11">
      <c r="K3300" s="1646"/>
    </row>
    <row r="3301" spans="11:11">
      <c r="K3301" s="1646"/>
    </row>
    <row r="3302" spans="11:11">
      <c r="K3302" s="1646"/>
    </row>
    <row r="3303" spans="11:11">
      <c r="K3303" s="1646"/>
    </row>
    <row r="3304" spans="11:11">
      <c r="K3304" s="1646"/>
    </row>
    <row r="3305" spans="11:11">
      <c r="K3305" s="1646"/>
    </row>
    <row r="3306" spans="11:11">
      <c r="K3306" s="1646"/>
    </row>
    <row r="3307" spans="11:11">
      <c r="K3307" s="1646"/>
    </row>
    <row r="3308" spans="11:11">
      <c r="K3308" s="1646"/>
    </row>
    <row r="3309" spans="11:11">
      <c r="K3309" s="1646"/>
    </row>
    <row r="3310" spans="11:11">
      <c r="K3310" s="1646"/>
    </row>
    <row r="3311" spans="11:11">
      <c r="K3311" s="1646"/>
    </row>
    <row r="3312" spans="11:11">
      <c r="K3312" s="1646"/>
    </row>
    <row r="3313" spans="11:11">
      <c r="K3313" s="1646"/>
    </row>
    <row r="3314" spans="11:11">
      <c r="K3314" s="1646"/>
    </row>
    <row r="3315" spans="11:11">
      <c r="K3315" s="1646"/>
    </row>
    <row r="3316" spans="11:11">
      <c r="K3316" s="1646"/>
    </row>
    <row r="3317" spans="11:11">
      <c r="K3317" s="1646"/>
    </row>
    <row r="3318" spans="11:11">
      <c r="K3318" s="1646"/>
    </row>
    <row r="3319" spans="11:11">
      <c r="K3319" s="1646"/>
    </row>
    <row r="3320" spans="11:11">
      <c r="K3320" s="1646"/>
    </row>
    <row r="3321" spans="11:11">
      <c r="K3321" s="1646"/>
    </row>
    <row r="3322" spans="11:11">
      <c r="K3322" s="1646"/>
    </row>
    <row r="3323" spans="11:11">
      <c r="K3323" s="1646"/>
    </row>
    <row r="3324" spans="11:11">
      <c r="K3324" s="1646"/>
    </row>
    <row r="3325" spans="11:11">
      <c r="K3325" s="1646"/>
    </row>
    <row r="3326" spans="11:11">
      <c r="K3326" s="1646"/>
    </row>
    <row r="3327" spans="11:11">
      <c r="K3327" s="1646"/>
    </row>
    <row r="3328" spans="11:11">
      <c r="K3328" s="1646"/>
    </row>
    <row r="3329" spans="11:11">
      <c r="K3329" s="1646"/>
    </row>
    <row r="3330" spans="11:11">
      <c r="K3330" s="1646"/>
    </row>
    <row r="3331" spans="11:11">
      <c r="K3331" s="1646"/>
    </row>
    <row r="3332" spans="11:11">
      <c r="K3332" s="1646"/>
    </row>
    <row r="3333" spans="11:11">
      <c r="K3333" s="1646"/>
    </row>
    <row r="3334" spans="11:11">
      <c r="K3334" s="1646"/>
    </row>
    <row r="3335" spans="11:11">
      <c r="K3335" s="1646"/>
    </row>
    <row r="3336" spans="11:11">
      <c r="K3336" s="1646"/>
    </row>
    <row r="3337" spans="11:11">
      <c r="K3337" s="1646"/>
    </row>
    <row r="3338" spans="11:11">
      <c r="K3338" s="1646"/>
    </row>
    <row r="3339" spans="11:11">
      <c r="K3339" s="1646"/>
    </row>
    <row r="3340" spans="11:11">
      <c r="K3340" s="1646"/>
    </row>
    <row r="3341" spans="11:11">
      <c r="K3341" s="1646"/>
    </row>
    <row r="3342" spans="11:11">
      <c r="K3342" s="1646"/>
    </row>
    <row r="3343" spans="11:11">
      <c r="K3343" s="1646"/>
    </row>
    <row r="3344" spans="11:11">
      <c r="K3344" s="1646"/>
    </row>
    <row r="3345" spans="11:11">
      <c r="K3345" s="1646"/>
    </row>
    <row r="3346" spans="11:11">
      <c r="K3346" s="1646"/>
    </row>
    <row r="3347" spans="11:11">
      <c r="K3347" s="1646"/>
    </row>
    <row r="3348" spans="11:11">
      <c r="K3348" s="1646"/>
    </row>
    <row r="3349" spans="11:11">
      <c r="K3349" s="1646"/>
    </row>
    <row r="3350" spans="11:11">
      <c r="K3350" s="1646"/>
    </row>
    <row r="3351" spans="11:11">
      <c r="K3351" s="1646"/>
    </row>
    <row r="3352" spans="11:11">
      <c r="K3352" s="1646"/>
    </row>
    <row r="3353" spans="11:11">
      <c r="K3353" s="1646"/>
    </row>
    <row r="3354" spans="11:11">
      <c r="K3354" s="1646"/>
    </row>
    <row r="3355" spans="11:11">
      <c r="K3355" s="1646"/>
    </row>
    <row r="3356" spans="11:11">
      <c r="K3356" s="1646"/>
    </row>
    <row r="3357" spans="11:11">
      <c r="K3357" s="1646"/>
    </row>
    <row r="3358" spans="11:11">
      <c r="K3358" s="1646"/>
    </row>
    <row r="3359" spans="11:11">
      <c r="K3359" s="1646"/>
    </row>
    <row r="3360" spans="11:11">
      <c r="K3360" s="1646"/>
    </row>
    <row r="3361" spans="11:11">
      <c r="K3361" s="1646"/>
    </row>
    <row r="3362" spans="11:11">
      <c r="K3362" s="1646"/>
    </row>
    <row r="3363" spans="11:11">
      <c r="K3363" s="1646"/>
    </row>
    <row r="3364" spans="11:11">
      <c r="K3364" s="1646"/>
    </row>
    <row r="3365" spans="11:11">
      <c r="K3365" s="1646"/>
    </row>
    <row r="3366" spans="11:11">
      <c r="K3366" s="1646"/>
    </row>
    <row r="3367" spans="11:11">
      <c r="K3367" s="1646"/>
    </row>
    <row r="3368" spans="11:11">
      <c r="K3368" s="1646"/>
    </row>
    <row r="3369" spans="11:11">
      <c r="K3369" s="1646"/>
    </row>
    <row r="3370" spans="11:11">
      <c r="K3370" s="1646"/>
    </row>
    <row r="3371" spans="11:11">
      <c r="K3371" s="1646"/>
    </row>
    <row r="3372" spans="11:11">
      <c r="K3372" s="1646"/>
    </row>
    <row r="3373" spans="11:11">
      <c r="K3373" s="1646"/>
    </row>
    <row r="3374" spans="11:11">
      <c r="K3374" s="1646"/>
    </row>
    <row r="3375" spans="11:11">
      <c r="K3375" s="1646"/>
    </row>
    <row r="3376" spans="11:11">
      <c r="K3376" s="1646"/>
    </row>
    <row r="3377" spans="11:11">
      <c r="K3377" s="1646"/>
    </row>
    <row r="3378" spans="11:11">
      <c r="K3378" s="1646"/>
    </row>
    <row r="3379" spans="11:11">
      <c r="K3379" s="1646"/>
    </row>
    <row r="3380" spans="11:11">
      <c r="K3380" s="1646"/>
    </row>
    <row r="3381" spans="11:11">
      <c r="K3381" s="1646"/>
    </row>
    <row r="3382" spans="11:11">
      <c r="K3382" s="1646"/>
    </row>
    <row r="3383" spans="11:11">
      <c r="K3383" s="1646"/>
    </row>
    <row r="3384" spans="11:11">
      <c r="K3384" s="1646"/>
    </row>
    <row r="3385" spans="11:11">
      <c r="K3385" s="1646"/>
    </row>
    <row r="3386" spans="11:11">
      <c r="K3386" s="1646"/>
    </row>
    <row r="3387" spans="11:11">
      <c r="K3387" s="1646"/>
    </row>
    <row r="3388" spans="11:11">
      <c r="K3388" s="1646"/>
    </row>
    <row r="3389" spans="11:11">
      <c r="K3389" s="1646"/>
    </row>
    <row r="3390" spans="11:11">
      <c r="K3390" s="1646"/>
    </row>
    <row r="3391" spans="11:11">
      <c r="K3391" s="1646"/>
    </row>
    <row r="3392" spans="11:11">
      <c r="K3392" s="1646"/>
    </row>
    <row r="3393" spans="11:11">
      <c r="K3393" s="1646"/>
    </row>
    <row r="3394" spans="11:11">
      <c r="K3394" s="1646"/>
    </row>
    <row r="3395" spans="11:11">
      <c r="K3395" s="1646"/>
    </row>
    <row r="3396" spans="11:11">
      <c r="K3396" s="1646"/>
    </row>
    <row r="3397" spans="11:11">
      <c r="K3397" s="1646"/>
    </row>
    <row r="3398" spans="11:11">
      <c r="K3398" s="1646"/>
    </row>
    <row r="3399" spans="11:11">
      <c r="K3399" s="1646"/>
    </row>
    <row r="3400" spans="11:11">
      <c r="K3400" s="1646"/>
    </row>
    <row r="3401" spans="11:11">
      <c r="K3401" s="1646"/>
    </row>
    <row r="3402" spans="11:11">
      <c r="K3402" s="1646"/>
    </row>
    <row r="3403" spans="11:11">
      <c r="K3403" s="1646"/>
    </row>
    <row r="3404" spans="11:11">
      <c r="K3404" s="1646"/>
    </row>
    <row r="3405" spans="11:11">
      <c r="K3405" s="1646"/>
    </row>
    <row r="3406" spans="11:11">
      <c r="K3406" s="1646"/>
    </row>
    <row r="3407" spans="11:11">
      <c r="K3407" s="1646"/>
    </row>
    <row r="3408" spans="11:11">
      <c r="K3408" s="1646"/>
    </row>
    <row r="3409" spans="11:11">
      <c r="K3409" s="1646"/>
    </row>
    <row r="3410" spans="11:11">
      <c r="K3410" s="1646"/>
    </row>
    <row r="3411" spans="11:11">
      <c r="K3411" s="1646"/>
    </row>
    <row r="3412" spans="11:11">
      <c r="K3412" s="1646"/>
    </row>
    <row r="3413" spans="11:11">
      <c r="K3413" s="1646"/>
    </row>
    <row r="3414" spans="11:11">
      <c r="K3414" s="1646"/>
    </row>
    <row r="3415" spans="11:11">
      <c r="K3415" s="1646"/>
    </row>
    <row r="3416" spans="11:11">
      <c r="K3416" s="1646"/>
    </row>
    <row r="3417" spans="11:11">
      <c r="K3417" s="1646"/>
    </row>
    <row r="3418" spans="11:11">
      <c r="K3418" s="1646"/>
    </row>
    <row r="3419" spans="11:11">
      <c r="K3419" s="1646"/>
    </row>
    <row r="3420" spans="11:11">
      <c r="K3420" s="1646"/>
    </row>
    <row r="3421" spans="11:11">
      <c r="K3421" s="1646"/>
    </row>
    <row r="3422" spans="11:11">
      <c r="K3422" s="1646"/>
    </row>
    <row r="3423" spans="11:11">
      <c r="K3423" s="1646"/>
    </row>
    <row r="3424" spans="11:11">
      <c r="K3424" s="1646"/>
    </row>
    <row r="3425" spans="11:11">
      <c r="K3425" s="1646"/>
    </row>
    <row r="3426" spans="11:11">
      <c r="K3426" s="1646"/>
    </row>
    <row r="3427" spans="11:11">
      <c r="K3427" s="1646"/>
    </row>
    <row r="3428" spans="11:11">
      <c r="K3428" s="1646"/>
    </row>
    <row r="3429" spans="11:11">
      <c r="K3429" s="1646"/>
    </row>
    <row r="3430" spans="11:11">
      <c r="K3430" s="1646"/>
    </row>
    <row r="3431" spans="11:11">
      <c r="K3431" s="1646"/>
    </row>
    <row r="3432" spans="11:11">
      <c r="K3432" s="1646"/>
    </row>
    <row r="3433" spans="11:11">
      <c r="K3433" s="1646"/>
    </row>
    <row r="3434" spans="11:11">
      <c r="K3434" s="1646"/>
    </row>
    <row r="3435" spans="11:11">
      <c r="K3435" s="1646"/>
    </row>
    <row r="3436" spans="11:11">
      <c r="K3436" s="1646"/>
    </row>
    <row r="3437" spans="11:11">
      <c r="K3437" s="1646"/>
    </row>
    <row r="3438" spans="11:11">
      <c r="K3438" s="1646"/>
    </row>
    <row r="3439" spans="11:11">
      <c r="K3439" s="1646"/>
    </row>
    <row r="3440" spans="11:11">
      <c r="K3440" s="1646"/>
    </row>
    <row r="3441" spans="11:11">
      <c r="K3441" s="1646"/>
    </row>
    <row r="3442" spans="11:11">
      <c r="K3442" s="1646"/>
    </row>
    <row r="3443" spans="11:11">
      <c r="K3443" s="1646"/>
    </row>
    <row r="3444" spans="11:11">
      <c r="K3444" s="1646"/>
    </row>
    <row r="3445" spans="11:11">
      <c r="K3445" s="1646"/>
    </row>
    <row r="3446" spans="11:11">
      <c r="K3446" s="1646"/>
    </row>
    <row r="3447" spans="11:11">
      <c r="K3447" s="1646"/>
    </row>
    <row r="3448" spans="11:11">
      <c r="K3448" s="1646"/>
    </row>
    <row r="3449" spans="11:11">
      <c r="K3449" s="1646"/>
    </row>
    <row r="3450" spans="11:11">
      <c r="K3450" s="1646"/>
    </row>
    <row r="3451" spans="11:11">
      <c r="K3451" s="1646"/>
    </row>
    <row r="3452" spans="11:11">
      <c r="K3452" s="1646"/>
    </row>
    <row r="3453" spans="11:11">
      <c r="K3453" s="1646"/>
    </row>
    <row r="3454" spans="11:11">
      <c r="K3454" s="1646"/>
    </row>
    <row r="3455" spans="11:11">
      <c r="K3455" s="1646"/>
    </row>
    <row r="3456" spans="11:11">
      <c r="K3456" s="1646"/>
    </row>
    <row r="3457" spans="11:11">
      <c r="K3457" s="1646"/>
    </row>
    <row r="3458" spans="11:11">
      <c r="K3458" s="1646"/>
    </row>
    <row r="3459" spans="11:11">
      <c r="K3459" s="1646"/>
    </row>
    <row r="3460" spans="11:11">
      <c r="K3460" s="1646"/>
    </row>
    <row r="3461" spans="11:11">
      <c r="K3461" s="1646"/>
    </row>
    <row r="3462" spans="11:11">
      <c r="K3462" s="1646"/>
    </row>
    <row r="3463" spans="11:11">
      <c r="K3463" s="1646"/>
    </row>
    <row r="3464" spans="11:11">
      <c r="K3464" s="1646"/>
    </row>
    <row r="3465" spans="11:11">
      <c r="K3465" s="1646"/>
    </row>
    <row r="3466" spans="11:11">
      <c r="K3466" s="1646"/>
    </row>
    <row r="3467" spans="11:11">
      <c r="K3467" s="1646"/>
    </row>
    <row r="3468" spans="11:11">
      <c r="K3468" s="1646"/>
    </row>
    <row r="3469" spans="11:11">
      <c r="K3469" s="1646"/>
    </row>
    <row r="3470" spans="11:11">
      <c r="K3470" s="1646"/>
    </row>
    <row r="3471" spans="11:11">
      <c r="K3471" s="1646"/>
    </row>
    <row r="3472" spans="11:11">
      <c r="K3472" s="1646"/>
    </row>
    <row r="3473" spans="11:11">
      <c r="K3473" s="1646"/>
    </row>
    <row r="3474" spans="11:11">
      <c r="K3474" s="1646"/>
    </row>
    <row r="3475" spans="11:11">
      <c r="K3475" s="1646"/>
    </row>
    <row r="3476" spans="11:11">
      <c r="K3476" s="1646"/>
    </row>
    <row r="3477" spans="11:11">
      <c r="K3477" s="1646"/>
    </row>
    <row r="3478" spans="11:11">
      <c r="K3478" s="1646"/>
    </row>
    <row r="3479" spans="11:11">
      <c r="K3479" s="1646"/>
    </row>
    <row r="3480" spans="11:11">
      <c r="K3480" s="1646"/>
    </row>
    <row r="3481" spans="11:11">
      <c r="K3481" s="1646"/>
    </row>
    <row r="3482" spans="11:11">
      <c r="K3482" s="1646"/>
    </row>
    <row r="3483" spans="11:11">
      <c r="K3483" s="1646"/>
    </row>
    <row r="3484" spans="11:11">
      <c r="K3484" s="1646"/>
    </row>
    <row r="3485" spans="11:11">
      <c r="K3485" s="1646"/>
    </row>
    <row r="3486" spans="11:11">
      <c r="K3486" s="1646"/>
    </row>
    <row r="3487" spans="11:11">
      <c r="K3487" s="1646"/>
    </row>
    <row r="3488" spans="11:11">
      <c r="K3488" s="1646"/>
    </row>
    <row r="3489" spans="11:11">
      <c r="K3489" s="1646"/>
    </row>
    <row r="3490" spans="11:11">
      <c r="K3490" s="1646"/>
    </row>
    <row r="3491" spans="11:11">
      <c r="K3491" s="1646"/>
    </row>
    <row r="3492" spans="11:11">
      <c r="K3492" s="1646"/>
    </row>
    <row r="3493" spans="11:11">
      <c r="K3493" s="1646"/>
    </row>
    <row r="3494" spans="11:11">
      <c r="K3494" s="1646"/>
    </row>
    <row r="3495" spans="11:11">
      <c r="K3495" s="1646"/>
    </row>
    <row r="3496" spans="11:11">
      <c r="K3496" s="1646"/>
    </row>
    <row r="3497" spans="11:11">
      <c r="K3497" s="1646"/>
    </row>
    <row r="3498" spans="11:11">
      <c r="K3498" s="1646"/>
    </row>
    <row r="3499" spans="11:11">
      <c r="K3499" s="1646"/>
    </row>
    <row r="3500" spans="11:11">
      <c r="K3500" s="1646"/>
    </row>
    <row r="3501" spans="11:11">
      <c r="K3501" s="1646"/>
    </row>
    <row r="3502" spans="11:11">
      <c r="K3502" s="1646"/>
    </row>
    <row r="3503" spans="11:11">
      <c r="K3503" s="1646"/>
    </row>
    <row r="3504" spans="11:11">
      <c r="K3504" s="1646"/>
    </row>
    <row r="3505" spans="11:11">
      <c r="K3505" s="1646"/>
    </row>
    <row r="3506" spans="11:11">
      <c r="K3506" s="1646"/>
    </row>
    <row r="3507" spans="11:11">
      <c r="K3507" s="1646"/>
    </row>
    <row r="3508" spans="11:11">
      <c r="K3508" s="1646"/>
    </row>
    <row r="3509" spans="11:11">
      <c r="K3509" s="1646"/>
    </row>
    <row r="3510" spans="11:11">
      <c r="K3510" s="1646"/>
    </row>
    <row r="3511" spans="11:11">
      <c r="K3511" s="1646"/>
    </row>
    <row r="3512" spans="11:11">
      <c r="K3512" s="1646"/>
    </row>
    <row r="3513" spans="11:11">
      <c r="K3513" s="1646"/>
    </row>
    <row r="3514" spans="11:11">
      <c r="K3514" s="1646"/>
    </row>
    <row r="3515" spans="11:11">
      <c r="K3515" s="1646"/>
    </row>
    <row r="3516" spans="11:11">
      <c r="K3516" s="1646"/>
    </row>
    <row r="3517" spans="11:11">
      <c r="K3517" s="1646"/>
    </row>
    <row r="3518" spans="11:11">
      <c r="K3518" s="1646"/>
    </row>
    <row r="3519" spans="11:11">
      <c r="K3519" s="1646"/>
    </row>
    <row r="3520" spans="11:11">
      <c r="K3520" s="1646"/>
    </row>
    <row r="3521" spans="11:11">
      <c r="K3521" s="1646"/>
    </row>
    <row r="3522" spans="11:11">
      <c r="K3522" s="1646"/>
    </row>
    <row r="3523" spans="11:11">
      <c r="K3523" s="1646"/>
    </row>
    <row r="3524" spans="11:11">
      <c r="K3524" s="1646"/>
    </row>
    <row r="3525" spans="11:11">
      <c r="K3525" s="1646"/>
    </row>
    <row r="3526" spans="11:11">
      <c r="K3526" s="1646"/>
    </row>
    <row r="3527" spans="11:11">
      <c r="K3527" s="1646"/>
    </row>
    <row r="3528" spans="11:11">
      <c r="K3528" s="1646"/>
    </row>
    <row r="3529" spans="11:11">
      <c r="K3529" s="1646"/>
    </row>
    <row r="3530" spans="11:11">
      <c r="K3530" s="1646"/>
    </row>
    <row r="3531" spans="11:11">
      <c r="K3531" s="1646"/>
    </row>
    <row r="3532" spans="11:11">
      <c r="K3532" s="1646"/>
    </row>
    <row r="3533" spans="11:11">
      <c r="K3533" s="1646"/>
    </row>
    <row r="3534" spans="11:11">
      <c r="K3534" s="1646"/>
    </row>
    <row r="3535" spans="11:11">
      <c r="K3535" s="1646"/>
    </row>
    <row r="3536" spans="11:11">
      <c r="K3536" s="1646"/>
    </row>
    <row r="3537" spans="11:11">
      <c r="K3537" s="1646"/>
    </row>
    <row r="3538" spans="11:11">
      <c r="K3538" s="1646"/>
    </row>
    <row r="3539" spans="11:11">
      <c r="K3539" s="1646"/>
    </row>
    <row r="3540" spans="11:11">
      <c r="K3540" s="1646"/>
    </row>
    <row r="3541" spans="11:11">
      <c r="K3541" s="1646"/>
    </row>
    <row r="3542" spans="11:11">
      <c r="K3542" s="1646"/>
    </row>
    <row r="3543" spans="11:11">
      <c r="K3543" s="1646"/>
    </row>
    <row r="3544" spans="11:11">
      <c r="K3544" s="1646"/>
    </row>
    <row r="3545" spans="11:11">
      <c r="K3545" s="1646"/>
    </row>
    <row r="3546" spans="11:11">
      <c r="K3546" s="1646"/>
    </row>
    <row r="3547" spans="11:11">
      <c r="K3547" s="1646"/>
    </row>
    <row r="3548" spans="11:11">
      <c r="K3548" s="1646"/>
    </row>
    <row r="3549" spans="11:11">
      <c r="K3549" s="1646"/>
    </row>
    <row r="3550" spans="11:11">
      <c r="K3550" s="1646"/>
    </row>
    <row r="3551" spans="11:11">
      <c r="K3551" s="1646"/>
    </row>
    <row r="3552" spans="11:11">
      <c r="K3552" s="1646"/>
    </row>
    <row r="3553" spans="11:11">
      <c r="K3553" s="1646"/>
    </row>
    <row r="3554" spans="11:11">
      <c r="K3554" s="1646"/>
    </row>
    <row r="3555" spans="11:11">
      <c r="K3555" s="1646"/>
    </row>
    <row r="3556" spans="11:11">
      <c r="K3556" s="1646"/>
    </row>
    <row r="3557" spans="11:11">
      <c r="K3557" s="1646"/>
    </row>
    <row r="3558" spans="11:11">
      <c r="K3558" s="1646"/>
    </row>
    <row r="3559" spans="11:11">
      <c r="K3559" s="1646"/>
    </row>
    <row r="3560" spans="11:11">
      <c r="K3560" s="1646"/>
    </row>
    <row r="3561" spans="11:11">
      <c r="K3561" s="1646"/>
    </row>
    <row r="3562" spans="11:11">
      <c r="K3562" s="1646"/>
    </row>
    <row r="3563" spans="11:11">
      <c r="K3563" s="1646"/>
    </row>
    <row r="3564" spans="11:11">
      <c r="K3564" s="1646"/>
    </row>
    <row r="3565" spans="11:11">
      <c r="K3565" s="1646"/>
    </row>
    <row r="3566" spans="11:11">
      <c r="K3566" s="1646"/>
    </row>
    <row r="3567" spans="11:11">
      <c r="K3567" s="1646"/>
    </row>
    <row r="3568" spans="11:11">
      <c r="K3568" s="1646"/>
    </row>
    <row r="3569" spans="11:11">
      <c r="K3569" s="1646"/>
    </row>
    <row r="3570" spans="11:11">
      <c r="K3570" s="1646"/>
    </row>
    <row r="3571" spans="11:11">
      <c r="K3571" s="1646"/>
    </row>
    <row r="3572" spans="11:11">
      <c r="K3572" s="1646"/>
    </row>
    <row r="3573" spans="11:11">
      <c r="K3573" s="1646"/>
    </row>
    <row r="3574" spans="11:11">
      <c r="K3574" s="1646"/>
    </row>
    <row r="3575" spans="11:11">
      <c r="K3575" s="1646"/>
    </row>
    <row r="3576" spans="11:11">
      <c r="K3576" s="1646"/>
    </row>
    <row r="3577" spans="11:11">
      <c r="K3577" s="1646"/>
    </row>
    <row r="3578" spans="11:11">
      <c r="K3578" s="1646"/>
    </row>
    <row r="3579" spans="11:11">
      <c r="K3579" s="1646"/>
    </row>
    <row r="3580" spans="11:11">
      <c r="K3580" s="1646"/>
    </row>
    <row r="3581" spans="11:11">
      <c r="K3581" s="1646"/>
    </row>
    <row r="3582" spans="11:11">
      <c r="K3582" s="1646"/>
    </row>
    <row r="3583" spans="11:11">
      <c r="K3583" s="1646"/>
    </row>
    <row r="3584" spans="11:11">
      <c r="K3584" s="1646"/>
    </row>
    <row r="3585" spans="11:11">
      <c r="K3585" s="1646"/>
    </row>
    <row r="3586" spans="11:11">
      <c r="K3586" s="1646"/>
    </row>
    <row r="3587" spans="11:11">
      <c r="K3587" s="1646"/>
    </row>
    <row r="3588" spans="11:11">
      <c r="K3588" s="1646"/>
    </row>
    <row r="3589" spans="11:11">
      <c r="K3589" s="1646"/>
    </row>
    <row r="3590" spans="11:11">
      <c r="K3590" s="1646"/>
    </row>
    <row r="3591" spans="11:11">
      <c r="K3591" s="1646"/>
    </row>
    <row r="3592" spans="11:11">
      <c r="K3592" s="1646"/>
    </row>
    <row r="3593" spans="11:11">
      <c r="K3593" s="1646"/>
    </row>
    <row r="3594" spans="11:11">
      <c r="K3594" s="1646"/>
    </row>
    <row r="3595" spans="11:11">
      <c r="K3595" s="1646"/>
    </row>
    <row r="3596" spans="11:11">
      <c r="K3596" s="1646"/>
    </row>
    <row r="3597" spans="11:11">
      <c r="K3597" s="1646"/>
    </row>
    <row r="3598" spans="11:11">
      <c r="K3598" s="1646"/>
    </row>
    <row r="3599" spans="11:11">
      <c r="K3599" s="1646"/>
    </row>
    <row r="3600" spans="11:11">
      <c r="K3600" s="1646"/>
    </row>
    <row r="3601" spans="11:11">
      <c r="K3601" s="1646"/>
    </row>
    <row r="3602" spans="11:11">
      <c r="K3602" s="1646"/>
    </row>
    <row r="3603" spans="11:11">
      <c r="K3603" s="1646"/>
    </row>
    <row r="3604" spans="11:11">
      <c r="K3604" s="1646"/>
    </row>
    <row r="3605" spans="11:11">
      <c r="K3605" s="1646"/>
    </row>
    <row r="3606" spans="11:11">
      <c r="K3606" s="1646"/>
    </row>
    <row r="3607" spans="11:11">
      <c r="K3607" s="1646"/>
    </row>
    <row r="3608" spans="11:11">
      <c r="K3608" s="1646"/>
    </row>
    <row r="3609" spans="11:11">
      <c r="K3609" s="1646"/>
    </row>
    <row r="3610" spans="11:11">
      <c r="K3610" s="1646"/>
    </row>
    <row r="3611" spans="11:11">
      <c r="K3611" s="1646"/>
    </row>
    <row r="3612" spans="11:11">
      <c r="K3612" s="1646"/>
    </row>
    <row r="3613" spans="11:11">
      <c r="K3613" s="1646"/>
    </row>
    <row r="3614" spans="11:11">
      <c r="K3614" s="1646"/>
    </row>
    <row r="3615" spans="11:11">
      <c r="K3615" s="1646"/>
    </row>
    <row r="3616" spans="11:11">
      <c r="K3616" s="1646"/>
    </row>
    <row r="3617" spans="11:11">
      <c r="K3617" s="1646"/>
    </row>
    <row r="3618" spans="11:11">
      <c r="K3618" s="1646"/>
    </row>
    <row r="3619" spans="11:11">
      <c r="K3619" s="1646"/>
    </row>
    <row r="3620" spans="11:11">
      <c r="K3620" s="1646"/>
    </row>
    <row r="3621" spans="11:11">
      <c r="K3621" s="1646"/>
    </row>
    <row r="3622" spans="11:11">
      <c r="K3622" s="1646"/>
    </row>
    <row r="3623" spans="11:11">
      <c r="K3623" s="1646"/>
    </row>
    <row r="3624" spans="11:11">
      <c r="K3624" s="1646"/>
    </row>
    <row r="3625" spans="11:11">
      <c r="K3625" s="1646"/>
    </row>
    <row r="3626" spans="11:11">
      <c r="K3626" s="1646"/>
    </row>
    <row r="3627" spans="11:11">
      <c r="K3627" s="1646"/>
    </row>
    <row r="3628" spans="11:11">
      <c r="K3628" s="1646"/>
    </row>
    <row r="3629" spans="11:11">
      <c r="K3629" s="1646"/>
    </row>
    <row r="3630" spans="11:11">
      <c r="K3630" s="1646"/>
    </row>
    <row r="3631" spans="11:11">
      <c r="K3631" s="1646"/>
    </row>
    <row r="3632" spans="11:11">
      <c r="K3632" s="1646"/>
    </row>
    <row r="3633" spans="11:11">
      <c r="K3633" s="1646"/>
    </row>
    <row r="3634" spans="11:11">
      <c r="K3634" s="1646"/>
    </row>
    <row r="3635" spans="11:11">
      <c r="K3635" s="1646"/>
    </row>
    <row r="3636" spans="11:11">
      <c r="K3636" s="1646"/>
    </row>
    <row r="3637" spans="11:11">
      <c r="K3637" s="1646"/>
    </row>
    <row r="3638" spans="11:11">
      <c r="K3638" s="1646"/>
    </row>
    <row r="3639" spans="11:11">
      <c r="K3639" s="1646"/>
    </row>
    <row r="3640" spans="11:11">
      <c r="K3640" s="1646"/>
    </row>
    <row r="3641" spans="11:11">
      <c r="K3641" s="1646"/>
    </row>
    <row r="3642" spans="11:11">
      <c r="K3642" s="1646"/>
    </row>
    <row r="3643" spans="11:11">
      <c r="K3643" s="1646"/>
    </row>
    <row r="3644" spans="11:11">
      <c r="K3644" s="1646"/>
    </row>
    <row r="3645" spans="11:11">
      <c r="K3645" s="1646"/>
    </row>
    <row r="3646" spans="11:11">
      <c r="K3646" s="1646"/>
    </row>
    <row r="3647" spans="11:11">
      <c r="K3647" s="1646"/>
    </row>
    <row r="3648" spans="11:11">
      <c r="K3648" s="1646"/>
    </row>
    <row r="3649" spans="11:11">
      <c r="K3649" s="1646"/>
    </row>
    <row r="3650" spans="11:11">
      <c r="K3650" s="1646"/>
    </row>
    <row r="3651" spans="11:11">
      <c r="K3651" s="1646"/>
    </row>
    <row r="3652" spans="11:11">
      <c r="K3652" s="1646"/>
    </row>
    <row r="3653" spans="11:11">
      <c r="K3653" s="1646"/>
    </row>
    <row r="3654" spans="11:11">
      <c r="K3654" s="1646"/>
    </row>
    <row r="3655" spans="11:11">
      <c r="K3655" s="1646"/>
    </row>
    <row r="3656" spans="11:11">
      <c r="K3656" s="1646"/>
    </row>
    <row r="3657" spans="11:11">
      <c r="K3657" s="1646"/>
    </row>
    <row r="3658" spans="11:11">
      <c r="K3658" s="1646"/>
    </row>
    <row r="3659" spans="11:11">
      <c r="K3659" s="1646"/>
    </row>
    <row r="3660" spans="11:11">
      <c r="K3660" s="1646"/>
    </row>
    <row r="3661" spans="11:11">
      <c r="K3661" s="1646"/>
    </row>
    <row r="3662" spans="11:11">
      <c r="K3662" s="1646"/>
    </row>
    <row r="3663" spans="11:11">
      <c r="K3663" s="1646"/>
    </row>
    <row r="3664" spans="11:11">
      <c r="K3664" s="1646"/>
    </row>
    <row r="3665" spans="11:11">
      <c r="K3665" s="1646"/>
    </row>
    <row r="3666" spans="11:11">
      <c r="K3666" s="1646"/>
    </row>
    <row r="3667" spans="11:11">
      <c r="K3667" s="1646"/>
    </row>
    <row r="3668" spans="11:11">
      <c r="K3668" s="1646"/>
    </row>
    <row r="3669" spans="11:11">
      <c r="K3669" s="1646"/>
    </row>
    <row r="3670" spans="11:11">
      <c r="K3670" s="1646"/>
    </row>
    <row r="3671" spans="11:11">
      <c r="K3671" s="1646"/>
    </row>
    <row r="3672" spans="11:11">
      <c r="K3672" s="1646"/>
    </row>
    <row r="3673" spans="11:11">
      <c r="K3673" s="1646"/>
    </row>
    <row r="3674" spans="11:11">
      <c r="K3674" s="1646"/>
    </row>
    <row r="3675" spans="11:11">
      <c r="K3675" s="1646"/>
    </row>
    <row r="3676" spans="11:11">
      <c r="K3676" s="1646"/>
    </row>
    <row r="3677" spans="11:11">
      <c r="K3677" s="1646"/>
    </row>
    <row r="3678" spans="11:11">
      <c r="K3678" s="1646"/>
    </row>
    <row r="3679" spans="11:11">
      <c r="K3679" s="1646"/>
    </row>
    <row r="3680" spans="11:11">
      <c r="K3680" s="1646"/>
    </row>
    <row r="3681" spans="11:11">
      <c r="K3681" s="1646"/>
    </row>
    <row r="3682" spans="11:11">
      <c r="K3682" s="1646"/>
    </row>
    <row r="3683" spans="11:11">
      <c r="K3683" s="1646"/>
    </row>
    <row r="3684" spans="11:11">
      <c r="K3684" s="1646"/>
    </row>
    <row r="3685" spans="11:11">
      <c r="K3685" s="1646"/>
    </row>
    <row r="3686" spans="11:11">
      <c r="K3686" s="1646"/>
    </row>
    <row r="3687" spans="11:11">
      <c r="K3687" s="1646"/>
    </row>
    <row r="3688" spans="11:11">
      <c r="K3688" s="1646"/>
    </row>
    <row r="3689" spans="11:11">
      <c r="K3689" s="1646"/>
    </row>
    <row r="3690" spans="11:11">
      <c r="K3690" s="1646"/>
    </row>
    <row r="3691" spans="11:11">
      <c r="K3691" s="1646"/>
    </row>
    <row r="3692" spans="11:11">
      <c r="K3692" s="1646"/>
    </row>
  </sheetData>
  <autoFilter ref="B6:F500" xr:uid="{00000000-0009-0000-0000-000011000000}"/>
  <phoneticPr fontId="43" type="noConversion"/>
  <hyperlinks>
    <hyperlink ref="D2" location="CAPA!A1" tooltip="Clique para retornar à tela inicial" display="Capa" xr:uid="{00000000-0004-0000-1100-000000000000}"/>
  </hyperlinks>
  <pageMargins left="0.75" right="0.75" top="1" bottom="1" header="0.49212598499999999" footer="0.49212598499999999"/>
  <pageSetup paperSize="9" orientation="portrait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Plan12">
    <tabColor theme="1"/>
  </sheetPr>
  <dimension ref="A1:U2505"/>
  <sheetViews>
    <sheetView showGridLines="0" topLeftCell="A124" zoomScale="85" zoomScaleNormal="85" workbookViewId="0">
      <selection activeCell="C148" sqref="C148"/>
    </sheetView>
  </sheetViews>
  <sheetFormatPr defaultColWidth="9.7109375" defaultRowHeight="16.5"/>
  <cols>
    <col min="2" max="2" width="20.5703125" customWidth="1"/>
    <col min="3" max="3" width="55" bestFit="1" customWidth="1"/>
    <col min="4" max="4" width="9.85546875" style="14" bestFit="1" customWidth="1"/>
    <col min="5" max="5" width="14.7109375" style="14" customWidth="1"/>
    <col min="6" max="6" width="9.85546875" style="14" bestFit="1" customWidth="1"/>
    <col min="7" max="7" width="11.28515625" style="14" bestFit="1" customWidth="1"/>
    <col min="8" max="8" width="9.85546875" style="14" bestFit="1" customWidth="1"/>
    <col min="9" max="9" width="21" style="14" bestFit="1" customWidth="1"/>
    <col min="10" max="10" width="29" style="14" bestFit="1" customWidth="1"/>
    <col min="11" max="11" width="22" style="14" customWidth="1"/>
    <col min="12" max="12" width="17.7109375" style="14" bestFit="1" customWidth="1"/>
    <col min="13" max="13" width="13.42578125" style="14" bestFit="1" customWidth="1"/>
    <col min="14" max="14" width="19.140625" style="14" customWidth="1"/>
    <col min="15" max="15" width="10.28515625" style="14" bestFit="1" customWidth="1"/>
    <col min="16" max="16" width="16.7109375" bestFit="1" customWidth="1"/>
    <col min="17" max="17" width="17.140625" bestFit="1" customWidth="1"/>
  </cols>
  <sheetData>
    <row r="1" spans="1:17" s="13" customFormat="1" ht="15.75">
      <c r="A1" t="s">
        <v>1632</v>
      </c>
      <c r="B1" t="s">
        <v>1654</v>
      </c>
      <c r="C1" t="s">
        <v>20</v>
      </c>
      <c r="D1" t="s">
        <v>1655</v>
      </c>
      <c r="E1" t="s">
        <v>1656</v>
      </c>
      <c r="F1" t="s">
        <v>1657</v>
      </c>
      <c r="G1" t="s">
        <v>1658</v>
      </c>
      <c r="H1" t="s">
        <v>1659</v>
      </c>
      <c r="I1" t="s">
        <v>1450</v>
      </c>
      <c r="J1" t="s">
        <v>1451</v>
      </c>
      <c r="K1" t="s">
        <v>1452</v>
      </c>
      <c r="L1" t="s">
        <v>1660</v>
      </c>
      <c r="M1" t="s">
        <v>1661</v>
      </c>
      <c r="N1" t="s">
        <v>1662</v>
      </c>
      <c r="O1" t="s">
        <v>1663</v>
      </c>
      <c r="P1" t="s">
        <v>78</v>
      </c>
      <c r="Q1" t="s">
        <v>1664</v>
      </c>
    </row>
    <row r="2" spans="1:17" s="13" customFormat="1" ht="15.75">
      <c r="A2" t="s">
        <v>829</v>
      </c>
      <c r="B2" t="s">
        <v>1665</v>
      </c>
      <c r="C2" t="s">
        <v>1646</v>
      </c>
      <c r="D2">
        <v>1</v>
      </c>
      <c r="E2">
        <v>4</v>
      </c>
      <c r="F2">
        <v>12</v>
      </c>
      <c r="G2">
        <v>21</v>
      </c>
      <c r="H2">
        <v>20</v>
      </c>
      <c r="I2">
        <v>99</v>
      </c>
      <c r="J2">
        <v>999</v>
      </c>
      <c r="K2">
        <v>9</v>
      </c>
      <c r="L2">
        <v>99</v>
      </c>
      <c r="M2">
        <v>9</v>
      </c>
      <c r="N2">
        <v>4</v>
      </c>
      <c r="O2">
        <v>99999</v>
      </c>
      <c r="P2" s="233">
        <f t="shared" ref="P2:P63" si="0">IF(ISNUMBER(Q2),Q2,0)</f>
        <v>0.10704236088323049</v>
      </c>
      <c r="Q2" s="233">
        <f>CAPA!K16</f>
        <v>0.10704236088323049</v>
      </c>
    </row>
    <row r="3" spans="1:17" s="13" customFormat="1" ht="15.75">
      <c r="A3" t="s">
        <v>829</v>
      </c>
      <c r="B3" t="s">
        <v>1665</v>
      </c>
      <c r="C3" t="s">
        <v>899</v>
      </c>
      <c r="D3">
        <v>1</v>
      </c>
      <c r="E3">
        <v>4</v>
      </c>
      <c r="F3">
        <v>12</v>
      </c>
      <c r="G3">
        <v>22</v>
      </c>
      <c r="H3">
        <v>20</v>
      </c>
      <c r="I3">
        <v>99</v>
      </c>
      <c r="J3">
        <v>999</v>
      </c>
      <c r="K3">
        <v>9</v>
      </c>
      <c r="L3">
        <v>99</v>
      </c>
      <c r="M3">
        <v>9</v>
      </c>
      <c r="N3">
        <v>4</v>
      </c>
      <c r="O3">
        <v>99999</v>
      </c>
      <c r="P3" s="233">
        <f t="shared" si="0"/>
        <v>0.11886869625198027</v>
      </c>
      <c r="Q3" s="233">
        <f>CAPA!K17</f>
        <v>0.11886869625198027</v>
      </c>
    </row>
    <row r="4" spans="1:17" s="13" customFormat="1" ht="15.75">
      <c r="A4" t="s">
        <v>829</v>
      </c>
      <c r="B4" t="s">
        <v>1665</v>
      </c>
      <c r="C4" t="s">
        <v>1646</v>
      </c>
      <c r="D4">
        <v>1</v>
      </c>
      <c r="E4">
        <v>4</v>
      </c>
      <c r="F4">
        <v>12</v>
      </c>
      <c r="G4">
        <v>21</v>
      </c>
      <c r="H4">
        <v>21</v>
      </c>
      <c r="I4">
        <v>99</v>
      </c>
      <c r="J4">
        <v>999</v>
      </c>
      <c r="K4">
        <v>9</v>
      </c>
      <c r="L4">
        <v>99</v>
      </c>
      <c r="M4">
        <v>9</v>
      </c>
      <c r="N4">
        <v>6</v>
      </c>
      <c r="O4">
        <v>99999</v>
      </c>
      <c r="P4" s="233">
        <f t="shared" si="0"/>
        <v>1190.8820000000001</v>
      </c>
      <c r="Q4" s="233">
        <f>CAPA!K14</f>
        <v>1190.8820000000001</v>
      </c>
    </row>
    <row r="5" spans="1:17" s="13" customFormat="1" ht="15.75">
      <c r="A5" t="s">
        <v>829</v>
      </c>
      <c r="B5" t="s">
        <v>1665</v>
      </c>
      <c r="C5" t="s">
        <v>899</v>
      </c>
      <c r="D5">
        <v>1</v>
      </c>
      <c r="E5">
        <v>4</v>
      </c>
      <c r="F5">
        <v>12</v>
      </c>
      <c r="G5">
        <v>22</v>
      </c>
      <c r="H5">
        <v>21</v>
      </c>
      <c r="I5">
        <v>99</v>
      </c>
      <c r="J5">
        <v>999</v>
      </c>
      <c r="K5">
        <v>9</v>
      </c>
      <c r="L5">
        <v>99</v>
      </c>
      <c r="M5">
        <v>9</v>
      </c>
      <c r="N5">
        <v>6</v>
      </c>
      <c r="O5">
        <v>99999</v>
      </c>
      <c r="P5" s="233">
        <f t="shared" si="0"/>
        <v>6455.85</v>
      </c>
      <c r="Q5" s="233">
        <f>CAPA!K15</f>
        <v>6455.85</v>
      </c>
    </row>
    <row r="6" spans="1:17" s="13" customFormat="1" ht="15.75">
      <c r="A6" t="s">
        <v>829</v>
      </c>
      <c r="B6" t="s">
        <v>1665</v>
      </c>
      <c r="C6" t="s">
        <v>11</v>
      </c>
      <c r="D6">
        <v>3</v>
      </c>
      <c r="E6">
        <v>1</v>
      </c>
      <c r="F6">
        <v>11</v>
      </c>
      <c r="G6">
        <v>24</v>
      </c>
      <c r="H6">
        <v>999</v>
      </c>
      <c r="I6">
        <v>99</v>
      </c>
      <c r="J6">
        <v>999</v>
      </c>
      <c r="K6">
        <v>9</v>
      </c>
      <c r="L6">
        <v>99</v>
      </c>
      <c r="M6">
        <v>9</v>
      </c>
      <c r="N6">
        <v>4</v>
      </c>
      <c r="O6">
        <v>99999</v>
      </c>
      <c r="P6" s="233">
        <f t="shared" ca="1" si="0"/>
        <v>0.1605</v>
      </c>
      <c r="Q6" s="233">
        <f ca="1">Resultado!C7</f>
        <v>0.1605</v>
      </c>
    </row>
    <row r="7" spans="1:17" s="13" customFormat="1" ht="15.75">
      <c r="A7" t="s">
        <v>829</v>
      </c>
      <c r="B7" t="s">
        <v>1665</v>
      </c>
      <c r="C7" t="s">
        <v>1413</v>
      </c>
      <c r="D7">
        <v>3</v>
      </c>
      <c r="E7">
        <v>2</v>
      </c>
      <c r="F7">
        <v>11</v>
      </c>
      <c r="G7">
        <v>25</v>
      </c>
      <c r="H7">
        <v>999</v>
      </c>
      <c r="I7">
        <v>99</v>
      </c>
      <c r="J7">
        <v>999</v>
      </c>
      <c r="K7">
        <v>9</v>
      </c>
      <c r="L7">
        <v>99</v>
      </c>
      <c r="M7">
        <v>9</v>
      </c>
      <c r="N7">
        <v>4</v>
      </c>
      <c r="O7">
        <v>99999</v>
      </c>
      <c r="P7" s="233">
        <f t="shared" ca="1" si="0"/>
        <v>-0.221</v>
      </c>
      <c r="Q7" s="233">
        <f ca="1">Resultado!C8</f>
        <v>-0.221</v>
      </c>
    </row>
    <row r="8" spans="1:17" s="13" customFormat="1" ht="15.75">
      <c r="A8" t="s">
        <v>829</v>
      </c>
      <c r="B8" t="s">
        <v>1665</v>
      </c>
      <c r="C8" t="s">
        <v>12</v>
      </c>
      <c r="D8">
        <v>3</v>
      </c>
      <c r="E8">
        <v>99</v>
      </c>
      <c r="F8">
        <v>11</v>
      </c>
      <c r="G8">
        <v>26</v>
      </c>
      <c r="H8">
        <v>999</v>
      </c>
      <c r="I8">
        <v>99</v>
      </c>
      <c r="J8">
        <v>999</v>
      </c>
      <c r="K8">
        <v>9</v>
      </c>
      <c r="L8">
        <v>99</v>
      </c>
      <c r="M8">
        <v>9</v>
      </c>
      <c r="N8">
        <v>4</v>
      </c>
      <c r="O8">
        <v>99999</v>
      </c>
      <c r="P8" s="233">
        <f t="shared" ca="1" si="0"/>
        <v>-6.0499999999999998E-2</v>
      </c>
      <c r="Q8" s="233">
        <f ca="1">Resultado!C9</f>
        <v>-6.0499999999999998E-2</v>
      </c>
    </row>
    <row r="9" spans="1:17" s="13" customFormat="1" ht="15.75">
      <c r="A9" t="s">
        <v>829</v>
      </c>
      <c r="B9" t="s">
        <v>1665</v>
      </c>
      <c r="C9" t="s">
        <v>1666</v>
      </c>
      <c r="D9">
        <v>1</v>
      </c>
      <c r="E9">
        <v>4</v>
      </c>
      <c r="F9">
        <v>14</v>
      </c>
      <c r="G9">
        <v>29</v>
      </c>
      <c r="H9">
        <v>999</v>
      </c>
      <c r="I9">
        <v>99</v>
      </c>
      <c r="J9">
        <v>999</v>
      </c>
      <c r="K9">
        <v>9</v>
      </c>
      <c r="L9">
        <v>99</v>
      </c>
      <c r="M9">
        <v>9</v>
      </c>
      <c r="N9">
        <v>4</v>
      </c>
      <c r="O9">
        <v>99999</v>
      </c>
      <c r="P9" s="233">
        <f t="shared" ca="1" si="0"/>
        <v>0.20464807768586596</v>
      </c>
      <c r="Q9" s="233">
        <f ca="1">IF(ISERROR(LnkTXTICMS),0,LnkTXTICMS)</f>
        <v>0.20464807768586596</v>
      </c>
    </row>
    <row r="10" spans="1:17" s="13" customFormat="1" ht="15.75">
      <c r="A10" t="s">
        <v>829</v>
      </c>
      <c r="B10" t="s">
        <v>1665</v>
      </c>
      <c r="C10" t="s">
        <v>1667</v>
      </c>
      <c r="D10">
        <v>1</v>
      </c>
      <c r="E10">
        <v>4</v>
      </c>
      <c r="F10">
        <v>14</v>
      </c>
      <c r="G10">
        <v>30</v>
      </c>
      <c r="H10">
        <v>999</v>
      </c>
      <c r="I10">
        <v>99</v>
      </c>
      <c r="J10">
        <v>999</v>
      </c>
      <c r="K10">
        <v>9</v>
      </c>
      <c r="L10">
        <v>99</v>
      </c>
      <c r="M10">
        <v>9</v>
      </c>
      <c r="N10">
        <v>4</v>
      </c>
      <c r="O10">
        <v>99999</v>
      </c>
      <c r="P10" s="233">
        <f t="shared" ca="1" si="0"/>
        <v>2.5362065080911513E-2</v>
      </c>
      <c r="Q10" s="233">
        <f ca="1">IF(ISERROR(LNKTXTPercPISCOFINS),0,LNKTXTPercPISCOFINS)</f>
        <v>2.5362065080911513E-2</v>
      </c>
    </row>
    <row r="11" spans="1:17" ht="15.75">
      <c r="A11" t="s">
        <v>829</v>
      </c>
      <c r="B11" t="s">
        <v>107</v>
      </c>
      <c r="C11" t="s">
        <v>40</v>
      </c>
      <c r="D11">
        <v>2</v>
      </c>
      <c r="E11">
        <v>1</v>
      </c>
      <c r="F11">
        <v>51</v>
      </c>
      <c r="G11">
        <v>999999</v>
      </c>
      <c r="H11">
        <v>999</v>
      </c>
      <c r="I11">
        <v>3</v>
      </c>
      <c r="J11">
        <v>12</v>
      </c>
      <c r="K11">
        <v>1</v>
      </c>
      <c r="L11">
        <v>99</v>
      </c>
      <c r="M11">
        <v>9</v>
      </c>
      <c r="N11">
        <v>3</v>
      </c>
      <c r="O11">
        <v>99999</v>
      </c>
      <c r="P11" s="233">
        <f t="shared" si="0"/>
        <v>0</v>
      </c>
      <c r="Q11" s="233">
        <f>Resultado!D15</f>
        <v>0</v>
      </c>
    </row>
    <row r="12" spans="1:17" ht="15.75">
      <c r="A12" t="s">
        <v>829</v>
      </c>
      <c r="B12" t="s">
        <v>107</v>
      </c>
      <c r="C12" t="s">
        <v>42</v>
      </c>
      <c r="D12">
        <v>2</v>
      </c>
      <c r="E12">
        <v>1</v>
      </c>
      <c r="F12">
        <v>51</v>
      </c>
      <c r="G12">
        <v>999999</v>
      </c>
      <c r="H12">
        <v>999</v>
      </c>
      <c r="I12">
        <v>3</v>
      </c>
      <c r="J12">
        <v>13</v>
      </c>
      <c r="K12">
        <v>1</v>
      </c>
      <c r="L12">
        <v>99</v>
      </c>
      <c r="M12">
        <v>9</v>
      </c>
      <c r="N12">
        <v>3</v>
      </c>
      <c r="O12">
        <v>99999</v>
      </c>
      <c r="P12" s="233">
        <f t="shared" si="0"/>
        <v>0</v>
      </c>
      <c r="Q12" s="233">
        <f>Resultado!D16</f>
        <v>0</v>
      </c>
    </row>
    <row r="13" spans="1:17" ht="15.75">
      <c r="A13" t="s">
        <v>829</v>
      </c>
      <c r="B13" t="s">
        <v>107</v>
      </c>
      <c r="C13" t="s">
        <v>44</v>
      </c>
      <c r="D13">
        <v>2</v>
      </c>
      <c r="E13">
        <v>1</v>
      </c>
      <c r="F13">
        <v>51</v>
      </c>
      <c r="G13">
        <v>999999</v>
      </c>
      <c r="H13">
        <v>999</v>
      </c>
      <c r="I13">
        <v>3</v>
      </c>
      <c r="J13">
        <v>14</v>
      </c>
      <c r="K13">
        <v>1</v>
      </c>
      <c r="L13">
        <v>99</v>
      </c>
      <c r="M13">
        <v>9</v>
      </c>
      <c r="N13">
        <v>3</v>
      </c>
      <c r="O13">
        <v>99999</v>
      </c>
      <c r="P13" s="233">
        <f t="shared" ca="1" si="0"/>
        <v>42024.992316025076</v>
      </c>
      <c r="Q13" s="233">
        <f ca="1">Resultado!D17</f>
        <v>42024.992316025076</v>
      </c>
    </row>
    <row r="14" spans="1:17" ht="15.75">
      <c r="A14" t="s">
        <v>829</v>
      </c>
      <c r="B14" t="s">
        <v>107</v>
      </c>
      <c r="C14" t="s">
        <v>46</v>
      </c>
      <c r="D14">
        <v>2</v>
      </c>
      <c r="E14">
        <v>1</v>
      </c>
      <c r="F14">
        <v>51</v>
      </c>
      <c r="G14">
        <v>999999</v>
      </c>
      <c r="H14">
        <v>999</v>
      </c>
      <c r="I14">
        <v>3</v>
      </c>
      <c r="J14">
        <v>15</v>
      </c>
      <c r="K14">
        <v>1</v>
      </c>
      <c r="L14">
        <v>99</v>
      </c>
      <c r="M14">
        <v>9</v>
      </c>
      <c r="N14">
        <v>3</v>
      </c>
      <c r="O14">
        <v>99999</v>
      </c>
      <c r="P14" s="233">
        <f t="shared" ca="1" si="0"/>
        <v>1389890.3980500002</v>
      </c>
      <c r="Q14" s="233">
        <f ca="1">Encargos!I19</f>
        <v>1389890.3980500002</v>
      </c>
    </row>
    <row r="15" spans="1:17" ht="15.75">
      <c r="A15" t="s">
        <v>829</v>
      </c>
      <c r="B15" t="s">
        <v>107</v>
      </c>
      <c r="C15" t="s">
        <v>163</v>
      </c>
      <c r="D15">
        <v>2</v>
      </c>
      <c r="E15">
        <v>1</v>
      </c>
      <c r="F15">
        <v>51</v>
      </c>
      <c r="G15">
        <v>999999</v>
      </c>
      <c r="H15">
        <v>999</v>
      </c>
      <c r="I15">
        <v>3</v>
      </c>
      <c r="J15">
        <v>16</v>
      </c>
      <c r="K15">
        <v>2</v>
      </c>
      <c r="L15">
        <v>99</v>
      </c>
      <c r="M15">
        <v>9</v>
      </c>
      <c r="N15">
        <v>3</v>
      </c>
      <c r="O15">
        <v>99999</v>
      </c>
      <c r="P15" s="233">
        <f t="shared" si="0"/>
        <v>0</v>
      </c>
      <c r="Q15" s="233">
        <f>Resultado!D19</f>
        <v>0</v>
      </c>
    </row>
    <row r="16" spans="1:17" ht="15.75">
      <c r="A16" t="s">
        <v>829</v>
      </c>
      <c r="B16" t="s">
        <v>107</v>
      </c>
      <c r="C16" t="s">
        <v>162</v>
      </c>
      <c r="D16">
        <v>2</v>
      </c>
      <c r="E16">
        <v>1</v>
      </c>
      <c r="F16">
        <v>51</v>
      </c>
      <c r="G16">
        <v>999999</v>
      </c>
      <c r="H16">
        <v>999</v>
      </c>
      <c r="I16">
        <v>3</v>
      </c>
      <c r="J16">
        <v>17</v>
      </c>
      <c r="K16">
        <v>2</v>
      </c>
      <c r="L16">
        <v>99</v>
      </c>
      <c r="M16">
        <v>9</v>
      </c>
      <c r="N16">
        <v>3</v>
      </c>
      <c r="O16">
        <v>99999</v>
      </c>
      <c r="P16" s="233">
        <f t="shared" si="0"/>
        <v>0</v>
      </c>
      <c r="Q16" s="233">
        <f>Resultado!D20</f>
        <v>0</v>
      </c>
    </row>
    <row r="17" spans="1:17" ht="15.75">
      <c r="A17" t="s">
        <v>829</v>
      </c>
      <c r="B17" t="s">
        <v>107</v>
      </c>
      <c r="C17" t="s">
        <v>52</v>
      </c>
      <c r="D17">
        <v>2</v>
      </c>
      <c r="E17">
        <v>1</v>
      </c>
      <c r="F17">
        <v>51</v>
      </c>
      <c r="G17">
        <v>999999</v>
      </c>
      <c r="H17">
        <v>999</v>
      </c>
      <c r="I17">
        <v>3</v>
      </c>
      <c r="J17">
        <v>18</v>
      </c>
      <c r="K17">
        <v>1</v>
      </c>
      <c r="L17">
        <v>99</v>
      </c>
      <c r="M17">
        <v>9</v>
      </c>
      <c r="N17">
        <v>3</v>
      </c>
      <c r="O17">
        <v>99999</v>
      </c>
      <c r="P17" s="233">
        <f t="shared" ca="1" si="0"/>
        <v>222749.78508000006</v>
      </c>
      <c r="Q17" s="233">
        <f ca="1">Resultado!D21</f>
        <v>222749.78508000006</v>
      </c>
    </row>
    <row r="18" spans="1:17" ht="15.75">
      <c r="A18" t="s">
        <v>829</v>
      </c>
      <c r="B18" t="s">
        <v>107</v>
      </c>
      <c r="C18" t="s">
        <v>53</v>
      </c>
      <c r="D18">
        <v>2</v>
      </c>
      <c r="E18">
        <v>1</v>
      </c>
      <c r="F18">
        <v>51</v>
      </c>
      <c r="G18">
        <v>999999</v>
      </c>
      <c r="H18">
        <v>999</v>
      </c>
      <c r="I18">
        <v>3</v>
      </c>
      <c r="J18">
        <v>19</v>
      </c>
      <c r="K18">
        <v>3</v>
      </c>
      <c r="L18">
        <v>99</v>
      </c>
      <c r="M18">
        <v>9</v>
      </c>
      <c r="N18">
        <v>3</v>
      </c>
      <c r="O18">
        <v>99999</v>
      </c>
      <c r="P18" s="233">
        <f t="shared" si="0"/>
        <v>0</v>
      </c>
      <c r="Q18" s="233">
        <f>Resultado!D22</f>
        <v>0</v>
      </c>
    </row>
    <row r="19" spans="1:17" ht="15.75">
      <c r="A19" t="s">
        <v>829</v>
      </c>
      <c r="B19" t="s">
        <v>107</v>
      </c>
      <c r="C19" t="s">
        <v>54</v>
      </c>
      <c r="D19">
        <v>2</v>
      </c>
      <c r="E19">
        <v>1</v>
      </c>
      <c r="F19">
        <v>51</v>
      </c>
      <c r="G19">
        <v>999999</v>
      </c>
      <c r="H19">
        <v>999</v>
      </c>
      <c r="I19">
        <v>3</v>
      </c>
      <c r="J19">
        <v>20</v>
      </c>
      <c r="K19">
        <v>1</v>
      </c>
      <c r="L19">
        <v>99</v>
      </c>
      <c r="M19">
        <v>9</v>
      </c>
      <c r="N19">
        <v>3</v>
      </c>
      <c r="O19">
        <v>99999</v>
      </c>
      <c r="P19" s="233">
        <f t="shared" si="0"/>
        <v>0</v>
      </c>
      <c r="Q19" s="233">
        <f>Resultado!D23</f>
        <v>0</v>
      </c>
    </row>
    <row r="20" spans="1:17" ht="15.75">
      <c r="A20" t="s">
        <v>829</v>
      </c>
      <c r="B20" t="s">
        <v>846</v>
      </c>
      <c r="C20" t="s">
        <v>1668</v>
      </c>
      <c r="D20">
        <v>1</v>
      </c>
      <c r="E20">
        <v>1</v>
      </c>
      <c r="F20">
        <v>15</v>
      </c>
      <c r="G20">
        <v>140</v>
      </c>
      <c r="H20">
        <v>999</v>
      </c>
      <c r="I20">
        <v>1</v>
      </c>
      <c r="J20">
        <v>7</v>
      </c>
      <c r="K20">
        <v>9</v>
      </c>
      <c r="L20">
        <v>99</v>
      </c>
      <c r="M20">
        <v>9</v>
      </c>
      <c r="N20">
        <v>4</v>
      </c>
      <c r="O20">
        <v>99999</v>
      </c>
      <c r="P20" s="233">
        <f t="shared" si="0"/>
        <v>0</v>
      </c>
      <c r="Q20" s="233">
        <f>CUSD!G3</f>
        <v>0</v>
      </c>
    </row>
    <row r="21" spans="1:17" ht="15.75">
      <c r="A21" t="s">
        <v>829</v>
      </c>
      <c r="B21" t="s">
        <v>846</v>
      </c>
      <c r="C21" t="s">
        <v>1669</v>
      </c>
      <c r="D21">
        <v>1</v>
      </c>
      <c r="E21">
        <v>1</v>
      </c>
      <c r="F21">
        <v>51</v>
      </c>
      <c r="G21">
        <v>141</v>
      </c>
      <c r="H21">
        <v>999</v>
      </c>
      <c r="I21">
        <v>1</v>
      </c>
      <c r="J21">
        <v>7</v>
      </c>
      <c r="K21">
        <v>9</v>
      </c>
      <c r="L21">
        <v>99</v>
      </c>
      <c r="M21">
        <v>9</v>
      </c>
      <c r="N21">
        <v>3</v>
      </c>
      <c r="O21">
        <v>99999</v>
      </c>
      <c r="P21" s="233">
        <f t="shared" si="0"/>
        <v>2300281.9677699995</v>
      </c>
      <c r="Q21" s="233">
        <f>Q22/(1-Q20)</f>
        <v>2300281.9677699995</v>
      </c>
    </row>
    <row r="22" spans="1:17" ht="15.75">
      <c r="A22" t="s">
        <v>829</v>
      </c>
      <c r="B22" t="s">
        <v>846</v>
      </c>
      <c r="C22" t="s">
        <v>1670</v>
      </c>
      <c r="D22">
        <v>2</v>
      </c>
      <c r="E22">
        <v>1</v>
      </c>
      <c r="F22">
        <v>51</v>
      </c>
      <c r="G22">
        <v>999999</v>
      </c>
      <c r="H22">
        <v>999</v>
      </c>
      <c r="I22">
        <v>1</v>
      </c>
      <c r="J22">
        <v>7</v>
      </c>
      <c r="K22">
        <v>1</v>
      </c>
      <c r="L22">
        <v>99</v>
      </c>
      <c r="M22">
        <v>9</v>
      </c>
      <c r="N22">
        <v>3</v>
      </c>
      <c r="O22">
        <v>99999</v>
      </c>
      <c r="P22" s="233">
        <f t="shared" si="0"/>
        <v>2300281.9677699995</v>
      </c>
      <c r="Q22" s="233">
        <f>CUSD!C3</f>
        <v>2300281.9677699995</v>
      </c>
    </row>
    <row r="23" spans="1:17" ht="15.75">
      <c r="A23" t="s">
        <v>829</v>
      </c>
      <c r="B23" t="s">
        <v>846</v>
      </c>
      <c r="C23" s="9" t="s">
        <v>1305</v>
      </c>
      <c r="D23">
        <v>2</v>
      </c>
      <c r="E23">
        <v>1</v>
      </c>
      <c r="F23">
        <v>51</v>
      </c>
      <c r="G23">
        <v>999999</v>
      </c>
      <c r="H23">
        <v>999</v>
      </c>
      <c r="I23">
        <v>1</v>
      </c>
      <c r="J23">
        <v>1</v>
      </c>
      <c r="K23">
        <v>1</v>
      </c>
      <c r="L23">
        <v>99</v>
      </c>
      <c r="M23">
        <v>9</v>
      </c>
      <c r="N23">
        <v>3</v>
      </c>
      <c r="O23">
        <v>99999</v>
      </c>
      <c r="P23" s="233">
        <f t="shared" ref="P23:P29" si="1">IF(ISNUMBER(Q23),Q23,0)</f>
        <v>0</v>
      </c>
      <c r="Q23" s="233">
        <f>Resultado!D25</f>
        <v>0</v>
      </c>
    </row>
    <row r="24" spans="1:17" ht="15.75">
      <c r="A24" t="s">
        <v>829</v>
      </c>
      <c r="B24" t="s">
        <v>846</v>
      </c>
      <c r="C24" t="s">
        <v>1333</v>
      </c>
      <c r="D24">
        <v>2</v>
      </c>
      <c r="E24">
        <v>1</v>
      </c>
      <c r="F24">
        <v>51</v>
      </c>
      <c r="G24">
        <v>999999</v>
      </c>
      <c r="H24">
        <v>999</v>
      </c>
      <c r="I24">
        <v>1</v>
      </c>
      <c r="J24">
        <v>2</v>
      </c>
      <c r="K24">
        <v>1</v>
      </c>
      <c r="L24">
        <v>99</v>
      </c>
      <c r="M24">
        <v>9</v>
      </c>
      <c r="N24">
        <v>3</v>
      </c>
      <c r="O24">
        <v>99999</v>
      </c>
      <c r="P24" s="233">
        <f t="shared" si="1"/>
        <v>0</v>
      </c>
      <c r="Q24" s="233">
        <f>Resultado!D26</f>
        <v>0</v>
      </c>
    </row>
    <row r="25" spans="1:17" ht="15.75">
      <c r="A25" t="s">
        <v>829</v>
      </c>
      <c r="B25" t="s">
        <v>846</v>
      </c>
      <c r="C25" t="s">
        <v>1671</v>
      </c>
      <c r="D25">
        <v>2</v>
      </c>
      <c r="E25">
        <v>1</v>
      </c>
      <c r="F25">
        <v>51</v>
      </c>
      <c r="G25">
        <v>999999</v>
      </c>
      <c r="H25">
        <v>999</v>
      </c>
      <c r="I25">
        <v>1</v>
      </c>
      <c r="J25">
        <v>3</v>
      </c>
      <c r="K25">
        <v>1</v>
      </c>
      <c r="L25">
        <v>99</v>
      </c>
      <c r="M25">
        <v>9</v>
      </c>
      <c r="N25">
        <v>3</v>
      </c>
      <c r="O25">
        <v>99999</v>
      </c>
      <c r="P25" s="233">
        <f t="shared" si="1"/>
        <v>0</v>
      </c>
      <c r="Q25" s="233">
        <f>Resultado!D31</f>
        <v>0</v>
      </c>
    </row>
    <row r="26" spans="1:17" ht="15.75">
      <c r="A26" t="s">
        <v>829</v>
      </c>
      <c r="B26" t="s">
        <v>846</v>
      </c>
      <c r="C26" t="s">
        <v>1672</v>
      </c>
      <c r="D26">
        <v>2</v>
      </c>
      <c r="E26">
        <v>1</v>
      </c>
      <c r="F26">
        <v>51</v>
      </c>
      <c r="G26">
        <v>999999</v>
      </c>
      <c r="H26">
        <v>999</v>
      </c>
      <c r="I26">
        <v>1</v>
      </c>
      <c r="J26">
        <v>5</v>
      </c>
      <c r="K26">
        <v>1</v>
      </c>
      <c r="L26">
        <v>99</v>
      </c>
      <c r="M26">
        <v>9</v>
      </c>
      <c r="N26">
        <v>3</v>
      </c>
      <c r="O26">
        <v>99999</v>
      </c>
      <c r="P26" s="233">
        <f t="shared" si="1"/>
        <v>0</v>
      </c>
      <c r="Q26" s="233">
        <f>Resultado!D27</f>
        <v>0</v>
      </c>
    </row>
    <row r="27" spans="1:17" ht="15.75">
      <c r="A27" t="s">
        <v>829</v>
      </c>
      <c r="B27" t="s">
        <v>846</v>
      </c>
      <c r="C27" t="s">
        <v>1673</v>
      </c>
      <c r="D27">
        <v>2</v>
      </c>
      <c r="E27">
        <v>1</v>
      </c>
      <c r="F27">
        <v>51</v>
      </c>
      <c r="G27">
        <v>999999</v>
      </c>
      <c r="H27">
        <v>999</v>
      </c>
      <c r="I27">
        <v>1</v>
      </c>
      <c r="J27">
        <v>6</v>
      </c>
      <c r="K27">
        <v>1</v>
      </c>
      <c r="L27">
        <v>99</v>
      </c>
      <c r="M27">
        <v>9</v>
      </c>
      <c r="N27">
        <v>3</v>
      </c>
      <c r="O27">
        <v>99999</v>
      </c>
      <c r="P27" s="233">
        <f t="shared" si="1"/>
        <v>0</v>
      </c>
      <c r="Q27" s="233">
        <f>Resultado!D28</f>
        <v>0</v>
      </c>
    </row>
    <row r="28" spans="1:17" ht="15.75">
      <c r="A28" t="s">
        <v>829</v>
      </c>
      <c r="B28" t="s">
        <v>846</v>
      </c>
      <c r="C28" t="s">
        <v>1674</v>
      </c>
      <c r="D28">
        <v>2</v>
      </c>
      <c r="E28">
        <v>1</v>
      </c>
      <c r="F28">
        <v>51</v>
      </c>
      <c r="G28">
        <v>999999</v>
      </c>
      <c r="H28">
        <v>999</v>
      </c>
      <c r="I28">
        <v>1</v>
      </c>
      <c r="J28">
        <v>21</v>
      </c>
      <c r="K28">
        <v>2</v>
      </c>
      <c r="L28">
        <v>99</v>
      </c>
      <c r="M28">
        <v>9</v>
      </c>
      <c r="N28">
        <v>3</v>
      </c>
      <c r="O28">
        <v>99999</v>
      </c>
      <c r="P28" s="233">
        <f>IF(ISNUMBER(Q28),Q28,0)</f>
        <v>0</v>
      </c>
      <c r="Q28" s="233">
        <f>Resultado!D30</f>
        <v>0</v>
      </c>
    </row>
    <row r="29" spans="1:17">
      <c r="A29" t="s">
        <v>829</v>
      </c>
      <c r="B29" t="s">
        <v>846</v>
      </c>
      <c r="C29" t="s">
        <v>1675</v>
      </c>
      <c r="D29" s="259">
        <v>2</v>
      </c>
      <c r="E29" s="259">
        <v>1</v>
      </c>
      <c r="F29" s="259">
        <v>51</v>
      </c>
      <c r="G29">
        <v>999999</v>
      </c>
      <c r="H29" s="259">
        <v>999</v>
      </c>
      <c r="I29" s="259">
        <v>1</v>
      </c>
      <c r="J29" s="259">
        <v>23</v>
      </c>
      <c r="K29" s="259">
        <v>2</v>
      </c>
      <c r="L29" s="259">
        <v>99</v>
      </c>
      <c r="M29" s="259">
        <v>9</v>
      </c>
      <c r="N29" s="259">
        <v>3</v>
      </c>
      <c r="O29" s="260">
        <v>99999</v>
      </c>
      <c r="P29" s="233">
        <f t="shared" si="1"/>
        <v>0</v>
      </c>
      <c r="Q29" s="233">
        <f>Resultado!D29</f>
        <v>0</v>
      </c>
    </row>
    <row r="30" spans="1:17" ht="15.75">
      <c r="A30" t="s">
        <v>832</v>
      </c>
      <c r="B30" t="s">
        <v>158</v>
      </c>
      <c r="C30" t="s">
        <v>874</v>
      </c>
      <c r="D30">
        <v>1</v>
      </c>
      <c r="E30">
        <v>1</v>
      </c>
      <c r="F30">
        <v>52</v>
      </c>
      <c r="G30">
        <v>55</v>
      </c>
      <c r="H30">
        <v>999</v>
      </c>
      <c r="I30">
        <v>2</v>
      </c>
      <c r="J30">
        <v>999</v>
      </c>
      <c r="K30">
        <v>9</v>
      </c>
      <c r="L30">
        <v>99</v>
      </c>
      <c r="M30">
        <v>9</v>
      </c>
      <c r="N30">
        <v>2</v>
      </c>
      <c r="O30">
        <v>99999</v>
      </c>
      <c r="P30" s="233">
        <f t="shared" si="0"/>
        <v>0</v>
      </c>
      <c r="Q30" s="233"/>
    </row>
    <row r="31" spans="1:17" ht="15.75">
      <c r="A31" t="s">
        <v>829</v>
      </c>
      <c r="B31" t="s">
        <v>158</v>
      </c>
      <c r="C31" t="s">
        <v>874</v>
      </c>
      <c r="D31">
        <v>1</v>
      </c>
      <c r="E31">
        <v>1</v>
      </c>
      <c r="F31">
        <v>51</v>
      </c>
      <c r="G31">
        <v>55</v>
      </c>
      <c r="H31">
        <v>999</v>
      </c>
      <c r="I31">
        <v>2</v>
      </c>
      <c r="J31">
        <v>999</v>
      </c>
      <c r="K31">
        <v>9</v>
      </c>
      <c r="L31">
        <v>99</v>
      </c>
      <c r="M31">
        <v>9</v>
      </c>
      <c r="N31">
        <v>2</v>
      </c>
      <c r="O31">
        <v>99999</v>
      </c>
      <c r="P31" s="233">
        <f t="shared" ca="1" si="0"/>
        <v>19534.821867000002</v>
      </c>
      <c r="Q31" s="233">
        <f ca="1">Energia!C5</f>
        <v>19534.821867000002</v>
      </c>
    </row>
    <row r="32" spans="1:17" ht="15.75">
      <c r="A32" t="s">
        <v>829</v>
      </c>
      <c r="B32" t="s">
        <v>158</v>
      </c>
      <c r="C32" t="s">
        <v>1676</v>
      </c>
      <c r="D32">
        <v>1</v>
      </c>
      <c r="E32">
        <v>1</v>
      </c>
      <c r="F32">
        <v>51</v>
      </c>
      <c r="G32">
        <v>999999</v>
      </c>
      <c r="H32">
        <v>999</v>
      </c>
      <c r="I32">
        <v>2</v>
      </c>
      <c r="J32">
        <v>8</v>
      </c>
      <c r="K32">
        <v>9</v>
      </c>
      <c r="L32">
        <v>99</v>
      </c>
      <c r="M32">
        <v>9</v>
      </c>
      <c r="N32">
        <v>2</v>
      </c>
      <c r="O32">
        <v>99999</v>
      </c>
      <c r="P32" s="233">
        <f t="shared" ca="1" si="0"/>
        <v>3157.7538669999999</v>
      </c>
      <c r="Q32" s="233">
        <f ca="1">Energia!M17</f>
        <v>3157.7538669999999</v>
      </c>
    </row>
    <row r="33" spans="1:17" ht="15.75">
      <c r="A33" t="s">
        <v>829</v>
      </c>
      <c r="B33" t="s">
        <v>158</v>
      </c>
      <c r="C33" t="s">
        <v>1677</v>
      </c>
      <c r="D33">
        <v>1</v>
      </c>
      <c r="E33">
        <v>1</v>
      </c>
      <c r="F33">
        <v>51</v>
      </c>
      <c r="G33">
        <v>999999</v>
      </c>
      <c r="H33">
        <v>999</v>
      </c>
      <c r="I33">
        <v>2</v>
      </c>
      <c r="J33">
        <v>9</v>
      </c>
      <c r="K33">
        <v>9</v>
      </c>
      <c r="L33">
        <v>99</v>
      </c>
      <c r="M33">
        <v>9</v>
      </c>
      <c r="N33">
        <v>2</v>
      </c>
      <c r="O33">
        <v>99999</v>
      </c>
      <c r="P33" s="233">
        <f t="shared" ca="1" si="0"/>
        <v>0</v>
      </c>
      <c r="Q33" s="233">
        <f ca="1">Energia!M16</f>
        <v>0</v>
      </c>
    </row>
    <row r="34" spans="1:17" ht="15.75">
      <c r="A34" t="s">
        <v>829</v>
      </c>
      <c r="B34" t="s">
        <v>158</v>
      </c>
      <c r="C34" t="s">
        <v>1678</v>
      </c>
      <c r="D34">
        <v>1</v>
      </c>
      <c r="E34">
        <v>1</v>
      </c>
      <c r="F34">
        <v>51</v>
      </c>
      <c r="G34">
        <v>999999</v>
      </c>
      <c r="H34">
        <v>999</v>
      </c>
      <c r="I34">
        <v>2</v>
      </c>
      <c r="J34">
        <v>10</v>
      </c>
      <c r="K34">
        <v>9</v>
      </c>
      <c r="L34">
        <v>99</v>
      </c>
      <c r="M34">
        <v>9</v>
      </c>
      <c r="N34">
        <v>2</v>
      </c>
      <c r="O34">
        <v>99999</v>
      </c>
      <c r="P34" s="233">
        <f t="shared" ca="1" si="0"/>
        <v>0</v>
      </c>
      <c r="Q34" s="233">
        <f ca="1">Energia!M18</f>
        <v>0</v>
      </c>
    </row>
    <row r="35" spans="1:17" ht="15.75">
      <c r="A35" t="s">
        <v>829</v>
      </c>
      <c r="B35" t="s">
        <v>158</v>
      </c>
      <c r="C35" t="s">
        <v>1679</v>
      </c>
      <c r="D35">
        <v>1</v>
      </c>
      <c r="E35">
        <v>1</v>
      </c>
      <c r="F35">
        <v>51</v>
      </c>
      <c r="G35">
        <v>999999</v>
      </c>
      <c r="H35">
        <v>999</v>
      </c>
      <c r="I35">
        <v>2</v>
      </c>
      <c r="J35">
        <v>24</v>
      </c>
      <c r="K35">
        <v>9</v>
      </c>
      <c r="L35">
        <v>99</v>
      </c>
      <c r="M35">
        <v>9</v>
      </c>
      <c r="N35">
        <v>2</v>
      </c>
      <c r="O35">
        <v>99999</v>
      </c>
      <c r="P35" s="233">
        <f t="shared" ca="1" si="0"/>
        <v>0</v>
      </c>
      <c r="Q35" s="233">
        <f ca="1">Energia!M19</f>
        <v>0</v>
      </c>
    </row>
    <row r="36" spans="1:17" ht="15.75">
      <c r="A36" t="s">
        <v>829</v>
      </c>
      <c r="B36" t="s">
        <v>158</v>
      </c>
      <c r="C36" t="s">
        <v>1680</v>
      </c>
      <c r="D36">
        <v>1</v>
      </c>
      <c r="E36">
        <v>1</v>
      </c>
      <c r="F36">
        <v>51</v>
      </c>
      <c r="G36">
        <v>999999</v>
      </c>
      <c r="H36">
        <v>999</v>
      </c>
      <c r="I36">
        <v>2</v>
      </c>
      <c r="J36">
        <v>8</v>
      </c>
      <c r="K36">
        <v>9</v>
      </c>
      <c r="L36">
        <v>99</v>
      </c>
      <c r="M36">
        <v>9</v>
      </c>
      <c r="N36">
        <v>4</v>
      </c>
      <c r="O36">
        <v>99999</v>
      </c>
      <c r="P36" s="233">
        <f t="shared" ca="1" si="0"/>
        <v>0.16164743597351994</v>
      </c>
      <c r="Q36" s="233">
        <f ca="1">Energia!M14</f>
        <v>0.16164743597351994</v>
      </c>
    </row>
    <row r="37" spans="1:17" s="12" customFormat="1" ht="15.75">
      <c r="A37" t="s">
        <v>829</v>
      </c>
      <c r="B37" t="s">
        <v>158</v>
      </c>
      <c r="C37" t="s">
        <v>1681</v>
      </c>
      <c r="D37">
        <v>1</v>
      </c>
      <c r="E37">
        <v>1</v>
      </c>
      <c r="F37">
        <v>51</v>
      </c>
      <c r="G37">
        <v>999999</v>
      </c>
      <c r="H37">
        <v>999</v>
      </c>
      <c r="I37">
        <v>2</v>
      </c>
      <c r="J37">
        <v>9</v>
      </c>
      <c r="K37">
        <v>9</v>
      </c>
      <c r="L37">
        <v>99</v>
      </c>
      <c r="M37">
        <v>9</v>
      </c>
      <c r="N37">
        <v>4</v>
      </c>
      <c r="O37">
        <v>99999</v>
      </c>
      <c r="P37" s="233">
        <f t="shared" ca="1" si="0"/>
        <v>0</v>
      </c>
      <c r="Q37" s="233">
        <f ca="1">Energia!M13</f>
        <v>0</v>
      </c>
    </row>
    <row r="38" spans="1:17" s="12" customFormat="1" ht="15.75">
      <c r="A38" t="s">
        <v>829</v>
      </c>
      <c r="B38" t="s">
        <v>158</v>
      </c>
      <c r="C38" t="s">
        <v>1682</v>
      </c>
      <c r="D38">
        <v>1</v>
      </c>
      <c r="E38">
        <v>1</v>
      </c>
      <c r="F38">
        <v>51</v>
      </c>
      <c r="G38">
        <v>999999</v>
      </c>
      <c r="H38">
        <v>999</v>
      </c>
      <c r="I38">
        <v>2</v>
      </c>
      <c r="J38">
        <v>10</v>
      </c>
      <c r="K38">
        <v>9</v>
      </c>
      <c r="L38">
        <v>99</v>
      </c>
      <c r="M38">
        <v>9</v>
      </c>
      <c r="N38">
        <v>4</v>
      </c>
      <c r="O38">
        <v>99999</v>
      </c>
      <c r="P38" s="233">
        <f t="shared" ca="1" si="0"/>
        <v>0</v>
      </c>
      <c r="Q38" s="233">
        <f ca="1">Energia!M15</f>
        <v>0</v>
      </c>
    </row>
    <row r="39" spans="1:17" s="15" customFormat="1" ht="15.75">
      <c r="A39" t="s">
        <v>829</v>
      </c>
      <c r="B39" t="s">
        <v>158</v>
      </c>
      <c r="C39" t="s">
        <v>1683</v>
      </c>
      <c r="D39">
        <v>2</v>
      </c>
      <c r="E39">
        <v>1</v>
      </c>
      <c r="F39">
        <v>51</v>
      </c>
      <c r="G39">
        <v>999999</v>
      </c>
      <c r="H39">
        <v>999</v>
      </c>
      <c r="I39">
        <v>2</v>
      </c>
      <c r="J39">
        <v>30</v>
      </c>
      <c r="K39">
        <v>2</v>
      </c>
      <c r="L39">
        <v>99</v>
      </c>
      <c r="M39">
        <v>9</v>
      </c>
      <c r="N39">
        <v>3</v>
      </c>
      <c r="O39">
        <v>99999</v>
      </c>
      <c r="P39" s="233">
        <f t="shared" ca="1" si="0"/>
        <v>2288467.0436729463</v>
      </c>
      <c r="Q39" s="233">
        <f ca="1">Energia!C14</f>
        <v>2288467.0436729463</v>
      </c>
    </row>
    <row r="40" spans="1:17" ht="15.75">
      <c r="A40" t="s">
        <v>832</v>
      </c>
      <c r="B40" t="s">
        <v>158</v>
      </c>
      <c r="C40" t="s">
        <v>1684</v>
      </c>
      <c r="D40">
        <v>1</v>
      </c>
      <c r="E40">
        <v>1</v>
      </c>
      <c r="F40">
        <v>51</v>
      </c>
      <c r="G40">
        <v>150</v>
      </c>
      <c r="H40">
        <v>999</v>
      </c>
      <c r="I40">
        <v>2</v>
      </c>
      <c r="J40">
        <v>999</v>
      </c>
      <c r="K40">
        <v>9</v>
      </c>
      <c r="L40">
        <v>99</v>
      </c>
      <c r="M40">
        <v>9</v>
      </c>
      <c r="N40">
        <v>5</v>
      </c>
      <c r="O40">
        <v>99999</v>
      </c>
      <c r="P40" s="233">
        <f t="shared" ca="1" si="0"/>
        <v>117.14808864158792</v>
      </c>
      <c r="Q40" s="233">
        <f ca="1">Energia!C13</f>
        <v>117.14808864158792</v>
      </c>
    </row>
    <row r="41" spans="1:17" ht="15.75">
      <c r="A41" t="s">
        <v>832</v>
      </c>
      <c r="B41" t="s">
        <v>158</v>
      </c>
      <c r="C41" t="s">
        <v>1685</v>
      </c>
      <c r="D41">
        <v>1</v>
      </c>
      <c r="E41">
        <v>1</v>
      </c>
      <c r="F41">
        <v>4</v>
      </c>
      <c r="G41">
        <v>999999</v>
      </c>
      <c r="H41">
        <v>999</v>
      </c>
      <c r="I41">
        <v>2</v>
      </c>
      <c r="J41">
        <v>999</v>
      </c>
      <c r="K41">
        <v>9</v>
      </c>
      <c r="L41">
        <v>99</v>
      </c>
      <c r="M41">
        <v>9</v>
      </c>
      <c r="N41">
        <v>2</v>
      </c>
      <c r="O41">
        <v>99999</v>
      </c>
      <c r="P41" s="233">
        <f t="shared" si="0"/>
        <v>293.256159697513</v>
      </c>
      <c r="Q41" s="233">
        <f>Energia!C19</f>
        <v>293.256159697513</v>
      </c>
    </row>
    <row r="42" spans="1:17" ht="15.75">
      <c r="A42" t="s">
        <v>829</v>
      </c>
      <c r="B42" t="s">
        <v>158</v>
      </c>
      <c r="C42" t="s">
        <v>1686</v>
      </c>
      <c r="D42">
        <v>1</v>
      </c>
      <c r="E42">
        <v>1</v>
      </c>
      <c r="F42">
        <v>16</v>
      </c>
      <c r="G42">
        <v>999999</v>
      </c>
      <c r="H42">
        <v>999</v>
      </c>
      <c r="I42">
        <v>2</v>
      </c>
      <c r="J42">
        <v>999</v>
      </c>
      <c r="K42">
        <v>9</v>
      </c>
      <c r="L42">
        <v>99</v>
      </c>
      <c r="M42">
        <v>9</v>
      </c>
      <c r="N42">
        <v>2</v>
      </c>
      <c r="O42">
        <v>99999</v>
      </c>
      <c r="P42" s="233">
        <f t="shared" ca="1" si="0"/>
        <v>19241.565707302489</v>
      </c>
      <c r="Q42" s="233">
        <f ca="1">Energia!C22</f>
        <v>19241.565707302489</v>
      </c>
    </row>
    <row r="43" spans="1:17" ht="15.75">
      <c r="A43" t="s">
        <v>829</v>
      </c>
      <c r="B43" t="s">
        <v>158</v>
      </c>
      <c r="C43" s="9" t="s">
        <v>1687</v>
      </c>
      <c r="D43">
        <v>1</v>
      </c>
      <c r="E43">
        <v>1</v>
      </c>
      <c r="F43">
        <v>16</v>
      </c>
      <c r="G43">
        <v>999999</v>
      </c>
      <c r="H43">
        <v>999</v>
      </c>
      <c r="I43">
        <v>2</v>
      </c>
      <c r="J43">
        <v>999</v>
      </c>
      <c r="K43">
        <v>9</v>
      </c>
      <c r="L43">
        <v>99</v>
      </c>
      <c r="M43">
        <v>9</v>
      </c>
      <c r="N43">
        <v>3</v>
      </c>
      <c r="O43">
        <v>99999</v>
      </c>
      <c r="P43" s="233">
        <f t="shared" ca="1" si="0"/>
        <v>2288467.0436729463</v>
      </c>
      <c r="Q43" s="233">
        <f ca="1">Energia!F22</f>
        <v>2288467.0436729463</v>
      </c>
    </row>
    <row r="44" spans="1:17" s="12" customFormat="1" ht="15.75">
      <c r="A44" t="s">
        <v>829</v>
      </c>
      <c r="B44" t="s">
        <v>158</v>
      </c>
      <c r="C44" t="s">
        <v>1688</v>
      </c>
      <c r="D44">
        <v>1</v>
      </c>
      <c r="E44">
        <v>1</v>
      </c>
      <c r="F44">
        <v>6</v>
      </c>
      <c r="G44">
        <v>999999</v>
      </c>
      <c r="H44">
        <v>999</v>
      </c>
      <c r="I44">
        <v>2</v>
      </c>
      <c r="J44">
        <v>999</v>
      </c>
      <c r="K44">
        <v>9</v>
      </c>
      <c r="L44">
        <v>99</v>
      </c>
      <c r="M44">
        <v>9</v>
      </c>
      <c r="N44">
        <v>2</v>
      </c>
      <c r="O44">
        <v>99999</v>
      </c>
      <c r="P44" s="233">
        <f t="shared" ca="1" si="0"/>
        <v>0</v>
      </c>
      <c r="Q44" s="233">
        <f ca="1">LnkTXTGPM</f>
        <v>0</v>
      </c>
    </row>
    <row r="45" spans="1:17" s="12" customFormat="1" ht="15.75">
      <c r="A45" t="s">
        <v>829</v>
      </c>
      <c r="B45" t="s">
        <v>158</v>
      </c>
      <c r="C45" t="s">
        <v>1689</v>
      </c>
      <c r="D45">
        <v>1</v>
      </c>
      <c r="E45">
        <v>1</v>
      </c>
      <c r="F45">
        <v>6</v>
      </c>
      <c r="G45">
        <v>999999</v>
      </c>
      <c r="H45">
        <v>999</v>
      </c>
      <c r="I45">
        <v>2</v>
      </c>
      <c r="J45">
        <v>999</v>
      </c>
      <c r="K45">
        <v>9</v>
      </c>
      <c r="L45">
        <v>99</v>
      </c>
      <c r="M45">
        <v>9</v>
      </c>
      <c r="N45">
        <v>3</v>
      </c>
      <c r="O45">
        <v>99999</v>
      </c>
      <c r="P45" s="233">
        <f t="shared" ca="1" si="0"/>
        <v>0</v>
      </c>
      <c r="Q45" s="233">
        <f ca="1">Energia!F18</f>
        <v>0</v>
      </c>
    </row>
    <row r="46" spans="1:17" s="12" customFormat="1" ht="15.75">
      <c r="A46" t="s">
        <v>829</v>
      </c>
      <c r="B46" t="s">
        <v>158</v>
      </c>
      <c r="C46" t="s">
        <v>1690</v>
      </c>
      <c r="D46">
        <v>1</v>
      </c>
      <c r="E46">
        <v>1</v>
      </c>
      <c r="F46">
        <v>6</v>
      </c>
      <c r="G46">
        <v>999999</v>
      </c>
      <c r="H46">
        <v>999</v>
      </c>
      <c r="I46">
        <v>2</v>
      </c>
      <c r="J46">
        <v>999</v>
      </c>
      <c r="K46">
        <v>9</v>
      </c>
      <c r="L46">
        <v>99</v>
      </c>
      <c r="M46">
        <v>9</v>
      </c>
      <c r="N46">
        <v>5</v>
      </c>
      <c r="O46">
        <v>99999</v>
      </c>
      <c r="P46" s="233">
        <f t="shared" si="0"/>
        <v>0</v>
      </c>
      <c r="Q46" s="233">
        <f>LnkTXTGPCU</f>
        <v>0</v>
      </c>
    </row>
    <row r="47" spans="1:17" s="12" customFormat="1" ht="15.75">
      <c r="A47" t="s">
        <v>829</v>
      </c>
      <c r="B47" t="s">
        <v>158</v>
      </c>
      <c r="C47" s="9" t="s">
        <v>1691</v>
      </c>
      <c r="D47">
        <v>1</v>
      </c>
      <c r="E47">
        <v>1</v>
      </c>
      <c r="F47">
        <v>15</v>
      </c>
      <c r="G47">
        <v>143</v>
      </c>
      <c r="H47">
        <v>999</v>
      </c>
      <c r="I47">
        <v>2</v>
      </c>
      <c r="J47">
        <v>999</v>
      </c>
      <c r="K47">
        <v>9</v>
      </c>
      <c r="L47">
        <f>IF((LEFT(Energia!C28,3)="A2 "),2,IF((LEFT(Energia!C28,3)="A3 "),3,IF((LEFT(Energia!C28,3)="A3a"),4,IF((LEFT(Energia!C28,3)="A4 "),5,99))))</f>
        <v>5</v>
      </c>
      <c r="M47">
        <v>9</v>
      </c>
      <c r="N47">
        <v>4</v>
      </c>
      <c r="O47" s="420">
        <f>VALUE(Energia!A28)</f>
        <v>390</v>
      </c>
      <c r="P47" s="233">
        <f t="shared" si="0"/>
        <v>0.58150000000000002</v>
      </c>
      <c r="Q47" s="233">
        <f>Energia!F28</f>
        <v>0.58150000000000002</v>
      </c>
    </row>
    <row r="48" spans="1:17" s="12" customFormat="1" ht="15.75">
      <c r="A48" t="s">
        <v>829</v>
      </c>
      <c r="B48" t="s">
        <v>158</v>
      </c>
      <c r="C48" s="9" t="s">
        <v>1691</v>
      </c>
      <c r="D48">
        <v>1</v>
      </c>
      <c r="E48">
        <v>1</v>
      </c>
      <c r="F48">
        <v>15</v>
      </c>
      <c r="G48">
        <v>143</v>
      </c>
      <c r="H48">
        <v>999</v>
      </c>
      <c r="I48">
        <v>2</v>
      </c>
      <c r="J48">
        <v>999</v>
      </c>
      <c r="K48">
        <v>9</v>
      </c>
      <c r="L48">
        <f>IF((LEFT(Energia!C29,3)="A2 "),2,IF((LEFT(Energia!C29,3)="A3 "),3,IF((LEFT(Energia!C29,3)="A3a"),4,IF((LEFT(Energia!C29,3)="A4 "),5,99))))</f>
        <v>99</v>
      </c>
      <c r="M48">
        <v>9</v>
      </c>
      <c r="N48">
        <v>4</v>
      </c>
      <c r="O48" s="420">
        <f>VALUE(Energia!A29)</f>
        <v>0</v>
      </c>
      <c r="P48" s="233">
        <f t="shared" si="0"/>
        <v>0</v>
      </c>
      <c r="Q48" s="233">
        <f>Energia!F29</f>
        <v>0</v>
      </c>
    </row>
    <row r="49" spans="1:17" s="12" customFormat="1" ht="15.75">
      <c r="A49" t="s">
        <v>829</v>
      </c>
      <c r="B49" t="s">
        <v>158</v>
      </c>
      <c r="C49" s="9" t="s">
        <v>1691</v>
      </c>
      <c r="D49">
        <v>1</v>
      </c>
      <c r="E49">
        <v>1</v>
      </c>
      <c r="F49">
        <v>15</v>
      </c>
      <c r="G49">
        <v>143</v>
      </c>
      <c r="H49">
        <v>999</v>
      </c>
      <c r="I49">
        <v>2</v>
      </c>
      <c r="J49">
        <v>999</v>
      </c>
      <c r="K49">
        <v>9</v>
      </c>
      <c r="L49">
        <f>IF((LEFT(Energia!C30,3)="A2 "),2,IF((LEFT(Energia!C30,3)="A3 "),3,IF((LEFT(Energia!C30,3)="A3a"),4,IF((LEFT(Energia!C30,3)="A4 "),5,99))))</f>
        <v>99</v>
      </c>
      <c r="M49">
        <v>9</v>
      </c>
      <c r="N49">
        <v>4</v>
      </c>
      <c r="O49" s="420">
        <f>VALUE(Energia!A30)</f>
        <v>0</v>
      </c>
      <c r="P49" s="233">
        <f t="shared" si="0"/>
        <v>0</v>
      </c>
      <c r="Q49" s="233" t="str">
        <f>Energia!F30</f>
        <v/>
      </c>
    </row>
    <row r="50" spans="1:17" s="12" customFormat="1" ht="15.75">
      <c r="A50" t="s">
        <v>829</v>
      </c>
      <c r="B50" t="s">
        <v>158</v>
      </c>
      <c r="C50" s="9" t="s">
        <v>1691</v>
      </c>
      <c r="D50">
        <v>1</v>
      </c>
      <c r="E50">
        <v>1</v>
      </c>
      <c r="F50">
        <v>15</v>
      </c>
      <c r="G50">
        <v>143</v>
      </c>
      <c r="H50">
        <v>999</v>
      </c>
      <c r="I50">
        <v>2</v>
      </c>
      <c r="J50">
        <v>999</v>
      </c>
      <c r="K50">
        <v>9</v>
      </c>
      <c r="L50">
        <f>IF((LEFT(Energia!C31,3)="A2 "),2,IF((LEFT(Energia!C31,3)="A3 "),3,IF((LEFT(Energia!C31,3)="A3a"),4,IF((LEFT(Energia!C31,3)="A4 "),5,99))))</f>
        <v>99</v>
      </c>
      <c r="M50">
        <v>9</v>
      </c>
      <c r="N50">
        <v>4</v>
      </c>
      <c r="O50" s="420">
        <f>VALUE(Energia!A31)</f>
        <v>0</v>
      </c>
      <c r="P50" s="233">
        <f t="shared" si="0"/>
        <v>0</v>
      </c>
      <c r="Q50" s="233" t="str">
        <f>Energia!F31</f>
        <v/>
      </c>
    </row>
    <row r="51" spans="1:17" s="12" customFormat="1" ht="15.75">
      <c r="A51" t="s">
        <v>829</v>
      </c>
      <c r="B51" t="s">
        <v>158</v>
      </c>
      <c r="C51" s="9" t="s">
        <v>1691</v>
      </c>
      <c r="D51">
        <v>1</v>
      </c>
      <c r="E51">
        <v>1</v>
      </c>
      <c r="F51">
        <v>15</v>
      </c>
      <c r="G51">
        <v>143</v>
      </c>
      <c r="H51">
        <v>999</v>
      </c>
      <c r="I51">
        <v>2</v>
      </c>
      <c r="J51">
        <v>999</v>
      </c>
      <c r="K51">
        <v>9</v>
      </c>
      <c r="L51">
        <f>IF((LEFT(Energia!C32,3)="A2 "),2,IF((LEFT(Energia!C32,3)="A3 "),3,IF((LEFT(Energia!C32,3)="A3a"),4,IF((LEFT(Energia!C32,3)="A4 "),5,99))))</f>
        <v>99</v>
      </c>
      <c r="M51">
        <v>9</v>
      </c>
      <c r="N51">
        <v>4</v>
      </c>
      <c r="O51" s="420">
        <f>VALUE(Energia!A32)</f>
        <v>0</v>
      </c>
      <c r="P51" s="233">
        <f t="shared" si="0"/>
        <v>0</v>
      </c>
      <c r="Q51" s="233" t="str">
        <f>Energia!F32</f>
        <v/>
      </c>
    </row>
    <row r="52" spans="1:17" s="12" customFormat="1" ht="15.75">
      <c r="A52" t="s">
        <v>829</v>
      </c>
      <c r="B52" t="s">
        <v>1029</v>
      </c>
      <c r="C52" t="s">
        <v>1021</v>
      </c>
      <c r="D52">
        <v>1</v>
      </c>
      <c r="E52">
        <v>3</v>
      </c>
      <c r="F52">
        <v>50</v>
      </c>
      <c r="G52">
        <v>50</v>
      </c>
      <c r="H52">
        <v>999</v>
      </c>
      <c r="I52">
        <v>99</v>
      </c>
      <c r="J52">
        <v>999</v>
      </c>
      <c r="K52">
        <v>9</v>
      </c>
      <c r="L52">
        <v>99</v>
      </c>
      <c r="M52">
        <v>9</v>
      </c>
      <c r="N52">
        <v>2</v>
      </c>
      <c r="O52">
        <v>99999</v>
      </c>
      <c r="P52" s="233">
        <f t="shared" ca="1" si="0"/>
        <v>16377.068000000003</v>
      </c>
      <c r="Q52" s="233">
        <f ca="1">FornecimentoE</f>
        <v>16377.068000000003</v>
      </c>
    </row>
    <row r="53" spans="1:17" s="12" customFormat="1" ht="15.75">
      <c r="A53" t="s">
        <v>829</v>
      </c>
      <c r="B53" t="s">
        <v>1029</v>
      </c>
      <c r="C53" t="s">
        <v>1041</v>
      </c>
      <c r="D53">
        <v>1</v>
      </c>
      <c r="E53">
        <v>3</v>
      </c>
      <c r="F53">
        <v>50</v>
      </c>
      <c r="G53">
        <v>51</v>
      </c>
      <c r="H53">
        <v>999</v>
      </c>
      <c r="I53">
        <v>99</v>
      </c>
      <c r="J53">
        <v>999</v>
      </c>
      <c r="K53">
        <v>9</v>
      </c>
      <c r="L53">
        <v>99</v>
      </c>
      <c r="M53">
        <v>9</v>
      </c>
      <c r="N53">
        <v>2</v>
      </c>
      <c r="O53">
        <v>99999</v>
      </c>
      <c r="P53" s="233">
        <f t="shared" ca="1" si="0"/>
        <v>0</v>
      </c>
      <c r="Q53" s="233">
        <f ca="1">SuprimentoE</f>
        <v>0</v>
      </c>
    </row>
    <row r="54" spans="1:17" s="12" customFormat="1" ht="15.75">
      <c r="A54" t="s">
        <v>829</v>
      </c>
      <c r="B54" t="s">
        <v>1029</v>
      </c>
      <c r="C54" t="s">
        <v>1692</v>
      </c>
      <c r="D54">
        <v>1</v>
      </c>
      <c r="E54">
        <v>3</v>
      </c>
      <c r="F54">
        <v>50</v>
      </c>
      <c r="G54">
        <v>52</v>
      </c>
      <c r="H54">
        <v>10</v>
      </c>
      <c r="I54">
        <v>99</v>
      </c>
      <c r="J54">
        <v>999</v>
      </c>
      <c r="K54">
        <v>9</v>
      </c>
      <c r="L54">
        <v>1</v>
      </c>
      <c r="M54">
        <v>9</v>
      </c>
      <c r="N54">
        <v>2</v>
      </c>
      <c r="O54">
        <v>99999</v>
      </c>
      <c r="P54" s="233">
        <f t="shared" ca="1" si="0"/>
        <v>0</v>
      </c>
      <c r="Q54" s="233">
        <f ca="1">LivreE_A1</f>
        <v>0</v>
      </c>
    </row>
    <row r="55" spans="1:17" s="12" customFormat="1" ht="15.75">
      <c r="A55" t="s">
        <v>829</v>
      </c>
      <c r="B55" t="s">
        <v>1029</v>
      </c>
      <c r="C55" t="s">
        <v>1693</v>
      </c>
      <c r="D55">
        <v>1</v>
      </c>
      <c r="E55">
        <v>3</v>
      </c>
      <c r="F55">
        <v>50</v>
      </c>
      <c r="G55">
        <v>52</v>
      </c>
      <c r="H55">
        <v>11</v>
      </c>
      <c r="I55">
        <v>99</v>
      </c>
      <c r="J55">
        <v>999</v>
      </c>
      <c r="K55">
        <v>9</v>
      </c>
      <c r="L55">
        <v>99</v>
      </c>
      <c r="M55">
        <v>9</v>
      </c>
      <c r="N55">
        <v>2</v>
      </c>
      <c r="O55">
        <v>99999</v>
      </c>
      <c r="P55" s="233">
        <f t="shared" ca="1" si="0"/>
        <v>0</v>
      </c>
      <c r="Q55" s="233">
        <f ca="1">Calc_Mercado!C22</f>
        <v>0</v>
      </c>
    </row>
    <row r="56" spans="1:17" s="12" customFormat="1" ht="15.75">
      <c r="A56" t="s">
        <v>829</v>
      </c>
      <c r="B56" t="s">
        <v>1029</v>
      </c>
      <c r="C56" t="s">
        <v>1045</v>
      </c>
      <c r="D56">
        <v>1</v>
      </c>
      <c r="E56">
        <v>3</v>
      </c>
      <c r="F56">
        <v>50</v>
      </c>
      <c r="G56">
        <v>53</v>
      </c>
      <c r="H56">
        <v>999</v>
      </c>
      <c r="I56">
        <v>99</v>
      </c>
      <c r="J56">
        <v>999</v>
      </c>
      <c r="K56">
        <v>9</v>
      </c>
      <c r="L56">
        <v>99</v>
      </c>
      <c r="M56">
        <v>9</v>
      </c>
      <c r="N56">
        <v>2</v>
      </c>
      <c r="O56">
        <v>99999</v>
      </c>
      <c r="P56" s="233">
        <f t="shared" ca="1" si="0"/>
        <v>0</v>
      </c>
      <c r="Q56" s="233">
        <f ca="1">Calc_Mercado!C20</f>
        <v>0</v>
      </c>
    </row>
    <row r="57" spans="1:17" s="12" customFormat="1" ht="15.75">
      <c r="A57" t="s">
        <v>829</v>
      </c>
      <c r="B57" t="s">
        <v>1029</v>
      </c>
      <c r="C57" t="s">
        <v>1694</v>
      </c>
      <c r="D57">
        <v>1</v>
      </c>
      <c r="E57">
        <v>3</v>
      </c>
      <c r="F57">
        <v>50</v>
      </c>
      <c r="G57">
        <v>54</v>
      </c>
      <c r="H57">
        <v>999</v>
      </c>
      <c r="I57">
        <v>99</v>
      </c>
      <c r="J57">
        <v>999</v>
      </c>
      <c r="K57">
        <v>9</v>
      </c>
      <c r="L57">
        <v>99</v>
      </c>
      <c r="M57">
        <v>9</v>
      </c>
      <c r="N57">
        <v>2</v>
      </c>
      <c r="O57">
        <v>99999</v>
      </c>
      <c r="P57" s="233">
        <f t="shared" si="0"/>
        <v>0</v>
      </c>
      <c r="Q57" s="233">
        <f>Calc_Mercado!C21</f>
        <v>0</v>
      </c>
    </row>
    <row r="58" spans="1:17" s="12" customFormat="1" ht="15.75">
      <c r="A58" t="s">
        <v>829</v>
      </c>
      <c r="B58" t="s">
        <v>1029</v>
      </c>
      <c r="C58" t="s">
        <v>1695</v>
      </c>
      <c r="D58">
        <v>1</v>
      </c>
      <c r="E58">
        <v>3</v>
      </c>
      <c r="F58">
        <v>50</v>
      </c>
      <c r="G58">
        <v>50</v>
      </c>
      <c r="H58">
        <v>999</v>
      </c>
      <c r="I58">
        <v>99</v>
      </c>
      <c r="J58">
        <v>999</v>
      </c>
      <c r="K58">
        <v>9</v>
      </c>
      <c r="L58">
        <v>1</v>
      </c>
      <c r="M58">
        <v>9</v>
      </c>
      <c r="N58">
        <v>2</v>
      </c>
      <c r="O58">
        <v>99999</v>
      </c>
      <c r="P58" s="233">
        <f t="shared" ca="1" si="0"/>
        <v>0</v>
      </c>
      <c r="Q58" s="233">
        <f ca="1">FornecimentoE_A1</f>
        <v>0</v>
      </c>
    </row>
    <row r="59" spans="1:17" s="12" customFormat="1" ht="15.75">
      <c r="A59" t="s">
        <v>829</v>
      </c>
      <c r="B59" t="s">
        <v>1029</v>
      </c>
      <c r="C59" t="s">
        <v>1696</v>
      </c>
      <c r="D59">
        <v>1</v>
      </c>
      <c r="E59">
        <v>3</v>
      </c>
      <c r="F59">
        <v>50</v>
      </c>
      <c r="G59">
        <v>50</v>
      </c>
      <c r="H59">
        <v>999</v>
      </c>
      <c r="I59">
        <v>99</v>
      </c>
      <c r="J59">
        <v>999</v>
      </c>
      <c r="K59">
        <v>9</v>
      </c>
      <c r="L59">
        <v>2</v>
      </c>
      <c r="M59">
        <v>9</v>
      </c>
      <c r="N59">
        <v>2</v>
      </c>
      <c r="O59">
        <v>99999</v>
      </c>
      <c r="P59" s="233">
        <f t="shared" ca="1" si="0"/>
        <v>0</v>
      </c>
      <c r="Q59" s="233">
        <f ca="1">Calc_Mercado!C10</f>
        <v>0</v>
      </c>
    </row>
    <row r="60" spans="1:17" s="12" customFormat="1" ht="15.75">
      <c r="A60" t="s">
        <v>829</v>
      </c>
      <c r="B60" t="s">
        <v>1029</v>
      </c>
      <c r="C60" t="s">
        <v>1697</v>
      </c>
      <c r="D60">
        <v>1</v>
      </c>
      <c r="E60">
        <v>3</v>
      </c>
      <c r="F60">
        <v>50</v>
      </c>
      <c r="G60">
        <v>50</v>
      </c>
      <c r="H60">
        <v>999</v>
      </c>
      <c r="I60">
        <v>99</v>
      </c>
      <c r="J60">
        <v>999</v>
      </c>
      <c r="K60">
        <v>9</v>
      </c>
      <c r="L60">
        <v>3</v>
      </c>
      <c r="M60">
        <v>9</v>
      </c>
      <c r="N60">
        <v>2</v>
      </c>
      <c r="O60">
        <v>99999</v>
      </c>
      <c r="P60" s="233">
        <f t="shared" ca="1" si="0"/>
        <v>0</v>
      </c>
      <c r="Q60" s="233">
        <f ca="1">Calc_Mercado!C11</f>
        <v>0</v>
      </c>
    </row>
    <row r="61" spans="1:17" s="12" customFormat="1" ht="15.75">
      <c r="A61" t="s">
        <v>829</v>
      </c>
      <c r="B61" t="s">
        <v>1029</v>
      </c>
      <c r="C61" t="s">
        <v>1698</v>
      </c>
      <c r="D61">
        <v>1</v>
      </c>
      <c r="E61">
        <v>3</v>
      </c>
      <c r="F61">
        <v>50</v>
      </c>
      <c r="G61">
        <v>50</v>
      </c>
      <c r="H61">
        <v>999</v>
      </c>
      <c r="I61">
        <v>99</v>
      </c>
      <c r="J61">
        <v>999</v>
      </c>
      <c r="K61">
        <v>9</v>
      </c>
      <c r="L61">
        <v>4</v>
      </c>
      <c r="M61">
        <v>9</v>
      </c>
      <c r="N61">
        <v>2</v>
      </c>
      <c r="O61">
        <v>99999</v>
      </c>
      <c r="P61" s="233">
        <f t="shared" ca="1" si="0"/>
        <v>0</v>
      </c>
      <c r="Q61" s="233">
        <f ca="1">Calc_Mercado!C12</f>
        <v>0</v>
      </c>
    </row>
    <row r="62" spans="1:17" s="12" customFormat="1" ht="15.75">
      <c r="A62" t="s">
        <v>829</v>
      </c>
      <c r="B62" t="s">
        <v>1029</v>
      </c>
      <c r="C62" t="s">
        <v>1699</v>
      </c>
      <c r="D62">
        <v>1</v>
      </c>
      <c r="E62">
        <v>3</v>
      </c>
      <c r="F62">
        <v>50</v>
      </c>
      <c r="G62">
        <v>50</v>
      </c>
      <c r="H62">
        <v>999</v>
      </c>
      <c r="I62">
        <v>99</v>
      </c>
      <c r="J62">
        <v>999</v>
      </c>
      <c r="K62">
        <v>9</v>
      </c>
      <c r="L62">
        <v>5</v>
      </c>
      <c r="M62">
        <v>9</v>
      </c>
      <c r="N62">
        <v>2</v>
      </c>
      <c r="O62">
        <v>99999</v>
      </c>
      <c r="P62" s="233">
        <f t="shared" ca="1" si="0"/>
        <v>1305.1950000000002</v>
      </c>
      <c r="Q62" s="233">
        <f ca="1">Calc_Mercado!C13</f>
        <v>1305.1950000000002</v>
      </c>
    </row>
    <row r="63" spans="1:17" s="12" customFormat="1" ht="15.75">
      <c r="A63" t="s">
        <v>829</v>
      </c>
      <c r="B63" t="s">
        <v>1029</v>
      </c>
      <c r="C63" t="s">
        <v>1700</v>
      </c>
      <c r="D63">
        <v>1</v>
      </c>
      <c r="E63">
        <v>3</v>
      </c>
      <c r="F63">
        <v>50</v>
      </c>
      <c r="G63">
        <v>50</v>
      </c>
      <c r="H63">
        <v>999</v>
      </c>
      <c r="I63">
        <v>99</v>
      </c>
      <c r="J63">
        <v>999</v>
      </c>
      <c r="K63">
        <v>9</v>
      </c>
      <c r="L63">
        <v>6</v>
      </c>
      <c r="M63">
        <v>9</v>
      </c>
      <c r="N63">
        <v>2</v>
      </c>
      <c r="O63">
        <v>99999</v>
      </c>
      <c r="P63" s="233">
        <f t="shared" ca="1" si="0"/>
        <v>0</v>
      </c>
      <c r="Q63" s="233">
        <f ca="1">Calc_Mercado!C14</f>
        <v>0</v>
      </c>
    </row>
    <row r="64" spans="1:17" s="12" customFormat="1" ht="15.75">
      <c r="A64" t="s">
        <v>829</v>
      </c>
      <c r="B64" t="s">
        <v>1029</v>
      </c>
      <c r="C64" t="s">
        <v>1701</v>
      </c>
      <c r="D64">
        <v>1</v>
      </c>
      <c r="E64">
        <v>3</v>
      </c>
      <c r="F64">
        <v>50</v>
      </c>
      <c r="G64">
        <v>50</v>
      </c>
      <c r="H64">
        <v>999</v>
      </c>
      <c r="I64">
        <v>99</v>
      </c>
      <c r="J64">
        <v>999</v>
      </c>
      <c r="K64">
        <v>9</v>
      </c>
      <c r="L64">
        <v>21</v>
      </c>
      <c r="M64">
        <v>9</v>
      </c>
      <c r="N64">
        <v>2</v>
      </c>
      <c r="O64">
        <v>99999</v>
      </c>
      <c r="P64" s="233">
        <f t="shared" ref="P64:P134" ca="1" si="2">IF(ISNUMBER(Q64),Q64,0)</f>
        <v>15071.873000000003</v>
      </c>
      <c r="Q64" s="233">
        <f ca="1">FornecimentoE_BT</f>
        <v>15071.873000000003</v>
      </c>
    </row>
    <row r="65" spans="1:17" ht="15.75">
      <c r="A65" t="s">
        <v>829</v>
      </c>
      <c r="B65" t="s">
        <v>1029</v>
      </c>
      <c r="C65" t="s">
        <v>1021</v>
      </c>
      <c r="D65">
        <v>1</v>
      </c>
      <c r="E65">
        <v>3</v>
      </c>
      <c r="F65">
        <v>50</v>
      </c>
      <c r="G65">
        <v>50</v>
      </c>
      <c r="H65">
        <v>999</v>
      </c>
      <c r="I65">
        <v>99</v>
      </c>
      <c r="J65">
        <v>999</v>
      </c>
      <c r="K65">
        <v>9</v>
      </c>
      <c r="L65">
        <v>99</v>
      </c>
      <c r="M65">
        <v>9</v>
      </c>
      <c r="N65">
        <v>3</v>
      </c>
      <c r="O65">
        <v>99999</v>
      </c>
      <c r="P65" s="233">
        <f t="shared" ca="1" si="2"/>
        <v>13038122.330799989</v>
      </c>
      <c r="Q65" s="233">
        <f ca="1">Calc_Mercado!D8</f>
        <v>13038122.330799989</v>
      </c>
    </row>
    <row r="66" spans="1:17" ht="15.75">
      <c r="A66" t="s">
        <v>829</v>
      </c>
      <c r="B66" t="s">
        <v>1029</v>
      </c>
      <c r="C66" t="s">
        <v>1041</v>
      </c>
      <c r="D66">
        <v>1</v>
      </c>
      <c r="E66">
        <v>3</v>
      </c>
      <c r="F66">
        <v>50</v>
      </c>
      <c r="G66">
        <v>51</v>
      </c>
      <c r="H66">
        <v>999</v>
      </c>
      <c r="I66">
        <v>99</v>
      </c>
      <c r="J66">
        <v>999</v>
      </c>
      <c r="K66">
        <v>9</v>
      </c>
      <c r="L66">
        <v>99</v>
      </c>
      <c r="M66">
        <v>9</v>
      </c>
      <c r="N66">
        <v>3</v>
      </c>
      <c r="O66">
        <v>99999</v>
      </c>
      <c r="P66" s="233">
        <f t="shared" ca="1" si="2"/>
        <v>0</v>
      </c>
      <c r="Q66" s="233">
        <f ca="1">Calc_Mercado!D17</f>
        <v>0</v>
      </c>
    </row>
    <row r="67" spans="1:17" ht="15.75">
      <c r="A67" t="s">
        <v>829</v>
      </c>
      <c r="B67" t="s">
        <v>1029</v>
      </c>
      <c r="C67" t="s">
        <v>1692</v>
      </c>
      <c r="D67">
        <v>1</v>
      </c>
      <c r="E67">
        <v>3</v>
      </c>
      <c r="F67">
        <v>50</v>
      </c>
      <c r="G67">
        <v>52</v>
      </c>
      <c r="H67">
        <v>10</v>
      </c>
      <c r="I67">
        <v>99</v>
      </c>
      <c r="J67">
        <v>999</v>
      </c>
      <c r="K67">
        <v>9</v>
      </c>
      <c r="L67">
        <v>1</v>
      </c>
      <c r="M67">
        <v>9</v>
      </c>
      <c r="N67">
        <v>3</v>
      </c>
      <c r="O67">
        <v>99999</v>
      </c>
      <c r="P67" s="233">
        <f t="shared" ca="1" si="2"/>
        <v>0</v>
      </c>
      <c r="Q67" s="233">
        <f ca="1">Calc_Mercado!D19</f>
        <v>0</v>
      </c>
    </row>
    <row r="68" spans="1:17" ht="15.75">
      <c r="A68" t="s">
        <v>829</v>
      </c>
      <c r="B68" t="s">
        <v>1029</v>
      </c>
      <c r="C68" t="s">
        <v>1693</v>
      </c>
      <c r="D68">
        <v>1</v>
      </c>
      <c r="E68">
        <v>3</v>
      </c>
      <c r="F68">
        <v>50</v>
      </c>
      <c r="G68">
        <v>52</v>
      </c>
      <c r="H68">
        <v>11</v>
      </c>
      <c r="I68">
        <v>99</v>
      </c>
      <c r="J68">
        <v>999</v>
      </c>
      <c r="K68">
        <v>9</v>
      </c>
      <c r="L68">
        <v>99</v>
      </c>
      <c r="M68">
        <v>9</v>
      </c>
      <c r="N68">
        <v>3</v>
      </c>
      <c r="O68">
        <v>99999</v>
      </c>
      <c r="P68" s="233">
        <f t="shared" ca="1" si="2"/>
        <v>0</v>
      </c>
      <c r="Q68" s="233">
        <f ca="1">Calc_Mercado!D22</f>
        <v>0</v>
      </c>
    </row>
    <row r="69" spans="1:17" ht="15.75">
      <c r="A69" t="s">
        <v>829</v>
      </c>
      <c r="B69" t="s">
        <v>1029</v>
      </c>
      <c r="C69" t="s">
        <v>1045</v>
      </c>
      <c r="D69">
        <v>1</v>
      </c>
      <c r="E69">
        <v>3</v>
      </c>
      <c r="F69">
        <v>50</v>
      </c>
      <c r="G69">
        <v>53</v>
      </c>
      <c r="H69">
        <v>999</v>
      </c>
      <c r="I69">
        <v>99</v>
      </c>
      <c r="J69">
        <v>999</v>
      </c>
      <c r="K69">
        <v>9</v>
      </c>
      <c r="L69">
        <v>99</v>
      </c>
      <c r="M69">
        <v>9</v>
      </c>
      <c r="N69">
        <v>3</v>
      </c>
      <c r="O69">
        <v>99999</v>
      </c>
      <c r="P69" s="233">
        <f t="shared" ca="1" si="2"/>
        <v>0</v>
      </c>
      <c r="Q69" s="233">
        <f ca="1">Calc_Mercado!D20</f>
        <v>0</v>
      </c>
    </row>
    <row r="70" spans="1:17" ht="15.75">
      <c r="A70" t="s">
        <v>829</v>
      </c>
      <c r="B70" t="s">
        <v>1029</v>
      </c>
      <c r="C70" t="s">
        <v>1694</v>
      </c>
      <c r="D70">
        <v>1</v>
      </c>
      <c r="E70">
        <v>3</v>
      </c>
      <c r="F70">
        <v>50</v>
      </c>
      <c r="G70">
        <v>54</v>
      </c>
      <c r="H70">
        <v>999</v>
      </c>
      <c r="I70">
        <v>99</v>
      </c>
      <c r="J70">
        <v>999</v>
      </c>
      <c r="K70">
        <v>9</v>
      </c>
      <c r="L70">
        <v>99</v>
      </c>
      <c r="M70">
        <v>9</v>
      </c>
      <c r="N70">
        <v>3</v>
      </c>
      <c r="O70">
        <v>99999</v>
      </c>
      <c r="P70" s="233">
        <f t="shared" ca="1" si="2"/>
        <v>0</v>
      </c>
      <c r="Q70" s="233">
        <f ca="1">Calc_Mercado!D21</f>
        <v>0</v>
      </c>
    </row>
    <row r="71" spans="1:17" ht="15.75">
      <c r="A71" t="s">
        <v>829</v>
      </c>
      <c r="B71" t="s">
        <v>1029</v>
      </c>
      <c r="C71" t="s">
        <v>1695</v>
      </c>
      <c r="D71">
        <v>1</v>
      </c>
      <c r="E71">
        <v>3</v>
      </c>
      <c r="F71">
        <v>50</v>
      </c>
      <c r="G71">
        <v>50</v>
      </c>
      <c r="H71">
        <v>999</v>
      </c>
      <c r="I71">
        <v>99</v>
      </c>
      <c r="J71">
        <v>999</v>
      </c>
      <c r="K71">
        <v>9</v>
      </c>
      <c r="L71">
        <v>1</v>
      </c>
      <c r="M71">
        <v>9</v>
      </c>
      <c r="N71">
        <v>3</v>
      </c>
      <c r="O71">
        <v>99999</v>
      </c>
      <c r="P71" s="233">
        <f t="shared" ca="1" si="2"/>
        <v>0</v>
      </c>
      <c r="Q71" s="233">
        <f ca="1">Calc_Mercado!D9</f>
        <v>0</v>
      </c>
    </row>
    <row r="72" spans="1:17" ht="15.75">
      <c r="A72" t="s">
        <v>829</v>
      </c>
      <c r="B72" t="s">
        <v>1029</v>
      </c>
      <c r="C72" t="s">
        <v>1696</v>
      </c>
      <c r="D72">
        <v>1</v>
      </c>
      <c r="E72">
        <v>3</v>
      </c>
      <c r="F72">
        <v>50</v>
      </c>
      <c r="G72">
        <v>50</v>
      </c>
      <c r="H72">
        <v>999</v>
      </c>
      <c r="I72">
        <v>99</v>
      </c>
      <c r="J72">
        <v>999</v>
      </c>
      <c r="K72">
        <v>9</v>
      </c>
      <c r="L72">
        <v>2</v>
      </c>
      <c r="M72">
        <v>9</v>
      </c>
      <c r="N72">
        <v>3</v>
      </c>
      <c r="O72">
        <v>99999</v>
      </c>
      <c r="P72" s="233">
        <f t="shared" ca="1" si="2"/>
        <v>0</v>
      </c>
      <c r="Q72" s="233">
        <f ca="1">Calc_Mercado!D10</f>
        <v>0</v>
      </c>
    </row>
    <row r="73" spans="1:17" ht="15.75">
      <c r="A73" t="s">
        <v>829</v>
      </c>
      <c r="B73" t="s">
        <v>1029</v>
      </c>
      <c r="C73" t="s">
        <v>1697</v>
      </c>
      <c r="D73">
        <v>1</v>
      </c>
      <c r="E73">
        <v>3</v>
      </c>
      <c r="F73">
        <v>50</v>
      </c>
      <c r="G73">
        <v>50</v>
      </c>
      <c r="H73">
        <v>999</v>
      </c>
      <c r="I73">
        <v>99</v>
      </c>
      <c r="J73">
        <v>999</v>
      </c>
      <c r="K73">
        <v>9</v>
      </c>
      <c r="L73">
        <v>3</v>
      </c>
      <c r="M73">
        <v>9</v>
      </c>
      <c r="N73">
        <v>3</v>
      </c>
      <c r="O73">
        <v>99999</v>
      </c>
      <c r="P73" s="233">
        <f t="shared" ca="1" si="2"/>
        <v>0</v>
      </c>
      <c r="Q73" s="233">
        <f ca="1">Calc_Mercado!D11</f>
        <v>0</v>
      </c>
    </row>
    <row r="74" spans="1:17" ht="15.75">
      <c r="A74" t="s">
        <v>829</v>
      </c>
      <c r="B74" t="s">
        <v>1029</v>
      </c>
      <c r="C74" t="s">
        <v>1698</v>
      </c>
      <c r="D74">
        <v>1</v>
      </c>
      <c r="E74">
        <v>3</v>
      </c>
      <c r="F74">
        <v>50</v>
      </c>
      <c r="G74">
        <v>50</v>
      </c>
      <c r="H74">
        <v>999</v>
      </c>
      <c r="I74">
        <v>99</v>
      </c>
      <c r="J74">
        <v>999</v>
      </c>
      <c r="K74">
        <v>9</v>
      </c>
      <c r="L74">
        <v>4</v>
      </c>
      <c r="M74">
        <v>9</v>
      </c>
      <c r="N74">
        <v>3</v>
      </c>
      <c r="O74">
        <v>99999</v>
      </c>
      <c r="P74" s="233">
        <f t="shared" ca="1" si="2"/>
        <v>0</v>
      </c>
      <c r="Q74" s="233">
        <f ca="1">Calc_Mercado!D12</f>
        <v>0</v>
      </c>
    </row>
    <row r="75" spans="1:17" ht="15.75">
      <c r="A75" t="s">
        <v>829</v>
      </c>
      <c r="B75" t="s">
        <v>1029</v>
      </c>
      <c r="C75" t="s">
        <v>1699</v>
      </c>
      <c r="D75">
        <v>1</v>
      </c>
      <c r="E75">
        <v>3</v>
      </c>
      <c r="F75">
        <v>50</v>
      </c>
      <c r="G75">
        <v>50</v>
      </c>
      <c r="H75">
        <v>999</v>
      </c>
      <c r="I75">
        <v>99</v>
      </c>
      <c r="J75">
        <v>999</v>
      </c>
      <c r="K75">
        <v>9</v>
      </c>
      <c r="L75">
        <v>5</v>
      </c>
      <c r="M75">
        <v>9</v>
      </c>
      <c r="N75">
        <v>3</v>
      </c>
      <c r="O75">
        <v>99999</v>
      </c>
      <c r="P75" s="233">
        <f t="shared" ca="1" si="2"/>
        <v>631038.86432999989</v>
      </c>
      <c r="Q75" s="233">
        <f ca="1">Calc_Mercado!D13</f>
        <v>631038.86432999989</v>
      </c>
    </row>
    <row r="76" spans="1:17" ht="15.75">
      <c r="A76" t="s">
        <v>829</v>
      </c>
      <c r="B76" t="s">
        <v>1029</v>
      </c>
      <c r="C76" t="s">
        <v>1700</v>
      </c>
      <c r="D76">
        <v>1</v>
      </c>
      <c r="E76">
        <v>3</v>
      </c>
      <c r="F76">
        <v>50</v>
      </c>
      <c r="G76">
        <v>50</v>
      </c>
      <c r="H76">
        <v>999</v>
      </c>
      <c r="I76">
        <v>99</v>
      </c>
      <c r="J76">
        <v>999</v>
      </c>
      <c r="K76">
        <v>9</v>
      </c>
      <c r="L76">
        <v>6</v>
      </c>
      <c r="M76">
        <v>9</v>
      </c>
      <c r="N76">
        <v>3</v>
      </c>
      <c r="O76">
        <v>99999</v>
      </c>
      <c r="P76" s="233">
        <f t="shared" ca="1" si="2"/>
        <v>0</v>
      </c>
      <c r="Q76" s="233">
        <f ca="1">Calc_Mercado!D14</f>
        <v>0</v>
      </c>
    </row>
    <row r="77" spans="1:17" ht="15.75">
      <c r="A77" t="s">
        <v>829</v>
      </c>
      <c r="B77" t="s">
        <v>1029</v>
      </c>
      <c r="C77" t="s">
        <v>1701</v>
      </c>
      <c r="D77">
        <v>1</v>
      </c>
      <c r="E77">
        <v>3</v>
      </c>
      <c r="F77">
        <v>50</v>
      </c>
      <c r="G77">
        <v>50</v>
      </c>
      <c r="H77">
        <v>999</v>
      </c>
      <c r="I77">
        <v>99</v>
      </c>
      <c r="J77">
        <v>999</v>
      </c>
      <c r="K77">
        <v>9</v>
      </c>
      <c r="L77">
        <v>21</v>
      </c>
      <c r="M77">
        <v>9</v>
      </c>
      <c r="N77">
        <v>3</v>
      </c>
      <c r="O77">
        <v>99999</v>
      </c>
      <c r="P77" s="233">
        <f t="shared" ca="1" si="2"/>
        <v>12407083.46646999</v>
      </c>
      <c r="Q77" s="233">
        <f ca="1">Calc_Mercado!D15</f>
        <v>12407083.46646999</v>
      </c>
    </row>
    <row r="78" spans="1:17" ht="15.75">
      <c r="A78" t="s">
        <v>829</v>
      </c>
      <c r="B78" t="s">
        <v>1029</v>
      </c>
      <c r="C78" t="s">
        <v>1702</v>
      </c>
      <c r="D78">
        <v>1</v>
      </c>
      <c r="E78">
        <v>1</v>
      </c>
      <c r="F78">
        <v>15</v>
      </c>
      <c r="G78">
        <v>17</v>
      </c>
      <c r="H78">
        <v>999</v>
      </c>
      <c r="I78">
        <v>4</v>
      </c>
      <c r="J78">
        <v>999</v>
      </c>
      <c r="K78">
        <v>9</v>
      </c>
      <c r="L78">
        <v>99</v>
      </c>
      <c r="M78">
        <v>9</v>
      </c>
      <c r="N78">
        <v>4</v>
      </c>
      <c r="O78">
        <v>99999</v>
      </c>
      <c r="P78" s="248">
        <f>IF(ISNUMBER(Q78),Q78,0)</f>
        <v>1.15E-2</v>
      </c>
      <c r="Q78" s="233">
        <f>CAPA!H43</f>
        <v>1.15E-2</v>
      </c>
    </row>
    <row r="79" spans="1:17" ht="15.75">
      <c r="A79" t="s">
        <v>832</v>
      </c>
      <c r="B79" t="s">
        <v>1029</v>
      </c>
      <c r="C79" s="9" t="s">
        <v>1703</v>
      </c>
      <c r="D79">
        <v>1</v>
      </c>
      <c r="E79">
        <v>1</v>
      </c>
      <c r="F79">
        <v>15</v>
      </c>
      <c r="G79">
        <v>19</v>
      </c>
      <c r="H79">
        <v>999</v>
      </c>
      <c r="I79">
        <v>4</v>
      </c>
      <c r="J79">
        <v>999</v>
      </c>
      <c r="K79">
        <v>9</v>
      </c>
      <c r="L79">
        <v>99</v>
      </c>
      <c r="M79">
        <v>9</v>
      </c>
      <c r="N79">
        <v>4</v>
      </c>
      <c r="O79">
        <v>99999</v>
      </c>
      <c r="P79" s="248">
        <f>IF(ISNUMBER(Q79),Q79,0)</f>
        <v>1.15E-2</v>
      </c>
      <c r="Q79" s="233">
        <f>CAPA!H42</f>
        <v>1.15E-2</v>
      </c>
    </row>
    <row r="80" spans="1:17" ht="15.75">
      <c r="A80" t="s">
        <v>829</v>
      </c>
      <c r="B80" t="s">
        <v>1029</v>
      </c>
      <c r="C80" t="s">
        <v>1704</v>
      </c>
      <c r="D80">
        <v>1</v>
      </c>
      <c r="E80">
        <v>1</v>
      </c>
      <c r="F80">
        <v>51</v>
      </c>
      <c r="G80">
        <v>999999</v>
      </c>
      <c r="H80">
        <v>999</v>
      </c>
      <c r="I80">
        <v>2</v>
      </c>
      <c r="J80">
        <v>11</v>
      </c>
      <c r="K80">
        <v>2</v>
      </c>
      <c r="L80">
        <v>99</v>
      </c>
      <c r="M80">
        <v>9</v>
      </c>
      <c r="N80">
        <v>2</v>
      </c>
      <c r="O80">
        <v>99999</v>
      </c>
      <c r="P80" s="233">
        <f t="shared" ca="1" si="2"/>
        <v>16377.068000000003</v>
      </c>
      <c r="Q80" s="233">
        <f ca="1">LnkTXTEV</f>
        <v>16377.068000000003</v>
      </c>
    </row>
    <row r="81" spans="1:17" ht="15.75">
      <c r="A81" t="s">
        <v>829</v>
      </c>
      <c r="B81" t="s">
        <v>84</v>
      </c>
      <c r="C81" t="s">
        <v>1705</v>
      </c>
      <c r="D81">
        <v>2</v>
      </c>
      <c r="E81">
        <v>1</v>
      </c>
      <c r="F81">
        <v>51</v>
      </c>
      <c r="G81">
        <v>101</v>
      </c>
      <c r="H81">
        <v>999</v>
      </c>
      <c r="I81">
        <v>4</v>
      </c>
      <c r="J81">
        <v>999</v>
      </c>
      <c r="K81">
        <v>1</v>
      </c>
      <c r="L81">
        <v>99</v>
      </c>
      <c r="M81">
        <v>1</v>
      </c>
      <c r="N81">
        <v>3</v>
      </c>
      <c r="O81">
        <v>99999</v>
      </c>
      <c r="P81" s="233">
        <f t="shared" si="2"/>
        <v>8886696.2552139182</v>
      </c>
      <c r="Q81" s="233">
        <f>Resultado!D39</f>
        <v>8886696.2552139182</v>
      </c>
    </row>
    <row r="82" spans="1:17" ht="15.75">
      <c r="A82" s="1562" t="s">
        <v>1706</v>
      </c>
      <c r="B82" s="1562" t="s">
        <v>1706</v>
      </c>
      <c r="C82" s="1562" t="s">
        <v>1706</v>
      </c>
      <c r="D82" s="1562">
        <v>99</v>
      </c>
      <c r="E82" s="1562">
        <v>99</v>
      </c>
      <c r="F82" s="1562">
        <v>999</v>
      </c>
      <c r="G82" s="1562">
        <v>999999</v>
      </c>
      <c r="H82" s="1562">
        <v>999</v>
      </c>
      <c r="I82" s="1562">
        <v>99</v>
      </c>
      <c r="J82" s="1562">
        <v>999</v>
      </c>
      <c r="K82" s="1562">
        <v>9</v>
      </c>
      <c r="L82" s="1562">
        <v>99</v>
      </c>
      <c r="M82" s="1562">
        <v>9</v>
      </c>
      <c r="N82" s="1562">
        <v>99</v>
      </c>
      <c r="O82" s="1562">
        <v>99999</v>
      </c>
      <c r="P82" s="401">
        <f t="shared" si="2"/>
        <v>0</v>
      </c>
      <c r="Q82" s="401">
        <v>0</v>
      </c>
    </row>
    <row r="83" spans="1:17" ht="15.75">
      <c r="A83" t="s">
        <v>829</v>
      </c>
      <c r="B83" t="s">
        <v>1456</v>
      </c>
      <c r="C83" t="str">
        <f>Financeiros!C10</f>
        <v>Repasse de PIS COFINS CUSD</v>
      </c>
      <c r="D83">
        <v>2</v>
      </c>
      <c r="E83">
        <v>2</v>
      </c>
      <c r="F83">
        <f>Financeiros!F10</f>
        <v>22</v>
      </c>
      <c r="G83">
        <f>Financeiros!G10</f>
        <v>60</v>
      </c>
      <c r="H83">
        <f>Financeiros!H10</f>
        <v>999</v>
      </c>
      <c r="I83">
        <f>Financeiros!I10</f>
        <v>1</v>
      </c>
      <c r="J83">
        <f>Financeiros!J10</f>
        <v>7</v>
      </c>
      <c r="K83">
        <f>Financeiros!K10</f>
        <v>9</v>
      </c>
      <c r="L83">
        <v>99</v>
      </c>
      <c r="M83">
        <v>9</v>
      </c>
      <c r="N83">
        <v>3</v>
      </c>
      <c r="O83">
        <v>99999</v>
      </c>
      <c r="P83" s="233">
        <f t="shared" ca="1" si="2"/>
        <v>81994.278211543831</v>
      </c>
      <c r="Q83" s="233">
        <f ca="1">Financeiros!D10</f>
        <v>81994.278211543831</v>
      </c>
    </row>
    <row r="84" spans="1:17" ht="15.75">
      <c r="A84" t="s">
        <v>829</v>
      </c>
      <c r="B84" t="s">
        <v>1456</v>
      </c>
      <c r="C84" t="str">
        <f>Financeiros!C11</f>
        <v>Repasse de PIS COFINS TE</v>
      </c>
      <c r="D84">
        <v>2</v>
      </c>
      <c r="E84">
        <v>2</v>
      </c>
      <c r="F84">
        <f>Financeiros!F11</f>
        <v>22</v>
      </c>
      <c r="G84">
        <f>Financeiros!G11</f>
        <v>60</v>
      </c>
      <c r="H84">
        <f>Financeiros!H11</f>
        <v>999</v>
      </c>
      <c r="I84">
        <f>Financeiros!I11</f>
        <v>2</v>
      </c>
      <c r="J84">
        <f>Financeiros!J11</f>
        <v>30</v>
      </c>
      <c r="K84">
        <f>Financeiros!K11</f>
        <v>9</v>
      </c>
      <c r="L84">
        <v>99</v>
      </c>
      <c r="M84">
        <v>9</v>
      </c>
      <c r="N84">
        <v>3</v>
      </c>
      <c r="O84">
        <v>99999</v>
      </c>
      <c r="P84" s="233">
        <f t="shared" ca="1" si="2"/>
        <v>118369.7121243294</v>
      </c>
      <c r="Q84" s="233">
        <f ca="1">Financeiros!D11</f>
        <v>118369.7121243294</v>
      </c>
    </row>
    <row r="85" spans="1:17" ht="15.75">
      <c r="A85" t="s">
        <v>829</v>
      </c>
      <c r="B85" t="s">
        <v>1456</v>
      </c>
      <c r="C85" t="str">
        <f>Financeiros!C12</f>
        <v>(Neutralidade) TFSEE</v>
      </c>
      <c r="D85">
        <v>2</v>
      </c>
      <c r="E85">
        <v>2</v>
      </c>
      <c r="F85">
        <f>Financeiros!F12</f>
        <v>20</v>
      </c>
      <c r="G85">
        <f>Financeiros!G12</f>
        <v>60</v>
      </c>
      <c r="H85">
        <f>Financeiros!H12</f>
        <v>20</v>
      </c>
      <c r="I85">
        <f>Financeiros!I12</f>
        <v>3</v>
      </c>
      <c r="J85">
        <f>Financeiros!J12</f>
        <v>14</v>
      </c>
      <c r="K85">
        <f>Financeiros!K12</f>
        <v>9</v>
      </c>
      <c r="L85">
        <v>99</v>
      </c>
      <c r="M85">
        <v>9</v>
      </c>
      <c r="N85">
        <v>3</v>
      </c>
      <c r="O85">
        <v>99999</v>
      </c>
      <c r="P85" s="233">
        <f t="shared" ca="1" si="2"/>
        <v>1320.0697366684942</v>
      </c>
      <c r="Q85" s="233">
        <f ca="1">Financeiros!D12</f>
        <v>1320.0697366684942</v>
      </c>
    </row>
    <row r="86" spans="1:17" ht="15.75">
      <c r="A86" t="s">
        <v>829</v>
      </c>
      <c r="B86" t="s">
        <v>1456</v>
      </c>
      <c r="C86" t="str">
        <f>Financeiros!C13</f>
        <v>(Neutralidade) CDE</v>
      </c>
      <c r="D86">
        <v>2</v>
      </c>
      <c r="E86">
        <v>2</v>
      </c>
      <c r="F86">
        <f>Financeiros!F13</f>
        <v>20</v>
      </c>
      <c r="G86">
        <f>Financeiros!G13</f>
        <v>60</v>
      </c>
      <c r="H86">
        <f>Financeiros!H13</f>
        <v>20</v>
      </c>
      <c r="I86">
        <f>Financeiros!I13</f>
        <v>3</v>
      </c>
      <c r="J86">
        <f>Financeiros!J13</f>
        <v>15</v>
      </c>
      <c r="K86">
        <f>Financeiros!K13</f>
        <v>9</v>
      </c>
      <c r="L86">
        <v>99</v>
      </c>
      <c r="M86">
        <v>9</v>
      </c>
      <c r="N86">
        <v>3</v>
      </c>
      <c r="O86">
        <v>99999</v>
      </c>
      <c r="P86" s="233">
        <f t="shared" ca="1" si="2"/>
        <v>43111.948945576783</v>
      </c>
      <c r="Q86" s="233">
        <f ca="1">Financeiros!D13</f>
        <v>43111.948945576783</v>
      </c>
    </row>
    <row r="87" spans="1:17" ht="15.75">
      <c r="A87" t="s">
        <v>829</v>
      </c>
      <c r="B87" t="s">
        <v>1456</v>
      </c>
      <c r="C87" t="str">
        <f>Financeiros!C14</f>
        <v>(Neutralidade) CFURH</v>
      </c>
      <c r="D87">
        <v>2</v>
      </c>
      <c r="E87">
        <v>2</v>
      </c>
      <c r="F87">
        <f>Financeiros!F14</f>
        <v>20</v>
      </c>
      <c r="G87">
        <f>Financeiros!G14</f>
        <v>60</v>
      </c>
      <c r="H87">
        <f>Financeiros!H14</f>
        <v>20</v>
      </c>
      <c r="I87">
        <f>Financeiros!I14</f>
        <v>3</v>
      </c>
      <c r="J87">
        <f>Financeiros!J14</f>
        <v>16</v>
      </c>
      <c r="K87">
        <f>Financeiros!K14</f>
        <v>9</v>
      </c>
      <c r="L87">
        <v>99</v>
      </c>
      <c r="M87">
        <v>9</v>
      </c>
      <c r="N87">
        <v>3</v>
      </c>
      <c r="O87">
        <v>99999</v>
      </c>
      <c r="P87" s="233">
        <f t="shared" si="2"/>
        <v>0</v>
      </c>
      <c r="Q87" s="233">
        <f>Financeiros!D14</f>
        <v>0</v>
      </c>
    </row>
    <row r="88" spans="1:17" ht="15.75">
      <c r="A88" t="s">
        <v>829</v>
      </c>
      <c r="B88" t="s">
        <v>1456</v>
      </c>
      <c r="C88" t="str">
        <f>Financeiros!C15</f>
        <v>(Neutralidade) ESS/EER</v>
      </c>
      <c r="D88">
        <v>2</v>
      </c>
      <c r="E88">
        <v>2</v>
      </c>
      <c r="F88">
        <f>Financeiros!F15</f>
        <v>20</v>
      </c>
      <c r="G88">
        <f>Financeiros!G15</f>
        <v>60</v>
      </c>
      <c r="H88">
        <f>Financeiros!H15</f>
        <v>20</v>
      </c>
      <c r="I88">
        <f>Financeiros!I15</f>
        <v>3</v>
      </c>
      <c r="J88">
        <f>Financeiros!J15</f>
        <v>17</v>
      </c>
      <c r="K88">
        <f>Financeiros!K15</f>
        <v>9</v>
      </c>
      <c r="L88">
        <v>99</v>
      </c>
      <c r="M88">
        <v>9</v>
      </c>
      <c r="N88">
        <v>3</v>
      </c>
      <c r="O88">
        <v>99999</v>
      </c>
      <c r="P88" s="233">
        <f t="shared" ca="1" si="2"/>
        <v>0</v>
      </c>
      <c r="Q88" s="233">
        <f ca="1">Financeiros!D15</f>
        <v>0</v>
      </c>
    </row>
    <row r="89" spans="1:17" ht="15.75">
      <c r="A89" t="s">
        <v>829</v>
      </c>
      <c r="B89" t="s">
        <v>1456</v>
      </c>
      <c r="C89" t="str">
        <f>Financeiros!C16</f>
        <v>(Neutralidade) PROINFA</v>
      </c>
      <c r="D89">
        <v>2</v>
      </c>
      <c r="E89">
        <v>2</v>
      </c>
      <c r="F89">
        <f>Financeiros!F16</f>
        <v>20</v>
      </c>
      <c r="G89">
        <f>Financeiros!G16</f>
        <v>60</v>
      </c>
      <c r="H89">
        <f>Financeiros!H16</f>
        <v>20</v>
      </c>
      <c r="I89">
        <f>Financeiros!I16</f>
        <v>3</v>
      </c>
      <c r="J89">
        <f>Financeiros!J16</f>
        <v>18</v>
      </c>
      <c r="K89">
        <f>Financeiros!K16</f>
        <v>9</v>
      </c>
      <c r="L89">
        <v>99</v>
      </c>
      <c r="M89">
        <v>9</v>
      </c>
      <c r="N89">
        <v>3</v>
      </c>
      <c r="O89">
        <v>99999</v>
      </c>
      <c r="P89" s="233">
        <f t="shared" ca="1" si="2"/>
        <v>6031.9928132301266</v>
      </c>
      <c r="Q89" s="233">
        <f ca="1">Financeiros!D16</f>
        <v>6031.9928132301266</v>
      </c>
    </row>
    <row r="90" spans="1:17" ht="15.75">
      <c r="A90" t="s">
        <v>829</v>
      </c>
      <c r="B90" t="s">
        <v>1456</v>
      </c>
      <c r="C90" t="str">
        <f>Financeiros!C17</f>
        <v>(Neutralidade) P&amp;D e PEE</v>
      </c>
      <c r="D90">
        <v>2</v>
      </c>
      <c r="E90">
        <v>2</v>
      </c>
      <c r="F90">
        <f>Financeiros!F17</f>
        <v>20</v>
      </c>
      <c r="G90">
        <f>Financeiros!G17</f>
        <v>60</v>
      </c>
      <c r="H90">
        <f>Financeiros!H17</f>
        <v>20</v>
      </c>
      <c r="I90">
        <f>Financeiros!I17</f>
        <v>3</v>
      </c>
      <c r="J90">
        <f>Financeiros!J17</f>
        <v>19</v>
      </c>
      <c r="K90">
        <f>Financeiros!K17</f>
        <v>9</v>
      </c>
      <c r="L90">
        <v>99</v>
      </c>
      <c r="M90">
        <v>9</v>
      </c>
      <c r="N90">
        <v>3</v>
      </c>
      <c r="O90">
        <v>99999</v>
      </c>
      <c r="P90" s="233">
        <f t="shared" si="2"/>
        <v>0</v>
      </c>
      <c r="Q90" s="233">
        <f>Financeiros!D17</f>
        <v>0</v>
      </c>
    </row>
    <row r="91" spans="1:17" ht="15.75">
      <c r="A91" t="s">
        <v>829</v>
      </c>
      <c r="B91" t="s">
        <v>1456</v>
      </c>
      <c r="C91" t="str">
        <f>Financeiros!C18</f>
        <v>(Neutralidade) CDE conta covid-19</v>
      </c>
      <c r="D91">
        <v>2</v>
      </c>
      <c r="E91">
        <v>2</v>
      </c>
      <c r="F91">
        <f>Financeiros!F18</f>
        <v>20</v>
      </c>
      <c r="G91">
        <f>Financeiros!G18</f>
        <v>60</v>
      </c>
      <c r="H91">
        <f>Financeiros!H18</f>
        <v>73</v>
      </c>
      <c r="I91">
        <f>Financeiros!I18</f>
        <v>3</v>
      </c>
      <c r="J91">
        <f>Financeiros!J18</f>
        <v>12</v>
      </c>
      <c r="K91">
        <f>Financeiros!K18</f>
        <v>9</v>
      </c>
      <c r="L91">
        <v>99</v>
      </c>
      <c r="M91">
        <v>9</v>
      </c>
      <c r="N91">
        <v>3</v>
      </c>
      <c r="O91">
        <v>99999</v>
      </c>
      <c r="P91" s="233">
        <f t="shared" ca="1" si="2"/>
        <v>0</v>
      </c>
      <c r="Q91" s="233">
        <f ca="1">Financeiros!D18</f>
        <v>0</v>
      </c>
    </row>
    <row r="92" spans="1:17" ht="15.75">
      <c r="A92" t="s">
        <v>829</v>
      </c>
      <c r="B92" t="s">
        <v>1456</v>
      </c>
      <c r="C92" t="str">
        <f>Financeiros!C19</f>
        <v>(Neutralidade)Financeiro Covid</v>
      </c>
      <c r="D92">
        <v>2</v>
      </c>
      <c r="E92">
        <v>2</v>
      </c>
      <c r="F92">
        <f>Financeiros!F19</f>
        <v>20</v>
      </c>
      <c r="G92">
        <f>Financeiros!G19</f>
        <v>60</v>
      </c>
      <c r="H92">
        <f>Financeiros!H19</f>
        <v>235</v>
      </c>
      <c r="I92">
        <f>Financeiros!I19</f>
        <v>4</v>
      </c>
      <c r="J92">
        <f>Financeiros!J19</f>
        <v>999</v>
      </c>
      <c r="K92">
        <f>Financeiros!K19</f>
        <v>9</v>
      </c>
      <c r="L92">
        <v>99</v>
      </c>
      <c r="M92">
        <v>9</v>
      </c>
      <c r="N92">
        <v>3</v>
      </c>
      <c r="O92">
        <v>99999</v>
      </c>
      <c r="P92" s="233">
        <f t="shared" ref="P92:P93" ca="1" si="3">IF(ISNUMBER(Q92),Q92,0)</f>
        <v>0</v>
      </c>
      <c r="Q92" s="233">
        <f ca="1">Financeiros!D19</f>
        <v>0</v>
      </c>
    </row>
    <row r="93" spans="1:17" ht="15.75">
      <c r="A93" t="s">
        <v>829</v>
      </c>
      <c r="B93" t="s">
        <v>1456</v>
      </c>
      <c r="C93" t="str">
        <f>Financeiros!C20</f>
        <v>(Neutralidade)Crédito Pis Cofins</v>
      </c>
      <c r="D93">
        <v>2</v>
      </c>
      <c r="E93">
        <v>2</v>
      </c>
      <c r="F93">
        <f>Financeiros!F20</f>
        <v>20</v>
      </c>
      <c r="G93">
        <f>Financeiros!G20</f>
        <v>60</v>
      </c>
      <c r="H93">
        <f>Financeiros!H20</f>
        <v>179</v>
      </c>
      <c r="I93">
        <f>Financeiros!I20</f>
        <v>99</v>
      </c>
      <c r="J93">
        <f>Financeiros!J20</f>
        <v>999</v>
      </c>
      <c r="K93">
        <f>Financeiros!K20</f>
        <v>3</v>
      </c>
      <c r="L93">
        <v>99</v>
      </c>
      <c r="M93">
        <v>9</v>
      </c>
      <c r="N93">
        <v>3</v>
      </c>
      <c r="O93">
        <v>99999</v>
      </c>
      <c r="P93" s="233">
        <f t="shared" ca="1" si="3"/>
        <v>0</v>
      </c>
      <c r="Q93" s="233">
        <f ca="1">Financeiros!D20</f>
        <v>0</v>
      </c>
    </row>
    <row r="94" spans="1:17" ht="15.75">
      <c r="A94" t="s">
        <v>829</v>
      </c>
      <c r="B94" t="s">
        <v>1456</v>
      </c>
      <c r="C94" t="str">
        <f>Financeiros!C21</f>
        <v>Ajuste CUST RB + PIS Cofins RB</v>
      </c>
      <c r="D94">
        <v>2</v>
      </c>
      <c r="E94">
        <v>2</v>
      </c>
      <c r="F94">
        <f>Financeiros!F21</f>
        <v>22</v>
      </c>
      <c r="G94">
        <f>Financeiros!G21</f>
        <v>60</v>
      </c>
      <c r="H94">
        <f>Financeiros!H21</f>
        <v>999</v>
      </c>
      <c r="I94">
        <f>Financeiros!I21</f>
        <v>1</v>
      </c>
      <c r="J94">
        <f>Financeiros!J21</f>
        <v>1</v>
      </c>
      <c r="K94">
        <f>Financeiros!K21</f>
        <v>9</v>
      </c>
      <c r="L94">
        <v>99</v>
      </c>
      <c r="M94">
        <v>9</v>
      </c>
      <c r="N94">
        <v>3</v>
      </c>
      <c r="O94">
        <v>99999</v>
      </c>
      <c r="P94" s="233">
        <f t="shared" si="2"/>
        <v>0</v>
      </c>
      <c r="Q94" s="233">
        <f>Financeiros!D21</f>
        <v>0</v>
      </c>
    </row>
    <row r="95" spans="1:17" ht="15.75">
      <c r="A95" t="s">
        <v>829</v>
      </c>
      <c r="B95" t="s">
        <v>1456</v>
      </c>
      <c r="C95" t="str">
        <f>Financeiros!C22</f>
        <v>Ajuste CUST RB Fronteira + PIS Cofins RB Fronteira</v>
      </c>
      <c r="D95">
        <v>2</v>
      </c>
      <c r="E95">
        <v>2</v>
      </c>
      <c r="F95">
        <f>Financeiros!F22</f>
        <v>22</v>
      </c>
      <c r="G95">
        <f>Financeiros!G22</f>
        <v>60</v>
      </c>
      <c r="H95">
        <f>Financeiros!H22</f>
        <v>999</v>
      </c>
      <c r="I95">
        <f>Financeiros!I22</f>
        <v>1</v>
      </c>
      <c r="J95">
        <f>Financeiros!J22</f>
        <v>2</v>
      </c>
      <c r="K95">
        <f>Financeiros!K22</f>
        <v>9</v>
      </c>
      <c r="L95">
        <v>99</v>
      </c>
      <c r="M95">
        <v>9</v>
      </c>
      <c r="N95">
        <v>3</v>
      </c>
      <c r="O95">
        <v>99999</v>
      </c>
      <c r="P95" s="233">
        <f t="shared" si="2"/>
        <v>0</v>
      </c>
      <c r="Q95" s="233">
        <f>Financeiros!D22</f>
        <v>0</v>
      </c>
    </row>
    <row r="96" spans="1:17" ht="15.75">
      <c r="A96" t="s">
        <v>829</v>
      </c>
      <c r="B96" t="s">
        <v>1456</v>
      </c>
      <c r="C96" t="str">
        <f>Financeiros!C23</f>
        <v>Manual de Contabilidade do Setor Elétrico</v>
      </c>
      <c r="D96">
        <v>2</v>
      </c>
      <c r="E96">
        <v>2</v>
      </c>
      <c r="F96">
        <f>Financeiros!F23</f>
        <v>22</v>
      </c>
      <c r="G96">
        <f>Financeiros!G23</f>
        <v>60</v>
      </c>
      <c r="H96">
        <f>Financeiros!H23</f>
        <v>167</v>
      </c>
      <c r="I96">
        <f>Financeiros!I23</f>
        <v>4</v>
      </c>
      <c r="J96">
        <f>Financeiros!J23</f>
        <v>999</v>
      </c>
      <c r="K96">
        <f>Financeiros!K23</f>
        <v>9</v>
      </c>
      <c r="L96">
        <v>99</v>
      </c>
      <c r="M96">
        <v>9</v>
      </c>
      <c r="N96">
        <v>3</v>
      </c>
      <c r="O96">
        <v>99999</v>
      </c>
      <c r="P96" s="233">
        <f t="shared" si="2"/>
        <v>0</v>
      </c>
      <c r="Q96" s="233">
        <f>Financeiros!D23</f>
        <v>0</v>
      </c>
    </row>
    <row r="97" spans="1:17" ht="15.75">
      <c r="A97" t="s">
        <v>829</v>
      </c>
      <c r="B97" t="s">
        <v>1456</v>
      </c>
      <c r="C97" t="str">
        <f>Financeiros!C24</f>
        <v>Financeiro CDE Eletrobras</v>
      </c>
      <c r="D97">
        <v>2</v>
      </c>
      <c r="E97">
        <v>2</v>
      </c>
      <c r="F97">
        <f>Financeiros!F24</f>
        <v>22</v>
      </c>
      <c r="G97">
        <f>Financeiros!G24</f>
        <v>60</v>
      </c>
      <c r="H97">
        <f>Financeiros!H24</f>
        <v>999</v>
      </c>
      <c r="I97">
        <f>Financeiros!I24</f>
        <v>3</v>
      </c>
      <c r="J97">
        <f>Financeiros!J24</f>
        <v>28</v>
      </c>
      <c r="K97">
        <f>Financeiros!K24</f>
        <v>9</v>
      </c>
      <c r="L97">
        <v>99</v>
      </c>
      <c r="M97">
        <v>9</v>
      </c>
      <c r="N97">
        <v>3</v>
      </c>
      <c r="O97">
        <v>99999</v>
      </c>
      <c r="P97" s="233">
        <f t="shared" si="2"/>
        <v>0</v>
      </c>
      <c r="Q97" s="233">
        <f>Financeiros!D24</f>
        <v>0</v>
      </c>
    </row>
    <row r="98" spans="1:17" ht="15.75">
      <c r="A98" t="s">
        <v>829</v>
      </c>
      <c r="B98" t="s">
        <v>1456</v>
      </c>
      <c r="C98" t="str">
        <f>Financeiros!C25</f>
        <v>Ajustes Processos anteriores</v>
      </c>
      <c r="D98">
        <v>2</v>
      </c>
      <c r="E98">
        <v>2</v>
      </c>
      <c r="F98">
        <f>Financeiros!F25</f>
        <v>22</v>
      </c>
      <c r="G98">
        <f>Financeiros!G25</f>
        <v>60</v>
      </c>
      <c r="H98">
        <f>Financeiros!H25</f>
        <v>999</v>
      </c>
      <c r="I98">
        <f>Financeiros!I25</f>
        <v>2</v>
      </c>
      <c r="J98">
        <f>Financeiros!J25</f>
        <v>30</v>
      </c>
      <c r="K98">
        <f>Financeiros!K25</f>
        <v>9</v>
      </c>
      <c r="L98">
        <v>99</v>
      </c>
      <c r="M98">
        <v>9</v>
      </c>
      <c r="N98">
        <v>3</v>
      </c>
      <c r="O98">
        <v>99999</v>
      </c>
      <c r="P98" s="233">
        <f t="shared" si="2"/>
        <v>0</v>
      </c>
      <c r="Q98" s="233">
        <f>Financeiros!D25</f>
        <v>0</v>
      </c>
    </row>
    <row r="99" spans="1:17" ht="15.75">
      <c r="A99" t="s">
        <v>1706</v>
      </c>
      <c r="B99" t="s">
        <v>1706</v>
      </c>
      <c r="C99" t="s">
        <v>1706</v>
      </c>
      <c r="D99">
        <v>99</v>
      </c>
      <c r="E99">
        <v>99</v>
      </c>
      <c r="F99">
        <v>999</v>
      </c>
      <c r="G99">
        <v>999999</v>
      </c>
      <c r="H99">
        <v>999</v>
      </c>
      <c r="I99">
        <v>99</v>
      </c>
      <c r="J99">
        <v>999</v>
      </c>
      <c r="K99">
        <v>9</v>
      </c>
      <c r="L99">
        <v>99</v>
      </c>
      <c r="M99">
        <v>9</v>
      </c>
      <c r="N99">
        <v>99</v>
      </c>
      <c r="O99">
        <v>99999</v>
      </c>
      <c r="P99" s="401">
        <f t="shared" si="2"/>
        <v>0</v>
      </c>
      <c r="Q99" s="401">
        <v>0</v>
      </c>
    </row>
    <row r="100" spans="1:17" ht="15.75">
      <c r="A100" t="s">
        <v>829</v>
      </c>
      <c r="B100" t="s">
        <v>1456</v>
      </c>
      <c r="C100" t="str">
        <f>Financeiros!C27</f>
        <v>Compensação DIC FIC</v>
      </c>
      <c r="D100">
        <v>2</v>
      </c>
      <c r="E100">
        <v>2</v>
      </c>
      <c r="F100">
        <f>Financeiros!F27</f>
        <v>22</v>
      </c>
      <c r="G100">
        <f>Financeiros!G27</f>
        <v>60</v>
      </c>
      <c r="H100">
        <f>Financeiros!H27</f>
        <v>178</v>
      </c>
      <c r="I100">
        <f>Financeiros!I27</f>
        <v>1</v>
      </c>
      <c r="J100">
        <f>Financeiros!J27</f>
        <v>7</v>
      </c>
      <c r="K100">
        <f>Financeiros!K27</f>
        <v>9</v>
      </c>
      <c r="L100">
        <v>99</v>
      </c>
      <c r="M100">
        <v>9</v>
      </c>
      <c r="N100">
        <v>3</v>
      </c>
      <c r="O100">
        <v>99999</v>
      </c>
      <c r="P100" s="233">
        <f t="shared" si="2"/>
        <v>-154215.46</v>
      </c>
      <c r="Q100" s="233">
        <f>Financeiros!D27</f>
        <v>-154215.46</v>
      </c>
    </row>
    <row r="101" spans="1:17" ht="15.75">
      <c r="A101" t="s">
        <v>829</v>
      </c>
      <c r="B101" t="s">
        <v>1456</v>
      </c>
      <c r="C101" t="str">
        <f>Financeiros!C28</f>
        <v>Subvenção CDE</v>
      </c>
      <c r="D101">
        <v>2</v>
      </c>
      <c r="E101">
        <v>2</v>
      </c>
      <c r="F101">
        <f>Financeiros!F28</f>
        <v>22</v>
      </c>
      <c r="G101">
        <f>Financeiros!G28</f>
        <v>60</v>
      </c>
      <c r="H101">
        <f>Financeiros!H28</f>
        <v>999</v>
      </c>
      <c r="I101">
        <f>Financeiros!I28</f>
        <v>4</v>
      </c>
      <c r="J101">
        <f>Financeiros!J28</f>
        <v>999</v>
      </c>
      <c r="K101">
        <f>Financeiros!K28</f>
        <v>9</v>
      </c>
      <c r="L101">
        <v>99</v>
      </c>
      <c r="M101">
        <v>9</v>
      </c>
      <c r="N101">
        <v>3</v>
      </c>
      <c r="O101">
        <v>99999</v>
      </c>
      <c r="P101" s="233">
        <f t="shared" ca="1" si="2"/>
        <v>-2630709.1586146285</v>
      </c>
      <c r="Q101" s="233">
        <f ca="1">Financeiros!D28</f>
        <v>-2630709.1586146285</v>
      </c>
    </row>
    <row r="102" spans="1:17" ht="15.75">
      <c r="A102" t="s">
        <v>829</v>
      </c>
      <c r="B102" t="s">
        <v>1456</v>
      </c>
      <c r="C102" t="str">
        <f>Financeiros!C29</f>
        <v>Retenção de Adicionais de Bandeiras Tarifárias</v>
      </c>
      <c r="D102">
        <v>2</v>
      </c>
      <c r="E102">
        <v>2</v>
      </c>
      <c r="F102">
        <f>Financeiros!F29</f>
        <v>22</v>
      </c>
      <c r="G102">
        <f>Financeiros!G29</f>
        <v>60</v>
      </c>
      <c r="H102">
        <f>Financeiros!H29</f>
        <v>999</v>
      </c>
      <c r="I102">
        <f>Financeiros!I29</f>
        <v>2</v>
      </c>
      <c r="J102">
        <f>Financeiros!J29</f>
        <v>30</v>
      </c>
      <c r="K102">
        <f>Financeiros!K29</f>
        <v>9</v>
      </c>
      <c r="L102">
        <v>99</v>
      </c>
      <c r="M102">
        <v>9</v>
      </c>
      <c r="N102">
        <v>3</v>
      </c>
      <c r="O102">
        <v>99999</v>
      </c>
      <c r="P102" s="233">
        <f t="shared" ref="P102:P112" si="4">IF(ISNUMBER(Q102),Q102,0)</f>
        <v>-130410.99266452562</v>
      </c>
      <c r="Q102" s="233">
        <f>Financeiros!D29</f>
        <v>-130410.99266452562</v>
      </c>
    </row>
    <row r="103" spans="1:17" ht="15.75">
      <c r="A103" t="s">
        <v>829</v>
      </c>
      <c r="B103" t="s">
        <v>1456</v>
      </c>
      <c r="C103" t="str">
        <f>Financeiros!C30</f>
        <v>Multa LPT</v>
      </c>
      <c r="D103">
        <v>2</v>
      </c>
      <c r="E103">
        <v>2</v>
      </c>
      <c r="F103">
        <f>Financeiros!F30</f>
        <v>22</v>
      </c>
      <c r="G103">
        <f>Financeiros!G30</f>
        <v>60</v>
      </c>
      <c r="H103">
        <f>Financeiros!H30</f>
        <v>120</v>
      </c>
      <c r="I103">
        <f>Financeiros!I30</f>
        <v>4</v>
      </c>
      <c r="J103">
        <f>Financeiros!J30</f>
        <v>999</v>
      </c>
      <c r="K103">
        <f>Financeiros!K30</f>
        <v>9</v>
      </c>
      <c r="L103">
        <v>99</v>
      </c>
      <c r="M103">
        <v>9</v>
      </c>
      <c r="N103">
        <v>3</v>
      </c>
      <c r="O103">
        <v>99999</v>
      </c>
      <c r="P103" s="233">
        <f t="shared" si="4"/>
        <v>0</v>
      </c>
      <c r="Q103" s="233">
        <f>Financeiros!D30</f>
        <v>0</v>
      </c>
    </row>
    <row r="104" spans="1:17" ht="15.75">
      <c r="A104" t="s">
        <v>829</v>
      </c>
      <c r="B104" t="s">
        <v>1456</v>
      </c>
      <c r="C104" t="str">
        <f>Financeiros!C32</f>
        <v>Repasse de ICMS CUSD</v>
      </c>
      <c r="D104">
        <v>2</v>
      </c>
      <c r="E104">
        <v>2</v>
      </c>
      <c r="F104">
        <f>Financeiros!F32</f>
        <v>22</v>
      </c>
      <c r="G104">
        <f>Financeiros!G32</f>
        <v>60</v>
      </c>
      <c r="H104">
        <f>Financeiros!H32</f>
        <v>999</v>
      </c>
      <c r="I104">
        <f>Financeiros!I32</f>
        <v>1</v>
      </c>
      <c r="J104">
        <f>Financeiros!J32</f>
        <v>7</v>
      </c>
      <c r="K104">
        <f>Financeiros!K32</f>
        <v>9</v>
      </c>
      <c r="L104">
        <v>99</v>
      </c>
      <c r="M104">
        <v>9</v>
      </c>
      <c r="N104">
        <v>3</v>
      </c>
      <c r="O104">
        <v>99999</v>
      </c>
      <c r="P104" s="233">
        <f t="shared" ca="1" si="4"/>
        <v>0</v>
      </c>
      <c r="Q104" s="233">
        <f ca="1">Financeiros!D32</f>
        <v>0</v>
      </c>
    </row>
    <row r="105" spans="1:17" ht="15.75">
      <c r="A105" t="s">
        <v>829</v>
      </c>
      <c r="B105" t="s">
        <v>1456</v>
      </c>
      <c r="C105" t="str">
        <f>Financeiros!C33</f>
        <v>Repasse de ICMS TE</v>
      </c>
      <c r="D105">
        <v>2</v>
      </c>
      <c r="E105">
        <v>2</v>
      </c>
      <c r="F105">
        <f>Financeiros!F33</f>
        <v>22</v>
      </c>
      <c r="G105">
        <f>Financeiros!G33</f>
        <v>60</v>
      </c>
      <c r="H105">
        <f>Financeiros!H33</f>
        <v>999</v>
      </c>
      <c r="I105">
        <f>Financeiros!I33</f>
        <v>2</v>
      </c>
      <c r="J105">
        <f>Financeiros!J33</f>
        <v>30</v>
      </c>
      <c r="K105">
        <f>Financeiros!K33</f>
        <v>9</v>
      </c>
      <c r="L105">
        <v>99</v>
      </c>
      <c r="M105">
        <v>9</v>
      </c>
      <c r="N105">
        <v>3</v>
      </c>
      <c r="O105">
        <v>99999</v>
      </c>
      <c r="P105" s="233">
        <f t="shared" ca="1" si="4"/>
        <v>0</v>
      </c>
      <c r="Q105" s="233">
        <f ca="1">Financeiros!D33</f>
        <v>0</v>
      </c>
    </row>
    <row r="106" spans="1:17" ht="15.75">
      <c r="A106" t="s">
        <v>829</v>
      </c>
      <c r="B106" t="s">
        <v>1456</v>
      </c>
      <c r="C106" t="str">
        <f>Financeiros!C34</f>
        <v>Ressarcimento P&amp;D</v>
      </c>
      <c r="D106">
        <v>2</v>
      </c>
      <c r="E106">
        <v>2</v>
      </c>
      <c r="F106">
        <f>Financeiros!F34</f>
        <v>22</v>
      </c>
      <c r="G106">
        <f>Financeiros!G34</f>
        <v>60</v>
      </c>
      <c r="H106">
        <f>Financeiros!H34</f>
        <v>231</v>
      </c>
      <c r="I106">
        <f>Financeiros!I34</f>
        <v>3</v>
      </c>
      <c r="J106">
        <f>Financeiros!J34</f>
        <v>19</v>
      </c>
      <c r="K106">
        <f>Financeiros!K34</f>
        <v>9</v>
      </c>
      <c r="L106">
        <v>99</v>
      </c>
      <c r="M106">
        <v>9</v>
      </c>
      <c r="N106">
        <v>3</v>
      </c>
      <c r="O106">
        <v>99999</v>
      </c>
      <c r="P106" s="233">
        <f t="shared" si="4"/>
        <v>0</v>
      </c>
      <c r="Q106" s="233">
        <f>Financeiros!D34</f>
        <v>0</v>
      </c>
    </row>
    <row r="107" spans="1:17" ht="15.75">
      <c r="A107" t="s">
        <v>829</v>
      </c>
      <c r="B107" t="s">
        <v>1456</v>
      </c>
      <c r="C107" t="str">
        <f>Financeiros!C35</f>
        <v>Efeito Conta COVID</v>
      </c>
      <c r="D107">
        <v>2</v>
      </c>
      <c r="E107">
        <v>2</v>
      </c>
      <c r="F107">
        <f>Financeiros!F35</f>
        <v>22</v>
      </c>
      <c r="G107">
        <f>Financeiros!G35</f>
        <v>60</v>
      </c>
      <c r="H107">
        <f>Financeiros!H35</f>
        <v>235</v>
      </c>
      <c r="I107">
        <f>Financeiros!I35</f>
        <v>4</v>
      </c>
      <c r="J107">
        <f>Financeiros!J35</f>
        <v>999</v>
      </c>
      <c r="K107">
        <f>Financeiros!K35</f>
        <v>9</v>
      </c>
      <c r="L107">
        <v>99</v>
      </c>
      <c r="M107">
        <v>9</v>
      </c>
      <c r="N107">
        <v>3</v>
      </c>
      <c r="O107">
        <v>99999</v>
      </c>
      <c r="P107" s="233">
        <f t="shared" si="4"/>
        <v>0</v>
      </c>
      <c r="Q107" s="233">
        <f>Financeiros!D35</f>
        <v>0</v>
      </c>
    </row>
    <row r="108" spans="1:17" ht="15.75">
      <c r="A108" t="s">
        <v>829</v>
      </c>
      <c r="B108" t="s">
        <v>1456</v>
      </c>
      <c r="C108" t="str">
        <f>Financeiros!C36</f>
        <v>Previsão de Risco Hidrologico</v>
      </c>
      <c r="D108">
        <v>2</v>
      </c>
      <c r="E108">
        <v>2</v>
      </c>
      <c r="F108">
        <f>Financeiros!F36</f>
        <v>22</v>
      </c>
      <c r="G108">
        <f>Financeiros!G36</f>
        <v>60</v>
      </c>
      <c r="H108">
        <f>Financeiros!H36</f>
        <v>220</v>
      </c>
      <c r="I108">
        <f>Financeiros!I36</f>
        <v>2</v>
      </c>
      <c r="J108">
        <f>Financeiros!J36</f>
        <v>30</v>
      </c>
      <c r="K108">
        <f>Financeiros!K36</f>
        <v>9</v>
      </c>
      <c r="L108">
        <v>99</v>
      </c>
      <c r="M108">
        <v>9</v>
      </c>
      <c r="N108">
        <v>3</v>
      </c>
      <c r="O108">
        <v>99999</v>
      </c>
      <c r="P108" s="233">
        <f t="shared" si="4"/>
        <v>0</v>
      </c>
      <c r="Q108" s="233">
        <f>Financeiros!D36</f>
        <v>0</v>
      </c>
    </row>
    <row r="109" spans="1:17" ht="15.75">
      <c r="A109" t="s">
        <v>829</v>
      </c>
      <c r="B109" t="s">
        <v>1456</v>
      </c>
      <c r="C109" t="str">
        <f>Financeiros!C37</f>
        <v>Efeito COVID da Supridora</v>
      </c>
      <c r="D109">
        <v>2</v>
      </c>
      <c r="E109">
        <v>2</v>
      </c>
      <c r="F109">
        <f>Financeiros!F37</f>
        <v>22</v>
      </c>
      <c r="G109">
        <f>Financeiros!G37</f>
        <v>60</v>
      </c>
      <c r="H109">
        <f>Financeiros!H37</f>
        <v>999</v>
      </c>
      <c r="I109">
        <f>Financeiros!I37</f>
        <v>2</v>
      </c>
      <c r="J109">
        <f>Financeiros!J37</f>
        <v>30</v>
      </c>
      <c r="K109">
        <f>Financeiros!K37</f>
        <v>9</v>
      </c>
      <c r="L109">
        <v>99</v>
      </c>
      <c r="M109">
        <v>9</v>
      </c>
      <c r="N109">
        <v>3</v>
      </c>
      <c r="O109">
        <v>99999</v>
      </c>
      <c r="P109" s="233">
        <f t="shared" si="4"/>
        <v>0</v>
      </c>
      <c r="Q109" s="233">
        <f>Financeiros!D37</f>
        <v>0</v>
      </c>
    </row>
    <row r="110" spans="1:17" ht="15.75">
      <c r="A110" t="s">
        <v>829</v>
      </c>
      <c r="B110" t="s">
        <v>1456</v>
      </c>
      <c r="C110" t="str">
        <f>Financeiros!C38</f>
        <v>Crédito de Pis Cofins sobre ICMS</v>
      </c>
      <c r="D110">
        <v>2</v>
      </c>
      <c r="E110">
        <v>2</v>
      </c>
      <c r="F110">
        <f>Financeiros!F38</f>
        <v>22</v>
      </c>
      <c r="G110">
        <f>Financeiros!G38</f>
        <v>60</v>
      </c>
      <c r="H110">
        <f>Financeiros!H38</f>
        <v>179</v>
      </c>
      <c r="I110">
        <f>Financeiros!I38</f>
        <v>99</v>
      </c>
      <c r="J110">
        <f>Financeiros!J38</f>
        <v>999</v>
      </c>
      <c r="K110">
        <f>Financeiros!K38</f>
        <v>3</v>
      </c>
      <c r="L110">
        <v>99</v>
      </c>
      <c r="M110">
        <v>9</v>
      </c>
      <c r="N110">
        <v>3</v>
      </c>
      <c r="O110">
        <v>99999</v>
      </c>
      <c r="P110" s="233">
        <f t="shared" si="4"/>
        <v>-216318.95200995237</v>
      </c>
      <c r="Q110" s="233">
        <f>Financeiros!D38</f>
        <v>-216318.95200995237</v>
      </c>
    </row>
    <row r="111" spans="1:17" ht="15.75">
      <c r="A111" t="s">
        <v>829</v>
      </c>
      <c r="B111" t="s">
        <v>1456</v>
      </c>
      <c r="C111" t="str">
        <f>Financeiros!C39</f>
        <v>Diferimento Pis Cofins TUSD</v>
      </c>
      <c r="D111">
        <v>2</v>
      </c>
      <c r="E111">
        <v>2</v>
      </c>
      <c r="F111">
        <f>Financeiros!F39</f>
        <v>22</v>
      </c>
      <c r="G111">
        <f>Financeiros!G39</f>
        <v>60</v>
      </c>
      <c r="H111">
        <f>Financeiros!H39</f>
        <v>999</v>
      </c>
      <c r="I111">
        <f>Financeiros!I39</f>
        <v>1</v>
      </c>
      <c r="J111">
        <f>Financeiros!J39</f>
        <v>7</v>
      </c>
      <c r="K111">
        <f>Financeiros!K39</f>
        <v>9</v>
      </c>
      <c r="L111">
        <v>99</v>
      </c>
      <c r="M111">
        <v>9</v>
      </c>
      <c r="N111">
        <v>3</v>
      </c>
      <c r="O111">
        <v>99999</v>
      </c>
      <c r="P111" s="233">
        <f t="shared" si="4"/>
        <v>0</v>
      </c>
      <c r="Q111" s="233">
        <f>Financeiros!D39</f>
        <v>0</v>
      </c>
    </row>
    <row r="112" spans="1:17" ht="15.75">
      <c r="A112" t="s">
        <v>829</v>
      </c>
      <c r="B112" t="s">
        <v>1456</v>
      </c>
      <c r="C112" t="str">
        <f>Financeiros!C40</f>
        <v>Diferimento Pis Cofins TE</v>
      </c>
      <c r="D112">
        <v>2</v>
      </c>
      <c r="E112">
        <v>2</v>
      </c>
      <c r="F112">
        <f>Financeiros!F40</f>
        <v>22</v>
      </c>
      <c r="G112">
        <f>Financeiros!G40</f>
        <v>60</v>
      </c>
      <c r="H112">
        <f>Financeiros!H40</f>
        <v>999</v>
      </c>
      <c r="I112">
        <f>Financeiros!I40</f>
        <v>2</v>
      </c>
      <c r="J112">
        <f>Financeiros!J40</f>
        <v>30</v>
      </c>
      <c r="K112">
        <f>Financeiros!K40</f>
        <v>9</v>
      </c>
      <c r="L112">
        <v>99</v>
      </c>
      <c r="M112">
        <v>9</v>
      </c>
      <c r="N112">
        <v>3</v>
      </c>
      <c r="O112">
        <v>99999</v>
      </c>
      <c r="P112" s="233">
        <f t="shared" si="4"/>
        <v>0</v>
      </c>
      <c r="Q112" s="233">
        <f>Financeiros!D40</f>
        <v>0</v>
      </c>
    </row>
    <row r="113" spans="1:17" ht="15.75">
      <c r="A113" t="s">
        <v>829</v>
      </c>
      <c r="B113" t="s">
        <v>1456</v>
      </c>
      <c r="C113" t="str">
        <f>Financeiros!C41</f>
        <v>Financeiros associados ao §7º do Art. 88 da Ren 414/2021</v>
      </c>
      <c r="D113">
        <v>2</v>
      </c>
      <c r="E113">
        <v>2</v>
      </c>
      <c r="F113">
        <f>Financeiros!F41</f>
        <v>22</v>
      </c>
      <c r="G113">
        <f>Financeiros!G41</f>
        <v>60</v>
      </c>
      <c r="H113">
        <f>Financeiros!H41</f>
        <v>999</v>
      </c>
      <c r="I113">
        <f>Financeiros!I41</f>
        <v>2</v>
      </c>
      <c r="J113">
        <f>Financeiros!J41</f>
        <v>30</v>
      </c>
      <c r="K113">
        <f>Financeiros!K41</f>
        <v>9</v>
      </c>
      <c r="L113">
        <v>99</v>
      </c>
      <c r="M113">
        <v>9</v>
      </c>
      <c r="N113">
        <v>3</v>
      </c>
      <c r="O113">
        <v>99999</v>
      </c>
      <c r="P113" s="233">
        <f t="shared" si="2"/>
        <v>0</v>
      </c>
      <c r="Q113" s="233">
        <f>Financeiros!D41</f>
        <v>0</v>
      </c>
    </row>
    <row r="114" spans="1:17" ht="15.75">
      <c r="A114" t="s">
        <v>829</v>
      </c>
      <c r="B114" t="s">
        <v>1456</v>
      </c>
      <c r="C114">
        <f>Financeiros!C45</f>
        <v>0</v>
      </c>
      <c r="D114">
        <v>2</v>
      </c>
      <c r="E114">
        <v>2</v>
      </c>
      <c r="F114">
        <f>Financeiros!F45</f>
        <v>22</v>
      </c>
      <c r="G114">
        <f>Financeiros!G45</f>
        <v>60</v>
      </c>
      <c r="H114">
        <f>Financeiros!H45</f>
        <v>999</v>
      </c>
      <c r="I114">
        <f>Financeiros!I45</f>
        <v>99</v>
      </c>
      <c r="J114">
        <f>Financeiros!J45</f>
        <v>999</v>
      </c>
      <c r="K114">
        <f>Financeiros!K45</f>
        <v>9</v>
      </c>
      <c r="L114">
        <v>99</v>
      </c>
      <c r="M114">
        <v>9</v>
      </c>
      <c r="N114">
        <v>3</v>
      </c>
      <c r="O114">
        <v>99999</v>
      </c>
      <c r="P114" s="233">
        <f t="shared" ref="P114:P116" si="5">IF(ISNUMBER(Q114),Q114,0)</f>
        <v>0</v>
      </c>
      <c r="Q114" s="233">
        <f>Financeiros!D45</f>
        <v>0</v>
      </c>
    </row>
    <row r="115" spans="1:17" ht="15.75">
      <c r="A115" t="s">
        <v>829</v>
      </c>
      <c r="B115" t="s">
        <v>1456</v>
      </c>
      <c r="C115">
        <f>Financeiros!C46</f>
        <v>0</v>
      </c>
      <c r="D115">
        <v>2</v>
      </c>
      <c r="E115">
        <v>2</v>
      </c>
      <c r="F115">
        <f>Financeiros!F46</f>
        <v>22</v>
      </c>
      <c r="G115">
        <f>Financeiros!G46</f>
        <v>60</v>
      </c>
      <c r="H115">
        <f>Financeiros!H46</f>
        <v>999</v>
      </c>
      <c r="I115">
        <f>Financeiros!I46</f>
        <v>99</v>
      </c>
      <c r="J115">
        <f>Financeiros!J46</f>
        <v>999</v>
      </c>
      <c r="K115">
        <f>Financeiros!K46</f>
        <v>9</v>
      </c>
      <c r="L115">
        <v>99</v>
      </c>
      <c r="M115">
        <v>9</v>
      </c>
      <c r="N115">
        <v>3</v>
      </c>
      <c r="O115">
        <v>99999</v>
      </c>
      <c r="P115" s="233">
        <f t="shared" si="5"/>
        <v>0</v>
      </c>
      <c r="Q115" s="233">
        <f>Financeiros!D46</f>
        <v>0</v>
      </c>
    </row>
    <row r="116" spans="1:17" ht="15.75">
      <c r="A116" t="s">
        <v>829</v>
      </c>
      <c r="B116" t="s">
        <v>1456</v>
      </c>
      <c r="C116">
        <f>Financeiros!C47</f>
        <v>0</v>
      </c>
      <c r="D116">
        <v>2</v>
      </c>
      <c r="E116">
        <v>2</v>
      </c>
      <c r="F116">
        <f>Financeiros!F47</f>
        <v>22</v>
      </c>
      <c r="G116">
        <f>Financeiros!G47</f>
        <v>60</v>
      </c>
      <c r="H116">
        <f>Financeiros!H47</f>
        <v>999</v>
      </c>
      <c r="I116">
        <f>Financeiros!I47</f>
        <v>99</v>
      </c>
      <c r="J116">
        <f>Financeiros!J47</f>
        <v>999</v>
      </c>
      <c r="K116">
        <f>Financeiros!K47</f>
        <v>9</v>
      </c>
      <c r="L116">
        <v>99</v>
      </c>
      <c r="M116">
        <v>9</v>
      </c>
      <c r="N116">
        <v>3</v>
      </c>
      <c r="O116">
        <v>99999</v>
      </c>
      <c r="P116" s="233">
        <f t="shared" si="5"/>
        <v>0</v>
      </c>
      <c r="Q116" s="233">
        <f>Financeiros!D47</f>
        <v>0</v>
      </c>
    </row>
    <row r="117" spans="1:17" ht="15.75">
      <c r="A117" t="s">
        <v>829</v>
      </c>
      <c r="B117" t="s">
        <v>1456</v>
      </c>
      <c r="C117" t="str">
        <f>Financeiros!C10</f>
        <v>Repasse de PIS COFINS CUSD</v>
      </c>
      <c r="D117">
        <v>2</v>
      </c>
      <c r="E117">
        <v>2</v>
      </c>
      <c r="F117">
        <f>Financeiros!F10</f>
        <v>22</v>
      </c>
      <c r="G117">
        <f>Financeiros!G10</f>
        <v>60</v>
      </c>
      <c r="H117">
        <f>Financeiros!H10</f>
        <v>999</v>
      </c>
      <c r="I117">
        <f>Financeiros!I10</f>
        <v>1</v>
      </c>
      <c r="J117">
        <f>Financeiros!J10</f>
        <v>7</v>
      </c>
      <c r="K117">
        <f>Financeiros!K10</f>
        <v>9</v>
      </c>
      <c r="L117">
        <v>99</v>
      </c>
      <c r="M117">
        <v>9</v>
      </c>
      <c r="N117">
        <v>4</v>
      </c>
      <c r="O117">
        <v>99999</v>
      </c>
      <c r="P117" s="233">
        <f t="shared" ca="1" si="2"/>
        <v>6.2888103157191996E-3</v>
      </c>
      <c r="Q117" s="233">
        <f ca="1">Financeiros!E10</f>
        <v>6.2888103157191996E-3</v>
      </c>
    </row>
    <row r="118" spans="1:17" ht="15.75">
      <c r="A118" t="s">
        <v>829</v>
      </c>
      <c r="B118" t="s">
        <v>1456</v>
      </c>
      <c r="C118" t="str">
        <f>Financeiros!C11</f>
        <v>Repasse de PIS COFINS TE</v>
      </c>
      <c r="D118">
        <v>2</v>
      </c>
      <c r="E118">
        <v>2</v>
      </c>
      <c r="F118">
        <f>Financeiros!F11</f>
        <v>22</v>
      </c>
      <c r="G118">
        <f>Financeiros!G11</f>
        <v>60</v>
      </c>
      <c r="H118">
        <f>Financeiros!H11</f>
        <v>999</v>
      </c>
      <c r="I118">
        <f>Financeiros!I11</f>
        <v>2</v>
      </c>
      <c r="J118">
        <f>Financeiros!J11</f>
        <v>30</v>
      </c>
      <c r="K118">
        <f>Financeiros!K11</f>
        <v>9</v>
      </c>
      <c r="L118">
        <v>99</v>
      </c>
      <c r="M118">
        <v>9</v>
      </c>
      <c r="N118">
        <v>4</v>
      </c>
      <c r="O118">
        <v>99999</v>
      </c>
      <c r="P118" s="233">
        <f t="shared" ca="1" si="2"/>
        <v>9.0787391866008448E-3</v>
      </c>
      <c r="Q118" s="233">
        <f ca="1">Financeiros!E11</f>
        <v>9.0787391866008448E-3</v>
      </c>
    </row>
    <row r="119" spans="1:17" ht="15.75">
      <c r="A119" t="s">
        <v>829</v>
      </c>
      <c r="B119" t="s">
        <v>1456</v>
      </c>
      <c r="C119" t="str">
        <f>Financeiros!C12</f>
        <v>(Neutralidade) TFSEE</v>
      </c>
      <c r="D119">
        <v>2</v>
      </c>
      <c r="E119">
        <v>2</v>
      </c>
      <c r="F119">
        <f>Financeiros!F12</f>
        <v>20</v>
      </c>
      <c r="G119">
        <f>Financeiros!G12</f>
        <v>60</v>
      </c>
      <c r="H119">
        <f>Financeiros!H12</f>
        <v>20</v>
      </c>
      <c r="I119">
        <f>Financeiros!I12</f>
        <v>3</v>
      </c>
      <c r="J119">
        <f>Financeiros!J12</f>
        <v>14</v>
      </c>
      <c r="K119">
        <f>Financeiros!K12</f>
        <v>9</v>
      </c>
      <c r="L119">
        <v>99</v>
      </c>
      <c r="M119">
        <v>9</v>
      </c>
      <c r="N119">
        <v>4</v>
      </c>
      <c r="O119">
        <v>99999</v>
      </c>
      <c r="P119" s="233">
        <f t="shared" ca="1" si="2"/>
        <v>1.0124692062062419E-4</v>
      </c>
      <c r="Q119" s="248">
        <f ca="1">Financeiros!E12</f>
        <v>1.0124692062062419E-4</v>
      </c>
    </row>
    <row r="120" spans="1:17" ht="15.75">
      <c r="A120" t="s">
        <v>829</v>
      </c>
      <c r="B120" t="s">
        <v>1456</v>
      </c>
      <c r="C120" t="str">
        <f>Financeiros!C13</f>
        <v>(Neutralidade) CDE</v>
      </c>
      <c r="D120">
        <v>2</v>
      </c>
      <c r="E120">
        <v>2</v>
      </c>
      <c r="F120">
        <f>Financeiros!F13</f>
        <v>20</v>
      </c>
      <c r="G120">
        <f>Financeiros!G13</f>
        <v>60</v>
      </c>
      <c r="H120">
        <f>Financeiros!H13</f>
        <v>20</v>
      </c>
      <c r="I120">
        <f>Financeiros!I13</f>
        <v>3</v>
      </c>
      <c r="J120">
        <f>Financeiros!J13</f>
        <v>15</v>
      </c>
      <c r="K120">
        <f>Financeiros!K13</f>
        <v>9</v>
      </c>
      <c r="L120">
        <v>99</v>
      </c>
      <c r="M120">
        <v>9</v>
      </c>
      <c r="N120">
        <v>4</v>
      </c>
      <c r="O120">
        <v>99999</v>
      </c>
      <c r="P120" s="233">
        <f t="shared" ca="1" si="2"/>
        <v>3.3066071825183997E-3</v>
      </c>
      <c r="Q120" s="248">
        <f ca="1">Financeiros!E13</f>
        <v>3.3066071825183997E-3</v>
      </c>
    </row>
    <row r="121" spans="1:17" ht="15.75">
      <c r="A121" t="s">
        <v>829</v>
      </c>
      <c r="B121" t="s">
        <v>1456</v>
      </c>
      <c r="C121" t="str">
        <f>Financeiros!C14</f>
        <v>(Neutralidade) CFURH</v>
      </c>
      <c r="D121">
        <v>2</v>
      </c>
      <c r="E121">
        <v>2</v>
      </c>
      <c r="F121">
        <f>Financeiros!F14</f>
        <v>20</v>
      </c>
      <c r="G121">
        <f>Financeiros!G14</f>
        <v>60</v>
      </c>
      <c r="H121">
        <f>Financeiros!H14</f>
        <v>20</v>
      </c>
      <c r="I121">
        <f>Financeiros!I14</f>
        <v>3</v>
      </c>
      <c r="J121">
        <f>Financeiros!J14</f>
        <v>16</v>
      </c>
      <c r="K121">
        <f>Financeiros!K14</f>
        <v>9</v>
      </c>
      <c r="L121">
        <v>99</v>
      </c>
      <c r="M121">
        <v>9</v>
      </c>
      <c r="N121">
        <v>4</v>
      </c>
      <c r="O121">
        <v>99999</v>
      </c>
      <c r="P121" s="233">
        <f t="shared" ca="1" si="2"/>
        <v>0</v>
      </c>
      <c r="Q121" s="248">
        <f ca="1">Financeiros!E14</f>
        <v>0</v>
      </c>
    </row>
    <row r="122" spans="1:17" ht="15.75">
      <c r="A122" t="s">
        <v>829</v>
      </c>
      <c r="B122" t="s">
        <v>1456</v>
      </c>
      <c r="C122" t="str">
        <f>Financeiros!C15</f>
        <v>(Neutralidade) ESS/EER</v>
      </c>
      <c r="D122">
        <v>2</v>
      </c>
      <c r="E122">
        <v>2</v>
      </c>
      <c r="F122">
        <f>Financeiros!F15</f>
        <v>20</v>
      </c>
      <c r="G122">
        <f>Financeiros!G15</f>
        <v>60</v>
      </c>
      <c r="H122">
        <f>Financeiros!H15</f>
        <v>20</v>
      </c>
      <c r="I122">
        <f>Financeiros!I15</f>
        <v>3</v>
      </c>
      <c r="J122">
        <f>Financeiros!J15</f>
        <v>17</v>
      </c>
      <c r="K122">
        <f>Financeiros!K15</f>
        <v>9</v>
      </c>
      <c r="L122">
        <v>99</v>
      </c>
      <c r="M122">
        <v>9</v>
      </c>
      <c r="N122">
        <v>4</v>
      </c>
      <c r="O122">
        <v>99999</v>
      </c>
      <c r="P122" s="233">
        <f t="shared" ca="1" si="2"/>
        <v>0</v>
      </c>
      <c r="Q122" s="248">
        <f ca="1">Financeiros!E15</f>
        <v>0</v>
      </c>
    </row>
    <row r="123" spans="1:17" ht="15.75">
      <c r="A123" t="s">
        <v>829</v>
      </c>
      <c r="B123" t="s">
        <v>1456</v>
      </c>
      <c r="C123" t="str">
        <f>Financeiros!C16</f>
        <v>(Neutralidade) PROINFA</v>
      </c>
      <c r="D123">
        <v>2</v>
      </c>
      <c r="E123">
        <v>2</v>
      </c>
      <c r="F123">
        <f>Financeiros!F16</f>
        <v>20</v>
      </c>
      <c r="G123">
        <f>Financeiros!G16</f>
        <v>60</v>
      </c>
      <c r="H123">
        <f>Financeiros!H16</f>
        <v>20</v>
      </c>
      <c r="I123">
        <f>Financeiros!I16</f>
        <v>3</v>
      </c>
      <c r="J123">
        <f>Financeiros!J16</f>
        <v>18</v>
      </c>
      <c r="K123">
        <f>Financeiros!K16</f>
        <v>9</v>
      </c>
      <c r="L123">
        <v>99</v>
      </c>
      <c r="M123">
        <v>9</v>
      </c>
      <c r="N123">
        <v>4</v>
      </c>
      <c r="O123">
        <v>99999</v>
      </c>
      <c r="P123" s="233">
        <f t="shared" ca="1" si="2"/>
        <v>4.6264275331891423E-4</v>
      </c>
      <c r="Q123" s="248">
        <f ca="1">Financeiros!E16</f>
        <v>4.6264275331891423E-4</v>
      </c>
    </row>
    <row r="124" spans="1:17" ht="15.75">
      <c r="A124" t="s">
        <v>829</v>
      </c>
      <c r="B124" t="s">
        <v>1456</v>
      </c>
      <c r="C124" t="str">
        <f>Financeiros!C17</f>
        <v>(Neutralidade) P&amp;D e PEE</v>
      </c>
      <c r="D124">
        <v>2</v>
      </c>
      <c r="E124">
        <v>2</v>
      </c>
      <c r="F124">
        <f>Financeiros!F17</f>
        <v>20</v>
      </c>
      <c r="G124">
        <f>Financeiros!G17</f>
        <v>60</v>
      </c>
      <c r="H124">
        <f>Financeiros!H17</f>
        <v>20</v>
      </c>
      <c r="I124">
        <f>Financeiros!I17</f>
        <v>3</v>
      </c>
      <c r="J124">
        <f>Financeiros!J17</f>
        <v>19</v>
      </c>
      <c r="K124">
        <f>Financeiros!K17</f>
        <v>9</v>
      </c>
      <c r="L124">
        <v>99</v>
      </c>
      <c r="M124">
        <v>9</v>
      </c>
      <c r="N124">
        <v>4</v>
      </c>
      <c r="O124">
        <v>99999</v>
      </c>
      <c r="P124" s="233">
        <f t="shared" ca="1" si="2"/>
        <v>0</v>
      </c>
      <c r="Q124" s="248">
        <f ca="1">Financeiros!E17</f>
        <v>0</v>
      </c>
    </row>
    <row r="125" spans="1:17" ht="15.75">
      <c r="A125" t="s">
        <v>829</v>
      </c>
      <c r="B125" t="s">
        <v>1456</v>
      </c>
      <c r="C125" t="str">
        <f>Financeiros!C18</f>
        <v>(Neutralidade) CDE conta covid-19</v>
      </c>
      <c r="D125">
        <v>2</v>
      </c>
      <c r="E125">
        <v>2</v>
      </c>
      <c r="F125">
        <f>Financeiros!F18</f>
        <v>20</v>
      </c>
      <c r="G125">
        <f>Financeiros!G18</f>
        <v>60</v>
      </c>
      <c r="H125">
        <f>Financeiros!H18</f>
        <v>73</v>
      </c>
      <c r="I125">
        <f>Financeiros!I18</f>
        <v>3</v>
      </c>
      <c r="J125">
        <f>Financeiros!J18</f>
        <v>12</v>
      </c>
      <c r="K125">
        <f>Financeiros!K18</f>
        <v>9</v>
      </c>
      <c r="L125">
        <v>99</v>
      </c>
      <c r="M125">
        <v>9</v>
      </c>
      <c r="N125">
        <v>4</v>
      </c>
      <c r="O125">
        <v>99999</v>
      </c>
      <c r="P125" s="233">
        <f t="shared" ca="1" si="2"/>
        <v>0</v>
      </c>
      <c r="Q125" s="248">
        <f ca="1">Financeiros!E18</f>
        <v>0</v>
      </c>
    </row>
    <row r="126" spans="1:17" ht="15.75">
      <c r="A126" t="s">
        <v>829</v>
      </c>
      <c r="B126" t="s">
        <v>1456</v>
      </c>
      <c r="C126" t="str">
        <f>Financeiros!C19</f>
        <v>(Neutralidade)Financeiro Covid</v>
      </c>
      <c r="D126">
        <v>2</v>
      </c>
      <c r="E126">
        <v>2</v>
      </c>
      <c r="F126">
        <f>Financeiros!F19</f>
        <v>20</v>
      </c>
      <c r="G126">
        <f>Financeiros!G19</f>
        <v>60</v>
      </c>
      <c r="H126">
        <f>Financeiros!H19</f>
        <v>235</v>
      </c>
      <c r="I126">
        <f>Financeiros!I19</f>
        <v>4</v>
      </c>
      <c r="J126">
        <f>Financeiros!J19</f>
        <v>999</v>
      </c>
      <c r="K126">
        <f>Financeiros!K19</f>
        <v>9</v>
      </c>
      <c r="L126">
        <v>99</v>
      </c>
      <c r="M126">
        <v>9</v>
      </c>
      <c r="N126">
        <v>4</v>
      </c>
      <c r="O126">
        <v>99999</v>
      </c>
      <c r="P126" s="233">
        <f t="shared" ref="P126:P127" ca="1" si="6">IF(ISNUMBER(Q126),Q126,0)</f>
        <v>0</v>
      </c>
      <c r="Q126" s="248">
        <f ca="1">Financeiros!E19</f>
        <v>0</v>
      </c>
    </row>
    <row r="127" spans="1:17" ht="15.75">
      <c r="A127" t="s">
        <v>829</v>
      </c>
      <c r="B127" t="s">
        <v>1456</v>
      </c>
      <c r="C127" t="str">
        <f>Financeiros!C20</f>
        <v>(Neutralidade)Crédito Pis Cofins</v>
      </c>
      <c r="D127">
        <v>2</v>
      </c>
      <c r="E127">
        <v>2</v>
      </c>
      <c r="F127">
        <f>Financeiros!F20</f>
        <v>20</v>
      </c>
      <c r="G127">
        <f>Financeiros!G20</f>
        <v>60</v>
      </c>
      <c r="H127">
        <f>Financeiros!H20</f>
        <v>179</v>
      </c>
      <c r="I127">
        <f>Financeiros!I20</f>
        <v>99</v>
      </c>
      <c r="J127">
        <f>Financeiros!J20</f>
        <v>999</v>
      </c>
      <c r="K127">
        <f>Financeiros!K20</f>
        <v>3</v>
      </c>
      <c r="L127">
        <v>99</v>
      </c>
      <c r="M127">
        <v>9</v>
      </c>
      <c r="N127">
        <v>4</v>
      </c>
      <c r="O127">
        <v>99999</v>
      </c>
      <c r="P127" s="233">
        <f t="shared" ca="1" si="6"/>
        <v>0</v>
      </c>
      <c r="Q127" s="248">
        <f ca="1">Financeiros!E20</f>
        <v>0</v>
      </c>
    </row>
    <row r="128" spans="1:17" ht="15.75">
      <c r="A128" t="s">
        <v>829</v>
      </c>
      <c r="B128" t="s">
        <v>1456</v>
      </c>
      <c r="C128" t="str">
        <f>Financeiros!C21</f>
        <v>Ajuste CUST RB + PIS Cofins RB</v>
      </c>
      <c r="D128">
        <v>2</v>
      </c>
      <c r="E128">
        <v>2</v>
      </c>
      <c r="F128">
        <f>Financeiros!F21</f>
        <v>22</v>
      </c>
      <c r="G128">
        <f>Financeiros!G21</f>
        <v>60</v>
      </c>
      <c r="H128">
        <f>Financeiros!H21</f>
        <v>999</v>
      </c>
      <c r="I128">
        <f>Financeiros!I21</f>
        <v>1</v>
      </c>
      <c r="J128">
        <f>Financeiros!J21</f>
        <v>1</v>
      </c>
      <c r="K128">
        <f>Financeiros!K21</f>
        <v>9</v>
      </c>
      <c r="L128">
        <v>99</v>
      </c>
      <c r="M128">
        <v>9</v>
      </c>
      <c r="N128">
        <v>4</v>
      </c>
      <c r="O128">
        <v>99999</v>
      </c>
      <c r="P128" s="233">
        <f t="shared" ca="1" si="2"/>
        <v>0</v>
      </c>
      <c r="Q128" s="248">
        <f ca="1">Financeiros!E21</f>
        <v>0</v>
      </c>
    </row>
    <row r="129" spans="1:17" ht="15.75">
      <c r="A129" t="s">
        <v>829</v>
      </c>
      <c r="B129" t="s">
        <v>1456</v>
      </c>
      <c r="C129" t="str">
        <f>Financeiros!C22</f>
        <v>Ajuste CUST RB Fronteira + PIS Cofins RB Fronteira</v>
      </c>
      <c r="D129">
        <v>2</v>
      </c>
      <c r="E129">
        <v>2</v>
      </c>
      <c r="F129">
        <f>Financeiros!F22</f>
        <v>22</v>
      </c>
      <c r="G129">
        <f>Financeiros!G22</f>
        <v>60</v>
      </c>
      <c r="H129">
        <f>Financeiros!H22</f>
        <v>999</v>
      </c>
      <c r="I129">
        <f>Financeiros!I22</f>
        <v>1</v>
      </c>
      <c r="J129">
        <f>Financeiros!J22</f>
        <v>2</v>
      </c>
      <c r="K129">
        <f>Financeiros!K22</f>
        <v>9</v>
      </c>
      <c r="L129">
        <v>99</v>
      </c>
      <c r="M129">
        <v>9</v>
      </c>
      <c r="N129">
        <v>4</v>
      </c>
      <c r="O129">
        <v>99999</v>
      </c>
      <c r="P129" s="233">
        <f t="shared" ca="1" si="2"/>
        <v>0</v>
      </c>
      <c r="Q129" s="248">
        <f ca="1">Financeiros!E22</f>
        <v>0</v>
      </c>
    </row>
    <row r="130" spans="1:17" ht="15.75">
      <c r="A130" t="s">
        <v>829</v>
      </c>
      <c r="B130" t="s">
        <v>1456</v>
      </c>
      <c r="C130" t="str">
        <f>Financeiros!C23</f>
        <v>Manual de Contabilidade do Setor Elétrico</v>
      </c>
      <c r="D130">
        <v>2</v>
      </c>
      <c r="E130">
        <v>2</v>
      </c>
      <c r="F130">
        <f>Financeiros!F23</f>
        <v>22</v>
      </c>
      <c r="G130">
        <f>Financeiros!G23</f>
        <v>60</v>
      </c>
      <c r="H130">
        <f>Financeiros!H23</f>
        <v>167</v>
      </c>
      <c r="I130">
        <f>Financeiros!I23</f>
        <v>4</v>
      </c>
      <c r="J130">
        <f>Financeiros!J23</f>
        <v>999</v>
      </c>
      <c r="K130">
        <f>Financeiros!K23</f>
        <v>9</v>
      </c>
      <c r="L130">
        <v>99</v>
      </c>
      <c r="M130">
        <v>9</v>
      </c>
      <c r="N130">
        <v>4</v>
      </c>
      <c r="O130">
        <v>99999</v>
      </c>
      <c r="P130" s="233">
        <f t="shared" ca="1" si="2"/>
        <v>0</v>
      </c>
      <c r="Q130" s="248">
        <f ca="1">Financeiros!E23</f>
        <v>0</v>
      </c>
    </row>
    <row r="131" spans="1:17" ht="15.75">
      <c r="A131" t="s">
        <v>829</v>
      </c>
      <c r="B131" t="s">
        <v>1456</v>
      </c>
      <c r="C131" t="str">
        <f>Financeiros!C24</f>
        <v>Financeiro CDE Eletrobras</v>
      </c>
      <c r="D131">
        <v>2</v>
      </c>
      <c r="E131">
        <v>2</v>
      </c>
      <c r="F131">
        <f>Financeiros!F24</f>
        <v>22</v>
      </c>
      <c r="G131">
        <f>Financeiros!G24</f>
        <v>60</v>
      </c>
      <c r="H131">
        <f>Financeiros!H24</f>
        <v>999</v>
      </c>
      <c r="I131">
        <f>Financeiros!I24</f>
        <v>3</v>
      </c>
      <c r="J131">
        <f>Financeiros!J24</f>
        <v>28</v>
      </c>
      <c r="K131">
        <f>Financeiros!K24</f>
        <v>9</v>
      </c>
      <c r="L131">
        <v>99</v>
      </c>
      <c r="M131">
        <v>9</v>
      </c>
      <c r="N131">
        <v>4</v>
      </c>
      <c r="O131">
        <v>99999</v>
      </c>
      <c r="P131" s="233">
        <f t="shared" ca="1" si="2"/>
        <v>0</v>
      </c>
      <c r="Q131" s="248">
        <f ca="1">Financeiros!E24</f>
        <v>0</v>
      </c>
    </row>
    <row r="132" spans="1:17" ht="15.75">
      <c r="A132" t="s">
        <v>829</v>
      </c>
      <c r="B132" t="s">
        <v>1456</v>
      </c>
      <c r="C132" t="str">
        <f>Financeiros!C25</f>
        <v>Ajustes Processos anteriores</v>
      </c>
      <c r="D132">
        <v>2</v>
      </c>
      <c r="E132">
        <v>2</v>
      </c>
      <c r="F132">
        <f>Financeiros!F25</f>
        <v>22</v>
      </c>
      <c r="G132">
        <f>Financeiros!G25</f>
        <v>60</v>
      </c>
      <c r="H132">
        <f>Financeiros!H25</f>
        <v>999</v>
      </c>
      <c r="I132">
        <f>Financeiros!I25</f>
        <v>2</v>
      </c>
      <c r="J132">
        <f>Financeiros!J25</f>
        <v>30</v>
      </c>
      <c r="K132">
        <f>Financeiros!K25</f>
        <v>9</v>
      </c>
      <c r="L132">
        <v>99</v>
      </c>
      <c r="M132">
        <v>9</v>
      </c>
      <c r="N132">
        <v>4</v>
      </c>
      <c r="O132">
        <v>99999</v>
      </c>
      <c r="P132" s="233">
        <f t="shared" ca="1" si="2"/>
        <v>0</v>
      </c>
      <c r="Q132" s="248">
        <f ca="1">Financeiros!E25</f>
        <v>0</v>
      </c>
    </row>
    <row r="133" spans="1:17" ht="15.75">
      <c r="A133" t="s">
        <v>829</v>
      </c>
      <c r="B133" t="s">
        <v>1456</v>
      </c>
      <c r="C133" t="str">
        <f>Financeiros!C27</f>
        <v>Compensação DIC FIC</v>
      </c>
      <c r="D133">
        <v>2</v>
      </c>
      <c r="E133">
        <v>2</v>
      </c>
      <c r="F133">
        <f>Financeiros!F27</f>
        <v>22</v>
      </c>
      <c r="G133">
        <f>Financeiros!G27</f>
        <v>60</v>
      </c>
      <c r="H133">
        <f>Financeiros!H27</f>
        <v>178</v>
      </c>
      <c r="I133">
        <f>Financeiros!I27</f>
        <v>1</v>
      </c>
      <c r="J133">
        <f>Financeiros!J27</f>
        <v>7</v>
      </c>
      <c r="K133">
        <f>Financeiros!K27</f>
        <v>9</v>
      </c>
      <c r="L133">
        <v>99</v>
      </c>
      <c r="M133">
        <v>9</v>
      </c>
      <c r="N133">
        <v>4</v>
      </c>
      <c r="O133">
        <v>99999</v>
      </c>
      <c r="P133" s="233">
        <f t="shared" ca="1" si="2"/>
        <v>-1.1828042112758555E-2</v>
      </c>
      <c r="Q133" s="248">
        <f ca="1">Financeiros!E27</f>
        <v>-1.1828042112758555E-2</v>
      </c>
    </row>
    <row r="134" spans="1:17" ht="15.75">
      <c r="A134" t="s">
        <v>829</v>
      </c>
      <c r="B134" t="s">
        <v>1456</v>
      </c>
      <c r="C134" t="str">
        <f>Financeiros!C28</f>
        <v>Subvenção CDE</v>
      </c>
      <c r="D134">
        <v>2</v>
      </c>
      <c r="E134">
        <v>2</v>
      </c>
      <c r="F134">
        <f>Financeiros!F28</f>
        <v>22</v>
      </c>
      <c r="G134">
        <f>Financeiros!G28</f>
        <v>60</v>
      </c>
      <c r="H134">
        <f>Financeiros!H28</f>
        <v>999</v>
      </c>
      <c r="I134">
        <f>Financeiros!I28</f>
        <v>4</v>
      </c>
      <c r="J134">
        <f>Financeiros!J28</f>
        <v>999</v>
      </c>
      <c r="K134">
        <f>Financeiros!K28</f>
        <v>9</v>
      </c>
      <c r="L134">
        <v>99</v>
      </c>
      <c r="M134">
        <v>9</v>
      </c>
      <c r="N134">
        <v>4</v>
      </c>
      <c r="O134">
        <v>99999</v>
      </c>
      <c r="P134" s="233">
        <f t="shared" ca="1" si="2"/>
        <v>-0.20177055344848988</v>
      </c>
      <c r="Q134" s="248">
        <f ca="1">Financeiros!E28</f>
        <v>-0.20177055344848988</v>
      </c>
    </row>
    <row r="135" spans="1:17" ht="15.75">
      <c r="A135" t="s">
        <v>829</v>
      </c>
      <c r="B135" t="s">
        <v>1456</v>
      </c>
      <c r="C135" t="str">
        <f>Financeiros!C29</f>
        <v>Retenção de Adicionais de Bandeiras Tarifárias</v>
      </c>
      <c r="D135">
        <v>2</v>
      </c>
      <c r="E135">
        <v>2</v>
      </c>
      <c r="F135">
        <f>Financeiros!F29</f>
        <v>22</v>
      </c>
      <c r="G135">
        <f>Financeiros!G29</f>
        <v>60</v>
      </c>
      <c r="H135">
        <f>Financeiros!H29</f>
        <v>999</v>
      </c>
      <c r="I135">
        <f>Financeiros!I29</f>
        <v>2</v>
      </c>
      <c r="J135">
        <f>Financeiros!J29</f>
        <v>30</v>
      </c>
      <c r="K135">
        <f>Financeiros!K29</f>
        <v>9</v>
      </c>
      <c r="L135">
        <v>99</v>
      </c>
      <c r="M135">
        <v>9</v>
      </c>
      <c r="N135">
        <v>4</v>
      </c>
      <c r="O135">
        <v>99999</v>
      </c>
      <c r="P135" s="233">
        <f t="shared" ref="P135:P179" ca="1" si="7">IF(ISNUMBER(Q135),Q135,0)</f>
        <v>-1.0002283254886741E-2</v>
      </c>
      <c r="Q135" s="248">
        <f ca="1">Financeiros!E29</f>
        <v>-1.0002283254886741E-2</v>
      </c>
    </row>
    <row r="136" spans="1:17" ht="15.75">
      <c r="A136" t="s">
        <v>829</v>
      </c>
      <c r="B136" t="s">
        <v>1456</v>
      </c>
      <c r="C136" t="str">
        <f>Financeiros!C30</f>
        <v>Multa LPT</v>
      </c>
      <c r="D136">
        <v>2</v>
      </c>
      <c r="E136">
        <v>2</v>
      </c>
      <c r="F136">
        <f>Financeiros!F30</f>
        <v>22</v>
      </c>
      <c r="G136">
        <f>Financeiros!G30</f>
        <v>60</v>
      </c>
      <c r="H136">
        <f>Financeiros!H30</f>
        <v>120</v>
      </c>
      <c r="I136">
        <f>Financeiros!I30</f>
        <v>4</v>
      </c>
      <c r="J136">
        <f>Financeiros!J30</f>
        <v>999</v>
      </c>
      <c r="K136">
        <f>Financeiros!K30</f>
        <v>9</v>
      </c>
      <c r="L136">
        <v>99</v>
      </c>
      <c r="M136">
        <v>9</v>
      </c>
      <c r="N136">
        <v>4</v>
      </c>
      <c r="O136">
        <v>99999</v>
      </c>
      <c r="P136" s="233">
        <f t="shared" ca="1" si="7"/>
        <v>0</v>
      </c>
      <c r="Q136" s="248">
        <f ca="1">Financeiros!E30</f>
        <v>0</v>
      </c>
    </row>
    <row r="137" spans="1:17" ht="15.75">
      <c r="A137" t="s">
        <v>829</v>
      </c>
      <c r="B137" t="s">
        <v>1456</v>
      </c>
      <c r="C137" t="str">
        <f>Financeiros!C32</f>
        <v>Repasse de ICMS CUSD</v>
      </c>
      <c r="D137">
        <v>2</v>
      </c>
      <c r="E137">
        <v>2</v>
      </c>
      <c r="F137">
        <f>Financeiros!F32</f>
        <v>22</v>
      </c>
      <c r="G137">
        <f>Financeiros!G32</f>
        <v>60</v>
      </c>
      <c r="H137">
        <f>Financeiros!H32</f>
        <v>999</v>
      </c>
      <c r="I137">
        <f>Financeiros!I32</f>
        <v>1</v>
      </c>
      <c r="J137">
        <f>Financeiros!J32</f>
        <v>7</v>
      </c>
      <c r="K137">
        <f>Financeiros!K32</f>
        <v>9</v>
      </c>
      <c r="L137">
        <v>99</v>
      </c>
      <c r="M137">
        <v>9</v>
      </c>
      <c r="N137">
        <v>4</v>
      </c>
      <c r="O137">
        <v>99999</v>
      </c>
      <c r="P137" s="233">
        <f t="shared" ref="P137:P138" ca="1" si="8">IF(ISNUMBER(Q137),Q137,0)</f>
        <v>0</v>
      </c>
      <c r="Q137" s="248">
        <f ca="1">Financeiros!E32</f>
        <v>0</v>
      </c>
    </row>
    <row r="138" spans="1:17" ht="15.75">
      <c r="A138" t="s">
        <v>829</v>
      </c>
      <c r="B138" t="s">
        <v>1456</v>
      </c>
      <c r="C138" t="str">
        <f>Financeiros!C33</f>
        <v>Repasse de ICMS TE</v>
      </c>
      <c r="D138">
        <v>2</v>
      </c>
      <c r="E138">
        <v>2</v>
      </c>
      <c r="F138">
        <f>Financeiros!F33</f>
        <v>22</v>
      </c>
      <c r="G138">
        <f>Financeiros!G33</f>
        <v>60</v>
      </c>
      <c r="H138">
        <f>Financeiros!H33</f>
        <v>999</v>
      </c>
      <c r="I138">
        <f>Financeiros!I33</f>
        <v>2</v>
      </c>
      <c r="J138">
        <f>Financeiros!J33</f>
        <v>30</v>
      </c>
      <c r="K138">
        <f>Financeiros!K33</f>
        <v>9</v>
      </c>
      <c r="L138">
        <v>99</v>
      </c>
      <c r="M138">
        <v>9</v>
      </c>
      <c r="N138">
        <v>4</v>
      </c>
      <c r="O138">
        <v>99999</v>
      </c>
      <c r="P138" s="233">
        <f t="shared" ca="1" si="8"/>
        <v>0</v>
      </c>
      <c r="Q138" s="248">
        <f ca="1">Financeiros!E32</f>
        <v>0</v>
      </c>
    </row>
    <row r="139" spans="1:17" ht="15.75">
      <c r="A139" t="s">
        <v>829</v>
      </c>
      <c r="B139" t="s">
        <v>1456</v>
      </c>
      <c r="C139" t="str">
        <f>Financeiros!C34</f>
        <v>Ressarcimento P&amp;D</v>
      </c>
      <c r="D139">
        <v>2</v>
      </c>
      <c r="E139">
        <v>2</v>
      </c>
      <c r="F139">
        <f>Financeiros!F34</f>
        <v>22</v>
      </c>
      <c r="G139">
        <f>Financeiros!G34</f>
        <v>60</v>
      </c>
      <c r="H139">
        <f>Financeiros!H34</f>
        <v>231</v>
      </c>
      <c r="I139">
        <f>Financeiros!I34</f>
        <v>3</v>
      </c>
      <c r="J139">
        <f>Financeiros!J34</f>
        <v>19</v>
      </c>
      <c r="K139">
        <f>Financeiros!K34</f>
        <v>9</v>
      </c>
      <c r="L139">
        <v>99</v>
      </c>
      <c r="M139">
        <v>9</v>
      </c>
      <c r="N139">
        <v>4</v>
      </c>
      <c r="O139">
        <v>99999</v>
      </c>
      <c r="P139" s="233">
        <f t="shared" ca="1" si="7"/>
        <v>0</v>
      </c>
      <c r="Q139" s="248">
        <f ca="1">Financeiros!E33</f>
        <v>0</v>
      </c>
    </row>
    <row r="140" spans="1:17" ht="15.75">
      <c r="A140" t="s">
        <v>829</v>
      </c>
      <c r="B140" t="s">
        <v>1456</v>
      </c>
      <c r="C140" t="str">
        <f>Financeiros!C35</f>
        <v>Efeito Conta COVID</v>
      </c>
      <c r="D140">
        <v>2</v>
      </c>
      <c r="E140">
        <v>2</v>
      </c>
      <c r="F140">
        <f>Financeiros!F35</f>
        <v>22</v>
      </c>
      <c r="G140">
        <f>Financeiros!G35</f>
        <v>60</v>
      </c>
      <c r="H140">
        <f>Financeiros!H35</f>
        <v>235</v>
      </c>
      <c r="I140">
        <f>Financeiros!I35</f>
        <v>4</v>
      </c>
      <c r="J140">
        <f>Financeiros!J35</f>
        <v>999</v>
      </c>
      <c r="K140">
        <f>Financeiros!K35</f>
        <v>9</v>
      </c>
      <c r="L140">
        <v>99</v>
      </c>
      <c r="M140">
        <v>9</v>
      </c>
      <c r="N140">
        <v>4</v>
      </c>
      <c r="O140">
        <v>99999</v>
      </c>
      <c r="P140" s="233">
        <f t="shared" ca="1" si="7"/>
        <v>0</v>
      </c>
      <c r="Q140" s="248">
        <f ca="1">Financeiros!E34</f>
        <v>0</v>
      </c>
    </row>
    <row r="141" spans="1:17" ht="15.75">
      <c r="A141" t="s">
        <v>829</v>
      </c>
      <c r="B141" t="s">
        <v>1456</v>
      </c>
      <c r="C141" t="str">
        <f>Financeiros!C36</f>
        <v>Previsão de Risco Hidrologico</v>
      </c>
      <c r="D141">
        <v>2</v>
      </c>
      <c r="E141">
        <v>2</v>
      </c>
      <c r="F141">
        <f>Financeiros!F36</f>
        <v>22</v>
      </c>
      <c r="G141">
        <f>Financeiros!G36</f>
        <v>60</v>
      </c>
      <c r="H141">
        <f>Financeiros!H36</f>
        <v>220</v>
      </c>
      <c r="I141">
        <f>Financeiros!I36</f>
        <v>2</v>
      </c>
      <c r="J141">
        <f>Financeiros!J36</f>
        <v>30</v>
      </c>
      <c r="K141">
        <f>Financeiros!K36</f>
        <v>9</v>
      </c>
      <c r="L141">
        <v>99</v>
      </c>
      <c r="M141">
        <v>9</v>
      </c>
      <c r="N141">
        <v>4</v>
      </c>
      <c r="O141">
        <v>99999</v>
      </c>
      <c r="P141" s="233">
        <f t="shared" ref="P141:P146" ca="1" si="9">IF(ISNUMBER(Q141),Q141,0)</f>
        <v>0</v>
      </c>
      <c r="Q141" s="248">
        <f ca="1">Financeiros!E35</f>
        <v>0</v>
      </c>
    </row>
    <row r="142" spans="1:17" ht="15.75">
      <c r="A142" t="s">
        <v>829</v>
      </c>
      <c r="B142" t="s">
        <v>1456</v>
      </c>
      <c r="C142" t="str">
        <f>Financeiros!C37</f>
        <v>Efeito COVID da Supridora</v>
      </c>
      <c r="D142">
        <v>2</v>
      </c>
      <c r="E142">
        <v>2</v>
      </c>
      <c r="F142">
        <f>Financeiros!F37</f>
        <v>22</v>
      </c>
      <c r="G142">
        <f>Financeiros!G37</f>
        <v>60</v>
      </c>
      <c r="H142">
        <f>Financeiros!H37</f>
        <v>999</v>
      </c>
      <c r="I142">
        <f>Financeiros!I37</f>
        <v>2</v>
      </c>
      <c r="J142">
        <f>Financeiros!J37</f>
        <v>30</v>
      </c>
      <c r="K142">
        <f>Financeiros!K37</f>
        <v>9</v>
      </c>
      <c r="L142">
        <v>99</v>
      </c>
      <c r="M142">
        <v>9</v>
      </c>
      <c r="N142">
        <v>4</v>
      </c>
      <c r="O142">
        <v>99999</v>
      </c>
      <c r="P142" s="233">
        <f t="shared" ca="1" si="9"/>
        <v>0</v>
      </c>
      <c r="Q142" s="248">
        <f ca="1">Financeiros!E36</f>
        <v>0</v>
      </c>
    </row>
    <row r="143" spans="1:17" ht="15.75">
      <c r="A143" t="s">
        <v>829</v>
      </c>
      <c r="B143" t="s">
        <v>1456</v>
      </c>
      <c r="C143" t="str">
        <f>Financeiros!C38</f>
        <v>Crédito de Pis Cofins sobre ICMS</v>
      </c>
      <c r="D143">
        <v>2</v>
      </c>
      <c r="E143">
        <v>2</v>
      </c>
      <c r="F143">
        <f>Financeiros!F38</f>
        <v>22</v>
      </c>
      <c r="G143">
        <f>Financeiros!G38</f>
        <v>60</v>
      </c>
      <c r="H143">
        <f>Financeiros!H38</f>
        <v>179</v>
      </c>
      <c r="I143">
        <f>Financeiros!I38</f>
        <v>99</v>
      </c>
      <c r="J143">
        <f>Financeiros!J38</f>
        <v>999</v>
      </c>
      <c r="K143">
        <f>Financeiros!K38</f>
        <v>3</v>
      </c>
      <c r="L143">
        <v>99</v>
      </c>
      <c r="M143">
        <v>9</v>
      </c>
      <c r="N143">
        <v>4</v>
      </c>
      <c r="O143">
        <v>99999</v>
      </c>
      <c r="P143" s="233">
        <f t="shared" ca="1" si="9"/>
        <v>0</v>
      </c>
      <c r="Q143" s="248">
        <f ca="1">Financeiros!E37</f>
        <v>0</v>
      </c>
    </row>
    <row r="144" spans="1:17" ht="15.75">
      <c r="A144" t="s">
        <v>829</v>
      </c>
      <c r="B144" t="s">
        <v>1456</v>
      </c>
      <c r="C144" t="str">
        <f>Financeiros!C39</f>
        <v>Diferimento Pis Cofins TUSD</v>
      </c>
      <c r="D144">
        <v>2</v>
      </c>
      <c r="E144">
        <v>2</v>
      </c>
      <c r="F144">
        <f>Financeiros!F39</f>
        <v>22</v>
      </c>
      <c r="G144">
        <f>Financeiros!G39</f>
        <v>60</v>
      </c>
      <c r="H144">
        <f>Financeiros!H39</f>
        <v>999</v>
      </c>
      <c r="I144">
        <f>Financeiros!I39</f>
        <v>1</v>
      </c>
      <c r="J144">
        <f>Financeiros!J39</f>
        <v>7</v>
      </c>
      <c r="K144">
        <f>Financeiros!K39</f>
        <v>9</v>
      </c>
      <c r="L144">
        <v>99</v>
      </c>
      <c r="M144">
        <v>9</v>
      </c>
      <c r="N144">
        <v>4</v>
      </c>
      <c r="O144">
        <v>99999</v>
      </c>
      <c r="P144" s="233">
        <f t="shared" ca="1" si="9"/>
        <v>-1.6591265714614563E-2</v>
      </c>
      <c r="Q144" s="248">
        <f ca="1">Financeiros!E38</f>
        <v>-1.6591265714614563E-2</v>
      </c>
    </row>
    <row r="145" spans="1:17" ht="15.75">
      <c r="A145" t="s">
        <v>829</v>
      </c>
      <c r="B145" t="s">
        <v>1456</v>
      </c>
      <c r="C145" t="str">
        <f>Financeiros!C40</f>
        <v>Diferimento Pis Cofins TE</v>
      </c>
      <c r="D145">
        <v>2</v>
      </c>
      <c r="E145">
        <v>2</v>
      </c>
      <c r="F145">
        <f>Financeiros!F40</f>
        <v>22</v>
      </c>
      <c r="G145">
        <f>Financeiros!G40</f>
        <v>60</v>
      </c>
      <c r="H145">
        <f>Financeiros!H40</f>
        <v>999</v>
      </c>
      <c r="I145">
        <f>Financeiros!I40</f>
        <v>2</v>
      </c>
      <c r="J145">
        <f>Financeiros!J40</f>
        <v>30</v>
      </c>
      <c r="K145">
        <f>Financeiros!K40</f>
        <v>9</v>
      </c>
      <c r="L145">
        <v>99</v>
      </c>
      <c r="M145">
        <v>9</v>
      </c>
      <c r="N145">
        <v>4</v>
      </c>
      <c r="O145">
        <v>99999</v>
      </c>
      <c r="P145" s="233">
        <f t="shared" ca="1" si="9"/>
        <v>0</v>
      </c>
      <c r="Q145" s="248">
        <f ca="1">Financeiros!E39</f>
        <v>0</v>
      </c>
    </row>
    <row r="146" spans="1:17" ht="15.75">
      <c r="A146" t="s">
        <v>829</v>
      </c>
      <c r="B146" t="s">
        <v>1456</v>
      </c>
      <c r="C146" t="str">
        <f>Financeiros!C41</f>
        <v>Financeiros associados ao §7º do Art. 88 da Ren 414/2021</v>
      </c>
      <c r="D146">
        <v>2</v>
      </c>
      <c r="E146">
        <v>2</v>
      </c>
      <c r="F146">
        <f>Financeiros!F41</f>
        <v>22</v>
      </c>
      <c r="G146">
        <f>Financeiros!G41</f>
        <v>60</v>
      </c>
      <c r="H146">
        <f>Financeiros!H41</f>
        <v>999</v>
      </c>
      <c r="I146">
        <f>Financeiros!I41</f>
        <v>2</v>
      </c>
      <c r="J146">
        <f>Financeiros!J41</f>
        <v>30</v>
      </c>
      <c r="K146">
        <f>Financeiros!K41</f>
        <v>9</v>
      </c>
      <c r="L146">
        <v>99</v>
      </c>
      <c r="M146">
        <v>9</v>
      </c>
      <c r="N146">
        <v>4</v>
      </c>
      <c r="O146">
        <v>99999</v>
      </c>
      <c r="P146" s="233">
        <f t="shared" ca="1" si="9"/>
        <v>0</v>
      </c>
      <c r="Q146" s="248">
        <f ca="1">Financeiros!E40</f>
        <v>0</v>
      </c>
    </row>
    <row r="147" spans="1:17" ht="15.75">
      <c r="A147" t="s">
        <v>829</v>
      </c>
      <c r="B147" t="s">
        <v>1456</v>
      </c>
      <c r="C147">
        <f>Financeiros!C42</f>
        <v>0</v>
      </c>
      <c r="D147">
        <v>2</v>
      </c>
      <c r="E147">
        <v>2</v>
      </c>
      <c r="F147">
        <v>999</v>
      </c>
      <c r="G147">
        <v>999999</v>
      </c>
      <c r="H147">
        <v>999</v>
      </c>
      <c r="I147">
        <v>99</v>
      </c>
      <c r="J147">
        <v>999</v>
      </c>
      <c r="K147">
        <v>9</v>
      </c>
      <c r="L147">
        <v>99</v>
      </c>
      <c r="M147">
        <v>9</v>
      </c>
      <c r="N147">
        <v>4</v>
      </c>
      <c r="O147">
        <v>99999</v>
      </c>
      <c r="P147" s="233">
        <f t="shared" ref="P147:P149" ca="1" si="10">IF(ISNUMBER(Q147),Q147,0)</f>
        <v>0</v>
      </c>
      <c r="Q147" s="248">
        <f ca="1">Financeiros!E41</f>
        <v>0</v>
      </c>
    </row>
    <row r="148" spans="1:17" ht="15.75">
      <c r="A148" t="s">
        <v>829</v>
      </c>
      <c r="B148" t="s">
        <v>1456</v>
      </c>
      <c r="C148">
        <f>Financeiros!C43</f>
        <v>0</v>
      </c>
      <c r="D148">
        <v>2</v>
      </c>
      <c r="E148">
        <v>2</v>
      </c>
      <c r="F148">
        <v>999</v>
      </c>
      <c r="G148">
        <v>999999</v>
      </c>
      <c r="H148">
        <v>999</v>
      </c>
      <c r="I148">
        <v>99</v>
      </c>
      <c r="J148">
        <v>999</v>
      </c>
      <c r="K148">
        <v>9</v>
      </c>
      <c r="L148">
        <v>99</v>
      </c>
      <c r="M148">
        <v>9</v>
      </c>
      <c r="N148">
        <v>4</v>
      </c>
      <c r="O148">
        <v>99999</v>
      </c>
      <c r="P148" s="233">
        <f t="shared" si="10"/>
        <v>0</v>
      </c>
      <c r="Q148" s="248">
        <f>Financeiros!E42</f>
        <v>0</v>
      </c>
    </row>
    <row r="149" spans="1:17" ht="15.75">
      <c r="A149" t="s">
        <v>829</v>
      </c>
      <c r="B149" t="s">
        <v>1456</v>
      </c>
      <c r="C149">
        <f>Financeiros!C44</f>
        <v>0</v>
      </c>
      <c r="D149">
        <v>2</v>
      </c>
      <c r="E149">
        <v>2</v>
      </c>
      <c r="F149">
        <v>999</v>
      </c>
      <c r="G149">
        <v>999999</v>
      </c>
      <c r="H149">
        <v>999</v>
      </c>
      <c r="I149">
        <v>99</v>
      </c>
      <c r="J149">
        <v>999</v>
      </c>
      <c r="K149">
        <v>9</v>
      </c>
      <c r="L149">
        <v>99</v>
      </c>
      <c r="M149">
        <v>9</v>
      </c>
      <c r="N149">
        <v>4</v>
      </c>
      <c r="O149">
        <v>99999</v>
      </c>
      <c r="P149" s="233">
        <f t="shared" si="10"/>
        <v>0</v>
      </c>
      <c r="Q149" s="248">
        <f>Financeiros!E43</f>
        <v>0</v>
      </c>
    </row>
    <row r="150" spans="1:17" ht="15.75">
      <c r="A150" t="s">
        <v>829</v>
      </c>
      <c r="B150" t="s">
        <v>1456</v>
      </c>
      <c r="C150">
        <f>Financeiros!C45</f>
        <v>0</v>
      </c>
      <c r="D150">
        <v>2</v>
      </c>
      <c r="E150">
        <v>2</v>
      </c>
      <c r="F150">
        <f>Financeiros!F45</f>
        <v>22</v>
      </c>
      <c r="G150">
        <f>Financeiros!G45</f>
        <v>60</v>
      </c>
      <c r="H150">
        <f>Financeiros!H45</f>
        <v>999</v>
      </c>
      <c r="I150">
        <f>Financeiros!I45</f>
        <v>99</v>
      </c>
      <c r="J150">
        <f>Financeiros!J45</f>
        <v>999</v>
      </c>
      <c r="K150">
        <f>Financeiros!K45</f>
        <v>9</v>
      </c>
      <c r="L150">
        <v>99</v>
      </c>
      <c r="M150">
        <v>9</v>
      </c>
      <c r="N150">
        <v>4</v>
      </c>
      <c r="O150">
        <v>99999</v>
      </c>
      <c r="P150" s="233">
        <f t="shared" ref="P150:P152" ca="1" si="11">IF(ISNUMBER(Q150),Q150,0)</f>
        <v>0</v>
      </c>
      <c r="Q150" s="248">
        <f ca="1">Financeiros!E41</f>
        <v>0</v>
      </c>
    </row>
    <row r="151" spans="1:17" ht="15.75">
      <c r="A151" t="s">
        <v>829</v>
      </c>
      <c r="B151" t="s">
        <v>1456</v>
      </c>
      <c r="C151">
        <f>Financeiros!C46</f>
        <v>0</v>
      </c>
      <c r="D151">
        <v>2</v>
      </c>
      <c r="E151">
        <v>2</v>
      </c>
      <c r="F151">
        <f>Financeiros!F46</f>
        <v>22</v>
      </c>
      <c r="G151">
        <f>Financeiros!G46</f>
        <v>60</v>
      </c>
      <c r="H151">
        <f>Financeiros!H46</f>
        <v>999</v>
      </c>
      <c r="I151">
        <f>Financeiros!I46</f>
        <v>99</v>
      </c>
      <c r="J151">
        <f>Financeiros!J46</f>
        <v>999</v>
      </c>
      <c r="K151">
        <f>Financeiros!K46</f>
        <v>9</v>
      </c>
      <c r="L151">
        <v>99</v>
      </c>
      <c r="M151">
        <v>9</v>
      </c>
      <c r="N151">
        <v>4</v>
      </c>
      <c r="O151">
        <v>99999</v>
      </c>
      <c r="P151" s="233">
        <f t="shared" ca="1" si="11"/>
        <v>0</v>
      </c>
      <c r="Q151" s="248">
        <f ca="1">Financeiros!E45</f>
        <v>0</v>
      </c>
    </row>
    <row r="152" spans="1:17" ht="15.75">
      <c r="A152" t="s">
        <v>829</v>
      </c>
      <c r="B152" t="s">
        <v>1456</v>
      </c>
      <c r="C152">
        <f>Financeiros!C47</f>
        <v>0</v>
      </c>
      <c r="D152">
        <v>2</v>
      </c>
      <c r="E152">
        <v>2</v>
      </c>
      <c r="F152">
        <f>Financeiros!F47</f>
        <v>22</v>
      </c>
      <c r="G152">
        <f>Financeiros!G47</f>
        <v>60</v>
      </c>
      <c r="H152">
        <f>Financeiros!H47</f>
        <v>999</v>
      </c>
      <c r="I152">
        <f>Financeiros!I47</f>
        <v>99</v>
      </c>
      <c r="J152">
        <f>Financeiros!J47</f>
        <v>999</v>
      </c>
      <c r="K152">
        <f>Financeiros!K47</f>
        <v>9</v>
      </c>
      <c r="L152">
        <v>99</v>
      </c>
      <c r="M152">
        <v>9</v>
      </c>
      <c r="N152">
        <v>4</v>
      </c>
      <c r="O152">
        <v>99999</v>
      </c>
      <c r="P152" s="233">
        <f t="shared" ca="1" si="11"/>
        <v>0</v>
      </c>
      <c r="Q152" s="248">
        <f ca="1">Financeiros!E46</f>
        <v>0</v>
      </c>
    </row>
    <row r="153" spans="1:17" ht="15.75">
      <c r="A153" t="s">
        <v>829</v>
      </c>
      <c r="B153" t="s">
        <v>107</v>
      </c>
      <c r="C153" t="s">
        <v>1707</v>
      </c>
      <c r="D153">
        <v>1</v>
      </c>
      <c r="E153">
        <v>1</v>
      </c>
      <c r="F153">
        <v>11</v>
      </c>
      <c r="G153">
        <v>20</v>
      </c>
      <c r="H153">
        <v>999</v>
      </c>
      <c r="I153">
        <v>3</v>
      </c>
      <c r="J153">
        <v>19</v>
      </c>
      <c r="K153">
        <v>9</v>
      </c>
      <c r="L153">
        <v>99</v>
      </c>
      <c r="M153">
        <v>9</v>
      </c>
      <c r="N153">
        <v>4</v>
      </c>
      <c r="O153">
        <v>99999</v>
      </c>
      <c r="P153" s="233">
        <f t="shared" si="7"/>
        <v>1E-14</v>
      </c>
      <c r="Q153" s="233">
        <f>Encargos!O6</f>
        <v>1E-14</v>
      </c>
    </row>
    <row r="154" spans="1:17" ht="15.75">
      <c r="A154" t="s">
        <v>1708</v>
      </c>
      <c r="B154" t="s">
        <v>1709</v>
      </c>
      <c r="C154" t="s">
        <v>1710</v>
      </c>
      <c r="D154">
        <v>1</v>
      </c>
      <c r="E154">
        <v>99</v>
      </c>
      <c r="F154">
        <v>999</v>
      </c>
      <c r="G154">
        <v>999999</v>
      </c>
      <c r="H154">
        <v>30</v>
      </c>
      <c r="I154">
        <v>99</v>
      </c>
      <c r="J154">
        <v>999</v>
      </c>
      <c r="K154">
        <v>9</v>
      </c>
      <c r="L154">
        <v>99</v>
      </c>
      <c r="M154">
        <v>9</v>
      </c>
      <c r="N154">
        <v>9</v>
      </c>
      <c r="O154">
        <v>99999</v>
      </c>
      <c r="P154" s="233">
        <f t="shared" si="7"/>
        <v>0</v>
      </c>
      <c r="Q154" s="233">
        <f>IF(CAPA!K9="Atrasado",1,0)</f>
        <v>0</v>
      </c>
    </row>
    <row r="155" spans="1:17" ht="15.75">
      <c r="A155" t="s">
        <v>1708</v>
      </c>
      <c r="B155" t="s">
        <v>1709</v>
      </c>
      <c r="C155" t="s">
        <v>1711</v>
      </c>
      <c r="D155">
        <v>1</v>
      </c>
      <c r="E155">
        <v>99</v>
      </c>
      <c r="F155">
        <v>999</v>
      </c>
      <c r="G155">
        <v>999999</v>
      </c>
      <c r="H155">
        <v>31</v>
      </c>
      <c r="I155">
        <v>99</v>
      </c>
      <c r="J155">
        <v>999</v>
      </c>
      <c r="K155">
        <v>9</v>
      </c>
      <c r="L155">
        <v>99</v>
      </c>
      <c r="M155">
        <v>9</v>
      </c>
      <c r="N155">
        <v>9</v>
      </c>
      <c r="O155">
        <v>99999</v>
      </c>
      <c r="P155" s="233">
        <f t="shared" ca="1" si="7"/>
        <v>0</v>
      </c>
      <c r="Q155" s="233">
        <f ca="1">IF(CAPA!C110="Revisão",1,0)</f>
        <v>0</v>
      </c>
    </row>
    <row r="156" spans="1:17" ht="15.75">
      <c r="A156" t="s">
        <v>1708</v>
      </c>
      <c r="B156" t="s">
        <v>1709</v>
      </c>
      <c r="C156" t="s">
        <v>1712</v>
      </c>
      <c r="D156">
        <v>1</v>
      </c>
      <c r="E156">
        <v>99</v>
      </c>
      <c r="F156">
        <v>999</v>
      </c>
      <c r="G156">
        <v>999999</v>
      </c>
      <c r="H156">
        <v>32</v>
      </c>
      <c r="I156">
        <v>99</v>
      </c>
      <c r="J156">
        <v>999</v>
      </c>
      <c r="K156">
        <v>9</v>
      </c>
      <c r="L156">
        <v>99</v>
      </c>
      <c r="M156">
        <v>9</v>
      </c>
      <c r="N156">
        <v>9</v>
      </c>
      <c r="O156">
        <v>99999</v>
      </c>
      <c r="P156" s="233">
        <f t="shared" si="7"/>
        <v>1</v>
      </c>
      <c r="Q156" s="233">
        <v>1</v>
      </c>
    </row>
    <row r="157" spans="1:17" ht="15.75">
      <c r="A157" t="s">
        <v>829</v>
      </c>
      <c r="B157" t="s">
        <v>1029</v>
      </c>
      <c r="C157" t="s">
        <v>1713</v>
      </c>
      <c r="D157">
        <v>1</v>
      </c>
      <c r="E157">
        <v>3</v>
      </c>
      <c r="F157">
        <v>50</v>
      </c>
      <c r="G157">
        <v>1</v>
      </c>
      <c r="H157">
        <v>999</v>
      </c>
      <c r="I157">
        <v>99</v>
      </c>
      <c r="J157">
        <v>999</v>
      </c>
      <c r="K157">
        <v>9</v>
      </c>
      <c r="L157">
        <v>99</v>
      </c>
      <c r="M157">
        <v>9</v>
      </c>
      <c r="N157">
        <v>4</v>
      </c>
      <c r="O157">
        <v>99999</v>
      </c>
      <c r="P157" s="233">
        <f t="shared" si="7"/>
        <v>0</v>
      </c>
      <c r="Q157" s="253">
        <f>IF(CAPA!P1="VERDADEIRO",0,Calc_Mercado!J15)</f>
        <v>0</v>
      </c>
    </row>
    <row r="158" spans="1:17" ht="15.75">
      <c r="A158" s="16" t="s">
        <v>829</v>
      </c>
      <c r="B158" s="16" t="s">
        <v>158</v>
      </c>
      <c r="C158" s="16" t="s">
        <v>874</v>
      </c>
      <c r="D158" s="16">
        <v>4</v>
      </c>
      <c r="E158" s="16">
        <v>1</v>
      </c>
      <c r="F158" s="16">
        <v>51</v>
      </c>
      <c r="G158" s="16">
        <v>55</v>
      </c>
      <c r="H158" s="16">
        <v>999</v>
      </c>
      <c r="I158" s="16">
        <v>99</v>
      </c>
      <c r="J158" s="16">
        <v>999</v>
      </c>
      <c r="K158" s="16">
        <v>9</v>
      </c>
      <c r="L158" s="16">
        <v>99</v>
      </c>
      <c r="M158" s="16">
        <v>9</v>
      </c>
      <c r="N158" s="16">
        <v>2</v>
      </c>
      <c r="O158" s="16">
        <v>99999</v>
      </c>
      <c r="P158" s="233">
        <f t="shared" ca="1" si="7"/>
        <v>19534.821867000002</v>
      </c>
      <c r="Q158" s="233">
        <f ca="1">Energia!C5</f>
        <v>19534.821867000002</v>
      </c>
    </row>
    <row r="159" spans="1:17" ht="15.75">
      <c r="A159" s="16" t="s">
        <v>829</v>
      </c>
      <c r="B159" s="16" t="s">
        <v>158</v>
      </c>
      <c r="C159" s="16" t="s">
        <v>874</v>
      </c>
      <c r="D159" s="16">
        <v>4</v>
      </c>
      <c r="E159" s="16">
        <v>1</v>
      </c>
      <c r="F159" s="16">
        <v>51</v>
      </c>
      <c r="G159" s="16">
        <v>55</v>
      </c>
      <c r="H159" s="16">
        <v>999</v>
      </c>
      <c r="I159" s="16">
        <v>99</v>
      </c>
      <c r="J159" s="16">
        <v>999</v>
      </c>
      <c r="K159" s="16">
        <v>9</v>
      </c>
      <c r="L159" s="16">
        <v>99</v>
      </c>
      <c r="M159" s="16">
        <v>9</v>
      </c>
      <c r="N159" s="16">
        <v>3</v>
      </c>
      <c r="O159" s="16">
        <v>99999</v>
      </c>
      <c r="P159" s="233">
        <f t="shared" ca="1" si="7"/>
        <v>2288467.0436729463</v>
      </c>
      <c r="Q159" s="233">
        <f ca="1">Energia!C14</f>
        <v>2288467.0436729463</v>
      </c>
    </row>
    <row r="160" spans="1:17" ht="15.75">
      <c r="A160" s="16" t="s">
        <v>829</v>
      </c>
      <c r="B160" s="16" t="s">
        <v>1714</v>
      </c>
      <c r="C160" s="16" t="s">
        <v>1715</v>
      </c>
      <c r="D160" s="16">
        <v>4</v>
      </c>
      <c r="E160" s="16">
        <v>1</v>
      </c>
      <c r="F160" s="16">
        <v>51</v>
      </c>
      <c r="G160" s="16">
        <v>100</v>
      </c>
      <c r="H160" s="16">
        <v>999</v>
      </c>
      <c r="I160" s="16">
        <v>99</v>
      </c>
      <c r="J160" s="16">
        <v>999</v>
      </c>
      <c r="K160" s="16">
        <v>9</v>
      </c>
      <c r="L160" s="16">
        <v>99</v>
      </c>
      <c r="M160" s="16">
        <v>9</v>
      </c>
      <c r="N160" s="16">
        <v>3</v>
      </c>
      <c r="O160" s="16">
        <v>99999</v>
      </c>
      <c r="P160" s="233">
        <f t="shared" ca="1" si="7"/>
        <v>6243414.1868889714</v>
      </c>
      <c r="Q160" s="233">
        <f ca="1">Resultado!D34</f>
        <v>6243414.1868889714</v>
      </c>
    </row>
    <row r="161" spans="1:21" ht="15.75">
      <c r="A161" s="16" t="s">
        <v>829</v>
      </c>
      <c r="B161" s="16" t="s">
        <v>84</v>
      </c>
      <c r="C161" s="16" t="s">
        <v>888</v>
      </c>
      <c r="D161" s="16">
        <v>4</v>
      </c>
      <c r="E161" s="16">
        <v>1</v>
      </c>
      <c r="F161" s="16">
        <v>51</v>
      </c>
      <c r="G161" s="16">
        <v>101</v>
      </c>
      <c r="H161" s="16">
        <v>999</v>
      </c>
      <c r="I161" s="16">
        <v>99</v>
      </c>
      <c r="J161" s="16">
        <v>999</v>
      </c>
      <c r="K161" s="16">
        <v>9</v>
      </c>
      <c r="L161" s="16">
        <v>99</v>
      </c>
      <c r="M161" s="16">
        <v>9</v>
      </c>
      <c r="N161" s="16">
        <v>3</v>
      </c>
      <c r="O161" s="16">
        <v>99999</v>
      </c>
      <c r="P161" s="233">
        <f t="shared" si="7"/>
        <v>8886696.2552139182</v>
      </c>
      <c r="Q161" s="233">
        <f>Resultado!D39</f>
        <v>8886696.2552139182</v>
      </c>
    </row>
    <row r="162" spans="1:21" ht="15.75">
      <c r="A162" s="16" t="s">
        <v>829</v>
      </c>
      <c r="B162" s="16" t="s">
        <v>107</v>
      </c>
      <c r="C162" s="16" t="s">
        <v>888</v>
      </c>
      <c r="D162" s="16">
        <v>4</v>
      </c>
      <c r="E162" s="16">
        <v>1</v>
      </c>
      <c r="F162" s="16">
        <v>51</v>
      </c>
      <c r="G162" s="16">
        <v>104</v>
      </c>
      <c r="H162" s="16">
        <v>999</v>
      </c>
      <c r="I162" s="16">
        <v>3</v>
      </c>
      <c r="J162" s="16">
        <v>999</v>
      </c>
      <c r="K162" s="16">
        <v>9</v>
      </c>
      <c r="L162" s="16">
        <v>99</v>
      </c>
      <c r="M162" s="16">
        <v>9</v>
      </c>
      <c r="N162" s="16">
        <v>3</v>
      </c>
      <c r="O162" s="16">
        <v>99999</v>
      </c>
      <c r="P162" s="233">
        <f t="shared" ca="1" si="7"/>
        <v>1654665.1754460253</v>
      </c>
      <c r="Q162" s="233">
        <f ca="1">Resultado!D14</f>
        <v>1654665.1754460253</v>
      </c>
    </row>
    <row r="163" spans="1:21" ht="15.75">
      <c r="A163" s="16" t="s">
        <v>829</v>
      </c>
      <c r="B163" s="16" t="s">
        <v>846</v>
      </c>
      <c r="C163" s="16" t="s">
        <v>888</v>
      </c>
      <c r="D163" s="16">
        <v>4</v>
      </c>
      <c r="E163" s="16">
        <v>1</v>
      </c>
      <c r="F163" s="16">
        <v>51</v>
      </c>
      <c r="G163" s="16">
        <v>105</v>
      </c>
      <c r="H163" s="16">
        <v>999</v>
      </c>
      <c r="I163" s="16">
        <v>1</v>
      </c>
      <c r="J163" s="16">
        <v>999</v>
      </c>
      <c r="K163" s="16">
        <v>9</v>
      </c>
      <c r="L163" s="16">
        <v>99</v>
      </c>
      <c r="M163" s="16">
        <v>9</v>
      </c>
      <c r="N163" s="16">
        <v>3</v>
      </c>
      <c r="O163" s="16">
        <v>99999</v>
      </c>
      <c r="P163" s="233">
        <f t="shared" si="7"/>
        <v>2300281.9677699995</v>
      </c>
      <c r="Q163" s="233">
        <f>Resultado!D24</f>
        <v>2300281.9677699995</v>
      </c>
    </row>
    <row r="164" spans="1:21" ht="15.75">
      <c r="A164" s="16" t="s">
        <v>829</v>
      </c>
      <c r="B164" s="16" t="s">
        <v>1714</v>
      </c>
      <c r="C164" s="16" t="s">
        <v>1716</v>
      </c>
      <c r="D164" s="16">
        <v>4</v>
      </c>
      <c r="E164" s="16">
        <v>1</v>
      </c>
      <c r="F164" s="16">
        <v>51</v>
      </c>
      <c r="G164" s="16">
        <v>106</v>
      </c>
      <c r="H164" s="16">
        <v>999</v>
      </c>
      <c r="I164" s="16">
        <v>99</v>
      </c>
      <c r="J164" s="16">
        <v>999</v>
      </c>
      <c r="K164" s="16">
        <v>9</v>
      </c>
      <c r="L164" s="16">
        <v>99</v>
      </c>
      <c r="M164" s="16">
        <v>9</v>
      </c>
      <c r="N164" s="16">
        <v>3</v>
      </c>
      <c r="O164" s="16">
        <v>99999</v>
      </c>
      <c r="P164" s="233">
        <f t="shared" ca="1" si="7"/>
        <v>15130110.44210289</v>
      </c>
      <c r="Q164" s="233">
        <f ca="1">Resultado!C5</f>
        <v>15130110.44210289</v>
      </c>
    </row>
    <row r="165" spans="1:21" ht="15.75">
      <c r="A165" s="16" t="s">
        <v>829</v>
      </c>
      <c r="B165" s="16" t="s">
        <v>158</v>
      </c>
      <c r="C165" s="16" t="s">
        <v>1717</v>
      </c>
      <c r="D165" s="16">
        <v>4</v>
      </c>
      <c r="E165" s="16">
        <v>1</v>
      </c>
      <c r="F165" s="16">
        <v>51</v>
      </c>
      <c r="G165" s="16">
        <v>108</v>
      </c>
      <c r="H165" s="16">
        <v>999</v>
      </c>
      <c r="I165" s="16">
        <v>99</v>
      </c>
      <c r="J165" s="16">
        <v>999</v>
      </c>
      <c r="K165" s="16">
        <v>9</v>
      </c>
      <c r="L165" s="16">
        <v>99</v>
      </c>
      <c r="M165" s="16">
        <v>9</v>
      </c>
      <c r="N165" s="16">
        <v>4</v>
      </c>
      <c r="O165" s="16">
        <v>99999</v>
      </c>
      <c r="P165" s="233">
        <f t="shared" ca="1" si="7"/>
        <v>0</v>
      </c>
      <c r="Q165" s="233">
        <f ca="1">Energia!M15</f>
        <v>0</v>
      </c>
    </row>
    <row r="166" spans="1:21" ht="15.75">
      <c r="A166" s="16" t="s">
        <v>829</v>
      </c>
      <c r="B166" s="16" t="s">
        <v>158</v>
      </c>
      <c r="C166" s="16" t="s">
        <v>1718</v>
      </c>
      <c r="D166" s="16">
        <v>4</v>
      </c>
      <c r="E166" s="16">
        <v>1</v>
      </c>
      <c r="F166" s="16">
        <v>51</v>
      </c>
      <c r="G166" s="16">
        <v>108</v>
      </c>
      <c r="H166" s="16">
        <v>999</v>
      </c>
      <c r="I166" s="16">
        <v>99</v>
      </c>
      <c r="J166" s="16">
        <v>999</v>
      </c>
      <c r="K166" s="16">
        <v>9</v>
      </c>
      <c r="L166" s="16">
        <v>99</v>
      </c>
      <c r="M166" s="16">
        <v>9</v>
      </c>
      <c r="N166" s="16">
        <v>2</v>
      </c>
      <c r="O166" s="16">
        <v>99999</v>
      </c>
      <c r="P166" s="233">
        <f t="shared" ca="1" si="7"/>
        <v>0</v>
      </c>
      <c r="Q166" s="233">
        <f ca="1">Energia!M18+Energia!M19</f>
        <v>0</v>
      </c>
    </row>
    <row r="167" spans="1:21" ht="15.75">
      <c r="A167" s="16" t="s">
        <v>832</v>
      </c>
      <c r="B167" s="16" t="s">
        <v>158</v>
      </c>
      <c r="C167" s="16" t="s">
        <v>888</v>
      </c>
      <c r="D167" s="16">
        <v>4</v>
      </c>
      <c r="E167" s="16">
        <v>1</v>
      </c>
      <c r="F167" s="16">
        <v>52</v>
      </c>
      <c r="G167" s="16">
        <v>55</v>
      </c>
      <c r="H167" s="16">
        <v>999</v>
      </c>
      <c r="I167" s="16">
        <v>99</v>
      </c>
      <c r="J167" s="16">
        <v>999</v>
      </c>
      <c r="K167" s="16">
        <v>9</v>
      </c>
      <c r="L167" s="16">
        <v>99</v>
      </c>
      <c r="M167" s="16">
        <v>9</v>
      </c>
      <c r="N167" s="16">
        <v>3</v>
      </c>
      <c r="O167" s="16">
        <v>99999</v>
      </c>
      <c r="P167" s="233">
        <f t="shared" ca="1" si="7"/>
        <v>2520744.7105923761</v>
      </c>
      <c r="Q167" s="233">
        <f ca="1">Resultado!C33</f>
        <v>2520744.7105923761</v>
      </c>
      <c r="R167" s="254"/>
      <c r="S167" s="254"/>
      <c r="T167" s="254"/>
      <c r="U167" s="254"/>
    </row>
    <row r="168" spans="1:21" ht="15.75">
      <c r="A168" s="16" t="s">
        <v>832</v>
      </c>
      <c r="B168" s="16" t="s">
        <v>1714</v>
      </c>
      <c r="C168" s="16" t="s">
        <v>1719</v>
      </c>
      <c r="D168" s="16">
        <v>4</v>
      </c>
      <c r="E168" s="16">
        <v>1</v>
      </c>
      <c r="F168" s="16">
        <v>52</v>
      </c>
      <c r="G168" s="16">
        <v>106</v>
      </c>
      <c r="H168" s="16">
        <v>999</v>
      </c>
      <c r="I168" s="16">
        <v>99</v>
      </c>
      <c r="J168" s="16">
        <v>999</v>
      </c>
      <c r="K168" s="16">
        <v>9</v>
      </c>
      <c r="L168" s="16">
        <v>99</v>
      </c>
      <c r="M168" s="16">
        <v>9</v>
      </c>
      <c r="N168" s="16">
        <v>3</v>
      </c>
      <c r="O168" s="16">
        <v>99999</v>
      </c>
      <c r="P168" s="233">
        <f t="shared" ca="1" si="7"/>
        <v>13038122.330799989</v>
      </c>
      <c r="Q168" s="233">
        <f ca="1">Mercado_RA0_Reais</f>
        <v>13038122.330799989</v>
      </c>
    </row>
    <row r="169" spans="1:21" ht="15.75">
      <c r="A169" s="16" t="s">
        <v>829</v>
      </c>
      <c r="B169" s="16" t="s">
        <v>1456</v>
      </c>
      <c r="C169" s="16" t="s">
        <v>888</v>
      </c>
      <c r="D169" s="16">
        <v>4</v>
      </c>
      <c r="E169" s="16">
        <v>2</v>
      </c>
      <c r="F169" s="16">
        <v>51</v>
      </c>
      <c r="G169" s="16">
        <v>102</v>
      </c>
      <c r="H169" s="16">
        <v>999</v>
      </c>
      <c r="I169" s="16">
        <v>99</v>
      </c>
      <c r="J169" s="16">
        <v>999</v>
      </c>
      <c r="K169" s="16">
        <v>9</v>
      </c>
      <c r="L169" s="16">
        <v>99</v>
      </c>
      <c r="M169" s="16">
        <v>9</v>
      </c>
      <c r="N169" s="16">
        <v>3</v>
      </c>
      <c r="O169" s="16">
        <v>99999</v>
      </c>
      <c r="P169" s="233">
        <f t="shared" ca="1" si="7"/>
        <v>-2880826.5614577578</v>
      </c>
      <c r="Q169" s="233">
        <f ca="1">Financeiros!D7</f>
        <v>-2880826.5614577578</v>
      </c>
    </row>
    <row r="170" spans="1:21" ht="15.75">
      <c r="A170" s="16" t="s">
        <v>829</v>
      </c>
      <c r="B170" s="16" t="s">
        <v>1456</v>
      </c>
      <c r="C170" s="16" t="s">
        <v>888</v>
      </c>
      <c r="D170" s="16">
        <v>4</v>
      </c>
      <c r="E170" s="16">
        <v>2</v>
      </c>
      <c r="F170" s="16">
        <v>51</v>
      </c>
      <c r="G170" s="16">
        <v>102</v>
      </c>
      <c r="H170" s="16">
        <v>999</v>
      </c>
      <c r="I170" s="16">
        <v>99</v>
      </c>
      <c r="J170" s="16">
        <v>999</v>
      </c>
      <c r="K170" s="16">
        <v>9</v>
      </c>
      <c r="L170" s="16">
        <v>99</v>
      </c>
      <c r="M170" s="16">
        <v>9</v>
      </c>
      <c r="N170" s="16">
        <v>4</v>
      </c>
      <c r="O170" s="16">
        <v>99999</v>
      </c>
      <c r="P170" s="233">
        <f t="shared" ca="1" si="7"/>
        <v>-0.22095409817197176</v>
      </c>
      <c r="Q170" s="233">
        <f ca="1">Financeiros!E7</f>
        <v>-0.22095409817197176</v>
      </c>
    </row>
    <row r="171" spans="1:21" ht="15.75">
      <c r="A171" s="16" t="s">
        <v>829</v>
      </c>
      <c r="B171" s="16" t="s">
        <v>1720</v>
      </c>
      <c r="C171" s="16" t="s">
        <v>1721</v>
      </c>
      <c r="D171" s="16">
        <v>4</v>
      </c>
      <c r="E171" s="16">
        <v>99</v>
      </c>
      <c r="F171" s="16">
        <v>51</v>
      </c>
      <c r="G171" s="16">
        <v>109</v>
      </c>
      <c r="H171" s="16">
        <v>999</v>
      </c>
      <c r="I171" s="16">
        <v>99</v>
      </c>
      <c r="J171" s="16">
        <v>999</v>
      </c>
      <c r="K171" s="16">
        <v>9</v>
      </c>
      <c r="L171" s="16">
        <v>99</v>
      </c>
      <c r="M171" s="16">
        <v>9</v>
      </c>
      <c r="N171" s="16">
        <v>3</v>
      </c>
      <c r="O171" s="16">
        <v>99999</v>
      </c>
      <c r="P171" s="233">
        <f t="shared" ca="1" si="7"/>
        <v>12249283.880645134</v>
      </c>
      <c r="Q171" s="233">
        <f ca="1">Resultado!C5+Financeiros!D7/(1+IF(Q157&gt;0,Q157,0))</f>
        <v>12249283.880645134</v>
      </c>
    </row>
    <row r="172" spans="1:21" ht="15.75">
      <c r="A172" t="s">
        <v>829</v>
      </c>
      <c r="B172" t="s">
        <v>107</v>
      </c>
      <c r="C172" t="s">
        <v>1707</v>
      </c>
      <c r="D172">
        <v>1</v>
      </c>
      <c r="E172">
        <v>1</v>
      </c>
      <c r="F172">
        <v>11</v>
      </c>
      <c r="G172">
        <v>20</v>
      </c>
      <c r="H172">
        <v>999</v>
      </c>
      <c r="I172">
        <v>3</v>
      </c>
      <c r="J172">
        <v>19</v>
      </c>
      <c r="K172">
        <v>9</v>
      </c>
      <c r="L172">
        <v>99</v>
      </c>
      <c r="M172">
        <v>9</v>
      </c>
      <c r="N172">
        <v>4</v>
      </c>
      <c r="O172">
        <v>99999</v>
      </c>
      <c r="P172" s="233">
        <f t="shared" si="7"/>
        <v>1E-14</v>
      </c>
      <c r="Q172" s="233">
        <f>Encargos!O6</f>
        <v>1E-14</v>
      </c>
    </row>
    <row r="173" spans="1:21" ht="15.75">
      <c r="A173" s="1018" t="s">
        <v>1706</v>
      </c>
      <c r="B173" s="1018" t="s">
        <v>1706</v>
      </c>
      <c r="C173" s="1018" t="s">
        <v>1706</v>
      </c>
      <c r="D173" s="1018">
        <v>99</v>
      </c>
      <c r="E173" s="1018">
        <v>99</v>
      </c>
      <c r="F173" s="1018">
        <v>999</v>
      </c>
      <c r="G173" s="1018">
        <v>999999</v>
      </c>
      <c r="H173" s="1018">
        <v>999</v>
      </c>
      <c r="I173" s="1018">
        <v>99</v>
      </c>
      <c r="J173" s="1018">
        <v>999</v>
      </c>
      <c r="K173" s="1018">
        <v>9</v>
      </c>
      <c r="L173" s="1018">
        <v>99</v>
      </c>
      <c r="M173" s="1018">
        <v>9</v>
      </c>
      <c r="N173" s="1018">
        <v>99</v>
      </c>
      <c r="O173" s="1018">
        <v>99999</v>
      </c>
      <c r="P173" s="400">
        <f t="shared" si="7"/>
        <v>0</v>
      </c>
      <c r="Q173" s="400">
        <v>0</v>
      </c>
    </row>
    <row r="174" spans="1:21" ht="15.75">
      <c r="A174" s="1018" t="s">
        <v>1706</v>
      </c>
      <c r="B174" s="1018" t="s">
        <v>1706</v>
      </c>
      <c r="C174" s="1018" t="s">
        <v>1706</v>
      </c>
      <c r="D174" s="1018">
        <v>99</v>
      </c>
      <c r="E174" s="1018">
        <v>99</v>
      </c>
      <c r="F174" s="1018">
        <v>999</v>
      </c>
      <c r="G174" s="1018">
        <v>999999</v>
      </c>
      <c r="H174" s="1018">
        <v>999</v>
      </c>
      <c r="I174" s="1018">
        <v>99</v>
      </c>
      <c r="J174" s="1018">
        <v>999</v>
      </c>
      <c r="K174" s="1018">
        <v>9</v>
      </c>
      <c r="L174" s="1018">
        <v>99</v>
      </c>
      <c r="M174" s="1018">
        <v>9</v>
      </c>
      <c r="N174" s="1018">
        <v>99</v>
      </c>
      <c r="O174" s="1018">
        <v>99999</v>
      </c>
      <c r="P174" s="400">
        <f t="shared" si="7"/>
        <v>0</v>
      </c>
      <c r="Q174" s="400">
        <v>0</v>
      </c>
    </row>
    <row r="175" spans="1:21" ht="15.75">
      <c r="A175" s="1018" t="s">
        <v>1706</v>
      </c>
      <c r="B175" s="1018" t="s">
        <v>1706</v>
      </c>
      <c r="C175" s="1018" t="s">
        <v>1706</v>
      </c>
      <c r="D175" s="1018">
        <v>99</v>
      </c>
      <c r="E175" s="1018">
        <v>99</v>
      </c>
      <c r="F175" s="1018">
        <v>999</v>
      </c>
      <c r="G175" s="1018">
        <v>999999</v>
      </c>
      <c r="H175" s="1018">
        <v>999</v>
      </c>
      <c r="I175" s="1018">
        <v>99</v>
      </c>
      <c r="J175" s="1018">
        <v>999</v>
      </c>
      <c r="K175" s="1018">
        <v>9</v>
      </c>
      <c r="L175" s="1018">
        <v>99</v>
      </c>
      <c r="M175" s="1018">
        <v>9</v>
      </c>
      <c r="N175" s="1018">
        <v>99</v>
      </c>
      <c r="O175" s="1018">
        <v>99999</v>
      </c>
      <c r="P175" s="400">
        <f t="shared" si="7"/>
        <v>0</v>
      </c>
      <c r="Q175" s="400">
        <v>0</v>
      </c>
    </row>
    <row r="176" spans="1:21" ht="15.75">
      <c r="A176" t="s">
        <v>829</v>
      </c>
      <c r="B176" t="s">
        <v>1029</v>
      </c>
      <c r="C176" t="s">
        <v>1713</v>
      </c>
      <c r="D176">
        <v>1</v>
      </c>
      <c r="E176">
        <v>3</v>
      </c>
      <c r="F176">
        <v>50</v>
      </c>
      <c r="G176">
        <v>1</v>
      </c>
      <c r="H176">
        <v>999</v>
      </c>
      <c r="I176">
        <v>99</v>
      </c>
      <c r="J176">
        <v>999</v>
      </c>
      <c r="K176">
        <v>9</v>
      </c>
      <c r="L176">
        <v>99</v>
      </c>
      <c r="M176">
        <v>9</v>
      </c>
      <c r="N176">
        <v>4</v>
      </c>
      <c r="O176">
        <v>99999</v>
      </c>
      <c r="P176" s="233">
        <f t="shared" si="7"/>
        <v>0</v>
      </c>
      <c r="Q176" s="253">
        <f>IF(CAPA!P1="VERDADEIRO",0,Calc_Mercado!J15)</f>
        <v>0</v>
      </c>
    </row>
    <row r="177" spans="1:19" ht="15.75">
      <c r="A177" s="16" t="s">
        <v>829</v>
      </c>
      <c r="B177" s="16" t="s">
        <v>158</v>
      </c>
      <c r="C177" s="16" t="s">
        <v>874</v>
      </c>
      <c r="D177" s="16">
        <v>4</v>
      </c>
      <c r="E177" s="16">
        <v>1</v>
      </c>
      <c r="F177" s="16">
        <v>51</v>
      </c>
      <c r="G177" s="16">
        <v>55</v>
      </c>
      <c r="H177" s="16">
        <v>999</v>
      </c>
      <c r="I177" s="16">
        <v>99</v>
      </c>
      <c r="J177" s="16">
        <v>999</v>
      </c>
      <c r="K177" s="16">
        <v>9</v>
      </c>
      <c r="L177" s="16">
        <v>99</v>
      </c>
      <c r="M177" s="16">
        <v>9</v>
      </c>
      <c r="N177" s="16">
        <v>2</v>
      </c>
      <c r="O177" s="16">
        <v>99999</v>
      </c>
      <c r="P177" s="233">
        <f t="shared" ca="1" si="7"/>
        <v>19534.821867000002</v>
      </c>
      <c r="Q177" s="233">
        <f ca="1">Energia!C5</f>
        <v>19534.821867000002</v>
      </c>
    </row>
    <row r="178" spans="1:19" ht="15.75">
      <c r="A178" s="16" t="s">
        <v>829</v>
      </c>
      <c r="B178" s="16" t="s">
        <v>158</v>
      </c>
      <c r="C178" s="16" t="s">
        <v>874</v>
      </c>
      <c r="D178" s="16">
        <v>4</v>
      </c>
      <c r="E178" s="16">
        <v>1</v>
      </c>
      <c r="F178" s="16">
        <v>51</v>
      </c>
      <c r="G178" s="16">
        <v>55</v>
      </c>
      <c r="H178" s="16">
        <v>999</v>
      </c>
      <c r="I178" s="16">
        <v>99</v>
      </c>
      <c r="J178" s="16">
        <v>999</v>
      </c>
      <c r="K178" s="16">
        <v>9</v>
      </c>
      <c r="L178" s="16">
        <v>99</v>
      </c>
      <c r="M178" s="16">
        <v>9</v>
      </c>
      <c r="N178" s="16">
        <v>3</v>
      </c>
      <c r="O178" s="16">
        <v>99999</v>
      </c>
      <c r="P178" s="233">
        <f t="shared" ca="1" si="7"/>
        <v>2288467.0436729463</v>
      </c>
      <c r="Q178" s="233">
        <f ca="1">Energia!C14</f>
        <v>2288467.0436729463</v>
      </c>
    </row>
    <row r="179" spans="1:19" ht="15.75">
      <c r="A179" s="16" t="s">
        <v>829</v>
      </c>
      <c r="B179" s="16" t="s">
        <v>158</v>
      </c>
      <c r="C179" s="16" t="s">
        <v>1722</v>
      </c>
      <c r="D179" s="16">
        <v>4</v>
      </c>
      <c r="E179" s="16">
        <v>1</v>
      </c>
      <c r="F179" s="16">
        <v>51</v>
      </c>
      <c r="G179" s="16">
        <v>107</v>
      </c>
      <c r="H179" s="16">
        <v>999</v>
      </c>
      <c r="I179" s="16">
        <v>99</v>
      </c>
      <c r="J179" s="16">
        <v>999</v>
      </c>
      <c r="K179" s="16">
        <v>9</v>
      </c>
      <c r="L179" s="16">
        <v>99</v>
      </c>
      <c r="M179" s="16">
        <v>9</v>
      </c>
      <c r="N179" s="16">
        <v>2</v>
      </c>
      <c r="O179" s="16">
        <v>99999</v>
      </c>
      <c r="P179" s="233">
        <f t="shared" ca="1" si="7"/>
        <v>3157.7538669999999</v>
      </c>
      <c r="Q179" s="233">
        <f ca="1">SUM(LnkTXTPerdas)</f>
        <v>3157.7538669999999</v>
      </c>
    </row>
    <row r="180" spans="1:19" ht="15.75">
      <c r="A180" s="16" t="s">
        <v>829</v>
      </c>
      <c r="B180" s="16" t="s">
        <v>1720</v>
      </c>
      <c r="C180" s="16" t="s">
        <v>1723</v>
      </c>
      <c r="D180" s="16">
        <v>4</v>
      </c>
      <c r="E180" s="16">
        <v>3</v>
      </c>
      <c r="F180" s="16">
        <v>50</v>
      </c>
      <c r="G180" s="16">
        <v>114</v>
      </c>
      <c r="H180" s="16">
        <v>999</v>
      </c>
      <c r="I180" s="16">
        <v>99</v>
      </c>
      <c r="J180" s="16">
        <v>999</v>
      </c>
      <c r="K180" s="16">
        <v>9</v>
      </c>
      <c r="L180" s="16">
        <v>99</v>
      </c>
      <c r="M180" s="16">
        <v>9</v>
      </c>
      <c r="N180" s="16">
        <v>1</v>
      </c>
      <c r="O180" s="16">
        <v>99999</v>
      </c>
      <c r="P180" s="233">
        <f t="shared" ref="P180:P214" ca="1" si="12">IF(ISNUMBER(Q180),Q180,0)</f>
        <v>6377</v>
      </c>
      <c r="Q180" s="233">
        <f ca="1">SUM(INDIRECT("dados_MercadoBase[D]"))</f>
        <v>6377</v>
      </c>
    </row>
    <row r="181" spans="1:19" ht="15.75">
      <c r="A181" s="16" t="s">
        <v>829</v>
      </c>
      <c r="B181" s="16" t="s">
        <v>1720</v>
      </c>
      <c r="C181" s="16" t="s">
        <v>1724</v>
      </c>
      <c r="D181" s="16">
        <v>4</v>
      </c>
      <c r="E181" s="16">
        <v>3</v>
      </c>
      <c r="F181" s="16">
        <v>50</v>
      </c>
      <c r="G181" s="16">
        <v>116</v>
      </c>
      <c r="H181" s="16">
        <v>999</v>
      </c>
      <c r="I181" s="16">
        <v>99</v>
      </c>
      <c r="J181" s="16">
        <v>999</v>
      </c>
      <c r="K181" s="16">
        <v>9</v>
      </c>
      <c r="L181" s="16">
        <v>99</v>
      </c>
      <c r="M181" s="16">
        <v>9</v>
      </c>
      <c r="N181" s="16">
        <v>2</v>
      </c>
      <c r="O181" s="16">
        <v>99999</v>
      </c>
      <c r="P181" s="233">
        <f t="shared" ca="1" si="12"/>
        <v>16377.068000000003</v>
      </c>
      <c r="Q181" s="233">
        <f ca="1">SUM(INDIRECT("dados_MercadoBase[TUSD_E]"))</f>
        <v>16377.068000000003</v>
      </c>
    </row>
    <row r="182" spans="1:19" ht="15.75">
      <c r="A182" t="s">
        <v>832</v>
      </c>
      <c r="B182" t="s">
        <v>846</v>
      </c>
      <c r="C182" t="s">
        <v>1725</v>
      </c>
      <c r="D182">
        <v>2</v>
      </c>
      <c r="E182">
        <v>1</v>
      </c>
      <c r="F182">
        <v>52</v>
      </c>
      <c r="G182">
        <v>999999</v>
      </c>
      <c r="H182">
        <v>999</v>
      </c>
      <c r="I182">
        <v>1</v>
      </c>
      <c r="J182">
        <v>1</v>
      </c>
      <c r="K182">
        <v>1</v>
      </c>
      <c r="L182">
        <v>99</v>
      </c>
      <c r="M182">
        <v>9</v>
      </c>
      <c r="N182">
        <v>3</v>
      </c>
      <c r="O182">
        <v>99999</v>
      </c>
      <c r="P182" s="233">
        <f t="shared" ca="1" si="12"/>
        <v>0</v>
      </c>
      <c r="Q182" s="233">
        <f ca="1">Resultado!C25</f>
        <v>0</v>
      </c>
    </row>
    <row r="183" spans="1:19" ht="15.75">
      <c r="A183" t="s">
        <v>832</v>
      </c>
      <c r="B183" t="s">
        <v>846</v>
      </c>
      <c r="C183" t="s">
        <v>1333</v>
      </c>
      <c r="D183">
        <v>2</v>
      </c>
      <c r="E183">
        <v>1</v>
      </c>
      <c r="F183">
        <v>52</v>
      </c>
      <c r="G183">
        <v>999999</v>
      </c>
      <c r="H183">
        <v>999</v>
      </c>
      <c r="I183">
        <v>1</v>
      </c>
      <c r="J183">
        <v>2</v>
      </c>
      <c r="K183">
        <v>1</v>
      </c>
      <c r="L183">
        <v>99</v>
      </c>
      <c r="M183">
        <v>9</v>
      </c>
      <c r="N183">
        <v>3</v>
      </c>
      <c r="O183">
        <v>99999</v>
      </c>
      <c r="P183" s="233">
        <f t="shared" ca="1" si="12"/>
        <v>0</v>
      </c>
      <c r="Q183" s="233">
        <f ca="1">Resultado!C26</f>
        <v>0</v>
      </c>
    </row>
    <row r="184" spans="1:19" ht="15.75">
      <c r="A184" t="s">
        <v>832</v>
      </c>
      <c r="B184" t="s">
        <v>846</v>
      </c>
      <c r="C184" t="s">
        <v>1671</v>
      </c>
      <c r="D184">
        <v>2</v>
      </c>
      <c r="E184">
        <v>1</v>
      </c>
      <c r="F184">
        <v>52</v>
      </c>
      <c r="G184">
        <v>999999</v>
      </c>
      <c r="H184">
        <v>999</v>
      </c>
      <c r="I184">
        <v>1</v>
      </c>
      <c r="J184">
        <v>3</v>
      </c>
      <c r="K184">
        <v>1</v>
      </c>
      <c r="L184">
        <v>99</v>
      </c>
      <c r="M184">
        <v>9</v>
      </c>
      <c r="N184">
        <v>3</v>
      </c>
      <c r="O184">
        <v>99999</v>
      </c>
      <c r="P184" s="233">
        <f t="shared" ca="1" si="12"/>
        <v>0</v>
      </c>
      <c r="Q184" s="233">
        <f ca="1">Resultado!C31</f>
        <v>0</v>
      </c>
    </row>
    <row r="185" spans="1:19" ht="15.75">
      <c r="A185" t="s">
        <v>832</v>
      </c>
      <c r="B185" t="s">
        <v>846</v>
      </c>
      <c r="C185" t="s">
        <v>1672</v>
      </c>
      <c r="D185">
        <v>2</v>
      </c>
      <c r="E185">
        <v>1</v>
      </c>
      <c r="F185">
        <v>52</v>
      </c>
      <c r="G185">
        <v>999999</v>
      </c>
      <c r="H185">
        <v>999</v>
      </c>
      <c r="I185">
        <v>1</v>
      </c>
      <c r="J185">
        <v>5</v>
      </c>
      <c r="K185">
        <v>1</v>
      </c>
      <c r="L185">
        <v>99</v>
      </c>
      <c r="M185">
        <v>9</v>
      </c>
      <c r="N185">
        <v>3</v>
      </c>
      <c r="O185">
        <v>99999</v>
      </c>
      <c r="P185" s="233">
        <f t="shared" si="12"/>
        <v>0</v>
      </c>
      <c r="Q185" s="233">
        <f>Resultado!C27</f>
        <v>0</v>
      </c>
    </row>
    <row r="186" spans="1:19" ht="15.75">
      <c r="A186" t="s">
        <v>832</v>
      </c>
      <c r="B186" t="s">
        <v>846</v>
      </c>
      <c r="C186" t="s">
        <v>1673</v>
      </c>
      <c r="D186">
        <v>2</v>
      </c>
      <c r="E186">
        <v>1</v>
      </c>
      <c r="F186">
        <v>52</v>
      </c>
      <c r="G186">
        <v>999999</v>
      </c>
      <c r="H186">
        <v>999</v>
      </c>
      <c r="I186">
        <v>1</v>
      </c>
      <c r="J186">
        <v>6</v>
      </c>
      <c r="K186">
        <v>1</v>
      </c>
      <c r="L186">
        <v>99</v>
      </c>
      <c r="M186">
        <v>9</v>
      </c>
      <c r="N186">
        <v>3</v>
      </c>
      <c r="O186">
        <v>99999</v>
      </c>
      <c r="P186" s="233">
        <f t="shared" si="12"/>
        <v>0</v>
      </c>
      <c r="Q186" s="233">
        <f>Resultado!C28</f>
        <v>0</v>
      </c>
    </row>
    <row r="187" spans="1:19" ht="15.75">
      <c r="A187" s="9" t="s">
        <v>829</v>
      </c>
      <c r="B187" t="s">
        <v>846</v>
      </c>
      <c r="C187" s="9" t="s">
        <v>1726</v>
      </c>
      <c r="D187">
        <v>1</v>
      </c>
      <c r="E187">
        <v>1</v>
      </c>
      <c r="F187">
        <v>51</v>
      </c>
      <c r="G187">
        <v>999999</v>
      </c>
      <c r="H187">
        <v>999</v>
      </c>
      <c r="I187">
        <v>1</v>
      </c>
      <c r="J187">
        <v>3</v>
      </c>
      <c r="K187">
        <v>9</v>
      </c>
      <c r="L187">
        <v>99</v>
      </c>
      <c r="M187">
        <v>9</v>
      </c>
      <c r="N187">
        <v>3</v>
      </c>
      <c r="O187">
        <v>99999</v>
      </c>
      <c r="P187" s="233">
        <f t="shared" si="12"/>
        <v>0</v>
      </c>
      <c r="Q187" s="253">
        <f>Resultado!D31</f>
        <v>0</v>
      </c>
    </row>
    <row r="188" spans="1:19" ht="15.75">
      <c r="A188" t="s">
        <v>829</v>
      </c>
      <c r="B188" t="s">
        <v>1720</v>
      </c>
      <c r="C188" s="9" t="s">
        <v>1727</v>
      </c>
      <c r="D188">
        <v>4</v>
      </c>
      <c r="E188">
        <v>3</v>
      </c>
      <c r="F188">
        <v>50</v>
      </c>
      <c r="G188">
        <v>117</v>
      </c>
      <c r="H188">
        <v>999</v>
      </c>
      <c r="I188">
        <v>99</v>
      </c>
      <c r="J188">
        <v>999</v>
      </c>
      <c r="K188">
        <v>9</v>
      </c>
      <c r="L188">
        <v>99</v>
      </c>
      <c r="M188">
        <v>9</v>
      </c>
      <c r="N188">
        <v>2</v>
      </c>
      <c r="O188">
        <v>99999</v>
      </c>
      <c r="P188" s="233">
        <f t="shared" ca="1" si="12"/>
        <v>16377.068000000003</v>
      </c>
      <c r="Q188" s="233">
        <f ca="1">SUM(INDIRECT("dados_MercadoBase[TE_E]"))</f>
        <v>16377.068000000003</v>
      </c>
    </row>
    <row r="189" spans="1:19" ht="15.75">
      <c r="A189" t="s">
        <v>829</v>
      </c>
      <c r="B189" t="s">
        <v>1728</v>
      </c>
      <c r="C189" s="9" t="s">
        <v>1729</v>
      </c>
      <c r="D189" s="416">
        <v>1</v>
      </c>
      <c r="E189" s="416">
        <v>1</v>
      </c>
      <c r="F189" s="416">
        <v>15</v>
      </c>
      <c r="G189" s="416">
        <v>175</v>
      </c>
      <c r="H189" s="416">
        <v>999</v>
      </c>
      <c r="I189" s="416">
        <v>4</v>
      </c>
      <c r="J189" s="416">
        <v>999</v>
      </c>
      <c r="K189" s="416">
        <v>9</v>
      </c>
      <c r="L189" s="416">
        <v>99</v>
      </c>
      <c r="M189" s="416">
        <v>9</v>
      </c>
      <c r="N189" s="416">
        <v>4</v>
      </c>
      <c r="O189" s="416">
        <v>99999</v>
      </c>
      <c r="P189" s="418">
        <f>IF(ISNUMBER(Q189),Q189,0)</f>
        <v>3.7699999999999997E-2</v>
      </c>
      <c r="Q189" s="418">
        <f>VLOOKUP(LnkTXTSigla,Informacoes[],8,FALSE)</f>
        <v>3.7699999999999997E-2</v>
      </c>
    </row>
    <row r="190" spans="1:19" ht="15.75">
      <c r="A190" t="s">
        <v>829</v>
      </c>
      <c r="B190" t="s">
        <v>1728</v>
      </c>
      <c r="C190" s="9" t="s">
        <v>1730</v>
      </c>
      <c r="D190" s="416">
        <v>1</v>
      </c>
      <c r="E190" s="416">
        <v>1</v>
      </c>
      <c r="F190" s="416">
        <v>15</v>
      </c>
      <c r="G190" s="416">
        <v>174</v>
      </c>
      <c r="H190" s="416">
        <v>999</v>
      </c>
      <c r="I190" s="416">
        <v>4</v>
      </c>
      <c r="J190" s="416">
        <v>999</v>
      </c>
      <c r="K190" s="416">
        <v>9</v>
      </c>
      <c r="L190" s="416">
        <v>99</v>
      </c>
      <c r="M190" s="416">
        <v>9</v>
      </c>
      <c r="N190" s="416">
        <v>4</v>
      </c>
      <c r="O190" s="420">
        <v>99999</v>
      </c>
      <c r="P190" s="418">
        <f>IF(ISNUMBER(Q190),Q190,0)</f>
        <v>0.04</v>
      </c>
      <c r="Q190" s="418">
        <v>0.04</v>
      </c>
    </row>
    <row r="191" spans="1:19" ht="15.75">
      <c r="A191" t="s">
        <v>829</v>
      </c>
      <c r="B191" t="s">
        <v>1728</v>
      </c>
      <c r="C191" s="9" t="s">
        <v>1731</v>
      </c>
      <c r="D191" s="416">
        <v>1</v>
      </c>
      <c r="E191" s="416">
        <v>1</v>
      </c>
      <c r="F191" s="416">
        <v>196</v>
      </c>
      <c r="G191" s="416">
        <v>250</v>
      </c>
      <c r="H191" s="416">
        <v>999</v>
      </c>
      <c r="I191" s="416">
        <v>4</v>
      </c>
      <c r="J191" s="416">
        <v>999</v>
      </c>
      <c r="K191" s="416">
        <v>9</v>
      </c>
      <c r="L191" s="416">
        <v>99</v>
      </c>
      <c r="M191" s="416">
        <v>9</v>
      </c>
      <c r="N191" s="416">
        <v>3</v>
      </c>
      <c r="O191" s="420">
        <v>99999</v>
      </c>
      <c r="P191" s="417">
        <f>IF(ISNUMBER(Q191),Q191,0)</f>
        <v>6291047.8400000008</v>
      </c>
      <c r="Q191" s="422">
        <f>CAPA!D32</f>
        <v>6291047.8400000008</v>
      </c>
      <c r="S191" s="9"/>
    </row>
    <row r="192" spans="1:19" ht="15.75">
      <c r="A192" t="s">
        <v>829</v>
      </c>
      <c r="B192" t="s">
        <v>1728</v>
      </c>
      <c r="C192" s="9" t="s">
        <v>1732</v>
      </c>
      <c r="D192" s="416">
        <v>1</v>
      </c>
      <c r="E192" s="416">
        <v>1</v>
      </c>
      <c r="F192" s="416">
        <v>14</v>
      </c>
      <c r="G192" s="416">
        <v>31</v>
      </c>
      <c r="H192" s="416">
        <v>999</v>
      </c>
      <c r="I192" s="416">
        <v>4</v>
      </c>
      <c r="J192" s="416">
        <v>999</v>
      </c>
      <c r="K192" s="416">
        <v>9</v>
      </c>
      <c r="L192" s="416">
        <v>99</v>
      </c>
      <c r="M192" s="416">
        <v>9</v>
      </c>
      <c r="N192" s="416">
        <v>4</v>
      </c>
      <c r="O192" s="416">
        <v>99999</v>
      </c>
      <c r="P192" s="253">
        <v>0</v>
      </c>
      <c r="Q192" s="253">
        <v>0</v>
      </c>
    </row>
    <row r="193" spans="1:17" ht="15.75">
      <c r="A193" t="s">
        <v>829</v>
      </c>
      <c r="B193" t="s">
        <v>1728</v>
      </c>
      <c r="C193" s="9" t="s">
        <v>1733</v>
      </c>
      <c r="D193" s="416">
        <v>1</v>
      </c>
      <c r="E193" s="416">
        <v>1</v>
      </c>
      <c r="F193" s="416">
        <v>15</v>
      </c>
      <c r="G193" s="416">
        <v>176</v>
      </c>
      <c r="H193" s="416">
        <v>999</v>
      </c>
      <c r="I193" s="416">
        <v>4</v>
      </c>
      <c r="J193" s="416">
        <v>999</v>
      </c>
      <c r="K193" s="416">
        <v>9</v>
      </c>
      <c r="L193" s="416">
        <v>99</v>
      </c>
      <c r="M193" s="416">
        <v>9</v>
      </c>
      <c r="N193" s="416">
        <v>3</v>
      </c>
      <c r="O193" s="416">
        <v>99999</v>
      </c>
      <c r="P193" s="253">
        <f t="shared" si="12"/>
        <v>2595648.4152139174</v>
      </c>
      <c r="Q193" s="253">
        <f>CAPA!D33</f>
        <v>2595648.4152139174</v>
      </c>
    </row>
    <row r="194" spans="1:17" ht="15.75">
      <c r="A194" t="s">
        <v>829</v>
      </c>
      <c r="B194" t="s">
        <v>1728</v>
      </c>
      <c r="C194" s="9" t="s">
        <v>1734</v>
      </c>
      <c r="D194" s="416">
        <v>1</v>
      </c>
      <c r="E194" s="416">
        <v>1</v>
      </c>
      <c r="F194" s="416">
        <v>203</v>
      </c>
      <c r="G194" s="416">
        <v>247</v>
      </c>
      <c r="H194" s="416">
        <v>999</v>
      </c>
      <c r="I194" s="416">
        <v>4</v>
      </c>
      <c r="J194" s="416">
        <v>999</v>
      </c>
      <c r="K194" s="416">
        <v>9</v>
      </c>
      <c r="L194" s="416">
        <v>99</v>
      </c>
      <c r="M194" s="416">
        <v>9</v>
      </c>
      <c r="N194" s="416">
        <v>3</v>
      </c>
      <c r="O194" s="416">
        <v>99999</v>
      </c>
      <c r="P194" s="233">
        <f t="shared" si="12"/>
        <v>8886696.2552139182</v>
      </c>
      <c r="Q194" s="233">
        <f>Resultado!D39</f>
        <v>8886696.2552139182</v>
      </c>
    </row>
    <row r="195" spans="1:17" ht="15.75">
      <c r="A195" t="s">
        <v>829</v>
      </c>
      <c r="B195" t="s">
        <v>1728</v>
      </c>
      <c r="C195" t="s">
        <v>294</v>
      </c>
      <c r="D195" s="416">
        <v>1</v>
      </c>
      <c r="E195" s="416">
        <v>1</v>
      </c>
      <c r="F195" s="416">
        <v>15</v>
      </c>
      <c r="G195" s="416">
        <v>194</v>
      </c>
      <c r="H195" s="416">
        <v>999</v>
      </c>
      <c r="I195" s="416">
        <v>4</v>
      </c>
      <c r="J195" s="416">
        <v>999</v>
      </c>
      <c r="K195" s="416">
        <v>9</v>
      </c>
      <c r="L195" s="416">
        <v>99</v>
      </c>
      <c r="M195" s="416">
        <v>9</v>
      </c>
      <c r="N195" s="416">
        <v>4</v>
      </c>
      <c r="O195" s="416">
        <v>99999</v>
      </c>
      <c r="P195" s="233">
        <f t="shared" si="12"/>
        <v>8.9499999999999996E-2</v>
      </c>
      <c r="Q195" s="248">
        <f>VLOOKUP(LnkTXTSigla,Informacoes[],16,FALSE)</f>
        <v>8.9499999999999996E-2</v>
      </c>
    </row>
    <row r="196" spans="1:17" ht="15.75">
      <c r="A196" t="s">
        <v>1720</v>
      </c>
      <c r="B196" t="s">
        <v>1735</v>
      </c>
      <c r="C196" t="s">
        <v>1736</v>
      </c>
      <c r="D196">
        <v>3</v>
      </c>
      <c r="E196">
        <v>99</v>
      </c>
      <c r="F196">
        <v>24</v>
      </c>
      <c r="G196">
        <v>63</v>
      </c>
      <c r="H196">
        <v>110</v>
      </c>
      <c r="I196">
        <v>99</v>
      </c>
      <c r="J196">
        <v>999</v>
      </c>
      <c r="K196">
        <v>9</v>
      </c>
      <c r="L196">
        <v>99</v>
      </c>
      <c r="M196">
        <v>9</v>
      </c>
      <c r="N196">
        <v>3</v>
      </c>
      <c r="O196">
        <v>99999</v>
      </c>
      <c r="P196" s="233">
        <f t="shared" si="12"/>
        <v>0</v>
      </c>
      <c r="Q196" s="233">
        <f>'Tabelas e Gráficos'!BP288</f>
        <v>0</v>
      </c>
    </row>
    <row r="197" spans="1:17" ht="15.75">
      <c r="A197" t="s">
        <v>1720</v>
      </c>
      <c r="B197" t="s">
        <v>1735</v>
      </c>
      <c r="C197" t="s">
        <v>1737</v>
      </c>
      <c r="D197">
        <v>3</v>
      </c>
      <c r="E197">
        <v>99</v>
      </c>
      <c r="F197">
        <v>24</v>
      </c>
      <c r="G197">
        <v>63</v>
      </c>
      <c r="H197">
        <v>111</v>
      </c>
      <c r="I197">
        <v>99</v>
      </c>
      <c r="J197">
        <v>999</v>
      </c>
      <c r="K197">
        <v>9</v>
      </c>
      <c r="L197">
        <v>99</v>
      </c>
      <c r="M197">
        <v>9</v>
      </c>
      <c r="N197">
        <v>3</v>
      </c>
      <c r="O197">
        <v>99999</v>
      </c>
      <c r="P197" s="233">
        <f t="shared" si="12"/>
        <v>0</v>
      </c>
      <c r="Q197" s="233">
        <f>'Tabelas e Gráficos'!BP289</f>
        <v>0</v>
      </c>
    </row>
    <row r="198" spans="1:17" ht="15.75">
      <c r="A198" t="s">
        <v>1720</v>
      </c>
      <c r="B198" t="s">
        <v>1735</v>
      </c>
      <c r="C198" t="s">
        <v>1738</v>
      </c>
      <c r="D198">
        <v>3</v>
      </c>
      <c r="E198">
        <v>99</v>
      </c>
      <c r="F198">
        <v>24</v>
      </c>
      <c r="G198">
        <v>63</v>
      </c>
      <c r="H198">
        <v>182</v>
      </c>
      <c r="I198">
        <v>99</v>
      </c>
      <c r="J198">
        <v>999</v>
      </c>
      <c r="K198">
        <v>9</v>
      </c>
      <c r="L198">
        <v>99</v>
      </c>
      <c r="M198">
        <v>9</v>
      </c>
      <c r="N198">
        <v>3</v>
      </c>
      <c r="O198">
        <v>99999</v>
      </c>
      <c r="P198" s="233">
        <f t="shared" si="12"/>
        <v>0</v>
      </c>
      <c r="Q198" s="233">
        <f>'Tabelas e Gráficos'!BP290</f>
        <v>0</v>
      </c>
    </row>
    <row r="199" spans="1:17" ht="15.75">
      <c r="A199" t="s">
        <v>1720</v>
      </c>
      <c r="B199" t="s">
        <v>1735</v>
      </c>
      <c r="C199" t="s">
        <v>1739</v>
      </c>
      <c r="D199">
        <v>3</v>
      </c>
      <c r="E199">
        <v>99</v>
      </c>
      <c r="F199">
        <v>24</v>
      </c>
      <c r="G199">
        <v>63</v>
      </c>
      <c r="H199">
        <v>183</v>
      </c>
      <c r="I199">
        <v>99</v>
      </c>
      <c r="J199">
        <v>999</v>
      </c>
      <c r="K199">
        <v>9</v>
      </c>
      <c r="L199">
        <v>99</v>
      </c>
      <c r="M199">
        <v>9</v>
      </c>
      <c r="N199">
        <v>3</v>
      </c>
      <c r="O199">
        <v>99999</v>
      </c>
      <c r="P199" s="233">
        <f t="shared" si="12"/>
        <v>-7.2822720478309293</v>
      </c>
      <c r="Q199" s="233">
        <f>'Tabelas e Gráficos'!BP291</f>
        <v>-7.2822720478309293</v>
      </c>
    </row>
    <row r="200" spans="1:17" ht="15.75">
      <c r="A200" t="s">
        <v>1720</v>
      </c>
      <c r="B200" t="s">
        <v>1735</v>
      </c>
      <c r="C200" t="s">
        <v>1740</v>
      </c>
      <c r="D200">
        <v>3</v>
      </c>
      <c r="E200">
        <v>99</v>
      </c>
      <c r="F200">
        <v>24</v>
      </c>
      <c r="G200">
        <v>63</v>
      </c>
      <c r="H200">
        <v>184</v>
      </c>
      <c r="I200">
        <v>99</v>
      </c>
      <c r="J200">
        <v>999</v>
      </c>
      <c r="K200">
        <v>9</v>
      </c>
      <c r="L200">
        <v>99</v>
      </c>
      <c r="M200">
        <v>9</v>
      </c>
      <c r="N200">
        <v>3</v>
      </c>
      <c r="O200">
        <v>99999</v>
      </c>
      <c r="P200" s="233">
        <f t="shared" si="12"/>
        <v>-456.90181036743343</v>
      </c>
      <c r="Q200" s="233">
        <f>'Tabelas e Gráficos'!BP292</f>
        <v>-456.90181036743343</v>
      </c>
    </row>
    <row r="201" spans="1:17" ht="15.75">
      <c r="A201" t="s">
        <v>1720</v>
      </c>
      <c r="B201" t="s">
        <v>1735</v>
      </c>
      <c r="C201" t="s">
        <v>1741</v>
      </c>
      <c r="D201">
        <v>3</v>
      </c>
      <c r="E201">
        <v>99</v>
      </c>
      <c r="F201">
        <v>24</v>
      </c>
      <c r="G201">
        <v>63</v>
      </c>
      <c r="H201">
        <v>112</v>
      </c>
      <c r="I201">
        <v>99</v>
      </c>
      <c r="J201">
        <v>999</v>
      </c>
      <c r="K201">
        <v>9</v>
      </c>
      <c r="L201">
        <v>99</v>
      </c>
      <c r="M201">
        <v>9</v>
      </c>
      <c r="N201">
        <v>3</v>
      </c>
      <c r="O201">
        <v>99999</v>
      </c>
      <c r="P201" s="233">
        <f t="shared" si="12"/>
        <v>0</v>
      </c>
      <c r="Q201" s="233">
        <f>'Tabelas e Gráficos'!BP293</f>
        <v>0</v>
      </c>
    </row>
    <row r="202" spans="1:17" ht="15.75">
      <c r="A202" t="s">
        <v>1720</v>
      </c>
      <c r="B202" t="s">
        <v>1735</v>
      </c>
      <c r="C202" t="s">
        <v>1742</v>
      </c>
      <c r="D202">
        <v>3</v>
      </c>
      <c r="E202">
        <v>99</v>
      </c>
      <c r="F202">
        <v>24</v>
      </c>
      <c r="G202">
        <v>61</v>
      </c>
      <c r="H202">
        <v>110</v>
      </c>
      <c r="I202">
        <v>99</v>
      </c>
      <c r="J202">
        <v>999</v>
      </c>
      <c r="K202">
        <v>9</v>
      </c>
      <c r="L202">
        <v>99</v>
      </c>
      <c r="M202">
        <v>9</v>
      </c>
      <c r="N202">
        <v>3</v>
      </c>
      <c r="O202">
        <v>99999</v>
      </c>
      <c r="P202" s="233">
        <f t="shared" si="12"/>
        <v>0</v>
      </c>
      <c r="Q202" s="233">
        <f>'Tabelas e Gráficos'!BQ288</f>
        <v>0</v>
      </c>
    </row>
    <row r="203" spans="1:17" ht="15.75">
      <c r="A203" t="s">
        <v>1720</v>
      </c>
      <c r="B203" t="s">
        <v>1735</v>
      </c>
      <c r="C203" t="s">
        <v>1743</v>
      </c>
      <c r="D203">
        <v>3</v>
      </c>
      <c r="E203">
        <v>99</v>
      </c>
      <c r="F203">
        <v>24</v>
      </c>
      <c r="G203">
        <v>61</v>
      </c>
      <c r="H203">
        <v>111</v>
      </c>
      <c r="I203">
        <v>99</v>
      </c>
      <c r="J203">
        <v>999</v>
      </c>
      <c r="K203">
        <v>9</v>
      </c>
      <c r="L203">
        <v>99</v>
      </c>
      <c r="M203">
        <v>9</v>
      </c>
      <c r="N203">
        <v>3</v>
      </c>
      <c r="O203">
        <v>99999</v>
      </c>
      <c r="P203" s="233">
        <f t="shared" si="12"/>
        <v>0</v>
      </c>
      <c r="Q203" s="233">
        <f>'Tabelas e Gráficos'!BQ289</f>
        <v>0</v>
      </c>
    </row>
    <row r="204" spans="1:17" ht="15.75">
      <c r="A204" t="s">
        <v>1720</v>
      </c>
      <c r="B204" t="s">
        <v>1735</v>
      </c>
      <c r="C204" t="s">
        <v>1744</v>
      </c>
      <c r="D204">
        <v>3</v>
      </c>
      <c r="E204">
        <v>99</v>
      </c>
      <c r="F204">
        <v>24</v>
      </c>
      <c r="G204">
        <v>61</v>
      </c>
      <c r="H204">
        <v>182</v>
      </c>
      <c r="I204">
        <v>99</v>
      </c>
      <c r="J204">
        <v>999</v>
      </c>
      <c r="K204">
        <v>9</v>
      </c>
      <c r="L204">
        <v>99</v>
      </c>
      <c r="M204">
        <v>9</v>
      </c>
      <c r="N204">
        <v>3</v>
      </c>
      <c r="O204">
        <v>99999</v>
      </c>
      <c r="P204" s="233">
        <f t="shared" si="12"/>
        <v>0</v>
      </c>
      <c r="Q204" s="233">
        <f>'Tabelas e Gráficos'!BQ290</f>
        <v>0</v>
      </c>
    </row>
    <row r="205" spans="1:17" ht="15.75">
      <c r="A205" t="s">
        <v>1720</v>
      </c>
      <c r="B205" t="s">
        <v>1735</v>
      </c>
      <c r="C205" t="s">
        <v>1745</v>
      </c>
      <c r="D205">
        <v>3</v>
      </c>
      <c r="E205">
        <v>99</v>
      </c>
      <c r="F205">
        <v>24</v>
      </c>
      <c r="G205">
        <v>61</v>
      </c>
      <c r="H205">
        <v>183</v>
      </c>
      <c r="I205">
        <v>99</v>
      </c>
      <c r="J205">
        <v>999</v>
      </c>
      <c r="K205">
        <v>9</v>
      </c>
      <c r="L205">
        <v>99</v>
      </c>
      <c r="M205">
        <v>9</v>
      </c>
      <c r="N205">
        <v>3</v>
      </c>
      <c r="O205">
        <v>99999</v>
      </c>
      <c r="P205" s="233">
        <f t="shared" si="12"/>
        <v>165.75756592305038</v>
      </c>
      <c r="Q205" s="233">
        <f>'Tabelas e Gráficos'!BQ291</f>
        <v>165.75756592305038</v>
      </c>
    </row>
    <row r="206" spans="1:17" ht="15.75">
      <c r="A206" t="s">
        <v>1720</v>
      </c>
      <c r="B206" t="s">
        <v>1735</v>
      </c>
      <c r="C206" t="s">
        <v>1746</v>
      </c>
      <c r="D206">
        <v>3</v>
      </c>
      <c r="E206">
        <v>99</v>
      </c>
      <c r="F206">
        <v>24</v>
      </c>
      <c r="G206">
        <v>61</v>
      </c>
      <c r="H206">
        <v>184</v>
      </c>
      <c r="I206">
        <v>99</v>
      </c>
      <c r="J206">
        <v>999</v>
      </c>
      <c r="K206">
        <v>9</v>
      </c>
      <c r="L206">
        <v>99</v>
      </c>
      <c r="M206">
        <v>9</v>
      </c>
      <c r="N206">
        <v>3</v>
      </c>
      <c r="O206">
        <v>99999</v>
      </c>
      <c r="P206" s="233">
        <f t="shared" si="12"/>
        <v>2653.3952054534861</v>
      </c>
      <c r="Q206" s="233">
        <f>'Tabelas e Gráficos'!BQ292</f>
        <v>2653.3952054534861</v>
      </c>
    </row>
    <row r="207" spans="1:17" ht="15.75">
      <c r="A207" t="s">
        <v>1720</v>
      </c>
      <c r="B207" t="s">
        <v>1735</v>
      </c>
      <c r="C207" t="s">
        <v>1747</v>
      </c>
      <c r="D207">
        <v>3</v>
      </c>
      <c r="E207">
        <v>99</v>
      </c>
      <c r="F207">
        <v>24</v>
      </c>
      <c r="G207">
        <v>61</v>
      </c>
      <c r="H207">
        <v>112</v>
      </c>
      <c r="I207">
        <v>99</v>
      </c>
      <c r="J207">
        <v>999</v>
      </c>
      <c r="K207">
        <v>9</v>
      </c>
      <c r="L207">
        <v>99</v>
      </c>
      <c r="M207">
        <v>9</v>
      </c>
      <c r="N207">
        <v>3</v>
      </c>
      <c r="O207">
        <v>99999</v>
      </c>
      <c r="P207" s="233">
        <f t="shared" si="12"/>
        <v>0</v>
      </c>
      <c r="Q207" s="233">
        <f>'Tabelas e Gráficos'!BQ293</f>
        <v>0</v>
      </c>
    </row>
    <row r="208" spans="1:17" ht="15.75">
      <c r="A208" t="s">
        <v>1720</v>
      </c>
      <c r="B208" t="s">
        <v>1735</v>
      </c>
      <c r="C208" t="s">
        <v>1748</v>
      </c>
      <c r="D208">
        <v>3</v>
      </c>
      <c r="E208">
        <v>99</v>
      </c>
      <c r="F208">
        <v>24</v>
      </c>
      <c r="G208">
        <v>79</v>
      </c>
      <c r="H208">
        <v>110</v>
      </c>
      <c r="I208">
        <v>99</v>
      </c>
      <c r="J208">
        <v>999</v>
      </c>
      <c r="K208">
        <v>9</v>
      </c>
      <c r="L208">
        <v>99</v>
      </c>
      <c r="M208">
        <v>9</v>
      </c>
      <c r="N208">
        <v>3</v>
      </c>
      <c r="O208">
        <v>99999</v>
      </c>
      <c r="P208" s="233">
        <f t="shared" si="12"/>
        <v>0</v>
      </c>
      <c r="Q208" s="233">
        <f>'Tabelas e Gráficos'!BR288</f>
        <v>0</v>
      </c>
    </row>
    <row r="209" spans="1:17" ht="15.75">
      <c r="A209" t="s">
        <v>1720</v>
      </c>
      <c r="B209" t="s">
        <v>1735</v>
      </c>
      <c r="C209" t="s">
        <v>1749</v>
      </c>
      <c r="D209">
        <v>3</v>
      </c>
      <c r="E209">
        <v>99</v>
      </c>
      <c r="F209">
        <v>24</v>
      </c>
      <c r="G209">
        <v>79</v>
      </c>
      <c r="H209">
        <v>111</v>
      </c>
      <c r="I209">
        <v>99</v>
      </c>
      <c r="J209">
        <v>999</v>
      </c>
      <c r="K209">
        <v>9</v>
      </c>
      <c r="L209">
        <v>99</v>
      </c>
      <c r="M209">
        <v>9</v>
      </c>
      <c r="N209">
        <v>3</v>
      </c>
      <c r="O209">
        <v>99999</v>
      </c>
      <c r="P209" s="233">
        <f t="shared" si="12"/>
        <v>0</v>
      </c>
      <c r="Q209" s="233">
        <f>'Tabelas e Gráficos'!BR289</f>
        <v>0</v>
      </c>
    </row>
    <row r="210" spans="1:17" ht="15.75">
      <c r="A210" t="s">
        <v>1720</v>
      </c>
      <c r="B210" t="s">
        <v>1735</v>
      </c>
      <c r="C210" t="s">
        <v>1750</v>
      </c>
      <c r="D210">
        <v>3</v>
      </c>
      <c r="E210">
        <v>99</v>
      </c>
      <c r="F210">
        <v>24</v>
      </c>
      <c r="G210">
        <v>79</v>
      </c>
      <c r="H210">
        <v>182</v>
      </c>
      <c r="I210">
        <v>99</v>
      </c>
      <c r="J210">
        <v>999</v>
      </c>
      <c r="K210">
        <v>9</v>
      </c>
      <c r="L210">
        <v>99</v>
      </c>
      <c r="M210">
        <v>9</v>
      </c>
      <c r="N210">
        <v>3</v>
      </c>
      <c r="O210">
        <v>99999</v>
      </c>
      <c r="P210" s="233">
        <f t="shared" si="12"/>
        <v>0</v>
      </c>
      <c r="Q210" s="233">
        <f>'Tabelas e Gráficos'!BR290</f>
        <v>0</v>
      </c>
    </row>
    <row r="211" spans="1:17" ht="15.75">
      <c r="A211" t="s">
        <v>1720</v>
      </c>
      <c r="B211" t="s">
        <v>1735</v>
      </c>
      <c r="C211" t="s">
        <v>1751</v>
      </c>
      <c r="D211">
        <v>3</v>
      </c>
      <c r="E211">
        <v>99</v>
      </c>
      <c r="F211">
        <v>24</v>
      </c>
      <c r="G211">
        <v>79</v>
      </c>
      <c r="H211">
        <v>183</v>
      </c>
      <c r="I211">
        <v>99</v>
      </c>
      <c r="J211">
        <v>999</v>
      </c>
      <c r="K211">
        <v>9</v>
      </c>
      <c r="L211">
        <v>99</v>
      </c>
      <c r="M211">
        <v>9</v>
      </c>
      <c r="N211">
        <v>3</v>
      </c>
      <c r="O211">
        <v>99999</v>
      </c>
      <c r="P211" s="233">
        <f t="shared" si="12"/>
        <v>158.47529387521945</v>
      </c>
      <c r="Q211" s="233">
        <f>'Tabelas e Gráficos'!BR291</f>
        <v>158.47529387521945</v>
      </c>
    </row>
    <row r="212" spans="1:17" ht="15.75">
      <c r="A212" t="s">
        <v>1720</v>
      </c>
      <c r="B212" t="s">
        <v>1735</v>
      </c>
      <c r="C212" t="s">
        <v>1752</v>
      </c>
      <c r="D212">
        <v>3</v>
      </c>
      <c r="E212">
        <v>99</v>
      </c>
      <c r="F212">
        <v>24</v>
      </c>
      <c r="G212">
        <v>79</v>
      </c>
      <c r="H212">
        <v>184</v>
      </c>
      <c r="I212">
        <v>99</v>
      </c>
      <c r="J212">
        <v>999</v>
      </c>
      <c r="K212">
        <v>9</v>
      </c>
      <c r="L212">
        <v>99</v>
      </c>
      <c r="M212">
        <v>9</v>
      </c>
      <c r="N212">
        <v>3</v>
      </c>
      <c r="O212">
        <v>99999</v>
      </c>
      <c r="P212" s="233">
        <f t="shared" si="12"/>
        <v>2196.4933950860527</v>
      </c>
      <c r="Q212" s="233">
        <f>'Tabelas e Gráficos'!BR292</f>
        <v>2196.4933950860527</v>
      </c>
    </row>
    <row r="213" spans="1:17" ht="15.75">
      <c r="A213" t="s">
        <v>1720</v>
      </c>
      <c r="B213" t="s">
        <v>1735</v>
      </c>
      <c r="C213" t="s">
        <v>1753</v>
      </c>
      <c r="D213">
        <v>3</v>
      </c>
      <c r="E213">
        <v>99</v>
      </c>
      <c r="F213">
        <v>24</v>
      </c>
      <c r="G213">
        <v>79</v>
      </c>
      <c r="H213">
        <v>112</v>
      </c>
      <c r="I213">
        <v>99</v>
      </c>
      <c r="J213">
        <v>999</v>
      </c>
      <c r="K213">
        <v>9</v>
      </c>
      <c r="L213">
        <v>99</v>
      </c>
      <c r="M213">
        <v>9</v>
      </c>
      <c r="N213">
        <v>3</v>
      </c>
      <c r="O213">
        <v>99999</v>
      </c>
      <c r="P213" s="233">
        <f t="shared" si="12"/>
        <v>0</v>
      </c>
      <c r="Q213" s="233">
        <f>'Tabelas e Gráficos'!BR293</f>
        <v>0</v>
      </c>
    </row>
    <row r="214" spans="1:17" ht="15.75">
      <c r="A214" s="890" t="s">
        <v>829</v>
      </c>
      <c r="B214" s="890" t="s">
        <v>107</v>
      </c>
      <c r="C214" s="890" t="s">
        <v>1754</v>
      </c>
      <c r="D214" s="890">
        <v>2</v>
      </c>
      <c r="E214" s="890">
        <v>1</v>
      </c>
      <c r="F214" s="890">
        <v>51</v>
      </c>
      <c r="G214" s="890">
        <v>73</v>
      </c>
      <c r="H214" s="890">
        <v>999</v>
      </c>
      <c r="I214" s="890">
        <v>3</v>
      </c>
      <c r="J214" s="890">
        <v>15</v>
      </c>
      <c r="K214" s="890">
        <v>1</v>
      </c>
      <c r="L214" s="890">
        <v>99</v>
      </c>
      <c r="M214" s="890">
        <v>9</v>
      </c>
      <c r="N214" s="890">
        <v>3</v>
      </c>
      <c r="O214" s="890">
        <v>99999</v>
      </c>
      <c r="P214" s="233">
        <f t="shared" si="12"/>
        <v>0</v>
      </c>
      <c r="Q214" s="233">
        <f>Encargos!I20</f>
        <v>0</v>
      </c>
    </row>
    <row r="215" spans="1:17" ht="15.75">
      <c r="A215" s="890" t="s">
        <v>829</v>
      </c>
      <c r="B215" s="890" t="s">
        <v>1456</v>
      </c>
      <c r="C215" s="890" t="str">
        <f>Financeiros!C48</f>
        <v>CVE ccc</v>
      </c>
      <c r="D215" s="890">
        <v>2</v>
      </c>
      <c r="E215" s="890">
        <v>2</v>
      </c>
      <c r="F215" s="890">
        <f>Financeiros!F48</f>
        <v>22</v>
      </c>
      <c r="G215" s="890">
        <f>Financeiros!G48</f>
        <v>60</v>
      </c>
      <c r="H215" s="890">
        <f>Financeiros!H48</f>
        <v>241</v>
      </c>
      <c r="I215" s="890">
        <f>Financeiros!I48</f>
        <v>3</v>
      </c>
      <c r="J215" s="890">
        <f>Financeiros!J48</f>
        <v>13</v>
      </c>
      <c r="K215" s="890">
        <f>Financeiros!K48</f>
        <v>9</v>
      </c>
      <c r="L215" s="890">
        <v>99</v>
      </c>
      <c r="M215" s="890">
        <v>9</v>
      </c>
      <c r="N215" s="890">
        <v>3</v>
      </c>
      <c r="O215" s="890">
        <v>99999</v>
      </c>
      <c r="P215" s="989">
        <f t="shared" ref="P215" si="13">IF(ISNUMBER(Q215),Q215,0)</f>
        <v>0</v>
      </c>
      <c r="Q215" s="233">
        <f>Financeiros!D48</f>
        <v>0</v>
      </c>
    </row>
    <row r="216" spans="1:17" ht="15.75">
      <c r="A216" s="890" t="s">
        <v>829</v>
      </c>
      <c r="B216" s="890" t="s">
        <v>1456</v>
      </c>
      <c r="C216" s="890" t="str">
        <f>Financeiros!C49</f>
        <v>CVE cde</v>
      </c>
      <c r="D216" s="890">
        <v>2</v>
      </c>
      <c r="E216" s="890">
        <v>2</v>
      </c>
      <c r="F216" s="890">
        <f>Financeiros!F49</f>
        <v>22</v>
      </c>
      <c r="G216" s="890">
        <f>Financeiros!G49</f>
        <v>60</v>
      </c>
      <c r="H216" s="890">
        <f>Financeiros!H49</f>
        <v>241</v>
      </c>
      <c r="I216" s="890">
        <f>Financeiros!I49</f>
        <v>3</v>
      </c>
      <c r="J216" s="890">
        <f>Financeiros!J49</f>
        <v>15</v>
      </c>
      <c r="K216" s="890">
        <f>Financeiros!K49</f>
        <v>9</v>
      </c>
      <c r="L216" s="890">
        <v>99</v>
      </c>
      <c r="M216" s="890">
        <v>9</v>
      </c>
      <c r="N216" s="890">
        <v>3</v>
      </c>
      <c r="O216" s="890">
        <v>99999</v>
      </c>
      <c r="P216" s="989">
        <f t="shared" ref="P216:P275" si="14">IF(ISNUMBER(Q216),Q216,0)</f>
        <v>0</v>
      </c>
      <c r="Q216" s="233">
        <f>Financeiros!D49</f>
        <v>0</v>
      </c>
    </row>
    <row r="217" spans="1:17" ht="15.75">
      <c r="A217" s="890" t="s">
        <v>829</v>
      </c>
      <c r="B217" s="890" t="s">
        <v>1456</v>
      </c>
      <c r="C217" s="890" t="str">
        <f>Financeiros!C50</f>
        <v>CVE cde energia</v>
      </c>
      <c r="D217" s="890">
        <v>2</v>
      </c>
      <c r="E217" s="890">
        <v>2</v>
      </c>
      <c r="F217" s="890">
        <f>Financeiros!F50</f>
        <v>22</v>
      </c>
      <c r="G217" s="890">
        <f>Financeiros!G50</f>
        <v>60</v>
      </c>
      <c r="H217" s="890">
        <f>Financeiros!H50</f>
        <v>241</v>
      </c>
      <c r="I217" s="890">
        <f>Financeiros!I50</f>
        <v>3</v>
      </c>
      <c r="J217" s="890">
        <f>Financeiros!J50</f>
        <v>25</v>
      </c>
      <c r="K217" s="890">
        <f>Financeiros!K50</f>
        <v>9</v>
      </c>
      <c r="L217" s="890">
        <v>99</v>
      </c>
      <c r="M217" s="890">
        <v>9</v>
      </c>
      <c r="N217" s="890">
        <v>3</v>
      </c>
      <c r="O217" s="890">
        <v>99999</v>
      </c>
      <c r="P217" s="989">
        <f t="shared" si="14"/>
        <v>0</v>
      </c>
      <c r="Q217" s="233">
        <f>Financeiros!D50</f>
        <v>0</v>
      </c>
    </row>
    <row r="218" spans="1:17" ht="15.75">
      <c r="A218" s="890" t="s">
        <v>829</v>
      </c>
      <c r="B218" s="890" t="s">
        <v>1456</v>
      </c>
      <c r="C218" s="890" t="str">
        <f>Financeiros!C51</f>
        <v>CVE RB - Nodal</v>
      </c>
      <c r="D218" s="890">
        <v>2</v>
      </c>
      <c r="E218" s="890">
        <v>2</v>
      </c>
      <c r="F218" s="890">
        <f>Financeiros!F51</f>
        <v>22</v>
      </c>
      <c r="G218" s="890">
        <f>Financeiros!G51</f>
        <v>60</v>
      </c>
      <c r="H218" s="890">
        <f>Financeiros!H51</f>
        <v>241</v>
      </c>
      <c r="I218" s="890">
        <f>Financeiros!I51</f>
        <v>1</v>
      </c>
      <c r="J218" s="890">
        <f>Financeiros!J51</f>
        <v>1</v>
      </c>
      <c r="K218" s="890">
        <f>Financeiros!K51</f>
        <v>9</v>
      </c>
      <c r="L218" s="890">
        <v>99</v>
      </c>
      <c r="M218" s="890">
        <v>9</v>
      </c>
      <c r="N218" s="890">
        <v>3</v>
      </c>
      <c r="O218" s="890">
        <v>99999</v>
      </c>
      <c r="P218" s="989">
        <f t="shared" si="14"/>
        <v>0</v>
      </c>
      <c r="Q218" s="233">
        <f>Financeiros!D51</f>
        <v>0</v>
      </c>
    </row>
    <row r="219" spans="1:17" ht="15.75">
      <c r="A219" s="890" t="s">
        <v>829</v>
      </c>
      <c r="B219" s="890" t="s">
        <v>1456</v>
      </c>
      <c r="C219" s="890" t="str">
        <f>Financeiros!C52</f>
        <v>CVE RB - Fronteira</v>
      </c>
      <c r="D219" s="890">
        <v>2</v>
      </c>
      <c r="E219" s="890">
        <v>2</v>
      </c>
      <c r="F219" s="890">
        <f>Financeiros!F52</f>
        <v>22</v>
      </c>
      <c r="G219" s="890">
        <f>Financeiros!G52</f>
        <v>60</v>
      </c>
      <c r="H219" s="890">
        <f>Financeiros!H52</f>
        <v>241</v>
      </c>
      <c r="I219" s="890">
        <f>Financeiros!I52</f>
        <v>1</v>
      </c>
      <c r="J219" s="890">
        <f>Financeiros!J52</f>
        <v>1</v>
      </c>
      <c r="K219" s="890">
        <f>Financeiros!K52</f>
        <v>9</v>
      </c>
      <c r="L219" s="890">
        <v>99</v>
      </c>
      <c r="M219" s="890">
        <v>9</v>
      </c>
      <c r="N219" s="890">
        <v>3</v>
      </c>
      <c r="O219" s="890">
        <v>99999</v>
      </c>
      <c r="P219" s="989">
        <f t="shared" si="14"/>
        <v>0</v>
      </c>
      <c r="Q219" s="233">
        <f>Financeiros!D52</f>
        <v>0</v>
      </c>
    </row>
    <row r="220" spans="1:17" ht="15.75">
      <c r="A220" s="890" t="s">
        <v>829</v>
      </c>
      <c r="B220" s="890" t="s">
        <v>1456</v>
      </c>
      <c r="C220" s="890" t="str">
        <f>Financeiros!C53</f>
        <v>CVE RB - TUSDg EXP</v>
      </c>
      <c r="D220" s="890">
        <v>2</v>
      </c>
      <c r="E220" s="890">
        <v>2</v>
      </c>
      <c r="F220" s="890">
        <f>Financeiros!F53</f>
        <v>22</v>
      </c>
      <c r="G220" s="890">
        <f>Financeiros!G53</f>
        <v>60</v>
      </c>
      <c r="H220" s="890">
        <f>Financeiros!H53</f>
        <v>241</v>
      </c>
      <c r="I220" s="890">
        <f>Financeiros!I53</f>
        <v>1</v>
      </c>
      <c r="J220" s="890">
        <f>Financeiros!J53</f>
        <v>1</v>
      </c>
      <c r="K220" s="890">
        <f>Financeiros!K53</f>
        <v>9</v>
      </c>
      <c r="L220" s="890">
        <v>99</v>
      </c>
      <c r="M220" s="890">
        <v>9</v>
      </c>
      <c r="N220" s="890">
        <v>3</v>
      </c>
      <c r="O220" s="890">
        <v>99999</v>
      </c>
      <c r="P220" s="989">
        <f t="shared" si="14"/>
        <v>0</v>
      </c>
      <c r="Q220" s="233">
        <f>Financeiros!D53</f>
        <v>0</v>
      </c>
    </row>
    <row r="221" spans="1:17" ht="15.75">
      <c r="A221" s="890" t="s">
        <v>829</v>
      </c>
      <c r="B221" s="890" t="s">
        <v>1456</v>
      </c>
      <c r="C221" s="890" t="str">
        <f>Financeiros!C54</f>
        <v>CVE RB - TUSDg ONS</v>
      </c>
      <c r="D221" s="890">
        <v>2</v>
      </c>
      <c r="E221" s="890">
        <v>2</v>
      </c>
      <c r="F221" s="890">
        <f>Financeiros!F54</f>
        <v>22</v>
      </c>
      <c r="G221" s="890">
        <f>Financeiros!G54</f>
        <v>60</v>
      </c>
      <c r="H221" s="890">
        <f>Financeiros!H54</f>
        <v>241</v>
      </c>
      <c r="I221" s="890">
        <f>Financeiros!I54</f>
        <v>1</v>
      </c>
      <c r="J221" s="890">
        <f>Financeiros!J54</f>
        <v>1</v>
      </c>
      <c r="K221" s="890">
        <f>Financeiros!K54</f>
        <v>9</v>
      </c>
      <c r="L221" s="890">
        <v>99</v>
      </c>
      <c r="M221" s="890">
        <v>9</v>
      </c>
      <c r="N221" s="890">
        <v>3</v>
      </c>
      <c r="O221" s="890">
        <v>99999</v>
      </c>
      <c r="P221" s="989">
        <f t="shared" si="14"/>
        <v>0</v>
      </c>
      <c r="Q221" s="233">
        <f>Financeiros!D54</f>
        <v>0</v>
      </c>
    </row>
    <row r="222" spans="1:17" ht="15.75">
      <c r="A222" s="890" t="s">
        <v>829</v>
      </c>
      <c r="B222" s="890" t="s">
        <v>1456</v>
      </c>
      <c r="C222" s="890" t="str">
        <f>Financeiros!C55</f>
        <v>CVE RB - EUST Itaipu</v>
      </c>
      <c r="D222" s="890">
        <v>2</v>
      </c>
      <c r="E222" s="890">
        <v>2</v>
      </c>
      <c r="F222" s="890">
        <f>Financeiros!F55</f>
        <v>22</v>
      </c>
      <c r="G222" s="890">
        <f>Financeiros!G55</f>
        <v>60</v>
      </c>
      <c r="H222" s="890">
        <f>Financeiros!H55</f>
        <v>241</v>
      </c>
      <c r="I222" s="890">
        <f>Financeiros!I55</f>
        <v>1</v>
      </c>
      <c r="J222" s="890">
        <f>Financeiros!J55</f>
        <v>1</v>
      </c>
      <c r="K222" s="890">
        <f>Financeiros!K55</f>
        <v>9</v>
      </c>
      <c r="L222" s="890">
        <v>99</v>
      </c>
      <c r="M222" s="890">
        <v>9</v>
      </c>
      <c r="N222" s="890">
        <v>3</v>
      </c>
      <c r="O222" s="890">
        <v>99999</v>
      </c>
      <c r="P222" s="989">
        <f t="shared" si="14"/>
        <v>0</v>
      </c>
      <c r="Q222" s="233">
        <f>Financeiros!D55</f>
        <v>0</v>
      </c>
    </row>
    <row r="223" spans="1:17" ht="15.75">
      <c r="A223" s="890" t="s">
        <v>829</v>
      </c>
      <c r="B223" s="890" t="s">
        <v>1456</v>
      </c>
      <c r="C223" s="890" t="str">
        <f>Financeiros!C56</f>
        <v>CVE- Transporte Itaipu</v>
      </c>
      <c r="D223" s="890">
        <v>2</v>
      </c>
      <c r="E223" s="890">
        <v>2</v>
      </c>
      <c r="F223" s="890">
        <f>Financeiros!F56</f>
        <v>22</v>
      </c>
      <c r="G223" s="890">
        <f>Financeiros!G56</f>
        <v>60</v>
      </c>
      <c r="H223" s="890">
        <f>Financeiros!H56</f>
        <v>241</v>
      </c>
      <c r="I223" s="890">
        <f>Financeiros!I56</f>
        <v>1</v>
      </c>
      <c r="J223" s="890">
        <f>Financeiros!J56</f>
        <v>21</v>
      </c>
      <c r="K223" s="890">
        <f>Financeiros!K56</f>
        <v>9</v>
      </c>
      <c r="L223" s="890">
        <v>99</v>
      </c>
      <c r="M223" s="890">
        <v>9</v>
      </c>
      <c r="N223" s="890">
        <v>3</v>
      </c>
      <c r="O223" s="890">
        <v>99999</v>
      </c>
      <c r="P223" s="989">
        <f t="shared" si="14"/>
        <v>0</v>
      </c>
      <c r="Q223" s="233">
        <f>Financeiros!D56</f>
        <v>0</v>
      </c>
    </row>
    <row r="224" spans="1:17" ht="15.75">
      <c r="A224" s="890" t="s">
        <v>829</v>
      </c>
      <c r="B224" s="890" t="s">
        <v>1456</v>
      </c>
      <c r="C224" s="890" t="str">
        <f>Financeiros!C57</f>
        <v>CVE - Energia - Energia de Revenda</v>
      </c>
      <c r="D224" s="890">
        <v>2</v>
      </c>
      <c r="E224" s="890">
        <v>2</v>
      </c>
      <c r="F224" s="890">
        <f>Financeiros!F57</f>
        <v>22</v>
      </c>
      <c r="G224" s="890">
        <f>Financeiros!G57</f>
        <v>60</v>
      </c>
      <c r="H224" s="890">
        <f>Financeiros!H57</f>
        <v>241</v>
      </c>
      <c r="I224" s="890">
        <f>Financeiros!I57</f>
        <v>2</v>
      </c>
      <c r="J224" s="890">
        <f>Financeiros!J57</f>
        <v>11</v>
      </c>
      <c r="K224" s="890">
        <f>Financeiros!K57</f>
        <v>9</v>
      </c>
      <c r="L224" s="890">
        <v>99</v>
      </c>
      <c r="M224" s="890">
        <v>9</v>
      </c>
      <c r="N224" s="890">
        <v>3</v>
      </c>
      <c r="O224" s="890">
        <v>99999</v>
      </c>
      <c r="P224" s="989">
        <f t="shared" ca="1" si="14"/>
        <v>0</v>
      </c>
      <c r="Q224" s="233">
        <f ca="1">Financeiros!D57</f>
        <v>0</v>
      </c>
    </row>
    <row r="225" spans="1:17" ht="15.75">
      <c r="A225" s="890" t="s">
        <v>829</v>
      </c>
      <c r="B225" s="890" t="s">
        <v>1456</v>
      </c>
      <c r="C225" s="890" t="str">
        <f>Financeiros!C58</f>
        <v>CVE - Energia - Perda Não Técnica</v>
      </c>
      <c r="D225" s="890">
        <v>2</v>
      </c>
      <c r="E225" s="890">
        <v>2</v>
      </c>
      <c r="F225" s="890">
        <f>Financeiros!F58</f>
        <v>22</v>
      </c>
      <c r="G225" s="890">
        <f>Financeiros!G58</f>
        <v>60</v>
      </c>
      <c r="H225" s="890">
        <f>Financeiros!H58</f>
        <v>241</v>
      </c>
      <c r="I225" s="890">
        <f>Financeiros!I58</f>
        <v>2</v>
      </c>
      <c r="J225" s="890">
        <f>Financeiros!J58</f>
        <v>9</v>
      </c>
      <c r="K225" s="890">
        <f>Financeiros!K58</f>
        <v>9</v>
      </c>
      <c r="L225" s="890">
        <v>99</v>
      </c>
      <c r="M225" s="890">
        <v>9</v>
      </c>
      <c r="N225" s="890">
        <v>3</v>
      </c>
      <c r="O225" s="890">
        <v>99999</v>
      </c>
      <c r="P225" s="989">
        <f t="shared" ca="1" si="14"/>
        <v>0</v>
      </c>
      <c r="Q225" s="233">
        <f ca="1">Financeiros!D58</f>
        <v>0</v>
      </c>
    </row>
    <row r="226" spans="1:17" ht="15.75">
      <c r="A226" s="890" t="s">
        <v>829</v>
      </c>
      <c r="B226" s="890" t="s">
        <v>1456</v>
      </c>
      <c r="C226" s="890" t="str">
        <f>Financeiros!C59</f>
        <v>CVE - Energia - Perda Técnica</v>
      </c>
      <c r="D226" s="890">
        <v>2</v>
      </c>
      <c r="E226" s="890">
        <v>2</v>
      </c>
      <c r="F226" s="890">
        <f>Financeiros!F59</f>
        <v>22</v>
      </c>
      <c r="G226" s="890">
        <f>Financeiros!G59</f>
        <v>60</v>
      </c>
      <c r="H226" s="890">
        <f>Financeiros!H59</f>
        <v>241</v>
      </c>
      <c r="I226" s="890">
        <f>Financeiros!I59</f>
        <v>2</v>
      </c>
      <c r="J226" s="890">
        <f>Financeiros!J59</f>
        <v>8</v>
      </c>
      <c r="K226" s="890">
        <f>Financeiros!K59</f>
        <v>9</v>
      </c>
      <c r="L226" s="890">
        <v>99</v>
      </c>
      <c r="M226" s="890">
        <v>9</v>
      </c>
      <c r="N226" s="890">
        <v>3</v>
      </c>
      <c r="O226" s="890">
        <v>99999</v>
      </c>
      <c r="P226" s="989">
        <f t="shared" ca="1" si="14"/>
        <v>0</v>
      </c>
      <c r="Q226" s="233">
        <f ca="1">Financeiros!D59</f>
        <v>0</v>
      </c>
    </row>
    <row r="227" spans="1:17" ht="15.75">
      <c r="A227" s="890" t="s">
        <v>829</v>
      </c>
      <c r="B227" s="890" t="s">
        <v>1456</v>
      </c>
      <c r="C227" s="890" t="str">
        <f>Financeiros!C60</f>
        <v>CVE - Energia -  Perda de RB sobre a distribuição</v>
      </c>
      <c r="D227" s="890">
        <v>2</v>
      </c>
      <c r="E227" s="890">
        <v>2</v>
      </c>
      <c r="F227" s="890">
        <f>Financeiros!F60</f>
        <v>22</v>
      </c>
      <c r="G227" s="890">
        <f>Financeiros!G60</f>
        <v>60</v>
      </c>
      <c r="H227" s="890">
        <f>Financeiros!H60</f>
        <v>241</v>
      </c>
      <c r="I227" s="890">
        <f>Financeiros!I60</f>
        <v>2</v>
      </c>
      <c r="J227" s="890">
        <f>Financeiros!J60</f>
        <v>10</v>
      </c>
      <c r="K227" s="890">
        <f>Financeiros!K60</f>
        <v>9</v>
      </c>
      <c r="L227" s="890">
        <v>99</v>
      </c>
      <c r="M227" s="890">
        <v>9</v>
      </c>
      <c r="N227" s="890">
        <v>3</v>
      </c>
      <c r="O227" s="890">
        <v>99999</v>
      </c>
      <c r="P227" s="989">
        <f t="shared" ca="1" si="14"/>
        <v>0</v>
      </c>
      <c r="Q227" s="233">
        <f ca="1">Financeiros!D60</f>
        <v>0</v>
      </c>
    </row>
    <row r="228" spans="1:17" ht="15.75">
      <c r="A228" s="890" t="s">
        <v>829</v>
      </c>
      <c r="B228" s="890" t="s">
        <v>1456</v>
      </c>
      <c r="C228" s="890" t="str">
        <f>Financeiros!C61</f>
        <v>CVE - Energia -  Perda de RB sobre o mercado cativo</v>
      </c>
      <c r="D228" s="890">
        <v>2</v>
      </c>
      <c r="E228" s="890">
        <v>2</v>
      </c>
      <c r="F228" s="890">
        <f>Financeiros!F61</f>
        <v>22</v>
      </c>
      <c r="G228" s="890">
        <f>Financeiros!G61</f>
        <v>60</v>
      </c>
      <c r="H228" s="890">
        <f>Financeiros!H61</f>
        <v>241</v>
      </c>
      <c r="I228" s="890">
        <f>Financeiros!I61</f>
        <v>2</v>
      </c>
      <c r="J228" s="890">
        <f>Financeiros!J61</f>
        <v>24</v>
      </c>
      <c r="K228" s="890">
        <f>Financeiros!K61</f>
        <v>9</v>
      </c>
      <c r="L228" s="890">
        <v>99</v>
      </c>
      <c r="M228" s="890">
        <v>9</v>
      </c>
      <c r="N228" s="890">
        <v>3</v>
      </c>
      <c r="O228" s="890">
        <v>99999</v>
      </c>
      <c r="P228" s="989">
        <f t="shared" ca="1" si="14"/>
        <v>0</v>
      </c>
      <c r="Q228" s="233">
        <f ca="1">Financeiros!D61</f>
        <v>0</v>
      </c>
    </row>
    <row r="229" spans="1:17" ht="15.75">
      <c r="A229" s="890" t="s">
        <v>829</v>
      </c>
      <c r="B229" s="890" t="s">
        <v>1456</v>
      </c>
      <c r="C229" s="890" t="str">
        <f>Financeiros!C62</f>
        <v>CVE - Encargos - PROINFA</v>
      </c>
      <c r="D229" s="890">
        <v>2</v>
      </c>
      <c r="E229" s="890">
        <v>2</v>
      </c>
      <c r="F229" s="890">
        <f>Financeiros!F62</f>
        <v>22</v>
      </c>
      <c r="G229" s="890">
        <f>Financeiros!G62</f>
        <v>60</v>
      </c>
      <c r="H229" s="890">
        <f>Financeiros!H62</f>
        <v>241</v>
      </c>
      <c r="I229" s="890">
        <f>Financeiros!I62</f>
        <v>3</v>
      </c>
      <c r="J229" s="890">
        <f>Financeiros!J62</f>
        <v>18</v>
      </c>
      <c r="K229" s="890">
        <f>Financeiros!K62</f>
        <v>9</v>
      </c>
      <c r="L229" s="890">
        <v>99</v>
      </c>
      <c r="M229" s="890">
        <v>9</v>
      </c>
      <c r="N229" s="890">
        <v>3</v>
      </c>
      <c r="O229" s="890">
        <v>99999</v>
      </c>
      <c r="P229" s="989">
        <f t="shared" ca="1" si="14"/>
        <v>0</v>
      </c>
      <c r="Q229" s="233">
        <f ca="1">Financeiros!D62</f>
        <v>0</v>
      </c>
    </row>
    <row r="230" spans="1:17" ht="15.75">
      <c r="A230" s="890" t="s">
        <v>829</v>
      </c>
      <c r="B230" s="890" t="s">
        <v>1456</v>
      </c>
      <c r="C230" s="890" t="str">
        <f>Financeiros!C63</f>
        <v>CVE - Encargos - CFURH</v>
      </c>
      <c r="D230" s="890">
        <v>2</v>
      </c>
      <c r="E230" s="890">
        <v>2</v>
      </c>
      <c r="F230" s="890">
        <f>Financeiros!F63</f>
        <v>22</v>
      </c>
      <c r="G230" s="890">
        <f>Financeiros!G63</f>
        <v>60</v>
      </c>
      <c r="H230" s="890">
        <f>Financeiros!H63</f>
        <v>241</v>
      </c>
      <c r="I230" s="890">
        <f>Financeiros!I63</f>
        <v>3</v>
      </c>
      <c r="J230" s="890">
        <f>Financeiros!J63</f>
        <v>16</v>
      </c>
      <c r="K230" s="890">
        <f>Financeiros!K63</f>
        <v>9</v>
      </c>
      <c r="L230" s="890">
        <v>99</v>
      </c>
      <c r="M230" s="890">
        <v>9</v>
      </c>
      <c r="N230" s="890">
        <v>3</v>
      </c>
      <c r="O230" s="890">
        <v>99999</v>
      </c>
      <c r="P230" s="989">
        <f t="shared" si="14"/>
        <v>0</v>
      </c>
      <c r="Q230" s="233">
        <f>Financeiros!D63</f>
        <v>0</v>
      </c>
    </row>
    <row r="231" spans="1:17" ht="15.75">
      <c r="A231" s="890" t="s">
        <v>829</v>
      </c>
      <c r="B231" s="890" t="s">
        <v>1456</v>
      </c>
      <c r="C231" s="890" t="str">
        <f>Financeiros!C64</f>
        <v>CVE - Encargos - ESS/EER</v>
      </c>
      <c r="D231" s="890">
        <v>2</v>
      </c>
      <c r="E231" s="890">
        <v>2</v>
      </c>
      <c r="F231" s="890">
        <f>Financeiros!F64</f>
        <v>22</v>
      </c>
      <c r="G231" s="890">
        <f>Financeiros!G64</f>
        <v>60</v>
      </c>
      <c r="H231" s="890">
        <f>Financeiros!H64</f>
        <v>241</v>
      </c>
      <c r="I231" s="890">
        <f>Financeiros!I64</f>
        <v>3</v>
      </c>
      <c r="J231" s="890">
        <f>Financeiros!J64</f>
        <v>17</v>
      </c>
      <c r="K231" s="890">
        <f>Financeiros!K64</f>
        <v>9</v>
      </c>
      <c r="L231" s="890">
        <v>99</v>
      </c>
      <c r="M231" s="890">
        <v>9</v>
      </c>
      <c r="N231" s="890">
        <v>3</v>
      </c>
      <c r="O231" s="890">
        <v>99999</v>
      </c>
      <c r="P231" s="989">
        <f t="shared" si="14"/>
        <v>0</v>
      </c>
      <c r="Q231" s="233">
        <f>Financeiros!D64</f>
        <v>0</v>
      </c>
    </row>
    <row r="232" spans="1:17" ht="15.75">
      <c r="A232" s="890" t="s">
        <v>829</v>
      </c>
      <c r="B232" s="890" t="s">
        <v>1456</v>
      </c>
      <c r="C232" s="890" t="str">
        <f>Financeiros!C65</f>
        <v>Conta Escassez H. - Importação julho- agosto/2021 - RTA 2022 - Energia de Revenda</v>
      </c>
      <c r="D232" s="890">
        <v>2</v>
      </c>
      <c r="E232" s="890">
        <v>2</v>
      </c>
      <c r="F232" s="890">
        <f>Financeiros!F65</f>
        <v>22</v>
      </c>
      <c r="G232" s="890">
        <f>Financeiros!G65</f>
        <v>60</v>
      </c>
      <c r="H232" s="890">
        <f>Financeiros!H65</f>
        <v>240</v>
      </c>
      <c r="I232" s="890">
        <f>Financeiros!I65</f>
        <v>2</v>
      </c>
      <c r="J232" s="890">
        <f>Financeiros!J65</f>
        <v>11</v>
      </c>
      <c r="K232" s="890">
        <f>Financeiros!K65</f>
        <v>9</v>
      </c>
      <c r="L232" s="890">
        <v>99</v>
      </c>
      <c r="M232" s="890">
        <v>9</v>
      </c>
      <c r="N232" s="890">
        <v>3</v>
      </c>
      <c r="O232" s="890">
        <v>99999</v>
      </c>
      <c r="P232" s="989">
        <f t="shared" ca="1" si="14"/>
        <v>0</v>
      </c>
      <c r="Q232" s="233">
        <f ca="1">Financeiros!D65</f>
        <v>0</v>
      </c>
    </row>
    <row r="233" spans="1:17" ht="15.75">
      <c r="A233" s="890" t="s">
        <v>829</v>
      </c>
      <c r="B233" s="890" t="s">
        <v>1456</v>
      </c>
      <c r="C233" s="890" t="str">
        <f>Financeiros!C66</f>
        <v>Conta Escassez H. - Importação julho- agosto/2021 - RTA 2022 - Perda Não Técnica</v>
      </c>
      <c r="D233" s="890">
        <v>2</v>
      </c>
      <c r="E233" s="890">
        <v>2</v>
      </c>
      <c r="F233" s="890">
        <f>Financeiros!F66</f>
        <v>22</v>
      </c>
      <c r="G233" s="890">
        <f>Financeiros!G66</f>
        <v>60</v>
      </c>
      <c r="H233" s="890">
        <f>Financeiros!H66</f>
        <v>240</v>
      </c>
      <c r="I233" s="890">
        <f>Financeiros!I66</f>
        <v>2</v>
      </c>
      <c r="J233" s="890">
        <f>Financeiros!J66</f>
        <v>9</v>
      </c>
      <c r="K233" s="890">
        <f>Financeiros!K66</f>
        <v>9</v>
      </c>
      <c r="L233" s="890">
        <v>99</v>
      </c>
      <c r="M233" s="890">
        <v>9</v>
      </c>
      <c r="N233" s="890">
        <v>3</v>
      </c>
      <c r="O233" s="890">
        <v>99999</v>
      </c>
      <c r="P233" s="989">
        <f t="shared" ca="1" si="14"/>
        <v>0</v>
      </c>
      <c r="Q233" s="233">
        <f ca="1">Financeiros!D66</f>
        <v>0</v>
      </c>
    </row>
    <row r="234" spans="1:17" ht="15.75">
      <c r="A234" s="890" t="s">
        <v>829</v>
      </c>
      <c r="B234" s="890" t="s">
        <v>1456</v>
      </c>
      <c r="C234" s="890" t="str">
        <f>Financeiros!C67</f>
        <v>Conta Escassez H. - Importação julho- agosto/2021 - RTA 2022 - Perda Técnica</v>
      </c>
      <c r="D234" s="890">
        <v>2</v>
      </c>
      <c r="E234" s="890">
        <v>2</v>
      </c>
      <c r="F234" s="890">
        <f>Financeiros!F67</f>
        <v>22</v>
      </c>
      <c r="G234" s="890">
        <f>Financeiros!G67</f>
        <v>60</v>
      </c>
      <c r="H234" s="890">
        <f>Financeiros!H67</f>
        <v>240</v>
      </c>
      <c r="I234" s="890">
        <f>Financeiros!I67</f>
        <v>2</v>
      </c>
      <c r="J234" s="890">
        <f>Financeiros!J67</f>
        <v>8</v>
      </c>
      <c r="K234" s="890">
        <f>Financeiros!K67</f>
        <v>9</v>
      </c>
      <c r="L234" s="890">
        <v>99</v>
      </c>
      <c r="M234" s="890">
        <v>9</v>
      </c>
      <c r="N234" s="890">
        <v>3</v>
      </c>
      <c r="O234" s="890">
        <v>99999</v>
      </c>
      <c r="P234" s="989">
        <f t="shared" ca="1" si="14"/>
        <v>0</v>
      </c>
      <c r="Q234" s="233">
        <f ca="1">Financeiros!D67</f>
        <v>0</v>
      </c>
    </row>
    <row r="235" spans="1:17" ht="15.75">
      <c r="A235" s="890" t="s">
        <v>829</v>
      </c>
      <c r="B235" s="890" t="s">
        <v>1456</v>
      </c>
      <c r="C235" s="890" t="str">
        <f>Financeiros!C68</f>
        <v>Conta Escassez H. - Importação julho- agosto/2021 - RTA 2022 - Perda RB Perda RB sobre Dist.</v>
      </c>
      <c r="D235" s="890">
        <v>2</v>
      </c>
      <c r="E235" s="890">
        <v>2</v>
      </c>
      <c r="F235" s="890">
        <f>Financeiros!F68</f>
        <v>22</v>
      </c>
      <c r="G235" s="890">
        <f>Financeiros!G68</f>
        <v>60</v>
      </c>
      <c r="H235" s="890">
        <f>Financeiros!H68</f>
        <v>240</v>
      </c>
      <c r="I235" s="890">
        <f>Financeiros!I68</f>
        <v>2</v>
      </c>
      <c r="J235" s="890">
        <f>Financeiros!J68</f>
        <v>10</v>
      </c>
      <c r="K235" s="890">
        <f>Financeiros!K68</f>
        <v>9</v>
      </c>
      <c r="L235" s="890">
        <v>99</v>
      </c>
      <c r="M235" s="890">
        <v>9</v>
      </c>
      <c r="N235" s="890">
        <v>3</v>
      </c>
      <c r="O235" s="890">
        <v>99999</v>
      </c>
      <c r="P235" s="989">
        <f t="shared" ca="1" si="14"/>
        <v>0</v>
      </c>
      <c r="Q235" s="233">
        <f ca="1">Financeiros!D68</f>
        <v>0</v>
      </c>
    </row>
    <row r="236" spans="1:17" ht="15.75">
      <c r="A236" s="890" t="s">
        <v>829</v>
      </c>
      <c r="B236" s="890" t="s">
        <v>1456</v>
      </c>
      <c r="C236" s="890" t="str">
        <f>Financeiros!C69</f>
        <v>Conta Escassez H. - Importação julho- agosto/2021 - RTA 2022 - Perda RB sobre Merc. Cat.</v>
      </c>
      <c r="D236" s="890">
        <v>2</v>
      </c>
      <c r="E236" s="890">
        <v>2</v>
      </c>
      <c r="F236" s="890">
        <f>Financeiros!F69</f>
        <v>22</v>
      </c>
      <c r="G236" s="890">
        <f>Financeiros!G69</f>
        <v>60</v>
      </c>
      <c r="H236" s="890">
        <f>Financeiros!H69</f>
        <v>240</v>
      </c>
      <c r="I236" s="890">
        <f>Financeiros!I69</f>
        <v>2</v>
      </c>
      <c r="J236" s="890">
        <f>Financeiros!J69</f>
        <v>24</v>
      </c>
      <c r="K236" s="890">
        <f>Financeiros!K69</f>
        <v>9</v>
      </c>
      <c r="L236" s="890">
        <v>99</v>
      </c>
      <c r="M236" s="890">
        <v>9</v>
      </c>
      <c r="N236" s="890">
        <v>3</v>
      </c>
      <c r="O236" s="890">
        <v>99999</v>
      </c>
      <c r="P236" s="989">
        <f t="shared" ca="1" si="14"/>
        <v>0</v>
      </c>
      <c r="Q236" s="233">
        <f ca="1">Financeiros!D69</f>
        <v>0</v>
      </c>
    </row>
    <row r="237" spans="1:17" ht="15.75">
      <c r="A237" s="890" t="s">
        <v>829</v>
      </c>
      <c r="B237" s="890" t="s">
        <v>1456</v>
      </c>
      <c r="C237" s="890" t="str">
        <f>Financeiros!C70</f>
        <v>Conta Escassez H. - Bônus Redução Voluntária</v>
      </c>
      <c r="D237" s="890">
        <v>2</v>
      </c>
      <c r="E237" s="890">
        <v>2</v>
      </c>
      <c r="F237" s="890">
        <f>Financeiros!F70</f>
        <v>22</v>
      </c>
      <c r="G237" s="890">
        <f>Financeiros!G70</f>
        <v>60</v>
      </c>
      <c r="H237" s="890">
        <f>Financeiros!H70</f>
        <v>240</v>
      </c>
      <c r="I237" s="890">
        <f>Financeiros!I70</f>
        <v>3</v>
      </c>
      <c r="J237" s="890">
        <f>Financeiros!J70</f>
        <v>17</v>
      </c>
      <c r="K237" s="890">
        <f>Financeiros!K70</f>
        <v>9</v>
      </c>
      <c r="L237" s="890">
        <v>99</v>
      </c>
      <c r="M237" s="890">
        <v>9</v>
      </c>
      <c r="N237" s="890">
        <v>3</v>
      </c>
      <c r="O237" s="890">
        <v>99999</v>
      </c>
      <c r="P237" s="989">
        <f t="shared" si="14"/>
        <v>0</v>
      </c>
      <c r="Q237" s="233">
        <f>Financeiros!D70</f>
        <v>0</v>
      </c>
    </row>
    <row r="238" spans="1:17" ht="15.75">
      <c r="A238" s="890" t="s">
        <v>829</v>
      </c>
      <c r="B238" s="890" t="s">
        <v>1456</v>
      </c>
      <c r="C238" s="890" t="str">
        <f>Financeiros!C71</f>
        <v>Conta Escassez H. - Diferimento de energia - RTA 2022 - Energia de Revenda</v>
      </c>
      <c r="D238" s="890">
        <v>2</v>
      </c>
      <c r="E238" s="890">
        <v>2</v>
      </c>
      <c r="F238" s="890">
        <f>Financeiros!F71</f>
        <v>22</v>
      </c>
      <c r="G238" s="890">
        <f>Financeiros!G71</f>
        <v>60</v>
      </c>
      <c r="H238" s="890">
        <f>Financeiros!H71</f>
        <v>240</v>
      </c>
      <c r="I238" s="890">
        <f>Financeiros!I71</f>
        <v>2</v>
      </c>
      <c r="J238" s="890">
        <f>Financeiros!J71</f>
        <v>11</v>
      </c>
      <c r="K238" s="890">
        <f>Financeiros!K71</f>
        <v>9</v>
      </c>
      <c r="L238" s="890">
        <v>99</v>
      </c>
      <c r="M238" s="890">
        <v>9</v>
      </c>
      <c r="N238" s="890">
        <v>3</v>
      </c>
      <c r="O238" s="890">
        <v>99999</v>
      </c>
      <c r="P238" s="989">
        <f t="shared" ca="1" si="14"/>
        <v>0</v>
      </c>
      <c r="Q238" s="233">
        <f ca="1">Financeiros!D71</f>
        <v>0</v>
      </c>
    </row>
    <row r="239" spans="1:17" ht="15.75">
      <c r="A239" s="890" t="s">
        <v>829</v>
      </c>
      <c r="B239" s="890" t="s">
        <v>1456</v>
      </c>
      <c r="C239" s="890" t="str">
        <f>Financeiros!C72</f>
        <v>Conta Escassez H. - Diferimento de energia - RTA 2022 - Perda Não Técnica</v>
      </c>
      <c r="D239" s="890">
        <v>2</v>
      </c>
      <c r="E239" s="890">
        <v>2</v>
      </c>
      <c r="F239" s="890">
        <f>Financeiros!F72</f>
        <v>22</v>
      </c>
      <c r="G239" s="890">
        <f>Financeiros!G72</f>
        <v>60</v>
      </c>
      <c r="H239" s="890">
        <f>Financeiros!H72</f>
        <v>240</v>
      </c>
      <c r="I239" s="890">
        <f>Financeiros!I72</f>
        <v>2</v>
      </c>
      <c r="J239" s="890">
        <f>Financeiros!J72</f>
        <v>9</v>
      </c>
      <c r="K239" s="890">
        <f>Financeiros!K72</f>
        <v>9</v>
      </c>
      <c r="L239" s="890">
        <v>99</v>
      </c>
      <c r="M239" s="890">
        <v>9</v>
      </c>
      <c r="N239" s="890">
        <v>3</v>
      </c>
      <c r="O239" s="890">
        <v>99999</v>
      </c>
      <c r="P239" s="989">
        <f t="shared" ca="1" si="14"/>
        <v>0</v>
      </c>
      <c r="Q239" s="233">
        <f ca="1">Financeiros!D72</f>
        <v>0</v>
      </c>
    </row>
    <row r="240" spans="1:17" ht="15.75">
      <c r="A240" s="890" t="s">
        <v>829</v>
      </c>
      <c r="B240" s="890" t="s">
        <v>1456</v>
      </c>
      <c r="C240" s="890" t="str">
        <f>Financeiros!C73</f>
        <v>Conta Escassez H. - Diferimento de energia - RTA 2022 - Perda Técnica</v>
      </c>
      <c r="D240" s="890">
        <v>2</v>
      </c>
      <c r="E240" s="890">
        <v>2</v>
      </c>
      <c r="F240" s="890">
        <f>Financeiros!F73</f>
        <v>22</v>
      </c>
      <c r="G240" s="890">
        <f>Financeiros!G73</f>
        <v>60</v>
      </c>
      <c r="H240" s="890">
        <f>Financeiros!H73</f>
        <v>240</v>
      </c>
      <c r="I240" s="890">
        <f>Financeiros!I73</f>
        <v>2</v>
      </c>
      <c r="J240" s="890">
        <f>Financeiros!J73</f>
        <v>8</v>
      </c>
      <c r="K240" s="890">
        <f>Financeiros!K73</f>
        <v>9</v>
      </c>
      <c r="L240" s="890">
        <v>99</v>
      </c>
      <c r="M240" s="890">
        <v>9</v>
      </c>
      <c r="N240" s="890">
        <v>3</v>
      </c>
      <c r="O240" s="890">
        <v>99999</v>
      </c>
      <c r="P240" s="989">
        <f t="shared" ca="1" si="14"/>
        <v>0</v>
      </c>
      <c r="Q240" s="233">
        <f ca="1">Financeiros!D73</f>
        <v>0</v>
      </c>
    </row>
    <row r="241" spans="1:17" ht="15.75">
      <c r="A241" s="890" t="s">
        <v>829</v>
      </c>
      <c r="B241" s="890" t="s">
        <v>1456</v>
      </c>
      <c r="C241" s="890" t="str">
        <f>Financeiros!C74</f>
        <v>Conta Escassez H. - Diferimento de energia - RTA 2022 - Perda RB Perda RB sobre Dist.</v>
      </c>
      <c r="D241" s="890">
        <v>2</v>
      </c>
      <c r="E241" s="890">
        <v>2</v>
      </c>
      <c r="F241" s="890">
        <f>Financeiros!F74</f>
        <v>22</v>
      </c>
      <c r="G241" s="890">
        <f>Financeiros!G74</f>
        <v>60</v>
      </c>
      <c r="H241" s="890">
        <f>Financeiros!H74</f>
        <v>240</v>
      </c>
      <c r="I241" s="890">
        <f>Financeiros!I74</f>
        <v>2</v>
      </c>
      <c r="J241" s="890">
        <f>Financeiros!J74</f>
        <v>10</v>
      </c>
      <c r="K241" s="890">
        <f>Financeiros!K74</f>
        <v>9</v>
      </c>
      <c r="L241" s="890">
        <v>99</v>
      </c>
      <c r="M241" s="890">
        <v>9</v>
      </c>
      <c r="N241" s="890">
        <v>3</v>
      </c>
      <c r="O241" s="890">
        <v>99999</v>
      </c>
      <c r="P241" s="989">
        <f t="shared" ca="1" si="14"/>
        <v>0</v>
      </c>
      <c r="Q241" s="233">
        <f ca="1">Financeiros!D74</f>
        <v>0</v>
      </c>
    </row>
    <row r="242" spans="1:17" ht="15.75">
      <c r="A242" s="890" t="s">
        <v>829</v>
      </c>
      <c r="B242" s="890" t="s">
        <v>1456</v>
      </c>
      <c r="C242" s="890" t="str">
        <f>Financeiros!C75</f>
        <v>Conta Escassez H. - Diferimento de energia - RTA 2022 - Perda RB sobre Merc. Cat.</v>
      </c>
      <c r="D242" s="890">
        <v>2</v>
      </c>
      <c r="E242" s="890">
        <v>2</v>
      </c>
      <c r="F242" s="890">
        <f>Financeiros!F75</f>
        <v>22</v>
      </c>
      <c r="G242" s="890">
        <f>Financeiros!G75</f>
        <v>60</v>
      </c>
      <c r="H242" s="890">
        <f>Financeiros!H75</f>
        <v>240</v>
      </c>
      <c r="I242" s="890">
        <f>Financeiros!I75</f>
        <v>2</v>
      </c>
      <c r="J242" s="890">
        <f>Financeiros!J75</f>
        <v>24</v>
      </c>
      <c r="K242" s="890">
        <f>Financeiros!K75</f>
        <v>9</v>
      </c>
      <c r="L242" s="890">
        <v>99</v>
      </c>
      <c r="M242" s="890">
        <v>9</v>
      </c>
      <c r="N242" s="890">
        <v>3</v>
      </c>
      <c r="O242" s="890">
        <v>99999</v>
      </c>
      <c r="P242" s="989">
        <f t="shared" ca="1" si="14"/>
        <v>0</v>
      </c>
      <c r="Q242" s="233">
        <f ca="1">Financeiros!D75</f>
        <v>0</v>
      </c>
    </row>
    <row r="243" spans="1:17" ht="15.75">
      <c r="A243" s="890" t="s">
        <v>829</v>
      </c>
      <c r="B243" s="890" t="s">
        <v>1456</v>
      </c>
      <c r="C243" s="890">
        <f>Financeiros!C76</f>
        <v>0</v>
      </c>
      <c r="D243" s="890">
        <v>2</v>
      </c>
      <c r="E243" s="890">
        <v>2</v>
      </c>
      <c r="F243" s="890">
        <v>999</v>
      </c>
      <c r="G243" s="890">
        <v>999999</v>
      </c>
      <c r="H243" s="890">
        <v>999</v>
      </c>
      <c r="I243" s="890">
        <v>99</v>
      </c>
      <c r="J243" s="890">
        <v>999</v>
      </c>
      <c r="K243" s="890">
        <v>9</v>
      </c>
      <c r="L243" s="890">
        <v>99</v>
      </c>
      <c r="M243" s="890">
        <v>9</v>
      </c>
      <c r="N243" s="890">
        <v>3</v>
      </c>
      <c r="O243" s="890">
        <v>99999</v>
      </c>
      <c r="P243" s="989">
        <f t="shared" si="14"/>
        <v>0</v>
      </c>
      <c r="Q243" s="233">
        <f>Financeiros!D76</f>
        <v>0</v>
      </c>
    </row>
    <row r="244" spans="1:17" ht="15.75">
      <c r="A244" s="890" t="s">
        <v>829</v>
      </c>
      <c r="B244" s="890" t="s">
        <v>1456</v>
      </c>
      <c r="C244" s="890">
        <f>Financeiros!C77</f>
        <v>0</v>
      </c>
      <c r="D244" s="890">
        <v>2</v>
      </c>
      <c r="E244" s="890">
        <v>2</v>
      </c>
      <c r="F244" s="890">
        <v>999</v>
      </c>
      <c r="G244" s="890">
        <v>999999</v>
      </c>
      <c r="H244" s="890">
        <v>999</v>
      </c>
      <c r="I244" s="890">
        <v>99</v>
      </c>
      <c r="J244" s="890">
        <v>999</v>
      </c>
      <c r="K244" s="890">
        <v>9</v>
      </c>
      <c r="L244" s="890">
        <v>99</v>
      </c>
      <c r="M244" s="890">
        <v>9</v>
      </c>
      <c r="N244" s="890">
        <v>3</v>
      </c>
      <c r="O244" s="890">
        <v>99999</v>
      </c>
      <c r="P244" s="989">
        <f t="shared" si="14"/>
        <v>0</v>
      </c>
      <c r="Q244" s="233">
        <f>Financeiros!D77</f>
        <v>0</v>
      </c>
    </row>
    <row r="245" spans="1:17" ht="15.75">
      <c r="A245" s="890" t="s">
        <v>829</v>
      </c>
      <c r="B245" s="890" t="s">
        <v>1456</v>
      </c>
      <c r="C245" s="890">
        <f>Financeiros!C78</f>
        <v>0</v>
      </c>
      <c r="D245" s="890">
        <v>2</v>
      </c>
      <c r="E245" s="890">
        <v>2</v>
      </c>
      <c r="F245" s="890">
        <v>999</v>
      </c>
      <c r="G245" s="890">
        <v>999999</v>
      </c>
      <c r="H245" s="890">
        <v>999</v>
      </c>
      <c r="I245" s="890">
        <v>99</v>
      </c>
      <c r="J245" s="890">
        <v>999</v>
      </c>
      <c r="K245" s="890">
        <v>9</v>
      </c>
      <c r="L245" s="890">
        <v>99</v>
      </c>
      <c r="M245" s="890">
        <v>9</v>
      </c>
      <c r="N245" s="890">
        <v>3</v>
      </c>
      <c r="O245" s="890">
        <v>99999</v>
      </c>
      <c r="P245" s="989">
        <f t="shared" si="14"/>
        <v>0</v>
      </c>
      <c r="Q245" s="233">
        <f>Financeiros!D78</f>
        <v>0</v>
      </c>
    </row>
    <row r="246" spans="1:17" ht="15.75">
      <c r="A246" s="890" t="s">
        <v>829</v>
      </c>
      <c r="B246" s="890" t="s">
        <v>1456</v>
      </c>
      <c r="C246" s="890">
        <f>Financeiros!C79</f>
        <v>0</v>
      </c>
      <c r="D246" s="890">
        <v>2</v>
      </c>
      <c r="E246" s="890">
        <v>2</v>
      </c>
      <c r="F246" s="890">
        <v>999</v>
      </c>
      <c r="G246" s="890">
        <v>999999</v>
      </c>
      <c r="H246" s="890">
        <v>999</v>
      </c>
      <c r="I246" s="890">
        <v>99</v>
      </c>
      <c r="J246" s="890">
        <v>999</v>
      </c>
      <c r="K246" s="890">
        <v>9</v>
      </c>
      <c r="L246" s="890">
        <v>99</v>
      </c>
      <c r="M246" s="890">
        <v>9</v>
      </c>
      <c r="N246" s="890">
        <v>3</v>
      </c>
      <c r="O246" s="890">
        <v>99999</v>
      </c>
      <c r="P246" s="989">
        <f t="shared" si="14"/>
        <v>0</v>
      </c>
      <c r="Q246" s="233">
        <f>Financeiros!D79</f>
        <v>0</v>
      </c>
    </row>
    <row r="247" spans="1:17" ht="15.75">
      <c r="A247" s="890" t="s">
        <v>829</v>
      </c>
      <c r="B247" s="890" t="s">
        <v>1456</v>
      </c>
      <c r="C247" s="890">
        <f>Financeiros!C80</f>
        <v>0</v>
      </c>
      <c r="D247" s="890">
        <v>2</v>
      </c>
      <c r="E247" s="890">
        <v>2</v>
      </c>
      <c r="F247" s="890">
        <v>999</v>
      </c>
      <c r="G247" s="890">
        <v>999999</v>
      </c>
      <c r="H247" s="890">
        <v>999</v>
      </c>
      <c r="I247" s="890">
        <v>99</v>
      </c>
      <c r="J247" s="890">
        <v>999</v>
      </c>
      <c r="K247" s="890">
        <v>9</v>
      </c>
      <c r="L247" s="890">
        <v>99</v>
      </c>
      <c r="M247" s="890">
        <v>9</v>
      </c>
      <c r="N247" s="890">
        <v>3</v>
      </c>
      <c r="O247" s="890">
        <v>99999</v>
      </c>
      <c r="P247" s="989">
        <f t="shared" si="14"/>
        <v>0</v>
      </c>
      <c r="Q247" s="233">
        <f>Financeiros!D80</f>
        <v>0</v>
      </c>
    </row>
    <row r="248" spans="1:17" ht="15.75">
      <c r="A248" s="890" t="s">
        <v>829</v>
      </c>
      <c r="B248" s="890" t="s">
        <v>1456</v>
      </c>
      <c r="C248" s="890">
        <f>Financeiros!C81</f>
        <v>0</v>
      </c>
      <c r="D248" s="890">
        <v>2</v>
      </c>
      <c r="E248" s="890">
        <v>2</v>
      </c>
      <c r="F248" s="890">
        <v>999</v>
      </c>
      <c r="G248" s="890">
        <v>999999</v>
      </c>
      <c r="H248" s="890">
        <v>999</v>
      </c>
      <c r="I248" s="890">
        <v>99</v>
      </c>
      <c r="J248" s="890">
        <v>999</v>
      </c>
      <c r="K248" s="890">
        <v>9</v>
      </c>
      <c r="L248" s="890">
        <v>99</v>
      </c>
      <c r="M248" s="890">
        <v>9</v>
      </c>
      <c r="N248" s="890">
        <v>3</v>
      </c>
      <c r="O248" s="890">
        <v>99999</v>
      </c>
      <c r="P248" s="989">
        <f t="shared" si="14"/>
        <v>0</v>
      </c>
      <c r="Q248" s="233">
        <f>Financeiros!D81</f>
        <v>0</v>
      </c>
    </row>
    <row r="249" spans="1:17" ht="15.75">
      <c r="A249" s="890" t="s">
        <v>829</v>
      </c>
      <c r="B249" s="890" t="s">
        <v>1456</v>
      </c>
      <c r="C249" s="890" t="str">
        <f>Financeiros!C82</f>
        <v>Reversão de Risco Hidrológico</v>
      </c>
      <c r="D249" s="890">
        <v>2</v>
      </c>
      <c r="E249" s="890">
        <v>2</v>
      </c>
      <c r="F249" s="890">
        <f>Financeiros!F82</f>
        <v>22</v>
      </c>
      <c r="G249" s="890">
        <f>Financeiros!G82</f>
        <v>62</v>
      </c>
      <c r="H249" s="890">
        <f>Financeiros!H82</f>
        <v>220</v>
      </c>
      <c r="I249" s="890">
        <f>Financeiros!I82</f>
        <v>2</v>
      </c>
      <c r="J249" s="890">
        <f>Financeiros!J82</f>
        <v>30</v>
      </c>
      <c r="K249" s="890">
        <v>9</v>
      </c>
      <c r="L249" s="890">
        <v>99</v>
      </c>
      <c r="M249" s="890">
        <v>9</v>
      </c>
      <c r="N249" s="890">
        <v>3</v>
      </c>
      <c r="O249" s="890">
        <v>99999</v>
      </c>
      <c r="P249" s="989">
        <f t="shared" ref="P249" ca="1" si="15">IF(ISNUMBER(Q249),Q249,0)</f>
        <v>0</v>
      </c>
      <c r="Q249" s="233">
        <f ca="1">Financeiros!D82</f>
        <v>0</v>
      </c>
    </row>
    <row r="250" spans="1:17" ht="15.75">
      <c r="A250" s="890" t="s">
        <v>829</v>
      </c>
      <c r="B250" s="890" t="s">
        <v>1456</v>
      </c>
      <c r="C250" s="890" t="s">
        <v>1755</v>
      </c>
      <c r="D250" s="890">
        <v>5</v>
      </c>
      <c r="E250" s="890">
        <v>2</v>
      </c>
      <c r="F250" s="890">
        <v>19</v>
      </c>
      <c r="G250" s="890">
        <v>65</v>
      </c>
      <c r="H250" s="890">
        <v>172</v>
      </c>
      <c r="I250" s="890">
        <v>1</v>
      </c>
      <c r="J250" s="890">
        <v>1</v>
      </c>
      <c r="K250" s="890">
        <v>9</v>
      </c>
      <c r="L250" s="890">
        <v>99</v>
      </c>
      <c r="M250" s="890">
        <v>9</v>
      </c>
      <c r="N250" s="890">
        <v>3</v>
      </c>
      <c r="O250" s="890">
        <v>99999</v>
      </c>
      <c r="P250" s="989">
        <f t="shared" si="14"/>
        <v>0</v>
      </c>
      <c r="Q250" s="233">
        <f>CVE!$D$12</f>
        <v>0</v>
      </c>
    </row>
    <row r="251" spans="1:17" ht="15.75">
      <c r="A251" s="890" t="s">
        <v>829</v>
      </c>
      <c r="B251" s="890" t="s">
        <v>1456</v>
      </c>
      <c r="C251" s="890" t="s">
        <v>1756</v>
      </c>
      <c r="D251" s="890">
        <v>5</v>
      </c>
      <c r="E251" s="890">
        <v>2</v>
      </c>
      <c r="F251" s="890">
        <v>19</v>
      </c>
      <c r="G251" s="890">
        <v>65</v>
      </c>
      <c r="H251" s="890">
        <v>172</v>
      </c>
      <c r="I251" s="890">
        <v>1</v>
      </c>
      <c r="J251" s="890">
        <v>21</v>
      </c>
      <c r="K251" s="890">
        <v>9</v>
      </c>
      <c r="L251" s="890">
        <v>99</v>
      </c>
      <c r="M251" s="890">
        <v>9</v>
      </c>
      <c r="N251" s="890">
        <v>3</v>
      </c>
      <c r="O251" s="890">
        <v>99999</v>
      </c>
      <c r="P251" s="989">
        <f t="shared" si="14"/>
        <v>0</v>
      </c>
      <c r="Q251" s="233">
        <f>CVE!$D$15</f>
        <v>0</v>
      </c>
    </row>
    <row r="252" spans="1:17" ht="15.75">
      <c r="A252" s="890" t="s">
        <v>829</v>
      </c>
      <c r="B252" s="890" t="s">
        <v>1456</v>
      </c>
      <c r="C252" s="890" t="s">
        <v>1757</v>
      </c>
      <c r="D252" s="890">
        <v>5</v>
      </c>
      <c r="E252" s="890">
        <v>2</v>
      </c>
      <c r="F252" s="890">
        <v>19</v>
      </c>
      <c r="G252" s="890">
        <v>65</v>
      </c>
      <c r="H252" s="890">
        <v>172</v>
      </c>
      <c r="I252" s="890">
        <v>2</v>
      </c>
      <c r="J252" s="890">
        <v>999</v>
      </c>
      <c r="K252" s="890">
        <v>9</v>
      </c>
      <c r="L252" s="890">
        <v>99</v>
      </c>
      <c r="M252" s="890">
        <v>9</v>
      </c>
      <c r="N252" s="890">
        <v>3</v>
      </c>
      <c r="O252" s="890">
        <v>99999</v>
      </c>
      <c r="P252" s="989">
        <f t="shared" si="14"/>
        <v>0</v>
      </c>
      <c r="Q252" s="233">
        <f>CVE!$D$13</f>
        <v>0</v>
      </c>
    </row>
    <row r="253" spans="1:17" ht="15.75">
      <c r="A253" s="890" t="s">
        <v>829</v>
      </c>
      <c r="B253" s="890" t="s">
        <v>1456</v>
      </c>
      <c r="C253" s="890" t="s">
        <v>1758</v>
      </c>
      <c r="D253" s="890">
        <v>5</v>
      </c>
      <c r="E253" s="890">
        <v>2</v>
      </c>
      <c r="F253" s="890">
        <v>19</v>
      </c>
      <c r="G253" s="890">
        <v>65</v>
      </c>
      <c r="H253" s="890">
        <v>172</v>
      </c>
      <c r="I253" s="890">
        <v>3</v>
      </c>
      <c r="J253" s="890">
        <v>13</v>
      </c>
      <c r="K253" s="890">
        <v>9</v>
      </c>
      <c r="L253" s="890">
        <v>99</v>
      </c>
      <c r="M253" s="890">
        <v>9</v>
      </c>
      <c r="N253" s="890">
        <v>3</v>
      </c>
      <c r="O253" s="890">
        <v>99999</v>
      </c>
      <c r="P253" s="989">
        <f t="shared" si="14"/>
        <v>0</v>
      </c>
      <c r="Q253" s="233">
        <f>CVE!$D$9</f>
        <v>0</v>
      </c>
    </row>
    <row r="254" spans="1:17" ht="15.75">
      <c r="A254" s="890" t="s">
        <v>829</v>
      </c>
      <c r="B254" s="890" t="s">
        <v>1456</v>
      </c>
      <c r="C254" s="890" t="s">
        <v>1759</v>
      </c>
      <c r="D254" s="890">
        <v>5</v>
      </c>
      <c r="E254" s="890">
        <v>2</v>
      </c>
      <c r="F254" s="890">
        <v>19</v>
      </c>
      <c r="G254" s="890">
        <v>65</v>
      </c>
      <c r="H254" s="890">
        <v>172</v>
      </c>
      <c r="I254" s="890">
        <v>3</v>
      </c>
      <c r="J254" s="890">
        <v>15</v>
      </c>
      <c r="K254" s="890">
        <v>9</v>
      </c>
      <c r="L254" s="890">
        <v>99</v>
      </c>
      <c r="M254" s="890">
        <v>9</v>
      </c>
      <c r="N254" s="890">
        <v>3</v>
      </c>
      <c r="O254" s="890">
        <v>99999</v>
      </c>
      <c r="P254" s="989">
        <f t="shared" si="14"/>
        <v>0</v>
      </c>
      <c r="Q254" s="233">
        <f>CVE!$D$10</f>
        <v>0</v>
      </c>
    </row>
    <row r="255" spans="1:17" ht="15.75">
      <c r="A255" s="890" t="s">
        <v>829</v>
      </c>
      <c r="B255" s="890" t="s">
        <v>1456</v>
      </c>
      <c r="C255" s="890" t="s">
        <v>1760</v>
      </c>
      <c r="D255" s="890">
        <v>5</v>
      </c>
      <c r="E255" s="890">
        <v>2</v>
      </c>
      <c r="F255" s="890">
        <v>19</v>
      </c>
      <c r="G255" s="890">
        <v>65</v>
      </c>
      <c r="H255" s="890">
        <v>172</v>
      </c>
      <c r="I255" s="890">
        <v>3</v>
      </c>
      <c r="J255" s="890">
        <v>16</v>
      </c>
      <c r="K255" s="890">
        <v>9</v>
      </c>
      <c r="L255" s="890">
        <v>99</v>
      </c>
      <c r="M255" s="890">
        <v>9</v>
      </c>
      <c r="N255" s="890">
        <v>3</v>
      </c>
      <c r="O255" s="890">
        <v>99999</v>
      </c>
      <c r="P255" s="989">
        <f t="shared" si="14"/>
        <v>0</v>
      </c>
      <c r="Q255" s="233">
        <f>CVE!$D$14</f>
        <v>0</v>
      </c>
    </row>
    <row r="256" spans="1:17" ht="15.75">
      <c r="A256" s="890" t="s">
        <v>829</v>
      </c>
      <c r="B256" s="890" t="s">
        <v>1456</v>
      </c>
      <c r="C256" s="890" t="s">
        <v>1761</v>
      </c>
      <c r="D256" s="890">
        <v>5</v>
      </c>
      <c r="E256" s="890">
        <v>2</v>
      </c>
      <c r="F256" s="890">
        <v>19</v>
      </c>
      <c r="G256" s="890">
        <v>65</v>
      </c>
      <c r="H256" s="890">
        <v>172</v>
      </c>
      <c r="I256" s="890">
        <v>3</v>
      </c>
      <c r="J256" s="890">
        <v>17</v>
      </c>
      <c r="K256" s="890">
        <v>9</v>
      </c>
      <c r="L256" s="890">
        <v>99</v>
      </c>
      <c r="M256" s="890">
        <v>9</v>
      </c>
      <c r="N256" s="890">
        <v>3</v>
      </c>
      <c r="O256" s="890">
        <v>99999</v>
      </c>
      <c r="P256" s="989">
        <f t="shared" si="14"/>
        <v>0</v>
      </c>
      <c r="Q256" s="233">
        <f>CVE!$D$17</f>
        <v>0</v>
      </c>
    </row>
    <row r="257" spans="1:17" ht="15.75">
      <c r="A257" s="890" t="s">
        <v>829</v>
      </c>
      <c r="B257" s="890" t="s">
        <v>1456</v>
      </c>
      <c r="C257" s="890" t="s">
        <v>1762</v>
      </c>
      <c r="D257" s="890">
        <v>5</v>
      </c>
      <c r="E257" s="890">
        <v>2</v>
      </c>
      <c r="F257" s="890">
        <v>19</v>
      </c>
      <c r="G257" s="890">
        <v>65</v>
      </c>
      <c r="H257" s="890">
        <v>172</v>
      </c>
      <c r="I257" s="890">
        <v>3</v>
      </c>
      <c r="J257" s="890">
        <v>18</v>
      </c>
      <c r="K257" s="890">
        <v>9</v>
      </c>
      <c r="L257" s="890">
        <v>99</v>
      </c>
      <c r="M257" s="890">
        <v>9</v>
      </c>
      <c r="N257" s="890">
        <v>3</v>
      </c>
      <c r="O257" s="890">
        <v>99999</v>
      </c>
      <c r="P257" s="989">
        <f t="shared" si="14"/>
        <v>0</v>
      </c>
      <c r="Q257" s="233">
        <f>CVE!$D$16</f>
        <v>0</v>
      </c>
    </row>
    <row r="258" spans="1:17" ht="15.75">
      <c r="A258" s="890" t="s">
        <v>829</v>
      </c>
      <c r="B258" s="890" t="s">
        <v>1456</v>
      </c>
      <c r="C258" s="890" t="s">
        <v>1763</v>
      </c>
      <c r="D258" s="890">
        <v>5</v>
      </c>
      <c r="E258" s="890">
        <v>2</v>
      </c>
      <c r="F258" s="890">
        <v>19</v>
      </c>
      <c r="G258" s="890">
        <v>65</v>
      </c>
      <c r="H258" s="890">
        <v>172</v>
      </c>
      <c r="I258" s="890">
        <v>2</v>
      </c>
      <c r="J258" s="890">
        <v>25</v>
      </c>
      <c r="K258" s="890">
        <v>9</v>
      </c>
      <c r="L258" s="890">
        <v>99</v>
      </c>
      <c r="M258" s="890">
        <v>9</v>
      </c>
      <c r="N258" s="890">
        <v>3</v>
      </c>
      <c r="O258" s="890">
        <v>99999</v>
      </c>
      <c r="P258" s="989">
        <f t="shared" si="14"/>
        <v>0</v>
      </c>
      <c r="Q258" s="233">
        <f>CVE!$D$11</f>
        <v>0</v>
      </c>
    </row>
    <row r="259" spans="1:17" ht="15.75">
      <c r="A259" s="890" t="s">
        <v>1764</v>
      </c>
      <c r="B259" s="890" t="s">
        <v>35</v>
      </c>
      <c r="C259" s="890" t="s">
        <v>1765</v>
      </c>
      <c r="D259" s="890">
        <v>4</v>
      </c>
      <c r="E259" s="890">
        <v>2</v>
      </c>
      <c r="F259" s="890">
        <v>19</v>
      </c>
      <c r="G259" s="890">
        <v>64</v>
      </c>
      <c r="H259" s="890">
        <v>95</v>
      </c>
      <c r="I259" s="890">
        <v>3</v>
      </c>
      <c r="J259" s="890">
        <v>13</v>
      </c>
      <c r="K259" s="890">
        <v>9</v>
      </c>
      <c r="L259" s="890">
        <v>99</v>
      </c>
      <c r="M259" s="890">
        <v>9</v>
      </c>
      <c r="N259" s="890">
        <v>3</v>
      </c>
      <c r="O259" s="890">
        <v>99999</v>
      </c>
      <c r="P259" s="989">
        <f t="shared" si="14"/>
        <v>0</v>
      </c>
      <c r="Q259" s="233">
        <f>CVE!$D$24</f>
        <v>0</v>
      </c>
    </row>
    <row r="260" spans="1:17" ht="15.75">
      <c r="A260" s="890" t="s">
        <v>1764</v>
      </c>
      <c r="B260" s="890" t="s">
        <v>35</v>
      </c>
      <c r="C260" s="890" t="s">
        <v>1766</v>
      </c>
      <c r="D260" s="890">
        <v>4</v>
      </c>
      <c r="E260" s="890">
        <v>2</v>
      </c>
      <c r="F260" s="890">
        <v>19</v>
      </c>
      <c r="G260" s="890">
        <v>64</v>
      </c>
      <c r="H260" s="890">
        <v>95</v>
      </c>
      <c r="I260" s="890">
        <v>3</v>
      </c>
      <c r="J260" s="890">
        <v>15</v>
      </c>
      <c r="K260" s="890">
        <v>9</v>
      </c>
      <c r="L260" s="890">
        <v>99</v>
      </c>
      <c r="M260" s="890">
        <v>9</v>
      </c>
      <c r="N260" s="890">
        <v>3</v>
      </c>
      <c r="O260" s="890">
        <v>99999</v>
      </c>
      <c r="P260" s="989">
        <f t="shared" si="14"/>
        <v>0</v>
      </c>
      <c r="Q260" s="233">
        <f>CVE!$D$25</f>
        <v>0</v>
      </c>
    </row>
    <row r="261" spans="1:17" ht="15.75">
      <c r="A261" s="890" t="s">
        <v>1764</v>
      </c>
      <c r="B261" s="890" t="s">
        <v>35</v>
      </c>
      <c r="C261" s="890" t="s">
        <v>1767</v>
      </c>
      <c r="D261" s="890">
        <v>4</v>
      </c>
      <c r="E261" s="890">
        <v>2</v>
      </c>
      <c r="F261" s="890">
        <v>19</v>
      </c>
      <c r="G261" s="890">
        <v>64</v>
      </c>
      <c r="H261" s="890">
        <v>95</v>
      </c>
      <c r="I261" s="890">
        <v>2</v>
      </c>
      <c r="J261" s="890">
        <v>25</v>
      </c>
      <c r="K261" s="890">
        <v>9</v>
      </c>
      <c r="L261" s="890">
        <v>99</v>
      </c>
      <c r="M261" s="890">
        <v>9</v>
      </c>
      <c r="N261" s="890">
        <v>3</v>
      </c>
      <c r="O261" s="890">
        <v>99999</v>
      </c>
      <c r="P261" s="989">
        <f t="shared" si="14"/>
        <v>0</v>
      </c>
      <c r="Q261" s="233">
        <f>CVE!$D$26</f>
        <v>0</v>
      </c>
    </row>
    <row r="262" spans="1:17" ht="15.75">
      <c r="A262" s="890" t="s">
        <v>1764</v>
      </c>
      <c r="B262" s="890" t="s">
        <v>35</v>
      </c>
      <c r="C262" s="890" t="s">
        <v>1768</v>
      </c>
      <c r="D262" s="890">
        <v>4</v>
      </c>
      <c r="E262" s="890">
        <v>2</v>
      </c>
      <c r="F262" s="890">
        <v>19</v>
      </c>
      <c r="G262" s="890">
        <v>64</v>
      </c>
      <c r="H262" s="890">
        <v>95</v>
      </c>
      <c r="I262" s="890">
        <v>1</v>
      </c>
      <c r="J262" s="890">
        <v>1</v>
      </c>
      <c r="K262" s="890">
        <v>9</v>
      </c>
      <c r="L262" s="890">
        <v>99</v>
      </c>
      <c r="M262" s="890">
        <v>9</v>
      </c>
      <c r="N262" s="890">
        <v>3</v>
      </c>
      <c r="O262" s="890">
        <v>99999</v>
      </c>
      <c r="P262" s="989">
        <f t="shared" si="14"/>
        <v>0</v>
      </c>
      <c r="Q262" s="233">
        <f>CVE!$D$27</f>
        <v>0</v>
      </c>
    </row>
    <row r="263" spans="1:17" ht="15.75">
      <c r="A263" s="890" t="s">
        <v>1764</v>
      </c>
      <c r="B263" s="890" t="s">
        <v>35</v>
      </c>
      <c r="C263" s="890" t="s">
        <v>1769</v>
      </c>
      <c r="D263" s="890">
        <v>4</v>
      </c>
      <c r="E263" s="890">
        <v>2</v>
      </c>
      <c r="F263" s="890">
        <v>19</v>
      </c>
      <c r="G263" s="890">
        <v>64</v>
      </c>
      <c r="H263" s="890">
        <v>95</v>
      </c>
      <c r="I263" s="890">
        <v>2</v>
      </c>
      <c r="J263" s="890">
        <v>999</v>
      </c>
      <c r="K263" s="890">
        <v>9</v>
      </c>
      <c r="L263" s="890">
        <v>99</v>
      </c>
      <c r="M263" s="890">
        <v>9</v>
      </c>
      <c r="N263" s="890">
        <v>3</v>
      </c>
      <c r="O263" s="890">
        <v>99999</v>
      </c>
      <c r="P263" s="989">
        <f t="shared" si="14"/>
        <v>0</v>
      </c>
      <c r="Q263" s="233">
        <f>CVE!$D$28</f>
        <v>0</v>
      </c>
    </row>
    <row r="264" spans="1:17" ht="15.75">
      <c r="A264" s="890" t="s">
        <v>1764</v>
      </c>
      <c r="B264" s="890" t="s">
        <v>35</v>
      </c>
      <c r="C264" s="890" t="s">
        <v>1770</v>
      </c>
      <c r="D264" s="890">
        <v>4</v>
      </c>
      <c r="E264" s="890">
        <v>2</v>
      </c>
      <c r="F264" s="890">
        <v>19</v>
      </c>
      <c r="G264" s="890">
        <v>64</v>
      </c>
      <c r="H264" s="890">
        <v>95</v>
      </c>
      <c r="I264" s="890">
        <v>3</v>
      </c>
      <c r="J264" s="890">
        <v>16</v>
      </c>
      <c r="K264" s="890">
        <v>9</v>
      </c>
      <c r="L264" s="890">
        <v>99</v>
      </c>
      <c r="M264" s="890">
        <v>9</v>
      </c>
      <c r="N264" s="890">
        <v>3</v>
      </c>
      <c r="O264" s="890">
        <v>99999</v>
      </c>
      <c r="P264" s="989">
        <f t="shared" si="14"/>
        <v>0</v>
      </c>
      <c r="Q264" s="233">
        <f>CVE!$D$29</f>
        <v>0</v>
      </c>
    </row>
    <row r="265" spans="1:17" ht="15.75">
      <c r="A265" s="890" t="s">
        <v>1764</v>
      </c>
      <c r="B265" s="890" t="s">
        <v>35</v>
      </c>
      <c r="C265" s="890" t="s">
        <v>1771</v>
      </c>
      <c r="D265" s="890">
        <v>4</v>
      </c>
      <c r="E265" s="890">
        <v>2</v>
      </c>
      <c r="F265" s="890">
        <v>19</v>
      </c>
      <c r="G265" s="890">
        <v>64</v>
      </c>
      <c r="H265" s="890">
        <v>95</v>
      </c>
      <c r="I265" s="890">
        <v>1</v>
      </c>
      <c r="J265" s="890">
        <v>21</v>
      </c>
      <c r="K265" s="890">
        <v>9</v>
      </c>
      <c r="L265" s="890">
        <v>99</v>
      </c>
      <c r="M265" s="890">
        <v>9</v>
      </c>
      <c r="N265" s="890">
        <v>3</v>
      </c>
      <c r="O265" s="890">
        <v>99999</v>
      </c>
      <c r="P265" s="989">
        <f t="shared" si="14"/>
        <v>0</v>
      </c>
      <c r="Q265" s="233">
        <f>CVE!$D$30</f>
        <v>0</v>
      </c>
    </row>
    <row r="266" spans="1:17" ht="15.75">
      <c r="A266" s="890" t="s">
        <v>1764</v>
      </c>
      <c r="B266" s="890" t="s">
        <v>35</v>
      </c>
      <c r="C266" s="890" t="s">
        <v>1772</v>
      </c>
      <c r="D266" s="890">
        <v>4</v>
      </c>
      <c r="E266" s="890">
        <v>2</v>
      </c>
      <c r="F266" s="890">
        <v>19</v>
      </c>
      <c r="G266" s="890">
        <v>64</v>
      </c>
      <c r="H266" s="890">
        <v>95</v>
      </c>
      <c r="I266" s="890">
        <v>3</v>
      </c>
      <c r="J266" s="890">
        <v>18</v>
      </c>
      <c r="K266" s="890">
        <v>9</v>
      </c>
      <c r="L266" s="890">
        <v>99</v>
      </c>
      <c r="M266" s="890">
        <v>9</v>
      </c>
      <c r="N266" s="890">
        <v>3</v>
      </c>
      <c r="O266" s="890">
        <v>99999</v>
      </c>
      <c r="P266" s="989">
        <f t="shared" si="14"/>
        <v>0</v>
      </c>
      <c r="Q266" s="233">
        <f>CVE!$D$31</f>
        <v>0</v>
      </c>
    </row>
    <row r="267" spans="1:17" ht="15.75">
      <c r="A267" s="890" t="s">
        <v>1764</v>
      </c>
      <c r="B267" s="890" t="s">
        <v>35</v>
      </c>
      <c r="C267" s="890" t="s">
        <v>1773</v>
      </c>
      <c r="D267" s="890">
        <v>4</v>
      </c>
      <c r="E267" s="890">
        <v>2</v>
      </c>
      <c r="F267" s="890">
        <v>19</v>
      </c>
      <c r="G267" s="890">
        <v>64</v>
      </c>
      <c r="H267" s="890">
        <v>95</v>
      </c>
      <c r="I267" s="890">
        <v>3</v>
      </c>
      <c r="J267" s="890">
        <v>17</v>
      </c>
      <c r="K267" s="890">
        <v>9</v>
      </c>
      <c r="L267" s="890">
        <v>99</v>
      </c>
      <c r="M267" s="890">
        <v>9</v>
      </c>
      <c r="N267" s="890">
        <v>3</v>
      </c>
      <c r="O267" s="890">
        <v>99999</v>
      </c>
      <c r="P267" s="989">
        <f t="shared" si="14"/>
        <v>0</v>
      </c>
      <c r="Q267" s="233">
        <f>CVE!$D$32</f>
        <v>0</v>
      </c>
    </row>
    <row r="268" spans="1:17" ht="15.75">
      <c r="A268" s="890" t="s">
        <v>829</v>
      </c>
      <c r="B268" s="890" t="s">
        <v>158</v>
      </c>
      <c r="C268" s="890" t="str">
        <f>Energia!$B$20</f>
        <v>Angra</v>
      </c>
      <c r="D268" s="890">
        <v>1</v>
      </c>
      <c r="E268" s="890">
        <v>1</v>
      </c>
      <c r="F268" s="890">
        <v>8</v>
      </c>
      <c r="G268" s="890">
        <v>999999</v>
      </c>
      <c r="H268" s="890">
        <v>999</v>
      </c>
      <c r="I268" s="890">
        <v>2</v>
      </c>
      <c r="J268" s="890">
        <v>999</v>
      </c>
      <c r="K268" s="890">
        <v>9</v>
      </c>
      <c r="L268" s="890">
        <v>99</v>
      </c>
      <c r="M268" s="890">
        <v>9</v>
      </c>
      <c r="N268" s="890">
        <v>2</v>
      </c>
      <c r="O268" s="890">
        <v>99999</v>
      </c>
      <c r="P268" s="989">
        <f t="shared" ca="1" si="14"/>
        <v>0</v>
      </c>
      <c r="Q268" s="233">
        <f ca="1">Energia!$C$20</f>
        <v>0</v>
      </c>
    </row>
    <row r="269" spans="1:17" ht="15.75">
      <c r="A269" s="890" t="s">
        <v>829</v>
      </c>
      <c r="B269" s="890" t="s">
        <v>158</v>
      </c>
      <c r="C269" s="890" t="str">
        <f>Energia!B20</f>
        <v>Angra</v>
      </c>
      <c r="D269" s="890">
        <v>1</v>
      </c>
      <c r="E269" s="890">
        <v>1</v>
      </c>
      <c r="F269" s="890">
        <v>8</v>
      </c>
      <c r="G269" s="890">
        <v>999999</v>
      </c>
      <c r="H269" s="890">
        <v>999</v>
      </c>
      <c r="I269" s="890">
        <v>2</v>
      </c>
      <c r="J269" s="890">
        <v>999</v>
      </c>
      <c r="K269" s="890">
        <v>9</v>
      </c>
      <c r="L269" s="890">
        <v>99</v>
      </c>
      <c r="M269" s="890">
        <v>9</v>
      </c>
      <c r="N269" s="890">
        <v>3</v>
      </c>
      <c r="O269" s="890">
        <v>99999</v>
      </c>
      <c r="P269" s="989">
        <f t="shared" ca="1" si="14"/>
        <v>0</v>
      </c>
      <c r="Q269" s="233">
        <f ca="1">Energia!$F$20</f>
        <v>0</v>
      </c>
    </row>
    <row r="270" spans="1:17" ht="15.75">
      <c r="A270" s="890" t="s">
        <v>829</v>
      </c>
      <c r="B270" s="890" t="s">
        <v>158</v>
      </c>
      <c r="C270" s="890" t="str">
        <f>Energia!$B$21</f>
        <v>CCGF</v>
      </c>
      <c r="D270" s="890">
        <v>1</v>
      </c>
      <c r="E270" s="890">
        <v>1</v>
      </c>
      <c r="F270" s="890">
        <v>17</v>
      </c>
      <c r="G270" s="890">
        <v>999999</v>
      </c>
      <c r="H270" s="890">
        <v>999</v>
      </c>
      <c r="I270" s="890">
        <v>2</v>
      </c>
      <c r="J270" s="890">
        <v>999</v>
      </c>
      <c r="K270" s="890">
        <v>9</v>
      </c>
      <c r="L270" s="890">
        <v>99</v>
      </c>
      <c r="M270" s="890">
        <v>9</v>
      </c>
      <c r="N270" s="890">
        <v>2</v>
      </c>
      <c r="O270" s="890">
        <v>0</v>
      </c>
      <c r="P270" s="989">
        <f t="shared" ca="1" si="14"/>
        <v>0</v>
      </c>
      <c r="Q270" s="233">
        <f ca="1">Energia!$C$21</f>
        <v>0</v>
      </c>
    </row>
    <row r="271" spans="1:17" ht="15.75">
      <c r="A271" s="890" t="s">
        <v>829</v>
      </c>
      <c r="B271" s="890" t="s">
        <v>158</v>
      </c>
      <c r="C271" s="890" t="str">
        <f>Energia!$B$21</f>
        <v>CCGF</v>
      </c>
      <c r="D271" s="890">
        <v>1</v>
      </c>
      <c r="E271" s="890">
        <v>1</v>
      </c>
      <c r="F271" s="890">
        <v>17</v>
      </c>
      <c r="G271" s="890">
        <v>999999</v>
      </c>
      <c r="H271" s="890">
        <v>999</v>
      </c>
      <c r="I271" s="890">
        <v>2</v>
      </c>
      <c r="J271" s="890">
        <v>999</v>
      </c>
      <c r="K271" s="890">
        <v>9</v>
      </c>
      <c r="L271" s="890">
        <v>99</v>
      </c>
      <c r="M271" s="890">
        <v>9</v>
      </c>
      <c r="N271" s="890">
        <v>3</v>
      </c>
      <c r="O271" s="890">
        <v>0</v>
      </c>
      <c r="P271" s="989">
        <f t="shared" ca="1" si="14"/>
        <v>0</v>
      </c>
      <c r="Q271" s="233">
        <f ca="1">Energia!$F$21</f>
        <v>0</v>
      </c>
    </row>
    <row r="272" spans="1:17" ht="15.75">
      <c r="A272" s="1553" t="s">
        <v>829</v>
      </c>
      <c r="B272" s="1554" t="s">
        <v>107</v>
      </c>
      <c r="C272" s="1554" t="s">
        <v>1421</v>
      </c>
      <c r="D272" s="1554">
        <v>1</v>
      </c>
      <c r="E272" s="1554">
        <v>1</v>
      </c>
      <c r="F272" s="1554">
        <v>999</v>
      </c>
      <c r="G272" s="1554">
        <v>999999</v>
      </c>
      <c r="H272" s="1554">
        <v>999</v>
      </c>
      <c r="I272" s="1554">
        <v>3</v>
      </c>
      <c r="J272" s="1554">
        <v>35</v>
      </c>
      <c r="K272" s="1554">
        <v>9</v>
      </c>
      <c r="L272" s="1554">
        <v>99</v>
      </c>
      <c r="M272" s="1554">
        <v>9</v>
      </c>
      <c r="N272" s="1554">
        <v>3</v>
      </c>
      <c r="O272" s="1554">
        <v>99999</v>
      </c>
      <c r="P272" s="989">
        <f>IF(ISNUMBER(Q272),Q272,0)</f>
        <v>0</v>
      </c>
      <c r="Q272" s="976">
        <f>Encargos!L17</f>
        <v>0</v>
      </c>
    </row>
    <row r="273" spans="1:17" ht="15.75">
      <c r="A273" s="1555" t="s">
        <v>829</v>
      </c>
      <c r="B273" s="1555" t="s">
        <v>107</v>
      </c>
      <c r="C273" s="1555" t="s">
        <v>1774</v>
      </c>
      <c r="D273" s="1555">
        <v>2</v>
      </c>
      <c r="E273" s="1555">
        <v>1</v>
      </c>
      <c r="F273" s="1555">
        <v>51</v>
      </c>
      <c r="G273" s="1555">
        <v>999999</v>
      </c>
      <c r="H273" s="1555">
        <v>999</v>
      </c>
      <c r="I273" s="1555">
        <v>3</v>
      </c>
      <c r="J273" s="1555">
        <v>28</v>
      </c>
      <c r="K273" s="1555">
        <v>2</v>
      </c>
      <c r="L273" s="1555">
        <v>99</v>
      </c>
      <c r="M273" s="1555">
        <v>9</v>
      </c>
      <c r="N273" s="1555">
        <v>3</v>
      </c>
      <c r="O273" s="1555">
        <v>99999</v>
      </c>
      <c r="P273" s="989">
        <f>IF(ISNUMBER(Q273),Q273,0)</f>
        <v>0</v>
      </c>
      <c r="Q273" s="976">
        <f>Encargos!I21</f>
        <v>0</v>
      </c>
    </row>
    <row r="274" spans="1:17" s="891" customFormat="1" ht="14.1" customHeight="1">
      <c r="A274" s="890" t="s">
        <v>1706</v>
      </c>
      <c r="B274" s="890" t="s">
        <v>1706</v>
      </c>
      <c r="C274" s="890" t="s">
        <v>1706</v>
      </c>
      <c r="D274" s="890">
        <v>99</v>
      </c>
      <c r="E274" s="890">
        <v>99</v>
      </c>
      <c r="F274" s="890">
        <v>999</v>
      </c>
      <c r="G274" s="890">
        <v>999999</v>
      </c>
      <c r="H274" s="890">
        <v>999</v>
      </c>
      <c r="I274" s="890">
        <v>99</v>
      </c>
      <c r="J274" s="890">
        <v>999</v>
      </c>
      <c r="K274" s="890">
        <v>9</v>
      </c>
      <c r="L274" s="890">
        <v>99</v>
      </c>
      <c r="M274" s="890">
        <v>9</v>
      </c>
      <c r="N274" s="890">
        <v>99</v>
      </c>
      <c r="O274">
        <v>99999</v>
      </c>
      <c r="P274" s="976">
        <f t="shared" si="14"/>
        <v>0</v>
      </c>
      <c r="Q274" s="976"/>
    </row>
    <row r="275" spans="1:17" s="891" customFormat="1" ht="14.1" customHeight="1">
      <c r="A275" s="890" t="s">
        <v>1706</v>
      </c>
      <c r="B275" s="890" t="s">
        <v>1706</v>
      </c>
      <c r="C275" s="890" t="s">
        <v>1706</v>
      </c>
      <c r="D275" s="890">
        <v>99</v>
      </c>
      <c r="E275" s="890">
        <v>99</v>
      </c>
      <c r="F275" s="890">
        <v>999</v>
      </c>
      <c r="G275" s="890">
        <v>999999</v>
      </c>
      <c r="H275" s="890">
        <v>999</v>
      </c>
      <c r="I275" s="890">
        <v>99</v>
      </c>
      <c r="J275" s="890">
        <v>999</v>
      </c>
      <c r="K275" s="890">
        <v>9</v>
      </c>
      <c r="L275" s="890">
        <v>99</v>
      </c>
      <c r="M275" s="890">
        <v>9</v>
      </c>
      <c r="N275" s="890">
        <v>99</v>
      </c>
      <c r="O275">
        <v>99999</v>
      </c>
      <c r="P275" s="976">
        <f t="shared" si="14"/>
        <v>0</v>
      </c>
      <c r="Q275" s="976"/>
    </row>
    <row r="276" spans="1:17" ht="15.75">
      <c r="A276" s="890"/>
      <c r="B276" s="890"/>
      <c r="C276" s="890"/>
      <c r="D276" s="890"/>
      <c r="E276" s="890"/>
      <c r="F276" s="890"/>
      <c r="G276" s="890"/>
      <c r="H276" s="890"/>
      <c r="I276" s="890"/>
      <c r="J276" s="890"/>
      <c r="K276" s="890"/>
      <c r="L276" s="890"/>
      <c r="M276" s="890"/>
      <c r="N276" s="890"/>
      <c r="O276"/>
      <c r="P276" s="976"/>
      <c r="Q276" s="976"/>
    </row>
    <row r="277" spans="1:17" ht="15.75">
      <c r="A277" s="890"/>
      <c r="B277" s="890"/>
      <c r="C277" s="890"/>
      <c r="D277" s="890"/>
      <c r="E277" s="890"/>
      <c r="F277" s="890"/>
      <c r="G277" s="890"/>
      <c r="H277" s="890"/>
      <c r="I277" s="890"/>
      <c r="J277" s="890"/>
      <c r="K277" s="890"/>
      <c r="L277" s="890"/>
      <c r="M277" s="890"/>
      <c r="N277" s="890"/>
      <c r="O277"/>
      <c r="P277" s="976"/>
      <c r="Q277" s="976"/>
    </row>
    <row r="278" spans="1:17" ht="15.75">
      <c r="D278"/>
      <c r="E278"/>
      <c r="F278"/>
      <c r="G278"/>
      <c r="H278"/>
      <c r="I278"/>
      <c r="J278"/>
      <c r="K278"/>
      <c r="L278"/>
      <c r="M278"/>
      <c r="N278"/>
      <c r="O278"/>
      <c r="P278" s="233">
        <f t="shared" ref="P278:P333" si="16">IF(ISNUMBER(Q278),Q278,0)</f>
        <v>0</v>
      </c>
      <c r="Q278" s="233"/>
    </row>
    <row r="279" spans="1:17" ht="15.75">
      <c r="D279"/>
      <c r="E279"/>
      <c r="F279"/>
      <c r="G279"/>
      <c r="H279"/>
      <c r="I279"/>
      <c r="J279"/>
      <c r="K279"/>
      <c r="L279"/>
      <c r="M279"/>
      <c r="N279"/>
      <c r="O279"/>
      <c r="P279" s="233">
        <f t="shared" si="16"/>
        <v>0</v>
      </c>
      <c r="Q279" s="233"/>
    </row>
    <row r="280" spans="1:17" ht="15.75">
      <c r="D280"/>
      <c r="E280"/>
      <c r="F280"/>
      <c r="G280"/>
      <c r="H280"/>
      <c r="I280"/>
      <c r="J280"/>
      <c r="K280"/>
      <c r="L280"/>
      <c r="M280"/>
      <c r="N280"/>
      <c r="O280"/>
      <c r="P280" s="233">
        <f t="shared" si="16"/>
        <v>0</v>
      </c>
      <c r="Q280" s="233"/>
    </row>
    <row r="281" spans="1:17" ht="15.75">
      <c r="D281"/>
      <c r="E281"/>
      <c r="F281"/>
      <c r="G281"/>
      <c r="H281"/>
      <c r="I281"/>
      <c r="J281"/>
      <c r="K281"/>
      <c r="L281"/>
      <c r="M281"/>
      <c r="N281"/>
      <c r="O281"/>
      <c r="P281" s="233">
        <f t="shared" si="16"/>
        <v>0</v>
      </c>
      <c r="Q281" s="233"/>
    </row>
    <row r="282" spans="1:17" ht="15.75">
      <c r="D282"/>
      <c r="E282"/>
      <c r="F282"/>
      <c r="G282"/>
      <c r="H282"/>
      <c r="I282"/>
      <c r="J282"/>
      <c r="K282"/>
      <c r="L282"/>
      <c r="M282"/>
      <c r="N282"/>
      <c r="O282"/>
      <c r="P282" s="233">
        <f t="shared" si="16"/>
        <v>0</v>
      </c>
      <c r="Q282" s="233"/>
    </row>
    <row r="283" spans="1:17" ht="15.75">
      <c r="D283"/>
      <c r="E283"/>
      <c r="F283"/>
      <c r="G283"/>
      <c r="H283"/>
      <c r="I283"/>
      <c r="J283"/>
      <c r="K283"/>
      <c r="L283"/>
      <c r="M283"/>
      <c r="N283"/>
      <c r="O283"/>
      <c r="P283" s="233">
        <f t="shared" si="16"/>
        <v>0</v>
      </c>
      <c r="Q283" s="233"/>
    </row>
    <row r="284" spans="1:17" ht="15.75">
      <c r="D284"/>
      <c r="E284"/>
      <c r="F284"/>
      <c r="G284"/>
      <c r="H284"/>
      <c r="I284"/>
      <c r="J284"/>
      <c r="K284"/>
      <c r="L284"/>
      <c r="M284"/>
      <c r="N284"/>
      <c r="O284"/>
      <c r="P284" s="233">
        <f t="shared" si="16"/>
        <v>0</v>
      </c>
      <c r="Q284" s="233"/>
    </row>
    <row r="285" spans="1:17" ht="15.75">
      <c r="D285"/>
      <c r="E285"/>
      <c r="F285"/>
      <c r="G285"/>
      <c r="H285"/>
      <c r="I285"/>
      <c r="J285"/>
      <c r="K285"/>
      <c r="L285"/>
      <c r="M285"/>
      <c r="N285"/>
      <c r="O285"/>
      <c r="P285" s="233">
        <f t="shared" si="16"/>
        <v>0</v>
      </c>
      <c r="Q285" s="233"/>
    </row>
    <row r="286" spans="1:17" ht="15.75">
      <c r="D286"/>
      <c r="E286"/>
      <c r="F286"/>
      <c r="G286"/>
      <c r="H286"/>
      <c r="I286"/>
      <c r="J286"/>
      <c r="K286"/>
      <c r="L286"/>
      <c r="M286"/>
      <c r="N286"/>
      <c r="O286"/>
      <c r="P286" s="233">
        <f t="shared" si="16"/>
        <v>0</v>
      </c>
      <c r="Q286" s="233"/>
    </row>
    <row r="287" spans="1:17" ht="15.75">
      <c r="D287"/>
      <c r="E287"/>
      <c r="F287"/>
      <c r="G287"/>
      <c r="H287"/>
      <c r="I287"/>
      <c r="J287"/>
      <c r="K287"/>
      <c r="L287"/>
      <c r="M287"/>
      <c r="N287"/>
      <c r="O287"/>
      <c r="P287" s="233">
        <f t="shared" si="16"/>
        <v>0</v>
      </c>
      <c r="Q287" s="233"/>
    </row>
    <row r="288" spans="1:17" ht="15.75">
      <c r="D288"/>
      <c r="E288"/>
      <c r="F288"/>
      <c r="G288"/>
      <c r="H288"/>
      <c r="I288"/>
      <c r="J288"/>
      <c r="K288"/>
      <c r="L288"/>
      <c r="M288"/>
      <c r="N288"/>
      <c r="O288"/>
      <c r="P288" s="233">
        <f t="shared" si="16"/>
        <v>0</v>
      </c>
      <c r="Q288" s="233"/>
    </row>
    <row r="289" spans="4:17" ht="15.75">
      <c r="D289"/>
      <c r="E289"/>
      <c r="F289"/>
      <c r="G289"/>
      <c r="H289"/>
      <c r="I289"/>
      <c r="J289"/>
      <c r="K289"/>
      <c r="L289"/>
      <c r="M289"/>
      <c r="N289"/>
      <c r="O289"/>
      <c r="P289" s="233">
        <f t="shared" si="16"/>
        <v>0</v>
      </c>
      <c r="Q289" s="233"/>
    </row>
    <row r="290" spans="4:17" ht="15.75">
      <c r="D290"/>
      <c r="E290"/>
      <c r="F290"/>
      <c r="G290"/>
      <c r="H290"/>
      <c r="I290"/>
      <c r="J290"/>
      <c r="K290"/>
      <c r="L290"/>
      <c r="M290"/>
      <c r="N290"/>
      <c r="O290"/>
      <c r="P290" s="233">
        <f t="shared" si="16"/>
        <v>0</v>
      </c>
      <c r="Q290" s="233"/>
    </row>
    <row r="291" spans="4:17" ht="15.75">
      <c r="D291"/>
      <c r="E291"/>
      <c r="F291"/>
      <c r="G291"/>
      <c r="H291"/>
      <c r="I291"/>
      <c r="J291"/>
      <c r="K291"/>
      <c r="L291"/>
      <c r="M291"/>
      <c r="N291"/>
      <c r="O291"/>
      <c r="P291" s="233">
        <f t="shared" si="16"/>
        <v>0</v>
      </c>
      <c r="Q291" s="233"/>
    </row>
    <row r="292" spans="4:17" ht="15.75">
      <c r="D292"/>
      <c r="E292"/>
      <c r="F292"/>
      <c r="G292"/>
      <c r="H292"/>
      <c r="I292"/>
      <c r="J292"/>
      <c r="K292"/>
      <c r="L292"/>
      <c r="M292"/>
      <c r="N292"/>
      <c r="O292"/>
      <c r="P292" s="233">
        <f t="shared" si="16"/>
        <v>0</v>
      </c>
      <c r="Q292" s="233"/>
    </row>
    <row r="293" spans="4:17" ht="15.75">
      <c r="D293"/>
      <c r="E293"/>
      <c r="F293"/>
      <c r="G293"/>
      <c r="H293"/>
      <c r="I293"/>
      <c r="J293"/>
      <c r="K293"/>
      <c r="L293"/>
      <c r="M293"/>
      <c r="N293"/>
      <c r="O293"/>
      <c r="P293" s="233">
        <f t="shared" si="16"/>
        <v>0</v>
      </c>
      <c r="Q293" s="233"/>
    </row>
    <row r="294" spans="4:17" ht="15.75">
      <c r="D294"/>
      <c r="E294"/>
      <c r="F294"/>
      <c r="G294"/>
      <c r="H294"/>
      <c r="I294"/>
      <c r="J294"/>
      <c r="K294"/>
      <c r="L294"/>
      <c r="M294"/>
      <c r="N294"/>
      <c r="O294"/>
      <c r="P294" s="233">
        <f t="shared" si="16"/>
        <v>0</v>
      </c>
      <c r="Q294" s="233"/>
    </row>
    <row r="295" spans="4:17" ht="15.75">
      <c r="D295"/>
      <c r="E295"/>
      <c r="F295"/>
      <c r="G295"/>
      <c r="H295"/>
      <c r="I295"/>
      <c r="J295"/>
      <c r="K295"/>
      <c r="L295"/>
      <c r="M295"/>
      <c r="N295"/>
      <c r="O295"/>
      <c r="P295" s="233">
        <f t="shared" si="16"/>
        <v>0</v>
      </c>
      <c r="Q295" s="233"/>
    </row>
    <row r="296" spans="4:17" ht="15.75">
      <c r="D296"/>
      <c r="E296"/>
      <c r="F296"/>
      <c r="G296"/>
      <c r="H296"/>
      <c r="I296"/>
      <c r="J296"/>
      <c r="K296"/>
      <c r="L296"/>
      <c r="M296"/>
      <c r="N296"/>
      <c r="O296"/>
      <c r="P296" s="233">
        <f t="shared" si="16"/>
        <v>0</v>
      </c>
      <c r="Q296" s="233"/>
    </row>
    <row r="297" spans="4:17" ht="15.75">
      <c r="D297"/>
      <c r="E297"/>
      <c r="F297"/>
      <c r="G297"/>
      <c r="H297"/>
      <c r="I297"/>
      <c r="J297"/>
      <c r="K297"/>
      <c r="L297"/>
      <c r="M297"/>
      <c r="N297"/>
      <c r="O297"/>
      <c r="P297" s="233">
        <f t="shared" si="16"/>
        <v>0</v>
      </c>
      <c r="Q297" s="233"/>
    </row>
    <row r="298" spans="4:17" ht="15.75">
      <c r="D298"/>
      <c r="E298"/>
      <c r="F298"/>
      <c r="G298"/>
      <c r="H298"/>
      <c r="I298"/>
      <c r="J298"/>
      <c r="K298"/>
      <c r="L298"/>
      <c r="M298"/>
      <c r="N298"/>
      <c r="O298"/>
      <c r="P298" s="233">
        <f t="shared" si="16"/>
        <v>0</v>
      </c>
      <c r="Q298" s="233"/>
    </row>
    <row r="299" spans="4:17" ht="15.75">
      <c r="D299"/>
      <c r="E299"/>
      <c r="F299"/>
      <c r="G299"/>
      <c r="H299"/>
      <c r="I299"/>
      <c r="J299"/>
      <c r="K299"/>
      <c r="L299"/>
      <c r="M299"/>
      <c r="N299"/>
      <c r="O299"/>
      <c r="P299" s="233">
        <f t="shared" si="16"/>
        <v>0</v>
      </c>
      <c r="Q299" s="233"/>
    </row>
    <row r="300" spans="4:17" ht="15.75">
      <c r="D300"/>
      <c r="E300"/>
      <c r="F300"/>
      <c r="G300"/>
      <c r="H300"/>
      <c r="I300"/>
      <c r="J300"/>
      <c r="K300"/>
      <c r="L300"/>
      <c r="M300"/>
      <c r="N300"/>
      <c r="O300"/>
      <c r="P300" s="233">
        <f t="shared" si="16"/>
        <v>0</v>
      </c>
      <c r="Q300" s="233"/>
    </row>
    <row r="301" spans="4:17" ht="15.75">
      <c r="D301"/>
      <c r="E301"/>
      <c r="F301"/>
      <c r="G301"/>
      <c r="H301"/>
      <c r="I301"/>
      <c r="J301"/>
      <c r="K301"/>
      <c r="L301"/>
      <c r="M301"/>
      <c r="N301"/>
      <c r="O301"/>
      <c r="P301" s="233">
        <f t="shared" si="16"/>
        <v>0</v>
      </c>
      <c r="Q301" s="233"/>
    </row>
    <row r="302" spans="4:17" ht="15.75">
      <c r="D302"/>
      <c r="E302"/>
      <c r="F302"/>
      <c r="G302"/>
      <c r="H302"/>
      <c r="I302"/>
      <c r="J302"/>
      <c r="K302"/>
      <c r="L302"/>
      <c r="M302"/>
      <c r="N302"/>
      <c r="O302"/>
      <c r="P302" s="233">
        <f t="shared" si="16"/>
        <v>0</v>
      </c>
      <c r="Q302" s="233"/>
    </row>
    <row r="303" spans="4:17" ht="15.75">
      <c r="D303"/>
      <c r="E303"/>
      <c r="F303"/>
      <c r="G303"/>
      <c r="H303"/>
      <c r="I303"/>
      <c r="J303"/>
      <c r="K303"/>
      <c r="L303"/>
      <c r="M303"/>
      <c r="N303"/>
      <c r="O303"/>
      <c r="P303" s="233">
        <f t="shared" si="16"/>
        <v>0</v>
      </c>
      <c r="Q303" s="233"/>
    </row>
    <row r="304" spans="4:17" ht="15.75">
      <c r="D304"/>
      <c r="E304"/>
      <c r="F304"/>
      <c r="G304"/>
      <c r="H304"/>
      <c r="I304"/>
      <c r="J304"/>
      <c r="K304"/>
      <c r="L304"/>
      <c r="M304"/>
      <c r="N304"/>
      <c r="O304"/>
      <c r="P304" s="233">
        <f t="shared" si="16"/>
        <v>0</v>
      </c>
      <c r="Q304" s="233"/>
    </row>
    <row r="305" spans="4:17" ht="15.75">
      <c r="D305"/>
      <c r="E305"/>
      <c r="F305"/>
      <c r="G305"/>
      <c r="H305"/>
      <c r="I305"/>
      <c r="J305"/>
      <c r="K305"/>
      <c r="L305"/>
      <c r="M305"/>
      <c r="N305"/>
      <c r="O305"/>
      <c r="P305" s="233">
        <f t="shared" si="16"/>
        <v>0</v>
      </c>
      <c r="Q305" s="233"/>
    </row>
    <row r="306" spans="4:17" ht="15.75">
      <c r="D306"/>
      <c r="E306"/>
      <c r="F306"/>
      <c r="G306"/>
      <c r="H306"/>
      <c r="I306"/>
      <c r="J306"/>
      <c r="K306"/>
      <c r="L306"/>
      <c r="M306"/>
      <c r="N306"/>
      <c r="O306"/>
      <c r="P306" s="233">
        <f t="shared" si="16"/>
        <v>0</v>
      </c>
      <c r="Q306" s="233"/>
    </row>
    <row r="307" spans="4:17" ht="15.75">
      <c r="D307"/>
      <c r="E307"/>
      <c r="F307"/>
      <c r="G307"/>
      <c r="H307"/>
      <c r="I307"/>
      <c r="J307"/>
      <c r="K307"/>
      <c r="L307"/>
      <c r="M307"/>
      <c r="N307"/>
      <c r="O307"/>
      <c r="P307" s="233">
        <f t="shared" si="16"/>
        <v>0</v>
      </c>
      <c r="Q307" s="233"/>
    </row>
    <row r="308" spans="4:17" ht="15.75">
      <c r="D308"/>
      <c r="E308"/>
      <c r="F308"/>
      <c r="G308"/>
      <c r="H308"/>
      <c r="I308"/>
      <c r="J308"/>
      <c r="K308"/>
      <c r="L308"/>
      <c r="M308"/>
      <c r="N308"/>
      <c r="O308"/>
      <c r="P308" s="233">
        <f t="shared" si="16"/>
        <v>0</v>
      </c>
      <c r="Q308" s="233"/>
    </row>
    <row r="309" spans="4:17" ht="15.75">
      <c r="D309"/>
      <c r="E309"/>
      <c r="F309"/>
      <c r="G309"/>
      <c r="H309"/>
      <c r="I309"/>
      <c r="J309"/>
      <c r="K309"/>
      <c r="L309"/>
      <c r="M309"/>
      <c r="N309"/>
      <c r="O309"/>
      <c r="P309" s="233">
        <f t="shared" si="16"/>
        <v>0</v>
      </c>
      <c r="Q309" s="233"/>
    </row>
    <row r="310" spans="4:17" ht="15.75">
      <c r="D310"/>
      <c r="E310"/>
      <c r="F310"/>
      <c r="G310"/>
      <c r="H310"/>
      <c r="I310"/>
      <c r="J310"/>
      <c r="K310"/>
      <c r="L310"/>
      <c r="M310"/>
      <c r="N310"/>
      <c r="O310"/>
      <c r="P310" s="233">
        <f t="shared" si="16"/>
        <v>0</v>
      </c>
      <c r="Q310" s="233"/>
    </row>
    <row r="311" spans="4:17" ht="15.75">
      <c r="D311"/>
      <c r="E311"/>
      <c r="F311"/>
      <c r="G311"/>
      <c r="H311"/>
      <c r="I311"/>
      <c r="J311"/>
      <c r="K311"/>
      <c r="L311"/>
      <c r="M311"/>
      <c r="N311"/>
      <c r="O311"/>
      <c r="P311" s="233">
        <f t="shared" si="16"/>
        <v>0</v>
      </c>
      <c r="Q311" s="233"/>
    </row>
    <row r="312" spans="4:17" ht="15.75">
      <c r="D312"/>
      <c r="E312"/>
      <c r="F312"/>
      <c r="G312"/>
      <c r="H312"/>
      <c r="I312"/>
      <c r="J312"/>
      <c r="K312"/>
      <c r="L312"/>
      <c r="M312"/>
      <c r="N312"/>
      <c r="O312"/>
      <c r="P312" s="233">
        <f t="shared" si="16"/>
        <v>0</v>
      </c>
      <c r="Q312" s="233"/>
    </row>
    <row r="313" spans="4:17" ht="15.75">
      <c r="D313"/>
      <c r="E313"/>
      <c r="F313"/>
      <c r="G313"/>
      <c r="H313"/>
      <c r="I313"/>
      <c r="J313"/>
      <c r="K313"/>
      <c r="L313"/>
      <c r="M313"/>
      <c r="N313"/>
      <c r="O313"/>
      <c r="P313" s="233">
        <f t="shared" si="16"/>
        <v>0</v>
      </c>
      <c r="Q313" s="233"/>
    </row>
    <row r="314" spans="4:17" ht="15.75">
      <c r="D314"/>
      <c r="E314"/>
      <c r="F314"/>
      <c r="G314"/>
      <c r="H314"/>
      <c r="I314"/>
      <c r="J314"/>
      <c r="K314"/>
      <c r="L314"/>
      <c r="M314"/>
      <c r="N314"/>
      <c r="O314"/>
      <c r="P314" s="233">
        <f t="shared" si="16"/>
        <v>0</v>
      </c>
      <c r="Q314" s="233"/>
    </row>
    <row r="315" spans="4:17" ht="15.75">
      <c r="D315"/>
      <c r="E315"/>
      <c r="F315"/>
      <c r="G315"/>
      <c r="H315"/>
      <c r="I315"/>
      <c r="J315"/>
      <c r="K315"/>
      <c r="L315"/>
      <c r="M315"/>
      <c r="N315"/>
      <c r="O315"/>
      <c r="P315" s="233">
        <f t="shared" si="16"/>
        <v>0</v>
      </c>
      <c r="Q315" s="233"/>
    </row>
    <row r="316" spans="4:17" ht="15.75">
      <c r="D316"/>
      <c r="E316"/>
      <c r="F316"/>
      <c r="G316"/>
      <c r="H316"/>
      <c r="I316"/>
      <c r="J316"/>
      <c r="K316"/>
      <c r="L316"/>
      <c r="M316"/>
      <c r="N316"/>
      <c r="O316"/>
      <c r="P316" s="233">
        <f t="shared" si="16"/>
        <v>0</v>
      </c>
      <c r="Q316" s="233"/>
    </row>
    <row r="317" spans="4:17" ht="15.75">
      <c r="D317"/>
      <c r="E317"/>
      <c r="F317"/>
      <c r="G317"/>
      <c r="H317"/>
      <c r="I317"/>
      <c r="J317"/>
      <c r="K317"/>
      <c r="L317"/>
      <c r="M317"/>
      <c r="N317"/>
      <c r="O317"/>
      <c r="P317" s="233">
        <f t="shared" si="16"/>
        <v>0</v>
      </c>
      <c r="Q317" s="233"/>
    </row>
    <row r="318" spans="4:17" ht="15.75">
      <c r="D318"/>
      <c r="E318"/>
      <c r="F318"/>
      <c r="G318"/>
      <c r="H318"/>
      <c r="I318"/>
      <c r="J318"/>
      <c r="K318"/>
      <c r="L318"/>
      <c r="M318"/>
      <c r="N318"/>
      <c r="O318"/>
      <c r="P318" s="233">
        <f t="shared" si="16"/>
        <v>0</v>
      </c>
      <c r="Q318" s="233"/>
    </row>
    <row r="319" spans="4:17" ht="15.75">
      <c r="D319"/>
      <c r="E319"/>
      <c r="F319"/>
      <c r="G319"/>
      <c r="H319"/>
      <c r="I319"/>
      <c r="J319"/>
      <c r="K319"/>
      <c r="L319"/>
      <c r="M319"/>
      <c r="N319"/>
      <c r="O319"/>
      <c r="P319" s="233">
        <f t="shared" si="16"/>
        <v>0</v>
      </c>
      <c r="Q319" s="233"/>
    </row>
    <row r="320" spans="4:17" ht="15.75">
      <c r="D320"/>
      <c r="E320"/>
      <c r="F320"/>
      <c r="G320"/>
      <c r="H320"/>
      <c r="I320"/>
      <c r="J320"/>
      <c r="K320"/>
      <c r="L320"/>
      <c r="M320"/>
      <c r="N320"/>
      <c r="O320"/>
      <c r="P320" s="233">
        <f t="shared" si="16"/>
        <v>0</v>
      </c>
      <c r="Q320" s="233"/>
    </row>
    <row r="321" spans="4:17" ht="15.75">
      <c r="D321"/>
      <c r="E321"/>
      <c r="F321"/>
      <c r="G321"/>
      <c r="H321"/>
      <c r="I321"/>
      <c r="J321"/>
      <c r="K321"/>
      <c r="L321"/>
      <c r="M321"/>
      <c r="N321"/>
      <c r="O321"/>
      <c r="P321" s="233">
        <f t="shared" si="16"/>
        <v>0</v>
      </c>
      <c r="Q321" s="233"/>
    </row>
    <row r="322" spans="4:17" ht="15.75">
      <c r="D322"/>
      <c r="E322"/>
      <c r="F322"/>
      <c r="G322"/>
      <c r="H322"/>
      <c r="I322"/>
      <c r="J322"/>
      <c r="K322"/>
      <c r="L322"/>
      <c r="M322"/>
      <c r="N322"/>
      <c r="O322"/>
      <c r="P322" s="233">
        <f t="shared" si="16"/>
        <v>0</v>
      </c>
      <c r="Q322" s="233"/>
    </row>
    <row r="323" spans="4:17" ht="15.75">
      <c r="D323"/>
      <c r="E323"/>
      <c r="F323"/>
      <c r="G323"/>
      <c r="H323"/>
      <c r="I323"/>
      <c r="J323"/>
      <c r="K323"/>
      <c r="L323"/>
      <c r="M323"/>
      <c r="N323"/>
      <c r="O323"/>
      <c r="P323" s="233">
        <f t="shared" si="16"/>
        <v>0</v>
      </c>
      <c r="Q323" s="233"/>
    </row>
    <row r="324" spans="4:17" ht="15.75">
      <c r="D324"/>
      <c r="E324"/>
      <c r="F324"/>
      <c r="G324"/>
      <c r="H324"/>
      <c r="I324"/>
      <c r="J324"/>
      <c r="K324"/>
      <c r="L324"/>
      <c r="M324"/>
      <c r="N324"/>
      <c r="O324"/>
      <c r="P324" s="233">
        <f t="shared" si="16"/>
        <v>0</v>
      </c>
      <c r="Q324" s="233"/>
    </row>
    <row r="325" spans="4:17" ht="15.75">
      <c r="D325"/>
      <c r="E325"/>
      <c r="F325"/>
      <c r="G325"/>
      <c r="H325"/>
      <c r="I325"/>
      <c r="J325"/>
      <c r="K325"/>
      <c r="L325"/>
      <c r="M325"/>
      <c r="N325"/>
      <c r="O325"/>
      <c r="P325" s="233">
        <f t="shared" si="16"/>
        <v>0</v>
      </c>
      <c r="Q325" s="233"/>
    </row>
    <row r="326" spans="4:17" ht="15.75">
      <c r="D326"/>
      <c r="E326"/>
      <c r="F326"/>
      <c r="G326"/>
      <c r="H326"/>
      <c r="I326"/>
      <c r="J326"/>
      <c r="K326"/>
      <c r="L326"/>
      <c r="M326"/>
      <c r="N326"/>
      <c r="O326"/>
      <c r="P326" s="233">
        <f t="shared" si="16"/>
        <v>0</v>
      </c>
      <c r="Q326" s="233"/>
    </row>
    <row r="327" spans="4:17" ht="15.75">
      <c r="D327"/>
      <c r="E327"/>
      <c r="F327"/>
      <c r="G327"/>
      <c r="H327"/>
      <c r="I327"/>
      <c r="J327"/>
      <c r="K327"/>
      <c r="L327"/>
      <c r="M327"/>
      <c r="N327"/>
      <c r="O327"/>
      <c r="P327" s="233">
        <f t="shared" si="16"/>
        <v>0</v>
      </c>
      <c r="Q327" s="233"/>
    </row>
    <row r="328" spans="4:17" ht="15.75">
      <c r="D328"/>
      <c r="E328"/>
      <c r="F328"/>
      <c r="G328"/>
      <c r="H328"/>
      <c r="I328"/>
      <c r="J328"/>
      <c r="K328"/>
      <c r="L328"/>
      <c r="M328"/>
      <c r="N328"/>
      <c r="O328"/>
      <c r="P328" s="233">
        <f t="shared" si="16"/>
        <v>0</v>
      </c>
      <c r="Q328" s="233"/>
    </row>
    <row r="329" spans="4:17" ht="15.75">
      <c r="D329"/>
      <c r="E329"/>
      <c r="F329"/>
      <c r="G329"/>
      <c r="H329"/>
      <c r="I329"/>
      <c r="J329"/>
      <c r="K329"/>
      <c r="L329"/>
      <c r="M329"/>
      <c r="N329"/>
      <c r="O329"/>
      <c r="P329" s="233">
        <f t="shared" si="16"/>
        <v>0</v>
      </c>
      <c r="Q329" s="233"/>
    </row>
    <row r="330" spans="4:17" ht="15.75">
      <c r="D330"/>
      <c r="E330"/>
      <c r="F330"/>
      <c r="G330"/>
      <c r="H330"/>
      <c r="I330"/>
      <c r="J330"/>
      <c r="K330"/>
      <c r="L330"/>
      <c r="M330"/>
      <c r="N330"/>
      <c r="O330"/>
      <c r="P330" s="233">
        <f t="shared" si="16"/>
        <v>0</v>
      </c>
      <c r="Q330" s="233"/>
    </row>
    <row r="331" spans="4:17" ht="15.75">
      <c r="D331"/>
      <c r="E331"/>
      <c r="F331"/>
      <c r="G331"/>
      <c r="H331"/>
      <c r="I331"/>
      <c r="J331"/>
      <c r="K331"/>
      <c r="L331"/>
      <c r="M331"/>
      <c r="N331"/>
      <c r="O331"/>
      <c r="P331" s="233">
        <f t="shared" si="16"/>
        <v>0</v>
      </c>
      <c r="Q331" s="233"/>
    </row>
    <row r="332" spans="4:17" ht="15.75">
      <c r="D332"/>
      <c r="E332"/>
      <c r="F332"/>
      <c r="G332"/>
      <c r="H332"/>
      <c r="I332"/>
      <c r="J332"/>
      <c r="K332"/>
      <c r="L332"/>
      <c r="M332"/>
      <c r="N332"/>
      <c r="O332"/>
      <c r="P332" s="233">
        <f t="shared" si="16"/>
        <v>0</v>
      </c>
      <c r="Q332" s="233"/>
    </row>
    <row r="333" spans="4:17" ht="15.75">
      <c r="D333"/>
      <c r="E333"/>
      <c r="F333"/>
      <c r="G333"/>
      <c r="H333"/>
      <c r="I333"/>
      <c r="J333"/>
      <c r="K333"/>
      <c r="L333"/>
      <c r="M333"/>
      <c r="N333"/>
      <c r="O333"/>
      <c r="P333" s="233">
        <f t="shared" si="16"/>
        <v>0</v>
      </c>
      <c r="Q333" s="233"/>
    </row>
    <row r="334" spans="4:17" ht="15.75">
      <c r="D334"/>
      <c r="E334"/>
      <c r="F334"/>
      <c r="G334"/>
      <c r="H334"/>
      <c r="I334"/>
      <c r="J334"/>
      <c r="K334"/>
      <c r="L334"/>
      <c r="M334"/>
      <c r="N334"/>
      <c r="O334"/>
      <c r="P334" s="233">
        <f t="shared" ref="P334:P397" si="17">IF(ISNUMBER(Q334),Q334,0)</f>
        <v>0</v>
      </c>
      <c r="Q334" s="233"/>
    </row>
    <row r="335" spans="4:17" ht="15.75">
      <c r="D335"/>
      <c r="E335"/>
      <c r="F335"/>
      <c r="G335"/>
      <c r="H335"/>
      <c r="I335"/>
      <c r="J335"/>
      <c r="K335"/>
      <c r="L335"/>
      <c r="M335"/>
      <c r="N335"/>
      <c r="O335"/>
      <c r="P335" s="233">
        <f t="shared" si="17"/>
        <v>0</v>
      </c>
      <c r="Q335" s="233"/>
    </row>
    <row r="336" spans="4:17" ht="15.75">
      <c r="D336"/>
      <c r="E336"/>
      <c r="F336"/>
      <c r="G336"/>
      <c r="H336"/>
      <c r="I336"/>
      <c r="J336"/>
      <c r="K336"/>
      <c r="L336"/>
      <c r="M336"/>
      <c r="N336"/>
      <c r="O336"/>
      <c r="P336" s="233">
        <f t="shared" si="17"/>
        <v>0</v>
      </c>
      <c r="Q336" s="233"/>
    </row>
    <row r="337" spans="4:17" ht="15.75">
      <c r="D337"/>
      <c r="E337"/>
      <c r="F337"/>
      <c r="G337"/>
      <c r="H337"/>
      <c r="I337"/>
      <c r="J337"/>
      <c r="K337"/>
      <c r="L337"/>
      <c r="M337"/>
      <c r="N337"/>
      <c r="O337"/>
      <c r="P337" s="233">
        <f t="shared" si="17"/>
        <v>0</v>
      </c>
      <c r="Q337" s="233"/>
    </row>
    <row r="338" spans="4:17" ht="15.75">
      <c r="D338"/>
      <c r="E338"/>
      <c r="F338"/>
      <c r="G338"/>
      <c r="H338"/>
      <c r="I338"/>
      <c r="J338"/>
      <c r="K338"/>
      <c r="L338"/>
      <c r="M338"/>
      <c r="N338"/>
      <c r="O338"/>
      <c r="P338" s="233">
        <f t="shared" si="17"/>
        <v>0</v>
      </c>
      <c r="Q338" s="233"/>
    </row>
    <row r="339" spans="4:17" ht="15.75">
      <c r="D339"/>
      <c r="E339"/>
      <c r="F339"/>
      <c r="G339"/>
      <c r="H339"/>
      <c r="I339"/>
      <c r="J339"/>
      <c r="K339"/>
      <c r="L339"/>
      <c r="M339"/>
      <c r="N339"/>
      <c r="O339"/>
      <c r="P339" s="233">
        <f t="shared" si="17"/>
        <v>0</v>
      </c>
      <c r="Q339" s="233"/>
    </row>
    <row r="340" spans="4:17" ht="15.75">
      <c r="D340"/>
      <c r="E340"/>
      <c r="F340"/>
      <c r="G340"/>
      <c r="H340"/>
      <c r="I340"/>
      <c r="J340"/>
      <c r="K340"/>
      <c r="L340"/>
      <c r="M340"/>
      <c r="N340"/>
      <c r="O340"/>
      <c r="P340" s="233">
        <f t="shared" si="17"/>
        <v>0</v>
      </c>
      <c r="Q340" s="233"/>
    </row>
    <row r="341" spans="4:17" ht="15.75">
      <c r="D341"/>
      <c r="E341"/>
      <c r="F341"/>
      <c r="G341"/>
      <c r="H341"/>
      <c r="I341"/>
      <c r="J341"/>
      <c r="K341"/>
      <c r="L341"/>
      <c r="M341"/>
      <c r="N341"/>
      <c r="O341"/>
      <c r="P341" s="233">
        <f t="shared" si="17"/>
        <v>0</v>
      </c>
      <c r="Q341" s="233"/>
    </row>
    <row r="342" spans="4:17" ht="15.75">
      <c r="D342"/>
      <c r="E342"/>
      <c r="F342"/>
      <c r="G342"/>
      <c r="H342"/>
      <c r="I342"/>
      <c r="J342"/>
      <c r="K342"/>
      <c r="L342"/>
      <c r="M342"/>
      <c r="N342"/>
      <c r="O342"/>
      <c r="P342" s="233">
        <f t="shared" si="17"/>
        <v>0</v>
      </c>
      <c r="Q342" s="233"/>
    </row>
    <row r="343" spans="4:17" ht="15.75">
      <c r="D343"/>
      <c r="E343"/>
      <c r="F343"/>
      <c r="G343"/>
      <c r="H343"/>
      <c r="I343"/>
      <c r="J343"/>
      <c r="K343"/>
      <c r="L343"/>
      <c r="M343"/>
      <c r="N343"/>
      <c r="O343"/>
      <c r="P343" s="233">
        <f t="shared" si="17"/>
        <v>0</v>
      </c>
      <c r="Q343" s="233"/>
    </row>
    <row r="344" spans="4:17" ht="15.75">
      <c r="D344"/>
      <c r="E344"/>
      <c r="F344"/>
      <c r="G344"/>
      <c r="H344"/>
      <c r="I344"/>
      <c r="J344"/>
      <c r="K344"/>
      <c r="L344"/>
      <c r="M344"/>
      <c r="N344"/>
      <c r="O344"/>
      <c r="P344" s="233">
        <f t="shared" si="17"/>
        <v>0</v>
      </c>
      <c r="Q344" s="233"/>
    </row>
    <row r="345" spans="4:17" ht="15.75">
      <c r="D345"/>
      <c r="E345"/>
      <c r="F345"/>
      <c r="G345"/>
      <c r="H345"/>
      <c r="I345"/>
      <c r="J345"/>
      <c r="K345"/>
      <c r="L345"/>
      <c r="M345"/>
      <c r="N345"/>
      <c r="O345"/>
      <c r="P345" s="233">
        <f t="shared" si="17"/>
        <v>0</v>
      </c>
      <c r="Q345" s="233"/>
    </row>
    <row r="346" spans="4:17" ht="15.75">
      <c r="D346"/>
      <c r="E346"/>
      <c r="F346"/>
      <c r="G346"/>
      <c r="H346"/>
      <c r="I346"/>
      <c r="J346"/>
      <c r="K346"/>
      <c r="L346"/>
      <c r="M346"/>
      <c r="N346"/>
      <c r="O346"/>
      <c r="P346" s="233">
        <f t="shared" si="17"/>
        <v>0</v>
      </c>
      <c r="Q346" s="233"/>
    </row>
    <row r="347" spans="4:17" ht="15.75">
      <c r="D347"/>
      <c r="E347"/>
      <c r="F347"/>
      <c r="G347"/>
      <c r="H347"/>
      <c r="I347"/>
      <c r="J347"/>
      <c r="K347"/>
      <c r="L347"/>
      <c r="M347"/>
      <c r="N347"/>
      <c r="O347"/>
      <c r="P347" s="233">
        <f t="shared" si="17"/>
        <v>0</v>
      </c>
      <c r="Q347" s="233"/>
    </row>
    <row r="348" spans="4:17" ht="15.75">
      <c r="D348"/>
      <c r="E348"/>
      <c r="F348"/>
      <c r="G348"/>
      <c r="H348"/>
      <c r="I348"/>
      <c r="J348"/>
      <c r="K348"/>
      <c r="L348"/>
      <c r="M348"/>
      <c r="N348"/>
      <c r="O348"/>
      <c r="P348" s="233">
        <f t="shared" si="17"/>
        <v>0</v>
      </c>
      <c r="Q348" s="233"/>
    </row>
    <row r="349" spans="4:17" ht="15.75">
      <c r="D349"/>
      <c r="E349"/>
      <c r="F349"/>
      <c r="G349"/>
      <c r="H349"/>
      <c r="I349"/>
      <c r="J349"/>
      <c r="K349"/>
      <c r="L349"/>
      <c r="M349"/>
      <c r="N349"/>
      <c r="O349"/>
      <c r="P349" s="233">
        <f t="shared" si="17"/>
        <v>0</v>
      </c>
      <c r="Q349" s="233"/>
    </row>
    <row r="350" spans="4:17" ht="15.75">
      <c r="D350"/>
      <c r="E350"/>
      <c r="F350"/>
      <c r="G350"/>
      <c r="H350"/>
      <c r="I350"/>
      <c r="J350"/>
      <c r="K350"/>
      <c r="L350"/>
      <c r="M350"/>
      <c r="N350"/>
      <c r="O350"/>
      <c r="P350" s="233">
        <f t="shared" si="17"/>
        <v>0</v>
      </c>
      <c r="Q350" s="233"/>
    </row>
    <row r="351" spans="4:17" ht="15.75">
      <c r="D351"/>
      <c r="E351"/>
      <c r="F351"/>
      <c r="G351"/>
      <c r="H351"/>
      <c r="I351"/>
      <c r="J351"/>
      <c r="K351"/>
      <c r="L351"/>
      <c r="M351"/>
      <c r="N351"/>
      <c r="O351"/>
      <c r="P351" s="233">
        <f t="shared" si="17"/>
        <v>0</v>
      </c>
      <c r="Q351" s="233"/>
    </row>
    <row r="352" spans="4:17" ht="15.75">
      <c r="D352"/>
      <c r="E352"/>
      <c r="F352"/>
      <c r="G352"/>
      <c r="H352"/>
      <c r="I352"/>
      <c r="J352"/>
      <c r="K352"/>
      <c r="L352"/>
      <c r="M352"/>
      <c r="N352"/>
      <c r="O352"/>
      <c r="P352" s="233">
        <f t="shared" si="17"/>
        <v>0</v>
      </c>
      <c r="Q352" s="233"/>
    </row>
    <row r="353" spans="4:17" ht="15.75">
      <c r="D353"/>
      <c r="E353"/>
      <c r="F353"/>
      <c r="G353"/>
      <c r="H353"/>
      <c r="I353"/>
      <c r="J353"/>
      <c r="K353"/>
      <c r="L353"/>
      <c r="M353"/>
      <c r="N353"/>
      <c r="O353"/>
      <c r="P353" s="233">
        <f t="shared" si="17"/>
        <v>0</v>
      </c>
      <c r="Q353" s="233"/>
    </row>
    <row r="354" spans="4:17" ht="15.75">
      <c r="D354"/>
      <c r="E354"/>
      <c r="F354"/>
      <c r="G354"/>
      <c r="H354"/>
      <c r="I354"/>
      <c r="J354"/>
      <c r="K354"/>
      <c r="L354"/>
      <c r="M354"/>
      <c r="N354"/>
      <c r="O354"/>
      <c r="P354" s="233">
        <f t="shared" si="17"/>
        <v>0</v>
      </c>
      <c r="Q354" s="233"/>
    </row>
    <row r="355" spans="4:17" ht="15.75">
      <c r="D355"/>
      <c r="E355"/>
      <c r="F355"/>
      <c r="G355"/>
      <c r="H355"/>
      <c r="I355"/>
      <c r="J355"/>
      <c r="K355"/>
      <c r="L355"/>
      <c r="M355"/>
      <c r="N355"/>
      <c r="O355"/>
      <c r="P355" s="233">
        <f t="shared" si="17"/>
        <v>0</v>
      </c>
      <c r="Q355" s="233"/>
    </row>
    <row r="356" spans="4:17" ht="15.75">
      <c r="D356"/>
      <c r="E356"/>
      <c r="F356"/>
      <c r="G356"/>
      <c r="H356"/>
      <c r="I356"/>
      <c r="J356"/>
      <c r="K356"/>
      <c r="L356"/>
      <c r="M356"/>
      <c r="N356"/>
      <c r="O356"/>
      <c r="P356" s="233">
        <f t="shared" si="17"/>
        <v>0</v>
      </c>
      <c r="Q356" s="233"/>
    </row>
    <row r="357" spans="4:17" ht="15.75">
      <c r="D357"/>
      <c r="E357"/>
      <c r="F357"/>
      <c r="G357"/>
      <c r="H357"/>
      <c r="I357"/>
      <c r="J357"/>
      <c r="K357"/>
      <c r="L357"/>
      <c r="M357"/>
      <c r="N357"/>
      <c r="O357"/>
      <c r="P357" s="233">
        <f t="shared" si="17"/>
        <v>0</v>
      </c>
      <c r="Q357" s="233"/>
    </row>
    <row r="358" spans="4:17" ht="15.75">
      <c r="D358"/>
      <c r="E358"/>
      <c r="F358"/>
      <c r="G358"/>
      <c r="H358"/>
      <c r="I358"/>
      <c r="J358"/>
      <c r="K358"/>
      <c r="L358"/>
      <c r="M358"/>
      <c r="N358"/>
      <c r="O358"/>
      <c r="P358" s="233">
        <f t="shared" si="17"/>
        <v>0</v>
      </c>
      <c r="Q358" s="233"/>
    </row>
    <row r="359" spans="4:17" ht="15.75">
      <c r="D359"/>
      <c r="E359"/>
      <c r="F359"/>
      <c r="G359"/>
      <c r="H359"/>
      <c r="I359"/>
      <c r="J359"/>
      <c r="K359"/>
      <c r="L359"/>
      <c r="M359"/>
      <c r="N359"/>
      <c r="O359"/>
      <c r="P359" s="233">
        <f t="shared" si="17"/>
        <v>0</v>
      </c>
      <c r="Q359" s="233"/>
    </row>
    <row r="360" spans="4:17" ht="15.75">
      <c r="D360"/>
      <c r="E360"/>
      <c r="F360"/>
      <c r="G360"/>
      <c r="H360"/>
      <c r="I360"/>
      <c r="J360"/>
      <c r="K360"/>
      <c r="L360"/>
      <c r="M360"/>
      <c r="N360"/>
      <c r="O360"/>
      <c r="P360" s="233">
        <f t="shared" si="17"/>
        <v>0</v>
      </c>
      <c r="Q360" s="233"/>
    </row>
    <row r="361" spans="4:17" ht="15.75">
      <c r="D361"/>
      <c r="E361"/>
      <c r="F361"/>
      <c r="G361"/>
      <c r="H361"/>
      <c r="I361"/>
      <c r="J361"/>
      <c r="K361"/>
      <c r="L361"/>
      <c r="M361"/>
      <c r="N361"/>
      <c r="O361"/>
      <c r="P361" s="233">
        <f t="shared" si="17"/>
        <v>0</v>
      </c>
      <c r="Q361" s="233"/>
    </row>
    <row r="362" spans="4:17" ht="15.75">
      <c r="D362"/>
      <c r="E362"/>
      <c r="F362"/>
      <c r="G362"/>
      <c r="H362"/>
      <c r="I362"/>
      <c r="J362"/>
      <c r="K362"/>
      <c r="L362"/>
      <c r="M362"/>
      <c r="N362"/>
      <c r="O362"/>
      <c r="P362" s="233">
        <f t="shared" si="17"/>
        <v>0</v>
      </c>
      <c r="Q362" s="233"/>
    </row>
    <row r="363" spans="4:17" ht="15.75">
      <c r="D363"/>
      <c r="E363"/>
      <c r="F363"/>
      <c r="G363"/>
      <c r="H363"/>
      <c r="I363"/>
      <c r="J363"/>
      <c r="K363"/>
      <c r="L363"/>
      <c r="M363"/>
      <c r="N363"/>
      <c r="O363"/>
      <c r="P363" s="233">
        <f t="shared" si="17"/>
        <v>0</v>
      </c>
      <c r="Q363" s="233"/>
    </row>
    <row r="364" spans="4:17" ht="15.75">
      <c r="D364"/>
      <c r="E364"/>
      <c r="F364"/>
      <c r="G364"/>
      <c r="H364"/>
      <c r="I364"/>
      <c r="J364"/>
      <c r="K364"/>
      <c r="L364"/>
      <c r="M364"/>
      <c r="N364"/>
      <c r="O364"/>
      <c r="P364" s="233">
        <f t="shared" si="17"/>
        <v>0</v>
      </c>
      <c r="Q364" s="233"/>
    </row>
    <row r="365" spans="4:17" ht="15.75">
      <c r="D365"/>
      <c r="E365"/>
      <c r="F365"/>
      <c r="G365"/>
      <c r="H365"/>
      <c r="I365"/>
      <c r="J365"/>
      <c r="K365"/>
      <c r="L365"/>
      <c r="M365"/>
      <c r="N365"/>
      <c r="O365"/>
      <c r="P365" s="233">
        <f t="shared" si="17"/>
        <v>0</v>
      </c>
      <c r="Q365" s="233"/>
    </row>
    <row r="366" spans="4:17" ht="15.75">
      <c r="D366"/>
      <c r="E366"/>
      <c r="F366"/>
      <c r="G366"/>
      <c r="H366"/>
      <c r="I366"/>
      <c r="J366"/>
      <c r="K366"/>
      <c r="L366"/>
      <c r="M366"/>
      <c r="N366"/>
      <c r="O366"/>
      <c r="P366" s="233">
        <f t="shared" si="17"/>
        <v>0</v>
      </c>
      <c r="Q366" s="233"/>
    </row>
    <row r="367" spans="4:17" ht="15.75">
      <c r="D367"/>
      <c r="E367"/>
      <c r="F367"/>
      <c r="G367"/>
      <c r="H367"/>
      <c r="I367"/>
      <c r="J367"/>
      <c r="K367"/>
      <c r="L367"/>
      <c r="M367"/>
      <c r="N367"/>
      <c r="O367"/>
      <c r="P367" s="233">
        <f t="shared" si="17"/>
        <v>0</v>
      </c>
      <c r="Q367" s="233"/>
    </row>
    <row r="368" spans="4:17" ht="15.75">
      <c r="D368"/>
      <c r="E368"/>
      <c r="F368"/>
      <c r="G368"/>
      <c r="H368"/>
      <c r="I368"/>
      <c r="J368"/>
      <c r="K368"/>
      <c r="L368"/>
      <c r="M368"/>
      <c r="N368"/>
      <c r="O368"/>
      <c r="P368" s="233">
        <f t="shared" si="17"/>
        <v>0</v>
      </c>
      <c r="Q368" s="233"/>
    </row>
    <row r="369" spans="4:17" ht="15.75">
      <c r="D369"/>
      <c r="E369"/>
      <c r="F369"/>
      <c r="G369"/>
      <c r="H369"/>
      <c r="I369"/>
      <c r="J369"/>
      <c r="K369"/>
      <c r="L369"/>
      <c r="M369"/>
      <c r="N369"/>
      <c r="O369"/>
      <c r="P369" s="233">
        <f t="shared" si="17"/>
        <v>0</v>
      </c>
      <c r="Q369" s="233"/>
    </row>
    <row r="370" spans="4:17" ht="15.75">
      <c r="D370"/>
      <c r="E370"/>
      <c r="F370"/>
      <c r="G370"/>
      <c r="H370"/>
      <c r="I370"/>
      <c r="J370"/>
      <c r="K370"/>
      <c r="L370"/>
      <c r="M370"/>
      <c r="N370"/>
      <c r="O370"/>
      <c r="P370" s="233">
        <f t="shared" si="17"/>
        <v>0</v>
      </c>
      <c r="Q370" s="233"/>
    </row>
    <row r="371" spans="4:17" ht="15.75">
      <c r="D371"/>
      <c r="E371"/>
      <c r="F371"/>
      <c r="G371"/>
      <c r="H371"/>
      <c r="I371"/>
      <c r="J371"/>
      <c r="K371"/>
      <c r="L371"/>
      <c r="M371"/>
      <c r="N371"/>
      <c r="O371"/>
      <c r="P371" s="233">
        <f t="shared" si="17"/>
        <v>0</v>
      </c>
      <c r="Q371" s="233"/>
    </row>
    <row r="372" spans="4:17" ht="15.75">
      <c r="D372"/>
      <c r="E372"/>
      <c r="F372"/>
      <c r="G372"/>
      <c r="H372"/>
      <c r="I372"/>
      <c r="J372"/>
      <c r="K372"/>
      <c r="L372"/>
      <c r="M372"/>
      <c r="N372"/>
      <c r="O372"/>
      <c r="P372" s="233">
        <f t="shared" si="17"/>
        <v>0</v>
      </c>
      <c r="Q372" s="233"/>
    </row>
    <row r="373" spans="4:17" ht="15.75">
      <c r="D373"/>
      <c r="E373"/>
      <c r="F373"/>
      <c r="G373"/>
      <c r="H373"/>
      <c r="I373"/>
      <c r="J373"/>
      <c r="K373"/>
      <c r="L373"/>
      <c r="M373"/>
      <c r="N373"/>
      <c r="O373"/>
      <c r="P373" s="233">
        <f t="shared" si="17"/>
        <v>0</v>
      </c>
      <c r="Q373" s="233"/>
    </row>
    <row r="374" spans="4:17" ht="15.75">
      <c r="D374"/>
      <c r="E374"/>
      <c r="F374"/>
      <c r="G374"/>
      <c r="H374"/>
      <c r="I374"/>
      <c r="J374"/>
      <c r="K374"/>
      <c r="L374"/>
      <c r="M374"/>
      <c r="N374"/>
      <c r="O374"/>
      <c r="P374" s="233">
        <f t="shared" si="17"/>
        <v>0</v>
      </c>
      <c r="Q374" s="233"/>
    </row>
    <row r="375" spans="4:17" ht="15.75">
      <c r="D375"/>
      <c r="E375"/>
      <c r="F375"/>
      <c r="G375"/>
      <c r="H375"/>
      <c r="I375"/>
      <c r="J375"/>
      <c r="K375"/>
      <c r="L375"/>
      <c r="M375"/>
      <c r="N375"/>
      <c r="O375"/>
      <c r="P375" s="233">
        <f t="shared" si="17"/>
        <v>0</v>
      </c>
      <c r="Q375" s="233"/>
    </row>
    <row r="376" spans="4:17" ht="15.75">
      <c r="D376"/>
      <c r="E376"/>
      <c r="F376"/>
      <c r="G376"/>
      <c r="H376"/>
      <c r="I376"/>
      <c r="J376"/>
      <c r="K376"/>
      <c r="L376"/>
      <c r="M376"/>
      <c r="N376"/>
      <c r="O376"/>
      <c r="P376" s="233">
        <f t="shared" si="17"/>
        <v>0</v>
      </c>
      <c r="Q376" s="233"/>
    </row>
    <row r="377" spans="4:17" ht="15.75">
      <c r="D377"/>
      <c r="E377"/>
      <c r="F377"/>
      <c r="G377"/>
      <c r="H377"/>
      <c r="I377"/>
      <c r="J377"/>
      <c r="K377"/>
      <c r="L377"/>
      <c r="M377"/>
      <c r="N377"/>
      <c r="O377"/>
      <c r="P377" s="233">
        <f t="shared" si="17"/>
        <v>0</v>
      </c>
      <c r="Q377" s="233"/>
    </row>
    <row r="378" spans="4:17" ht="15.75">
      <c r="D378"/>
      <c r="E378"/>
      <c r="F378"/>
      <c r="G378"/>
      <c r="H378"/>
      <c r="I378"/>
      <c r="J378"/>
      <c r="K378"/>
      <c r="L378"/>
      <c r="M378"/>
      <c r="N378"/>
      <c r="O378"/>
      <c r="P378" s="233">
        <f t="shared" si="17"/>
        <v>0</v>
      </c>
      <c r="Q378" s="233"/>
    </row>
    <row r="379" spans="4:17" ht="15.75">
      <c r="D379"/>
      <c r="E379"/>
      <c r="F379"/>
      <c r="G379"/>
      <c r="H379"/>
      <c r="I379"/>
      <c r="J379"/>
      <c r="K379"/>
      <c r="L379"/>
      <c r="M379"/>
      <c r="N379"/>
      <c r="O379"/>
      <c r="P379" s="233">
        <f t="shared" si="17"/>
        <v>0</v>
      </c>
      <c r="Q379" s="233"/>
    </row>
    <row r="380" spans="4:17" ht="15.75">
      <c r="D380"/>
      <c r="E380"/>
      <c r="F380"/>
      <c r="G380"/>
      <c r="H380"/>
      <c r="I380"/>
      <c r="J380"/>
      <c r="K380"/>
      <c r="L380"/>
      <c r="M380"/>
      <c r="N380"/>
      <c r="O380"/>
      <c r="P380" s="233">
        <f t="shared" si="17"/>
        <v>0</v>
      </c>
      <c r="Q380" s="233"/>
    </row>
    <row r="381" spans="4:17" ht="15.75">
      <c r="D381"/>
      <c r="E381"/>
      <c r="F381"/>
      <c r="G381"/>
      <c r="H381"/>
      <c r="I381"/>
      <c r="J381"/>
      <c r="K381"/>
      <c r="L381"/>
      <c r="M381"/>
      <c r="N381"/>
      <c r="O381"/>
      <c r="P381" s="233">
        <f t="shared" si="17"/>
        <v>0</v>
      </c>
      <c r="Q381" s="233"/>
    </row>
    <row r="382" spans="4:17" ht="15.75">
      <c r="D382"/>
      <c r="E382"/>
      <c r="F382"/>
      <c r="G382"/>
      <c r="H382"/>
      <c r="I382"/>
      <c r="J382"/>
      <c r="K382"/>
      <c r="L382"/>
      <c r="M382"/>
      <c r="N382"/>
      <c r="O382"/>
      <c r="P382" s="233">
        <f t="shared" si="17"/>
        <v>0</v>
      </c>
      <c r="Q382" s="233"/>
    </row>
    <row r="383" spans="4:17" ht="15.75">
      <c r="D383"/>
      <c r="E383"/>
      <c r="F383"/>
      <c r="G383"/>
      <c r="H383"/>
      <c r="I383"/>
      <c r="J383"/>
      <c r="K383"/>
      <c r="L383"/>
      <c r="M383"/>
      <c r="N383"/>
      <c r="O383"/>
      <c r="P383" s="233">
        <f t="shared" si="17"/>
        <v>0</v>
      </c>
      <c r="Q383" s="233"/>
    </row>
    <row r="384" spans="4:17" ht="15.75">
      <c r="D384"/>
      <c r="E384"/>
      <c r="F384"/>
      <c r="G384"/>
      <c r="H384"/>
      <c r="I384"/>
      <c r="J384"/>
      <c r="K384"/>
      <c r="L384"/>
      <c r="M384"/>
      <c r="N384"/>
      <c r="O384"/>
      <c r="P384" s="233">
        <f t="shared" si="17"/>
        <v>0</v>
      </c>
      <c r="Q384" s="233"/>
    </row>
    <row r="385" spans="4:17" ht="15.75">
      <c r="D385"/>
      <c r="E385"/>
      <c r="F385"/>
      <c r="G385"/>
      <c r="H385"/>
      <c r="I385"/>
      <c r="J385"/>
      <c r="K385"/>
      <c r="L385"/>
      <c r="M385"/>
      <c r="N385"/>
      <c r="O385"/>
      <c r="P385" s="233">
        <f t="shared" si="17"/>
        <v>0</v>
      </c>
      <c r="Q385" s="233"/>
    </row>
    <row r="386" spans="4:17" ht="15.75">
      <c r="D386"/>
      <c r="E386"/>
      <c r="F386"/>
      <c r="G386"/>
      <c r="H386"/>
      <c r="I386"/>
      <c r="J386"/>
      <c r="K386"/>
      <c r="L386"/>
      <c r="M386"/>
      <c r="N386"/>
      <c r="O386"/>
      <c r="P386" s="233">
        <f t="shared" si="17"/>
        <v>0</v>
      </c>
      <c r="Q386" s="233"/>
    </row>
    <row r="387" spans="4:17" ht="15.75">
      <c r="D387"/>
      <c r="E387"/>
      <c r="F387"/>
      <c r="G387"/>
      <c r="H387"/>
      <c r="I387"/>
      <c r="J387"/>
      <c r="K387"/>
      <c r="L387"/>
      <c r="M387"/>
      <c r="N387"/>
      <c r="O387"/>
      <c r="P387" s="233">
        <f t="shared" si="17"/>
        <v>0</v>
      </c>
      <c r="Q387" s="233"/>
    </row>
    <row r="388" spans="4:17" ht="15.75">
      <c r="D388"/>
      <c r="E388"/>
      <c r="F388"/>
      <c r="G388"/>
      <c r="H388"/>
      <c r="I388"/>
      <c r="J388"/>
      <c r="K388"/>
      <c r="L388"/>
      <c r="M388"/>
      <c r="N388"/>
      <c r="O388"/>
      <c r="P388" s="233">
        <f t="shared" si="17"/>
        <v>0</v>
      </c>
      <c r="Q388" s="233"/>
    </row>
    <row r="389" spans="4:17" ht="15.75">
      <c r="D389"/>
      <c r="E389"/>
      <c r="F389"/>
      <c r="G389"/>
      <c r="H389"/>
      <c r="I389"/>
      <c r="J389"/>
      <c r="K389"/>
      <c r="L389"/>
      <c r="M389"/>
      <c r="N389"/>
      <c r="O389"/>
      <c r="P389" s="233">
        <f t="shared" si="17"/>
        <v>0</v>
      </c>
      <c r="Q389" s="233"/>
    </row>
    <row r="390" spans="4:17" ht="15.75">
      <c r="D390"/>
      <c r="E390"/>
      <c r="F390"/>
      <c r="G390"/>
      <c r="H390"/>
      <c r="I390"/>
      <c r="J390"/>
      <c r="K390"/>
      <c r="L390"/>
      <c r="M390"/>
      <c r="N390"/>
      <c r="O390"/>
      <c r="P390" s="233">
        <f t="shared" si="17"/>
        <v>0</v>
      </c>
      <c r="Q390" s="233"/>
    </row>
    <row r="391" spans="4:17" ht="15.75">
      <c r="D391"/>
      <c r="E391"/>
      <c r="F391"/>
      <c r="G391"/>
      <c r="H391"/>
      <c r="I391"/>
      <c r="J391"/>
      <c r="K391"/>
      <c r="L391"/>
      <c r="M391"/>
      <c r="N391"/>
      <c r="O391"/>
      <c r="P391" s="233">
        <f t="shared" si="17"/>
        <v>0</v>
      </c>
      <c r="Q391" s="233"/>
    </row>
    <row r="392" spans="4:17" ht="15.75">
      <c r="D392"/>
      <c r="E392"/>
      <c r="F392"/>
      <c r="G392"/>
      <c r="H392"/>
      <c r="I392"/>
      <c r="J392"/>
      <c r="K392"/>
      <c r="L392"/>
      <c r="M392"/>
      <c r="N392"/>
      <c r="O392"/>
      <c r="P392" s="233">
        <f t="shared" si="17"/>
        <v>0</v>
      </c>
      <c r="Q392" s="233"/>
    </row>
    <row r="393" spans="4:17" ht="15.75">
      <c r="D393"/>
      <c r="E393"/>
      <c r="F393"/>
      <c r="G393"/>
      <c r="H393"/>
      <c r="I393"/>
      <c r="J393"/>
      <c r="K393"/>
      <c r="L393"/>
      <c r="M393"/>
      <c r="N393"/>
      <c r="O393"/>
      <c r="P393" s="233">
        <f t="shared" si="17"/>
        <v>0</v>
      </c>
      <c r="Q393" s="233"/>
    </row>
    <row r="394" spans="4:17" ht="15.75">
      <c r="D394"/>
      <c r="E394"/>
      <c r="F394"/>
      <c r="G394"/>
      <c r="H394"/>
      <c r="I394"/>
      <c r="J394"/>
      <c r="K394"/>
      <c r="L394"/>
      <c r="M394"/>
      <c r="N394"/>
      <c r="O394"/>
      <c r="P394" s="233">
        <f t="shared" si="17"/>
        <v>0</v>
      </c>
      <c r="Q394" s="233"/>
    </row>
    <row r="395" spans="4:17" ht="15.75">
      <c r="D395"/>
      <c r="E395"/>
      <c r="F395"/>
      <c r="G395"/>
      <c r="H395"/>
      <c r="I395"/>
      <c r="J395"/>
      <c r="K395"/>
      <c r="L395"/>
      <c r="M395"/>
      <c r="N395"/>
      <c r="O395"/>
      <c r="P395" s="233">
        <f t="shared" si="17"/>
        <v>0</v>
      </c>
      <c r="Q395" s="233"/>
    </row>
    <row r="396" spans="4:17" ht="15.75">
      <c r="D396"/>
      <c r="E396"/>
      <c r="F396"/>
      <c r="G396"/>
      <c r="H396"/>
      <c r="I396"/>
      <c r="J396"/>
      <c r="K396"/>
      <c r="L396"/>
      <c r="M396"/>
      <c r="N396"/>
      <c r="O396"/>
      <c r="P396" s="233">
        <f t="shared" si="17"/>
        <v>0</v>
      </c>
      <c r="Q396" s="233"/>
    </row>
    <row r="397" spans="4:17" ht="15.75">
      <c r="D397"/>
      <c r="E397"/>
      <c r="F397"/>
      <c r="G397"/>
      <c r="H397"/>
      <c r="I397"/>
      <c r="J397"/>
      <c r="K397"/>
      <c r="L397"/>
      <c r="M397"/>
      <c r="N397"/>
      <c r="O397"/>
      <c r="P397" s="233">
        <f t="shared" si="17"/>
        <v>0</v>
      </c>
      <c r="Q397" s="233"/>
    </row>
    <row r="398" spans="4:17" ht="15.75">
      <c r="D398"/>
      <c r="E398"/>
      <c r="F398"/>
      <c r="G398"/>
      <c r="H398"/>
      <c r="I398"/>
      <c r="J398"/>
      <c r="K398"/>
      <c r="L398"/>
      <c r="M398"/>
      <c r="N398"/>
      <c r="O398"/>
      <c r="P398" s="233">
        <f t="shared" ref="P398:P461" si="18">IF(ISNUMBER(Q398),Q398,0)</f>
        <v>0</v>
      </c>
      <c r="Q398" s="233"/>
    </row>
    <row r="399" spans="4:17" ht="15.75">
      <c r="D399"/>
      <c r="E399"/>
      <c r="F399"/>
      <c r="G399"/>
      <c r="H399"/>
      <c r="I399"/>
      <c r="J399"/>
      <c r="K399"/>
      <c r="L399"/>
      <c r="M399"/>
      <c r="N399"/>
      <c r="O399"/>
      <c r="P399" s="233">
        <f t="shared" si="18"/>
        <v>0</v>
      </c>
      <c r="Q399" s="233"/>
    </row>
    <row r="400" spans="4:17" ht="15.75">
      <c r="D400"/>
      <c r="E400"/>
      <c r="F400"/>
      <c r="G400"/>
      <c r="H400"/>
      <c r="I400"/>
      <c r="J400"/>
      <c r="K400"/>
      <c r="L400"/>
      <c r="M400"/>
      <c r="N400"/>
      <c r="O400"/>
      <c r="P400" s="233">
        <f t="shared" si="18"/>
        <v>0</v>
      </c>
      <c r="Q400" s="233"/>
    </row>
    <row r="401" spans="4:17" ht="15.75">
      <c r="D401"/>
      <c r="E401"/>
      <c r="F401"/>
      <c r="G401"/>
      <c r="H401"/>
      <c r="I401"/>
      <c r="J401"/>
      <c r="K401"/>
      <c r="L401"/>
      <c r="M401"/>
      <c r="N401"/>
      <c r="O401"/>
      <c r="P401" s="233">
        <f t="shared" si="18"/>
        <v>0</v>
      </c>
      <c r="Q401" s="233"/>
    </row>
    <row r="402" spans="4:17" ht="15.75">
      <c r="D402"/>
      <c r="E402"/>
      <c r="F402"/>
      <c r="G402"/>
      <c r="H402"/>
      <c r="I402"/>
      <c r="J402"/>
      <c r="K402"/>
      <c r="L402"/>
      <c r="M402"/>
      <c r="N402"/>
      <c r="O402"/>
      <c r="P402" s="233">
        <f t="shared" si="18"/>
        <v>0</v>
      </c>
      <c r="Q402" s="233"/>
    </row>
    <row r="403" spans="4:17" ht="15.75">
      <c r="D403"/>
      <c r="E403"/>
      <c r="F403"/>
      <c r="G403"/>
      <c r="H403"/>
      <c r="I403"/>
      <c r="J403"/>
      <c r="K403"/>
      <c r="L403"/>
      <c r="M403"/>
      <c r="N403"/>
      <c r="O403"/>
      <c r="P403" s="233">
        <f t="shared" si="18"/>
        <v>0</v>
      </c>
      <c r="Q403" s="233"/>
    </row>
    <row r="404" spans="4:17" ht="15.75">
      <c r="D404"/>
      <c r="E404"/>
      <c r="F404"/>
      <c r="G404"/>
      <c r="H404"/>
      <c r="I404"/>
      <c r="J404"/>
      <c r="K404"/>
      <c r="L404"/>
      <c r="M404"/>
      <c r="N404"/>
      <c r="O404"/>
      <c r="P404" s="233">
        <f t="shared" si="18"/>
        <v>0</v>
      </c>
      <c r="Q404" s="233"/>
    </row>
    <row r="405" spans="4:17" ht="15.75">
      <c r="D405"/>
      <c r="E405"/>
      <c r="F405"/>
      <c r="G405"/>
      <c r="H405"/>
      <c r="I405"/>
      <c r="J405"/>
      <c r="K405"/>
      <c r="L405"/>
      <c r="M405"/>
      <c r="N405"/>
      <c r="O405"/>
      <c r="P405" s="233">
        <f t="shared" si="18"/>
        <v>0</v>
      </c>
      <c r="Q405" s="233"/>
    </row>
    <row r="406" spans="4:17" ht="15.75">
      <c r="D406"/>
      <c r="E406"/>
      <c r="F406"/>
      <c r="G406"/>
      <c r="H406"/>
      <c r="I406"/>
      <c r="J406"/>
      <c r="K406"/>
      <c r="L406"/>
      <c r="M406"/>
      <c r="N406"/>
      <c r="O406"/>
      <c r="P406" s="233">
        <f t="shared" si="18"/>
        <v>0</v>
      </c>
      <c r="Q406" s="233"/>
    </row>
    <row r="407" spans="4:17" ht="15.75">
      <c r="D407"/>
      <c r="E407"/>
      <c r="F407"/>
      <c r="G407"/>
      <c r="H407"/>
      <c r="I407"/>
      <c r="J407"/>
      <c r="K407"/>
      <c r="L407"/>
      <c r="M407"/>
      <c r="N407"/>
      <c r="O407"/>
      <c r="P407" s="233">
        <f t="shared" si="18"/>
        <v>0</v>
      </c>
      <c r="Q407" s="233"/>
    </row>
    <row r="408" spans="4:17" ht="15.75">
      <c r="D408"/>
      <c r="E408"/>
      <c r="F408"/>
      <c r="G408"/>
      <c r="H408"/>
      <c r="I408"/>
      <c r="J408"/>
      <c r="K408"/>
      <c r="L408"/>
      <c r="M408"/>
      <c r="N408"/>
      <c r="O408"/>
      <c r="P408" s="233">
        <f t="shared" si="18"/>
        <v>0</v>
      </c>
      <c r="Q408" s="233"/>
    </row>
    <row r="409" spans="4:17" ht="15.75">
      <c r="D409"/>
      <c r="E409"/>
      <c r="F409"/>
      <c r="G409"/>
      <c r="H409"/>
      <c r="I409"/>
      <c r="J409"/>
      <c r="K409"/>
      <c r="L409"/>
      <c r="M409"/>
      <c r="N409"/>
      <c r="O409"/>
      <c r="P409" s="233">
        <f t="shared" si="18"/>
        <v>0</v>
      </c>
      <c r="Q409" s="233"/>
    </row>
    <row r="410" spans="4:17" ht="15.75">
      <c r="D410"/>
      <c r="E410"/>
      <c r="F410"/>
      <c r="G410"/>
      <c r="H410"/>
      <c r="I410"/>
      <c r="J410"/>
      <c r="K410"/>
      <c r="L410"/>
      <c r="M410"/>
      <c r="N410"/>
      <c r="O410"/>
      <c r="P410" s="233">
        <f t="shared" si="18"/>
        <v>0</v>
      </c>
      <c r="Q410" s="233"/>
    </row>
    <row r="411" spans="4:17" ht="15.75">
      <c r="D411"/>
      <c r="E411"/>
      <c r="F411"/>
      <c r="G411"/>
      <c r="H411"/>
      <c r="I411"/>
      <c r="J411"/>
      <c r="K411"/>
      <c r="L411"/>
      <c r="M411"/>
      <c r="N411"/>
      <c r="O411"/>
      <c r="P411" s="233">
        <f t="shared" si="18"/>
        <v>0</v>
      </c>
      <c r="Q411" s="233"/>
    </row>
    <row r="412" spans="4:17" ht="15.75">
      <c r="D412"/>
      <c r="E412"/>
      <c r="F412"/>
      <c r="G412"/>
      <c r="H412"/>
      <c r="I412"/>
      <c r="J412"/>
      <c r="K412"/>
      <c r="L412"/>
      <c r="M412"/>
      <c r="N412"/>
      <c r="O412"/>
      <c r="P412" s="233">
        <f t="shared" si="18"/>
        <v>0</v>
      </c>
      <c r="Q412" s="233"/>
    </row>
    <row r="413" spans="4:17" ht="15.75">
      <c r="D413"/>
      <c r="E413"/>
      <c r="F413"/>
      <c r="G413"/>
      <c r="H413"/>
      <c r="I413"/>
      <c r="J413"/>
      <c r="K413"/>
      <c r="L413"/>
      <c r="M413"/>
      <c r="N413"/>
      <c r="O413"/>
      <c r="P413" s="233">
        <f t="shared" si="18"/>
        <v>0</v>
      </c>
      <c r="Q413" s="233"/>
    </row>
    <row r="414" spans="4:17" ht="15.75">
      <c r="D414"/>
      <c r="E414"/>
      <c r="F414"/>
      <c r="G414"/>
      <c r="H414"/>
      <c r="I414"/>
      <c r="J414"/>
      <c r="K414"/>
      <c r="L414"/>
      <c r="M414"/>
      <c r="N414"/>
      <c r="O414"/>
      <c r="P414" s="233">
        <f t="shared" si="18"/>
        <v>0</v>
      </c>
      <c r="Q414" s="233"/>
    </row>
    <row r="415" spans="4:17" ht="15.75">
      <c r="D415"/>
      <c r="E415"/>
      <c r="F415"/>
      <c r="G415"/>
      <c r="H415"/>
      <c r="I415"/>
      <c r="J415"/>
      <c r="K415"/>
      <c r="L415"/>
      <c r="M415"/>
      <c r="N415"/>
      <c r="O415"/>
      <c r="P415" s="233">
        <f t="shared" si="18"/>
        <v>0</v>
      </c>
      <c r="Q415" s="233"/>
    </row>
    <row r="416" spans="4:17" ht="15.75">
      <c r="D416"/>
      <c r="E416"/>
      <c r="F416"/>
      <c r="G416"/>
      <c r="H416"/>
      <c r="I416"/>
      <c r="J416"/>
      <c r="K416"/>
      <c r="L416"/>
      <c r="M416"/>
      <c r="N416"/>
      <c r="O416"/>
      <c r="P416" s="233">
        <f t="shared" si="18"/>
        <v>0</v>
      </c>
      <c r="Q416" s="233"/>
    </row>
    <row r="417" spans="4:17" ht="15.75">
      <c r="D417"/>
      <c r="E417"/>
      <c r="F417"/>
      <c r="G417"/>
      <c r="H417"/>
      <c r="I417"/>
      <c r="J417"/>
      <c r="K417"/>
      <c r="L417"/>
      <c r="M417"/>
      <c r="N417"/>
      <c r="O417"/>
      <c r="P417" s="233">
        <f t="shared" si="18"/>
        <v>0</v>
      </c>
      <c r="Q417" s="233"/>
    </row>
    <row r="418" spans="4:17" ht="15.75">
      <c r="D418"/>
      <c r="E418"/>
      <c r="F418"/>
      <c r="G418"/>
      <c r="H418"/>
      <c r="I418"/>
      <c r="J418"/>
      <c r="K418"/>
      <c r="L418"/>
      <c r="M418"/>
      <c r="N418"/>
      <c r="O418"/>
      <c r="P418" s="233">
        <f t="shared" si="18"/>
        <v>0</v>
      </c>
      <c r="Q418" s="233"/>
    </row>
    <row r="419" spans="4:17" ht="15.75">
      <c r="D419"/>
      <c r="E419"/>
      <c r="F419"/>
      <c r="G419"/>
      <c r="H419"/>
      <c r="I419"/>
      <c r="J419"/>
      <c r="K419"/>
      <c r="L419"/>
      <c r="M419"/>
      <c r="N419"/>
      <c r="O419"/>
      <c r="P419" s="233">
        <f t="shared" si="18"/>
        <v>0</v>
      </c>
      <c r="Q419" s="233"/>
    </row>
    <row r="420" spans="4:17" ht="15.75">
      <c r="D420"/>
      <c r="E420"/>
      <c r="F420"/>
      <c r="G420"/>
      <c r="H420"/>
      <c r="I420"/>
      <c r="J420"/>
      <c r="K420"/>
      <c r="L420"/>
      <c r="M420"/>
      <c r="N420"/>
      <c r="O420"/>
      <c r="P420" s="233">
        <f t="shared" si="18"/>
        <v>0</v>
      </c>
      <c r="Q420" s="233"/>
    </row>
    <row r="421" spans="4:17" ht="15.75">
      <c r="D421"/>
      <c r="E421"/>
      <c r="F421"/>
      <c r="G421"/>
      <c r="H421"/>
      <c r="I421"/>
      <c r="J421"/>
      <c r="K421"/>
      <c r="L421"/>
      <c r="M421"/>
      <c r="N421"/>
      <c r="O421"/>
      <c r="P421" s="233">
        <f t="shared" si="18"/>
        <v>0</v>
      </c>
      <c r="Q421" s="233"/>
    </row>
    <row r="422" spans="4:17" ht="15.75">
      <c r="D422"/>
      <c r="E422"/>
      <c r="F422"/>
      <c r="G422"/>
      <c r="H422"/>
      <c r="I422"/>
      <c r="J422"/>
      <c r="K422"/>
      <c r="L422"/>
      <c r="M422"/>
      <c r="N422"/>
      <c r="O422"/>
      <c r="P422" s="233">
        <f t="shared" si="18"/>
        <v>0</v>
      </c>
      <c r="Q422" s="233"/>
    </row>
    <row r="423" spans="4:17" ht="15.75">
      <c r="D423"/>
      <c r="E423"/>
      <c r="F423"/>
      <c r="G423"/>
      <c r="H423"/>
      <c r="I423"/>
      <c r="J423"/>
      <c r="K423"/>
      <c r="L423"/>
      <c r="M423"/>
      <c r="N423"/>
      <c r="O423"/>
      <c r="P423" s="233">
        <f t="shared" si="18"/>
        <v>0</v>
      </c>
      <c r="Q423" s="233"/>
    </row>
    <row r="424" spans="4:17" ht="15.75">
      <c r="D424"/>
      <c r="E424"/>
      <c r="F424"/>
      <c r="G424"/>
      <c r="H424"/>
      <c r="I424"/>
      <c r="J424"/>
      <c r="K424"/>
      <c r="L424"/>
      <c r="M424"/>
      <c r="N424"/>
      <c r="O424"/>
      <c r="P424" s="233">
        <f t="shared" si="18"/>
        <v>0</v>
      </c>
      <c r="Q424" s="233"/>
    </row>
    <row r="425" spans="4:17" ht="15.75">
      <c r="D425"/>
      <c r="E425"/>
      <c r="F425"/>
      <c r="G425"/>
      <c r="H425"/>
      <c r="I425"/>
      <c r="J425"/>
      <c r="K425"/>
      <c r="L425"/>
      <c r="M425"/>
      <c r="N425"/>
      <c r="O425"/>
      <c r="P425" s="233">
        <f t="shared" si="18"/>
        <v>0</v>
      </c>
      <c r="Q425" s="233"/>
    </row>
    <row r="426" spans="4:17" ht="15.75">
      <c r="D426"/>
      <c r="E426"/>
      <c r="F426"/>
      <c r="G426"/>
      <c r="H426"/>
      <c r="I426"/>
      <c r="J426"/>
      <c r="K426"/>
      <c r="L426"/>
      <c r="M426"/>
      <c r="N426"/>
      <c r="O426"/>
      <c r="P426" s="233">
        <f t="shared" si="18"/>
        <v>0</v>
      </c>
      <c r="Q426" s="233"/>
    </row>
    <row r="427" spans="4:17" ht="15.75">
      <c r="D427"/>
      <c r="E427"/>
      <c r="F427"/>
      <c r="G427"/>
      <c r="H427"/>
      <c r="I427"/>
      <c r="J427"/>
      <c r="K427"/>
      <c r="L427"/>
      <c r="M427"/>
      <c r="N427"/>
      <c r="O427"/>
      <c r="P427" s="233">
        <f t="shared" si="18"/>
        <v>0</v>
      </c>
      <c r="Q427" s="233"/>
    </row>
    <row r="428" spans="4:17" ht="15.75">
      <c r="D428"/>
      <c r="E428"/>
      <c r="F428"/>
      <c r="G428"/>
      <c r="H428"/>
      <c r="I428"/>
      <c r="J428"/>
      <c r="K428"/>
      <c r="L428"/>
      <c r="M428"/>
      <c r="N428"/>
      <c r="O428"/>
      <c r="P428" s="233">
        <f t="shared" si="18"/>
        <v>0</v>
      </c>
      <c r="Q428" s="233"/>
    </row>
    <row r="429" spans="4:17" ht="15.75">
      <c r="D429"/>
      <c r="E429"/>
      <c r="F429"/>
      <c r="G429"/>
      <c r="H429"/>
      <c r="I429"/>
      <c r="J429"/>
      <c r="K429"/>
      <c r="L429"/>
      <c r="M429"/>
      <c r="N429"/>
      <c r="O429"/>
      <c r="P429" s="233">
        <f t="shared" si="18"/>
        <v>0</v>
      </c>
      <c r="Q429" s="233"/>
    </row>
    <row r="430" spans="4:17" ht="15.75">
      <c r="D430"/>
      <c r="E430"/>
      <c r="F430"/>
      <c r="G430"/>
      <c r="H430"/>
      <c r="I430"/>
      <c r="J430"/>
      <c r="K430"/>
      <c r="L430"/>
      <c r="M430"/>
      <c r="N430"/>
      <c r="O430"/>
      <c r="P430" s="233">
        <f t="shared" si="18"/>
        <v>0</v>
      </c>
      <c r="Q430" s="233"/>
    </row>
    <row r="431" spans="4:17" ht="15.75">
      <c r="D431"/>
      <c r="E431"/>
      <c r="F431"/>
      <c r="G431"/>
      <c r="H431"/>
      <c r="I431"/>
      <c r="J431"/>
      <c r="K431"/>
      <c r="L431"/>
      <c r="M431"/>
      <c r="N431"/>
      <c r="O431"/>
      <c r="P431" s="233">
        <f t="shared" si="18"/>
        <v>0</v>
      </c>
      <c r="Q431" s="233"/>
    </row>
    <row r="432" spans="4:17" ht="15.75">
      <c r="D432"/>
      <c r="E432"/>
      <c r="F432"/>
      <c r="G432"/>
      <c r="H432"/>
      <c r="I432"/>
      <c r="J432"/>
      <c r="K432"/>
      <c r="L432"/>
      <c r="M432"/>
      <c r="N432"/>
      <c r="O432"/>
      <c r="P432" s="233">
        <f t="shared" si="18"/>
        <v>0</v>
      </c>
      <c r="Q432" s="233"/>
    </row>
    <row r="433" spans="4:17" ht="15.75">
      <c r="D433"/>
      <c r="E433"/>
      <c r="F433"/>
      <c r="G433"/>
      <c r="H433"/>
      <c r="I433"/>
      <c r="J433"/>
      <c r="K433"/>
      <c r="L433"/>
      <c r="M433"/>
      <c r="N433"/>
      <c r="O433"/>
      <c r="P433" s="233">
        <f t="shared" si="18"/>
        <v>0</v>
      </c>
      <c r="Q433" s="233"/>
    </row>
    <row r="434" spans="4:17" ht="15.75">
      <c r="D434"/>
      <c r="E434"/>
      <c r="F434"/>
      <c r="G434"/>
      <c r="H434"/>
      <c r="I434"/>
      <c r="J434"/>
      <c r="K434"/>
      <c r="L434"/>
      <c r="M434"/>
      <c r="N434"/>
      <c r="O434"/>
      <c r="P434" s="233">
        <f t="shared" si="18"/>
        <v>0</v>
      </c>
      <c r="Q434" s="233"/>
    </row>
    <row r="435" spans="4:17" ht="15.75">
      <c r="D435"/>
      <c r="E435"/>
      <c r="F435"/>
      <c r="G435"/>
      <c r="H435"/>
      <c r="I435"/>
      <c r="J435"/>
      <c r="K435"/>
      <c r="L435"/>
      <c r="M435"/>
      <c r="N435"/>
      <c r="O435"/>
      <c r="P435" s="233">
        <f t="shared" si="18"/>
        <v>0</v>
      </c>
      <c r="Q435" s="233"/>
    </row>
    <row r="436" spans="4:17" ht="15.75">
      <c r="D436"/>
      <c r="E436"/>
      <c r="F436"/>
      <c r="G436"/>
      <c r="H436"/>
      <c r="I436"/>
      <c r="J436"/>
      <c r="K436"/>
      <c r="L436"/>
      <c r="M436"/>
      <c r="N436"/>
      <c r="O436"/>
      <c r="P436" s="233">
        <f t="shared" si="18"/>
        <v>0</v>
      </c>
      <c r="Q436" s="233"/>
    </row>
    <row r="437" spans="4:17" ht="15.75">
      <c r="D437"/>
      <c r="E437"/>
      <c r="F437"/>
      <c r="G437"/>
      <c r="H437"/>
      <c r="I437"/>
      <c r="J437"/>
      <c r="K437"/>
      <c r="L437"/>
      <c r="M437"/>
      <c r="N437"/>
      <c r="O437"/>
      <c r="P437" s="233">
        <f t="shared" si="18"/>
        <v>0</v>
      </c>
      <c r="Q437" s="233"/>
    </row>
    <row r="438" spans="4:17" ht="15.75">
      <c r="D438"/>
      <c r="E438"/>
      <c r="F438"/>
      <c r="G438"/>
      <c r="H438"/>
      <c r="I438"/>
      <c r="J438"/>
      <c r="K438"/>
      <c r="L438"/>
      <c r="M438"/>
      <c r="N438"/>
      <c r="O438"/>
      <c r="P438" s="233">
        <f t="shared" si="18"/>
        <v>0</v>
      </c>
      <c r="Q438" s="233"/>
    </row>
    <row r="439" spans="4:17" ht="15.75">
      <c r="D439"/>
      <c r="E439"/>
      <c r="F439"/>
      <c r="G439"/>
      <c r="H439"/>
      <c r="I439"/>
      <c r="J439"/>
      <c r="K439"/>
      <c r="L439"/>
      <c r="M439"/>
      <c r="N439"/>
      <c r="O439"/>
      <c r="P439" s="233">
        <f t="shared" si="18"/>
        <v>0</v>
      </c>
      <c r="Q439" s="233"/>
    </row>
    <row r="440" spans="4:17" ht="15.75">
      <c r="D440"/>
      <c r="E440"/>
      <c r="F440"/>
      <c r="G440"/>
      <c r="H440"/>
      <c r="I440"/>
      <c r="J440"/>
      <c r="K440"/>
      <c r="L440"/>
      <c r="M440"/>
      <c r="N440"/>
      <c r="O440"/>
      <c r="P440" s="233">
        <f t="shared" si="18"/>
        <v>0</v>
      </c>
      <c r="Q440" s="233"/>
    </row>
    <row r="441" spans="4:17" ht="15.75">
      <c r="D441"/>
      <c r="E441"/>
      <c r="F441"/>
      <c r="G441"/>
      <c r="H441"/>
      <c r="I441"/>
      <c r="J441"/>
      <c r="K441"/>
      <c r="L441"/>
      <c r="M441"/>
      <c r="N441"/>
      <c r="O441"/>
      <c r="P441" s="233">
        <f t="shared" si="18"/>
        <v>0</v>
      </c>
      <c r="Q441" s="233"/>
    </row>
    <row r="442" spans="4:17" ht="15.75">
      <c r="D442"/>
      <c r="E442"/>
      <c r="F442"/>
      <c r="G442"/>
      <c r="H442"/>
      <c r="I442"/>
      <c r="J442"/>
      <c r="K442"/>
      <c r="L442"/>
      <c r="M442"/>
      <c r="N442"/>
      <c r="O442"/>
      <c r="P442" s="233">
        <f t="shared" si="18"/>
        <v>0</v>
      </c>
      <c r="Q442" s="233"/>
    </row>
    <row r="443" spans="4:17" ht="15.75">
      <c r="D443"/>
      <c r="E443"/>
      <c r="F443"/>
      <c r="G443"/>
      <c r="H443"/>
      <c r="I443"/>
      <c r="J443"/>
      <c r="K443"/>
      <c r="L443"/>
      <c r="M443"/>
      <c r="N443"/>
      <c r="O443"/>
      <c r="P443" s="233">
        <f t="shared" si="18"/>
        <v>0</v>
      </c>
      <c r="Q443" s="233"/>
    </row>
    <row r="444" spans="4:17" ht="15.75">
      <c r="D444"/>
      <c r="E444"/>
      <c r="F444"/>
      <c r="G444"/>
      <c r="H444"/>
      <c r="I444"/>
      <c r="J444"/>
      <c r="K444"/>
      <c r="L444"/>
      <c r="M444"/>
      <c r="N444"/>
      <c r="O444"/>
      <c r="P444" s="233">
        <f t="shared" si="18"/>
        <v>0</v>
      </c>
      <c r="Q444" s="233"/>
    </row>
    <row r="445" spans="4:17" ht="15.75">
      <c r="D445"/>
      <c r="E445"/>
      <c r="F445"/>
      <c r="G445"/>
      <c r="H445"/>
      <c r="I445"/>
      <c r="J445"/>
      <c r="K445"/>
      <c r="L445"/>
      <c r="M445"/>
      <c r="N445"/>
      <c r="O445"/>
      <c r="P445" s="233">
        <f t="shared" si="18"/>
        <v>0</v>
      </c>
      <c r="Q445" s="233"/>
    </row>
    <row r="446" spans="4:17" ht="15.75">
      <c r="D446"/>
      <c r="E446"/>
      <c r="F446"/>
      <c r="G446"/>
      <c r="H446"/>
      <c r="I446"/>
      <c r="J446"/>
      <c r="K446"/>
      <c r="L446"/>
      <c r="M446"/>
      <c r="N446"/>
      <c r="O446"/>
      <c r="P446" s="233">
        <f t="shared" si="18"/>
        <v>0</v>
      </c>
      <c r="Q446" s="233"/>
    </row>
    <row r="447" spans="4:17" ht="15.75">
      <c r="D447"/>
      <c r="E447"/>
      <c r="F447"/>
      <c r="G447"/>
      <c r="H447"/>
      <c r="I447"/>
      <c r="J447"/>
      <c r="K447"/>
      <c r="L447"/>
      <c r="M447"/>
      <c r="N447"/>
      <c r="O447"/>
      <c r="P447" s="233">
        <f t="shared" si="18"/>
        <v>0</v>
      </c>
      <c r="Q447" s="233"/>
    </row>
    <row r="448" spans="4:17" ht="15.75">
      <c r="D448"/>
      <c r="E448"/>
      <c r="F448"/>
      <c r="G448"/>
      <c r="H448"/>
      <c r="I448"/>
      <c r="J448"/>
      <c r="K448"/>
      <c r="L448"/>
      <c r="M448"/>
      <c r="N448"/>
      <c r="O448"/>
      <c r="P448" s="233">
        <f t="shared" si="18"/>
        <v>0</v>
      </c>
      <c r="Q448" s="233"/>
    </row>
    <row r="449" spans="4:17" ht="15.75">
      <c r="D449"/>
      <c r="E449"/>
      <c r="F449"/>
      <c r="G449"/>
      <c r="H449"/>
      <c r="I449"/>
      <c r="J449"/>
      <c r="K449"/>
      <c r="L449"/>
      <c r="M449"/>
      <c r="N449"/>
      <c r="O449"/>
      <c r="P449" s="233">
        <f t="shared" si="18"/>
        <v>0</v>
      </c>
      <c r="Q449" s="233"/>
    </row>
    <row r="450" spans="4:17" ht="15.75">
      <c r="D450"/>
      <c r="E450"/>
      <c r="F450"/>
      <c r="G450"/>
      <c r="H450"/>
      <c r="I450"/>
      <c r="J450"/>
      <c r="K450"/>
      <c r="L450"/>
      <c r="M450"/>
      <c r="N450"/>
      <c r="O450"/>
      <c r="P450" s="233">
        <f t="shared" si="18"/>
        <v>0</v>
      </c>
      <c r="Q450" s="233"/>
    </row>
    <row r="451" spans="4:17" ht="15.75">
      <c r="D451"/>
      <c r="E451"/>
      <c r="F451"/>
      <c r="G451"/>
      <c r="H451"/>
      <c r="I451"/>
      <c r="J451"/>
      <c r="K451"/>
      <c r="L451"/>
      <c r="M451"/>
      <c r="N451"/>
      <c r="O451"/>
      <c r="P451" s="233">
        <f t="shared" si="18"/>
        <v>0</v>
      </c>
      <c r="Q451" s="233"/>
    </row>
    <row r="452" spans="4:17" ht="15.75">
      <c r="D452"/>
      <c r="E452"/>
      <c r="F452"/>
      <c r="G452"/>
      <c r="H452"/>
      <c r="I452"/>
      <c r="J452"/>
      <c r="K452"/>
      <c r="L452"/>
      <c r="M452"/>
      <c r="N452"/>
      <c r="O452"/>
      <c r="P452" s="233">
        <f t="shared" si="18"/>
        <v>0</v>
      </c>
      <c r="Q452" s="233"/>
    </row>
    <row r="453" spans="4:17" ht="15.75">
      <c r="D453"/>
      <c r="E453"/>
      <c r="F453"/>
      <c r="G453"/>
      <c r="H453"/>
      <c r="I453"/>
      <c r="J453"/>
      <c r="K453"/>
      <c r="L453"/>
      <c r="M453"/>
      <c r="N453"/>
      <c r="O453"/>
      <c r="P453" s="233">
        <f t="shared" si="18"/>
        <v>0</v>
      </c>
      <c r="Q453" s="233"/>
    </row>
    <row r="454" spans="4:17" ht="15.75">
      <c r="D454"/>
      <c r="E454"/>
      <c r="F454"/>
      <c r="G454"/>
      <c r="H454"/>
      <c r="I454"/>
      <c r="J454"/>
      <c r="K454"/>
      <c r="L454"/>
      <c r="M454"/>
      <c r="N454"/>
      <c r="O454"/>
      <c r="P454" s="233">
        <f t="shared" si="18"/>
        <v>0</v>
      </c>
      <c r="Q454" s="233"/>
    </row>
    <row r="455" spans="4:17" ht="15.75">
      <c r="D455"/>
      <c r="E455"/>
      <c r="F455"/>
      <c r="G455"/>
      <c r="H455"/>
      <c r="I455"/>
      <c r="J455"/>
      <c r="K455"/>
      <c r="L455"/>
      <c r="M455"/>
      <c r="N455"/>
      <c r="O455"/>
      <c r="P455" s="233">
        <f t="shared" si="18"/>
        <v>0</v>
      </c>
      <c r="Q455" s="233"/>
    </row>
    <row r="456" spans="4:17" ht="15.75">
      <c r="D456"/>
      <c r="E456"/>
      <c r="F456"/>
      <c r="G456"/>
      <c r="H456"/>
      <c r="I456"/>
      <c r="J456"/>
      <c r="K456"/>
      <c r="L456"/>
      <c r="M456"/>
      <c r="N456"/>
      <c r="O456"/>
      <c r="P456" s="233">
        <f t="shared" si="18"/>
        <v>0</v>
      </c>
      <c r="Q456" s="233"/>
    </row>
    <row r="457" spans="4:17" ht="15.75">
      <c r="D457"/>
      <c r="E457"/>
      <c r="F457"/>
      <c r="G457"/>
      <c r="H457"/>
      <c r="I457"/>
      <c r="J457"/>
      <c r="K457"/>
      <c r="L457"/>
      <c r="M457"/>
      <c r="N457"/>
      <c r="O457"/>
      <c r="P457" s="233">
        <f t="shared" si="18"/>
        <v>0</v>
      </c>
      <c r="Q457" s="233"/>
    </row>
    <row r="458" spans="4:17" ht="15.75">
      <c r="D458"/>
      <c r="E458"/>
      <c r="F458"/>
      <c r="G458"/>
      <c r="H458"/>
      <c r="I458"/>
      <c r="J458"/>
      <c r="K458"/>
      <c r="L458"/>
      <c r="M458"/>
      <c r="N458"/>
      <c r="O458"/>
      <c r="P458" s="233">
        <f t="shared" si="18"/>
        <v>0</v>
      </c>
      <c r="Q458" s="233"/>
    </row>
    <row r="459" spans="4:17" ht="15.75">
      <c r="D459"/>
      <c r="E459"/>
      <c r="F459"/>
      <c r="G459"/>
      <c r="H459"/>
      <c r="I459"/>
      <c r="J459"/>
      <c r="K459"/>
      <c r="L459"/>
      <c r="M459"/>
      <c r="N459"/>
      <c r="O459"/>
      <c r="P459" s="233">
        <f t="shared" si="18"/>
        <v>0</v>
      </c>
      <c r="Q459" s="233"/>
    </row>
    <row r="460" spans="4:17" ht="15.75">
      <c r="D460"/>
      <c r="E460"/>
      <c r="F460"/>
      <c r="G460"/>
      <c r="H460"/>
      <c r="I460"/>
      <c r="J460"/>
      <c r="K460"/>
      <c r="L460"/>
      <c r="M460"/>
      <c r="N460"/>
      <c r="O460"/>
      <c r="P460" s="233">
        <f t="shared" si="18"/>
        <v>0</v>
      </c>
      <c r="Q460" s="233"/>
    </row>
    <row r="461" spans="4:17" ht="15.75">
      <c r="D461"/>
      <c r="E461"/>
      <c r="F461"/>
      <c r="G461"/>
      <c r="H461"/>
      <c r="I461"/>
      <c r="J461"/>
      <c r="K461"/>
      <c r="L461"/>
      <c r="M461"/>
      <c r="N461"/>
      <c r="O461"/>
      <c r="P461" s="233">
        <f t="shared" si="18"/>
        <v>0</v>
      </c>
      <c r="Q461" s="233"/>
    </row>
    <row r="462" spans="4:17" ht="15.75">
      <c r="D462"/>
      <c r="E462"/>
      <c r="F462"/>
      <c r="G462"/>
      <c r="H462"/>
      <c r="I462"/>
      <c r="J462"/>
      <c r="K462"/>
      <c r="L462"/>
      <c r="M462"/>
      <c r="N462"/>
      <c r="O462"/>
      <c r="P462" s="233">
        <f t="shared" ref="P462:P525" si="19">IF(ISNUMBER(Q462),Q462,0)</f>
        <v>0</v>
      </c>
      <c r="Q462" s="233"/>
    </row>
    <row r="463" spans="4:17" ht="15.75">
      <c r="D463"/>
      <c r="E463"/>
      <c r="F463"/>
      <c r="G463"/>
      <c r="H463"/>
      <c r="I463"/>
      <c r="J463"/>
      <c r="K463"/>
      <c r="L463"/>
      <c r="M463"/>
      <c r="N463"/>
      <c r="O463"/>
      <c r="P463" s="233">
        <f t="shared" si="19"/>
        <v>0</v>
      </c>
      <c r="Q463" s="233"/>
    </row>
    <row r="464" spans="4:17" ht="15.75">
      <c r="D464"/>
      <c r="E464"/>
      <c r="F464"/>
      <c r="G464"/>
      <c r="H464"/>
      <c r="I464"/>
      <c r="J464"/>
      <c r="K464"/>
      <c r="L464"/>
      <c r="M464"/>
      <c r="N464"/>
      <c r="O464"/>
      <c r="P464" s="233">
        <f t="shared" si="19"/>
        <v>0</v>
      </c>
      <c r="Q464" s="233"/>
    </row>
    <row r="465" spans="4:17" ht="15.75">
      <c r="D465"/>
      <c r="E465"/>
      <c r="F465"/>
      <c r="G465"/>
      <c r="H465"/>
      <c r="I465"/>
      <c r="J465"/>
      <c r="K465"/>
      <c r="L465"/>
      <c r="M465"/>
      <c r="N465"/>
      <c r="O465"/>
      <c r="P465" s="233">
        <f t="shared" si="19"/>
        <v>0</v>
      </c>
      <c r="Q465" s="233"/>
    </row>
    <row r="466" spans="4:17" ht="15.75">
      <c r="D466"/>
      <c r="E466"/>
      <c r="F466"/>
      <c r="G466"/>
      <c r="H466"/>
      <c r="I466"/>
      <c r="J466"/>
      <c r="K466"/>
      <c r="L466"/>
      <c r="M466"/>
      <c r="N466"/>
      <c r="O466"/>
      <c r="P466" s="233">
        <f t="shared" si="19"/>
        <v>0</v>
      </c>
      <c r="Q466" s="233"/>
    </row>
    <row r="467" spans="4:17" ht="15.75">
      <c r="D467"/>
      <c r="E467"/>
      <c r="F467"/>
      <c r="G467"/>
      <c r="H467"/>
      <c r="I467"/>
      <c r="J467"/>
      <c r="K467"/>
      <c r="L467"/>
      <c r="M467"/>
      <c r="N467"/>
      <c r="O467"/>
      <c r="P467" s="233">
        <f t="shared" si="19"/>
        <v>0</v>
      </c>
      <c r="Q467" s="233"/>
    </row>
    <row r="468" spans="4:17" ht="15.75">
      <c r="D468"/>
      <c r="E468"/>
      <c r="F468"/>
      <c r="G468"/>
      <c r="H468"/>
      <c r="I468"/>
      <c r="J468"/>
      <c r="K468"/>
      <c r="L468"/>
      <c r="M468"/>
      <c r="N468"/>
      <c r="O468"/>
      <c r="P468" s="233">
        <f t="shared" si="19"/>
        <v>0</v>
      </c>
      <c r="Q468" s="233"/>
    </row>
    <row r="469" spans="4:17" ht="15.75">
      <c r="D469"/>
      <c r="E469"/>
      <c r="F469"/>
      <c r="G469"/>
      <c r="H469"/>
      <c r="I469"/>
      <c r="J469"/>
      <c r="K469"/>
      <c r="L469"/>
      <c r="M469"/>
      <c r="N469"/>
      <c r="O469"/>
      <c r="P469" s="233">
        <f t="shared" si="19"/>
        <v>0</v>
      </c>
      <c r="Q469" s="233"/>
    </row>
    <row r="470" spans="4:17" ht="15.75">
      <c r="D470"/>
      <c r="E470"/>
      <c r="F470"/>
      <c r="G470"/>
      <c r="H470"/>
      <c r="I470"/>
      <c r="J470"/>
      <c r="K470"/>
      <c r="L470"/>
      <c r="M470"/>
      <c r="N470"/>
      <c r="O470"/>
      <c r="P470" s="233">
        <f t="shared" si="19"/>
        <v>0</v>
      </c>
      <c r="Q470" s="233"/>
    </row>
    <row r="471" spans="4:17" ht="15.75">
      <c r="D471"/>
      <c r="E471"/>
      <c r="F471"/>
      <c r="G471"/>
      <c r="H471"/>
      <c r="I471"/>
      <c r="J471"/>
      <c r="K471"/>
      <c r="L471"/>
      <c r="M471"/>
      <c r="N471"/>
      <c r="O471"/>
      <c r="P471" s="233">
        <f t="shared" si="19"/>
        <v>0</v>
      </c>
      <c r="Q471" s="233"/>
    </row>
    <row r="472" spans="4:17" ht="15.75">
      <c r="D472"/>
      <c r="E472"/>
      <c r="F472"/>
      <c r="G472"/>
      <c r="H472"/>
      <c r="I472"/>
      <c r="J472"/>
      <c r="K472"/>
      <c r="L472"/>
      <c r="M472"/>
      <c r="N472"/>
      <c r="O472"/>
      <c r="P472" s="233">
        <f t="shared" si="19"/>
        <v>0</v>
      </c>
      <c r="Q472" s="233"/>
    </row>
    <row r="473" spans="4:17" ht="15.75">
      <c r="D473"/>
      <c r="E473"/>
      <c r="F473"/>
      <c r="G473"/>
      <c r="H473"/>
      <c r="I473"/>
      <c r="J473"/>
      <c r="K473"/>
      <c r="L473"/>
      <c r="M473"/>
      <c r="N473"/>
      <c r="O473"/>
      <c r="P473" s="233">
        <f t="shared" si="19"/>
        <v>0</v>
      </c>
      <c r="Q473" s="233"/>
    </row>
    <row r="474" spans="4:17" ht="15.75">
      <c r="D474"/>
      <c r="E474"/>
      <c r="F474"/>
      <c r="G474"/>
      <c r="H474"/>
      <c r="I474"/>
      <c r="J474"/>
      <c r="K474"/>
      <c r="L474"/>
      <c r="M474"/>
      <c r="N474"/>
      <c r="O474"/>
      <c r="P474" s="233">
        <f t="shared" si="19"/>
        <v>0</v>
      </c>
      <c r="Q474" s="233"/>
    </row>
    <row r="475" spans="4:17" ht="15.75">
      <c r="D475"/>
      <c r="E475"/>
      <c r="F475"/>
      <c r="G475"/>
      <c r="H475"/>
      <c r="I475"/>
      <c r="J475"/>
      <c r="K475"/>
      <c r="L475"/>
      <c r="M475"/>
      <c r="N475"/>
      <c r="O475"/>
      <c r="P475" s="233">
        <f t="shared" si="19"/>
        <v>0</v>
      </c>
      <c r="Q475" s="233"/>
    </row>
    <row r="476" spans="4:17" ht="15.75">
      <c r="D476"/>
      <c r="E476"/>
      <c r="F476"/>
      <c r="G476"/>
      <c r="H476"/>
      <c r="I476"/>
      <c r="J476"/>
      <c r="K476"/>
      <c r="L476"/>
      <c r="M476"/>
      <c r="N476"/>
      <c r="O476"/>
      <c r="P476" s="233">
        <f t="shared" si="19"/>
        <v>0</v>
      </c>
      <c r="Q476" s="233"/>
    </row>
    <row r="477" spans="4:17" ht="15.75">
      <c r="D477"/>
      <c r="E477"/>
      <c r="F477"/>
      <c r="G477"/>
      <c r="H477"/>
      <c r="I477"/>
      <c r="J477"/>
      <c r="K477"/>
      <c r="L477"/>
      <c r="M477"/>
      <c r="N477"/>
      <c r="O477"/>
      <c r="P477" s="233">
        <f t="shared" si="19"/>
        <v>0</v>
      </c>
      <c r="Q477" s="233"/>
    </row>
    <row r="478" spans="4:17" ht="15.75">
      <c r="D478"/>
      <c r="E478"/>
      <c r="F478"/>
      <c r="G478"/>
      <c r="H478"/>
      <c r="I478"/>
      <c r="J478"/>
      <c r="K478"/>
      <c r="L478"/>
      <c r="M478"/>
      <c r="N478"/>
      <c r="O478"/>
      <c r="P478" s="233">
        <f t="shared" si="19"/>
        <v>0</v>
      </c>
      <c r="Q478" s="233"/>
    </row>
    <row r="479" spans="4:17" ht="15.75">
      <c r="D479"/>
      <c r="E479"/>
      <c r="F479"/>
      <c r="G479"/>
      <c r="H479"/>
      <c r="I479"/>
      <c r="J479"/>
      <c r="K479"/>
      <c r="L479"/>
      <c r="M479"/>
      <c r="N479"/>
      <c r="O479"/>
      <c r="P479" s="233">
        <f t="shared" si="19"/>
        <v>0</v>
      </c>
      <c r="Q479" s="233"/>
    </row>
    <row r="480" spans="4:17" ht="15.75">
      <c r="D480"/>
      <c r="E480"/>
      <c r="F480"/>
      <c r="G480"/>
      <c r="H480"/>
      <c r="I480"/>
      <c r="J480"/>
      <c r="K480"/>
      <c r="L480"/>
      <c r="M480"/>
      <c r="N480"/>
      <c r="O480"/>
      <c r="P480" s="233">
        <f t="shared" si="19"/>
        <v>0</v>
      </c>
      <c r="Q480" s="233"/>
    </row>
    <row r="481" spans="4:17" ht="15.75">
      <c r="D481"/>
      <c r="E481"/>
      <c r="F481"/>
      <c r="G481"/>
      <c r="H481"/>
      <c r="I481"/>
      <c r="J481"/>
      <c r="K481"/>
      <c r="L481"/>
      <c r="M481"/>
      <c r="N481"/>
      <c r="O481"/>
      <c r="P481" s="233">
        <f t="shared" si="19"/>
        <v>0</v>
      </c>
      <c r="Q481" s="233"/>
    </row>
    <row r="482" spans="4:17" ht="15.75">
      <c r="D482"/>
      <c r="E482"/>
      <c r="F482"/>
      <c r="G482"/>
      <c r="H482"/>
      <c r="I482"/>
      <c r="J482"/>
      <c r="K482"/>
      <c r="L482"/>
      <c r="M482"/>
      <c r="N482"/>
      <c r="O482"/>
      <c r="P482" s="233">
        <f t="shared" si="19"/>
        <v>0</v>
      </c>
      <c r="Q482" s="233"/>
    </row>
    <row r="483" spans="4:17" ht="15.75">
      <c r="D483"/>
      <c r="E483"/>
      <c r="F483"/>
      <c r="G483"/>
      <c r="H483"/>
      <c r="I483"/>
      <c r="J483"/>
      <c r="K483"/>
      <c r="L483"/>
      <c r="M483"/>
      <c r="N483"/>
      <c r="O483"/>
      <c r="P483" s="233">
        <f t="shared" si="19"/>
        <v>0</v>
      </c>
      <c r="Q483" s="233"/>
    </row>
    <row r="484" spans="4:17" ht="15.75">
      <c r="D484"/>
      <c r="E484"/>
      <c r="F484"/>
      <c r="G484"/>
      <c r="H484"/>
      <c r="I484"/>
      <c r="J484"/>
      <c r="K484"/>
      <c r="L484"/>
      <c r="M484"/>
      <c r="N484"/>
      <c r="O484"/>
      <c r="P484" s="233">
        <f t="shared" si="19"/>
        <v>0</v>
      </c>
      <c r="Q484" s="233"/>
    </row>
    <row r="485" spans="4:17" ht="15.75">
      <c r="D485"/>
      <c r="E485"/>
      <c r="F485"/>
      <c r="G485"/>
      <c r="H485"/>
      <c r="I485"/>
      <c r="J485"/>
      <c r="K485"/>
      <c r="L485"/>
      <c r="M485"/>
      <c r="N485"/>
      <c r="O485"/>
      <c r="P485" s="233">
        <f t="shared" si="19"/>
        <v>0</v>
      </c>
      <c r="Q485" s="233"/>
    </row>
    <row r="486" spans="4:17" ht="15.75">
      <c r="D486"/>
      <c r="E486"/>
      <c r="F486"/>
      <c r="G486"/>
      <c r="H486"/>
      <c r="I486"/>
      <c r="J486"/>
      <c r="K486"/>
      <c r="L486"/>
      <c r="M486"/>
      <c r="N486"/>
      <c r="O486"/>
      <c r="P486" s="233">
        <f t="shared" si="19"/>
        <v>0</v>
      </c>
      <c r="Q486" s="233"/>
    </row>
    <row r="487" spans="4:17" ht="15.75">
      <c r="D487"/>
      <c r="E487"/>
      <c r="F487"/>
      <c r="G487"/>
      <c r="H487"/>
      <c r="I487"/>
      <c r="J487"/>
      <c r="K487"/>
      <c r="L487"/>
      <c r="M487"/>
      <c r="N487"/>
      <c r="O487"/>
      <c r="P487" s="233">
        <f t="shared" si="19"/>
        <v>0</v>
      </c>
      <c r="Q487" s="233"/>
    </row>
    <row r="488" spans="4:17" ht="15.75">
      <c r="D488"/>
      <c r="E488"/>
      <c r="F488"/>
      <c r="G488"/>
      <c r="H488"/>
      <c r="I488"/>
      <c r="J488"/>
      <c r="K488"/>
      <c r="L488"/>
      <c r="M488"/>
      <c r="N488"/>
      <c r="O488"/>
      <c r="P488" s="233">
        <f t="shared" si="19"/>
        <v>0</v>
      </c>
      <c r="Q488" s="233"/>
    </row>
    <row r="489" spans="4:17" ht="15.75">
      <c r="D489"/>
      <c r="E489"/>
      <c r="F489"/>
      <c r="G489"/>
      <c r="H489"/>
      <c r="I489"/>
      <c r="J489"/>
      <c r="K489"/>
      <c r="L489"/>
      <c r="M489"/>
      <c r="N489"/>
      <c r="O489"/>
      <c r="P489" s="233">
        <f t="shared" si="19"/>
        <v>0</v>
      </c>
      <c r="Q489" s="233"/>
    </row>
    <row r="490" spans="4:17" ht="15.75">
      <c r="D490"/>
      <c r="E490"/>
      <c r="F490"/>
      <c r="G490"/>
      <c r="H490"/>
      <c r="I490"/>
      <c r="J490"/>
      <c r="K490"/>
      <c r="L490"/>
      <c r="M490"/>
      <c r="N490"/>
      <c r="O490"/>
      <c r="P490" s="233">
        <f t="shared" si="19"/>
        <v>0</v>
      </c>
      <c r="Q490" s="233"/>
    </row>
    <row r="491" spans="4:17" ht="15.75">
      <c r="D491"/>
      <c r="E491"/>
      <c r="F491"/>
      <c r="G491"/>
      <c r="H491"/>
      <c r="I491"/>
      <c r="J491"/>
      <c r="K491"/>
      <c r="L491"/>
      <c r="M491"/>
      <c r="N491"/>
      <c r="O491"/>
      <c r="P491" s="233">
        <f t="shared" si="19"/>
        <v>0</v>
      </c>
      <c r="Q491" s="233"/>
    </row>
    <row r="492" spans="4:17" ht="15.75">
      <c r="D492"/>
      <c r="E492"/>
      <c r="F492"/>
      <c r="G492"/>
      <c r="H492"/>
      <c r="I492"/>
      <c r="J492"/>
      <c r="K492"/>
      <c r="L492"/>
      <c r="M492"/>
      <c r="N492"/>
      <c r="O492"/>
      <c r="P492" s="233">
        <f t="shared" si="19"/>
        <v>0</v>
      </c>
      <c r="Q492" s="233"/>
    </row>
    <row r="493" spans="4:17" ht="15.75">
      <c r="D493"/>
      <c r="E493"/>
      <c r="F493"/>
      <c r="G493"/>
      <c r="H493"/>
      <c r="I493"/>
      <c r="J493"/>
      <c r="K493"/>
      <c r="L493"/>
      <c r="M493"/>
      <c r="N493"/>
      <c r="O493"/>
      <c r="P493" s="233">
        <f t="shared" si="19"/>
        <v>0</v>
      </c>
      <c r="Q493" s="233"/>
    </row>
    <row r="494" spans="4:17" ht="15.75">
      <c r="D494"/>
      <c r="E494"/>
      <c r="F494"/>
      <c r="G494"/>
      <c r="H494"/>
      <c r="I494"/>
      <c r="J494"/>
      <c r="K494"/>
      <c r="L494"/>
      <c r="M494"/>
      <c r="N494"/>
      <c r="O494"/>
      <c r="P494" s="233">
        <f t="shared" si="19"/>
        <v>0</v>
      </c>
      <c r="Q494" s="233"/>
    </row>
    <row r="495" spans="4:17" ht="15.75">
      <c r="D495"/>
      <c r="E495"/>
      <c r="F495"/>
      <c r="G495"/>
      <c r="H495"/>
      <c r="I495"/>
      <c r="J495"/>
      <c r="K495"/>
      <c r="L495"/>
      <c r="M495"/>
      <c r="N495"/>
      <c r="O495"/>
      <c r="P495" s="233">
        <f t="shared" si="19"/>
        <v>0</v>
      </c>
      <c r="Q495" s="233"/>
    </row>
    <row r="496" spans="4:17" ht="15.75">
      <c r="D496"/>
      <c r="E496"/>
      <c r="F496"/>
      <c r="G496"/>
      <c r="H496"/>
      <c r="I496"/>
      <c r="J496"/>
      <c r="K496"/>
      <c r="L496"/>
      <c r="M496"/>
      <c r="N496"/>
      <c r="O496"/>
      <c r="P496" s="233">
        <f t="shared" si="19"/>
        <v>0</v>
      </c>
      <c r="Q496" s="233"/>
    </row>
    <row r="497" spans="4:17" ht="15.75">
      <c r="D497"/>
      <c r="E497"/>
      <c r="F497"/>
      <c r="G497"/>
      <c r="H497"/>
      <c r="I497"/>
      <c r="J497"/>
      <c r="K497"/>
      <c r="L497"/>
      <c r="M497"/>
      <c r="N497"/>
      <c r="O497"/>
      <c r="P497" s="233">
        <f t="shared" si="19"/>
        <v>0</v>
      </c>
      <c r="Q497" s="233"/>
    </row>
    <row r="498" spans="4:17" ht="15.75">
      <c r="D498"/>
      <c r="E498"/>
      <c r="F498"/>
      <c r="G498"/>
      <c r="H498"/>
      <c r="I498"/>
      <c r="J498"/>
      <c r="K498"/>
      <c r="L498"/>
      <c r="M498"/>
      <c r="N498"/>
      <c r="O498"/>
      <c r="P498" s="233">
        <f t="shared" si="19"/>
        <v>0</v>
      </c>
      <c r="Q498" s="233"/>
    </row>
    <row r="499" spans="4:17" ht="15.75">
      <c r="D499"/>
      <c r="E499"/>
      <c r="F499"/>
      <c r="G499"/>
      <c r="H499"/>
      <c r="I499"/>
      <c r="J499"/>
      <c r="K499"/>
      <c r="L499"/>
      <c r="M499"/>
      <c r="N499"/>
      <c r="O499"/>
      <c r="P499" s="233">
        <f t="shared" si="19"/>
        <v>0</v>
      </c>
      <c r="Q499" s="233"/>
    </row>
    <row r="500" spans="4:17" ht="15.75">
      <c r="D500"/>
      <c r="E500"/>
      <c r="F500"/>
      <c r="G500"/>
      <c r="H500"/>
      <c r="I500"/>
      <c r="J500"/>
      <c r="K500"/>
      <c r="L500"/>
      <c r="M500"/>
      <c r="N500"/>
      <c r="O500"/>
      <c r="P500" s="233">
        <f t="shared" si="19"/>
        <v>0</v>
      </c>
      <c r="Q500" s="233"/>
    </row>
    <row r="501" spans="4:17" ht="15.75">
      <c r="D501"/>
      <c r="E501"/>
      <c r="F501"/>
      <c r="G501"/>
      <c r="H501"/>
      <c r="I501"/>
      <c r="J501"/>
      <c r="K501"/>
      <c r="L501"/>
      <c r="M501"/>
      <c r="N501"/>
      <c r="O501"/>
      <c r="P501" s="233">
        <f t="shared" si="19"/>
        <v>0</v>
      </c>
      <c r="Q501" s="233"/>
    </row>
    <row r="502" spans="4:17" ht="15.75">
      <c r="D502"/>
      <c r="E502"/>
      <c r="F502"/>
      <c r="G502"/>
      <c r="H502"/>
      <c r="I502"/>
      <c r="J502"/>
      <c r="K502"/>
      <c r="L502"/>
      <c r="M502"/>
      <c r="N502"/>
      <c r="O502"/>
      <c r="P502" s="233">
        <f t="shared" si="19"/>
        <v>0</v>
      </c>
      <c r="Q502" s="233"/>
    </row>
    <row r="503" spans="4:17" ht="15.75">
      <c r="D503"/>
      <c r="E503"/>
      <c r="F503"/>
      <c r="G503"/>
      <c r="H503"/>
      <c r="I503"/>
      <c r="J503"/>
      <c r="K503"/>
      <c r="L503"/>
      <c r="M503"/>
      <c r="N503"/>
      <c r="O503"/>
      <c r="P503" s="233">
        <f t="shared" si="19"/>
        <v>0</v>
      </c>
      <c r="Q503" s="233"/>
    </row>
    <row r="504" spans="4:17" ht="15.75">
      <c r="D504"/>
      <c r="E504"/>
      <c r="F504"/>
      <c r="G504"/>
      <c r="H504"/>
      <c r="I504"/>
      <c r="J504"/>
      <c r="K504"/>
      <c r="L504"/>
      <c r="M504"/>
      <c r="N504"/>
      <c r="O504"/>
      <c r="P504" s="233">
        <f t="shared" si="19"/>
        <v>0</v>
      </c>
      <c r="Q504" s="233"/>
    </row>
    <row r="505" spans="4:17" ht="15.75">
      <c r="D505"/>
      <c r="E505"/>
      <c r="F505"/>
      <c r="G505"/>
      <c r="H505"/>
      <c r="I505"/>
      <c r="J505"/>
      <c r="K505"/>
      <c r="L505"/>
      <c r="M505"/>
      <c r="N505"/>
      <c r="O505"/>
      <c r="P505" s="233">
        <f t="shared" si="19"/>
        <v>0</v>
      </c>
      <c r="Q505" s="233"/>
    </row>
    <row r="506" spans="4:17" ht="15.75">
      <c r="D506"/>
      <c r="E506"/>
      <c r="F506"/>
      <c r="G506"/>
      <c r="H506"/>
      <c r="I506"/>
      <c r="J506"/>
      <c r="K506"/>
      <c r="L506"/>
      <c r="M506"/>
      <c r="N506"/>
      <c r="O506"/>
      <c r="P506" s="233">
        <f t="shared" si="19"/>
        <v>0</v>
      </c>
      <c r="Q506" s="233"/>
    </row>
    <row r="507" spans="4:17" ht="15.75">
      <c r="D507"/>
      <c r="E507"/>
      <c r="F507"/>
      <c r="G507"/>
      <c r="H507"/>
      <c r="I507"/>
      <c r="J507"/>
      <c r="K507"/>
      <c r="L507"/>
      <c r="M507"/>
      <c r="N507"/>
      <c r="O507"/>
      <c r="P507" s="233">
        <f t="shared" si="19"/>
        <v>0</v>
      </c>
      <c r="Q507" s="233"/>
    </row>
    <row r="508" spans="4:17" ht="15.75">
      <c r="D508"/>
      <c r="E508"/>
      <c r="F508"/>
      <c r="G508"/>
      <c r="H508"/>
      <c r="I508"/>
      <c r="J508"/>
      <c r="K508"/>
      <c r="L508"/>
      <c r="M508"/>
      <c r="N508"/>
      <c r="O508"/>
      <c r="P508" s="233">
        <f t="shared" si="19"/>
        <v>0</v>
      </c>
      <c r="Q508" s="233"/>
    </row>
    <row r="509" spans="4:17" ht="15.75">
      <c r="D509"/>
      <c r="E509"/>
      <c r="F509"/>
      <c r="G509"/>
      <c r="H509"/>
      <c r="I509"/>
      <c r="J509"/>
      <c r="K509"/>
      <c r="L509"/>
      <c r="M509"/>
      <c r="N509"/>
      <c r="O509"/>
      <c r="P509" s="233">
        <f t="shared" si="19"/>
        <v>0</v>
      </c>
      <c r="Q509" s="233"/>
    </row>
    <row r="510" spans="4:17" ht="15.75">
      <c r="D510"/>
      <c r="E510"/>
      <c r="F510"/>
      <c r="G510"/>
      <c r="H510"/>
      <c r="I510"/>
      <c r="J510"/>
      <c r="K510"/>
      <c r="L510"/>
      <c r="M510"/>
      <c r="N510"/>
      <c r="O510"/>
      <c r="P510" s="233">
        <f t="shared" si="19"/>
        <v>0</v>
      </c>
      <c r="Q510" s="233"/>
    </row>
    <row r="511" spans="4:17" ht="15.75">
      <c r="D511"/>
      <c r="E511"/>
      <c r="F511"/>
      <c r="G511"/>
      <c r="H511"/>
      <c r="I511"/>
      <c r="J511"/>
      <c r="K511"/>
      <c r="L511"/>
      <c r="M511"/>
      <c r="N511"/>
      <c r="O511"/>
      <c r="P511" s="233">
        <f t="shared" si="19"/>
        <v>0</v>
      </c>
      <c r="Q511" s="233"/>
    </row>
    <row r="512" spans="4:17" ht="15.75">
      <c r="D512"/>
      <c r="E512"/>
      <c r="F512"/>
      <c r="G512"/>
      <c r="H512"/>
      <c r="I512"/>
      <c r="J512"/>
      <c r="K512"/>
      <c r="L512"/>
      <c r="M512"/>
      <c r="N512"/>
      <c r="O512"/>
      <c r="P512" s="233">
        <f t="shared" si="19"/>
        <v>0</v>
      </c>
      <c r="Q512" s="233"/>
    </row>
    <row r="513" spans="4:17" ht="15.75">
      <c r="D513"/>
      <c r="E513"/>
      <c r="F513"/>
      <c r="G513"/>
      <c r="H513"/>
      <c r="I513"/>
      <c r="J513"/>
      <c r="K513"/>
      <c r="L513"/>
      <c r="M513"/>
      <c r="N513"/>
      <c r="O513"/>
      <c r="P513" s="233">
        <f t="shared" si="19"/>
        <v>0</v>
      </c>
      <c r="Q513" s="233"/>
    </row>
    <row r="514" spans="4:17" ht="15.75">
      <c r="D514"/>
      <c r="E514"/>
      <c r="F514"/>
      <c r="G514"/>
      <c r="H514"/>
      <c r="I514"/>
      <c r="J514"/>
      <c r="K514"/>
      <c r="L514"/>
      <c r="M514"/>
      <c r="N514"/>
      <c r="O514"/>
      <c r="P514" s="233">
        <f t="shared" si="19"/>
        <v>0</v>
      </c>
      <c r="Q514" s="233"/>
    </row>
    <row r="515" spans="4:17" ht="15.75">
      <c r="D515"/>
      <c r="E515"/>
      <c r="F515"/>
      <c r="G515"/>
      <c r="H515"/>
      <c r="I515"/>
      <c r="J515"/>
      <c r="K515"/>
      <c r="L515"/>
      <c r="M515"/>
      <c r="N515"/>
      <c r="O515"/>
      <c r="P515" s="233">
        <f t="shared" si="19"/>
        <v>0</v>
      </c>
      <c r="Q515" s="233"/>
    </row>
    <row r="516" spans="4:17" ht="15.75">
      <c r="D516"/>
      <c r="E516"/>
      <c r="F516"/>
      <c r="G516"/>
      <c r="H516"/>
      <c r="I516"/>
      <c r="J516"/>
      <c r="K516"/>
      <c r="L516"/>
      <c r="M516"/>
      <c r="N516"/>
      <c r="O516"/>
      <c r="P516" s="233">
        <f t="shared" si="19"/>
        <v>0</v>
      </c>
      <c r="Q516" s="233"/>
    </row>
    <row r="517" spans="4:17" ht="15.75">
      <c r="D517"/>
      <c r="E517"/>
      <c r="F517"/>
      <c r="G517"/>
      <c r="H517"/>
      <c r="I517"/>
      <c r="J517"/>
      <c r="K517"/>
      <c r="L517"/>
      <c r="M517"/>
      <c r="N517"/>
      <c r="O517"/>
      <c r="P517" s="233">
        <f t="shared" si="19"/>
        <v>0</v>
      </c>
      <c r="Q517" s="233"/>
    </row>
    <row r="518" spans="4:17" ht="15.75">
      <c r="D518"/>
      <c r="E518"/>
      <c r="F518"/>
      <c r="G518"/>
      <c r="H518"/>
      <c r="I518"/>
      <c r="J518"/>
      <c r="K518"/>
      <c r="L518"/>
      <c r="M518"/>
      <c r="N518"/>
      <c r="O518"/>
      <c r="P518" s="233">
        <f t="shared" si="19"/>
        <v>0</v>
      </c>
      <c r="Q518" s="233"/>
    </row>
    <row r="519" spans="4:17" ht="15.75">
      <c r="D519"/>
      <c r="E519"/>
      <c r="F519"/>
      <c r="G519"/>
      <c r="H519"/>
      <c r="I519"/>
      <c r="J519"/>
      <c r="K519"/>
      <c r="L519"/>
      <c r="M519"/>
      <c r="N519"/>
      <c r="O519"/>
      <c r="P519" s="233">
        <f t="shared" si="19"/>
        <v>0</v>
      </c>
      <c r="Q519" s="233"/>
    </row>
    <row r="520" spans="4:17" ht="15.75">
      <c r="D520"/>
      <c r="E520"/>
      <c r="F520"/>
      <c r="G520"/>
      <c r="H520"/>
      <c r="I520"/>
      <c r="J520"/>
      <c r="K520"/>
      <c r="L520"/>
      <c r="M520"/>
      <c r="N520"/>
      <c r="O520"/>
      <c r="P520" s="233">
        <f t="shared" si="19"/>
        <v>0</v>
      </c>
      <c r="Q520" s="233"/>
    </row>
    <row r="521" spans="4:17" ht="15.75">
      <c r="D521"/>
      <c r="E521"/>
      <c r="F521"/>
      <c r="G521"/>
      <c r="H521"/>
      <c r="I521"/>
      <c r="J521"/>
      <c r="K521"/>
      <c r="L521"/>
      <c r="M521"/>
      <c r="N521"/>
      <c r="O521"/>
      <c r="P521" s="233">
        <f t="shared" si="19"/>
        <v>0</v>
      </c>
      <c r="Q521" s="233"/>
    </row>
    <row r="522" spans="4:17" ht="15.75">
      <c r="D522"/>
      <c r="E522"/>
      <c r="F522"/>
      <c r="G522"/>
      <c r="H522"/>
      <c r="I522"/>
      <c r="J522"/>
      <c r="K522"/>
      <c r="L522"/>
      <c r="M522"/>
      <c r="N522"/>
      <c r="O522"/>
      <c r="P522" s="233">
        <f t="shared" si="19"/>
        <v>0</v>
      </c>
      <c r="Q522" s="233"/>
    </row>
    <row r="523" spans="4:17" ht="15.75">
      <c r="D523"/>
      <c r="E523"/>
      <c r="F523"/>
      <c r="G523"/>
      <c r="H523"/>
      <c r="I523"/>
      <c r="J523"/>
      <c r="K523"/>
      <c r="L523"/>
      <c r="M523"/>
      <c r="N523"/>
      <c r="O523"/>
      <c r="P523" s="233">
        <f t="shared" si="19"/>
        <v>0</v>
      </c>
      <c r="Q523" s="233"/>
    </row>
    <row r="524" spans="4:17" ht="15.75">
      <c r="D524"/>
      <c r="E524"/>
      <c r="F524"/>
      <c r="G524"/>
      <c r="H524"/>
      <c r="I524"/>
      <c r="J524"/>
      <c r="K524"/>
      <c r="L524"/>
      <c r="M524"/>
      <c r="N524"/>
      <c r="O524"/>
      <c r="P524" s="233">
        <f t="shared" si="19"/>
        <v>0</v>
      </c>
      <c r="Q524" s="233"/>
    </row>
    <row r="525" spans="4:17" ht="15.75">
      <c r="D525"/>
      <c r="E525"/>
      <c r="F525"/>
      <c r="G525"/>
      <c r="H525"/>
      <c r="I525"/>
      <c r="J525"/>
      <c r="K525"/>
      <c r="L525"/>
      <c r="M525"/>
      <c r="N525"/>
      <c r="O525"/>
      <c r="P525" s="233">
        <f t="shared" si="19"/>
        <v>0</v>
      </c>
      <c r="Q525" s="233"/>
    </row>
    <row r="526" spans="4:17" ht="15.75">
      <c r="D526"/>
      <c r="E526"/>
      <c r="F526"/>
      <c r="G526"/>
      <c r="H526"/>
      <c r="I526"/>
      <c r="J526"/>
      <c r="K526"/>
      <c r="L526"/>
      <c r="M526"/>
      <c r="N526"/>
      <c r="O526"/>
      <c r="P526" s="233">
        <f t="shared" ref="P526:P589" si="20">IF(ISNUMBER(Q526),Q526,0)</f>
        <v>0</v>
      </c>
      <c r="Q526" s="233"/>
    </row>
    <row r="527" spans="4:17" ht="15.75">
      <c r="D527"/>
      <c r="E527"/>
      <c r="F527"/>
      <c r="G527"/>
      <c r="H527"/>
      <c r="I527"/>
      <c r="J527"/>
      <c r="K527"/>
      <c r="L527"/>
      <c r="M527"/>
      <c r="N527"/>
      <c r="O527"/>
      <c r="P527" s="233">
        <f t="shared" si="20"/>
        <v>0</v>
      </c>
      <c r="Q527" s="233"/>
    </row>
    <row r="528" spans="4:17" ht="15.75">
      <c r="D528"/>
      <c r="E528"/>
      <c r="F528"/>
      <c r="G528"/>
      <c r="H528"/>
      <c r="I528"/>
      <c r="J528"/>
      <c r="K528"/>
      <c r="L528"/>
      <c r="M528"/>
      <c r="N528"/>
      <c r="O528"/>
      <c r="P528" s="233">
        <f t="shared" si="20"/>
        <v>0</v>
      </c>
      <c r="Q528" s="233"/>
    </row>
    <row r="529" spans="4:17" ht="15.75">
      <c r="D529"/>
      <c r="E529"/>
      <c r="F529"/>
      <c r="G529"/>
      <c r="H529"/>
      <c r="I529"/>
      <c r="J529"/>
      <c r="K529"/>
      <c r="L529"/>
      <c r="M529"/>
      <c r="N529"/>
      <c r="O529"/>
      <c r="P529" s="233">
        <f t="shared" si="20"/>
        <v>0</v>
      </c>
      <c r="Q529" s="233"/>
    </row>
    <row r="530" spans="4:17" ht="15.75">
      <c r="D530"/>
      <c r="E530"/>
      <c r="F530"/>
      <c r="G530"/>
      <c r="H530"/>
      <c r="I530"/>
      <c r="J530"/>
      <c r="K530"/>
      <c r="L530"/>
      <c r="M530"/>
      <c r="N530"/>
      <c r="O530"/>
      <c r="P530" s="233">
        <f t="shared" si="20"/>
        <v>0</v>
      </c>
      <c r="Q530" s="233"/>
    </row>
    <row r="531" spans="4:17" ht="15.75">
      <c r="D531"/>
      <c r="E531"/>
      <c r="F531"/>
      <c r="G531"/>
      <c r="H531"/>
      <c r="I531"/>
      <c r="J531"/>
      <c r="K531"/>
      <c r="L531"/>
      <c r="M531"/>
      <c r="N531"/>
      <c r="O531"/>
      <c r="P531" s="233">
        <f t="shared" si="20"/>
        <v>0</v>
      </c>
      <c r="Q531" s="233"/>
    </row>
    <row r="532" spans="4:17" ht="15.75">
      <c r="D532"/>
      <c r="E532"/>
      <c r="F532"/>
      <c r="G532"/>
      <c r="H532"/>
      <c r="I532"/>
      <c r="J532"/>
      <c r="K532"/>
      <c r="L532"/>
      <c r="M532"/>
      <c r="N532"/>
      <c r="O532"/>
      <c r="P532" s="233">
        <f t="shared" si="20"/>
        <v>0</v>
      </c>
      <c r="Q532" s="233"/>
    </row>
    <row r="533" spans="4:17" ht="15.75">
      <c r="D533"/>
      <c r="E533"/>
      <c r="F533"/>
      <c r="G533"/>
      <c r="H533"/>
      <c r="I533"/>
      <c r="J533"/>
      <c r="K533"/>
      <c r="L533"/>
      <c r="M533"/>
      <c r="N533"/>
      <c r="O533"/>
      <c r="P533" s="233">
        <f t="shared" si="20"/>
        <v>0</v>
      </c>
      <c r="Q533" s="233"/>
    </row>
    <row r="534" spans="4:17" ht="15.75">
      <c r="D534"/>
      <c r="E534"/>
      <c r="F534"/>
      <c r="G534"/>
      <c r="H534"/>
      <c r="I534"/>
      <c r="J534"/>
      <c r="K534"/>
      <c r="L534"/>
      <c r="M534"/>
      <c r="N534"/>
      <c r="O534"/>
      <c r="P534" s="233">
        <f t="shared" si="20"/>
        <v>0</v>
      </c>
      <c r="Q534" s="233"/>
    </row>
    <row r="535" spans="4:17" ht="15.75">
      <c r="D535"/>
      <c r="E535"/>
      <c r="F535"/>
      <c r="G535"/>
      <c r="H535"/>
      <c r="I535"/>
      <c r="J535"/>
      <c r="K535"/>
      <c r="L535"/>
      <c r="M535"/>
      <c r="N535"/>
      <c r="O535"/>
      <c r="P535" s="233">
        <f t="shared" si="20"/>
        <v>0</v>
      </c>
      <c r="Q535" s="233"/>
    </row>
    <row r="536" spans="4:17" ht="15.75">
      <c r="D536"/>
      <c r="E536"/>
      <c r="F536"/>
      <c r="G536"/>
      <c r="H536"/>
      <c r="I536"/>
      <c r="J536"/>
      <c r="K536"/>
      <c r="L536"/>
      <c r="M536"/>
      <c r="N536"/>
      <c r="O536"/>
      <c r="P536" s="233">
        <f t="shared" si="20"/>
        <v>0</v>
      </c>
      <c r="Q536" s="233"/>
    </row>
    <row r="537" spans="4:17" ht="15.75">
      <c r="D537"/>
      <c r="E537"/>
      <c r="F537"/>
      <c r="G537"/>
      <c r="H537"/>
      <c r="I537"/>
      <c r="J537"/>
      <c r="K537"/>
      <c r="L537"/>
      <c r="M537"/>
      <c r="N537"/>
      <c r="O537"/>
      <c r="P537" s="233">
        <f t="shared" si="20"/>
        <v>0</v>
      </c>
      <c r="Q537" s="233"/>
    </row>
    <row r="538" spans="4:17" ht="15.75">
      <c r="D538"/>
      <c r="E538"/>
      <c r="F538"/>
      <c r="G538"/>
      <c r="H538"/>
      <c r="I538"/>
      <c r="J538"/>
      <c r="K538"/>
      <c r="L538"/>
      <c r="M538"/>
      <c r="N538"/>
      <c r="O538"/>
      <c r="P538" s="233">
        <f t="shared" si="20"/>
        <v>0</v>
      </c>
      <c r="Q538" s="233"/>
    </row>
    <row r="539" spans="4:17" ht="15.75">
      <c r="D539"/>
      <c r="E539"/>
      <c r="F539"/>
      <c r="G539"/>
      <c r="H539"/>
      <c r="I539"/>
      <c r="J539"/>
      <c r="K539"/>
      <c r="L539"/>
      <c r="M539"/>
      <c r="N539"/>
      <c r="O539"/>
      <c r="P539" s="233">
        <f t="shared" si="20"/>
        <v>0</v>
      </c>
      <c r="Q539" s="233"/>
    </row>
    <row r="540" spans="4:17" ht="15.75">
      <c r="D540"/>
      <c r="E540"/>
      <c r="F540"/>
      <c r="G540"/>
      <c r="H540"/>
      <c r="I540"/>
      <c r="J540"/>
      <c r="K540"/>
      <c r="L540"/>
      <c r="M540"/>
      <c r="N540"/>
      <c r="O540"/>
      <c r="P540" s="233">
        <f t="shared" si="20"/>
        <v>0</v>
      </c>
      <c r="Q540" s="233"/>
    </row>
    <row r="541" spans="4:17" ht="15.75">
      <c r="D541"/>
      <c r="E541"/>
      <c r="F541"/>
      <c r="G541"/>
      <c r="H541"/>
      <c r="I541"/>
      <c r="J541"/>
      <c r="K541"/>
      <c r="L541"/>
      <c r="M541"/>
      <c r="N541"/>
      <c r="O541"/>
      <c r="P541" s="233">
        <f t="shared" si="20"/>
        <v>0</v>
      </c>
      <c r="Q541" s="233"/>
    </row>
    <row r="542" spans="4:17" ht="15.75">
      <c r="D542"/>
      <c r="E542"/>
      <c r="F542"/>
      <c r="G542"/>
      <c r="H542"/>
      <c r="I542"/>
      <c r="J542"/>
      <c r="K542"/>
      <c r="L542"/>
      <c r="M542"/>
      <c r="N542"/>
      <c r="O542"/>
      <c r="P542" s="233">
        <f t="shared" si="20"/>
        <v>0</v>
      </c>
      <c r="Q542" s="233"/>
    </row>
    <row r="543" spans="4:17" ht="15.75">
      <c r="D543"/>
      <c r="E543"/>
      <c r="F543"/>
      <c r="G543"/>
      <c r="H543"/>
      <c r="I543"/>
      <c r="J543"/>
      <c r="K543"/>
      <c r="L543"/>
      <c r="M543"/>
      <c r="N543"/>
      <c r="O543"/>
      <c r="P543" s="233">
        <f t="shared" si="20"/>
        <v>0</v>
      </c>
      <c r="Q543" s="233"/>
    </row>
    <row r="544" spans="4:17" ht="15.75">
      <c r="D544"/>
      <c r="E544"/>
      <c r="F544"/>
      <c r="G544"/>
      <c r="H544"/>
      <c r="I544"/>
      <c r="J544"/>
      <c r="K544"/>
      <c r="L544"/>
      <c r="M544"/>
      <c r="N544"/>
      <c r="O544"/>
      <c r="P544" s="233">
        <f t="shared" si="20"/>
        <v>0</v>
      </c>
      <c r="Q544" s="233"/>
    </row>
    <row r="545" spans="4:17" ht="15.75">
      <c r="D545"/>
      <c r="E545"/>
      <c r="F545"/>
      <c r="G545"/>
      <c r="H545"/>
      <c r="I545"/>
      <c r="J545"/>
      <c r="K545"/>
      <c r="L545"/>
      <c r="M545"/>
      <c r="N545"/>
      <c r="O545"/>
      <c r="P545" s="233">
        <f t="shared" si="20"/>
        <v>0</v>
      </c>
      <c r="Q545" s="233"/>
    </row>
    <row r="546" spans="4:17" ht="15.75">
      <c r="D546"/>
      <c r="E546"/>
      <c r="F546"/>
      <c r="G546"/>
      <c r="H546"/>
      <c r="I546"/>
      <c r="J546"/>
      <c r="K546"/>
      <c r="L546"/>
      <c r="M546"/>
      <c r="N546"/>
      <c r="O546"/>
      <c r="P546" s="233">
        <f t="shared" si="20"/>
        <v>0</v>
      </c>
      <c r="Q546" s="233"/>
    </row>
    <row r="547" spans="4:17" ht="15.75">
      <c r="D547"/>
      <c r="E547"/>
      <c r="F547"/>
      <c r="G547"/>
      <c r="H547"/>
      <c r="I547"/>
      <c r="J547"/>
      <c r="K547"/>
      <c r="L547"/>
      <c r="M547"/>
      <c r="N547"/>
      <c r="O547"/>
      <c r="P547" s="233">
        <f t="shared" si="20"/>
        <v>0</v>
      </c>
      <c r="Q547" s="233"/>
    </row>
    <row r="548" spans="4:17" ht="15.75">
      <c r="D548"/>
      <c r="E548"/>
      <c r="F548"/>
      <c r="G548"/>
      <c r="H548"/>
      <c r="I548"/>
      <c r="J548"/>
      <c r="K548"/>
      <c r="L548"/>
      <c r="M548"/>
      <c r="N548"/>
      <c r="O548"/>
      <c r="P548" s="233">
        <f t="shared" si="20"/>
        <v>0</v>
      </c>
      <c r="Q548" s="233"/>
    </row>
    <row r="549" spans="4:17" ht="15.75">
      <c r="D549"/>
      <c r="E549"/>
      <c r="F549"/>
      <c r="G549"/>
      <c r="H549"/>
      <c r="I549"/>
      <c r="J549"/>
      <c r="K549"/>
      <c r="L549"/>
      <c r="M549"/>
      <c r="N549"/>
      <c r="O549"/>
      <c r="P549" s="233">
        <f t="shared" si="20"/>
        <v>0</v>
      </c>
      <c r="Q549" s="233"/>
    </row>
    <row r="550" spans="4:17" ht="15.75">
      <c r="D550"/>
      <c r="E550"/>
      <c r="F550"/>
      <c r="G550"/>
      <c r="H550"/>
      <c r="I550"/>
      <c r="J550"/>
      <c r="K550"/>
      <c r="L550"/>
      <c r="M550"/>
      <c r="N550"/>
      <c r="O550"/>
      <c r="P550" s="233">
        <f t="shared" si="20"/>
        <v>0</v>
      </c>
      <c r="Q550" s="233"/>
    </row>
    <row r="551" spans="4:17" ht="15.75">
      <c r="D551"/>
      <c r="E551"/>
      <c r="F551"/>
      <c r="G551"/>
      <c r="H551"/>
      <c r="I551"/>
      <c r="J551"/>
      <c r="K551"/>
      <c r="L551"/>
      <c r="M551"/>
      <c r="N551"/>
      <c r="O551"/>
      <c r="P551" s="233">
        <f t="shared" si="20"/>
        <v>0</v>
      </c>
      <c r="Q551" s="233"/>
    </row>
    <row r="552" spans="4:17" ht="15.75">
      <c r="D552"/>
      <c r="E552"/>
      <c r="F552"/>
      <c r="G552"/>
      <c r="H552"/>
      <c r="I552"/>
      <c r="J552"/>
      <c r="K552"/>
      <c r="L552"/>
      <c r="M552"/>
      <c r="N552"/>
      <c r="O552"/>
      <c r="P552" s="233">
        <f t="shared" si="20"/>
        <v>0</v>
      </c>
      <c r="Q552" s="233"/>
    </row>
    <row r="553" spans="4:17" ht="15.75">
      <c r="D553"/>
      <c r="E553"/>
      <c r="F553"/>
      <c r="G553"/>
      <c r="H553"/>
      <c r="I553"/>
      <c r="J553"/>
      <c r="K553"/>
      <c r="L553"/>
      <c r="M553"/>
      <c r="N553"/>
      <c r="O553"/>
      <c r="P553" s="233">
        <f t="shared" si="20"/>
        <v>0</v>
      </c>
      <c r="Q553" s="233"/>
    </row>
    <row r="554" spans="4:17" ht="15.75">
      <c r="D554"/>
      <c r="E554"/>
      <c r="F554"/>
      <c r="G554"/>
      <c r="H554"/>
      <c r="I554"/>
      <c r="J554"/>
      <c r="K554"/>
      <c r="L554"/>
      <c r="M554"/>
      <c r="N554"/>
      <c r="O554"/>
      <c r="P554" s="233">
        <f t="shared" si="20"/>
        <v>0</v>
      </c>
      <c r="Q554" s="233"/>
    </row>
    <row r="555" spans="4:17" ht="15.75">
      <c r="D555"/>
      <c r="E555"/>
      <c r="F555"/>
      <c r="G555"/>
      <c r="H555"/>
      <c r="I555"/>
      <c r="J555"/>
      <c r="K555"/>
      <c r="L555"/>
      <c r="M555"/>
      <c r="N555"/>
      <c r="O555"/>
      <c r="P555" s="233">
        <f t="shared" si="20"/>
        <v>0</v>
      </c>
      <c r="Q555" s="233"/>
    </row>
    <row r="556" spans="4:17" ht="15.75">
      <c r="D556"/>
      <c r="E556"/>
      <c r="F556"/>
      <c r="G556"/>
      <c r="H556"/>
      <c r="I556"/>
      <c r="J556"/>
      <c r="K556"/>
      <c r="L556"/>
      <c r="M556"/>
      <c r="N556"/>
      <c r="O556"/>
      <c r="P556" s="233">
        <f t="shared" si="20"/>
        <v>0</v>
      </c>
      <c r="Q556" s="233"/>
    </row>
    <row r="557" spans="4:17" ht="15.75">
      <c r="D557"/>
      <c r="E557"/>
      <c r="F557"/>
      <c r="G557"/>
      <c r="H557"/>
      <c r="I557"/>
      <c r="J557"/>
      <c r="K557"/>
      <c r="L557"/>
      <c r="M557"/>
      <c r="N557"/>
      <c r="O557"/>
      <c r="P557" s="233">
        <f t="shared" si="20"/>
        <v>0</v>
      </c>
      <c r="Q557" s="233"/>
    </row>
    <row r="558" spans="4:17" ht="15.75">
      <c r="D558"/>
      <c r="E558"/>
      <c r="F558"/>
      <c r="G558"/>
      <c r="H558"/>
      <c r="I558"/>
      <c r="J558"/>
      <c r="K558"/>
      <c r="L558"/>
      <c r="M558"/>
      <c r="N558"/>
      <c r="O558"/>
      <c r="P558" s="233">
        <f t="shared" si="20"/>
        <v>0</v>
      </c>
      <c r="Q558" s="233"/>
    </row>
    <row r="559" spans="4:17" ht="15.75">
      <c r="D559"/>
      <c r="E559"/>
      <c r="F559"/>
      <c r="G559"/>
      <c r="H559"/>
      <c r="I559"/>
      <c r="J559"/>
      <c r="K559"/>
      <c r="L559"/>
      <c r="M559"/>
      <c r="N559"/>
      <c r="O559"/>
      <c r="P559" s="233">
        <f t="shared" si="20"/>
        <v>0</v>
      </c>
      <c r="Q559" s="233"/>
    </row>
    <row r="560" spans="4:17" ht="15.75">
      <c r="D560"/>
      <c r="E560"/>
      <c r="F560"/>
      <c r="G560"/>
      <c r="H560"/>
      <c r="I560"/>
      <c r="J560"/>
      <c r="K560"/>
      <c r="L560"/>
      <c r="M560"/>
      <c r="N560"/>
      <c r="O560"/>
      <c r="P560" s="233">
        <f t="shared" si="20"/>
        <v>0</v>
      </c>
      <c r="Q560" s="233"/>
    </row>
    <row r="561" spans="4:17" ht="15.75">
      <c r="D561"/>
      <c r="E561"/>
      <c r="F561"/>
      <c r="G561"/>
      <c r="H561"/>
      <c r="I561"/>
      <c r="J561"/>
      <c r="K561"/>
      <c r="L561"/>
      <c r="M561"/>
      <c r="N561"/>
      <c r="O561"/>
      <c r="P561" s="233">
        <f t="shared" si="20"/>
        <v>0</v>
      </c>
      <c r="Q561" s="233"/>
    </row>
    <row r="562" spans="4:17" ht="15.75">
      <c r="D562"/>
      <c r="E562"/>
      <c r="F562"/>
      <c r="G562"/>
      <c r="H562"/>
      <c r="I562"/>
      <c r="J562"/>
      <c r="K562"/>
      <c r="L562"/>
      <c r="M562"/>
      <c r="N562"/>
      <c r="O562"/>
      <c r="P562" s="233">
        <f t="shared" si="20"/>
        <v>0</v>
      </c>
      <c r="Q562" s="233"/>
    </row>
    <row r="563" spans="4:17" ht="15.75">
      <c r="D563"/>
      <c r="E563"/>
      <c r="F563"/>
      <c r="G563"/>
      <c r="H563"/>
      <c r="I563"/>
      <c r="J563"/>
      <c r="K563"/>
      <c r="L563"/>
      <c r="M563"/>
      <c r="N563"/>
      <c r="O563"/>
      <c r="P563" s="233">
        <f t="shared" si="20"/>
        <v>0</v>
      </c>
      <c r="Q563" s="233"/>
    </row>
    <row r="564" spans="4:17" ht="15.75">
      <c r="D564"/>
      <c r="E564"/>
      <c r="F564"/>
      <c r="G564"/>
      <c r="H564"/>
      <c r="I564"/>
      <c r="J564"/>
      <c r="K564"/>
      <c r="L564"/>
      <c r="M564"/>
      <c r="N564"/>
      <c r="O564"/>
      <c r="P564" s="233">
        <f t="shared" si="20"/>
        <v>0</v>
      </c>
      <c r="Q564" s="233"/>
    </row>
    <row r="565" spans="4:17" ht="15.75">
      <c r="D565"/>
      <c r="E565"/>
      <c r="F565"/>
      <c r="G565"/>
      <c r="H565"/>
      <c r="I565"/>
      <c r="J565"/>
      <c r="K565"/>
      <c r="L565"/>
      <c r="M565"/>
      <c r="N565"/>
      <c r="O565"/>
      <c r="P565" s="233">
        <f t="shared" si="20"/>
        <v>0</v>
      </c>
      <c r="Q565" s="233"/>
    </row>
    <row r="566" spans="4:17" ht="15.75">
      <c r="D566"/>
      <c r="E566"/>
      <c r="F566"/>
      <c r="G566"/>
      <c r="H566"/>
      <c r="I566"/>
      <c r="J566"/>
      <c r="K566"/>
      <c r="L566"/>
      <c r="M566"/>
      <c r="N566"/>
      <c r="O566"/>
      <c r="P566" s="233">
        <f t="shared" si="20"/>
        <v>0</v>
      </c>
      <c r="Q566" s="233"/>
    </row>
    <row r="567" spans="4:17" ht="15.75">
      <c r="D567"/>
      <c r="E567"/>
      <c r="F567"/>
      <c r="G567"/>
      <c r="H567"/>
      <c r="I567"/>
      <c r="J567"/>
      <c r="K567"/>
      <c r="L567"/>
      <c r="M567"/>
      <c r="N567"/>
      <c r="O567"/>
      <c r="P567" s="233">
        <f t="shared" si="20"/>
        <v>0</v>
      </c>
      <c r="Q567" s="233"/>
    </row>
    <row r="568" spans="4:17" ht="15.75">
      <c r="D568"/>
      <c r="E568"/>
      <c r="F568"/>
      <c r="G568"/>
      <c r="H568"/>
      <c r="I568"/>
      <c r="J568"/>
      <c r="K568"/>
      <c r="L568"/>
      <c r="M568"/>
      <c r="N568"/>
      <c r="O568"/>
      <c r="P568" s="233">
        <f t="shared" si="20"/>
        <v>0</v>
      </c>
      <c r="Q568" s="233"/>
    </row>
    <row r="569" spans="4:17" ht="15.75">
      <c r="D569"/>
      <c r="E569"/>
      <c r="F569"/>
      <c r="G569"/>
      <c r="H569"/>
      <c r="I569"/>
      <c r="J569"/>
      <c r="K569"/>
      <c r="L569"/>
      <c r="M569"/>
      <c r="N569"/>
      <c r="O569"/>
      <c r="P569" s="233">
        <f t="shared" si="20"/>
        <v>0</v>
      </c>
      <c r="Q569" s="233"/>
    </row>
    <row r="570" spans="4:17" ht="15.75">
      <c r="D570"/>
      <c r="E570"/>
      <c r="F570"/>
      <c r="G570"/>
      <c r="H570"/>
      <c r="I570"/>
      <c r="J570"/>
      <c r="K570"/>
      <c r="L570"/>
      <c r="M570"/>
      <c r="N570"/>
      <c r="O570"/>
      <c r="P570" s="233">
        <f t="shared" si="20"/>
        <v>0</v>
      </c>
      <c r="Q570" s="233"/>
    </row>
    <row r="571" spans="4:17" ht="15.75">
      <c r="D571"/>
      <c r="E571"/>
      <c r="F571"/>
      <c r="G571"/>
      <c r="H571"/>
      <c r="I571"/>
      <c r="J571"/>
      <c r="K571"/>
      <c r="L571"/>
      <c r="M571"/>
      <c r="N571"/>
      <c r="O571"/>
      <c r="P571" s="233">
        <f t="shared" si="20"/>
        <v>0</v>
      </c>
      <c r="Q571" s="233"/>
    </row>
    <row r="572" spans="4:17" ht="15.75">
      <c r="D572"/>
      <c r="E572"/>
      <c r="F572"/>
      <c r="G572"/>
      <c r="H572"/>
      <c r="I572"/>
      <c r="J572"/>
      <c r="K572"/>
      <c r="L572"/>
      <c r="M572"/>
      <c r="N572"/>
      <c r="O572"/>
      <c r="P572" s="233">
        <f t="shared" si="20"/>
        <v>0</v>
      </c>
      <c r="Q572" s="233"/>
    </row>
    <row r="573" spans="4:17" ht="15.75">
      <c r="D573"/>
      <c r="E573"/>
      <c r="F573"/>
      <c r="G573"/>
      <c r="H573"/>
      <c r="I573"/>
      <c r="J573"/>
      <c r="K573"/>
      <c r="L573"/>
      <c r="M573"/>
      <c r="N573"/>
      <c r="O573"/>
      <c r="P573" s="233">
        <f t="shared" si="20"/>
        <v>0</v>
      </c>
      <c r="Q573" s="233"/>
    </row>
    <row r="574" spans="4:17" ht="15.75">
      <c r="D574"/>
      <c r="E574"/>
      <c r="F574"/>
      <c r="G574"/>
      <c r="H574"/>
      <c r="I574"/>
      <c r="J574"/>
      <c r="K574"/>
      <c r="L574"/>
      <c r="M574"/>
      <c r="N574"/>
      <c r="O574"/>
      <c r="P574" s="233">
        <f t="shared" si="20"/>
        <v>0</v>
      </c>
      <c r="Q574" s="233"/>
    </row>
    <row r="575" spans="4:17" ht="15.75">
      <c r="D575"/>
      <c r="E575"/>
      <c r="F575"/>
      <c r="G575"/>
      <c r="H575"/>
      <c r="I575"/>
      <c r="J575"/>
      <c r="K575"/>
      <c r="L575"/>
      <c r="M575"/>
      <c r="N575"/>
      <c r="O575"/>
      <c r="P575" s="233">
        <f t="shared" si="20"/>
        <v>0</v>
      </c>
      <c r="Q575" s="233"/>
    </row>
    <row r="576" spans="4:17" ht="15.75">
      <c r="D576"/>
      <c r="E576"/>
      <c r="F576"/>
      <c r="G576"/>
      <c r="H576"/>
      <c r="I576"/>
      <c r="J576"/>
      <c r="K576"/>
      <c r="L576"/>
      <c r="M576"/>
      <c r="N576"/>
      <c r="O576"/>
      <c r="P576" s="233">
        <f t="shared" si="20"/>
        <v>0</v>
      </c>
      <c r="Q576" s="233"/>
    </row>
    <row r="577" spans="4:17" ht="15.75">
      <c r="D577"/>
      <c r="E577"/>
      <c r="F577"/>
      <c r="G577"/>
      <c r="H577"/>
      <c r="I577"/>
      <c r="J577"/>
      <c r="K577"/>
      <c r="L577"/>
      <c r="M577"/>
      <c r="N577"/>
      <c r="O577"/>
      <c r="P577" s="233">
        <f t="shared" si="20"/>
        <v>0</v>
      </c>
      <c r="Q577" s="233"/>
    </row>
    <row r="578" spans="4:17" ht="15.75">
      <c r="D578"/>
      <c r="E578"/>
      <c r="F578"/>
      <c r="G578"/>
      <c r="H578"/>
      <c r="I578"/>
      <c r="J578"/>
      <c r="K578"/>
      <c r="L578"/>
      <c r="M578"/>
      <c r="N578"/>
      <c r="O578"/>
      <c r="P578" s="233">
        <f t="shared" si="20"/>
        <v>0</v>
      </c>
      <c r="Q578" s="233"/>
    </row>
    <row r="579" spans="4:17" ht="15.75">
      <c r="D579"/>
      <c r="E579"/>
      <c r="F579"/>
      <c r="G579"/>
      <c r="H579"/>
      <c r="I579"/>
      <c r="J579"/>
      <c r="K579"/>
      <c r="L579"/>
      <c r="M579"/>
      <c r="N579"/>
      <c r="O579"/>
      <c r="P579" s="233">
        <f t="shared" si="20"/>
        <v>0</v>
      </c>
      <c r="Q579" s="233"/>
    </row>
    <row r="580" spans="4:17" ht="15.75">
      <c r="D580"/>
      <c r="E580"/>
      <c r="F580"/>
      <c r="G580"/>
      <c r="H580"/>
      <c r="I580"/>
      <c r="J580"/>
      <c r="K580"/>
      <c r="L580"/>
      <c r="M580"/>
      <c r="N580"/>
      <c r="O580"/>
      <c r="P580" s="233">
        <f t="shared" si="20"/>
        <v>0</v>
      </c>
      <c r="Q580" s="233"/>
    </row>
    <row r="581" spans="4:17" ht="15.75">
      <c r="D581"/>
      <c r="E581"/>
      <c r="F581"/>
      <c r="G581"/>
      <c r="H581"/>
      <c r="I581"/>
      <c r="J581"/>
      <c r="K581"/>
      <c r="L581"/>
      <c r="M581"/>
      <c r="N581"/>
      <c r="O581"/>
      <c r="P581" s="233">
        <f t="shared" si="20"/>
        <v>0</v>
      </c>
      <c r="Q581" s="233"/>
    </row>
    <row r="582" spans="4:17" ht="15.75">
      <c r="D582"/>
      <c r="E582"/>
      <c r="F582"/>
      <c r="G582"/>
      <c r="H582"/>
      <c r="I582"/>
      <c r="J582"/>
      <c r="K582"/>
      <c r="L582"/>
      <c r="M582"/>
      <c r="N582"/>
      <c r="O582"/>
      <c r="P582" s="233">
        <f t="shared" si="20"/>
        <v>0</v>
      </c>
      <c r="Q582" s="233"/>
    </row>
    <row r="583" spans="4:17" ht="15.75">
      <c r="D583"/>
      <c r="E583"/>
      <c r="F583"/>
      <c r="G583"/>
      <c r="H583"/>
      <c r="I583"/>
      <c r="J583"/>
      <c r="K583"/>
      <c r="L583"/>
      <c r="M583"/>
      <c r="N583"/>
      <c r="O583"/>
      <c r="P583" s="233">
        <f t="shared" si="20"/>
        <v>0</v>
      </c>
      <c r="Q583" s="233"/>
    </row>
    <row r="584" spans="4:17" ht="15.75">
      <c r="D584"/>
      <c r="E584"/>
      <c r="F584"/>
      <c r="G584"/>
      <c r="H584"/>
      <c r="I584"/>
      <c r="J584"/>
      <c r="K584"/>
      <c r="L584"/>
      <c r="M584"/>
      <c r="N584"/>
      <c r="O584"/>
      <c r="P584" s="233">
        <f t="shared" si="20"/>
        <v>0</v>
      </c>
      <c r="Q584" s="233"/>
    </row>
    <row r="585" spans="4:17" ht="15.75">
      <c r="D585"/>
      <c r="E585"/>
      <c r="F585"/>
      <c r="G585"/>
      <c r="H585"/>
      <c r="I585"/>
      <c r="J585"/>
      <c r="K585"/>
      <c r="L585"/>
      <c r="M585"/>
      <c r="N585"/>
      <c r="O585"/>
      <c r="P585" s="233">
        <f t="shared" si="20"/>
        <v>0</v>
      </c>
      <c r="Q585" s="233"/>
    </row>
    <row r="586" spans="4:17" ht="15.75">
      <c r="D586"/>
      <c r="E586"/>
      <c r="F586"/>
      <c r="G586"/>
      <c r="H586"/>
      <c r="I586"/>
      <c r="J586"/>
      <c r="K586"/>
      <c r="L586"/>
      <c r="M586"/>
      <c r="N586"/>
      <c r="O586"/>
      <c r="P586" s="233">
        <f t="shared" si="20"/>
        <v>0</v>
      </c>
      <c r="Q586" s="233"/>
    </row>
    <row r="587" spans="4:17" ht="15.75">
      <c r="D587"/>
      <c r="E587"/>
      <c r="F587"/>
      <c r="G587"/>
      <c r="H587"/>
      <c r="I587"/>
      <c r="J587"/>
      <c r="K587"/>
      <c r="L587"/>
      <c r="M587"/>
      <c r="N587"/>
      <c r="O587"/>
      <c r="P587" s="233">
        <f t="shared" si="20"/>
        <v>0</v>
      </c>
      <c r="Q587" s="233"/>
    </row>
    <row r="588" spans="4:17" ht="15.75">
      <c r="D588"/>
      <c r="E588"/>
      <c r="F588"/>
      <c r="G588"/>
      <c r="H588"/>
      <c r="I588"/>
      <c r="J588"/>
      <c r="K588"/>
      <c r="L588"/>
      <c r="M588"/>
      <c r="N588"/>
      <c r="O588"/>
      <c r="P588" s="233">
        <f t="shared" si="20"/>
        <v>0</v>
      </c>
      <c r="Q588" s="233"/>
    </row>
    <row r="589" spans="4:17" ht="15.75">
      <c r="D589"/>
      <c r="E589"/>
      <c r="F589"/>
      <c r="G589"/>
      <c r="H589"/>
      <c r="I589"/>
      <c r="J589"/>
      <c r="K589"/>
      <c r="L589"/>
      <c r="M589"/>
      <c r="N589"/>
      <c r="O589"/>
      <c r="P589" s="233">
        <f t="shared" si="20"/>
        <v>0</v>
      </c>
      <c r="Q589" s="233"/>
    </row>
    <row r="590" spans="4:17" ht="15.75">
      <c r="D590"/>
      <c r="E590"/>
      <c r="F590"/>
      <c r="G590"/>
      <c r="H590"/>
      <c r="I590"/>
      <c r="J590"/>
      <c r="K590"/>
      <c r="L590"/>
      <c r="M590"/>
      <c r="N590"/>
      <c r="O590"/>
      <c r="P590" s="233">
        <f t="shared" ref="P590:P653" si="21">IF(ISNUMBER(Q590),Q590,0)</f>
        <v>0</v>
      </c>
      <c r="Q590" s="233"/>
    </row>
    <row r="591" spans="4:17" ht="15.75">
      <c r="D591"/>
      <c r="E591"/>
      <c r="F591"/>
      <c r="G591"/>
      <c r="H591"/>
      <c r="I591"/>
      <c r="J591"/>
      <c r="K591"/>
      <c r="L591"/>
      <c r="M591"/>
      <c r="N591"/>
      <c r="O591"/>
      <c r="P591" s="233">
        <f t="shared" si="21"/>
        <v>0</v>
      </c>
      <c r="Q591" s="233"/>
    </row>
    <row r="592" spans="4:17" ht="15.75">
      <c r="D592"/>
      <c r="E592"/>
      <c r="F592"/>
      <c r="G592"/>
      <c r="H592"/>
      <c r="I592"/>
      <c r="J592"/>
      <c r="K592"/>
      <c r="L592"/>
      <c r="M592"/>
      <c r="N592"/>
      <c r="O592"/>
      <c r="P592" s="233">
        <f t="shared" si="21"/>
        <v>0</v>
      </c>
      <c r="Q592" s="233"/>
    </row>
    <row r="593" spans="4:17" ht="15.75">
      <c r="D593"/>
      <c r="E593"/>
      <c r="F593"/>
      <c r="G593"/>
      <c r="H593"/>
      <c r="I593"/>
      <c r="J593"/>
      <c r="K593"/>
      <c r="L593"/>
      <c r="M593"/>
      <c r="N593"/>
      <c r="O593"/>
      <c r="P593" s="233">
        <f t="shared" si="21"/>
        <v>0</v>
      </c>
      <c r="Q593" s="233"/>
    </row>
    <row r="594" spans="4:17" ht="15.75">
      <c r="D594"/>
      <c r="E594"/>
      <c r="F594"/>
      <c r="G594"/>
      <c r="H594"/>
      <c r="I594"/>
      <c r="J594"/>
      <c r="K594"/>
      <c r="L594"/>
      <c r="M594"/>
      <c r="N594"/>
      <c r="O594"/>
      <c r="P594" s="233">
        <f t="shared" si="21"/>
        <v>0</v>
      </c>
      <c r="Q594" s="233"/>
    </row>
    <row r="595" spans="4:17" ht="15.75">
      <c r="D595"/>
      <c r="E595"/>
      <c r="F595"/>
      <c r="G595"/>
      <c r="H595"/>
      <c r="I595"/>
      <c r="J595"/>
      <c r="K595"/>
      <c r="L595"/>
      <c r="M595"/>
      <c r="N595"/>
      <c r="O595"/>
      <c r="P595" s="233">
        <f t="shared" si="21"/>
        <v>0</v>
      </c>
      <c r="Q595" s="233"/>
    </row>
    <row r="596" spans="4:17" ht="15.75">
      <c r="D596"/>
      <c r="E596"/>
      <c r="F596"/>
      <c r="G596"/>
      <c r="H596"/>
      <c r="I596"/>
      <c r="J596"/>
      <c r="K596"/>
      <c r="L596"/>
      <c r="M596"/>
      <c r="N596"/>
      <c r="O596"/>
      <c r="P596" s="233">
        <f t="shared" si="21"/>
        <v>0</v>
      </c>
      <c r="Q596" s="233"/>
    </row>
    <row r="597" spans="4:17" ht="15.75">
      <c r="D597"/>
      <c r="E597"/>
      <c r="F597"/>
      <c r="G597"/>
      <c r="H597"/>
      <c r="I597"/>
      <c r="J597"/>
      <c r="K597"/>
      <c r="L597"/>
      <c r="M597"/>
      <c r="N597"/>
      <c r="O597"/>
      <c r="P597" s="233">
        <f t="shared" si="21"/>
        <v>0</v>
      </c>
      <c r="Q597" s="233"/>
    </row>
    <row r="598" spans="4:17" ht="15.75">
      <c r="D598"/>
      <c r="E598"/>
      <c r="F598"/>
      <c r="G598"/>
      <c r="H598"/>
      <c r="I598"/>
      <c r="J598"/>
      <c r="K598"/>
      <c r="L598"/>
      <c r="M598"/>
      <c r="N598"/>
      <c r="O598"/>
      <c r="P598" s="233">
        <f t="shared" si="21"/>
        <v>0</v>
      </c>
      <c r="Q598" s="233"/>
    </row>
    <row r="599" spans="4:17" ht="15.75">
      <c r="D599"/>
      <c r="E599"/>
      <c r="F599"/>
      <c r="G599"/>
      <c r="H599"/>
      <c r="I599"/>
      <c r="J599"/>
      <c r="K599"/>
      <c r="L599"/>
      <c r="M599"/>
      <c r="N599"/>
      <c r="O599"/>
      <c r="P599" s="233">
        <f t="shared" si="21"/>
        <v>0</v>
      </c>
      <c r="Q599" s="233"/>
    </row>
    <row r="600" spans="4:17" ht="15.75">
      <c r="D600"/>
      <c r="E600"/>
      <c r="F600"/>
      <c r="G600"/>
      <c r="H600"/>
      <c r="I600"/>
      <c r="J600"/>
      <c r="K600"/>
      <c r="L600"/>
      <c r="M600"/>
      <c r="N600"/>
      <c r="O600"/>
      <c r="P600" s="233">
        <f t="shared" si="21"/>
        <v>0</v>
      </c>
      <c r="Q600" s="233"/>
    </row>
    <row r="601" spans="4:17" ht="15.75">
      <c r="D601"/>
      <c r="E601"/>
      <c r="F601"/>
      <c r="G601"/>
      <c r="H601"/>
      <c r="I601"/>
      <c r="J601"/>
      <c r="K601"/>
      <c r="L601"/>
      <c r="M601"/>
      <c r="N601"/>
      <c r="O601"/>
      <c r="P601" s="233">
        <f t="shared" si="21"/>
        <v>0</v>
      </c>
      <c r="Q601" s="233"/>
    </row>
    <row r="602" spans="4:17" ht="15.75">
      <c r="D602"/>
      <c r="E602"/>
      <c r="F602"/>
      <c r="G602"/>
      <c r="H602"/>
      <c r="I602"/>
      <c r="J602"/>
      <c r="K602"/>
      <c r="L602"/>
      <c r="M602"/>
      <c r="N602"/>
      <c r="O602"/>
      <c r="P602" s="233">
        <f t="shared" si="21"/>
        <v>0</v>
      </c>
      <c r="Q602" s="233"/>
    </row>
    <row r="603" spans="4:17" ht="15.75">
      <c r="D603"/>
      <c r="E603"/>
      <c r="F603"/>
      <c r="G603"/>
      <c r="H603"/>
      <c r="I603"/>
      <c r="J603"/>
      <c r="K603"/>
      <c r="L603"/>
      <c r="M603"/>
      <c r="N603"/>
      <c r="O603"/>
      <c r="P603" s="233">
        <f t="shared" si="21"/>
        <v>0</v>
      </c>
      <c r="Q603" s="233"/>
    </row>
    <row r="604" spans="4:17" ht="15.75">
      <c r="D604"/>
      <c r="E604"/>
      <c r="F604"/>
      <c r="G604"/>
      <c r="H604"/>
      <c r="I604"/>
      <c r="J604"/>
      <c r="K604"/>
      <c r="L604"/>
      <c r="M604"/>
      <c r="N604"/>
      <c r="O604"/>
      <c r="P604" s="233">
        <f t="shared" si="21"/>
        <v>0</v>
      </c>
      <c r="Q604" s="233"/>
    </row>
    <row r="605" spans="4:17" ht="15.75">
      <c r="D605"/>
      <c r="E605"/>
      <c r="F605"/>
      <c r="G605"/>
      <c r="H605"/>
      <c r="I605"/>
      <c r="J605"/>
      <c r="K605"/>
      <c r="L605"/>
      <c r="M605"/>
      <c r="N605"/>
      <c r="O605"/>
      <c r="P605" s="233">
        <f t="shared" si="21"/>
        <v>0</v>
      </c>
      <c r="Q605" s="233"/>
    </row>
    <row r="606" spans="4:17" ht="15.75">
      <c r="D606"/>
      <c r="E606"/>
      <c r="F606"/>
      <c r="G606"/>
      <c r="H606"/>
      <c r="I606"/>
      <c r="J606"/>
      <c r="K606"/>
      <c r="L606"/>
      <c r="M606"/>
      <c r="N606"/>
      <c r="O606"/>
      <c r="P606" s="233">
        <f t="shared" si="21"/>
        <v>0</v>
      </c>
      <c r="Q606" s="233"/>
    </row>
    <row r="607" spans="4:17" ht="15.75">
      <c r="D607"/>
      <c r="E607"/>
      <c r="F607"/>
      <c r="G607"/>
      <c r="H607"/>
      <c r="I607"/>
      <c r="J607"/>
      <c r="K607"/>
      <c r="L607"/>
      <c r="M607"/>
      <c r="N607"/>
      <c r="O607"/>
      <c r="P607" s="233">
        <f t="shared" si="21"/>
        <v>0</v>
      </c>
      <c r="Q607" s="233"/>
    </row>
    <row r="608" spans="4:17" ht="15.75">
      <c r="D608"/>
      <c r="E608"/>
      <c r="F608"/>
      <c r="G608"/>
      <c r="H608"/>
      <c r="I608"/>
      <c r="J608"/>
      <c r="K608"/>
      <c r="L608"/>
      <c r="M608"/>
      <c r="N608"/>
      <c r="O608"/>
      <c r="P608" s="233">
        <f t="shared" si="21"/>
        <v>0</v>
      </c>
      <c r="Q608" s="233"/>
    </row>
    <row r="609" spans="4:17" ht="15.75">
      <c r="D609"/>
      <c r="E609"/>
      <c r="F609"/>
      <c r="G609"/>
      <c r="H609"/>
      <c r="I609"/>
      <c r="J609"/>
      <c r="K609"/>
      <c r="L609"/>
      <c r="M609"/>
      <c r="N609"/>
      <c r="O609"/>
      <c r="P609" s="233">
        <f t="shared" si="21"/>
        <v>0</v>
      </c>
      <c r="Q609" s="233"/>
    </row>
    <row r="610" spans="4:17" ht="15.75">
      <c r="D610"/>
      <c r="E610"/>
      <c r="F610"/>
      <c r="G610"/>
      <c r="H610"/>
      <c r="I610"/>
      <c r="J610"/>
      <c r="K610"/>
      <c r="L610"/>
      <c r="M610"/>
      <c r="N610"/>
      <c r="O610"/>
      <c r="P610" s="233">
        <f t="shared" si="21"/>
        <v>0</v>
      </c>
      <c r="Q610" s="233"/>
    </row>
    <row r="611" spans="4:17" ht="15.75">
      <c r="D611"/>
      <c r="E611"/>
      <c r="F611"/>
      <c r="G611"/>
      <c r="H611"/>
      <c r="I611"/>
      <c r="J611"/>
      <c r="K611"/>
      <c r="L611"/>
      <c r="M611"/>
      <c r="N611"/>
      <c r="O611"/>
      <c r="P611" s="233">
        <f t="shared" si="21"/>
        <v>0</v>
      </c>
      <c r="Q611" s="233"/>
    </row>
    <row r="612" spans="4:17" ht="15.75">
      <c r="D612"/>
      <c r="E612"/>
      <c r="F612"/>
      <c r="G612"/>
      <c r="H612"/>
      <c r="I612"/>
      <c r="J612"/>
      <c r="K612"/>
      <c r="L612"/>
      <c r="M612"/>
      <c r="N612"/>
      <c r="O612"/>
      <c r="P612" s="233">
        <f t="shared" si="21"/>
        <v>0</v>
      </c>
      <c r="Q612" s="233"/>
    </row>
    <row r="613" spans="4:17" ht="15.75">
      <c r="D613"/>
      <c r="E613"/>
      <c r="F613"/>
      <c r="G613"/>
      <c r="H613"/>
      <c r="I613"/>
      <c r="J613"/>
      <c r="K613"/>
      <c r="L613"/>
      <c r="M613"/>
      <c r="N613"/>
      <c r="O613"/>
      <c r="P613" s="233">
        <f t="shared" si="21"/>
        <v>0</v>
      </c>
      <c r="Q613" s="233"/>
    </row>
    <row r="614" spans="4:17" ht="15.75">
      <c r="D614"/>
      <c r="E614"/>
      <c r="F614"/>
      <c r="G614"/>
      <c r="H614"/>
      <c r="I614"/>
      <c r="J614"/>
      <c r="K614"/>
      <c r="L614"/>
      <c r="M614"/>
      <c r="N614"/>
      <c r="O614"/>
      <c r="P614" s="233">
        <f t="shared" si="21"/>
        <v>0</v>
      </c>
      <c r="Q614" s="233"/>
    </row>
    <row r="615" spans="4:17" ht="15.75">
      <c r="D615"/>
      <c r="E615"/>
      <c r="F615"/>
      <c r="G615"/>
      <c r="H615"/>
      <c r="I615"/>
      <c r="J615"/>
      <c r="K615"/>
      <c r="L615"/>
      <c r="M615"/>
      <c r="N615"/>
      <c r="O615"/>
      <c r="P615" s="233">
        <f t="shared" si="21"/>
        <v>0</v>
      </c>
      <c r="Q615" s="233"/>
    </row>
    <row r="616" spans="4:17" ht="15.75">
      <c r="D616"/>
      <c r="E616"/>
      <c r="F616"/>
      <c r="G616"/>
      <c r="H616"/>
      <c r="I616"/>
      <c r="J616"/>
      <c r="K616"/>
      <c r="L616"/>
      <c r="M616"/>
      <c r="N616"/>
      <c r="O616"/>
      <c r="P616" s="233">
        <f t="shared" si="21"/>
        <v>0</v>
      </c>
      <c r="Q616" s="233"/>
    </row>
    <row r="617" spans="4:17" ht="15.75">
      <c r="D617"/>
      <c r="E617"/>
      <c r="F617"/>
      <c r="G617"/>
      <c r="H617"/>
      <c r="I617"/>
      <c r="J617"/>
      <c r="K617"/>
      <c r="L617"/>
      <c r="M617"/>
      <c r="N617"/>
      <c r="O617"/>
      <c r="P617" s="233">
        <f t="shared" si="21"/>
        <v>0</v>
      </c>
      <c r="Q617" s="233"/>
    </row>
    <row r="618" spans="4:17" ht="15.75">
      <c r="D618"/>
      <c r="E618"/>
      <c r="F618"/>
      <c r="G618"/>
      <c r="H618"/>
      <c r="I618"/>
      <c r="J618"/>
      <c r="K618"/>
      <c r="L618"/>
      <c r="M618"/>
      <c r="N618"/>
      <c r="O618"/>
      <c r="P618" s="233">
        <f t="shared" si="21"/>
        <v>0</v>
      </c>
      <c r="Q618" s="233"/>
    </row>
    <row r="619" spans="4:17" ht="15.75">
      <c r="D619"/>
      <c r="E619"/>
      <c r="F619"/>
      <c r="G619"/>
      <c r="H619"/>
      <c r="I619"/>
      <c r="J619"/>
      <c r="K619"/>
      <c r="L619"/>
      <c r="M619"/>
      <c r="N619"/>
      <c r="O619"/>
      <c r="P619" s="233">
        <f t="shared" si="21"/>
        <v>0</v>
      </c>
      <c r="Q619" s="233"/>
    </row>
    <row r="620" spans="4:17" ht="15.75">
      <c r="D620"/>
      <c r="E620"/>
      <c r="F620"/>
      <c r="G620"/>
      <c r="H620"/>
      <c r="I620"/>
      <c r="J620"/>
      <c r="K620"/>
      <c r="L620"/>
      <c r="M620"/>
      <c r="N620"/>
      <c r="O620"/>
      <c r="P620" s="233">
        <f t="shared" si="21"/>
        <v>0</v>
      </c>
      <c r="Q620" s="233"/>
    </row>
    <row r="621" spans="4:17" ht="15.75">
      <c r="D621"/>
      <c r="E621"/>
      <c r="F621"/>
      <c r="G621"/>
      <c r="H621"/>
      <c r="I621"/>
      <c r="J621"/>
      <c r="K621"/>
      <c r="L621"/>
      <c r="M621"/>
      <c r="N621"/>
      <c r="O621"/>
      <c r="P621" s="233">
        <f t="shared" si="21"/>
        <v>0</v>
      </c>
      <c r="Q621" s="233"/>
    </row>
    <row r="622" spans="4:17" ht="15.75">
      <c r="D622"/>
      <c r="E622"/>
      <c r="F622"/>
      <c r="G622"/>
      <c r="H622"/>
      <c r="I622"/>
      <c r="J622"/>
      <c r="K622"/>
      <c r="L622"/>
      <c r="M622"/>
      <c r="N622"/>
      <c r="O622"/>
      <c r="P622" s="233">
        <f t="shared" si="21"/>
        <v>0</v>
      </c>
      <c r="Q622" s="233"/>
    </row>
    <row r="623" spans="4:17" ht="15.75">
      <c r="D623"/>
      <c r="E623"/>
      <c r="F623"/>
      <c r="G623"/>
      <c r="H623"/>
      <c r="I623"/>
      <c r="J623"/>
      <c r="K623"/>
      <c r="L623"/>
      <c r="M623"/>
      <c r="N623"/>
      <c r="O623"/>
      <c r="P623" s="233">
        <f t="shared" si="21"/>
        <v>0</v>
      </c>
      <c r="Q623" s="233"/>
    </row>
    <row r="624" spans="4:17" ht="15.75">
      <c r="D624"/>
      <c r="E624"/>
      <c r="F624"/>
      <c r="G624"/>
      <c r="H624"/>
      <c r="I624"/>
      <c r="J624"/>
      <c r="K624"/>
      <c r="L624"/>
      <c r="M624"/>
      <c r="N624"/>
      <c r="O624"/>
      <c r="P624" s="233">
        <f t="shared" si="21"/>
        <v>0</v>
      </c>
      <c r="Q624" s="233"/>
    </row>
    <row r="625" spans="4:17" ht="15.75">
      <c r="D625"/>
      <c r="E625"/>
      <c r="F625"/>
      <c r="G625"/>
      <c r="H625"/>
      <c r="I625"/>
      <c r="J625"/>
      <c r="K625"/>
      <c r="L625"/>
      <c r="M625"/>
      <c r="N625"/>
      <c r="O625"/>
      <c r="P625" s="233">
        <f t="shared" si="21"/>
        <v>0</v>
      </c>
      <c r="Q625" s="233"/>
    </row>
    <row r="626" spans="4:17" ht="15.75">
      <c r="D626"/>
      <c r="E626"/>
      <c r="F626"/>
      <c r="G626"/>
      <c r="H626"/>
      <c r="I626"/>
      <c r="J626"/>
      <c r="K626"/>
      <c r="L626"/>
      <c r="M626"/>
      <c r="N626"/>
      <c r="O626"/>
      <c r="P626" s="233">
        <f t="shared" si="21"/>
        <v>0</v>
      </c>
      <c r="Q626" s="233"/>
    </row>
    <row r="627" spans="4:17" ht="15.75">
      <c r="D627"/>
      <c r="E627"/>
      <c r="F627"/>
      <c r="G627"/>
      <c r="H627"/>
      <c r="I627"/>
      <c r="J627"/>
      <c r="K627"/>
      <c r="L627"/>
      <c r="M627"/>
      <c r="N627"/>
      <c r="O627"/>
      <c r="P627" s="233">
        <f t="shared" si="21"/>
        <v>0</v>
      </c>
      <c r="Q627" s="233"/>
    </row>
    <row r="628" spans="4:17" ht="15.75">
      <c r="D628"/>
      <c r="E628"/>
      <c r="F628"/>
      <c r="G628"/>
      <c r="H628"/>
      <c r="I628"/>
      <c r="J628"/>
      <c r="K628"/>
      <c r="L628"/>
      <c r="M628"/>
      <c r="N628"/>
      <c r="O628"/>
      <c r="P628" s="233">
        <f t="shared" si="21"/>
        <v>0</v>
      </c>
      <c r="Q628" s="233"/>
    </row>
    <row r="629" spans="4:17" ht="15.75">
      <c r="D629"/>
      <c r="E629"/>
      <c r="F629"/>
      <c r="G629"/>
      <c r="H629"/>
      <c r="I629"/>
      <c r="J629"/>
      <c r="K629"/>
      <c r="L629"/>
      <c r="M629"/>
      <c r="N629"/>
      <c r="O629"/>
      <c r="P629" s="233">
        <f t="shared" si="21"/>
        <v>0</v>
      </c>
      <c r="Q629" s="233"/>
    </row>
    <row r="630" spans="4:17" ht="15.75">
      <c r="D630"/>
      <c r="E630"/>
      <c r="F630"/>
      <c r="G630"/>
      <c r="H630"/>
      <c r="I630"/>
      <c r="J630"/>
      <c r="K630"/>
      <c r="L630"/>
      <c r="M630"/>
      <c r="N630"/>
      <c r="O630"/>
      <c r="P630" s="233">
        <f t="shared" si="21"/>
        <v>0</v>
      </c>
      <c r="Q630" s="233"/>
    </row>
    <row r="631" spans="4:17" ht="15.75">
      <c r="D631"/>
      <c r="E631"/>
      <c r="F631"/>
      <c r="G631"/>
      <c r="H631"/>
      <c r="I631"/>
      <c r="J631"/>
      <c r="K631"/>
      <c r="L631"/>
      <c r="M631"/>
      <c r="N631"/>
      <c r="O631"/>
      <c r="P631" s="233">
        <f t="shared" si="21"/>
        <v>0</v>
      </c>
      <c r="Q631" s="233"/>
    </row>
    <row r="632" spans="4:17" ht="15.75">
      <c r="D632"/>
      <c r="E632"/>
      <c r="F632"/>
      <c r="G632"/>
      <c r="H632"/>
      <c r="I632"/>
      <c r="J632"/>
      <c r="K632"/>
      <c r="L632"/>
      <c r="M632"/>
      <c r="N632"/>
      <c r="O632"/>
      <c r="P632" s="233">
        <f t="shared" si="21"/>
        <v>0</v>
      </c>
      <c r="Q632" s="233"/>
    </row>
    <row r="633" spans="4:17" ht="15.75">
      <c r="D633"/>
      <c r="E633"/>
      <c r="F633"/>
      <c r="G633"/>
      <c r="H633"/>
      <c r="I633"/>
      <c r="J633"/>
      <c r="K633"/>
      <c r="L633"/>
      <c r="M633"/>
      <c r="N633"/>
      <c r="O633"/>
      <c r="P633" s="233">
        <f t="shared" si="21"/>
        <v>0</v>
      </c>
      <c r="Q633" s="233"/>
    </row>
    <row r="634" spans="4:17" ht="15.75">
      <c r="D634"/>
      <c r="E634"/>
      <c r="F634"/>
      <c r="G634"/>
      <c r="H634"/>
      <c r="I634"/>
      <c r="J634"/>
      <c r="K634"/>
      <c r="L634"/>
      <c r="M634"/>
      <c r="N634"/>
      <c r="O634"/>
      <c r="P634" s="233">
        <f t="shared" si="21"/>
        <v>0</v>
      </c>
      <c r="Q634" s="233"/>
    </row>
    <row r="635" spans="4:17" ht="15.75">
      <c r="D635"/>
      <c r="E635"/>
      <c r="F635"/>
      <c r="G635"/>
      <c r="H635"/>
      <c r="I635"/>
      <c r="J635"/>
      <c r="K635"/>
      <c r="L635"/>
      <c r="M635"/>
      <c r="N635"/>
      <c r="O635"/>
      <c r="P635" s="233">
        <f t="shared" si="21"/>
        <v>0</v>
      </c>
      <c r="Q635" s="233"/>
    </row>
    <row r="636" spans="4:17" ht="15.75">
      <c r="D636"/>
      <c r="E636"/>
      <c r="F636"/>
      <c r="G636"/>
      <c r="H636"/>
      <c r="I636"/>
      <c r="J636"/>
      <c r="K636"/>
      <c r="L636"/>
      <c r="M636"/>
      <c r="N636"/>
      <c r="O636"/>
      <c r="P636" s="233">
        <f t="shared" si="21"/>
        <v>0</v>
      </c>
      <c r="Q636" s="233"/>
    </row>
    <row r="637" spans="4:17" ht="15.75">
      <c r="D637"/>
      <c r="E637"/>
      <c r="F637"/>
      <c r="G637"/>
      <c r="H637"/>
      <c r="I637"/>
      <c r="J637"/>
      <c r="K637"/>
      <c r="L637"/>
      <c r="M637"/>
      <c r="N637"/>
      <c r="O637"/>
      <c r="P637" s="233">
        <f t="shared" si="21"/>
        <v>0</v>
      </c>
      <c r="Q637" s="233"/>
    </row>
    <row r="638" spans="4:17" ht="15.75">
      <c r="D638"/>
      <c r="E638"/>
      <c r="F638"/>
      <c r="G638"/>
      <c r="H638"/>
      <c r="I638"/>
      <c r="J638"/>
      <c r="K638"/>
      <c r="L638"/>
      <c r="M638"/>
      <c r="N638"/>
      <c r="O638"/>
      <c r="P638" s="233">
        <f t="shared" si="21"/>
        <v>0</v>
      </c>
      <c r="Q638" s="233"/>
    </row>
    <row r="639" spans="4:17" ht="15.75">
      <c r="D639"/>
      <c r="E639"/>
      <c r="F639"/>
      <c r="G639"/>
      <c r="H639"/>
      <c r="I639"/>
      <c r="J639"/>
      <c r="K639"/>
      <c r="L639"/>
      <c r="M639"/>
      <c r="N639"/>
      <c r="O639"/>
      <c r="P639" s="233">
        <f t="shared" si="21"/>
        <v>0</v>
      </c>
      <c r="Q639" s="233"/>
    </row>
    <row r="640" spans="4:17" ht="15.75">
      <c r="D640"/>
      <c r="E640"/>
      <c r="F640"/>
      <c r="G640"/>
      <c r="H640"/>
      <c r="I640"/>
      <c r="J640"/>
      <c r="K640"/>
      <c r="L640"/>
      <c r="M640"/>
      <c r="N640"/>
      <c r="O640"/>
      <c r="P640" s="233">
        <f t="shared" si="21"/>
        <v>0</v>
      </c>
      <c r="Q640" s="233"/>
    </row>
    <row r="641" spans="4:17" ht="15.75">
      <c r="D641"/>
      <c r="E641"/>
      <c r="F641"/>
      <c r="G641"/>
      <c r="H641"/>
      <c r="I641"/>
      <c r="J641"/>
      <c r="K641"/>
      <c r="L641"/>
      <c r="M641"/>
      <c r="N641"/>
      <c r="O641"/>
      <c r="P641" s="233">
        <f t="shared" si="21"/>
        <v>0</v>
      </c>
      <c r="Q641" s="233"/>
    </row>
    <row r="642" spans="4:17" ht="15.75">
      <c r="D642"/>
      <c r="E642"/>
      <c r="F642"/>
      <c r="G642"/>
      <c r="H642"/>
      <c r="I642"/>
      <c r="J642"/>
      <c r="K642"/>
      <c r="L642"/>
      <c r="M642"/>
      <c r="N642"/>
      <c r="O642"/>
      <c r="P642" s="233">
        <f t="shared" si="21"/>
        <v>0</v>
      </c>
      <c r="Q642" s="233"/>
    </row>
    <row r="643" spans="4:17" ht="15.75">
      <c r="D643"/>
      <c r="E643"/>
      <c r="F643"/>
      <c r="G643"/>
      <c r="H643"/>
      <c r="I643"/>
      <c r="J643"/>
      <c r="K643"/>
      <c r="L643"/>
      <c r="M643"/>
      <c r="N643"/>
      <c r="O643"/>
      <c r="P643" s="233">
        <f t="shared" si="21"/>
        <v>0</v>
      </c>
      <c r="Q643" s="233"/>
    </row>
    <row r="644" spans="4:17" ht="15.75">
      <c r="D644"/>
      <c r="E644"/>
      <c r="F644"/>
      <c r="G644"/>
      <c r="H644"/>
      <c r="I644"/>
      <c r="J644"/>
      <c r="K644"/>
      <c r="L644"/>
      <c r="M644"/>
      <c r="N644"/>
      <c r="O644"/>
      <c r="P644" s="233">
        <f t="shared" si="21"/>
        <v>0</v>
      </c>
      <c r="Q644" s="233"/>
    </row>
    <row r="645" spans="4:17" ht="15.75">
      <c r="D645"/>
      <c r="E645"/>
      <c r="F645"/>
      <c r="G645"/>
      <c r="H645"/>
      <c r="I645"/>
      <c r="J645"/>
      <c r="K645"/>
      <c r="L645"/>
      <c r="M645"/>
      <c r="N645"/>
      <c r="O645"/>
      <c r="P645" s="233">
        <f t="shared" si="21"/>
        <v>0</v>
      </c>
      <c r="Q645" s="233"/>
    </row>
    <row r="646" spans="4:17" ht="15.75">
      <c r="D646"/>
      <c r="E646"/>
      <c r="F646"/>
      <c r="G646"/>
      <c r="H646"/>
      <c r="I646"/>
      <c r="J646"/>
      <c r="K646"/>
      <c r="L646"/>
      <c r="M646"/>
      <c r="N646"/>
      <c r="O646"/>
      <c r="P646" s="233">
        <f t="shared" si="21"/>
        <v>0</v>
      </c>
      <c r="Q646" s="233"/>
    </row>
    <row r="647" spans="4:17" ht="15.75">
      <c r="D647"/>
      <c r="E647"/>
      <c r="F647"/>
      <c r="G647"/>
      <c r="H647"/>
      <c r="I647"/>
      <c r="J647"/>
      <c r="K647"/>
      <c r="L647"/>
      <c r="M647"/>
      <c r="N647"/>
      <c r="O647"/>
      <c r="P647" s="233">
        <f t="shared" si="21"/>
        <v>0</v>
      </c>
      <c r="Q647" s="233"/>
    </row>
    <row r="648" spans="4:17" ht="15.75">
      <c r="D648"/>
      <c r="E648"/>
      <c r="F648"/>
      <c r="G648"/>
      <c r="H648"/>
      <c r="I648"/>
      <c r="J648"/>
      <c r="K648"/>
      <c r="L648"/>
      <c r="M648"/>
      <c r="N648"/>
      <c r="O648"/>
      <c r="P648" s="233">
        <f t="shared" si="21"/>
        <v>0</v>
      </c>
      <c r="Q648" s="233"/>
    </row>
    <row r="649" spans="4:17" ht="15.75">
      <c r="D649"/>
      <c r="E649"/>
      <c r="F649"/>
      <c r="G649"/>
      <c r="H649"/>
      <c r="I649"/>
      <c r="J649"/>
      <c r="K649"/>
      <c r="L649"/>
      <c r="M649"/>
      <c r="N649"/>
      <c r="O649"/>
      <c r="P649" s="233">
        <f t="shared" si="21"/>
        <v>0</v>
      </c>
      <c r="Q649" s="233"/>
    </row>
    <row r="650" spans="4:17" ht="15.75">
      <c r="D650"/>
      <c r="E650"/>
      <c r="F650"/>
      <c r="G650"/>
      <c r="H650"/>
      <c r="I650"/>
      <c r="J650"/>
      <c r="K650"/>
      <c r="L650"/>
      <c r="M650"/>
      <c r="N650"/>
      <c r="O650"/>
      <c r="P650" s="233">
        <f t="shared" si="21"/>
        <v>0</v>
      </c>
      <c r="Q650" s="233"/>
    </row>
    <row r="651" spans="4:17" ht="15.75">
      <c r="D651"/>
      <c r="E651"/>
      <c r="F651"/>
      <c r="G651"/>
      <c r="H651"/>
      <c r="I651"/>
      <c r="J651"/>
      <c r="K651"/>
      <c r="L651"/>
      <c r="M651"/>
      <c r="N651"/>
      <c r="O651"/>
      <c r="P651" s="233">
        <f t="shared" si="21"/>
        <v>0</v>
      </c>
      <c r="Q651" s="233"/>
    </row>
    <row r="652" spans="4:17" ht="15.75">
      <c r="D652"/>
      <c r="E652"/>
      <c r="F652"/>
      <c r="G652"/>
      <c r="H652"/>
      <c r="I652"/>
      <c r="J652"/>
      <c r="K652"/>
      <c r="L652"/>
      <c r="M652"/>
      <c r="N652"/>
      <c r="O652"/>
      <c r="P652" s="233">
        <f t="shared" si="21"/>
        <v>0</v>
      </c>
      <c r="Q652" s="233"/>
    </row>
    <row r="653" spans="4:17" ht="15.75">
      <c r="D653"/>
      <c r="E653"/>
      <c r="F653"/>
      <c r="G653"/>
      <c r="H653"/>
      <c r="I653"/>
      <c r="J653"/>
      <c r="K653"/>
      <c r="L653"/>
      <c r="M653"/>
      <c r="N653"/>
      <c r="O653"/>
      <c r="P653" s="233">
        <f t="shared" si="21"/>
        <v>0</v>
      </c>
      <c r="Q653" s="233"/>
    </row>
    <row r="654" spans="4:17" ht="15.75">
      <c r="D654"/>
      <c r="E654"/>
      <c r="F654"/>
      <c r="G654"/>
      <c r="H654"/>
      <c r="I654"/>
      <c r="J654"/>
      <c r="K654"/>
      <c r="L654"/>
      <c r="M654"/>
      <c r="N654"/>
      <c r="O654"/>
      <c r="P654" s="233">
        <f t="shared" ref="P654:P717" si="22">IF(ISNUMBER(Q654),Q654,0)</f>
        <v>0</v>
      </c>
      <c r="Q654" s="233"/>
    </row>
    <row r="655" spans="4:17" ht="15.75">
      <c r="D655"/>
      <c r="E655"/>
      <c r="F655"/>
      <c r="G655"/>
      <c r="H655"/>
      <c r="I655"/>
      <c r="J655"/>
      <c r="K655"/>
      <c r="L655"/>
      <c r="M655"/>
      <c r="N655"/>
      <c r="O655"/>
      <c r="P655" s="233">
        <f t="shared" si="22"/>
        <v>0</v>
      </c>
      <c r="Q655" s="233"/>
    </row>
    <row r="656" spans="4:17" ht="15.75">
      <c r="D656"/>
      <c r="E656"/>
      <c r="F656"/>
      <c r="G656"/>
      <c r="H656"/>
      <c r="I656"/>
      <c r="J656"/>
      <c r="K656"/>
      <c r="L656"/>
      <c r="M656"/>
      <c r="N656"/>
      <c r="O656"/>
      <c r="P656" s="233">
        <f t="shared" si="22"/>
        <v>0</v>
      </c>
      <c r="Q656" s="233"/>
    </row>
    <row r="657" spans="4:17" ht="15.75">
      <c r="D657"/>
      <c r="E657"/>
      <c r="F657"/>
      <c r="G657"/>
      <c r="H657"/>
      <c r="I657"/>
      <c r="J657"/>
      <c r="K657"/>
      <c r="L657"/>
      <c r="M657"/>
      <c r="N657"/>
      <c r="O657"/>
      <c r="P657" s="233">
        <f t="shared" si="22"/>
        <v>0</v>
      </c>
      <c r="Q657" s="233"/>
    </row>
    <row r="658" spans="4:17" ht="15.75">
      <c r="D658"/>
      <c r="E658"/>
      <c r="F658"/>
      <c r="G658"/>
      <c r="H658"/>
      <c r="I658"/>
      <c r="J658"/>
      <c r="K658"/>
      <c r="L658"/>
      <c r="M658"/>
      <c r="N658"/>
      <c r="O658"/>
      <c r="P658" s="233">
        <f t="shared" si="22"/>
        <v>0</v>
      </c>
      <c r="Q658" s="233"/>
    </row>
    <row r="659" spans="4:17" ht="15.75">
      <c r="D659"/>
      <c r="E659"/>
      <c r="F659"/>
      <c r="G659"/>
      <c r="H659"/>
      <c r="I659"/>
      <c r="J659"/>
      <c r="K659"/>
      <c r="L659"/>
      <c r="M659"/>
      <c r="N659"/>
      <c r="O659"/>
      <c r="P659" s="233">
        <f t="shared" si="22"/>
        <v>0</v>
      </c>
      <c r="Q659" s="233"/>
    </row>
    <row r="660" spans="4:17" ht="15.75">
      <c r="D660"/>
      <c r="E660"/>
      <c r="F660"/>
      <c r="G660"/>
      <c r="H660"/>
      <c r="I660"/>
      <c r="J660"/>
      <c r="K660"/>
      <c r="L660"/>
      <c r="M660"/>
      <c r="N660"/>
      <c r="O660"/>
      <c r="P660" s="233">
        <f t="shared" si="22"/>
        <v>0</v>
      </c>
      <c r="Q660" s="233"/>
    </row>
    <row r="661" spans="4:17" ht="15.75">
      <c r="D661"/>
      <c r="E661"/>
      <c r="F661"/>
      <c r="G661"/>
      <c r="H661"/>
      <c r="I661"/>
      <c r="J661"/>
      <c r="K661"/>
      <c r="L661"/>
      <c r="M661"/>
      <c r="N661"/>
      <c r="O661"/>
      <c r="P661" s="233">
        <f t="shared" si="22"/>
        <v>0</v>
      </c>
      <c r="Q661" s="233"/>
    </row>
    <row r="662" spans="4:17" ht="15.75">
      <c r="D662"/>
      <c r="E662"/>
      <c r="F662"/>
      <c r="G662"/>
      <c r="H662"/>
      <c r="I662"/>
      <c r="J662"/>
      <c r="K662"/>
      <c r="L662"/>
      <c r="M662"/>
      <c r="N662"/>
      <c r="O662"/>
      <c r="P662" s="233">
        <f t="shared" si="22"/>
        <v>0</v>
      </c>
      <c r="Q662" s="233"/>
    </row>
    <row r="663" spans="4:17" ht="15.75">
      <c r="D663"/>
      <c r="E663"/>
      <c r="F663"/>
      <c r="G663"/>
      <c r="H663"/>
      <c r="I663"/>
      <c r="J663"/>
      <c r="K663"/>
      <c r="L663"/>
      <c r="M663"/>
      <c r="N663"/>
      <c r="O663"/>
      <c r="P663" s="233">
        <f t="shared" si="22"/>
        <v>0</v>
      </c>
      <c r="Q663" s="233"/>
    </row>
    <row r="664" spans="4:17" ht="15.75">
      <c r="D664"/>
      <c r="E664"/>
      <c r="F664"/>
      <c r="G664"/>
      <c r="H664"/>
      <c r="I664"/>
      <c r="J664"/>
      <c r="K664"/>
      <c r="L664"/>
      <c r="M664"/>
      <c r="N664"/>
      <c r="O664"/>
      <c r="P664" s="233">
        <f t="shared" si="22"/>
        <v>0</v>
      </c>
      <c r="Q664" s="233"/>
    </row>
    <row r="665" spans="4:17" ht="15.75">
      <c r="D665"/>
      <c r="E665"/>
      <c r="F665"/>
      <c r="G665"/>
      <c r="H665"/>
      <c r="I665"/>
      <c r="J665"/>
      <c r="K665"/>
      <c r="L665"/>
      <c r="M665"/>
      <c r="N665"/>
      <c r="O665"/>
      <c r="P665" s="233">
        <f t="shared" si="22"/>
        <v>0</v>
      </c>
      <c r="Q665" s="233"/>
    </row>
    <row r="666" spans="4:17" ht="15.75">
      <c r="D666"/>
      <c r="E666"/>
      <c r="F666"/>
      <c r="G666"/>
      <c r="H666"/>
      <c r="I666"/>
      <c r="J666"/>
      <c r="K666"/>
      <c r="L666"/>
      <c r="M666"/>
      <c r="N666"/>
      <c r="O666"/>
      <c r="P666" s="233">
        <f t="shared" si="22"/>
        <v>0</v>
      </c>
      <c r="Q666" s="233"/>
    </row>
    <row r="667" spans="4:17" ht="15.75">
      <c r="D667"/>
      <c r="E667"/>
      <c r="F667"/>
      <c r="G667"/>
      <c r="H667"/>
      <c r="I667"/>
      <c r="J667"/>
      <c r="K667"/>
      <c r="L667"/>
      <c r="M667"/>
      <c r="N667"/>
      <c r="O667"/>
      <c r="P667" s="233">
        <f t="shared" si="22"/>
        <v>0</v>
      </c>
      <c r="Q667" s="233"/>
    </row>
    <row r="668" spans="4:17" ht="15.75">
      <c r="D668"/>
      <c r="E668"/>
      <c r="F668"/>
      <c r="G668"/>
      <c r="H668"/>
      <c r="I668"/>
      <c r="J668"/>
      <c r="K668"/>
      <c r="L668"/>
      <c r="M668"/>
      <c r="N668"/>
      <c r="O668"/>
      <c r="P668" s="233">
        <f t="shared" si="22"/>
        <v>0</v>
      </c>
      <c r="Q668" s="233"/>
    </row>
    <row r="669" spans="4:17" ht="15.75">
      <c r="D669"/>
      <c r="E669"/>
      <c r="F669"/>
      <c r="G669"/>
      <c r="H669"/>
      <c r="I669"/>
      <c r="J669"/>
      <c r="K669"/>
      <c r="L669"/>
      <c r="M669"/>
      <c r="N669"/>
      <c r="O669"/>
      <c r="P669" s="233">
        <f t="shared" si="22"/>
        <v>0</v>
      </c>
      <c r="Q669" s="233"/>
    </row>
    <row r="670" spans="4:17" ht="15.75">
      <c r="D670"/>
      <c r="E670"/>
      <c r="F670"/>
      <c r="G670"/>
      <c r="H670"/>
      <c r="I670"/>
      <c r="J670"/>
      <c r="K670"/>
      <c r="L670"/>
      <c r="M670"/>
      <c r="N670"/>
      <c r="O670"/>
      <c r="P670" s="233">
        <f t="shared" si="22"/>
        <v>0</v>
      </c>
      <c r="Q670" s="233"/>
    </row>
    <row r="671" spans="4:17" ht="15.75">
      <c r="D671"/>
      <c r="E671"/>
      <c r="F671"/>
      <c r="G671"/>
      <c r="H671"/>
      <c r="I671"/>
      <c r="J671"/>
      <c r="K671"/>
      <c r="L671"/>
      <c r="M671"/>
      <c r="N671"/>
      <c r="O671"/>
      <c r="P671" s="233">
        <f t="shared" si="22"/>
        <v>0</v>
      </c>
      <c r="Q671" s="233"/>
    </row>
    <row r="672" spans="4:17" ht="15.75">
      <c r="D672"/>
      <c r="E672"/>
      <c r="F672"/>
      <c r="G672"/>
      <c r="H672"/>
      <c r="I672"/>
      <c r="J672"/>
      <c r="K672"/>
      <c r="L672"/>
      <c r="M672"/>
      <c r="N672"/>
      <c r="O672"/>
      <c r="P672" s="233">
        <f t="shared" si="22"/>
        <v>0</v>
      </c>
      <c r="Q672" s="233"/>
    </row>
    <row r="673" spans="4:17" ht="15.75">
      <c r="D673"/>
      <c r="E673"/>
      <c r="F673"/>
      <c r="G673"/>
      <c r="H673"/>
      <c r="I673"/>
      <c r="J673"/>
      <c r="K673"/>
      <c r="L673"/>
      <c r="M673"/>
      <c r="N673"/>
      <c r="O673"/>
      <c r="P673" s="233">
        <f t="shared" si="22"/>
        <v>0</v>
      </c>
      <c r="Q673" s="233"/>
    </row>
    <row r="674" spans="4:17" ht="15.75">
      <c r="D674"/>
      <c r="E674"/>
      <c r="F674"/>
      <c r="G674"/>
      <c r="H674"/>
      <c r="I674"/>
      <c r="J674"/>
      <c r="K674"/>
      <c r="L674"/>
      <c r="M674"/>
      <c r="N674"/>
      <c r="O674"/>
      <c r="P674" s="233">
        <f t="shared" si="22"/>
        <v>0</v>
      </c>
      <c r="Q674" s="233"/>
    </row>
    <row r="675" spans="4:17" ht="15.75">
      <c r="D675"/>
      <c r="E675"/>
      <c r="F675"/>
      <c r="G675"/>
      <c r="H675"/>
      <c r="I675"/>
      <c r="J675"/>
      <c r="K675"/>
      <c r="L675"/>
      <c r="M675"/>
      <c r="N675"/>
      <c r="O675"/>
      <c r="P675" s="233">
        <f t="shared" si="22"/>
        <v>0</v>
      </c>
      <c r="Q675" s="233"/>
    </row>
    <row r="676" spans="4:17" ht="15.75">
      <c r="D676"/>
      <c r="E676"/>
      <c r="F676"/>
      <c r="G676"/>
      <c r="H676"/>
      <c r="I676"/>
      <c r="J676"/>
      <c r="K676"/>
      <c r="L676"/>
      <c r="M676"/>
      <c r="N676"/>
      <c r="O676"/>
      <c r="P676" s="233">
        <f t="shared" si="22"/>
        <v>0</v>
      </c>
      <c r="Q676" s="233"/>
    </row>
    <row r="677" spans="4:17" ht="15.75">
      <c r="D677"/>
      <c r="E677"/>
      <c r="F677"/>
      <c r="G677"/>
      <c r="H677"/>
      <c r="I677"/>
      <c r="J677"/>
      <c r="K677"/>
      <c r="L677"/>
      <c r="M677"/>
      <c r="N677"/>
      <c r="O677"/>
      <c r="P677" s="233">
        <f t="shared" si="22"/>
        <v>0</v>
      </c>
      <c r="Q677" s="233"/>
    </row>
    <row r="678" spans="4:17" ht="15.75">
      <c r="D678"/>
      <c r="E678"/>
      <c r="F678"/>
      <c r="G678"/>
      <c r="H678"/>
      <c r="I678"/>
      <c r="J678"/>
      <c r="K678"/>
      <c r="L678"/>
      <c r="M678"/>
      <c r="N678"/>
      <c r="O678"/>
      <c r="P678" s="233">
        <f t="shared" si="22"/>
        <v>0</v>
      </c>
      <c r="Q678" s="233"/>
    </row>
    <row r="679" spans="4:17" ht="15.75">
      <c r="D679"/>
      <c r="E679"/>
      <c r="F679"/>
      <c r="G679"/>
      <c r="H679"/>
      <c r="I679"/>
      <c r="J679"/>
      <c r="K679"/>
      <c r="L679"/>
      <c r="M679"/>
      <c r="N679"/>
      <c r="O679"/>
      <c r="P679" s="233">
        <f t="shared" si="22"/>
        <v>0</v>
      </c>
      <c r="Q679" s="233"/>
    </row>
    <row r="680" spans="4:17" ht="15.75">
      <c r="D680"/>
      <c r="E680"/>
      <c r="F680"/>
      <c r="G680"/>
      <c r="H680"/>
      <c r="I680"/>
      <c r="J680"/>
      <c r="K680"/>
      <c r="L680"/>
      <c r="M680"/>
      <c r="N680"/>
      <c r="O680"/>
      <c r="P680" s="233">
        <f t="shared" si="22"/>
        <v>0</v>
      </c>
      <c r="Q680" s="233"/>
    </row>
    <row r="681" spans="4:17" ht="15.75">
      <c r="D681"/>
      <c r="E681"/>
      <c r="F681"/>
      <c r="G681"/>
      <c r="H681"/>
      <c r="I681"/>
      <c r="J681"/>
      <c r="K681"/>
      <c r="L681"/>
      <c r="M681"/>
      <c r="N681"/>
      <c r="O681"/>
      <c r="P681" s="233">
        <f t="shared" si="22"/>
        <v>0</v>
      </c>
      <c r="Q681" s="233"/>
    </row>
    <row r="682" spans="4:17" ht="15.75">
      <c r="D682"/>
      <c r="E682"/>
      <c r="F682"/>
      <c r="G682"/>
      <c r="H682"/>
      <c r="I682"/>
      <c r="J682"/>
      <c r="K682"/>
      <c r="L682"/>
      <c r="M682"/>
      <c r="N682"/>
      <c r="O682"/>
      <c r="P682" s="233">
        <f t="shared" si="22"/>
        <v>0</v>
      </c>
      <c r="Q682" s="233"/>
    </row>
    <row r="683" spans="4:17" ht="15.75">
      <c r="D683"/>
      <c r="E683"/>
      <c r="F683"/>
      <c r="G683"/>
      <c r="H683"/>
      <c r="I683"/>
      <c r="J683"/>
      <c r="K683"/>
      <c r="L683"/>
      <c r="M683"/>
      <c r="N683"/>
      <c r="O683"/>
      <c r="P683" s="233">
        <f t="shared" si="22"/>
        <v>0</v>
      </c>
      <c r="Q683" s="233"/>
    </row>
    <row r="684" spans="4:17" ht="15.75">
      <c r="D684"/>
      <c r="E684"/>
      <c r="F684"/>
      <c r="G684"/>
      <c r="H684"/>
      <c r="I684"/>
      <c r="J684"/>
      <c r="K684"/>
      <c r="L684"/>
      <c r="M684"/>
      <c r="N684"/>
      <c r="O684"/>
      <c r="P684" s="233">
        <f t="shared" si="22"/>
        <v>0</v>
      </c>
      <c r="Q684" s="233"/>
    </row>
    <row r="685" spans="4:17" ht="15.75">
      <c r="D685"/>
      <c r="E685"/>
      <c r="F685"/>
      <c r="G685"/>
      <c r="H685"/>
      <c r="I685"/>
      <c r="J685"/>
      <c r="K685"/>
      <c r="L685"/>
      <c r="M685"/>
      <c r="N685"/>
      <c r="O685"/>
      <c r="P685" s="233">
        <f t="shared" si="22"/>
        <v>0</v>
      </c>
      <c r="Q685" s="233"/>
    </row>
    <row r="686" spans="4:17" ht="15.75">
      <c r="D686"/>
      <c r="E686"/>
      <c r="F686"/>
      <c r="G686"/>
      <c r="H686"/>
      <c r="I686"/>
      <c r="J686"/>
      <c r="K686"/>
      <c r="L686"/>
      <c r="M686"/>
      <c r="N686"/>
      <c r="O686"/>
      <c r="P686" s="233">
        <f t="shared" si="22"/>
        <v>0</v>
      </c>
      <c r="Q686" s="233"/>
    </row>
    <row r="687" spans="4:17" ht="15.75">
      <c r="D687"/>
      <c r="E687"/>
      <c r="F687"/>
      <c r="G687"/>
      <c r="H687"/>
      <c r="I687"/>
      <c r="J687"/>
      <c r="K687"/>
      <c r="L687"/>
      <c r="M687"/>
      <c r="N687"/>
      <c r="O687"/>
      <c r="P687" s="233">
        <f t="shared" si="22"/>
        <v>0</v>
      </c>
      <c r="Q687" s="233"/>
    </row>
    <row r="688" spans="4:17" ht="15.75">
      <c r="D688"/>
      <c r="E688"/>
      <c r="F688"/>
      <c r="G688"/>
      <c r="H688"/>
      <c r="I688"/>
      <c r="J688"/>
      <c r="K688"/>
      <c r="L688"/>
      <c r="M688"/>
      <c r="N688"/>
      <c r="O688"/>
      <c r="P688" s="233">
        <f t="shared" si="22"/>
        <v>0</v>
      </c>
      <c r="Q688" s="233"/>
    </row>
    <row r="689" spans="4:17" ht="15.75">
      <c r="D689"/>
      <c r="E689"/>
      <c r="F689"/>
      <c r="G689"/>
      <c r="H689"/>
      <c r="I689"/>
      <c r="J689"/>
      <c r="K689"/>
      <c r="L689"/>
      <c r="M689"/>
      <c r="N689"/>
      <c r="O689"/>
      <c r="P689" s="233">
        <f t="shared" si="22"/>
        <v>0</v>
      </c>
      <c r="Q689" s="233"/>
    </row>
    <row r="690" spans="4:17" ht="15.75">
      <c r="D690"/>
      <c r="E690"/>
      <c r="F690"/>
      <c r="G690"/>
      <c r="H690"/>
      <c r="I690"/>
      <c r="J690"/>
      <c r="K690"/>
      <c r="L690"/>
      <c r="M690"/>
      <c r="N690"/>
      <c r="O690"/>
      <c r="P690" s="233">
        <f t="shared" si="22"/>
        <v>0</v>
      </c>
      <c r="Q690" s="233"/>
    </row>
    <row r="691" spans="4:17" ht="15.75">
      <c r="D691"/>
      <c r="E691"/>
      <c r="F691"/>
      <c r="G691"/>
      <c r="H691"/>
      <c r="I691"/>
      <c r="J691"/>
      <c r="K691"/>
      <c r="L691"/>
      <c r="M691"/>
      <c r="N691"/>
      <c r="O691"/>
      <c r="P691" s="233">
        <f t="shared" si="22"/>
        <v>0</v>
      </c>
      <c r="Q691" s="233"/>
    </row>
    <row r="692" spans="4:17" ht="15.75">
      <c r="D692"/>
      <c r="E692"/>
      <c r="F692"/>
      <c r="G692"/>
      <c r="H692"/>
      <c r="I692"/>
      <c r="J692"/>
      <c r="K692"/>
      <c r="L692"/>
      <c r="M692"/>
      <c r="N692"/>
      <c r="O692"/>
      <c r="P692" s="233">
        <f t="shared" si="22"/>
        <v>0</v>
      </c>
      <c r="Q692" s="233"/>
    </row>
    <row r="693" spans="4:17" ht="15.75">
      <c r="D693"/>
      <c r="E693"/>
      <c r="F693"/>
      <c r="G693"/>
      <c r="H693"/>
      <c r="I693"/>
      <c r="J693"/>
      <c r="K693"/>
      <c r="L693"/>
      <c r="M693"/>
      <c r="N693"/>
      <c r="O693"/>
      <c r="P693" s="233">
        <f t="shared" si="22"/>
        <v>0</v>
      </c>
      <c r="Q693" s="233"/>
    </row>
    <row r="694" spans="4:17" ht="15.75">
      <c r="D694"/>
      <c r="E694"/>
      <c r="F694"/>
      <c r="G694"/>
      <c r="H694"/>
      <c r="I694"/>
      <c r="J694"/>
      <c r="K694"/>
      <c r="L694"/>
      <c r="M694"/>
      <c r="N694"/>
      <c r="O694"/>
      <c r="P694" s="233">
        <f t="shared" si="22"/>
        <v>0</v>
      </c>
      <c r="Q694" s="233"/>
    </row>
    <row r="695" spans="4:17" ht="15.75">
      <c r="D695"/>
      <c r="E695"/>
      <c r="F695"/>
      <c r="G695"/>
      <c r="H695"/>
      <c r="I695"/>
      <c r="J695"/>
      <c r="K695"/>
      <c r="L695"/>
      <c r="M695"/>
      <c r="N695"/>
      <c r="O695"/>
      <c r="P695" s="233">
        <f t="shared" si="22"/>
        <v>0</v>
      </c>
      <c r="Q695" s="233"/>
    </row>
    <row r="696" spans="4:17" ht="15.75">
      <c r="D696"/>
      <c r="E696"/>
      <c r="F696"/>
      <c r="G696"/>
      <c r="H696"/>
      <c r="I696"/>
      <c r="J696"/>
      <c r="K696"/>
      <c r="L696"/>
      <c r="M696"/>
      <c r="N696"/>
      <c r="O696"/>
      <c r="P696" s="233">
        <f t="shared" si="22"/>
        <v>0</v>
      </c>
      <c r="Q696" s="233"/>
    </row>
    <row r="697" spans="4:17" ht="15.75">
      <c r="D697"/>
      <c r="E697"/>
      <c r="F697"/>
      <c r="G697"/>
      <c r="H697"/>
      <c r="I697"/>
      <c r="J697"/>
      <c r="K697"/>
      <c r="L697"/>
      <c r="M697"/>
      <c r="N697"/>
      <c r="O697"/>
      <c r="P697" s="233">
        <f t="shared" si="22"/>
        <v>0</v>
      </c>
      <c r="Q697" s="233"/>
    </row>
    <row r="698" spans="4:17" ht="15.75">
      <c r="D698"/>
      <c r="E698"/>
      <c r="F698"/>
      <c r="G698"/>
      <c r="H698"/>
      <c r="I698"/>
      <c r="J698"/>
      <c r="K698"/>
      <c r="L698"/>
      <c r="M698"/>
      <c r="N698"/>
      <c r="O698"/>
      <c r="P698" s="233">
        <f t="shared" si="22"/>
        <v>0</v>
      </c>
      <c r="Q698" s="233"/>
    </row>
    <row r="699" spans="4:17" ht="15.75">
      <c r="D699"/>
      <c r="E699"/>
      <c r="F699"/>
      <c r="G699"/>
      <c r="H699"/>
      <c r="I699"/>
      <c r="J699"/>
      <c r="K699"/>
      <c r="L699"/>
      <c r="M699"/>
      <c r="N699"/>
      <c r="O699"/>
      <c r="P699" s="233">
        <f t="shared" si="22"/>
        <v>0</v>
      </c>
      <c r="Q699" s="233"/>
    </row>
    <row r="700" spans="4:17" ht="15.75">
      <c r="D700"/>
      <c r="E700"/>
      <c r="F700"/>
      <c r="G700"/>
      <c r="H700"/>
      <c r="I700"/>
      <c r="J700"/>
      <c r="K700"/>
      <c r="L700"/>
      <c r="M700"/>
      <c r="N700"/>
      <c r="O700"/>
      <c r="P700" s="233">
        <f t="shared" si="22"/>
        <v>0</v>
      </c>
      <c r="Q700" s="233"/>
    </row>
    <row r="701" spans="4:17" ht="15.75">
      <c r="D701"/>
      <c r="E701"/>
      <c r="F701"/>
      <c r="G701"/>
      <c r="H701"/>
      <c r="I701"/>
      <c r="J701"/>
      <c r="K701"/>
      <c r="L701"/>
      <c r="M701"/>
      <c r="N701"/>
      <c r="O701"/>
      <c r="P701" s="233">
        <f t="shared" si="22"/>
        <v>0</v>
      </c>
      <c r="Q701" s="233"/>
    </row>
    <row r="702" spans="4:17" ht="15.75">
      <c r="D702"/>
      <c r="E702"/>
      <c r="F702"/>
      <c r="G702"/>
      <c r="H702"/>
      <c r="I702"/>
      <c r="J702"/>
      <c r="K702"/>
      <c r="L702"/>
      <c r="M702"/>
      <c r="N702"/>
      <c r="O702"/>
      <c r="P702" s="233">
        <f t="shared" si="22"/>
        <v>0</v>
      </c>
      <c r="Q702" s="233"/>
    </row>
    <row r="703" spans="4:17" ht="15.75">
      <c r="D703"/>
      <c r="E703"/>
      <c r="F703"/>
      <c r="G703"/>
      <c r="H703"/>
      <c r="I703"/>
      <c r="J703"/>
      <c r="K703"/>
      <c r="L703"/>
      <c r="M703"/>
      <c r="N703"/>
      <c r="O703"/>
      <c r="P703" s="233">
        <f t="shared" si="22"/>
        <v>0</v>
      </c>
      <c r="Q703" s="233"/>
    </row>
    <row r="704" spans="4:17" ht="15.75">
      <c r="D704"/>
      <c r="E704"/>
      <c r="F704"/>
      <c r="G704"/>
      <c r="H704"/>
      <c r="I704"/>
      <c r="J704"/>
      <c r="K704"/>
      <c r="L704"/>
      <c r="M704"/>
      <c r="N704"/>
      <c r="O704"/>
      <c r="P704" s="233">
        <f t="shared" si="22"/>
        <v>0</v>
      </c>
      <c r="Q704" s="233"/>
    </row>
    <row r="705" spans="4:17" ht="15.75">
      <c r="D705"/>
      <c r="E705"/>
      <c r="F705"/>
      <c r="G705"/>
      <c r="H705"/>
      <c r="I705"/>
      <c r="J705"/>
      <c r="K705"/>
      <c r="L705"/>
      <c r="M705"/>
      <c r="N705"/>
      <c r="O705"/>
      <c r="P705" s="233">
        <f t="shared" si="22"/>
        <v>0</v>
      </c>
      <c r="Q705" s="233"/>
    </row>
    <row r="706" spans="4:17" ht="15.75">
      <c r="D706"/>
      <c r="E706"/>
      <c r="F706"/>
      <c r="G706"/>
      <c r="H706"/>
      <c r="I706"/>
      <c r="J706"/>
      <c r="K706"/>
      <c r="L706"/>
      <c r="M706"/>
      <c r="N706"/>
      <c r="O706"/>
      <c r="P706" s="233">
        <f t="shared" si="22"/>
        <v>0</v>
      </c>
      <c r="Q706" s="233"/>
    </row>
    <row r="707" spans="4:17" ht="15.75">
      <c r="D707"/>
      <c r="E707"/>
      <c r="F707"/>
      <c r="G707"/>
      <c r="H707"/>
      <c r="I707"/>
      <c r="J707"/>
      <c r="K707"/>
      <c r="L707"/>
      <c r="M707"/>
      <c r="N707"/>
      <c r="O707"/>
      <c r="P707" s="233">
        <f t="shared" si="22"/>
        <v>0</v>
      </c>
      <c r="Q707" s="233"/>
    </row>
    <row r="708" spans="4:17" ht="15.75">
      <c r="D708"/>
      <c r="E708"/>
      <c r="F708"/>
      <c r="G708"/>
      <c r="H708"/>
      <c r="I708"/>
      <c r="J708"/>
      <c r="K708"/>
      <c r="L708"/>
      <c r="M708"/>
      <c r="N708"/>
      <c r="O708"/>
      <c r="P708" s="233">
        <f t="shared" si="22"/>
        <v>0</v>
      </c>
      <c r="Q708" s="233"/>
    </row>
    <row r="709" spans="4:17" ht="15.75">
      <c r="D709"/>
      <c r="E709"/>
      <c r="F709"/>
      <c r="G709"/>
      <c r="H709"/>
      <c r="I709"/>
      <c r="J709"/>
      <c r="K709"/>
      <c r="L709"/>
      <c r="M709"/>
      <c r="N709"/>
      <c r="O709"/>
      <c r="P709" s="233">
        <f t="shared" si="22"/>
        <v>0</v>
      </c>
      <c r="Q709" s="233"/>
    </row>
    <row r="710" spans="4:17" ht="15.75">
      <c r="D710"/>
      <c r="E710"/>
      <c r="F710"/>
      <c r="G710"/>
      <c r="H710"/>
      <c r="I710"/>
      <c r="J710"/>
      <c r="K710"/>
      <c r="L710"/>
      <c r="M710"/>
      <c r="N710"/>
      <c r="O710"/>
      <c r="P710" s="233">
        <f t="shared" si="22"/>
        <v>0</v>
      </c>
      <c r="Q710" s="233"/>
    </row>
    <row r="711" spans="4:17" ht="15.75">
      <c r="D711"/>
      <c r="E711"/>
      <c r="F711"/>
      <c r="G711"/>
      <c r="H711"/>
      <c r="I711"/>
      <c r="J711"/>
      <c r="K711"/>
      <c r="L711"/>
      <c r="M711"/>
      <c r="N711"/>
      <c r="O711"/>
      <c r="P711" s="233">
        <f t="shared" si="22"/>
        <v>0</v>
      </c>
      <c r="Q711" s="233"/>
    </row>
    <row r="712" spans="4:17" ht="15.75">
      <c r="D712"/>
      <c r="E712"/>
      <c r="F712"/>
      <c r="G712"/>
      <c r="H712"/>
      <c r="I712"/>
      <c r="J712"/>
      <c r="K712"/>
      <c r="L712"/>
      <c r="M712"/>
      <c r="N712"/>
      <c r="O712"/>
      <c r="P712" s="233">
        <f t="shared" si="22"/>
        <v>0</v>
      </c>
      <c r="Q712" s="233"/>
    </row>
    <row r="713" spans="4:17" ht="15.75">
      <c r="D713"/>
      <c r="E713"/>
      <c r="F713"/>
      <c r="G713"/>
      <c r="H713"/>
      <c r="I713"/>
      <c r="J713"/>
      <c r="K713"/>
      <c r="L713"/>
      <c r="M713"/>
      <c r="N713"/>
      <c r="O713"/>
      <c r="P713" s="233">
        <f t="shared" si="22"/>
        <v>0</v>
      </c>
      <c r="Q713" s="233"/>
    </row>
    <row r="714" spans="4:17" ht="15.75">
      <c r="D714"/>
      <c r="E714"/>
      <c r="F714"/>
      <c r="G714"/>
      <c r="H714"/>
      <c r="I714"/>
      <c r="J714"/>
      <c r="K714"/>
      <c r="L714"/>
      <c r="M714"/>
      <c r="N714"/>
      <c r="O714"/>
      <c r="P714" s="233">
        <f t="shared" si="22"/>
        <v>0</v>
      </c>
      <c r="Q714" s="233"/>
    </row>
    <row r="715" spans="4:17" ht="15.75">
      <c r="D715"/>
      <c r="E715"/>
      <c r="F715"/>
      <c r="G715"/>
      <c r="H715"/>
      <c r="I715"/>
      <c r="J715"/>
      <c r="K715"/>
      <c r="L715"/>
      <c r="M715"/>
      <c r="N715"/>
      <c r="O715"/>
      <c r="P715" s="233">
        <f t="shared" si="22"/>
        <v>0</v>
      </c>
      <c r="Q715" s="233"/>
    </row>
    <row r="716" spans="4:17" ht="15.75">
      <c r="D716"/>
      <c r="E716"/>
      <c r="F716"/>
      <c r="G716"/>
      <c r="H716"/>
      <c r="I716"/>
      <c r="J716"/>
      <c r="K716"/>
      <c r="L716"/>
      <c r="M716"/>
      <c r="N716"/>
      <c r="O716"/>
      <c r="P716" s="233">
        <f t="shared" si="22"/>
        <v>0</v>
      </c>
      <c r="Q716" s="233"/>
    </row>
    <row r="717" spans="4:17" ht="15.75">
      <c r="D717"/>
      <c r="E717"/>
      <c r="F717"/>
      <c r="G717"/>
      <c r="H717"/>
      <c r="I717"/>
      <c r="J717"/>
      <c r="K717"/>
      <c r="L717"/>
      <c r="M717"/>
      <c r="N717"/>
      <c r="O717"/>
      <c r="P717" s="233">
        <f t="shared" si="22"/>
        <v>0</v>
      </c>
      <c r="Q717" s="233"/>
    </row>
    <row r="718" spans="4:17" ht="15.75">
      <c r="D718"/>
      <c r="E718"/>
      <c r="F718"/>
      <c r="G718"/>
      <c r="H718"/>
      <c r="I718"/>
      <c r="J718"/>
      <c r="K718"/>
      <c r="L718"/>
      <c r="M718"/>
      <c r="N718"/>
      <c r="O718"/>
      <c r="P718" s="233">
        <f t="shared" ref="P718:P781" si="23">IF(ISNUMBER(Q718),Q718,0)</f>
        <v>0</v>
      </c>
      <c r="Q718" s="233"/>
    </row>
    <row r="719" spans="4:17" ht="15.75">
      <c r="D719"/>
      <c r="E719"/>
      <c r="F719"/>
      <c r="G719"/>
      <c r="H719"/>
      <c r="I719"/>
      <c r="J719"/>
      <c r="K719"/>
      <c r="L719"/>
      <c r="M719"/>
      <c r="N719"/>
      <c r="O719"/>
      <c r="P719" s="233">
        <f t="shared" si="23"/>
        <v>0</v>
      </c>
      <c r="Q719" s="233"/>
    </row>
    <row r="720" spans="4:17" ht="15.75">
      <c r="D720"/>
      <c r="E720"/>
      <c r="F720"/>
      <c r="G720"/>
      <c r="H720"/>
      <c r="I720"/>
      <c r="J720"/>
      <c r="K720"/>
      <c r="L720"/>
      <c r="M720"/>
      <c r="N720"/>
      <c r="O720"/>
      <c r="P720" s="233">
        <f t="shared" si="23"/>
        <v>0</v>
      </c>
      <c r="Q720" s="233"/>
    </row>
    <row r="721" spans="4:17" ht="15.75">
      <c r="D721"/>
      <c r="E721"/>
      <c r="F721"/>
      <c r="G721"/>
      <c r="H721"/>
      <c r="I721"/>
      <c r="J721"/>
      <c r="K721"/>
      <c r="L721"/>
      <c r="M721"/>
      <c r="N721"/>
      <c r="O721"/>
      <c r="P721" s="233">
        <f t="shared" si="23"/>
        <v>0</v>
      </c>
      <c r="Q721" s="233"/>
    </row>
    <row r="722" spans="4:17" ht="15.75">
      <c r="D722"/>
      <c r="E722"/>
      <c r="F722"/>
      <c r="G722"/>
      <c r="H722"/>
      <c r="I722"/>
      <c r="J722"/>
      <c r="K722"/>
      <c r="L722"/>
      <c r="M722"/>
      <c r="N722"/>
      <c r="O722"/>
      <c r="P722" s="233">
        <f t="shared" si="23"/>
        <v>0</v>
      </c>
      <c r="Q722" s="233"/>
    </row>
    <row r="723" spans="4:17" ht="15.75">
      <c r="D723"/>
      <c r="E723"/>
      <c r="F723"/>
      <c r="G723"/>
      <c r="H723"/>
      <c r="I723"/>
      <c r="J723"/>
      <c r="K723"/>
      <c r="L723"/>
      <c r="M723"/>
      <c r="N723"/>
      <c r="O723"/>
      <c r="P723" s="233">
        <f t="shared" si="23"/>
        <v>0</v>
      </c>
      <c r="Q723" s="233"/>
    </row>
    <row r="724" spans="4:17" ht="15.75">
      <c r="D724"/>
      <c r="E724"/>
      <c r="F724"/>
      <c r="G724"/>
      <c r="H724"/>
      <c r="I724"/>
      <c r="J724"/>
      <c r="K724"/>
      <c r="L724"/>
      <c r="M724"/>
      <c r="N724"/>
      <c r="O724"/>
      <c r="P724" s="233">
        <f t="shared" si="23"/>
        <v>0</v>
      </c>
      <c r="Q724" s="233"/>
    </row>
    <row r="725" spans="4:17" ht="15.75">
      <c r="D725"/>
      <c r="E725"/>
      <c r="F725"/>
      <c r="G725"/>
      <c r="H725"/>
      <c r="I725"/>
      <c r="J725"/>
      <c r="K725"/>
      <c r="L725"/>
      <c r="M725"/>
      <c r="N725"/>
      <c r="O725"/>
      <c r="P725" s="233">
        <f t="shared" si="23"/>
        <v>0</v>
      </c>
      <c r="Q725" s="233"/>
    </row>
    <row r="726" spans="4:17" ht="15.75">
      <c r="D726"/>
      <c r="E726"/>
      <c r="F726"/>
      <c r="G726"/>
      <c r="H726"/>
      <c r="I726"/>
      <c r="J726"/>
      <c r="K726"/>
      <c r="L726"/>
      <c r="M726"/>
      <c r="N726"/>
      <c r="O726"/>
      <c r="P726" s="233">
        <f t="shared" si="23"/>
        <v>0</v>
      </c>
      <c r="Q726" s="233"/>
    </row>
    <row r="727" spans="4:17" ht="15.75">
      <c r="D727"/>
      <c r="E727"/>
      <c r="F727"/>
      <c r="G727"/>
      <c r="H727"/>
      <c r="I727"/>
      <c r="J727"/>
      <c r="K727"/>
      <c r="L727"/>
      <c r="M727"/>
      <c r="N727"/>
      <c r="O727"/>
      <c r="P727" s="233">
        <f t="shared" si="23"/>
        <v>0</v>
      </c>
      <c r="Q727" s="233"/>
    </row>
    <row r="728" spans="4:17" ht="15.75">
      <c r="D728"/>
      <c r="E728"/>
      <c r="F728"/>
      <c r="G728"/>
      <c r="H728"/>
      <c r="I728"/>
      <c r="J728"/>
      <c r="K728"/>
      <c r="L728"/>
      <c r="M728"/>
      <c r="N728"/>
      <c r="O728"/>
      <c r="P728" s="233">
        <f t="shared" si="23"/>
        <v>0</v>
      </c>
      <c r="Q728" s="233"/>
    </row>
    <row r="729" spans="4:17" ht="15.75">
      <c r="D729"/>
      <c r="E729"/>
      <c r="F729"/>
      <c r="G729"/>
      <c r="H729"/>
      <c r="I729"/>
      <c r="J729"/>
      <c r="K729"/>
      <c r="L729"/>
      <c r="M729"/>
      <c r="N729"/>
      <c r="O729"/>
      <c r="P729" s="233">
        <f t="shared" si="23"/>
        <v>0</v>
      </c>
      <c r="Q729" s="233"/>
    </row>
    <row r="730" spans="4:17" ht="15.75">
      <c r="D730"/>
      <c r="E730"/>
      <c r="F730"/>
      <c r="G730"/>
      <c r="H730"/>
      <c r="I730"/>
      <c r="J730"/>
      <c r="K730"/>
      <c r="L730"/>
      <c r="M730"/>
      <c r="N730"/>
      <c r="O730"/>
      <c r="P730" s="233">
        <f t="shared" si="23"/>
        <v>0</v>
      </c>
      <c r="Q730" s="233"/>
    </row>
    <row r="731" spans="4:17" ht="15.75">
      <c r="D731"/>
      <c r="E731"/>
      <c r="F731"/>
      <c r="G731"/>
      <c r="H731"/>
      <c r="I731"/>
      <c r="J731"/>
      <c r="K731"/>
      <c r="L731"/>
      <c r="M731"/>
      <c r="N731"/>
      <c r="O731"/>
      <c r="P731" s="233">
        <f t="shared" si="23"/>
        <v>0</v>
      </c>
      <c r="Q731" s="233"/>
    </row>
    <row r="732" spans="4:17" ht="15.75">
      <c r="D732"/>
      <c r="E732"/>
      <c r="F732"/>
      <c r="G732"/>
      <c r="H732"/>
      <c r="I732"/>
      <c r="J732"/>
      <c r="K732"/>
      <c r="L732"/>
      <c r="M732"/>
      <c r="N732"/>
      <c r="O732"/>
      <c r="P732" s="233">
        <f t="shared" si="23"/>
        <v>0</v>
      </c>
      <c r="Q732" s="233"/>
    </row>
    <row r="733" spans="4:17" ht="15.75">
      <c r="D733"/>
      <c r="E733"/>
      <c r="F733"/>
      <c r="G733"/>
      <c r="H733"/>
      <c r="I733"/>
      <c r="J733"/>
      <c r="K733"/>
      <c r="L733"/>
      <c r="M733"/>
      <c r="N733"/>
      <c r="O733"/>
      <c r="P733" s="233">
        <f t="shared" si="23"/>
        <v>0</v>
      </c>
      <c r="Q733" s="233"/>
    </row>
    <row r="734" spans="4:17" ht="15.75">
      <c r="D734"/>
      <c r="E734"/>
      <c r="F734"/>
      <c r="G734"/>
      <c r="H734"/>
      <c r="I734"/>
      <c r="J734"/>
      <c r="K734"/>
      <c r="L734"/>
      <c r="M734"/>
      <c r="N734"/>
      <c r="O734"/>
      <c r="P734" s="233">
        <f t="shared" si="23"/>
        <v>0</v>
      </c>
      <c r="Q734" s="233"/>
    </row>
    <row r="735" spans="4:17" ht="15.75">
      <c r="D735"/>
      <c r="E735"/>
      <c r="F735"/>
      <c r="G735"/>
      <c r="H735"/>
      <c r="I735"/>
      <c r="J735"/>
      <c r="K735"/>
      <c r="L735"/>
      <c r="M735"/>
      <c r="N735"/>
      <c r="O735"/>
      <c r="P735" s="233">
        <f t="shared" si="23"/>
        <v>0</v>
      </c>
      <c r="Q735" s="233"/>
    </row>
    <row r="736" spans="4:17" ht="15.75">
      <c r="D736"/>
      <c r="E736"/>
      <c r="F736"/>
      <c r="G736"/>
      <c r="H736"/>
      <c r="I736"/>
      <c r="J736"/>
      <c r="K736"/>
      <c r="L736"/>
      <c r="M736"/>
      <c r="N736"/>
      <c r="O736"/>
      <c r="P736" s="233">
        <f t="shared" si="23"/>
        <v>0</v>
      </c>
      <c r="Q736" s="233"/>
    </row>
    <row r="737" spans="4:17" ht="15.75">
      <c r="D737"/>
      <c r="E737"/>
      <c r="F737"/>
      <c r="G737"/>
      <c r="H737"/>
      <c r="I737"/>
      <c r="J737"/>
      <c r="K737"/>
      <c r="L737"/>
      <c r="M737"/>
      <c r="N737"/>
      <c r="O737"/>
      <c r="P737" s="233">
        <f t="shared" si="23"/>
        <v>0</v>
      </c>
      <c r="Q737" s="233"/>
    </row>
    <row r="738" spans="4:17" ht="15.75">
      <c r="D738"/>
      <c r="E738"/>
      <c r="F738"/>
      <c r="G738"/>
      <c r="H738"/>
      <c r="I738"/>
      <c r="J738"/>
      <c r="K738"/>
      <c r="L738"/>
      <c r="M738"/>
      <c r="N738"/>
      <c r="O738"/>
      <c r="P738" s="233">
        <f t="shared" si="23"/>
        <v>0</v>
      </c>
      <c r="Q738" s="233"/>
    </row>
    <row r="739" spans="4:17" ht="15.75">
      <c r="D739"/>
      <c r="E739"/>
      <c r="F739"/>
      <c r="G739"/>
      <c r="H739"/>
      <c r="I739"/>
      <c r="J739"/>
      <c r="K739"/>
      <c r="L739"/>
      <c r="M739"/>
      <c r="N739"/>
      <c r="O739"/>
      <c r="P739" s="233">
        <f t="shared" si="23"/>
        <v>0</v>
      </c>
      <c r="Q739" s="233"/>
    </row>
    <row r="740" spans="4:17" ht="15.75">
      <c r="D740"/>
      <c r="E740"/>
      <c r="F740"/>
      <c r="G740"/>
      <c r="H740"/>
      <c r="I740"/>
      <c r="J740"/>
      <c r="K740"/>
      <c r="L740"/>
      <c r="M740"/>
      <c r="N740"/>
      <c r="O740"/>
      <c r="P740" s="233">
        <f t="shared" si="23"/>
        <v>0</v>
      </c>
      <c r="Q740" s="233"/>
    </row>
    <row r="741" spans="4:17" ht="15.75">
      <c r="D741"/>
      <c r="E741"/>
      <c r="F741"/>
      <c r="G741"/>
      <c r="H741"/>
      <c r="I741"/>
      <c r="J741"/>
      <c r="K741"/>
      <c r="L741"/>
      <c r="M741"/>
      <c r="N741"/>
      <c r="O741"/>
      <c r="P741" s="233">
        <f t="shared" si="23"/>
        <v>0</v>
      </c>
      <c r="Q741" s="233"/>
    </row>
    <row r="742" spans="4:17" ht="15.75">
      <c r="D742"/>
      <c r="E742"/>
      <c r="F742"/>
      <c r="G742"/>
      <c r="H742"/>
      <c r="I742"/>
      <c r="J742"/>
      <c r="K742"/>
      <c r="L742"/>
      <c r="M742"/>
      <c r="N742"/>
      <c r="O742"/>
      <c r="P742" s="233">
        <f t="shared" si="23"/>
        <v>0</v>
      </c>
      <c r="Q742" s="233"/>
    </row>
    <row r="743" spans="4:17" ht="15.75">
      <c r="D743"/>
      <c r="E743"/>
      <c r="F743"/>
      <c r="G743"/>
      <c r="H743"/>
      <c r="I743"/>
      <c r="J743"/>
      <c r="K743"/>
      <c r="L743"/>
      <c r="M743"/>
      <c r="N743"/>
      <c r="O743"/>
      <c r="P743" s="233">
        <f t="shared" si="23"/>
        <v>0</v>
      </c>
      <c r="Q743" s="233"/>
    </row>
    <row r="744" spans="4:17" ht="15.75">
      <c r="D744"/>
      <c r="E744"/>
      <c r="F744"/>
      <c r="G744"/>
      <c r="H744"/>
      <c r="I744"/>
      <c r="J744"/>
      <c r="K744"/>
      <c r="L744"/>
      <c r="M744"/>
      <c r="N744"/>
      <c r="O744"/>
      <c r="P744" s="233">
        <f t="shared" si="23"/>
        <v>0</v>
      </c>
      <c r="Q744" s="233"/>
    </row>
    <row r="745" spans="4:17" ht="15.75">
      <c r="D745"/>
      <c r="E745"/>
      <c r="F745"/>
      <c r="G745"/>
      <c r="H745"/>
      <c r="I745"/>
      <c r="J745"/>
      <c r="K745"/>
      <c r="L745"/>
      <c r="M745"/>
      <c r="N745"/>
      <c r="O745"/>
      <c r="P745" s="233">
        <f t="shared" si="23"/>
        <v>0</v>
      </c>
      <c r="Q745" s="233"/>
    </row>
    <row r="746" spans="4:17" ht="15.75">
      <c r="D746"/>
      <c r="E746"/>
      <c r="F746"/>
      <c r="G746"/>
      <c r="H746"/>
      <c r="I746"/>
      <c r="J746"/>
      <c r="K746"/>
      <c r="L746"/>
      <c r="M746"/>
      <c r="N746"/>
      <c r="O746"/>
      <c r="P746" s="233">
        <f t="shared" si="23"/>
        <v>0</v>
      </c>
      <c r="Q746" s="233"/>
    </row>
    <row r="747" spans="4:17" ht="15.75">
      <c r="D747"/>
      <c r="E747"/>
      <c r="F747"/>
      <c r="G747"/>
      <c r="H747"/>
      <c r="I747"/>
      <c r="J747"/>
      <c r="K747"/>
      <c r="L747"/>
      <c r="M747"/>
      <c r="N747"/>
      <c r="O747"/>
      <c r="P747" s="233">
        <f t="shared" si="23"/>
        <v>0</v>
      </c>
      <c r="Q747" s="233"/>
    </row>
    <row r="748" spans="4:17" ht="15.75">
      <c r="D748"/>
      <c r="E748"/>
      <c r="F748"/>
      <c r="G748"/>
      <c r="H748"/>
      <c r="I748"/>
      <c r="J748"/>
      <c r="K748"/>
      <c r="L748"/>
      <c r="M748"/>
      <c r="N748"/>
      <c r="O748"/>
      <c r="P748" s="233">
        <f t="shared" si="23"/>
        <v>0</v>
      </c>
      <c r="Q748" s="233"/>
    </row>
    <row r="749" spans="4:17" ht="15.75">
      <c r="D749"/>
      <c r="E749"/>
      <c r="F749"/>
      <c r="G749"/>
      <c r="H749"/>
      <c r="I749"/>
      <c r="J749"/>
      <c r="K749"/>
      <c r="L749"/>
      <c r="M749"/>
      <c r="N749"/>
      <c r="O749"/>
      <c r="P749" s="233">
        <f t="shared" si="23"/>
        <v>0</v>
      </c>
      <c r="Q749" s="233"/>
    </row>
    <row r="750" spans="4:17" ht="15.75">
      <c r="D750"/>
      <c r="E750"/>
      <c r="F750"/>
      <c r="G750"/>
      <c r="H750"/>
      <c r="I750"/>
      <c r="J750"/>
      <c r="K750"/>
      <c r="L750"/>
      <c r="M750"/>
      <c r="N750"/>
      <c r="O750"/>
      <c r="P750" s="233">
        <f t="shared" si="23"/>
        <v>0</v>
      </c>
      <c r="Q750" s="233"/>
    </row>
    <row r="751" spans="4:17" ht="15.75">
      <c r="D751"/>
      <c r="E751"/>
      <c r="F751"/>
      <c r="G751"/>
      <c r="H751"/>
      <c r="I751"/>
      <c r="J751"/>
      <c r="K751"/>
      <c r="L751"/>
      <c r="M751"/>
      <c r="N751"/>
      <c r="O751"/>
      <c r="P751" s="233">
        <f t="shared" si="23"/>
        <v>0</v>
      </c>
      <c r="Q751" s="233"/>
    </row>
    <row r="752" spans="4:17" ht="15.75">
      <c r="D752"/>
      <c r="E752"/>
      <c r="F752"/>
      <c r="G752"/>
      <c r="H752"/>
      <c r="I752"/>
      <c r="J752"/>
      <c r="K752"/>
      <c r="L752"/>
      <c r="M752"/>
      <c r="N752"/>
      <c r="O752"/>
      <c r="P752" s="233">
        <f t="shared" si="23"/>
        <v>0</v>
      </c>
      <c r="Q752" s="233"/>
    </row>
    <row r="753" spans="4:17" ht="15.75">
      <c r="D753"/>
      <c r="E753"/>
      <c r="F753"/>
      <c r="G753"/>
      <c r="H753"/>
      <c r="I753"/>
      <c r="J753"/>
      <c r="K753"/>
      <c r="L753"/>
      <c r="M753"/>
      <c r="N753"/>
      <c r="O753"/>
      <c r="P753" s="233">
        <f t="shared" si="23"/>
        <v>0</v>
      </c>
      <c r="Q753" s="233"/>
    </row>
    <row r="754" spans="4:17" ht="15.75">
      <c r="D754"/>
      <c r="E754"/>
      <c r="F754"/>
      <c r="G754"/>
      <c r="H754"/>
      <c r="I754"/>
      <c r="J754"/>
      <c r="K754"/>
      <c r="L754"/>
      <c r="M754"/>
      <c r="N754"/>
      <c r="O754"/>
      <c r="P754" s="233">
        <f t="shared" si="23"/>
        <v>0</v>
      </c>
      <c r="Q754" s="233"/>
    </row>
    <row r="755" spans="4:17" ht="15.75">
      <c r="D755"/>
      <c r="E755"/>
      <c r="F755"/>
      <c r="G755"/>
      <c r="H755"/>
      <c r="I755"/>
      <c r="J755"/>
      <c r="K755"/>
      <c r="L755"/>
      <c r="M755"/>
      <c r="N755"/>
      <c r="O755"/>
      <c r="P755" s="233">
        <f t="shared" si="23"/>
        <v>0</v>
      </c>
      <c r="Q755" s="233"/>
    </row>
    <row r="756" spans="4:17" ht="15.75">
      <c r="D756"/>
      <c r="E756"/>
      <c r="F756"/>
      <c r="G756"/>
      <c r="H756"/>
      <c r="I756"/>
      <c r="J756"/>
      <c r="K756"/>
      <c r="L756"/>
      <c r="M756"/>
      <c r="N756"/>
      <c r="O756"/>
      <c r="P756" s="233">
        <f t="shared" si="23"/>
        <v>0</v>
      </c>
      <c r="Q756" s="233"/>
    </row>
    <row r="757" spans="4:17" ht="15.75">
      <c r="D757"/>
      <c r="E757"/>
      <c r="F757"/>
      <c r="G757"/>
      <c r="H757"/>
      <c r="I757"/>
      <c r="J757"/>
      <c r="K757"/>
      <c r="L757"/>
      <c r="M757"/>
      <c r="N757"/>
      <c r="O757"/>
      <c r="P757" s="233">
        <f t="shared" si="23"/>
        <v>0</v>
      </c>
      <c r="Q757" s="233"/>
    </row>
    <row r="758" spans="4:17" ht="15.75">
      <c r="D758"/>
      <c r="E758"/>
      <c r="F758"/>
      <c r="G758"/>
      <c r="H758"/>
      <c r="I758"/>
      <c r="J758"/>
      <c r="K758"/>
      <c r="L758"/>
      <c r="M758"/>
      <c r="N758"/>
      <c r="O758"/>
      <c r="P758" s="233">
        <f t="shared" si="23"/>
        <v>0</v>
      </c>
      <c r="Q758" s="233"/>
    </row>
    <row r="759" spans="4:17" ht="15.75">
      <c r="D759"/>
      <c r="E759"/>
      <c r="F759"/>
      <c r="G759"/>
      <c r="H759"/>
      <c r="I759"/>
      <c r="J759"/>
      <c r="K759"/>
      <c r="L759"/>
      <c r="M759"/>
      <c r="N759"/>
      <c r="O759"/>
      <c r="P759" s="233">
        <f t="shared" si="23"/>
        <v>0</v>
      </c>
      <c r="Q759" s="233"/>
    </row>
    <row r="760" spans="4:17" ht="15.75">
      <c r="D760"/>
      <c r="E760"/>
      <c r="F760"/>
      <c r="G760"/>
      <c r="H760"/>
      <c r="I760"/>
      <c r="J760"/>
      <c r="K760"/>
      <c r="L760"/>
      <c r="M760"/>
      <c r="N760"/>
      <c r="O760"/>
      <c r="P760" s="233">
        <f t="shared" si="23"/>
        <v>0</v>
      </c>
      <c r="Q760" s="233"/>
    </row>
    <row r="761" spans="4:17" ht="15.75">
      <c r="D761"/>
      <c r="E761"/>
      <c r="F761"/>
      <c r="G761"/>
      <c r="H761"/>
      <c r="I761"/>
      <c r="J761"/>
      <c r="K761"/>
      <c r="L761"/>
      <c r="M761"/>
      <c r="N761"/>
      <c r="O761"/>
      <c r="P761" s="233">
        <f t="shared" si="23"/>
        <v>0</v>
      </c>
      <c r="Q761" s="233"/>
    </row>
    <row r="762" spans="4:17" ht="15.75">
      <c r="D762"/>
      <c r="E762"/>
      <c r="F762"/>
      <c r="G762"/>
      <c r="H762"/>
      <c r="I762"/>
      <c r="J762"/>
      <c r="K762"/>
      <c r="L762"/>
      <c r="M762"/>
      <c r="N762"/>
      <c r="O762"/>
      <c r="P762" s="233">
        <f t="shared" si="23"/>
        <v>0</v>
      </c>
      <c r="Q762" s="233"/>
    </row>
    <row r="763" spans="4:17" ht="15.75">
      <c r="D763"/>
      <c r="E763"/>
      <c r="F763"/>
      <c r="G763"/>
      <c r="H763"/>
      <c r="I763"/>
      <c r="J763"/>
      <c r="K763"/>
      <c r="L763"/>
      <c r="M763"/>
      <c r="N763"/>
      <c r="O763"/>
      <c r="P763" s="233">
        <f t="shared" si="23"/>
        <v>0</v>
      </c>
      <c r="Q763" s="233"/>
    </row>
    <row r="764" spans="4:17" ht="15.75">
      <c r="D764"/>
      <c r="E764"/>
      <c r="F764"/>
      <c r="G764"/>
      <c r="H764"/>
      <c r="I764"/>
      <c r="J764"/>
      <c r="K764"/>
      <c r="L764"/>
      <c r="M764"/>
      <c r="N764"/>
      <c r="O764"/>
      <c r="P764" s="233">
        <f t="shared" si="23"/>
        <v>0</v>
      </c>
      <c r="Q764" s="233"/>
    </row>
    <row r="765" spans="4:17" ht="15.75">
      <c r="D765"/>
      <c r="E765"/>
      <c r="F765"/>
      <c r="G765"/>
      <c r="H765"/>
      <c r="I765"/>
      <c r="J765"/>
      <c r="K765"/>
      <c r="L765"/>
      <c r="M765"/>
      <c r="N765"/>
      <c r="O765"/>
      <c r="P765" s="233">
        <f t="shared" si="23"/>
        <v>0</v>
      </c>
      <c r="Q765" s="233"/>
    </row>
    <row r="766" spans="4:17" ht="15.75">
      <c r="D766"/>
      <c r="E766"/>
      <c r="F766"/>
      <c r="G766"/>
      <c r="H766"/>
      <c r="I766"/>
      <c r="J766"/>
      <c r="K766"/>
      <c r="L766"/>
      <c r="M766"/>
      <c r="N766"/>
      <c r="O766"/>
      <c r="P766" s="233">
        <f t="shared" si="23"/>
        <v>0</v>
      </c>
      <c r="Q766" s="233"/>
    </row>
    <row r="767" spans="4:17" ht="15.75">
      <c r="D767"/>
      <c r="E767"/>
      <c r="F767"/>
      <c r="G767"/>
      <c r="H767"/>
      <c r="I767"/>
      <c r="J767"/>
      <c r="K767"/>
      <c r="L767"/>
      <c r="M767"/>
      <c r="N767"/>
      <c r="O767"/>
      <c r="P767" s="233">
        <f t="shared" si="23"/>
        <v>0</v>
      </c>
      <c r="Q767" s="233"/>
    </row>
    <row r="768" spans="4:17" ht="15.75">
      <c r="D768"/>
      <c r="E768"/>
      <c r="F768"/>
      <c r="G768"/>
      <c r="H768"/>
      <c r="I768"/>
      <c r="J768"/>
      <c r="K768"/>
      <c r="L768"/>
      <c r="M768"/>
      <c r="N768"/>
      <c r="O768"/>
      <c r="P768" s="233">
        <f t="shared" si="23"/>
        <v>0</v>
      </c>
      <c r="Q768" s="233"/>
    </row>
    <row r="769" spans="4:17" ht="15.75">
      <c r="D769"/>
      <c r="E769"/>
      <c r="F769"/>
      <c r="G769"/>
      <c r="H769"/>
      <c r="I769"/>
      <c r="J769"/>
      <c r="K769"/>
      <c r="L769"/>
      <c r="M769"/>
      <c r="N769"/>
      <c r="O769"/>
      <c r="P769" s="233">
        <f t="shared" si="23"/>
        <v>0</v>
      </c>
      <c r="Q769" s="233"/>
    </row>
    <row r="770" spans="4:17" ht="15.75">
      <c r="D770"/>
      <c r="E770"/>
      <c r="F770"/>
      <c r="G770"/>
      <c r="H770"/>
      <c r="I770"/>
      <c r="J770"/>
      <c r="K770"/>
      <c r="L770"/>
      <c r="M770"/>
      <c r="N770"/>
      <c r="O770"/>
      <c r="P770" s="233">
        <f t="shared" si="23"/>
        <v>0</v>
      </c>
      <c r="Q770" s="233"/>
    </row>
    <row r="771" spans="4:17" ht="15.75">
      <c r="D771"/>
      <c r="E771"/>
      <c r="F771"/>
      <c r="G771"/>
      <c r="H771"/>
      <c r="I771"/>
      <c r="J771"/>
      <c r="K771"/>
      <c r="L771"/>
      <c r="M771"/>
      <c r="N771"/>
      <c r="O771"/>
      <c r="P771" s="233">
        <f t="shared" si="23"/>
        <v>0</v>
      </c>
      <c r="Q771" s="233"/>
    </row>
    <row r="772" spans="4:17" ht="15.75">
      <c r="D772"/>
      <c r="E772"/>
      <c r="F772"/>
      <c r="G772"/>
      <c r="H772"/>
      <c r="I772"/>
      <c r="J772"/>
      <c r="K772"/>
      <c r="L772"/>
      <c r="M772"/>
      <c r="N772"/>
      <c r="O772"/>
      <c r="P772" s="233">
        <f t="shared" si="23"/>
        <v>0</v>
      </c>
      <c r="Q772" s="233"/>
    </row>
    <row r="773" spans="4:17" ht="15.75">
      <c r="D773"/>
      <c r="E773"/>
      <c r="F773"/>
      <c r="G773"/>
      <c r="H773"/>
      <c r="I773"/>
      <c r="J773"/>
      <c r="K773"/>
      <c r="L773"/>
      <c r="M773"/>
      <c r="N773"/>
      <c r="O773"/>
      <c r="P773" s="233">
        <f t="shared" si="23"/>
        <v>0</v>
      </c>
      <c r="Q773" s="233"/>
    </row>
    <row r="774" spans="4:17" ht="15.75">
      <c r="D774"/>
      <c r="E774"/>
      <c r="F774"/>
      <c r="G774"/>
      <c r="H774"/>
      <c r="I774"/>
      <c r="J774"/>
      <c r="K774"/>
      <c r="L774"/>
      <c r="M774"/>
      <c r="N774"/>
      <c r="O774"/>
      <c r="P774" s="233">
        <f t="shared" si="23"/>
        <v>0</v>
      </c>
      <c r="Q774" s="233"/>
    </row>
    <row r="775" spans="4:17" ht="15.75">
      <c r="D775"/>
      <c r="E775"/>
      <c r="F775"/>
      <c r="G775"/>
      <c r="H775"/>
      <c r="I775"/>
      <c r="J775"/>
      <c r="K775"/>
      <c r="L775"/>
      <c r="M775"/>
      <c r="N775"/>
      <c r="O775"/>
      <c r="P775" s="233">
        <f t="shared" si="23"/>
        <v>0</v>
      </c>
      <c r="Q775" s="233"/>
    </row>
    <row r="776" spans="4:17" ht="15.75">
      <c r="D776"/>
      <c r="E776"/>
      <c r="F776"/>
      <c r="G776"/>
      <c r="H776"/>
      <c r="I776"/>
      <c r="J776"/>
      <c r="K776"/>
      <c r="L776"/>
      <c r="M776"/>
      <c r="N776"/>
      <c r="O776"/>
      <c r="P776" s="233">
        <f t="shared" si="23"/>
        <v>0</v>
      </c>
      <c r="Q776" s="233"/>
    </row>
    <row r="777" spans="4:17" ht="15.75">
      <c r="D777"/>
      <c r="E777"/>
      <c r="F777"/>
      <c r="G777"/>
      <c r="H777"/>
      <c r="I777"/>
      <c r="J777"/>
      <c r="K777"/>
      <c r="L777"/>
      <c r="M777"/>
      <c r="N777"/>
      <c r="O777"/>
      <c r="P777" s="233">
        <f t="shared" si="23"/>
        <v>0</v>
      </c>
      <c r="Q777" s="233"/>
    </row>
    <row r="778" spans="4:17" ht="15.75">
      <c r="D778"/>
      <c r="E778"/>
      <c r="F778"/>
      <c r="G778"/>
      <c r="H778"/>
      <c r="I778"/>
      <c r="J778"/>
      <c r="K778"/>
      <c r="L778"/>
      <c r="M778"/>
      <c r="N778"/>
      <c r="O778"/>
      <c r="P778" s="233">
        <f t="shared" si="23"/>
        <v>0</v>
      </c>
      <c r="Q778" s="233"/>
    </row>
    <row r="779" spans="4:17" ht="15.75">
      <c r="D779"/>
      <c r="E779"/>
      <c r="F779"/>
      <c r="G779"/>
      <c r="H779"/>
      <c r="I779"/>
      <c r="J779"/>
      <c r="K779"/>
      <c r="L779"/>
      <c r="M779"/>
      <c r="N779"/>
      <c r="O779"/>
      <c r="P779" s="233">
        <f t="shared" si="23"/>
        <v>0</v>
      </c>
      <c r="Q779" s="233"/>
    </row>
    <row r="780" spans="4:17" ht="15.75">
      <c r="D780"/>
      <c r="E780"/>
      <c r="F780"/>
      <c r="G780"/>
      <c r="H780"/>
      <c r="I780"/>
      <c r="J780"/>
      <c r="K780"/>
      <c r="L780"/>
      <c r="M780"/>
      <c r="N780"/>
      <c r="O780"/>
      <c r="P780" s="233">
        <f t="shared" si="23"/>
        <v>0</v>
      </c>
      <c r="Q780" s="233"/>
    </row>
    <row r="781" spans="4:17" ht="15.75">
      <c r="D781"/>
      <c r="E781"/>
      <c r="F781"/>
      <c r="G781"/>
      <c r="H781"/>
      <c r="I781"/>
      <c r="J781"/>
      <c r="K781"/>
      <c r="L781"/>
      <c r="M781"/>
      <c r="N781"/>
      <c r="O781"/>
      <c r="P781" s="233">
        <f t="shared" si="23"/>
        <v>0</v>
      </c>
      <c r="Q781" s="233"/>
    </row>
    <row r="782" spans="4:17" ht="15.75">
      <c r="D782"/>
      <c r="E782"/>
      <c r="F782"/>
      <c r="G782"/>
      <c r="H782"/>
      <c r="I782"/>
      <c r="J782"/>
      <c r="K782"/>
      <c r="L782"/>
      <c r="M782"/>
      <c r="N782"/>
      <c r="O782"/>
      <c r="P782" s="233">
        <f t="shared" ref="P782:P845" si="24">IF(ISNUMBER(Q782),Q782,0)</f>
        <v>0</v>
      </c>
      <c r="Q782" s="233"/>
    </row>
    <row r="783" spans="4:17" ht="15.75">
      <c r="D783"/>
      <c r="E783"/>
      <c r="F783"/>
      <c r="G783"/>
      <c r="H783"/>
      <c r="I783"/>
      <c r="J783"/>
      <c r="K783"/>
      <c r="L783"/>
      <c r="M783"/>
      <c r="N783"/>
      <c r="O783"/>
      <c r="P783" s="233">
        <f t="shared" si="24"/>
        <v>0</v>
      </c>
      <c r="Q783" s="233"/>
    </row>
    <row r="784" spans="4:17" ht="15.75">
      <c r="D784"/>
      <c r="E784"/>
      <c r="F784"/>
      <c r="G784"/>
      <c r="H784"/>
      <c r="I784"/>
      <c r="J784"/>
      <c r="K784"/>
      <c r="L784"/>
      <c r="M784"/>
      <c r="N784"/>
      <c r="O784"/>
      <c r="P784" s="233">
        <f t="shared" si="24"/>
        <v>0</v>
      </c>
      <c r="Q784" s="233"/>
    </row>
    <row r="785" spans="4:17" ht="15.75">
      <c r="D785"/>
      <c r="E785"/>
      <c r="F785"/>
      <c r="G785"/>
      <c r="H785"/>
      <c r="I785"/>
      <c r="J785"/>
      <c r="K785"/>
      <c r="L785"/>
      <c r="M785"/>
      <c r="N785"/>
      <c r="O785"/>
      <c r="P785" s="233">
        <f t="shared" si="24"/>
        <v>0</v>
      </c>
      <c r="Q785" s="233"/>
    </row>
    <row r="786" spans="4:17" ht="15.75">
      <c r="D786"/>
      <c r="E786"/>
      <c r="F786"/>
      <c r="G786"/>
      <c r="H786"/>
      <c r="I786"/>
      <c r="J786"/>
      <c r="K786"/>
      <c r="L786"/>
      <c r="M786"/>
      <c r="N786"/>
      <c r="O786"/>
      <c r="P786" s="233">
        <f t="shared" si="24"/>
        <v>0</v>
      </c>
      <c r="Q786" s="233"/>
    </row>
    <row r="787" spans="4:17" ht="15.75">
      <c r="D787"/>
      <c r="E787"/>
      <c r="F787"/>
      <c r="G787"/>
      <c r="H787"/>
      <c r="I787"/>
      <c r="J787"/>
      <c r="K787"/>
      <c r="L787"/>
      <c r="M787"/>
      <c r="N787"/>
      <c r="O787"/>
      <c r="P787" s="233">
        <f t="shared" si="24"/>
        <v>0</v>
      </c>
      <c r="Q787" s="233"/>
    </row>
    <row r="788" spans="4:17" ht="15.75">
      <c r="D788"/>
      <c r="E788"/>
      <c r="F788"/>
      <c r="G788"/>
      <c r="H788"/>
      <c r="I788"/>
      <c r="J788"/>
      <c r="K788"/>
      <c r="L788"/>
      <c r="M788"/>
      <c r="N788"/>
      <c r="O788"/>
      <c r="P788" s="233">
        <f t="shared" si="24"/>
        <v>0</v>
      </c>
      <c r="Q788" s="233"/>
    </row>
    <row r="789" spans="4:17" ht="15.75">
      <c r="D789"/>
      <c r="E789"/>
      <c r="F789"/>
      <c r="G789"/>
      <c r="H789"/>
      <c r="I789"/>
      <c r="J789"/>
      <c r="K789"/>
      <c r="L789"/>
      <c r="M789"/>
      <c r="N789"/>
      <c r="O789"/>
      <c r="P789" s="233">
        <f t="shared" si="24"/>
        <v>0</v>
      </c>
      <c r="Q789" s="233"/>
    </row>
    <row r="790" spans="4:17" ht="15.75">
      <c r="D790"/>
      <c r="E790"/>
      <c r="F790"/>
      <c r="G790"/>
      <c r="H790"/>
      <c r="I790"/>
      <c r="J790"/>
      <c r="K790"/>
      <c r="L790"/>
      <c r="M790"/>
      <c r="N790"/>
      <c r="O790"/>
      <c r="P790" s="233">
        <f t="shared" si="24"/>
        <v>0</v>
      </c>
      <c r="Q790" s="233"/>
    </row>
    <row r="791" spans="4:17" ht="15.75">
      <c r="D791"/>
      <c r="E791"/>
      <c r="F791"/>
      <c r="G791"/>
      <c r="H791"/>
      <c r="I791"/>
      <c r="J791"/>
      <c r="K791"/>
      <c r="L791"/>
      <c r="M791"/>
      <c r="N791"/>
      <c r="O791"/>
      <c r="P791" s="233">
        <f t="shared" si="24"/>
        <v>0</v>
      </c>
      <c r="Q791" s="233"/>
    </row>
    <row r="792" spans="4:17" ht="15.75">
      <c r="D792"/>
      <c r="E792"/>
      <c r="F792"/>
      <c r="G792"/>
      <c r="H792"/>
      <c r="I792"/>
      <c r="J792"/>
      <c r="K792"/>
      <c r="L792"/>
      <c r="M792"/>
      <c r="N792"/>
      <c r="O792"/>
      <c r="P792" s="233">
        <f t="shared" si="24"/>
        <v>0</v>
      </c>
      <c r="Q792" s="233"/>
    </row>
    <row r="793" spans="4:17" ht="15.75">
      <c r="D793"/>
      <c r="E793"/>
      <c r="F793"/>
      <c r="G793"/>
      <c r="H793"/>
      <c r="I793"/>
      <c r="J793"/>
      <c r="K793"/>
      <c r="L793"/>
      <c r="M793"/>
      <c r="N793"/>
      <c r="O793"/>
      <c r="P793" s="233">
        <f t="shared" si="24"/>
        <v>0</v>
      </c>
      <c r="Q793" s="233"/>
    </row>
    <row r="794" spans="4:17" ht="15.75">
      <c r="D794"/>
      <c r="E794"/>
      <c r="F794"/>
      <c r="G794"/>
      <c r="H794"/>
      <c r="I794"/>
      <c r="J794"/>
      <c r="K794"/>
      <c r="L794"/>
      <c r="M794"/>
      <c r="N794"/>
      <c r="O794"/>
      <c r="P794" s="233">
        <f t="shared" si="24"/>
        <v>0</v>
      </c>
      <c r="Q794" s="233"/>
    </row>
    <row r="795" spans="4:17" ht="15.75">
      <c r="D795"/>
      <c r="E795"/>
      <c r="F795"/>
      <c r="G795"/>
      <c r="H795"/>
      <c r="I795"/>
      <c r="J795"/>
      <c r="K795"/>
      <c r="L795"/>
      <c r="M795"/>
      <c r="N795"/>
      <c r="O795"/>
      <c r="P795" s="233">
        <f t="shared" si="24"/>
        <v>0</v>
      </c>
      <c r="Q795" s="233"/>
    </row>
    <row r="796" spans="4:17" ht="15.75">
      <c r="D796"/>
      <c r="E796"/>
      <c r="F796"/>
      <c r="G796"/>
      <c r="H796"/>
      <c r="I796"/>
      <c r="J796"/>
      <c r="K796"/>
      <c r="L796"/>
      <c r="M796"/>
      <c r="N796"/>
      <c r="O796"/>
      <c r="P796" s="233">
        <f t="shared" si="24"/>
        <v>0</v>
      </c>
      <c r="Q796" s="233"/>
    </row>
    <row r="797" spans="4:17" ht="15.75">
      <c r="D797"/>
      <c r="E797"/>
      <c r="F797"/>
      <c r="G797"/>
      <c r="H797"/>
      <c r="I797"/>
      <c r="J797"/>
      <c r="K797"/>
      <c r="L797"/>
      <c r="M797"/>
      <c r="N797"/>
      <c r="O797"/>
      <c r="P797" s="233">
        <f t="shared" si="24"/>
        <v>0</v>
      </c>
      <c r="Q797" s="233"/>
    </row>
    <row r="798" spans="4:17" ht="15.75">
      <c r="D798"/>
      <c r="E798"/>
      <c r="F798"/>
      <c r="G798"/>
      <c r="H798"/>
      <c r="I798"/>
      <c r="J798"/>
      <c r="K798"/>
      <c r="L798"/>
      <c r="M798"/>
      <c r="N798"/>
      <c r="O798"/>
      <c r="P798" s="233">
        <f t="shared" si="24"/>
        <v>0</v>
      </c>
      <c r="Q798" s="233"/>
    </row>
    <row r="799" spans="4:17" ht="15.75">
      <c r="D799"/>
      <c r="E799"/>
      <c r="F799"/>
      <c r="G799"/>
      <c r="H799"/>
      <c r="I799"/>
      <c r="J799"/>
      <c r="K799"/>
      <c r="L799"/>
      <c r="M799"/>
      <c r="N799"/>
      <c r="O799"/>
      <c r="P799" s="233">
        <f t="shared" si="24"/>
        <v>0</v>
      </c>
      <c r="Q799" s="233"/>
    </row>
    <row r="800" spans="4:17" ht="15.75">
      <c r="D800"/>
      <c r="E800"/>
      <c r="F800"/>
      <c r="G800"/>
      <c r="H800"/>
      <c r="I800"/>
      <c r="J800"/>
      <c r="K800"/>
      <c r="L800"/>
      <c r="M800"/>
      <c r="N800"/>
      <c r="O800"/>
      <c r="P800" s="233">
        <f t="shared" si="24"/>
        <v>0</v>
      </c>
      <c r="Q800" s="233"/>
    </row>
    <row r="801" spans="4:17" ht="15.75">
      <c r="D801"/>
      <c r="E801"/>
      <c r="F801"/>
      <c r="G801"/>
      <c r="H801"/>
      <c r="I801"/>
      <c r="J801"/>
      <c r="K801"/>
      <c r="L801"/>
      <c r="M801"/>
      <c r="N801"/>
      <c r="O801"/>
      <c r="P801" s="233">
        <f t="shared" si="24"/>
        <v>0</v>
      </c>
      <c r="Q801" s="233"/>
    </row>
    <row r="802" spans="4:17" ht="15.75">
      <c r="D802"/>
      <c r="E802"/>
      <c r="F802"/>
      <c r="G802"/>
      <c r="H802"/>
      <c r="I802"/>
      <c r="J802"/>
      <c r="K802"/>
      <c r="L802"/>
      <c r="M802"/>
      <c r="N802"/>
      <c r="O802"/>
      <c r="P802" s="233">
        <f t="shared" si="24"/>
        <v>0</v>
      </c>
      <c r="Q802" s="233"/>
    </row>
    <row r="803" spans="4:17" ht="15.75">
      <c r="D803"/>
      <c r="E803"/>
      <c r="F803"/>
      <c r="G803"/>
      <c r="H803"/>
      <c r="I803"/>
      <c r="J803"/>
      <c r="K803"/>
      <c r="L803"/>
      <c r="M803"/>
      <c r="N803"/>
      <c r="O803"/>
      <c r="P803" s="233">
        <f t="shared" si="24"/>
        <v>0</v>
      </c>
      <c r="Q803" s="233"/>
    </row>
    <row r="804" spans="4:17" ht="15.75">
      <c r="D804"/>
      <c r="E804"/>
      <c r="F804"/>
      <c r="G804"/>
      <c r="H804"/>
      <c r="I804"/>
      <c r="J804"/>
      <c r="K804"/>
      <c r="L804"/>
      <c r="M804"/>
      <c r="N804"/>
      <c r="O804"/>
      <c r="P804" s="233">
        <f t="shared" si="24"/>
        <v>0</v>
      </c>
      <c r="Q804" s="233"/>
    </row>
    <row r="805" spans="4:17" ht="15.75">
      <c r="D805"/>
      <c r="E805"/>
      <c r="F805"/>
      <c r="G805"/>
      <c r="H805"/>
      <c r="I805"/>
      <c r="J805"/>
      <c r="K805"/>
      <c r="L805"/>
      <c r="M805"/>
      <c r="N805"/>
      <c r="O805"/>
      <c r="P805" s="233">
        <f t="shared" si="24"/>
        <v>0</v>
      </c>
      <c r="Q805" s="233"/>
    </row>
    <row r="806" spans="4:17" ht="15.75">
      <c r="D806"/>
      <c r="E806"/>
      <c r="F806"/>
      <c r="G806"/>
      <c r="H806"/>
      <c r="I806"/>
      <c r="J806"/>
      <c r="K806"/>
      <c r="L806"/>
      <c r="M806"/>
      <c r="N806"/>
      <c r="O806"/>
      <c r="P806" s="233">
        <f t="shared" si="24"/>
        <v>0</v>
      </c>
      <c r="Q806" s="233"/>
    </row>
    <row r="807" spans="4:17" ht="15.75">
      <c r="D807"/>
      <c r="E807"/>
      <c r="F807"/>
      <c r="G807"/>
      <c r="H807"/>
      <c r="I807"/>
      <c r="J807"/>
      <c r="K807"/>
      <c r="L807"/>
      <c r="M807"/>
      <c r="N807"/>
      <c r="O807"/>
      <c r="P807" s="233">
        <f t="shared" si="24"/>
        <v>0</v>
      </c>
      <c r="Q807" s="233"/>
    </row>
    <row r="808" spans="4:17" ht="15.75">
      <c r="D808"/>
      <c r="E808"/>
      <c r="F808"/>
      <c r="G808"/>
      <c r="H808"/>
      <c r="I808"/>
      <c r="J808"/>
      <c r="K808"/>
      <c r="L808"/>
      <c r="M808"/>
      <c r="N808"/>
      <c r="O808"/>
      <c r="P808" s="233">
        <f t="shared" si="24"/>
        <v>0</v>
      </c>
      <c r="Q808" s="233"/>
    </row>
    <row r="809" spans="4:17" ht="15.75">
      <c r="D809"/>
      <c r="E809"/>
      <c r="F809"/>
      <c r="G809"/>
      <c r="H809"/>
      <c r="I809"/>
      <c r="J809"/>
      <c r="K809"/>
      <c r="L809"/>
      <c r="M809"/>
      <c r="N809"/>
      <c r="O809"/>
      <c r="P809" s="233">
        <f t="shared" si="24"/>
        <v>0</v>
      </c>
      <c r="Q809" s="233"/>
    </row>
    <row r="810" spans="4:17" ht="15.75">
      <c r="D810"/>
      <c r="E810"/>
      <c r="F810"/>
      <c r="G810"/>
      <c r="H810"/>
      <c r="I810"/>
      <c r="J810"/>
      <c r="K810"/>
      <c r="L810"/>
      <c r="M810"/>
      <c r="N810"/>
      <c r="O810"/>
      <c r="P810" s="233">
        <f t="shared" si="24"/>
        <v>0</v>
      </c>
      <c r="Q810" s="233"/>
    </row>
    <row r="811" spans="4:17" ht="15.75">
      <c r="D811"/>
      <c r="E811"/>
      <c r="F811"/>
      <c r="G811"/>
      <c r="H811"/>
      <c r="I811"/>
      <c r="J811"/>
      <c r="K811"/>
      <c r="L811"/>
      <c r="M811"/>
      <c r="N811"/>
      <c r="O811"/>
      <c r="P811" s="233">
        <f t="shared" si="24"/>
        <v>0</v>
      </c>
      <c r="Q811" s="233"/>
    </row>
    <row r="812" spans="4:17" ht="15.75">
      <c r="D812"/>
      <c r="E812"/>
      <c r="F812"/>
      <c r="G812"/>
      <c r="H812"/>
      <c r="I812"/>
      <c r="J812"/>
      <c r="K812"/>
      <c r="L812"/>
      <c r="M812"/>
      <c r="N812"/>
      <c r="O812"/>
      <c r="P812" s="233">
        <f t="shared" si="24"/>
        <v>0</v>
      </c>
      <c r="Q812" s="233"/>
    </row>
    <row r="813" spans="4:17" ht="15.75">
      <c r="D813"/>
      <c r="E813"/>
      <c r="F813"/>
      <c r="G813"/>
      <c r="H813"/>
      <c r="I813"/>
      <c r="J813"/>
      <c r="K813"/>
      <c r="L813"/>
      <c r="M813"/>
      <c r="N813"/>
      <c r="O813"/>
      <c r="P813" s="233">
        <f t="shared" si="24"/>
        <v>0</v>
      </c>
      <c r="Q813" s="233"/>
    </row>
    <row r="814" spans="4:17" ht="15.75">
      <c r="D814"/>
      <c r="E814"/>
      <c r="F814"/>
      <c r="G814"/>
      <c r="H814"/>
      <c r="I814"/>
      <c r="J814"/>
      <c r="K814"/>
      <c r="L814"/>
      <c r="M814"/>
      <c r="N814"/>
      <c r="O814"/>
      <c r="P814" s="233">
        <f t="shared" si="24"/>
        <v>0</v>
      </c>
      <c r="Q814" s="233"/>
    </row>
    <row r="815" spans="4:17" ht="15.75">
      <c r="D815"/>
      <c r="E815"/>
      <c r="F815"/>
      <c r="G815"/>
      <c r="H815"/>
      <c r="I815"/>
      <c r="J815"/>
      <c r="K815"/>
      <c r="L815"/>
      <c r="M815"/>
      <c r="N815"/>
      <c r="O815"/>
      <c r="P815" s="233">
        <f t="shared" si="24"/>
        <v>0</v>
      </c>
      <c r="Q815" s="233"/>
    </row>
    <row r="816" spans="4:17" ht="15.75">
      <c r="D816"/>
      <c r="E816"/>
      <c r="F816"/>
      <c r="G816"/>
      <c r="H816"/>
      <c r="I816"/>
      <c r="J816"/>
      <c r="K816"/>
      <c r="L816"/>
      <c r="M816"/>
      <c r="N816"/>
      <c r="O816"/>
      <c r="P816" s="233">
        <f t="shared" si="24"/>
        <v>0</v>
      </c>
      <c r="Q816" s="233"/>
    </row>
    <row r="817" spans="4:17" ht="15.75">
      <c r="D817"/>
      <c r="E817"/>
      <c r="F817"/>
      <c r="G817"/>
      <c r="H817"/>
      <c r="I817"/>
      <c r="J817"/>
      <c r="K817"/>
      <c r="L817"/>
      <c r="M817"/>
      <c r="N817"/>
      <c r="O817"/>
      <c r="P817" s="233">
        <f t="shared" si="24"/>
        <v>0</v>
      </c>
      <c r="Q817" s="233"/>
    </row>
    <row r="818" spans="4:17" ht="15.75">
      <c r="D818"/>
      <c r="E818"/>
      <c r="F818"/>
      <c r="G818"/>
      <c r="H818"/>
      <c r="I818"/>
      <c r="J818"/>
      <c r="K818"/>
      <c r="L818"/>
      <c r="M818"/>
      <c r="N818"/>
      <c r="O818"/>
      <c r="P818" s="233">
        <f t="shared" si="24"/>
        <v>0</v>
      </c>
      <c r="Q818" s="233"/>
    </row>
    <row r="819" spans="4:17" ht="15.75">
      <c r="D819"/>
      <c r="E819"/>
      <c r="F819"/>
      <c r="G819"/>
      <c r="H819"/>
      <c r="I819"/>
      <c r="J819"/>
      <c r="K819"/>
      <c r="L819"/>
      <c r="M819"/>
      <c r="N819"/>
      <c r="O819"/>
      <c r="P819" s="233">
        <f t="shared" si="24"/>
        <v>0</v>
      </c>
      <c r="Q819" s="233"/>
    </row>
    <row r="820" spans="4:17" ht="15.75">
      <c r="D820"/>
      <c r="E820"/>
      <c r="F820"/>
      <c r="G820"/>
      <c r="H820"/>
      <c r="I820"/>
      <c r="J820"/>
      <c r="K820"/>
      <c r="L820"/>
      <c r="M820"/>
      <c r="N820"/>
      <c r="O820"/>
      <c r="P820" s="233">
        <f t="shared" si="24"/>
        <v>0</v>
      </c>
      <c r="Q820" s="233"/>
    </row>
    <row r="821" spans="4:17" ht="15.75">
      <c r="D821"/>
      <c r="E821"/>
      <c r="F821"/>
      <c r="G821"/>
      <c r="H821"/>
      <c r="I821"/>
      <c r="J821"/>
      <c r="K821"/>
      <c r="L821"/>
      <c r="M821"/>
      <c r="N821"/>
      <c r="O821"/>
      <c r="P821" s="233">
        <f t="shared" si="24"/>
        <v>0</v>
      </c>
      <c r="Q821" s="233"/>
    </row>
    <row r="822" spans="4:17" ht="15.75">
      <c r="D822"/>
      <c r="E822"/>
      <c r="F822"/>
      <c r="G822"/>
      <c r="H822"/>
      <c r="I822"/>
      <c r="J822"/>
      <c r="K822"/>
      <c r="L822"/>
      <c r="M822"/>
      <c r="N822"/>
      <c r="O822"/>
      <c r="P822" s="233">
        <f t="shared" si="24"/>
        <v>0</v>
      </c>
      <c r="Q822" s="233"/>
    </row>
    <row r="823" spans="4:17" ht="15.75">
      <c r="D823"/>
      <c r="E823"/>
      <c r="F823"/>
      <c r="G823"/>
      <c r="H823"/>
      <c r="I823"/>
      <c r="J823"/>
      <c r="K823"/>
      <c r="L823"/>
      <c r="M823"/>
      <c r="N823"/>
      <c r="O823"/>
      <c r="P823" s="233">
        <f t="shared" si="24"/>
        <v>0</v>
      </c>
      <c r="Q823" s="233"/>
    </row>
    <row r="824" spans="4:17" ht="15.75">
      <c r="D824"/>
      <c r="E824"/>
      <c r="F824"/>
      <c r="G824"/>
      <c r="H824"/>
      <c r="I824"/>
      <c r="J824"/>
      <c r="K824"/>
      <c r="L824"/>
      <c r="M824"/>
      <c r="N824"/>
      <c r="O824"/>
      <c r="P824" s="233">
        <f t="shared" si="24"/>
        <v>0</v>
      </c>
      <c r="Q824" s="233"/>
    </row>
    <row r="825" spans="4:17" ht="15.75">
      <c r="D825"/>
      <c r="E825"/>
      <c r="F825"/>
      <c r="G825"/>
      <c r="H825"/>
      <c r="I825"/>
      <c r="J825"/>
      <c r="K825"/>
      <c r="L825"/>
      <c r="M825"/>
      <c r="N825"/>
      <c r="O825"/>
      <c r="P825" s="233">
        <f t="shared" si="24"/>
        <v>0</v>
      </c>
      <c r="Q825" s="233"/>
    </row>
    <row r="826" spans="4:17" ht="15.75">
      <c r="D826"/>
      <c r="E826"/>
      <c r="F826"/>
      <c r="G826"/>
      <c r="H826"/>
      <c r="I826"/>
      <c r="J826"/>
      <c r="K826"/>
      <c r="L826"/>
      <c r="M826"/>
      <c r="N826"/>
      <c r="O826"/>
      <c r="P826" s="233">
        <f t="shared" si="24"/>
        <v>0</v>
      </c>
      <c r="Q826" s="233"/>
    </row>
    <row r="827" spans="4:17" ht="15.75">
      <c r="D827"/>
      <c r="E827"/>
      <c r="F827"/>
      <c r="G827"/>
      <c r="H827"/>
      <c r="I827"/>
      <c r="J827"/>
      <c r="K827"/>
      <c r="L827"/>
      <c r="M827"/>
      <c r="N827"/>
      <c r="O827"/>
      <c r="P827" s="233">
        <f t="shared" si="24"/>
        <v>0</v>
      </c>
      <c r="Q827" s="233"/>
    </row>
    <row r="828" spans="4:17" ht="15.75">
      <c r="D828"/>
      <c r="E828"/>
      <c r="F828"/>
      <c r="G828"/>
      <c r="H828"/>
      <c r="I828"/>
      <c r="J828"/>
      <c r="K828"/>
      <c r="L828"/>
      <c r="M828"/>
      <c r="N828"/>
      <c r="O828"/>
      <c r="P828" s="233">
        <f t="shared" si="24"/>
        <v>0</v>
      </c>
      <c r="Q828" s="233"/>
    </row>
    <row r="829" spans="4:17" ht="15.75">
      <c r="D829"/>
      <c r="E829"/>
      <c r="F829"/>
      <c r="G829"/>
      <c r="H829"/>
      <c r="I829"/>
      <c r="J829"/>
      <c r="K829"/>
      <c r="L829"/>
      <c r="M829"/>
      <c r="N829"/>
      <c r="O829"/>
      <c r="P829" s="233">
        <f t="shared" si="24"/>
        <v>0</v>
      </c>
      <c r="Q829" s="233"/>
    </row>
    <row r="830" spans="4:17" ht="15.75">
      <c r="D830"/>
      <c r="E830"/>
      <c r="F830"/>
      <c r="G830"/>
      <c r="H830"/>
      <c r="I830"/>
      <c r="J830"/>
      <c r="K830"/>
      <c r="L830"/>
      <c r="M830"/>
      <c r="N830"/>
      <c r="O830"/>
      <c r="P830" s="233">
        <f t="shared" si="24"/>
        <v>0</v>
      </c>
      <c r="Q830" s="233"/>
    </row>
    <row r="831" spans="4:17" ht="15.75">
      <c r="D831"/>
      <c r="E831"/>
      <c r="F831"/>
      <c r="G831"/>
      <c r="H831"/>
      <c r="I831"/>
      <c r="J831"/>
      <c r="K831"/>
      <c r="L831"/>
      <c r="M831"/>
      <c r="N831"/>
      <c r="O831"/>
      <c r="P831" s="233">
        <f t="shared" si="24"/>
        <v>0</v>
      </c>
      <c r="Q831" s="233"/>
    </row>
    <row r="832" spans="4:17" ht="15.75">
      <c r="D832"/>
      <c r="E832"/>
      <c r="F832"/>
      <c r="G832"/>
      <c r="H832"/>
      <c r="I832"/>
      <c r="J832"/>
      <c r="K832"/>
      <c r="L832"/>
      <c r="M832"/>
      <c r="N832"/>
      <c r="O832"/>
      <c r="P832" s="233">
        <f t="shared" si="24"/>
        <v>0</v>
      </c>
      <c r="Q832" s="233"/>
    </row>
    <row r="833" spans="4:17" ht="15.75">
      <c r="D833"/>
      <c r="E833"/>
      <c r="F833"/>
      <c r="G833"/>
      <c r="H833"/>
      <c r="I833"/>
      <c r="J833"/>
      <c r="K833"/>
      <c r="L833"/>
      <c r="M833"/>
      <c r="N833"/>
      <c r="O833"/>
      <c r="P833" s="233">
        <f t="shared" si="24"/>
        <v>0</v>
      </c>
      <c r="Q833" s="233"/>
    </row>
    <row r="834" spans="4:17" ht="15.75">
      <c r="D834"/>
      <c r="E834"/>
      <c r="F834"/>
      <c r="G834"/>
      <c r="H834"/>
      <c r="I834"/>
      <c r="J834"/>
      <c r="K834"/>
      <c r="L834"/>
      <c r="M834"/>
      <c r="N834"/>
      <c r="O834"/>
      <c r="P834" s="233">
        <f t="shared" si="24"/>
        <v>0</v>
      </c>
      <c r="Q834" s="233"/>
    </row>
    <row r="835" spans="4:17" ht="15.75">
      <c r="D835"/>
      <c r="E835"/>
      <c r="F835"/>
      <c r="G835"/>
      <c r="H835"/>
      <c r="I835"/>
      <c r="J835"/>
      <c r="K835"/>
      <c r="L835"/>
      <c r="M835"/>
      <c r="N835"/>
      <c r="O835"/>
      <c r="P835" s="233">
        <f t="shared" si="24"/>
        <v>0</v>
      </c>
      <c r="Q835" s="233"/>
    </row>
    <row r="836" spans="4:17" ht="15.75">
      <c r="D836"/>
      <c r="E836"/>
      <c r="F836"/>
      <c r="G836"/>
      <c r="H836"/>
      <c r="I836"/>
      <c r="J836"/>
      <c r="K836"/>
      <c r="L836"/>
      <c r="M836"/>
      <c r="N836"/>
      <c r="O836"/>
      <c r="P836" s="233">
        <f t="shared" si="24"/>
        <v>0</v>
      </c>
      <c r="Q836" s="233"/>
    </row>
    <row r="837" spans="4:17" ht="15.75">
      <c r="D837"/>
      <c r="E837"/>
      <c r="F837"/>
      <c r="G837"/>
      <c r="H837"/>
      <c r="I837"/>
      <c r="J837"/>
      <c r="K837"/>
      <c r="L837"/>
      <c r="M837"/>
      <c r="N837"/>
      <c r="O837"/>
      <c r="P837" s="233">
        <f t="shared" si="24"/>
        <v>0</v>
      </c>
      <c r="Q837" s="233"/>
    </row>
    <row r="838" spans="4:17" ht="15.75">
      <c r="D838"/>
      <c r="E838"/>
      <c r="F838"/>
      <c r="G838"/>
      <c r="H838"/>
      <c r="I838"/>
      <c r="J838"/>
      <c r="K838"/>
      <c r="L838"/>
      <c r="M838"/>
      <c r="N838"/>
      <c r="O838"/>
      <c r="P838" s="233">
        <f t="shared" si="24"/>
        <v>0</v>
      </c>
      <c r="Q838" s="233"/>
    </row>
    <row r="839" spans="4:17" ht="15.75">
      <c r="D839"/>
      <c r="E839"/>
      <c r="F839"/>
      <c r="G839"/>
      <c r="H839"/>
      <c r="I839"/>
      <c r="J839"/>
      <c r="K839"/>
      <c r="L839"/>
      <c r="M839"/>
      <c r="N839"/>
      <c r="O839"/>
      <c r="P839" s="233">
        <f t="shared" si="24"/>
        <v>0</v>
      </c>
      <c r="Q839" s="233"/>
    </row>
    <row r="840" spans="4:17" ht="15.75">
      <c r="D840"/>
      <c r="E840"/>
      <c r="F840"/>
      <c r="G840"/>
      <c r="H840"/>
      <c r="I840"/>
      <c r="J840"/>
      <c r="K840"/>
      <c r="L840"/>
      <c r="M840"/>
      <c r="N840"/>
      <c r="O840"/>
      <c r="P840" s="233">
        <f t="shared" si="24"/>
        <v>0</v>
      </c>
      <c r="Q840" s="233"/>
    </row>
    <row r="841" spans="4:17" ht="15.75">
      <c r="D841"/>
      <c r="E841"/>
      <c r="F841"/>
      <c r="G841"/>
      <c r="H841"/>
      <c r="I841"/>
      <c r="J841"/>
      <c r="K841"/>
      <c r="L841"/>
      <c r="M841"/>
      <c r="N841"/>
      <c r="O841"/>
      <c r="P841" s="233">
        <f t="shared" si="24"/>
        <v>0</v>
      </c>
      <c r="Q841" s="233"/>
    </row>
    <row r="842" spans="4:17" ht="15.75">
      <c r="D842"/>
      <c r="E842"/>
      <c r="F842"/>
      <c r="G842"/>
      <c r="H842"/>
      <c r="I842"/>
      <c r="J842"/>
      <c r="K842"/>
      <c r="L842"/>
      <c r="M842"/>
      <c r="N842"/>
      <c r="O842"/>
      <c r="P842" s="233">
        <f t="shared" si="24"/>
        <v>0</v>
      </c>
      <c r="Q842" s="233"/>
    </row>
    <row r="843" spans="4:17" ht="15.75">
      <c r="D843"/>
      <c r="E843"/>
      <c r="F843"/>
      <c r="G843"/>
      <c r="H843"/>
      <c r="I843"/>
      <c r="J843"/>
      <c r="K843"/>
      <c r="L843"/>
      <c r="M843"/>
      <c r="N843"/>
      <c r="O843"/>
      <c r="P843" s="233">
        <f t="shared" si="24"/>
        <v>0</v>
      </c>
      <c r="Q843" s="233"/>
    </row>
    <row r="844" spans="4:17" ht="15.75">
      <c r="D844"/>
      <c r="E844"/>
      <c r="F844"/>
      <c r="G844"/>
      <c r="H844"/>
      <c r="I844"/>
      <c r="J844"/>
      <c r="K844"/>
      <c r="L844"/>
      <c r="M844"/>
      <c r="N844"/>
      <c r="O844"/>
      <c r="P844" s="233">
        <f t="shared" si="24"/>
        <v>0</v>
      </c>
      <c r="Q844" s="233"/>
    </row>
    <row r="845" spans="4:17" ht="15.75">
      <c r="D845"/>
      <c r="E845"/>
      <c r="F845"/>
      <c r="G845"/>
      <c r="H845"/>
      <c r="I845"/>
      <c r="J845"/>
      <c r="K845"/>
      <c r="L845"/>
      <c r="M845"/>
      <c r="N845"/>
      <c r="O845"/>
      <c r="P845" s="233">
        <f t="shared" si="24"/>
        <v>0</v>
      </c>
      <c r="Q845" s="233"/>
    </row>
    <row r="846" spans="4:17" ht="15.75">
      <c r="D846"/>
      <c r="E846"/>
      <c r="F846"/>
      <c r="G846"/>
      <c r="H846"/>
      <c r="I846"/>
      <c r="J846"/>
      <c r="K846"/>
      <c r="L846"/>
      <c r="M846"/>
      <c r="N846"/>
      <c r="O846"/>
      <c r="P846" s="233">
        <f t="shared" ref="P846:P909" si="25">IF(ISNUMBER(Q846),Q846,0)</f>
        <v>0</v>
      </c>
      <c r="Q846" s="233"/>
    </row>
    <row r="847" spans="4:17" ht="15.75">
      <c r="D847"/>
      <c r="E847"/>
      <c r="F847"/>
      <c r="G847"/>
      <c r="H847"/>
      <c r="I847"/>
      <c r="J847"/>
      <c r="K847"/>
      <c r="L847"/>
      <c r="M847"/>
      <c r="N847"/>
      <c r="O847"/>
      <c r="P847" s="233">
        <f t="shared" si="25"/>
        <v>0</v>
      </c>
      <c r="Q847" s="233"/>
    </row>
    <row r="848" spans="4:17" ht="15.75">
      <c r="D848"/>
      <c r="E848"/>
      <c r="F848"/>
      <c r="G848"/>
      <c r="H848"/>
      <c r="I848"/>
      <c r="J848"/>
      <c r="K848"/>
      <c r="L848"/>
      <c r="M848"/>
      <c r="N848"/>
      <c r="O848"/>
      <c r="P848" s="233">
        <f t="shared" si="25"/>
        <v>0</v>
      </c>
      <c r="Q848" s="233"/>
    </row>
    <row r="849" spans="4:17" ht="15.75">
      <c r="D849"/>
      <c r="E849"/>
      <c r="F849"/>
      <c r="G849"/>
      <c r="H849"/>
      <c r="I849"/>
      <c r="J849"/>
      <c r="K849"/>
      <c r="L849"/>
      <c r="M849"/>
      <c r="N849"/>
      <c r="O849"/>
      <c r="P849" s="233">
        <f t="shared" si="25"/>
        <v>0</v>
      </c>
      <c r="Q849" s="233"/>
    </row>
    <row r="850" spans="4:17" ht="15.75">
      <c r="D850"/>
      <c r="E850"/>
      <c r="F850"/>
      <c r="G850"/>
      <c r="H850"/>
      <c r="I850"/>
      <c r="J850"/>
      <c r="K850"/>
      <c r="L850"/>
      <c r="M850"/>
      <c r="N850"/>
      <c r="O850"/>
      <c r="P850" s="233">
        <f t="shared" si="25"/>
        <v>0</v>
      </c>
      <c r="Q850" s="233"/>
    </row>
    <row r="851" spans="4:17" ht="15.75">
      <c r="D851"/>
      <c r="E851"/>
      <c r="F851"/>
      <c r="G851"/>
      <c r="H851"/>
      <c r="I851"/>
      <c r="J851"/>
      <c r="K851"/>
      <c r="L851"/>
      <c r="M851"/>
      <c r="N851"/>
      <c r="O851"/>
      <c r="P851" s="233">
        <f t="shared" si="25"/>
        <v>0</v>
      </c>
      <c r="Q851" s="233"/>
    </row>
    <row r="852" spans="4:17" ht="15.75">
      <c r="D852"/>
      <c r="E852"/>
      <c r="F852"/>
      <c r="G852"/>
      <c r="H852"/>
      <c r="I852"/>
      <c r="J852"/>
      <c r="K852"/>
      <c r="L852"/>
      <c r="M852"/>
      <c r="N852"/>
      <c r="O852"/>
      <c r="P852" s="233">
        <f t="shared" si="25"/>
        <v>0</v>
      </c>
      <c r="Q852" s="233"/>
    </row>
    <row r="853" spans="4:17" ht="15.75">
      <c r="D853"/>
      <c r="E853"/>
      <c r="F853"/>
      <c r="G853"/>
      <c r="H853"/>
      <c r="I853"/>
      <c r="J853"/>
      <c r="K853"/>
      <c r="L853"/>
      <c r="M853"/>
      <c r="N853"/>
      <c r="O853"/>
      <c r="P853" s="233">
        <f t="shared" si="25"/>
        <v>0</v>
      </c>
      <c r="Q853" s="233"/>
    </row>
    <row r="854" spans="4:17" ht="15.75">
      <c r="D854"/>
      <c r="E854"/>
      <c r="F854"/>
      <c r="G854"/>
      <c r="H854"/>
      <c r="I854"/>
      <c r="J854"/>
      <c r="K854"/>
      <c r="L854"/>
      <c r="M854"/>
      <c r="N854"/>
      <c r="O854"/>
      <c r="P854" s="233">
        <f t="shared" si="25"/>
        <v>0</v>
      </c>
      <c r="Q854" s="233"/>
    </row>
    <row r="855" spans="4:17" ht="15.75">
      <c r="D855"/>
      <c r="E855"/>
      <c r="F855"/>
      <c r="G855"/>
      <c r="H855"/>
      <c r="I855"/>
      <c r="J855"/>
      <c r="K855"/>
      <c r="L855"/>
      <c r="M855"/>
      <c r="N855"/>
      <c r="O855"/>
      <c r="P855" s="233">
        <f t="shared" si="25"/>
        <v>0</v>
      </c>
      <c r="Q855" s="233"/>
    </row>
    <row r="856" spans="4:17" ht="15.75">
      <c r="D856"/>
      <c r="E856"/>
      <c r="F856"/>
      <c r="G856"/>
      <c r="H856"/>
      <c r="I856"/>
      <c r="J856"/>
      <c r="K856"/>
      <c r="L856"/>
      <c r="M856"/>
      <c r="N856"/>
      <c r="O856"/>
      <c r="P856" s="233">
        <f t="shared" si="25"/>
        <v>0</v>
      </c>
      <c r="Q856" s="233"/>
    </row>
    <row r="857" spans="4:17" ht="15.75">
      <c r="D857"/>
      <c r="E857"/>
      <c r="F857"/>
      <c r="G857"/>
      <c r="H857"/>
      <c r="I857"/>
      <c r="J857"/>
      <c r="K857"/>
      <c r="L857"/>
      <c r="M857"/>
      <c r="N857"/>
      <c r="O857"/>
      <c r="P857" s="233">
        <f t="shared" si="25"/>
        <v>0</v>
      </c>
      <c r="Q857" s="233"/>
    </row>
    <row r="858" spans="4:17" ht="15.75">
      <c r="D858"/>
      <c r="E858"/>
      <c r="F858"/>
      <c r="G858"/>
      <c r="H858"/>
      <c r="I858"/>
      <c r="J858"/>
      <c r="K858"/>
      <c r="L858"/>
      <c r="M858"/>
      <c r="N858"/>
      <c r="O858"/>
      <c r="P858" s="233">
        <f t="shared" si="25"/>
        <v>0</v>
      </c>
      <c r="Q858" s="233"/>
    </row>
    <row r="859" spans="4:17" ht="15.75">
      <c r="D859"/>
      <c r="E859"/>
      <c r="F859"/>
      <c r="G859"/>
      <c r="H859"/>
      <c r="I859"/>
      <c r="J859"/>
      <c r="K859"/>
      <c r="L859"/>
      <c r="M859"/>
      <c r="N859"/>
      <c r="O859"/>
      <c r="P859" s="233">
        <f t="shared" si="25"/>
        <v>0</v>
      </c>
      <c r="Q859" s="233"/>
    </row>
    <row r="860" spans="4:17" ht="15.75">
      <c r="D860"/>
      <c r="E860"/>
      <c r="F860"/>
      <c r="G860"/>
      <c r="H860"/>
      <c r="I860"/>
      <c r="J860"/>
      <c r="K860"/>
      <c r="L860"/>
      <c r="M860"/>
      <c r="N860"/>
      <c r="O860"/>
      <c r="P860" s="233">
        <f t="shared" si="25"/>
        <v>0</v>
      </c>
      <c r="Q860" s="233"/>
    </row>
    <row r="861" spans="4:17" ht="15.75">
      <c r="D861"/>
      <c r="E861"/>
      <c r="F861"/>
      <c r="G861"/>
      <c r="H861"/>
      <c r="I861"/>
      <c r="J861"/>
      <c r="K861"/>
      <c r="L861"/>
      <c r="M861"/>
      <c r="N861"/>
      <c r="O861"/>
      <c r="P861" s="233">
        <f t="shared" si="25"/>
        <v>0</v>
      </c>
      <c r="Q861" s="233"/>
    </row>
    <row r="862" spans="4:17" ht="15.75">
      <c r="D862"/>
      <c r="E862"/>
      <c r="F862"/>
      <c r="G862"/>
      <c r="H862"/>
      <c r="I862"/>
      <c r="J862"/>
      <c r="K862"/>
      <c r="L862"/>
      <c r="M862"/>
      <c r="N862"/>
      <c r="O862"/>
      <c r="P862" s="233">
        <f t="shared" si="25"/>
        <v>0</v>
      </c>
      <c r="Q862" s="233"/>
    </row>
    <row r="863" spans="4:17" ht="15.75">
      <c r="D863"/>
      <c r="E863"/>
      <c r="F863"/>
      <c r="G863"/>
      <c r="H863"/>
      <c r="I863"/>
      <c r="J863"/>
      <c r="K863"/>
      <c r="L863"/>
      <c r="M863"/>
      <c r="N863"/>
      <c r="O863"/>
      <c r="P863" s="233">
        <f t="shared" si="25"/>
        <v>0</v>
      </c>
      <c r="Q863" s="233"/>
    </row>
    <row r="864" spans="4:17" ht="15.75">
      <c r="D864"/>
      <c r="E864"/>
      <c r="F864"/>
      <c r="G864"/>
      <c r="H864"/>
      <c r="I864"/>
      <c r="J864"/>
      <c r="K864"/>
      <c r="L864"/>
      <c r="M864"/>
      <c r="N864"/>
      <c r="O864"/>
      <c r="P864" s="233">
        <f t="shared" si="25"/>
        <v>0</v>
      </c>
      <c r="Q864" s="233"/>
    </row>
    <row r="865" spans="4:17" ht="15.75">
      <c r="D865"/>
      <c r="E865"/>
      <c r="F865"/>
      <c r="G865"/>
      <c r="H865"/>
      <c r="I865"/>
      <c r="J865"/>
      <c r="K865"/>
      <c r="L865"/>
      <c r="M865"/>
      <c r="N865"/>
      <c r="O865"/>
      <c r="P865" s="233">
        <f t="shared" si="25"/>
        <v>0</v>
      </c>
      <c r="Q865" s="233"/>
    </row>
    <row r="866" spans="4:17" ht="15.75">
      <c r="D866"/>
      <c r="E866"/>
      <c r="F866"/>
      <c r="G866"/>
      <c r="H866"/>
      <c r="I866"/>
      <c r="J866"/>
      <c r="K866"/>
      <c r="L866"/>
      <c r="M866"/>
      <c r="N866"/>
      <c r="O866"/>
      <c r="P866" s="233">
        <f t="shared" si="25"/>
        <v>0</v>
      </c>
      <c r="Q866" s="233"/>
    </row>
    <row r="867" spans="4:17" ht="15.75">
      <c r="D867"/>
      <c r="E867"/>
      <c r="F867"/>
      <c r="G867"/>
      <c r="H867"/>
      <c r="I867"/>
      <c r="J867"/>
      <c r="K867"/>
      <c r="L867"/>
      <c r="M867"/>
      <c r="N867"/>
      <c r="O867"/>
      <c r="P867" s="233">
        <f t="shared" si="25"/>
        <v>0</v>
      </c>
      <c r="Q867" s="233"/>
    </row>
    <row r="868" spans="4:17" ht="15.75">
      <c r="D868"/>
      <c r="E868"/>
      <c r="F868"/>
      <c r="G868"/>
      <c r="H868"/>
      <c r="I868"/>
      <c r="J868"/>
      <c r="K868"/>
      <c r="L868"/>
      <c r="M868"/>
      <c r="N868"/>
      <c r="O868"/>
      <c r="P868" s="233">
        <f t="shared" si="25"/>
        <v>0</v>
      </c>
      <c r="Q868" s="233"/>
    </row>
    <row r="869" spans="4:17" ht="15.75">
      <c r="D869"/>
      <c r="E869"/>
      <c r="F869"/>
      <c r="G869"/>
      <c r="H869"/>
      <c r="I869"/>
      <c r="J869"/>
      <c r="K869"/>
      <c r="L869"/>
      <c r="M869"/>
      <c r="N869"/>
      <c r="O869"/>
      <c r="P869" s="233">
        <f t="shared" si="25"/>
        <v>0</v>
      </c>
      <c r="Q869" s="233"/>
    </row>
    <row r="870" spans="4:17" ht="15.75">
      <c r="D870"/>
      <c r="E870"/>
      <c r="F870"/>
      <c r="G870"/>
      <c r="H870"/>
      <c r="I870"/>
      <c r="J870"/>
      <c r="K870"/>
      <c r="L870"/>
      <c r="M870"/>
      <c r="N870"/>
      <c r="O870"/>
      <c r="P870" s="233">
        <f t="shared" si="25"/>
        <v>0</v>
      </c>
      <c r="Q870" s="233"/>
    </row>
    <row r="871" spans="4:17" ht="15.75">
      <c r="D871"/>
      <c r="E871"/>
      <c r="F871"/>
      <c r="G871"/>
      <c r="H871"/>
      <c r="I871"/>
      <c r="J871"/>
      <c r="K871"/>
      <c r="L871"/>
      <c r="M871"/>
      <c r="N871"/>
      <c r="O871"/>
      <c r="P871" s="233">
        <f t="shared" si="25"/>
        <v>0</v>
      </c>
      <c r="Q871" s="233"/>
    </row>
    <row r="872" spans="4:17" ht="15.75">
      <c r="D872"/>
      <c r="E872"/>
      <c r="F872"/>
      <c r="G872"/>
      <c r="H872"/>
      <c r="I872"/>
      <c r="J872"/>
      <c r="K872"/>
      <c r="L872"/>
      <c r="M872"/>
      <c r="N872"/>
      <c r="O872"/>
      <c r="P872" s="233">
        <f t="shared" si="25"/>
        <v>0</v>
      </c>
      <c r="Q872" s="233"/>
    </row>
    <row r="873" spans="4:17" ht="15.75">
      <c r="D873"/>
      <c r="E873"/>
      <c r="F873"/>
      <c r="G873"/>
      <c r="H873"/>
      <c r="I873"/>
      <c r="J873"/>
      <c r="K873"/>
      <c r="L873"/>
      <c r="M873"/>
      <c r="N873"/>
      <c r="O873"/>
      <c r="P873" s="233">
        <f t="shared" si="25"/>
        <v>0</v>
      </c>
      <c r="Q873" s="233"/>
    </row>
    <row r="874" spans="4:17" ht="15.75">
      <c r="D874"/>
      <c r="E874"/>
      <c r="F874"/>
      <c r="G874"/>
      <c r="H874"/>
      <c r="I874"/>
      <c r="J874"/>
      <c r="K874"/>
      <c r="L874"/>
      <c r="M874"/>
      <c r="N874"/>
      <c r="O874"/>
      <c r="P874" s="233">
        <f t="shared" si="25"/>
        <v>0</v>
      </c>
      <c r="Q874" s="233"/>
    </row>
    <row r="875" spans="4:17" ht="15.75">
      <c r="D875"/>
      <c r="E875"/>
      <c r="F875"/>
      <c r="G875"/>
      <c r="H875"/>
      <c r="I875"/>
      <c r="J875"/>
      <c r="K875"/>
      <c r="L875"/>
      <c r="M875"/>
      <c r="N875"/>
      <c r="O875"/>
      <c r="P875" s="233">
        <f t="shared" si="25"/>
        <v>0</v>
      </c>
      <c r="Q875" s="233"/>
    </row>
    <row r="876" spans="4:17" ht="15.75">
      <c r="D876"/>
      <c r="E876"/>
      <c r="F876"/>
      <c r="G876"/>
      <c r="H876"/>
      <c r="I876"/>
      <c r="J876"/>
      <c r="K876"/>
      <c r="L876"/>
      <c r="M876"/>
      <c r="N876"/>
      <c r="O876"/>
      <c r="P876" s="233">
        <f t="shared" si="25"/>
        <v>0</v>
      </c>
      <c r="Q876" s="233"/>
    </row>
    <row r="877" spans="4:17" ht="15.75">
      <c r="D877"/>
      <c r="E877"/>
      <c r="F877"/>
      <c r="G877"/>
      <c r="H877"/>
      <c r="I877"/>
      <c r="J877"/>
      <c r="K877"/>
      <c r="L877"/>
      <c r="M877"/>
      <c r="N877"/>
      <c r="O877"/>
      <c r="P877" s="233">
        <f t="shared" si="25"/>
        <v>0</v>
      </c>
      <c r="Q877" s="233"/>
    </row>
    <row r="878" spans="4:17" ht="15.75">
      <c r="D878"/>
      <c r="E878"/>
      <c r="F878"/>
      <c r="G878"/>
      <c r="H878"/>
      <c r="I878"/>
      <c r="J878"/>
      <c r="K878"/>
      <c r="L878"/>
      <c r="M878"/>
      <c r="N878"/>
      <c r="O878"/>
      <c r="P878" s="233">
        <f t="shared" si="25"/>
        <v>0</v>
      </c>
      <c r="Q878" s="233"/>
    </row>
    <row r="879" spans="4:17" ht="15.75">
      <c r="D879"/>
      <c r="E879"/>
      <c r="F879"/>
      <c r="G879"/>
      <c r="H879"/>
      <c r="I879"/>
      <c r="J879"/>
      <c r="K879"/>
      <c r="L879"/>
      <c r="M879"/>
      <c r="N879"/>
      <c r="O879"/>
      <c r="P879" s="233">
        <f t="shared" si="25"/>
        <v>0</v>
      </c>
      <c r="Q879" s="233"/>
    </row>
    <row r="880" spans="4:17" ht="15.75">
      <c r="D880"/>
      <c r="E880"/>
      <c r="F880"/>
      <c r="G880"/>
      <c r="H880"/>
      <c r="I880"/>
      <c r="J880"/>
      <c r="K880"/>
      <c r="L880"/>
      <c r="M880"/>
      <c r="N880"/>
      <c r="O880"/>
      <c r="P880" s="233">
        <f t="shared" si="25"/>
        <v>0</v>
      </c>
      <c r="Q880" s="233"/>
    </row>
    <row r="881" spans="4:17" ht="15.75">
      <c r="D881"/>
      <c r="E881"/>
      <c r="F881"/>
      <c r="G881"/>
      <c r="H881"/>
      <c r="I881"/>
      <c r="J881"/>
      <c r="K881"/>
      <c r="L881"/>
      <c r="M881"/>
      <c r="N881"/>
      <c r="O881"/>
      <c r="P881" s="233">
        <f t="shared" si="25"/>
        <v>0</v>
      </c>
      <c r="Q881" s="233"/>
    </row>
    <row r="882" spans="4:17" ht="15.75">
      <c r="D882"/>
      <c r="E882"/>
      <c r="F882"/>
      <c r="G882"/>
      <c r="H882"/>
      <c r="I882"/>
      <c r="J882"/>
      <c r="K882"/>
      <c r="L882"/>
      <c r="M882"/>
      <c r="N882"/>
      <c r="O882"/>
      <c r="P882" s="233">
        <f t="shared" si="25"/>
        <v>0</v>
      </c>
      <c r="Q882" s="233"/>
    </row>
    <row r="883" spans="4:17" ht="15.75">
      <c r="D883"/>
      <c r="E883"/>
      <c r="F883"/>
      <c r="G883"/>
      <c r="H883"/>
      <c r="I883"/>
      <c r="J883"/>
      <c r="K883"/>
      <c r="L883"/>
      <c r="M883"/>
      <c r="N883"/>
      <c r="O883"/>
      <c r="P883" s="233">
        <f t="shared" si="25"/>
        <v>0</v>
      </c>
      <c r="Q883" s="233"/>
    </row>
    <row r="884" spans="4:17" ht="15.75">
      <c r="D884"/>
      <c r="E884"/>
      <c r="F884"/>
      <c r="G884"/>
      <c r="H884"/>
      <c r="I884"/>
      <c r="J884"/>
      <c r="K884"/>
      <c r="L884"/>
      <c r="M884"/>
      <c r="N884"/>
      <c r="O884"/>
      <c r="P884" s="233">
        <f t="shared" si="25"/>
        <v>0</v>
      </c>
      <c r="Q884" s="233"/>
    </row>
    <row r="885" spans="4:17" ht="15.75">
      <c r="D885"/>
      <c r="E885"/>
      <c r="F885"/>
      <c r="G885"/>
      <c r="H885"/>
      <c r="I885"/>
      <c r="J885"/>
      <c r="K885"/>
      <c r="L885"/>
      <c r="M885"/>
      <c r="N885"/>
      <c r="O885"/>
      <c r="P885" s="233">
        <f t="shared" si="25"/>
        <v>0</v>
      </c>
      <c r="Q885" s="233"/>
    </row>
    <row r="886" spans="4:17" ht="15.75">
      <c r="D886"/>
      <c r="E886"/>
      <c r="F886"/>
      <c r="G886"/>
      <c r="H886"/>
      <c r="I886"/>
      <c r="J886"/>
      <c r="K886"/>
      <c r="L886"/>
      <c r="M886"/>
      <c r="N886"/>
      <c r="O886"/>
      <c r="P886" s="233">
        <f t="shared" si="25"/>
        <v>0</v>
      </c>
      <c r="Q886" s="233"/>
    </row>
    <row r="887" spans="4:17" ht="15.75">
      <c r="D887"/>
      <c r="E887"/>
      <c r="F887"/>
      <c r="G887"/>
      <c r="H887"/>
      <c r="I887"/>
      <c r="J887"/>
      <c r="K887"/>
      <c r="L887"/>
      <c r="M887"/>
      <c r="N887"/>
      <c r="O887"/>
      <c r="P887" s="233">
        <f t="shared" si="25"/>
        <v>0</v>
      </c>
      <c r="Q887" s="233"/>
    </row>
    <row r="888" spans="4:17" ht="15.75">
      <c r="D888"/>
      <c r="E888"/>
      <c r="F888"/>
      <c r="G888"/>
      <c r="H888"/>
      <c r="I888"/>
      <c r="J888"/>
      <c r="K888"/>
      <c r="L888"/>
      <c r="M888"/>
      <c r="N888"/>
      <c r="O888"/>
      <c r="P888" s="233">
        <f t="shared" si="25"/>
        <v>0</v>
      </c>
      <c r="Q888" s="233"/>
    </row>
    <row r="889" spans="4:17" ht="15.75">
      <c r="D889"/>
      <c r="E889"/>
      <c r="F889"/>
      <c r="G889"/>
      <c r="H889"/>
      <c r="I889"/>
      <c r="J889"/>
      <c r="K889"/>
      <c r="L889"/>
      <c r="M889"/>
      <c r="N889"/>
      <c r="O889"/>
      <c r="P889" s="233">
        <f t="shared" si="25"/>
        <v>0</v>
      </c>
      <c r="Q889" s="233"/>
    </row>
    <row r="890" spans="4:17" ht="15.75">
      <c r="D890"/>
      <c r="E890"/>
      <c r="F890"/>
      <c r="G890"/>
      <c r="H890"/>
      <c r="I890"/>
      <c r="J890"/>
      <c r="K890"/>
      <c r="L890"/>
      <c r="M890"/>
      <c r="N890"/>
      <c r="O890"/>
      <c r="P890" s="233">
        <f t="shared" si="25"/>
        <v>0</v>
      </c>
      <c r="Q890" s="233"/>
    </row>
    <row r="891" spans="4:17" ht="15.75">
      <c r="D891"/>
      <c r="E891"/>
      <c r="F891"/>
      <c r="G891"/>
      <c r="H891"/>
      <c r="I891"/>
      <c r="J891"/>
      <c r="K891"/>
      <c r="L891"/>
      <c r="M891"/>
      <c r="N891"/>
      <c r="O891"/>
      <c r="P891" s="233">
        <f t="shared" si="25"/>
        <v>0</v>
      </c>
      <c r="Q891" s="233"/>
    </row>
    <row r="892" spans="4:17" ht="15.75">
      <c r="D892"/>
      <c r="E892"/>
      <c r="F892"/>
      <c r="G892"/>
      <c r="H892"/>
      <c r="I892"/>
      <c r="J892"/>
      <c r="K892"/>
      <c r="L892"/>
      <c r="M892"/>
      <c r="N892"/>
      <c r="O892"/>
      <c r="P892" s="233">
        <f t="shared" si="25"/>
        <v>0</v>
      </c>
      <c r="Q892" s="233"/>
    </row>
    <row r="893" spans="4:17" ht="15.75">
      <c r="D893"/>
      <c r="E893"/>
      <c r="F893"/>
      <c r="G893"/>
      <c r="H893"/>
      <c r="I893"/>
      <c r="J893"/>
      <c r="K893"/>
      <c r="L893"/>
      <c r="M893"/>
      <c r="N893"/>
      <c r="O893"/>
      <c r="P893" s="233">
        <f t="shared" si="25"/>
        <v>0</v>
      </c>
      <c r="Q893" s="233"/>
    </row>
    <row r="894" spans="4:17" ht="15.75">
      <c r="D894"/>
      <c r="E894"/>
      <c r="F894"/>
      <c r="G894"/>
      <c r="H894"/>
      <c r="I894"/>
      <c r="J894"/>
      <c r="K894"/>
      <c r="L894"/>
      <c r="M894"/>
      <c r="N894"/>
      <c r="O894"/>
      <c r="P894" s="233">
        <f t="shared" si="25"/>
        <v>0</v>
      </c>
      <c r="Q894" s="233"/>
    </row>
    <row r="895" spans="4:17" ht="15.75">
      <c r="D895"/>
      <c r="E895"/>
      <c r="F895"/>
      <c r="G895"/>
      <c r="H895"/>
      <c r="I895"/>
      <c r="J895"/>
      <c r="K895"/>
      <c r="L895"/>
      <c r="M895"/>
      <c r="N895"/>
      <c r="O895"/>
      <c r="P895" s="233">
        <f t="shared" si="25"/>
        <v>0</v>
      </c>
      <c r="Q895" s="233"/>
    </row>
    <row r="896" spans="4:17" ht="15.75">
      <c r="D896"/>
      <c r="E896"/>
      <c r="F896"/>
      <c r="G896"/>
      <c r="H896"/>
      <c r="I896"/>
      <c r="J896"/>
      <c r="K896"/>
      <c r="L896"/>
      <c r="M896"/>
      <c r="N896"/>
      <c r="O896"/>
      <c r="P896" s="233">
        <f t="shared" si="25"/>
        <v>0</v>
      </c>
      <c r="Q896" s="233"/>
    </row>
    <row r="897" spans="4:17" ht="15.75">
      <c r="D897"/>
      <c r="E897"/>
      <c r="F897"/>
      <c r="G897"/>
      <c r="H897"/>
      <c r="I897"/>
      <c r="J897"/>
      <c r="K897"/>
      <c r="L897"/>
      <c r="M897"/>
      <c r="N897"/>
      <c r="O897"/>
      <c r="P897" s="233">
        <f t="shared" si="25"/>
        <v>0</v>
      </c>
      <c r="Q897" s="233"/>
    </row>
    <row r="898" spans="4:17" ht="15.75">
      <c r="D898"/>
      <c r="E898"/>
      <c r="F898"/>
      <c r="G898"/>
      <c r="H898"/>
      <c r="I898"/>
      <c r="J898"/>
      <c r="K898"/>
      <c r="L898"/>
      <c r="M898"/>
      <c r="N898"/>
      <c r="O898"/>
      <c r="P898" s="233">
        <f t="shared" si="25"/>
        <v>0</v>
      </c>
      <c r="Q898" s="233"/>
    </row>
    <row r="899" spans="4:17" ht="15.75">
      <c r="D899"/>
      <c r="E899"/>
      <c r="F899"/>
      <c r="G899"/>
      <c r="H899"/>
      <c r="I899"/>
      <c r="J899"/>
      <c r="K899"/>
      <c r="L899"/>
      <c r="M899"/>
      <c r="N899"/>
      <c r="O899"/>
      <c r="P899" s="233">
        <f t="shared" si="25"/>
        <v>0</v>
      </c>
      <c r="Q899" s="233"/>
    </row>
    <row r="900" spans="4:17" ht="15.75">
      <c r="D900"/>
      <c r="E900"/>
      <c r="F900"/>
      <c r="G900"/>
      <c r="H900"/>
      <c r="I900"/>
      <c r="J900"/>
      <c r="K900"/>
      <c r="L900"/>
      <c r="M900"/>
      <c r="N900"/>
      <c r="O900"/>
      <c r="P900" s="233">
        <f t="shared" si="25"/>
        <v>0</v>
      </c>
      <c r="Q900" s="233"/>
    </row>
    <row r="901" spans="4:17" ht="15.75">
      <c r="D901"/>
      <c r="E901"/>
      <c r="F901"/>
      <c r="G901"/>
      <c r="H901"/>
      <c r="I901"/>
      <c r="J901"/>
      <c r="K901"/>
      <c r="L901"/>
      <c r="M901"/>
      <c r="N901"/>
      <c r="O901"/>
      <c r="P901" s="233">
        <f t="shared" si="25"/>
        <v>0</v>
      </c>
      <c r="Q901" s="233"/>
    </row>
    <row r="902" spans="4:17" ht="15.75">
      <c r="D902"/>
      <c r="E902"/>
      <c r="F902"/>
      <c r="G902"/>
      <c r="H902"/>
      <c r="I902"/>
      <c r="J902"/>
      <c r="K902"/>
      <c r="L902"/>
      <c r="M902"/>
      <c r="N902"/>
      <c r="O902"/>
      <c r="P902" s="233">
        <f t="shared" si="25"/>
        <v>0</v>
      </c>
      <c r="Q902" s="233"/>
    </row>
    <row r="903" spans="4:17" ht="15.75">
      <c r="D903"/>
      <c r="E903"/>
      <c r="F903"/>
      <c r="G903"/>
      <c r="H903"/>
      <c r="I903"/>
      <c r="J903"/>
      <c r="K903"/>
      <c r="L903"/>
      <c r="M903"/>
      <c r="N903"/>
      <c r="O903"/>
      <c r="P903" s="233">
        <f t="shared" si="25"/>
        <v>0</v>
      </c>
      <c r="Q903" s="233"/>
    </row>
    <row r="904" spans="4:17" ht="15.75">
      <c r="D904"/>
      <c r="E904"/>
      <c r="F904"/>
      <c r="G904"/>
      <c r="H904"/>
      <c r="I904"/>
      <c r="J904"/>
      <c r="K904"/>
      <c r="L904"/>
      <c r="M904"/>
      <c r="N904"/>
      <c r="O904"/>
      <c r="P904" s="233">
        <f t="shared" si="25"/>
        <v>0</v>
      </c>
      <c r="Q904" s="233"/>
    </row>
    <row r="905" spans="4:17" ht="15.75">
      <c r="D905"/>
      <c r="E905"/>
      <c r="F905"/>
      <c r="G905"/>
      <c r="H905"/>
      <c r="I905"/>
      <c r="J905"/>
      <c r="K905"/>
      <c r="L905"/>
      <c r="M905"/>
      <c r="N905"/>
      <c r="O905"/>
      <c r="P905" s="233">
        <f t="shared" si="25"/>
        <v>0</v>
      </c>
      <c r="Q905" s="233"/>
    </row>
    <row r="906" spans="4:17" ht="15.75">
      <c r="D906"/>
      <c r="E906"/>
      <c r="F906"/>
      <c r="G906"/>
      <c r="H906"/>
      <c r="I906"/>
      <c r="J906"/>
      <c r="K906"/>
      <c r="L906"/>
      <c r="M906"/>
      <c r="N906"/>
      <c r="O906"/>
      <c r="P906" s="233">
        <f t="shared" si="25"/>
        <v>0</v>
      </c>
      <c r="Q906" s="233"/>
    </row>
    <row r="907" spans="4:17" ht="15.75">
      <c r="D907"/>
      <c r="E907"/>
      <c r="F907"/>
      <c r="G907"/>
      <c r="H907"/>
      <c r="I907"/>
      <c r="J907"/>
      <c r="K907"/>
      <c r="L907"/>
      <c r="M907"/>
      <c r="N907"/>
      <c r="O907"/>
      <c r="P907" s="233">
        <f t="shared" si="25"/>
        <v>0</v>
      </c>
      <c r="Q907" s="233"/>
    </row>
    <row r="908" spans="4:17" ht="15.75">
      <c r="D908"/>
      <c r="E908"/>
      <c r="F908"/>
      <c r="G908"/>
      <c r="H908"/>
      <c r="I908"/>
      <c r="J908"/>
      <c r="K908"/>
      <c r="L908"/>
      <c r="M908"/>
      <c r="N908"/>
      <c r="O908"/>
      <c r="P908" s="233">
        <f t="shared" si="25"/>
        <v>0</v>
      </c>
      <c r="Q908" s="233"/>
    </row>
    <row r="909" spans="4:17" ht="15.75">
      <c r="D909"/>
      <c r="E909"/>
      <c r="F909"/>
      <c r="G909"/>
      <c r="H909"/>
      <c r="I909"/>
      <c r="J909"/>
      <c r="K909"/>
      <c r="L909"/>
      <c r="M909"/>
      <c r="N909"/>
      <c r="O909"/>
      <c r="P909" s="233">
        <f t="shared" si="25"/>
        <v>0</v>
      </c>
      <c r="Q909" s="233"/>
    </row>
    <row r="910" spans="4:17" ht="15.75">
      <c r="D910"/>
      <c r="E910"/>
      <c r="F910"/>
      <c r="G910"/>
      <c r="H910"/>
      <c r="I910"/>
      <c r="J910"/>
      <c r="K910"/>
      <c r="L910"/>
      <c r="M910"/>
      <c r="N910"/>
      <c r="O910"/>
      <c r="P910" s="233">
        <f t="shared" ref="P910:P973" si="26">IF(ISNUMBER(Q910),Q910,0)</f>
        <v>0</v>
      </c>
      <c r="Q910" s="233"/>
    </row>
    <row r="911" spans="4:17" ht="15.75">
      <c r="D911"/>
      <c r="E911"/>
      <c r="F911"/>
      <c r="G911"/>
      <c r="H911"/>
      <c r="I911"/>
      <c r="J911"/>
      <c r="K911"/>
      <c r="L911"/>
      <c r="M911"/>
      <c r="N911"/>
      <c r="O911"/>
      <c r="P911" s="233">
        <f t="shared" si="26"/>
        <v>0</v>
      </c>
      <c r="Q911" s="233"/>
    </row>
    <row r="912" spans="4:17" ht="15.75">
      <c r="D912"/>
      <c r="E912"/>
      <c r="F912"/>
      <c r="G912"/>
      <c r="H912"/>
      <c r="I912"/>
      <c r="J912"/>
      <c r="K912"/>
      <c r="L912"/>
      <c r="M912"/>
      <c r="N912"/>
      <c r="O912"/>
      <c r="P912" s="233">
        <f t="shared" si="26"/>
        <v>0</v>
      </c>
      <c r="Q912" s="233"/>
    </row>
    <row r="913" spans="4:17" ht="15.75">
      <c r="D913"/>
      <c r="E913"/>
      <c r="F913"/>
      <c r="G913"/>
      <c r="H913"/>
      <c r="I913"/>
      <c r="J913"/>
      <c r="K913"/>
      <c r="L913"/>
      <c r="M913"/>
      <c r="N913"/>
      <c r="O913"/>
      <c r="P913" s="233">
        <f t="shared" si="26"/>
        <v>0</v>
      </c>
      <c r="Q913" s="233"/>
    </row>
    <row r="914" spans="4:17" ht="15.75">
      <c r="D914"/>
      <c r="E914"/>
      <c r="F914"/>
      <c r="G914"/>
      <c r="H914"/>
      <c r="I914"/>
      <c r="J914"/>
      <c r="K914"/>
      <c r="L914"/>
      <c r="M914"/>
      <c r="N914"/>
      <c r="O914"/>
      <c r="P914" s="233">
        <f t="shared" si="26"/>
        <v>0</v>
      </c>
      <c r="Q914" s="233"/>
    </row>
    <row r="915" spans="4:17" ht="15.75">
      <c r="D915"/>
      <c r="E915"/>
      <c r="F915"/>
      <c r="G915"/>
      <c r="H915"/>
      <c r="I915"/>
      <c r="J915"/>
      <c r="K915"/>
      <c r="L915"/>
      <c r="M915"/>
      <c r="N915"/>
      <c r="O915"/>
      <c r="P915" s="233">
        <f t="shared" si="26"/>
        <v>0</v>
      </c>
      <c r="Q915" s="233"/>
    </row>
    <row r="916" spans="4:17" ht="15.75">
      <c r="D916"/>
      <c r="E916"/>
      <c r="F916"/>
      <c r="G916"/>
      <c r="H916"/>
      <c r="I916"/>
      <c r="J916"/>
      <c r="K916"/>
      <c r="L916"/>
      <c r="M916"/>
      <c r="N916"/>
      <c r="O916"/>
      <c r="P916" s="233">
        <f t="shared" si="26"/>
        <v>0</v>
      </c>
      <c r="Q916" s="233"/>
    </row>
    <row r="917" spans="4:17" ht="15.75">
      <c r="D917"/>
      <c r="E917"/>
      <c r="F917"/>
      <c r="G917"/>
      <c r="H917"/>
      <c r="I917"/>
      <c r="J917"/>
      <c r="K917"/>
      <c r="L917"/>
      <c r="M917"/>
      <c r="N917"/>
      <c r="O917"/>
      <c r="P917" s="233">
        <f t="shared" si="26"/>
        <v>0</v>
      </c>
      <c r="Q917" s="233"/>
    </row>
    <row r="918" spans="4:17" ht="15.75">
      <c r="D918"/>
      <c r="E918"/>
      <c r="F918"/>
      <c r="G918"/>
      <c r="H918"/>
      <c r="I918"/>
      <c r="J918"/>
      <c r="K918"/>
      <c r="L918"/>
      <c r="M918"/>
      <c r="N918"/>
      <c r="O918"/>
      <c r="P918" s="233">
        <f t="shared" si="26"/>
        <v>0</v>
      </c>
      <c r="Q918" s="233"/>
    </row>
    <row r="919" spans="4:17" ht="15.75">
      <c r="D919"/>
      <c r="E919"/>
      <c r="F919"/>
      <c r="G919"/>
      <c r="H919"/>
      <c r="I919"/>
      <c r="J919"/>
      <c r="K919"/>
      <c r="L919"/>
      <c r="M919"/>
      <c r="N919"/>
      <c r="O919"/>
      <c r="P919" s="233">
        <f t="shared" si="26"/>
        <v>0</v>
      </c>
      <c r="Q919" s="233"/>
    </row>
    <row r="920" spans="4:17" ht="15.75">
      <c r="D920"/>
      <c r="E920"/>
      <c r="F920"/>
      <c r="G920"/>
      <c r="H920"/>
      <c r="I920"/>
      <c r="J920"/>
      <c r="K920"/>
      <c r="L920"/>
      <c r="M920"/>
      <c r="N920"/>
      <c r="O920"/>
      <c r="P920" s="233">
        <f t="shared" si="26"/>
        <v>0</v>
      </c>
      <c r="Q920" s="233"/>
    </row>
    <row r="921" spans="4:17" ht="15.75">
      <c r="D921"/>
      <c r="E921"/>
      <c r="F921"/>
      <c r="G921"/>
      <c r="H921"/>
      <c r="I921"/>
      <c r="J921"/>
      <c r="K921"/>
      <c r="L921"/>
      <c r="M921"/>
      <c r="N921"/>
      <c r="O921"/>
      <c r="P921" s="233">
        <f t="shared" si="26"/>
        <v>0</v>
      </c>
      <c r="Q921" s="233"/>
    </row>
    <row r="922" spans="4:17" ht="15.75">
      <c r="D922"/>
      <c r="E922"/>
      <c r="F922"/>
      <c r="G922"/>
      <c r="H922"/>
      <c r="I922"/>
      <c r="J922"/>
      <c r="K922"/>
      <c r="L922"/>
      <c r="M922"/>
      <c r="N922"/>
      <c r="O922"/>
      <c r="P922" s="233">
        <f t="shared" si="26"/>
        <v>0</v>
      </c>
      <c r="Q922" s="233"/>
    </row>
    <row r="923" spans="4:17" ht="15.75">
      <c r="D923"/>
      <c r="E923"/>
      <c r="F923"/>
      <c r="G923"/>
      <c r="H923"/>
      <c r="I923"/>
      <c r="J923"/>
      <c r="K923"/>
      <c r="L923"/>
      <c r="M923"/>
      <c r="N923"/>
      <c r="O923"/>
      <c r="P923" s="233">
        <f t="shared" si="26"/>
        <v>0</v>
      </c>
      <c r="Q923" s="233"/>
    </row>
    <row r="924" spans="4:17" ht="15.75">
      <c r="D924"/>
      <c r="E924"/>
      <c r="F924"/>
      <c r="G924"/>
      <c r="H924"/>
      <c r="I924"/>
      <c r="J924"/>
      <c r="K924"/>
      <c r="L924"/>
      <c r="M924"/>
      <c r="N924"/>
      <c r="O924"/>
      <c r="P924" s="233">
        <f t="shared" si="26"/>
        <v>0</v>
      </c>
      <c r="Q924" s="233"/>
    </row>
    <row r="925" spans="4:17" ht="15.75">
      <c r="D925"/>
      <c r="E925"/>
      <c r="F925"/>
      <c r="G925"/>
      <c r="H925"/>
      <c r="I925"/>
      <c r="J925"/>
      <c r="K925"/>
      <c r="L925"/>
      <c r="M925"/>
      <c r="N925"/>
      <c r="O925"/>
      <c r="P925" s="233">
        <f t="shared" si="26"/>
        <v>0</v>
      </c>
      <c r="Q925" s="233"/>
    </row>
    <row r="926" spans="4:17" ht="15.75">
      <c r="D926"/>
      <c r="E926"/>
      <c r="F926"/>
      <c r="G926"/>
      <c r="H926"/>
      <c r="I926"/>
      <c r="J926"/>
      <c r="K926"/>
      <c r="L926"/>
      <c r="M926"/>
      <c r="N926"/>
      <c r="O926"/>
      <c r="P926" s="233">
        <f t="shared" si="26"/>
        <v>0</v>
      </c>
      <c r="Q926" s="233"/>
    </row>
    <row r="927" spans="4:17" ht="15.75">
      <c r="D927"/>
      <c r="E927"/>
      <c r="F927"/>
      <c r="G927"/>
      <c r="H927"/>
      <c r="I927"/>
      <c r="J927"/>
      <c r="K927"/>
      <c r="L927"/>
      <c r="M927"/>
      <c r="N927"/>
      <c r="O927"/>
      <c r="P927" s="233">
        <f t="shared" si="26"/>
        <v>0</v>
      </c>
      <c r="Q927" s="233"/>
    </row>
    <row r="928" spans="4:17" ht="15.75">
      <c r="D928"/>
      <c r="E928"/>
      <c r="F928"/>
      <c r="G928"/>
      <c r="H928"/>
      <c r="I928"/>
      <c r="J928"/>
      <c r="K928"/>
      <c r="L928"/>
      <c r="M928"/>
      <c r="N928"/>
      <c r="O928"/>
      <c r="P928" s="233">
        <f t="shared" si="26"/>
        <v>0</v>
      </c>
      <c r="Q928" s="233"/>
    </row>
    <row r="929" spans="4:17" ht="15.75">
      <c r="D929"/>
      <c r="E929"/>
      <c r="F929"/>
      <c r="G929"/>
      <c r="H929"/>
      <c r="I929"/>
      <c r="J929"/>
      <c r="K929"/>
      <c r="L929"/>
      <c r="M929"/>
      <c r="N929"/>
      <c r="O929"/>
      <c r="P929" s="233">
        <f t="shared" si="26"/>
        <v>0</v>
      </c>
      <c r="Q929" s="233"/>
    </row>
    <row r="930" spans="4:17" ht="15.75">
      <c r="D930"/>
      <c r="E930"/>
      <c r="F930"/>
      <c r="G930"/>
      <c r="H930"/>
      <c r="I930"/>
      <c r="J930"/>
      <c r="K930"/>
      <c r="L930"/>
      <c r="M930"/>
      <c r="N930"/>
      <c r="O930"/>
      <c r="P930" s="233">
        <f t="shared" si="26"/>
        <v>0</v>
      </c>
      <c r="Q930" s="233"/>
    </row>
    <row r="931" spans="4:17" ht="15.75">
      <c r="D931"/>
      <c r="E931"/>
      <c r="F931"/>
      <c r="G931"/>
      <c r="H931"/>
      <c r="I931"/>
      <c r="J931"/>
      <c r="K931"/>
      <c r="L931"/>
      <c r="M931"/>
      <c r="N931"/>
      <c r="O931"/>
      <c r="P931" s="233">
        <f t="shared" si="26"/>
        <v>0</v>
      </c>
      <c r="Q931" s="233"/>
    </row>
    <row r="932" spans="4:17" ht="15.75">
      <c r="D932"/>
      <c r="E932"/>
      <c r="F932"/>
      <c r="G932"/>
      <c r="H932"/>
      <c r="I932"/>
      <c r="J932"/>
      <c r="K932"/>
      <c r="L932"/>
      <c r="M932"/>
      <c r="N932"/>
      <c r="O932"/>
      <c r="P932" s="233">
        <f t="shared" si="26"/>
        <v>0</v>
      </c>
      <c r="Q932" s="233"/>
    </row>
    <row r="933" spans="4:17" ht="15.75">
      <c r="D933"/>
      <c r="E933"/>
      <c r="F933"/>
      <c r="G933"/>
      <c r="H933"/>
      <c r="I933"/>
      <c r="J933"/>
      <c r="K933"/>
      <c r="L933"/>
      <c r="M933"/>
      <c r="N933"/>
      <c r="O933"/>
      <c r="P933" s="233">
        <f t="shared" si="26"/>
        <v>0</v>
      </c>
      <c r="Q933" s="233"/>
    </row>
    <row r="934" spans="4:17" ht="15.75">
      <c r="D934"/>
      <c r="E934"/>
      <c r="F934"/>
      <c r="G934"/>
      <c r="H934"/>
      <c r="I934"/>
      <c r="J934"/>
      <c r="K934"/>
      <c r="L934"/>
      <c r="M934"/>
      <c r="N934"/>
      <c r="O934"/>
      <c r="P934" s="233">
        <f t="shared" si="26"/>
        <v>0</v>
      </c>
      <c r="Q934" s="233"/>
    </row>
    <row r="935" spans="4:17" ht="15.75">
      <c r="D935"/>
      <c r="E935"/>
      <c r="F935"/>
      <c r="G935"/>
      <c r="H935"/>
      <c r="I935"/>
      <c r="J935"/>
      <c r="K935"/>
      <c r="L935"/>
      <c r="M935"/>
      <c r="N935"/>
      <c r="O935"/>
      <c r="P935" s="233">
        <f t="shared" si="26"/>
        <v>0</v>
      </c>
      <c r="Q935" s="233"/>
    </row>
    <row r="936" spans="4:17" ht="15.75">
      <c r="D936"/>
      <c r="E936"/>
      <c r="F936"/>
      <c r="G936"/>
      <c r="H936"/>
      <c r="I936"/>
      <c r="J936"/>
      <c r="K936"/>
      <c r="L936"/>
      <c r="M936"/>
      <c r="N936"/>
      <c r="O936"/>
      <c r="P936" s="233">
        <f t="shared" si="26"/>
        <v>0</v>
      </c>
      <c r="Q936" s="233"/>
    </row>
    <row r="937" spans="4:17" ht="15.75">
      <c r="D937"/>
      <c r="E937"/>
      <c r="F937"/>
      <c r="G937"/>
      <c r="H937"/>
      <c r="I937"/>
      <c r="J937"/>
      <c r="K937"/>
      <c r="L937"/>
      <c r="M937"/>
      <c r="N937"/>
      <c r="O937"/>
      <c r="P937" s="233">
        <f t="shared" si="26"/>
        <v>0</v>
      </c>
      <c r="Q937" s="233"/>
    </row>
    <row r="938" spans="4:17" ht="15.75">
      <c r="D938"/>
      <c r="E938"/>
      <c r="F938"/>
      <c r="G938"/>
      <c r="H938"/>
      <c r="I938"/>
      <c r="J938"/>
      <c r="K938"/>
      <c r="L938"/>
      <c r="M938"/>
      <c r="N938"/>
      <c r="O938"/>
      <c r="P938" s="233">
        <f t="shared" si="26"/>
        <v>0</v>
      </c>
      <c r="Q938" s="233"/>
    </row>
    <row r="939" spans="4:17" ht="15.75">
      <c r="D939"/>
      <c r="E939"/>
      <c r="F939"/>
      <c r="G939"/>
      <c r="H939"/>
      <c r="I939"/>
      <c r="J939"/>
      <c r="K939"/>
      <c r="L939"/>
      <c r="M939"/>
      <c r="N939"/>
      <c r="O939"/>
      <c r="P939" s="233">
        <f t="shared" si="26"/>
        <v>0</v>
      </c>
      <c r="Q939" s="233"/>
    </row>
    <row r="940" spans="4:17" ht="15.75">
      <c r="D940"/>
      <c r="E940"/>
      <c r="F940"/>
      <c r="G940"/>
      <c r="H940"/>
      <c r="I940"/>
      <c r="J940"/>
      <c r="K940"/>
      <c r="L940"/>
      <c r="M940"/>
      <c r="N940"/>
      <c r="O940"/>
      <c r="P940" s="233">
        <f t="shared" si="26"/>
        <v>0</v>
      </c>
      <c r="Q940" s="233"/>
    </row>
    <row r="941" spans="4:17" ht="15.75">
      <c r="D941"/>
      <c r="E941"/>
      <c r="F941"/>
      <c r="G941"/>
      <c r="H941"/>
      <c r="I941"/>
      <c r="J941"/>
      <c r="K941"/>
      <c r="L941"/>
      <c r="M941"/>
      <c r="N941"/>
      <c r="O941"/>
      <c r="P941" s="233">
        <f t="shared" si="26"/>
        <v>0</v>
      </c>
      <c r="Q941" s="233"/>
    </row>
    <row r="942" spans="4:17" ht="15.75">
      <c r="D942"/>
      <c r="E942"/>
      <c r="F942"/>
      <c r="G942"/>
      <c r="H942"/>
      <c r="I942"/>
      <c r="J942"/>
      <c r="K942"/>
      <c r="L942"/>
      <c r="M942"/>
      <c r="N942"/>
      <c r="O942"/>
      <c r="P942" s="233">
        <f t="shared" si="26"/>
        <v>0</v>
      </c>
      <c r="Q942" s="233"/>
    </row>
    <row r="943" spans="4:17" ht="15.75">
      <c r="D943"/>
      <c r="E943"/>
      <c r="F943"/>
      <c r="G943"/>
      <c r="H943"/>
      <c r="I943"/>
      <c r="J943"/>
      <c r="K943"/>
      <c r="L943"/>
      <c r="M943"/>
      <c r="N943"/>
      <c r="O943"/>
      <c r="P943" s="233">
        <f t="shared" si="26"/>
        <v>0</v>
      </c>
      <c r="Q943" s="233"/>
    </row>
    <row r="944" spans="4:17" ht="15.75">
      <c r="D944"/>
      <c r="E944"/>
      <c r="F944"/>
      <c r="G944"/>
      <c r="H944"/>
      <c r="I944"/>
      <c r="J944"/>
      <c r="K944"/>
      <c r="L944"/>
      <c r="M944"/>
      <c r="N944"/>
      <c r="O944"/>
      <c r="P944" s="233">
        <f t="shared" si="26"/>
        <v>0</v>
      </c>
      <c r="Q944" s="233"/>
    </row>
    <row r="945" spans="4:17" ht="15.75">
      <c r="D945"/>
      <c r="E945"/>
      <c r="F945"/>
      <c r="G945"/>
      <c r="H945"/>
      <c r="I945"/>
      <c r="J945"/>
      <c r="K945"/>
      <c r="L945"/>
      <c r="M945"/>
      <c r="N945"/>
      <c r="O945"/>
      <c r="P945" s="233">
        <f t="shared" si="26"/>
        <v>0</v>
      </c>
      <c r="Q945" s="233"/>
    </row>
    <row r="946" spans="4:17" ht="15.75">
      <c r="D946"/>
      <c r="E946"/>
      <c r="F946"/>
      <c r="G946"/>
      <c r="H946"/>
      <c r="I946"/>
      <c r="J946"/>
      <c r="K946"/>
      <c r="L946"/>
      <c r="M946"/>
      <c r="N946"/>
      <c r="O946"/>
      <c r="P946" s="233">
        <f t="shared" si="26"/>
        <v>0</v>
      </c>
      <c r="Q946" s="233"/>
    </row>
    <row r="947" spans="4:17" ht="15.75">
      <c r="D947"/>
      <c r="E947"/>
      <c r="F947"/>
      <c r="G947"/>
      <c r="H947"/>
      <c r="I947"/>
      <c r="J947"/>
      <c r="K947"/>
      <c r="L947"/>
      <c r="M947"/>
      <c r="N947"/>
      <c r="O947"/>
      <c r="P947" s="233">
        <f t="shared" si="26"/>
        <v>0</v>
      </c>
      <c r="Q947" s="233"/>
    </row>
    <row r="948" spans="4:17" ht="15.75">
      <c r="D948"/>
      <c r="E948"/>
      <c r="F948"/>
      <c r="G948"/>
      <c r="H948"/>
      <c r="I948"/>
      <c r="J948"/>
      <c r="K948"/>
      <c r="L948"/>
      <c r="M948"/>
      <c r="N948"/>
      <c r="O948"/>
      <c r="P948" s="233">
        <f t="shared" si="26"/>
        <v>0</v>
      </c>
      <c r="Q948" s="233"/>
    </row>
    <row r="949" spans="4:17" ht="15.75">
      <c r="D949"/>
      <c r="E949"/>
      <c r="F949"/>
      <c r="G949"/>
      <c r="H949"/>
      <c r="I949"/>
      <c r="J949"/>
      <c r="K949"/>
      <c r="L949"/>
      <c r="M949"/>
      <c r="N949"/>
      <c r="O949"/>
      <c r="P949" s="233">
        <f t="shared" si="26"/>
        <v>0</v>
      </c>
      <c r="Q949" s="233"/>
    </row>
    <row r="950" spans="4:17" ht="15.75">
      <c r="D950"/>
      <c r="E950"/>
      <c r="F950"/>
      <c r="G950"/>
      <c r="H950"/>
      <c r="I950"/>
      <c r="J950"/>
      <c r="K950"/>
      <c r="L950"/>
      <c r="M950"/>
      <c r="N950"/>
      <c r="O950"/>
      <c r="P950" s="233">
        <f t="shared" si="26"/>
        <v>0</v>
      </c>
      <c r="Q950" s="233"/>
    </row>
    <row r="951" spans="4:17" ht="15.75">
      <c r="D951"/>
      <c r="E951"/>
      <c r="F951"/>
      <c r="G951"/>
      <c r="H951"/>
      <c r="I951"/>
      <c r="J951"/>
      <c r="K951"/>
      <c r="L951"/>
      <c r="M951"/>
      <c r="N951"/>
      <c r="O951"/>
      <c r="P951" s="233">
        <f t="shared" si="26"/>
        <v>0</v>
      </c>
      <c r="Q951" s="233"/>
    </row>
    <row r="952" spans="4:17" ht="15.75">
      <c r="D952"/>
      <c r="E952"/>
      <c r="F952"/>
      <c r="G952"/>
      <c r="H952"/>
      <c r="I952"/>
      <c r="J952"/>
      <c r="K952"/>
      <c r="L952"/>
      <c r="M952"/>
      <c r="N952"/>
      <c r="O952"/>
      <c r="P952" s="233">
        <f t="shared" si="26"/>
        <v>0</v>
      </c>
      <c r="Q952" s="233"/>
    </row>
    <row r="953" spans="4:17" ht="15.75">
      <c r="D953"/>
      <c r="E953"/>
      <c r="F953"/>
      <c r="G953"/>
      <c r="H953"/>
      <c r="I953"/>
      <c r="J953"/>
      <c r="K953"/>
      <c r="L953"/>
      <c r="M953"/>
      <c r="N953"/>
      <c r="O953"/>
      <c r="P953" s="233">
        <f t="shared" si="26"/>
        <v>0</v>
      </c>
      <c r="Q953" s="233"/>
    </row>
    <row r="954" spans="4:17" ht="15.75">
      <c r="D954"/>
      <c r="E954"/>
      <c r="F954"/>
      <c r="G954"/>
      <c r="H954"/>
      <c r="I954"/>
      <c r="J954"/>
      <c r="K954"/>
      <c r="L954"/>
      <c r="M954"/>
      <c r="N954"/>
      <c r="O954"/>
      <c r="P954" s="233">
        <f t="shared" si="26"/>
        <v>0</v>
      </c>
      <c r="Q954" s="233"/>
    </row>
    <row r="955" spans="4:17" ht="15.75">
      <c r="D955"/>
      <c r="E955"/>
      <c r="F955"/>
      <c r="G955"/>
      <c r="H955"/>
      <c r="I955"/>
      <c r="J955"/>
      <c r="K955"/>
      <c r="L955"/>
      <c r="M955"/>
      <c r="N955"/>
      <c r="O955"/>
      <c r="P955" s="233">
        <f t="shared" si="26"/>
        <v>0</v>
      </c>
      <c r="Q955" s="233"/>
    </row>
    <row r="956" spans="4:17" ht="15.75">
      <c r="D956"/>
      <c r="E956"/>
      <c r="F956"/>
      <c r="G956"/>
      <c r="H956"/>
      <c r="I956"/>
      <c r="J956"/>
      <c r="K956"/>
      <c r="L956"/>
      <c r="M956"/>
      <c r="N956"/>
      <c r="O956"/>
      <c r="P956" s="233">
        <f t="shared" si="26"/>
        <v>0</v>
      </c>
      <c r="Q956" s="233"/>
    </row>
    <row r="957" spans="4:17" ht="15.75">
      <c r="D957"/>
      <c r="E957"/>
      <c r="F957"/>
      <c r="G957"/>
      <c r="H957"/>
      <c r="I957"/>
      <c r="J957"/>
      <c r="K957"/>
      <c r="L957"/>
      <c r="M957"/>
      <c r="N957"/>
      <c r="O957"/>
      <c r="P957" s="233">
        <f t="shared" si="26"/>
        <v>0</v>
      </c>
      <c r="Q957" s="233"/>
    </row>
    <row r="958" spans="4:17" ht="15.75">
      <c r="D958"/>
      <c r="E958"/>
      <c r="F958"/>
      <c r="G958"/>
      <c r="H958"/>
      <c r="I958"/>
      <c r="J958"/>
      <c r="K958"/>
      <c r="L958"/>
      <c r="M958"/>
      <c r="N958"/>
      <c r="O958"/>
      <c r="P958" s="233">
        <f t="shared" si="26"/>
        <v>0</v>
      </c>
      <c r="Q958" s="233"/>
    </row>
    <row r="959" spans="4:17" ht="15.75">
      <c r="D959"/>
      <c r="E959"/>
      <c r="F959"/>
      <c r="G959"/>
      <c r="H959"/>
      <c r="I959"/>
      <c r="J959"/>
      <c r="K959"/>
      <c r="L959"/>
      <c r="M959"/>
      <c r="N959"/>
      <c r="O959"/>
      <c r="P959" s="233">
        <f t="shared" si="26"/>
        <v>0</v>
      </c>
      <c r="Q959" s="233"/>
    </row>
    <row r="960" spans="4:17" ht="15.75">
      <c r="D960"/>
      <c r="E960"/>
      <c r="F960"/>
      <c r="G960"/>
      <c r="H960"/>
      <c r="I960"/>
      <c r="J960"/>
      <c r="K960"/>
      <c r="L960"/>
      <c r="M960"/>
      <c r="N960"/>
      <c r="O960"/>
      <c r="P960" s="233">
        <f t="shared" si="26"/>
        <v>0</v>
      </c>
      <c r="Q960" s="233"/>
    </row>
    <row r="961" spans="4:17" ht="15.75">
      <c r="D961"/>
      <c r="E961"/>
      <c r="F961"/>
      <c r="G961"/>
      <c r="H961"/>
      <c r="I961"/>
      <c r="J961"/>
      <c r="K961"/>
      <c r="L961"/>
      <c r="M961"/>
      <c r="N961"/>
      <c r="O961"/>
      <c r="P961" s="233">
        <f t="shared" si="26"/>
        <v>0</v>
      </c>
      <c r="Q961" s="233"/>
    </row>
    <row r="962" spans="4:17" ht="15.75">
      <c r="D962"/>
      <c r="E962"/>
      <c r="F962"/>
      <c r="G962"/>
      <c r="H962"/>
      <c r="I962"/>
      <c r="J962"/>
      <c r="K962"/>
      <c r="L962"/>
      <c r="M962"/>
      <c r="N962"/>
      <c r="O962"/>
      <c r="P962" s="233">
        <f t="shared" si="26"/>
        <v>0</v>
      </c>
      <c r="Q962" s="233"/>
    </row>
    <row r="963" spans="4:17" ht="15.75">
      <c r="D963"/>
      <c r="E963"/>
      <c r="F963"/>
      <c r="G963"/>
      <c r="H963"/>
      <c r="I963"/>
      <c r="J963"/>
      <c r="K963"/>
      <c r="L963"/>
      <c r="M963"/>
      <c r="N963"/>
      <c r="O963"/>
      <c r="P963" s="233">
        <f t="shared" si="26"/>
        <v>0</v>
      </c>
      <c r="Q963" s="233"/>
    </row>
    <row r="964" spans="4:17" ht="15.75">
      <c r="D964"/>
      <c r="E964"/>
      <c r="F964"/>
      <c r="G964"/>
      <c r="H964"/>
      <c r="I964"/>
      <c r="J964"/>
      <c r="K964"/>
      <c r="L964"/>
      <c r="M964"/>
      <c r="N964"/>
      <c r="O964"/>
      <c r="P964" s="233">
        <f t="shared" si="26"/>
        <v>0</v>
      </c>
      <c r="Q964" s="233"/>
    </row>
    <row r="965" spans="4:17" ht="15.75">
      <c r="D965"/>
      <c r="E965"/>
      <c r="F965"/>
      <c r="G965"/>
      <c r="H965"/>
      <c r="I965"/>
      <c r="J965"/>
      <c r="K965"/>
      <c r="L965"/>
      <c r="M965"/>
      <c r="N965"/>
      <c r="O965"/>
      <c r="P965" s="233">
        <f t="shared" si="26"/>
        <v>0</v>
      </c>
      <c r="Q965" s="233"/>
    </row>
    <row r="966" spans="4:17" ht="15.75">
      <c r="D966"/>
      <c r="E966"/>
      <c r="F966"/>
      <c r="G966"/>
      <c r="H966"/>
      <c r="I966"/>
      <c r="J966"/>
      <c r="K966"/>
      <c r="L966"/>
      <c r="M966"/>
      <c r="N966"/>
      <c r="O966"/>
      <c r="P966" s="233">
        <f t="shared" si="26"/>
        <v>0</v>
      </c>
      <c r="Q966" s="233"/>
    </row>
    <row r="967" spans="4:17" ht="15.75">
      <c r="D967"/>
      <c r="E967"/>
      <c r="F967"/>
      <c r="G967"/>
      <c r="H967"/>
      <c r="I967"/>
      <c r="J967"/>
      <c r="K967"/>
      <c r="L967"/>
      <c r="M967"/>
      <c r="N967"/>
      <c r="O967"/>
      <c r="P967" s="233">
        <f t="shared" si="26"/>
        <v>0</v>
      </c>
      <c r="Q967" s="233"/>
    </row>
    <row r="968" spans="4:17" ht="15.75">
      <c r="D968"/>
      <c r="E968"/>
      <c r="F968"/>
      <c r="G968"/>
      <c r="H968"/>
      <c r="I968"/>
      <c r="J968"/>
      <c r="K968"/>
      <c r="L968"/>
      <c r="M968"/>
      <c r="N968"/>
      <c r="O968"/>
      <c r="P968" s="233">
        <f t="shared" si="26"/>
        <v>0</v>
      </c>
      <c r="Q968" s="233"/>
    </row>
    <row r="969" spans="4:17" ht="15.75">
      <c r="D969"/>
      <c r="E969"/>
      <c r="F969"/>
      <c r="G969"/>
      <c r="H969"/>
      <c r="I969"/>
      <c r="J969"/>
      <c r="K969"/>
      <c r="L969"/>
      <c r="M969"/>
      <c r="N969"/>
      <c r="O969"/>
      <c r="P969" s="233">
        <f t="shared" si="26"/>
        <v>0</v>
      </c>
      <c r="Q969" s="233"/>
    </row>
    <row r="970" spans="4:17" ht="15.75">
      <c r="D970"/>
      <c r="E970"/>
      <c r="F970"/>
      <c r="G970"/>
      <c r="H970"/>
      <c r="I970"/>
      <c r="J970"/>
      <c r="K970"/>
      <c r="L970"/>
      <c r="M970"/>
      <c r="N970"/>
      <c r="O970"/>
      <c r="P970" s="233">
        <f t="shared" si="26"/>
        <v>0</v>
      </c>
      <c r="Q970" s="233"/>
    </row>
    <row r="971" spans="4:17" ht="15.75">
      <c r="D971"/>
      <c r="E971"/>
      <c r="F971"/>
      <c r="G971"/>
      <c r="H971"/>
      <c r="I971"/>
      <c r="J971"/>
      <c r="K971"/>
      <c r="L971"/>
      <c r="M971"/>
      <c r="N971"/>
      <c r="O971"/>
      <c r="P971" s="233">
        <f t="shared" si="26"/>
        <v>0</v>
      </c>
      <c r="Q971" s="233"/>
    </row>
    <row r="972" spans="4:17" ht="15.75">
      <c r="D972"/>
      <c r="E972"/>
      <c r="F972"/>
      <c r="G972"/>
      <c r="H972"/>
      <c r="I972"/>
      <c r="J972"/>
      <c r="K972"/>
      <c r="L972"/>
      <c r="M972"/>
      <c r="N972"/>
      <c r="O972"/>
      <c r="P972" s="233">
        <f t="shared" si="26"/>
        <v>0</v>
      </c>
      <c r="Q972" s="233"/>
    </row>
    <row r="973" spans="4:17" ht="15.75">
      <c r="D973"/>
      <c r="E973"/>
      <c r="F973"/>
      <c r="G973"/>
      <c r="H973"/>
      <c r="I973"/>
      <c r="J973"/>
      <c r="K973"/>
      <c r="L973"/>
      <c r="M973"/>
      <c r="N973"/>
      <c r="O973"/>
      <c r="P973" s="233">
        <f t="shared" si="26"/>
        <v>0</v>
      </c>
      <c r="Q973" s="233"/>
    </row>
    <row r="974" spans="4:17" ht="15.75">
      <c r="D974"/>
      <c r="E974"/>
      <c r="F974"/>
      <c r="G974"/>
      <c r="H974"/>
      <c r="I974"/>
      <c r="J974"/>
      <c r="K974"/>
      <c r="L974"/>
      <c r="M974"/>
      <c r="N974"/>
      <c r="O974"/>
      <c r="P974" s="233">
        <f t="shared" ref="P974:P1037" si="27">IF(ISNUMBER(Q974),Q974,0)</f>
        <v>0</v>
      </c>
      <c r="Q974" s="233"/>
    </row>
    <row r="975" spans="4:17" ht="15.75">
      <c r="D975"/>
      <c r="E975"/>
      <c r="F975"/>
      <c r="G975"/>
      <c r="H975"/>
      <c r="I975"/>
      <c r="J975"/>
      <c r="K975"/>
      <c r="L975"/>
      <c r="M975"/>
      <c r="N975"/>
      <c r="O975"/>
      <c r="P975" s="233">
        <f t="shared" si="27"/>
        <v>0</v>
      </c>
      <c r="Q975" s="233"/>
    </row>
    <row r="976" spans="4:17" ht="15.75">
      <c r="D976"/>
      <c r="E976"/>
      <c r="F976"/>
      <c r="G976"/>
      <c r="H976"/>
      <c r="I976"/>
      <c r="J976"/>
      <c r="K976"/>
      <c r="L976"/>
      <c r="M976"/>
      <c r="N976"/>
      <c r="O976"/>
      <c r="P976" s="233">
        <f t="shared" si="27"/>
        <v>0</v>
      </c>
      <c r="Q976" s="233"/>
    </row>
    <row r="977" spans="4:17" ht="15.75">
      <c r="D977"/>
      <c r="E977"/>
      <c r="F977"/>
      <c r="G977"/>
      <c r="H977"/>
      <c r="I977"/>
      <c r="J977"/>
      <c r="K977"/>
      <c r="L977"/>
      <c r="M977"/>
      <c r="N977"/>
      <c r="O977"/>
      <c r="P977" s="233">
        <f t="shared" si="27"/>
        <v>0</v>
      </c>
      <c r="Q977" s="233"/>
    </row>
    <row r="978" spans="4:17" ht="15.75">
      <c r="D978"/>
      <c r="E978"/>
      <c r="F978"/>
      <c r="G978"/>
      <c r="H978"/>
      <c r="I978"/>
      <c r="J978"/>
      <c r="K978"/>
      <c r="L978"/>
      <c r="M978"/>
      <c r="N978"/>
      <c r="O978"/>
      <c r="P978" s="233">
        <f t="shared" si="27"/>
        <v>0</v>
      </c>
      <c r="Q978" s="233"/>
    </row>
    <row r="979" spans="4:17" ht="15.75">
      <c r="D979"/>
      <c r="E979"/>
      <c r="F979"/>
      <c r="G979"/>
      <c r="H979"/>
      <c r="I979"/>
      <c r="J979"/>
      <c r="K979"/>
      <c r="L979"/>
      <c r="M979"/>
      <c r="N979"/>
      <c r="O979"/>
      <c r="P979" s="233">
        <f t="shared" si="27"/>
        <v>0</v>
      </c>
      <c r="Q979" s="233"/>
    </row>
    <row r="980" spans="4:17" ht="15.75">
      <c r="D980"/>
      <c r="E980"/>
      <c r="F980"/>
      <c r="G980"/>
      <c r="H980"/>
      <c r="I980"/>
      <c r="J980"/>
      <c r="K980"/>
      <c r="L980"/>
      <c r="M980"/>
      <c r="N980"/>
      <c r="O980"/>
      <c r="P980" s="233">
        <f t="shared" si="27"/>
        <v>0</v>
      </c>
      <c r="Q980" s="233"/>
    </row>
    <row r="981" spans="4:17" ht="15.75">
      <c r="D981"/>
      <c r="E981"/>
      <c r="F981"/>
      <c r="G981"/>
      <c r="H981"/>
      <c r="I981"/>
      <c r="J981"/>
      <c r="K981"/>
      <c r="L981"/>
      <c r="M981"/>
      <c r="N981"/>
      <c r="O981"/>
      <c r="P981" s="233">
        <f t="shared" si="27"/>
        <v>0</v>
      </c>
      <c r="Q981" s="233"/>
    </row>
    <row r="982" spans="4:17" ht="15.75">
      <c r="D982"/>
      <c r="E982"/>
      <c r="F982"/>
      <c r="G982"/>
      <c r="H982"/>
      <c r="I982"/>
      <c r="J982"/>
      <c r="K982"/>
      <c r="L982"/>
      <c r="M982"/>
      <c r="N982"/>
      <c r="O982"/>
      <c r="P982" s="233">
        <f t="shared" si="27"/>
        <v>0</v>
      </c>
      <c r="Q982" s="233"/>
    </row>
    <row r="983" spans="4:17" ht="15.75">
      <c r="D983"/>
      <c r="E983"/>
      <c r="F983"/>
      <c r="G983"/>
      <c r="H983"/>
      <c r="I983"/>
      <c r="J983"/>
      <c r="K983"/>
      <c r="L983"/>
      <c r="M983"/>
      <c r="N983"/>
      <c r="O983"/>
      <c r="P983" s="233">
        <f t="shared" si="27"/>
        <v>0</v>
      </c>
      <c r="Q983" s="233"/>
    </row>
    <row r="984" spans="4:17" ht="15.75">
      <c r="D984"/>
      <c r="E984"/>
      <c r="F984"/>
      <c r="G984"/>
      <c r="H984"/>
      <c r="I984"/>
      <c r="J984"/>
      <c r="K984"/>
      <c r="L984"/>
      <c r="M984"/>
      <c r="N984"/>
      <c r="O984"/>
      <c r="P984" s="233">
        <f t="shared" si="27"/>
        <v>0</v>
      </c>
      <c r="Q984" s="233"/>
    </row>
    <row r="985" spans="4:17" ht="15.75">
      <c r="D985"/>
      <c r="E985"/>
      <c r="F985"/>
      <c r="G985"/>
      <c r="H985"/>
      <c r="I985"/>
      <c r="J985"/>
      <c r="K985"/>
      <c r="L985"/>
      <c r="M985"/>
      <c r="N985"/>
      <c r="O985"/>
      <c r="P985" s="233">
        <f t="shared" si="27"/>
        <v>0</v>
      </c>
      <c r="Q985" s="233"/>
    </row>
    <row r="986" spans="4:17" ht="15.75">
      <c r="D986"/>
      <c r="E986"/>
      <c r="F986"/>
      <c r="G986"/>
      <c r="H986"/>
      <c r="I986"/>
      <c r="J986"/>
      <c r="K986"/>
      <c r="L986"/>
      <c r="M986"/>
      <c r="N986"/>
      <c r="O986"/>
      <c r="P986" s="233">
        <f t="shared" si="27"/>
        <v>0</v>
      </c>
      <c r="Q986" s="233"/>
    </row>
    <row r="987" spans="4:17" ht="15.75">
      <c r="D987"/>
      <c r="E987"/>
      <c r="F987"/>
      <c r="G987"/>
      <c r="H987"/>
      <c r="I987"/>
      <c r="J987"/>
      <c r="K987"/>
      <c r="L987"/>
      <c r="M987"/>
      <c r="N987"/>
      <c r="O987"/>
      <c r="P987" s="233">
        <f t="shared" si="27"/>
        <v>0</v>
      </c>
      <c r="Q987" s="233"/>
    </row>
    <row r="988" spans="4:17" ht="15.75">
      <c r="D988"/>
      <c r="E988"/>
      <c r="F988"/>
      <c r="G988"/>
      <c r="H988"/>
      <c r="I988"/>
      <c r="J988"/>
      <c r="K988"/>
      <c r="L988"/>
      <c r="M988"/>
      <c r="N988"/>
      <c r="O988"/>
      <c r="P988" s="233">
        <f t="shared" si="27"/>
        <v>0</v>
      </c>
      <c r="Q988" s="233"/>
    </row>
    <row r="989" spans="4:17" ht="15.75">
      <c r="D989"/>
      <c r="E989"/>
      <c r="F989"/>
      <c r="G989"/>
      <c r="H989"/>
      <c r="I989"/>
      <c r="J989"/>
      <c r="K989"/>
      <c r="L989"/>
      <c r="M989"/>
      <c r="N989"/>
      <c r="O989"/>
      <c r="P989" s="233">
        <f t="shared" si="27"/>
        <v>0</v>
      </c>
      <c r="Q989" s="233"/>
    </row>
    <row r="990" spans="4:17" ht="15.75">
      <c r="D990"/>
      <c r="E990"/>
      <c r="F990"/>
      <c r="G990"/>
      <c r="H990"/>
      <c r="I990"/>
      <c r="J990"/>
      <c r="K990"/>
      <c r="L990"/>
      <c r="M990"/>
      <c r="N990"/>
      <c r="O990"/>
      <c r="P990" s="233">
        <f t="shared" si="27"/>
        <v>0</v>
      </c>
      <c r="Q990" s="233"/>
    </row>
    <row r="991" spans="4:17" ht="15.75">
      <c r="D991"/>
      <c r="E991"/>
      <c r="F991"/>
      <c r="G991"/>
      <c r="H991"/>
      <c r="I991"/>
      <c r="J991"/>
      <c r="K991"/>
      <c r="L991"/>
      <c r="M991"/>
      <c r="N991"/>
      <c r="O991"/>
      <c r="P991" s="233">
        <f t="shared" si="27"/>
        <v>0</v>
      </c>
      <c r="Q991" s="233"/>
    </row>
    <row r="992" spans="4:17" ht="15.75">
      <c r="D992"/>
      <c r="E992"/>
      <c r="F992"/>
      <c r="G992"/>
      <c r="H992"/>
      <c r="I992"/>
      <c r="J992"/>
      <c r="K992"/>
      <c r="L992"/>
      <c r="M992"/>
      <c r="N992"/>
      <c r="O992"/>
      <c r="P992" s="233">
        <f t="shared" si="27"/>
        <v>0</v>
      </c>
      <c r="Q992" s="233"/>
    </row>
    <row r="993" spans="4:17" ht="15.75">
      <c r="D993"/>
      <c r="E993"/>
      <c r="F993"/>
      <c r="G993"/>
      <c r="H993"/>
      <c r="I993"/>
      <c r="J993"/>
      <c r="K993"/>
      <c r="L993"/>
      <c r="M993"/>
      <c r="N993"/>
      <c r="O993"/>
      <c r="P993" s="233">
        <f t="shared" si="27"/>
        <v>0</v>
      </c>
      <c r="Q993" s="233"/>
    </row>
    <row r="994" spans="4:17" ht="15.75">
      <c r="D994"/>
      <c r="E994"/>
      <c r="F994"/>
      <c r="G994"/>
      <c r="H994"/>
      <c r="I994"/>
      <c r="J994"/>
      <c r="K994"/>
      <c r="L994"/>
      <c r="M994"/>
      <c r="N994"/>
      <c r="O994"/>
      <c r="P994" s="233">
        <f t="shared" si="27"/>
        <v>0</v>
      </c>
      <c r="Q994" s="233"/>
    </row>
    <row r="995" spans="4:17" ht="15.75">
      <c r="D995"/>
      <c r="E995"/>
      <c r="F995"/>
      <c r="G995"/>
      <c r="H995"/>
      <c r="I995"/>
      <c r="J995"/>
      <c r="K995"/>
      <c r="L995"/>
      <c r="M995"/>
      <c r="N995"/>
      <c r="O995"/>
      <c r="P995" s="233">
        <f t="shared" si="27"/>
        <v>0</v>
      </c>
      <c r="Q995" s="233"/>
    </row>
    <row r="996" spans="4:17" ht="15.75">
      <c r="D996"/>
      <c r="E996"/>
      <c r="F996"/>
      <c r="G996"/>
      <c r="H996"/>
      <c r="I996"/>
      <c r="J996"/>
      <c r="K996"/>
      <c r="L996"/>
      <c r="M996"/>
      <c r="N996"/>
      <c r="O996"/>
      <c r="P996" s="233">
        <f t="shared" si="27"/>
        <v>0</v>
      </c>
      <c r="Q996" s="233"/>
    </row>
    <row r="997" spans="4:17" ht="15.75">
      <c r="D997"/>
      <c r="E997"/>
      <c r="F997"/>
      <c r="G997"/>
      <c r="H997"/>
      <c r="I997"/>
      <c r="J997"/>
      <c r="K997"/>
      <c r="L997"/>
      <c r="M997"/>
      <c r="N997"/>
      <c r="O997"/>
      <c r="P997" s="233">
        <f t="shared" si="27"/>
        <v>0</v>
      </c>
      <c r="Q997" s="233"/>
    </row>
    <row r="998" spans="4:17" ht="15.75">
      <c r="D998"/>
      <c r="E998"/>
      <c r="F998"/>
      <c r="G998"/>
      <c r="H998"/>
      <c r="I998"/>
      <c r="J998"/>
      <c r="K998"/>
      <c r="L998"/>
      <c r="M998"/>
      <c r="N998"/>
      <c r="O998"/>
      <c r="P998" s="233">
        <f t="shared" si="27"/>
        <v>0</v>
      </c>
      <c r="Q998" s="233"/>
    </row>
    <row r="999" spans="4:17" ht="15.75">
      <c r="D999"/>
      <c r="E999"/>
      <c r="F999"/>
      <c r="G999"/>
      <c r="H999"/>
      <c r="I999"/>
      <c r="J999"/>
      <c r="K999"/>
      <c r="L999"/>
      <c r="M999"/>
      <c r="N999"/>
      <c r="O999"/>
      <c r="P999" s="233">
        <f t="shared" si="27"/>
        <v>0</v>
      </c>
      <c r="Q999" s="233"/>
    </row>
    <row r="1000" spans="4:17" ht="15.75">
      <c r="D1000"/>
      <c r="E1000"/>
      <c r="F1000"/>
      <c r="G1000"/>
      <c r="H1000"/>
      <c r="I1000"/>
      <c r="J1000"/>
      <c r="K1000"/>
      <c r="L1000"/>
      <c r="M1000"/>
      <c r="N1000"/>
      <c r="O1000"/>
      <c r="P1000" s="233">
        <f t="shared" si="27"/>
        <v>0</v>
      </c>
      <c r="Q1000" s="233"/>
    </row>
    <row r="1001" spans="4:17" ht="15.75">
      <c r="D1001"/>
      <c r="E1001"/>
      <c r="F1001"/>
      <c r="G1001"/>
      <c r="H1001"/>
      <c r="I1001"/>
      <c r="J1001"/>
      <c r="K1001"/>
      <c r="L1001"/>
      <c r="M1001"/>
      <c r="N1001"/>
      <c r="O1001"/>
      <c r="P1001" s="233">
        <f t="shared" si="27"/>
        <v>0</v>
      </c>
      <c r="Q1001" s="233"/>
    </row>
    <row r="1002" spans="4:17" ht="15.75">
      <c r="D1002"/>
      <c r="E1002"/>
      <c r="F1002"/>
      <c r="G1002"/>
      <c r="H1002"/>
      <c r="I1002"/>
      <c r="J1002"/>
      <c r="K1002"/>
      <c r="L1002"/>
      <c r="M1002"/>
      <c r="N1002"/>
      <c r="O1002"/>
      <c r="P1002" s="233">
        <f t="shared" si="27"/>
        <v>0</v>
      </c>
      <c r="Q1002" s="233"/>
    </row>
    <row r="1003" spans="4:17" ht="15.75">
      <c r="D1003"/>
      <c r="E1003"/>
      <c r="F1003"/>
      <c r="G1003"/>
      <c r="H1003"/>
      <c r="I1003"/>
      <c r="J1003"/>
      <c r="K1003"/>
      <c r="L1003"/>
      <c r="M1003"/>
      <c r="N1003"/>
      <c r="O1003"/>
      <c r="P1003" s="233">
        <f t="shared" si="27"/>
        <v>0</v>
      </c>
      <c r="Q1003" s="233"/>
    </row>
    <row r="1004" spans="4:17" ht="15.75">
      <c r="D1004"/>
      <c r="E1004"/>
      <c r="F1004"/>
      <c r="G1004"/>
      <c r="H1004"/>
      <c r="I1004"/>
      <c r="J1004"/>
      <c r="K1004"/>
      <c r="L1004"/>
      <c r="M1004"/>
      <c r="N1004"/>
      <c r="O1004"/>
      <c r="P1004" s="233">
        <f t="shared" si="27"/>
        <v>0</v>
      </c>
      <c r="Q1004" s="233"/>
    </row>
    <row r="1005" spans="4:17" ht="15.75">
      <c r="D1005"/>
      <c r="E1005"/>
      <c r="F1005"/>
      <c r="G1005"/>
      <c r="H1005"/>
      <c r="I1005"/>
      <c r="J1005"/>
      <c r="K1005"/>
      <c r="L1005"/>
      <c r="M1005"/>
      <c r="N1005"/>
      <c r="O1005"/>
      <c r="P1005" s="233">
        <f t="shared" si="27"/>
        <v>0</v>
      </c>
      <c r="Q1005" s="233"/>
    </row>
    <row r="1006" spans="4:17" ht="15.75">
      <c r="D1006"/>
      <c r="E1006"/>
      <c r="F1006"/>
      <c r="G1006"/>
      <c r="H1006"/>
      <c r="I1006"/>
      <c r="J1006"/>
      <c r="K1006"/>
      <c r="L1006"/>
      <c r="M1006"/>
      <c r="N1006"/>
      <c r="O1006"/>
      <c r="P1006" s="233">
        <f t="shared" si="27"/>
        <v>0</v>
      </c>
      <c r="Q1006" s="233"/>
    </row>
    <row r="1007" spans="4:17" ht="15.75">
      <c r="D1007"/>
      <c r="E1007"/>
      <c r="F1007"/>
      <c r="G1007"/>
      <c r="H1007"/>
      <c r="I1007"/>
      <c r="J1007"/>
      <c r="K1007"/>
      <c r="L1007"/>
      <c r="M1007"/>
      <c r="N1007"/>
      <c r="O1007"/>
      <c r="P1007" s="233">
        <f t="shared" si="27"/>
        <v>0</v>
      </c>
      <c r="Q1007" s="233"/>
    </row>
    <row r="1008" spans="4:17" ht="15.75">
      <c r="D1008"/>
      <c r="E1008"/>
      <c r="F1008"/>
      <c r="G1008"/>
      <c r="H1008"/>
      <c r="I1008"/>
      <c r="J1008"/>
      <c r="K1008"/>
      <c r="L1008"/>
      <c r="M1008"/>
      <c r="N1008"/>
      <c r="O1008"/>
      <c r="P1008" s="233">
        <f t="shared" si="27"/>
        <v>0</v>
      </c>
      <c r="Q1008" s="233"/>
    </row>
    <row r="1009" spans="4:17" ht="15.75">
      <c r="D1009"/>
      <c r="E1009"/>
      <c r="F1009"/>
      <c r="G1009"/>
      <c r="H1009"/>
      <c r="I1009"/>
      <c r="J1009"/>
      <c r="K1009"/>
      <c r="L1009"/>
      <c r="M1009"/>
      <c r="N1009"/>
      <c r="O1009"/>
      <c r="P1009" s="233">
        <f t="shared" si="27"/>
        <v>0</v>
      </c>
      <c r="Q1009" s="233"/>
    </row>
    <row r="1010" spans="4:17" ht="15.75">
      <c r="D1010"/>
      <c r="E1010"/>
      <c r="F1010"/>
      <c r="G1010"/>
      <c r="H1010"/>
      <c r="I1010"/>
      <c r="J1010"/>
      <c r="K1010"/>
      <c r="L1010"/>
      <c r="M1010"/>
      <c r="N1010"/>
      <c r="O1010"/>
      <c r="P1010" s="233">
        <f t="shared" si="27"/>
        <v>0</v>
      </c>
      <c r="Q1010" s="233"/>
    </row>
    <row r="1011" spans="4:17" ht="15.75">
      <c r="D1011"/>
      <c r="E1011"/>
      <c r="F1011"/>
      <c r="G1011"/>
      <c r="H1011"/>
      <c r="I1011"/>
      <c r="J1011"/>
      <c r="K1011"/>
      <c r="L1011"/>
      <c r="M1011"/>
      <c r="N1011"/>
      <c r="O1011"/>
      <c r="P1011" s="233">
        <f t="shared" si="27"/>
        <v>0</v>
      </c>
      <c r="Q1011" s="233"/>
    </row>
    <row r="1012" spans="4:17" ht="15.75">
      <c r="D1012"/>
      <c r="E1012"/>
      <c r="F1012"/>
      <c r="G1012"/>
      <c r="H1012"/>
      <c r="I1012"/>
      <c r="J1012"/>
      <c r="K1012"/>
      <c r="L1012"/>
      <c r="M1012"/>
      <c r="N1012"/>
      <c r="O1012"/>
      <c r="P1012" s="233">
        <f t="shared" si="27"/>
        <v>0</v>
      </c>
      <c r="Q1012" s="233"/>
    </row>
    <row r="1013" spans="4:17" ht="15.75">
      <c r="D1013"/>
      <c r="E1013"/>
      <c r="F1013"/>
      <c r="G1013"/>
      <c r="H1013"/>
      <c r="I1013"/>
      <c r="J1013"/>
      <c r="K1013"/>
      <c r="L1013"/>
      <c r="M1013"/>
      <c r="N1013"/>
      <c r="O1013"/>
      <c r="P1013" s="233">
        <f t="shared" si="27"/>
        <v>0</v>
      </c>
      <c r="Q1013" s="233"/>
    </row>
    <row r="1014" spans="4:17" ht="15.75">
      <c r="D1014"/>
      <c r="E1014"/>
      <c r="F1014"/>
      <c r="G1014"/>
      <c r="H1014"/>
      <c r="I1014"/>
      <c r="J1014"/>
      <c r="K1014"/>
      <c r="L1014"/>
      <c r="M1014"/>
      <c r="N1014"/>
      <c r="O1014"/>
      <c r="P1014" s="233">
        <f t="shared" si="27"/>
        <v>0</v>
      </c>
      <c r="Q1014" s="233"/>
    </row>
    <row r="1015" spans="4:17" ht="15.75">
      <c r="D1015"/>
      <c r="E1015"/>
      <c r="F1015"/>
      <c r="G1015"/>
      <c r="H1015"/>
      <c r="I1015"/>
      <c r="J1015"/>
      <c r="K1015"/>
      <c r="L1015"/>
      <c r="M1015"/>
      <c r="N1015"/>
      <c r="O1015"/>
      <c r="P1015" s="233">
        <f t="shared" si="27"/>
        <v>0</v>
      </c>
      <c r="Q1015" s="233"/>
    </row>
    <row r="1016" spans="4:17" ht="15.75">
      <c r="D1016"/>
      <c r="E1016"/>
      <c r="F1016"/>
      <c r="G1016"/>
      <c r="H1016"/>
      <c r="I1016"/>
      <c r="J1016"/>
      <c r="K1016"/>
      <c r="L1016"/>
      <c r="M1016"/>
      <c r="N1016"/>
      <c r="O1016"/>
      <c r="P1016" s="233">
        <f t="shared" si="27"/>
        <v>0</v>
      </c>
      <c r="Q1016" s="233"/>
    </row>
    <row r="1017" spans="4:17" ht="15.75">
      <c r="D1017"/>
      <c r="E1017"/>
      <c r="F1017"/>
      <c r="G1017"/>
      <c r="H1017"/>
      <c r="I1017"/>
      <c r="J1017"/>
      <c r="K1017"/>
      <c r="L1017"/>
      <c r="M1017"/>
      <c r="N1017"/>
      <c r="O1017"/>
      <c r="P1017" s="233">
        <f t="shared" si="27"/>
        <v>0</v>
      </c>
      <c r="Q1017" s="233"/>
    </row>
    <row r="1018" spans="4:17" ht="15.75">
      <c r="D1018"/>
      <c r="E1018"/>
      <c r="F1018"/>
      <c r="G1018"/>
      <c r="H1018"/>
      <c r="I1018"/>
      <c r="J1018"/>
      <c r="K1018"/>
      <c r="L1018"/>
      <c r="M1018"/>
      <c r="N1018"/>
      <c r="O1018"/>
      <c r="P1018" s="233">
        <f t="shared" si="27"/>
        <v>0</v>
      </c>
      <c r="Q1018" s="233"/>
    </row>
    <row r="1019" spans="4:17" ht="15.75">
      <c r="D1019"/>
      <c r="E1019"/>
      <c r="F1019"/>
      <c r="G1019"/>
      <c r="H1019"/>
      <c r="I1019"/>
      <c r="J1019"/>
      <c r="K1019"/>
      <c r="L1019"/>
      <c r="M1019"/>
      <c r="N1019"/>
      <c r="O1019"/>
      <c r="P1019" s="233">
        <f t="shared" si="27"/>
        <v>0</v>
      </c>
      <c r="Q1019" s="233"/>
    </row>
    <row r="1020" spans="4:17" ht="15.75">
      <c r="D1020"/>
      <c r="E1020"/>
      <c r="F1020"/>
      <c r="G1020"/>
      <c r="H1020"/>
      <c r="I1020"/>
      <c r="J1020"/>
      <c r="K1020"/>
      <c r="L1020"/>
      <c r="M1020"/>
      <c r="N1020"/>
      <c r="O1020"/>
      <c r="P1020" s="233">
        <f t="shared" si="27"/>
        <v>0</v>
      </c>
      <c r="Q1020" s="233"/>
    </row>
    <row r="1021" spans="4:17" ht="15.75">
      <c r="D1021"/>
      <c r="E1021"/>
      <c r="F1021"/>
      <c r="G1021"/>
      <c r="H1021"/>
      <c r="I1021"/>
      <c r="J1021"/>
      <c r="K1021"/>
      <c r="L1021"/>
      <c r="M1021"/>
      <c r="N1021"/>
      <c r="O1021"/>
      <c r="P1021" s="233">
        <f t="shared" si="27"/>
        <v>0</v>
      </c>
      <c r="Q1021" s="233"/>
    </row>
    <row r="1022" spans="4:17" ht="15.75">
      <c r="D1022"/>
      <c r="E1022"/>
      <c r="F1022"/>
      <c r="G1022"/>
      <c r="H1022"/>
      <c r="I1022"/>
      <c r="J1022"/>
      <c r="K1022"/>
      <c r="L1022"/>
      <c r="M1022"/>
      <c r="N1022"/>
      <c r="O1022"/>
      <c r="P1022" s="233">
        <f t="shared" si="27"/>
        <v>0</v>
      </c>
      <c r="Q1022" s="233"/>
    </row>
    <row r="1023" spans="4:17" ht="15.75">
      <c r="D1023"/>
      <c r="E1023"/>
      <c r="F1023"/>
      <c r="G1023"/>
      <c r="H1023"/>
      <c r="I1023"/>
      <c r="J1023"/>
      <c r="K1023"/>
      <c r="L1023"/>
      <c r="M1023"/>
      <c r="N1023"/>
      <c r="O1023"/>
      <c r="P1023" s="233">
        <f t="shared" si="27"/>
        <v>0</v>
      </c>
      <c r="Q1023" s="233"/>
    </row>
    <row r="1024" spans="4:17" ht="15.75">
      <c r="D1024"/>
      <c r="E1024"/>
      <c r="F1024"/>
      <c r="G1024"/>
      <c r="H1024"/>
      <c r="I1024"/>
      <c r="J1024"/>
      <c r="K1024"/>
      <c r="L1024"/>
      <c r="M1024"/>
      <c r="N1024"/>
      <c r="O1024"/>
      <c r="P1024" s="233">
        <f t="shared" si="27"/>
        <v>0</v>
      </c>
      <c r="Q1024" s="233"/>
    </row>
    <row r="1025" spans="4:17" ht="15.75">
      <c r="D1025"/>
      <c r="E1025"/>
      <c r="F1025"/>
      <c r="G1025"/>
      <c r="H1025"/>
      <c r="I1025"/>
      <c r="J1025"/>
      <c r="K1025"/>
      <c r="L1025"/>
      <c r="M1025"/>
      <c r="N1025"/>
      <c r="O1025"/>
      <c r="P1025" s="233">
        <f t="shared" si="27"/>
        <v>0</v>
      </c>
      <c r="Q1025" s="233"/>
    </row>
    <row r="1026" spans="4:17" ht="15.75">
      <c r="D1026"/>
      <c r="E1026"/>
      <c r="F1026"/>
      <c r="G1026"/>
      <c r="H1026"/>
      <c r="I1026"/>
      <c r="J1026"/>
      <c r="K1026"/>
      <c r="L1026"/>
      <c r="M1026"/>
      <c r="N1026"/>
      <c r="O1026"/>
      <c r="P1026" s="233">
        <f t="shared" si="27"/>
        <v>0</v>
      </c>
      <c r="Q1026" s="233"/>
    </row>
    <row r="1027" spans="4:17" ht="15.75">
      <c r="D1027"/>
      <c r="E1027"/>
      <c r="F1027"/>
      <c r="G1027"/>
      <c r="H1027"/>
      <c r="I1027"/>
      <c r="J1027"/>
      <c r="K1027"/>
      <c r="L1027"/>
      <c r="M1027"/>
      <c r="N1027"/>
      <c r="O1027"/>
      <c r="P1027" s="233">
        <f t="shared" si="27"/>
        <v>0</v>
      </c>
      <c r="Q1027" s="233"/>
    </row>
    <row r="1028" spans="4:17" ht="15.75">
      <c r="D1028"/>
      <c r="E1028"/>
      <c r="F1028"/>
      <c r="G1028"/>
      <c r="H1028"/>
      <c r="I1028"/>
      <c r="J1028"/>
      <c r="K1028"/>
      <c r="L1028"/>
      <c r="M1028"/>
      <c r="N1028"/>
      <c r="O1028"/>
      <c r="P1028" s="233">
        <f t="shared" si="27"/>
        <v>0</v>
      </c>
      <c r="Q1028" s="233"/>
    </row>
    <row r="1029" spans="4:17" ht="15.75">
      <c r="D1029"/>
      <c r="E1029"/>
      <c r="F1029"/>
      <c r="G1029"/>
      <c r="H1029"/>
      <c r="I1029"/>
      <c r="J1029"/>
      <c r="K1029"/>
      <c r="L1029"/>
      <c r="M1029"/>
      <c r="N1029"/>
      <c r="O1029"/>
      <c r="P1029" s="233">
        <f t="shared" si="27"/>
        <v>0</v>
      </c>
      <c r="Q1029" s="233"/>
    </row>
    <row r="1030" spans="4:17" ht="15.75">
      <c r="D1030"/>
      <c r="E1030"/>
      <c r="F1030"/>
      <c r="G1030"/>
      <c r="H1030"/>
      <c r="I1030"/>
      <c r="J1030"/>
      <c r="K1030"/>
      <c r="L1030"/>
      <c r="M1030"/>
      <c r="N1030"/>
      <c r="O1030"/>
      <c r="P1030" s="233">
        <f t="shared" si="27"/>
        <v>0</v>
      </c>
      <c r="Q1030" s="233"/>
    </row>
    <row r="1031" spans="4:17" ht="15.75">
      <c r="D1031"/>
      <c r="E1031"/>
      <c r="F1031"/>
      <c r="G1031"/>
      <c r="H1031"/>
      <c r="I1031"/>
      <c r="J1031"/>
      <c r="K1031"/>
      <c r="L1031"/>
      <c r="M1031"/>
      <c r="N1031"/>
      <c r="O1031"/>
      <c r="P1031" s="233">
        <f t="shared" si="27"/>
        <v>0</v>
      </c>
      <c r="Q1031" s="233"/>
    </row>
    <row r="1032" spans="4:17" ht="15.75">
      <c r="D1032"/>
      <c r="E1032"/>
      <c r="F1032"/>
      <c r="G1032"/>
      <c r="H1032"/>
      <c r="I1032"/>
      <c r="J1032"/>
      <c r="K1032"/>
      <c r="L1032"/>
      <c r="M1032"/>
      <c r="N1032"/>
      <c r="O1032"/>
      <c r="P1032" s="233">
        <f t="shared" si="27"/>
        <v>0</v>
      </c>
      <c r="Q1032" s="233"/>
    </row>
    <row r="1033" spans="4:17" ht="15.75">
      <c r="D1033"/>
      <c r="E1033"/>
      <c r="F1033"/>
      <c r="G1033"/>
      <c r="H1033"/>
      <c r="I1033"/>
      <c r="J1033"/>
      <c r="K1033"/>
      <c r="L1033"/>
      <c r="M1033"/>
      <c r="N1033"/>
      <c r="O1033"/>
      <c r="P1033" s="233">
        <f t="shared" si="27"/>
        <v>0</v>
      </c>
      <c r="Q1033" s="233"/>
    </row>
    <row r="1034" spans="4:17" ht="15.75">
      <c r="D1034"/>
      <c r="E1034"/>
      <c r="F1034"/>
      <c r="G1034"/>
      <c r="H1034"/>
      <c r="I1034"/>
      <c r="J1034"/>
      <c r="K1034"/>
      <c r="L1034"/>
      <c r="M1034"/>
      <c r="N1034"/>
      <c r="O1034"/>
      <c r="P1034" s="233">
        <f t="shared" si="27"/>
        <v>0</v>
      </c>
      <c r="Q1034" s="233"/>
    </row>
    <row r="1035" spans="4:17" ht="15.75">
      <c r="D1035"/>
      <c r="E1035"/>
      <c r="F1035"/>
      <c r="G1035"/>
      <c r="H1035"/>
      <c r="I1035"/>
      <c r="J1035"/>
      <c r="K1035"/>
      <c r="L1035"/>
      <c r="M1035"/>
      <c r="N1035"/>
      <c r="O1035"/>
      <c r="P1035" s="233">
        <f t="shared" si="27"/>
        <v>0</v>
      </c>
      <c r="Q1035" s="233"/>
    </row>
    <row r="1036" spans="4:17" ht="15.75">
      <c r="D1036"/>
      <c r="E1036"/>
      <c r="F1036"/>
      <c r="G1036"/>
      <c r="H1036"/>
      <c r="I1036"/>
      <c r="J1036"/>
      <c r="K1036"/>
      <c r="L1036"/>
      <c r="M1036"/>
      <c r="N1036"/>
      <c r="O1036"/>
      <c r="P1036" s="233">
        <f t="shared" si="27"/>
        <v>0</v>
      </c>
      <c r="Q1036" s="233"/>
    </row>
    <row r="1037" spans="4:17" ht="15.75">
      <c r="D1037"/>
      <c r="E1037"/>
      <c r="F1037"/>
      <c r="G1037"/>
      <c r="H1037"/>
      <c r="I1037"/>
      <c r="J1037"/>
      <c r="K1037"/>
      <c r="L1037"/>
      <c r="M1037"/>
      <c r="N1037"/>
      <c r="O1037"/>
      <c r="P1037" s="233">
        <f t="shared" si="27"/>
        <v>0</v>
      </c>
      <c r="Q1037" s="233"/>
    </row>
    <row r="1038" spans="4:17" ht="15.75">
      <c r="D1038"/>
      <c r="E1038"/>
      <c r="F1038"/>
      <c r="G1038"/>
      <c r="H1038"/>
      <c r="I1038"/>
      <c r="J1038"/>
      <c r="K1038"/>
      <c r="L1038"/>
      <c r="M1038"/>
      <c r="N1038"/>
      <c r="O1038"/>
      <c r="P1038" s="233">
        <f t="shared" ref="P1038:P1101" si="28">IF(ISNUMBER(Q1038),Q1038,0)</f>
        <v>0</v>
      </c>
      <c r="Q1038" s="233"/>
    </row>
    <row r="1039" spans="4:17" ht="15.75">
      <c r="D1039"/>
      <c r="E1039"/>
      <c r="F1039"/>
      <c r="G1039"/>
      <c r="H1039"/>
      <c r="I1039"/>
      <c r="J1039"/>
      <c r="K1039"/>
      <c r="L1039"/>
      <c r="M1039"/>
      <c r="N1039"/>
      <c r="O1039"/>
      <c r="P1039" s="233">
        <f t="shared" si="28"/>
        <v>0</v>
      </c>
      <c r="Q1039" s="233"/>
    </row>
    <row r="1040" spans="4:17" ht="15.75">
      <c r="D1040"/>
      <c r="E1040"/>
      <c r="F1040"/>
      <c r="G1040"/>
      <c r="H1040"/>
      <c r="I1040"/>
      <c r="J1040"/>
      <c r="K1040"/>
      <c r="L1040"/>
      <c r="M1040"/>
      <c r="N1040"/>
      <c r="O1040"/>
      <c r="P1040" s="233">
        <f t="shared" si="28"/>
        <v>0</v>
      </c>
      <c r="Q1040" s="233"/>
    </row>
    <row r="1041" spans="4:17" ht="15.75">
      <c r="D1041"/>
      <c r="E1041"/>
      <c r="F1041"/>
      <c r="G1041"/>
      <c r="H1041"/>
      <c r="I1041"/>
      <c r="J1041"/>
      <c r="K1041"/>
      <c r="L1041"/>
      <c r="M1041"/>
      <c r="N1041"/>
      <c r="O1041"/>
      <c r="P1041" s="233">
        <f t="shared" si="28"/>
        <v>0</v>
      </c>
      <c r="Q1041" s="233"/>
    </row>
    <row r="1042" spans="4:17" ht="15.75">
      <c r="D1042"/>
      <c r="E1042"/>
      <c r="F1042"/>
      <c r="G1042"/>
      <c r="H1042"/>
      <c r="I1042"/>
      <c r="J1042"/>
      <c r="K1042"/>
      <c r="L1042"/>
      <c r="M1042"/>
      <c r="N1042"/>
      <c r="O1042"/>
      <c r="P1042" s="233">
        <f t="shared" si="28"/>
        <v>0</v>
      </c>
      <c r="Q1042" s="233"/>
    </row>
    <row r="1043" spans="4:17" ht="15.75">
      <c r="D1043"/>
      <c r="E1043"/>
      <c r="F1043"/>
      <c r="G1043"/>
      <c r="H1043"/>
      <c r="I1043"/>
      <c r="J1043"/>
      <c r="K1043"/>
      <c r="L1043"/>
      <c r="M1043"/>
      <c r="N1043"/>
      <c r="O1043"/>
      <c r="P1043" s="233">
        <f t="shared" si="28"/>
        <v>0</v>
      </c>
      <c r="Q1043" s="233"/>
    </row>
    <row r="1044" spans="4:17" ht="15.75">
      <c r="D1044"/>
      <c r="E1044"/>
      <c r="F1044"/>
      <c r="G1044"/>
      <c r="H1044"/>
      <c r="I1044"/>
      <c r="J1044"/>
      <c r="K1044"/>
      <c r="L1044"/>
      <c r="M1044"/>
      <c r="N1044"/>
      <c r="O1044"/>
      <c r="P1044" s="233">
        <f t="shared" si="28"/>
        <v>0</v>
      </c>
      <c r="Q1044" s="233"/>
    </row>
    <row r="1045" spans="4:17" ht="15.75">
      <c r="D1045"/>
      <c r="E1045"/>
      <c r="F1045"/>
      <c r="G1045"/>
      <c r="H1045"/>
      <c r="I1045"/>
      <c r="J1045"/>
      <c r="K1045"/>
      <c r="L1045"/>
      <c r="M1045"/>
      <c r="N1045"/>
      <c r="O1045"/>
      <c r="P1045" s="233">
        <f t="shared" si="28"/>
        <v>0</v>
      </c>
      <c r="Q1045" s="233"/>
    </row>
    <row r="1046" spans="4:17" ht="15.75">
      <c r="D1046"/>
      <c r="E1046"/>
      <c r="F1046"/>
      <c r="G1046"/>
      <c r="H1046"/>
      <c r="I1046"/>
      <c r="J1046"/>
      <c r="K1046"/>
      <c r="L1046"/>
      <c r="M1046"/>
      <c r="N1046"/>
      <c r="O1046"/>
      <c r="P1046" s="233">
        <f t="shared" si="28"/>
        <v>0</v>
      </c>
      <c r="Q1046" s="233"/>
    </row>
    <row r="1047" spans="4:17" ht="15.75">
      <c r="D1047"/>
      <c r="E1047"/>
      <c r="F1047"/>
      <c r="G1047"/>
      <c r="H1047"/>
      <c r="I1047"/>
      <c r="J1047"/>
      <c r="K1047"/>
      <c r="L1047"/>
      <c r="M1047"/>
      <c r="N1047"/>
      <c r="O1047"/>
      <c r="P1047" s="233">
        <f t="shared" si="28"/>
        <v>0</v>
      </c>
      <c r="Q1047" s="233"/>
    </row>
    <row r="1048" spans="4:17" ht="15.75">
      <c r="D1048"/>
      <c r="E1048"/>
      <c r="F1048"/>
      <c r="G1048"/>
      <c r="H1048"/>
      <c r="I1048"/>
      <c r="J1048"/>
      <c r="K1048"/>
      <c r="L1048"/>
      <c r="M1048"/>
      <c r="N1048"/>
      <c r="O1048"/>
      <c r="P1048" s="233">
        <f t="shared" si="28"/>
        <v>0</v>
      </c>
      <c r="Q1048" s="233"/>
    </row>
    <row r="1049" spans="4:17" ht="15.75">
      <c r="D1049"/>
      <c r="E1049"/>
      <c r="F1049"/>
      <c r="G1049"/>
      <c r="H1049"/>
      <c r="I1049"/>
      <c r="J1049"/>
      <c r="K1049"/>
      <c r="L1049"/>
      <c r="M1049"/>
      <c r="N1049"/>
      <c r="O1049"/>
      <c r="P1049" s="233">
        <f t="shared" si="28"/>
        <v>0</v>
      </c>
      <c r="Q1049" s="233"/>
    </row>
    <row r="1050" spans="4:17" ht="15.75">
      <c r="D1050"/>
      <c r="E1050"/>
      <c r="F1050"/>
      <c r="G1050"/>
      <c r="H1050"/>
      <c r="I1050"/>
      <c r="J1050"/>
      <c r="K1050"/>
      <c r="L1050"/>
      <c r="M1050"/>
      <c r="N1050"/>
      <c r="O1050"/>
      <c r="P1050" s="233">
        <f t="shared" si="28"/>
        <v>0</v>
      </c>
      <c r="Q1050" s="233"/>
    </row>
    <row r="1051" spans="4:17" ht="15.75">
      <c r="D1051"/>
      <c r="E1051"/>
      <c r="F1051"/>
      <c r="G1051"/>
      <c r="H1051"/>
      <c r="I1051"/>
      <c r="J1051"/>
      <c r="K1051"/>
      <c r="L1051"/>
      <c r="M1051"/>
      <c r="N1051"/>
      <c r="O1051"/>
      <c r="P1051" s="233">
        <f t="shared" si="28"/>
        <v>0</v>
      </c>
      <c r="Q1051" s="233"/>
    </row>
    <row r="1052" spans="4:17" ht="15.75">
      <c r="D1052"/>
      <c r="E1052"/>
      <c r="F1052"/>
      <c r="G1052"/>
      <c r="H1052"/>
      <c r="I1052"/>
      <c r="J1052"/>
      <c r="K1052"/>
      <c r="L1052"/>
      <c r="M1052"/>
      <c r="N1052"/>
      <c r="O1052"/>
      <c r="P1052" s="233">
        <f t="shared" si="28"/>
        <v>0</v>
      </c>
      <c r="Q1052" s="233"/>
    </row>
    <row r="1053" spans="4:17" ht="15.75">
      <c r="D1053"/>
      <c r="E1053"/>
      <c r="F1053"/>
      <c r="G1053"/>
      <c r="H1053"/>
      <c r="I1053"/>
      <c r="J1053"/>
      <c r="K1053"/>
      <c r="L1053"/>
      <c r="M1053"/>
      <c r="N1053"/>
      <c r="O1053"/>
      <c r="P1053" s="233">
        <f t="shared" si="28"/>
        <v>0</v>
      </c>
      <c r="Q1053" s="233"/>
    </row>
    <row r="1054" spans="4:17" ht="15.75">
      <c r="D1054"/>
      <c r="E1054"/>
      <c r="F1054"/>
      <c r="G1054"/>
      <c r="H1054"/>
      <c r="I1054"/>
      <c r="J1054"/>
      <c r="K1054"/>
      <c r="L1054"/>
      <c r="M1054"/>
      <c r="N1054"/>
      <c r="O1054"/>
      <c r="P1054" s="233">
        <f t="shared" si="28"/>
        <v>0</v>
      </c>
      <c r="Q1054" s="233"/>
    </row>
    <row r="1055" spans="4:17" ht="15.75">
      <c r="D1055"/>
      <c r="E1055"/>
      <c r="F1055"/>
      <c r="G1055"/>
      <c r="H1055"/>
      <c r="I1055"/>
      <c r="J1055"/>
      <c r="K1055"/>
      <c r="L1055"/>
      <c r="M1055"/>
      <c r="N1055"/>
      <c r="O1055"/>
      <c r="P1055" s="233">
        <f t="shared" si="28"/>
        <v>0</v>
      </c>
      <c r="Q1055" s="233"/>
    </row>
    <row r="1056" spans="4:17" ht="15.75">
      <c r="D1056"/>
      <c r="E1056"/>
      <c r="F1056"/>
      <c r="G1056"/>
      <c r="H1056"/>
      <c r="I1056"/>
      <c r="J1056"/>
      <c r="K1056"/>
      <c r="L1056"/>
      <c r="M1056"/>
      <c r="N1056"/>
      <c r="O1056"/>
      <c r="P1056" s="233">
        <f t="shared" si="28"/>
        <v>0</v>
      </c>
      <c r="Q1056" s="233"/>
    </row>
    <row r="1057" spans="4:17" ht="15.75">
      <c r="D1057"/>
      <c r="E1057"/>
      <c r="F1057"/>
      <c r="G1057"/>
      <c r="H1057"/>
      <c r="I1057"/>
      <c r="J1057"/>
      <c r="K1057"/>
      <c r="L1057"/>
      <c r="M1057"/>
      <c r="N1057"/>
      <c r="O1057"/>
      <c r="P1057" s="233">
        <f t="shared" si="28"/>
        <v>0</v>
      </c>
      <c r="Q1057" s="233"/>
    </row>
    <row r="1058" spans="4:17" ht="15.75">
      <c r="D1058"/>
      <c r="E1058"/>
      <c r="F1058"/>
      <c r="G1058"/>
      <c r="H1058"/>
      <c r="I1058"/>
      <c r="J1058"/>
      <c r="K1058"/>
      <c r="L1058"/>
      <c r="M1058"/>
      <c r="N1058"/>
      <c r="O1058"/>
      <c r="P1058" s="233">
        <f t="shared" si="28"/>
        <v>0</v>
      </c>
      <c r="Q1058" s="233"/>
    </row>
    <row r="1059" spans="4:17" ht="15.75">
      <c r="D1059"/>
      <c r="E1059"/>
      <c r="F1059"/>
      <c r="G1059"/>
      <c r="H1059"/>
      <c r="I1059"/>
      <c r="J1059"/>
      <c r="K1059"/>
      <c r="L1059"/>
      <c r="M1059"/>
      <c r="N1059"/>
      <c r="O1059"/>
      <c r="P1059" s="233">
        <f t="shared" si="28"/>
        <v>0</v>
      </c>
      <c r="Q1059" s="233"/>
    </row>
    <row r="1060" spans="4:17" ht="15.75">
      <c r="D1060"/>
      <c r="E1060"/>
      <c r="F1060"/>
      <c r="G1060"/>
      <c r="H1060"/>
      <c r="I1060"/>
      <c r="J1060"/>
      <c r="K1060"/>
      <c r="L1060"/>
      <c r="M1060"/>
      <c r="N1060"/>
      <c r="O1060"/>
      <c r="P1060" s="233">
        <f t="shared" si="28"/>
        <v>0</v>
      </c>
      <c r="Q1060" s="233"/>
    </row>
    <row r="1061" spans="4:17" ht="15.75">
      <c r="D1061"/>
      <c r="E1061"/>
      <c r="F1061"/>
      <c r="G1061"/>
      <c r="H1061"/>
      <c r="I1061"/>
      <c r="J1061"/>
      <c r="K1061"/>
      <c r="L1061"/>
      <c r="M1061"/>
      <c r="N1061"/>
      <c r="O1061"/>
      <c r="P1061" s="233">
        <f t="shared" si="28"/>
        <v>0</v>
      </c>
      <c r="Q1061" s="233"/>
    </row>
    <row r="1062" spans="4:17" ht="15.75">
      <c r="D1062"/>
      <c r="E1062"/>
      <c r="F1062"/>
      <c r="G1062"/>
      <c r="H1062"/>
      <c r="I1062"/>
      <c r="J1062"/>
      <c r="K1062"/>
      <c r="L1062"/>
      <c r="M1062"/>
      <c r="N1062"/>
      <c r="O1062"/>
      <c r="P1062" s="233">
        <f t="shared" si="28"/>
        <v>0</v>
      </c>
      <c r="Q1062" s="233"/>
    </row>
    <row r="1063" spans="4:17" ht="15.75">
      <c r="D1063"/>
      <c r="E1063"/>
      <c r="F1063"/>
      <c r="G1063"/>
      <c r="H1063"/>
      <c r="I1063"/>
      <c r="J1063"/>
      <c r="K1063"/>
      <c r="L1063"/>
      <c r="M1063"/>
      <c r="N1063"/>
      <c r="O1063"/>
      <c r="P1063" s="233">
        <f t="shared" si="28"/>
        <v>0</v>
      </c>
      <c r="Q1063" s="233"/>
    </row>
    <row r="1064" spans="4:17" ht="15.75">
      <c r="D1064"/>
      <c r="E1064"/>
      <c r="F1064"/>
      <c r="G1064"/>
      <c r="H1064"/>
      <c r="I1064"/>
      <c r="J1064"/>
      <c r="K1064"/>
      <c r="L1064"/>
      <c r="M1064"/>
      <c r="N1064"/>
      <c r="O1064"/>
      <c r="P1064" s="233">
        <f t="shared" si="28"/>
        <v>0</v>
      </c>
      <c r="Q1064" s="233"/>
    </row>
    <row r="1065" spans="4:17" ht="15.75">
      <c r="D1065"/>
      <c r="E1065"/>
      <c r="F1065"/>
      <c r="G1065"/>
      <c r="H1065"/>
      <c r="I1065"/>
      <c r="J1065"/>
      <c r="K1065"/>
      <c r="L1065"/>
      <c r="M1065"/>
      <c r="N1065"/>
      <c r="O1065"/>
      <c r="P1065" s="233">
        <f t="shared" si="28"/>
        <v>0</v>
      </c>
      <c r="Q1065" s="233"/>
    </row>
    <row r="1066" spans="4:17" ht="15.75">
      <c r="D1066"/>
      <c r="E1066"/>
      <c r="F1066"/>
      <c r="G1066"/>
      <c r="H1066"/>
      <c r="I1066"/>
      <c r="J1066"/>
      <c r="K1066"/>
      <c r="L1066"/>
      <c r="M1066"/>
      <c r="N1066"/>
      <c r="O1066"/>
      <c r="P1066" s="233">
        <f t="shared" si="28"/>
        <v>0</v>
      </c>
      <c r="Q1066" s="233"/>
    </row>
    <row r="1067" spans="4:17" ht="15.75">
      <c r="D1067"/>
      <c r="E1067"/>
      <c r="F1067"/>
      <c r="G1067"/>
      <c r="H1067"/>
      <c r="I1067"/>
      <c r="J1067"/>
      <c r="K1067"/>
      <c r="L1067"/>
      <c r="M1067"/>
      <c r="N1067"/>
      <c r="O1067"/>
      <c r="P1067" s="233">
        <f t="shared" si="28"/>
        <v>0</v>
      </c>
      <c r="Q1067" s="233"/>
    </row>
    <row r="1068" spans="4:17" ht="15.75">
      <c r="D1068"/>
      <c r="E1068"/>
      <c r="F1068"/>
      <c r="G1068"/>
      <c r="H1068"/>
      <c r="I1068"/>
      <c r="J1068"/>
      <c r="K1068"/>
      <c r="L1068"/>
      <c r="M1068"/>
      <c r="N1068"/>
      <c r="O1068"/>
      <c r="P1068" s="233">
        <f t="shared" si="28"/>
        <v>0</v>
      </c>
      <c r="Q1068" s="233"/>
    </row>
    <row r="1069" spans="4:17" ht="15.75">
      <c r="D1069"/>
      <c r="E1069"/>
      <c r="F1069"/>
      <c r="G1069"/>
      <c r="H1069"/>
      <c r="I1069"/>
      <c r="J1069"/>
      <c r="K1069"/>
      <c r="L1069"/>
      <c r="M1069"/>
      <c r="N1069"/>
      <c r="O1069"/>
      <c r="P1069" s="233">
        <f t="shared" si="28"/>
        <v>0</v>
      </c>
      <c r="Q1069" s="233"/>
    </row>
    <row r="1070" spans="4:17" ht="15.75">
      <c r="D1070"/>
      <c r="E1070"/>
      <c r="F1070"/>
      <c r="G1070"/>
      <c r="H1070"/>
      <c r="I1070"/>
      <c r="J1070"/>
      <c r="K1070"/>
      <c r="L1070"/>
      <c r="M1070"/>
      <c r="N1070"/>
      <c r="O1070"/>
      <c r="P1070" s="233">
        <f t="shared" si="28"/>
        <v>0</v>
      </c>
      <c r="Q1070" s="233"/>
    </row>
    <row r="1071" spans="4:17" ht="15.75">
      <c r="D1071"/>
      <c r="E1071"/>
      <c r="F1071"/>
      <c r="G1071"/>
      <c r="H1071"/>
      <c r="I1071"/>
      <c r="J1071"/>
      <c r="K1071"/>
      <c r="L1071"/>
      <c r="M1071"/>
      <c r="N1071"/>
      <c r="O1071"/>
      <c r="P1071" s="233">
        <f t="shared" si="28"/>
        <v>0</v>
      </c>
      <c r="Q1071" s="233"/>
    </row>
    <row r="1072" spans="4:17" ht="15.75">
      <c r="D1072"/>
      <c r="E1072"/>
      <c r="F1072"/>
      <c r="G1072"/>
      <c r="H1072"/>
      <c r="I1072"/>
      <c r="J1072"/>
      <c r="K1072"/>
      <c r="L1072"/>
      <c r="M1072"/>
      <c r="N1072"/>
      <c r="O1072"/>
      <c r="P1072" s="233">
        <f t="shared" si="28"/>
        <v>0</v>
      </c>
      <c r="Q1072" s="233"/>
    </row>
    <row r="1073" spans="4:17" ht="15.75">
      <c r="D1073"/>
      <c r="E1073"/>
      <c r="F1073"/>
      <c r="G1073"/>
      <c r="H1073"/>
      <c r="I1073"/>
      <c r="J1073"/>
      <c r="K1073"/>
      <c r="L1073"/>
      <c r="M1073"/>
      <c r="N1073"/>
      <c r="O1073"/>
      <c r="P1073" s="233">
        <f t="shared" si="28"/>
        <v>0</v>
      </c>
      <c r="Q1073" s="233"/>
    </row>
    <row r="1074" spans="4:17" ht="15.75">
      <c r="D1074"/>
      <c r="E1074"/>
      <c r="F1074"/>
      <c r="G1074"/>
      <c r="H1074"/>
      <c r="I1074"/>
      <c r="J1074"/>
      <c r="K1074"/>
      <c r="L1074"/>
      <c r="M1074"/>
      <c r="N1074"/>
      <c r="O1074"/>
      <c r="P1074" s="233">
        <f t="shared" si="28"/>
        <v>0</v>
      </c>
      <c r="Q1074" s="233"/>
    </row>
    <row r="1075" spans="4:17" ht="15.75">
      <c r="D1075"/>
      <c r="E1075"/>
      <c r="F1075"/>
      <c r="G1075"/>
      <c r="H1075"/>
      <c r="I1075"/>
      <c r="J1075"/>
      <c r="K1075"/>
      <c r="L1075"/>
      <c r="M1075"/>
      <c r="N1075"/>
      <c r="O1075"/>
      <c r="P1075" s="233">
        <f t="shared" si="28"/>
        <v>0</v>
      </c>
      <c r="Q1075" s="233"/>
    </row>
    <row r="1076" spans="4:17" ht="15.75">
      <c r="D1076"/>
      <c r="E1076"/>
      <c r="F1076"/>
      <c r="G1076"/>
      <c r="H1076"/>
      <c r="I1076"/>
      <c r="J1076"/>
      <c r="K1076"/>
      <c r="L1076"/>
      <c r="M1076"/>
      <c r="N1076"/>
      <c r="O1076"/>
      <c r="P1076" s="233">
        <f t="shared" si="28"/>
        <v>0</v>
      </c>
      <c r="Q1076" s="233"/>
    </row>
    <row r="1077" spans="4:17" ht="15.75">
      <c r="D1077"/>
      <c r="E1077"/>
      <c r="F1077"/>
      <c r="G1077"/>
      <c r="H1077"/>
      <c r="I1077"/>
      <c r="J1077"/>
      <c r="K1077"/>
      <c r="L1077"/>
      <c r="M1077"/>
      <c r="N1077"/>
      <c r="O1077"/>
      <c r="P1077" s="233">
        <f t="shared" si="28"/>
        <v>0</v>
      </c>
      <c r="Q1077" s="233"/>
    </row>
    <row r="1078" spans="4:17" ht="15.75">
      <c r="D1078"/>
      <c r="E1078"/>
      <c r="F1078"/>
      <c r="G1078"/>
      <c r="H1078"/>
      <c r="I1078"/>
      <c r="J1078"/>
      <c r="K1078"/>
      <c r="L1078"/>
      <c r="M1078"/>
      <c r="N1078"/>
      <c r="O1078"/>
      <c r="P1078" s="233">
        <f t="shared" si="28"/>
        <v>0</v>
      </c>
      <c r="Q1078" s="233"/>
    </row>
    <row r="1079" spans="4:17" ht="15.75">
      <c r="D1079"/>
      <c r="E1079"/>
      <c r="F1079"/>
      <c r="G1079"/>
      <c r="H1079"/>
      <c r="I1079"/>
      <c r="J1079"/>
      <c r="K1079"/>
      <c r="L1079"/>
      <c r="M1079"/>
      <c r="N1079"/>
      <c r="O1079"/>
      <c r="P1079" s="233">
        <f t="shared" si="28"/>
        <v>0</v>
      </c>
      <c r="Q1079" s="233"/>
    </row>
    <row r="1080" spans="4:17" ht="15.75">
      <c r="D1080"/>
      <c r="E1080"/>
      <c r="F1080"/>
      <c r="G1080"/>
      <c r="H1080"/>
      <c r="I1080"/>
      <c r="J1080"/>
      <c r="K1080"/>
      <c r="L1080"/>
      <c r="M1080"/>
      <c r="N1080"/>
      <c r="O1080"/>
      <c r="P1080" s="233">
        <f t="shared" si="28"/>
        <v>0</v>
      </c>
      <c r="Q1080" s="233"/>
    </row>
    <row r="1081" spans="4:17" ht="15.75">
      <c r="D1081"/>
      <c r="E1081"/>
      <c r="F1081"/>
      <c r="G1081"/>
      <c r="H1081"/>
      <c r="I1081"/>
      <c r="J1081"/>
      <c r="K1081"/>
      <c r="L1081"/>
      <c r="M1081"/>
      <c r="N1081"/>
      <c r="O1081"/>
      <c r="P1081" s="233">
        <f t="shared" si="28"/>
        <v>0</v>
      </c>
      <c r="Q1081" s="233"/>
    </row>
    <row r="1082" spans="4:17" ht="15.75">
      <c r="D1082"/>
      <c r="E1082"/>
      <c r="F1082"/>
      <c r="G1082"/>
      <c r="H1082"/>
      <c r="I1082"/>
      <c r="J1082"/>
      <c r="K1082"/>
      <c r="L1082"/>
      <c r="M1082"/>
      <c r="N1082"/>
      <c r="O1082"/>
      <c r="P1082" s="233">
        <f t="shared" si="28"/>
        <v>0</v>
      </c>
      <c r="Q1082" s="233"/>
    </row>
    <row r="1083" spans="4:17" ht="15.75">
      <c r="D1083"/>
      <c r="E1083"/>
      <c r="F1083"/>
      <c r="G1083"/>
      <c r="H1083"/>
      <c r="I1083"/>
      <c r="J1083"/>
      <c r="K1083"/>
      <c r="L1083"/>
      <c r="M1083"/>
      <c r="N1083"/>
      <c r="O1083"/>
      <c r="P1083" s="233">
        <f t="shared" si="28"/>
        <v>0</v>
      </c>
      <c r="Q1083" s="233"/>
    </row>
    <row r="1084" spans="4:17" ht="15.75">
      <c r="D1084"/>
      <c r="E1084"/>
      <c r="F1084"/>
      <c r="G1084"/>
      <c r="H1084"/>
      <c r="I1084"/>
      <c r="J1084"/>
      <c r="K1084"/>
      <c r="L1084"/>
      <c r="M1084"/>
      <c r="N1084"/>
      <c r="O1084"/>
      <c r="P1084" s="233">
        <f t="shared" si="28"/>
        <v>0</v>
      </c>
      <c r="Q1084" s="233"/>
    </row>
    <row r="1085" spans="4:17" ht="15.75">
      <c r="D1085"/>
      <c r="E1085"/>
      <c r="F1085"/>
      <c r="G1085"/>
      <c r="H1085"/>
      <c r="I1085"/>
      <c r="J1085"/>
      <c r="K1085"/>
      <c r="L1085"/>
      <c r="M1085"/>
      <c r="N1085"/>
      <c r="O1085"/>
      <c r="P1085" s="233">
        <f t="shared" si="28"/>
        <v>0</v>
      </c>
      <c r="Q1085" s="233"/>
    </row>
    <row r="1086" spans="4:17" ht="15.75">
      <c r="D1086"/>
      <c r="E1086"/>
      <c r="F1086"/>
      <c r="G1086"/>
      <c r="H1086"/>
      <c r="I1086"/>
      <c r="J1086"/>
      <c r="K1086"/>
      <c r="L1086"/>
      <c r="M1086"/>
      <c r="N1086"/>
      <c r="O1086"/>
      <c r="P1086" s="233">
        <f t="shared" si="28"/>
        <v>0</v>
      </c>
      <c r="Q1086" s="233"/>
    </row>
    <row r="1087" spans="4:17" ht="15.75">
      <c r="D1087"/>
      <c r="E1087"/>
      <c r="F1087"/>
      <c r="G1087"/>
      <c r="H1087"/>
      <c r="I1087"/>
      <c r="J1087"/>
      <c r="K1087"/>
      <c r="L1087"/>
      <c r="M1087"/>
      <c r="N1087"/>
      <c r="O1087"/>
      <c r="P1087" s="233">
        <f t="shared" si="28"/>
        <v>0</v>
      </c>
      <c r="Q1087" s="233"/>
    </row>
    <row r="1088" spans="4:17" ht="15.75">
      <c r="D1088"/>
      <c r="E1088"/>
      <c r="F1088"/>
      <c r="G1088"/>
      <c r="H1088"/>
      <c r="I1088"/>
      <c r="J1088"/>
      <c r="K1088"/>
      <c r="L1088"/>
      <c r="M1088"/>
      <c r="N1088"/>
      <c r="O1088"/>
      <c r="P1088" s="233">
        <f t="shared" si="28"/>
        <v>0</v>
      </c>
      <c r="Q1088" s="233"/>
    </row>
    <row r="1089" spans="4:17" ht="15.75">
      <c r="D1089"/>
      <c r="E1089"/>
      <c r="F1089"/>
      <c r="G1089"/>
      <c r="H1089"/>
      <c r="I1089"/>
      <c r="J1089"/>
      <c r="K1089"/>
      <c r="L1089"/>
      <c r="M1089"/>
      <c r="N1089"/>
      <c r="O1089"/>
      <c r="P1089" s="233">
        <f t="shared" si="28"/>
        <v>0</v>
      </c>
      <c r="Q1089" s="233"/>
    </row>
    <row r="1090" spans="4:17" ht="15.75">
      <c r="D1090"/>
      <c r="E1090"/>
      <c r="F1090"/>
      <c r="G1090"/>
      <c r="H1090"/>
      <c r="I1090"/>
      <c r="J1090"/>
      <c r="K1090"/>
      <c r="L1090"/>
      <c r="M1090"/>
      <c r="N1090"/>
      <c r="O1090"/>
      <c r="P1090" s="233">
        <f t="shared" si="28"/>
        <v>0</v>
      </c>
      <c r="Q1090" s="233"/>
    </row>
    <row r="1091" spans="4:17" ht="15.75">
      <c r="D1091"/>
      <c r="E1091"/>
      <c r="F1091"/>
      <c r="G1091"/>
      <c r="H1091"/>
      <c r="I1091"/>
      <c r="J1091"/>
      <c r="K1091"/>
      <c r="L1091"/>
      <c r="M1091"/>
      <c r="N1091"/>
      <c r="O1091"/>
      <c r="P1091" s="233">
        <f t="shared" si="28"/>
        <v>0</v>
      </c>
      <c r="Q1091" s="233"/>
    </row>
    <row r="1092" spans="4:17" ht="15.75">
      <c r="D1092"/>
      <c r="E1092"/>
      <c r="F1092"/>
      <c r="G1092"/>
      <c r="H1092"/>
      <c r="I1092"/>
      <c r="J1092"/>
      <c r="K1092"/>
      <c r="L1092"/>
      <c r="M1092"/>
      <c r="N1092"/>
      <c r="O1092"/>
      <c r="P1092" s="233">
        <f t="shared" si="28"/>
        <v>0</v>
      </c>
      <c r="Q1092" s="233"/>
    </row>
    <row r="1093" spans="4:17" ht="15.75">
      <c r="D1093"/>
      <c r="E1093"/>
      <c r="F1093"/>
      <c r="G1093"/>
      <c r="H1093"/>
      <c r="I1093"/>
      <c r="J1093"/>
      <c r="K1093"/>
      <c r="L1093"/>
      <c r="M1093"/>
      <c r="N1093"/>
      <c r="O1093"/>
      <c r="P1093" s="233">
        <f t="shared" si="28"/>
        <v>0</v>
      </c>
      <c r="Q1093" s="233"/>
    </row>
    <row r="1094" spans="4:17" ht="15.75">
      <c r="D1094"/>
      <c r="E1094"/>
      <c r="F1094"/>
      <c r="G1094"/>
      <c r="H1094"/>
      <c r="I1094"/>
      <c r="J1094"/>
      <c r="K1094"/>
      <c r="L1094"/>
      <c r="M1094"/>
      <c r="N1094"/>
      <c r="O1094"/>
      <c r="P1094" s="233">
        <f t="shared" si="28"/>
        <v>0</v>
      </c>
      <c r="Q1094" s="233"/>
    </row>
    <row r="1095" spans="4:17" ht="15.75">
      <c r="D1095"/>
      <c r="E1095"/>
      <c r="F1095"/>
      <c r="G1095"/>
      <c r="H1095"/>
      <c r="I1095"/>
      <c r="J1095"/>
      <c r="K1095"/>
      <c r="L1095"/>
      <c r="M1095"/>
      <c r="N1095"/>
      <c r="O1095"/>
      <c r="P1095" s="233">
        <f t="shared" si="28"/>
        <v>0</v>
      </c>
      <c r="Q1095" s="233"/>
    </row>
    <row r="1096" spans="4:17" ht="15.75">
      <c r="D1096"/>
      <c r="E1096"/>
      <c r="F1096"/>
      <c r="G1096"/>
      <c r="H1096"/>
      <c r="I1096"/>
      <c r="J1096"/>
      <c r="K1096"/>
      <c r="L1096"/>
      <c r="M1096"/>
      <c r="N1096"/>
      <c r="O1096"/>
      <c r="P1096" s="233">
        <f t="shared" si="28"/>
        <v>0</v>
      </c>
      <c r="Q1096" s="233"/>
    </row>
    <row r="1097" spans="4:17" ht="15.75">
      <c r="D1097"/>
      <c r="E1097"/>
      <c r="F1097"/>
      <c r="G1097"/>
      <c r="H1097"/>
      <c r="I1097"/>
      <c r="J1097"/>
      <c r="K1097"/>
      <c r="L1097"/>
      <c r="M1097"/>
      <c r="N1097"/>
      <c r="O1097"/>
      <c r="P1097" s="233">
        <f t="shared" si="28"/>
        <v>0</v>
      </c>
      <c r="Q1097" s="233"/>
    </row>
    <row r="1098" spans="4:17" ht="15.75">
      <c r="D1098"/>
      <c r="E1098"/>
      <c r="F1098"/>
      <c r="G1098"/>
      <c r="H1098"/>
      <c r="I1098"/>
      <c r="J1098"/>
      <c r="K1098"/>
      <c r="L1098"/>
      <c r="M1098"/>
      <c r="N1098"/>
      <c r="O1098"/>
      <c r="P1098" s="233">
        <f t="shared" si="28"/>
        <v>0</v>
      </c>
      <c r="Q1098" s="233"/>
    </row>
    <row r="1099" spans="4:17" ht="15.75">
      <c r="D1099"/>
      <c r="E1099"/>
      <c r="F1099"/>
      <c r="G1099"/>
      <c r="H1099"/>
      <c r="I1099"/>
      <c r="J1099"/>
      <c r="K1099"/>
      <c r="L1099"/>
      <c r="M1099"/>
      <c r="N1099"/>
      <c r="O1099"/>
      <c r="P1099" s="233">
        <f t="shared" si="28"/>
        <v>0</v>
      </c>
      <c r="Q1099" s="233"/>
    </row>
    <row r="1100" spans="4:17" ht="15.75">
      <c r="D1100"/>
      <c r="E1100"/>
      <c r="F1100"/>
      <c r="G1100"/>
      <c r="H1100"/>
      <c r="I1100"/>
      <c r="J1100"/>
      <c r="K1100"/>
      <c r="L1100"/>
      <c r="M1100"/>
      <c r="N1100"/>
      <c r="O1100"/>
      <c r="P1100" s="233">
        <f t="shared" si="28"/>
        <v>0</v>
      </c>
      <c r="Q1100" s="233"/>
    </row>
    <row r="1101" spans="4:17" ht="15.75">
      <c r="D1101"/>
      <c r="E1101"/>
      <c r="F1101"/>
      <c r="G1101"/>
      <c r="H1101"/>
      <c r="I1101"/>
      <c r="J1101"/>
      <c r="K1101"/>
      <c r="L1101"/>
      <c r="M1101"/>
      <c r="N1101"/>
      <c r="O1101"/>
      <c r="P1101" s="233">
        <f t="shared" si="28"/>
        <v>0</v>
      </c>
      <c r="Q1101" s="233"/>
    </row>
    <row r="1102" spans="4:17" ht="15.75">
      <c r="D1102"/>
      <c r="E1102"/>
      <c r="F1102"/>
      <c r="G1102"/>
      <c r="H1102"/>
      <c r="I1102"/>
      <c r="J1102"/>
      <c r="K1102"/>
      <c r="L1102"/>
      <c r="M1102"/>
      <c r="N1102"/>
      <c r="O1102"/>
      <c r="P1102" s="233">
        <f t="shared" ref="P1102:P1165" si="29">IF(ISNUMBER(Q1102),Q1102,0)</f>
        <v>0</v>
      </c>
      <c r="Q1102" s="233"/>
    </row>
    <row r="1103" spans="4:17" ht="15.75">
      <c r="D1103"/>
      <c r="E1103"/>
      <c r="F1103"/>
      <c r="G1103"/>
      <c r="H1103"/>
      <c r="I1103"/>
      <c r="J1103"/>
      <c r="K1103"/>
      <c r="L1103"/>
      <c r="M1103"/>
      <c r="N1103"/>
      <c r="O1103"/>
      <c r="P1103" s="233">
        <f t="shared" si="29"/>
        <v>0</v>
      </c>
      <c r="Q1103" s="233"/>
    </row>
    <row r="1104" spans="4:17" ht="15.75">
      <c r="D1104"/>
      <c r="E1104"/>
      <c r="F1104"/>
      <c r="G1104"/>
      <c r="H1104"/>
      <c r="I1104"/>
      <c r="J1104"/>
      <c r="K1104"/>
      <c r="L1104"/>
      <c r="M1104"/>
      <c r="N1104"/>
      <c r="O1104"/>
      <c r="P1104" s="233">
        <f t="shared" si="29"/>
        <v>0</v>
      </c>
      <c r="Q1104" s="233"/>
    </row>
    <row r="1105" spans="4:17" ht="15.75">
      <c r="D1105"/>
      <c r="E1105"/>
      <c r="F1105"/>
      <c r="G1105"/>
      <c r="H1105"/>
      <c r="I1105"/>
      <c r="J1105"/>
      <c r="K1105"/>
      <c r="L1105"/>
      <c r="M1105"/>
      <c r="N1105"/>
      <c r="O1105"/>
      <c r="P1105" s="233">
        <f t="shared" si="29"/>
        <v>0</v>
      </c>
      <c r="Q1105" s="233"/>
    </row>
    <row r="1106" spans="4:17" ht="15.75">
      <c r="D1106"/>
      <c r="E1106"/>
      <c r="F1106"/>
      <c r="G1106"/>
      <c r="H1106"/>
      <c r="I1106"/>
      <c r="J1106"/>
      <c r="K1106"/>
      <c r="L1106"/>
      <c r="M1106"/>
      <c r="N1106"/>
      <c r="O1106"/>
      <c r="P1106" s="233">
        <f t="shared" si="29"/>
        <v>0</v>
      </c>
      <c r="Q1106" s="233"/>
    </row>
    <row r="1107" spans="4:17" ht="15.75">
      <c r="D1107"/>
      <c r="E1107"/>
      <c r="F1107"/>
      <c r="G1107"/>
      <c r="H1107"/>
      <c r="I1107"/>
      <c r="J1107"/>
      <c r="K1107"/>
      <c r="L1107"/>
      <c r="M1107"/>
      <c r="N1107"/>
      <c r="O1107"/>
      <c r="P1107" s="233">
        <f t="shared" si="29"/>
        <v>0</v>
      </c>
      <c r="Q1107" s="233"/>
    </row>
    <row r="1108" spans="4:17" ht="15.75">
      <c r="D1108"/>
      <c r="E1108"/>
      <c r="F1108"/>
      <c r="G1108"/>
      <c r="H1108"/>
      <c r="I1108"/>
      <c r="J1108"/>
      <c r="K1108"/>
      <c r="L1108"/>
      <c r="M1108"/>
      <c r="N1108"/>
      <c r="O1108"/>
      <c r="P1108" s="233">
        <f t="shared" si="29"/>
        <v>0</v>
      </c>
      <c r="Q1108" s="233"/>
    </row>
    <row r="1109" spans="4:17" ht="15.75">
      <c r="D1109"/>
      <c r="E1109"/>
      <c r="F1109"/>
      <c r="G1109"/>
      <c r="H1109"/>
      <c r="I1109"/>
      <c r="J1109"/>
      <c r="K1109"/>
      <c r="L1109"/>
      <c r="M1109"/>
      <c r="N1109"/>
      <c r="O1109"/>
      <c r="P1109" s="233">
        <f t="shared" si="29"/>
        <v>0</v>
      </c>
      <c r="Q1109" s="233"/>
    </row>
    <row r="1110" spans="4:17" ht="15.75">
      <c r="D1110"/>
      <c r="E1110"/>
      <c r="F1110"/>
      <c r="G1110"/>
      <c r="H1110"/>
      <c r="I1110"/>
      <c r="J1110"/>
      <c r="K1110"/>
      <c r="L1110"/>
      <c r="M1110"/>
      <c r="N1110"/>
      <c r="O1110"/>
      <c r="P1110" s="233">
        <f t="shared" si="29"/>
        <v>0</v>
      </c>
      <c r="Q1110" s="233"/>
    </row>
    <row r="1111" spans="4:17" ht="15.75">
      <c r="D1111"/>
      <c r="E1111"/>
      <c r="F1111"/>
      <c r="G1111"/>
      <c r="H1111"/>
      <c r="I1111"/>
      <c r="J1111"/>
      <c r="K1111"/>
      <c r="L1111"/>
      <c r="M1111"/>
      <c r="N1111"/>
      <c r="O1111"/>
      <c r="P1111" s="233">
        <f t="shared" si="29"/>
        <v>0</v>
      </c>
      <c r="Q1111" s="233"/>
    </row>
    <row r="1112" spans="4:17" ht="15.75">
      <c r="D1112"/>
      <c r="E1112"/>
      <c r="F1112"/>
      <c r="G1112"/>
      <c r="H1112"/>
      <c r="I1112"/>
      <c r="J1112"/>
      <c r="K1112"/>
      <c r="L1112"/>
      <c r="M1112"/>
      <c r="N1112"/>
      <c r="O1112"/>
      <c r="P1112" s="233">
        <f t="shared" si="29"/>
        <v>0</v>
      </c>
      <c r="Q1112" s="233"/>
    </row>
    <row r="1113" spans="4:17" ht="15.75">
      <c r="D1113"/>
      <c r="E1113"/>
      <c r="F1113"/>
      <c r="G1113"/>
      <c r="H1113"/>
      <c r="I1113"/>
      <c r="J1113"/>
      <c r="K1113"/>
      <c r="L1113"/>
      <c r="M1113"/>
      <c r="N1113"/>
      <c r="O1113"/>
      <c r="P1113" s="233">
        <f t="shared" si="29"/>
        <v>0</v>
      </c>
      <c r="Q1113" s="233"/>
    </row>
    <row r="1114" spans="4:17" ht="15.75">
      <c r="D1114"/>
      <c r="E1114"/>
      <c r="F1114"/>
      <c r="G1114"/>
      <c r="H1114"/>
      <c r="I1114"/>
      <c r="J1114"/>
      <c r="K1114"/>
      <c r="L1114"/>
      <c r="M1114"/>
      <c r="N1114"/>
      <c r="O1114"/>
      <c r="P1114" s="233">
        <f t="shared" si="29"/>
        <v>0</v>
      </c>
      <c r="Q1114" s="233"/>
    </row>
    <row r="1115" spans="4:17" ht="15.75">
      <c r="D1115"/>
      <c r="E1115"/>
      <c r="F1115"/>
      <c r="G1115"/>
      <c r="H1115"/>
      <c r="I1115"/>
      <c r="J1115"/>
      <c r="K1115"/>
      <c r="L1115"/>
      <c r="M1115"/>
      <c r="N1115"/>
      <c r="O1115"/>
      <c r="P1115" s="233">
        <f t="shared" si="29"/>
        <v>0</v>
      </c>
      <c r="Q1115" s="233"/>
    </row>
    <row r="1116" spans="4:17" ht="15.75">
      <c r="D1116"/>
      <c r="E1116"/>
      <c r="F1116"/>
      <c r="G1116"/>
      <c r="H1116"/>
      <c r="I1116"/>
      <c r="J1116"/>
      <c r="K1116"/>
      <c r="L1116"/>
      <c r="M1116"/>
      <c r="N1116"/>
      <c r="O1116"/>
      <c r="P1116" s="233">
        <f t="shared" si="29"/>
        <v>0</v>
      </c>
      <c r="Q1116" s="233"/>
    </row>
    <row r="1117" spans="4:17" ht="15.75">
      <c r="D1117"/>
      <c r="E1117"/>
      <c r="F1117"/>
      <c r="G1117"/>
      <c r="H1117"/>
      <c r="I1117"/>
      <c r="J1117"/>
      <c r="K1117"/>
      <c r="L1117"/>
      <c r="M1117"/>
      <c r="N1117"/>
      <c r="O1117"/>
      <c r="P1117" s="233">
        <f t="shared" si="29"/>
        <v>0</v>
      </c>
      <c r="Q1117" s="233"/>
    </row>
    <row r="1118" spans="4:17" ht="15.75">
      <c r="D1118"/>
      <c r="E1118"/>
      <c r="F1118"/>
      <c r="G1118"/>
      <c r="H1118"/>
      <c r="I1118"/>
      <c r="J1118"/>
      <c r="K1118"/>
      <c r="L1118"/>
      <c r="M1118"/>
      <c r="N1118"/>
      <c r="O1118"/>
      <c r="P1118" s="233">
        <f t="shared" si="29"/>
        <v>0</v>
      </c>
      <c r="Q1118" s="233"/>
    </row>
    <row r="1119" spans="4:17" ht="15.75">
      <c r="D1119"/>
      <c r="E1119"/>
      <c r="F1119"/>
      <c r="G1119"/>
      <c r="H1119"/>
      <c r="I1119"/>
      <c r="J1119"/>
      <c r="K1119"/>
      <c r="L1119"/>
      <c r="M1119"/>
      <c r="N1119"/>
      <c r="O1119"/>
      <c r="P1119" s="233">
        <f t="shared" si="29"/>
        <v>0</v>
      </c>
      <c r="Q1119" s="233"/>
    </row>
    <row r="1120" spans="4:17" ht="15.75">
      <c r="D1120"/>
      <c r="E1120"/>
      <c r="F1120"/>
      <c r="G1120"/>
      <c r="H1120"/>
      <c r="I1120"/>
      <c r="J1120"/>
      <c r="K1120"/>
      <c r="L1120"/>
      <c r="M1120"/>
      <c r="N1120"/>
      <c r="O1120"/>
      <c r="P1120" s="233">
        <f t="shared" si="29"/>
        <v>0</v>
      </c>
      <c r="Q1120" s="233"/>
    </row>
    <row r="1121" spans="4:17" ht="15.75">
      <c r="D1121"/>
      <c r="E1121"/>
      <c r="F1121"/>
      <c r="G1121"/>
      <c r="H1121"/>
      <c r="I1121"/>
      <c r="J1121"/>
      <c r="K1121"/>
      <c r="L1121"/>
      <c r="M1121"/>
      <c r="N1121"/>
      <c r="O1121"/>
      <c r="P1121" s="233">
        <f t="shared" si="29"/>
        <v>0</v>
      </c>
      <c r="Q1121" s="233"/>
    </row>
    <row r="1122" spans="4:17" ht="15.75">
      <c r="D1122"/>
      <c r="E1122"/>
      <c r="F1122"/>
      <c r="G1122"/>
      <c r="H1122"/>
      <c r="I1122"/>
      <c r="J1122"/>
      <c r="K1122"/>
      <c r="L1122"/>
      <c r="M1122"/>
      <c r="N1122"/>
      <c r="O1122"/>
      <c r="P1122" s="233">
        <f t="shared" si="29"/>
        <v>0</v>
      </c>
      <c r="Q1122" s="233"/>
    </row>
    <row r="1123" spans="4:17" ht="15.75">
      <c r="D1123"/>
      <c r="E1123"/>
      <c r="F1123"/>
      <c r="G1123"/>
      <c r="H1123"/>
      <c r="I1123"/>
      <c r="J1123"/>
      <c r="K1123"/>
      <c r="L1123"/>
      <c r="M1123"/>
      <c r="N1123"/>
      <c r="O1123"/>
      <c r="P1123" s="233">
        <f t="shared" si="29"/>
        <v>0</v>
      </c>
      <c r="Q1123" s="233"/>
    </row>
    <row r="1124" spans="4:17" ht="15.75">
      <c r="D1124"/>
      <c r="E1124"/>
      <c r="F1124"/>
      <c r="G1124"/>
      <c r="H1124"/>
      <c r="I1124"/>
      <c r="J1124"/>
      <c r="K1124"/>
      <c r="L1124"/>
      <c r="M1124"/>
      <c r="N1124"/>
      <c r="O1124"/>
      <c r="P1124" s="233">
        <f t="shared" si="29"/>
        <v>0</v>
      </c>
      <c r="Q1124" s="233"/>
    </row>
    <row r="1125" spans="4:17" ht="15.75">
      <c r="D1125"/>
      <c r="E1125"/>
      <c r="F1125"/>
      <c r="G1125"/>
      <c r="H1125"/>
      <c r="I1125"/>
      <c r="J1125"/>
      <c r="K1125"/>
      <c r="L1125"/>
      <c r="M1125"/>
      <c r="N1125"/>
      <c r="O1125"/>
      <c r="P1125" s="233">
        <f t="shared" si="29"/>
        <v>0</v>
      </c>
      <c r="Q1125" s="233"/>
    </row>
    <row r="1126" spans="4:17" ht="15.75">
      <c r="D1126"/>
      <c r="E1126"/>
      <c r="F1126"/>
      <c r="G1126"/>
      <c r="H1126"/>
      <c r="I1126"/>
      <c r="J1126"/>
      <c r="K1126"/>
      <c r="L1126"/>
      <c r="M1126"/>
      <c r="N1126"/>
      <c r="O1126"/>
      <c r="P1126" s="233">
        <f t="shared" si="29"/>
        <v>0</v>
      </c>
      <c r="Q1126" s="233"/>
    </row>
    <row r="1127" spans="4:17" ht="15.75">
      <c r="D1127"/>
      <c r="E1127"/>
      <c r="F1127"/>
      <c r="G1127"/>
      <c r="H1127"/>
      <c r="I1127"/>
      <c r="J1127"/>
      <c r="K1127"/>
      <c r="L1127"/>
      <c r="M1127"/>
      <c r="N1127"/>
      <c r="O1127"/>
      <c r="P1127" s="233">
        <f t="shared" si="29"/>
        <v>0</v>
      </c>
      <c r="Q1127" s="233"/>
    </row>
    <row r="1128" spans="4:17" ht="15.75">
      <c r="D1128"/>
      <c r="E1128"/>
      <c r="F1128"/>
      <c r="G1128"/>
      <c r="H1128"/>
      <c r="I1128"/>
      <c r="J1128"/>
      <c r="K1128"/>
      <c r="L1128"/>
      <c r="M1128"/>
      <c r="N1128"/>
      <c r="O1128"/>
      <c r="P1128" s="233">
        <f t="shared" si="29"/>
        <v>0</v>
      </c>
      <c r="Q1128" s="233"/>
    </row>
    <row r="1129" spans="4:17" ht="15.75">
      <c r="D1129"/>
      <c r="E1129"/>
      <c r="F1129"/>
      <c r="G1129"/>
      <c r="H1129"/>
      <c r="I1129"/>
      <c r="J1129"/>
      <c r="K1129"/>
      <c r="L1129"/>
      <c r="M1129"/>
      <c r="N1129"/>
      <c r="O1129"/>
      <c r="P1129" s="233">
        <f t="shared" si="29"/>
        <v>0</v>
      </c>
      <c r="Q1129" s="233"/>
    </row>
    <row r="1130" spans="4:17" ht="15.75">
      <c r="D1130"/>
      <c r="E1130"/>
      <c r="F1130"/>
      <c r="G1130"/>
      <c r="H1130"/>
      <c r="I1130"/>
      <c r="J1130"/>
      <c r="K1130"/>
      <c r="L1130"/>
      <c r="M1130"/>
      <c r="N1130"/>
      <c r="O1130"/>
      <c r="P1130" s="233">
        <f t="shared" si="29"/>
        <v>0</v>
      </c>
      <c r="Q1130" s="233"/>
    </row>
    <row r="1131" spans="4:17" ht="15.75">
      <c r="D1131"/>
      <c r="E1131"/>
      <c r="F1131"/>
      <c r="G1131"/>
      <c r="H1131"/>
      <c r="I1131"/>
      <c r="J1131"/>
      <c r="K1131"/>
      <c r="L1131"/>
      <c r="M1131"/>
      <c r="N1131"/>
      <c r="O1131"/>
      <c r="P1131" s="233">
        <f t="shared" si="29"/>
        <v>0</v>
      </c>
      <c r="Q1131" s="233"/>
    </row>
    <row r="1132" spans="4:17" ht="15.75">
      <c r="D1132"/>
      <c r="E1132"/>
      <c r="F1132"/>
      <c r="G1132"/>
      <c r="H1132"/>
      <c r="I1132"/>
      <c r="J1132"/>
      <c r="K1132"/>
      <c r="L1132"/>
      <c r="M1132"/>
      <c r="N1132"/>
      <c r="O1132"/>
      <c r="P1132" s="233">
        <f t="shared" si="29"/>
        <v>0</v>
      </c>
      <c r="Q1132" s="233"/>
    </row>
    <row r="1133" spans="4:17" ht="15.75">
      <c r="D1133"/>
      <c r="E1133"/>
      <c r="F1133"/>
      <c r="G1133"/>
      <c r="H1133"/>
      <c r="I1133"/>
      <c r="J1133"/>
      <c r="K1133"/>
      <c r="L1133"/>
      <c r="M1133"/>
      <c r="N1133"/>
      <c r="O1133"/>
      <c r="P1133" s="233">
        <f t="shared" si="29"/>
        <v>0</v>
      </c>
      <c r="Q1133" s="233"/>
    </row>
    <row r="1134" spans="4:17" ht="15.75">
      <c r="D1134"/>
      <c r="E1134"/>
      <c r="F1134"/>
      <c r="G1134"/>
      <c r="H1134"/>
      <c r="I1134"/>
      <c r="J1134"/>
      <c r="K1134"/>
      <c r="L1134"/>
      <c r="M1134"/>
      <c r="N1134"/>
      <c r="O1134"/>
      <c r="P1134" s="233">
        <f t="shared" si="29"/>
        <v>0</v>
      </c>
      <c r="Q1134" s="233"/>
    </row>
    <row r="1135" spans="4:17" ht="15.75">
      <c r="D1135"/>
      <c r="E1135"/>
      <c r="F1135"/>
      <c r="G1135"/>
      <c r="H1135"/>
      <c r="I1135"/>
      <c r="J1135"/>
      <c r="K1135"/>
      <c r="L1135"/>
      <c r="M1135"/>
      <c r="N1135"/>
      <c r="O1135"/>
      <c r="P1135" s="233">
        <f t="shared" si="29"/>
        <v>0</v>
      </c>
      <c r="Q1135" s="233"/>
    </row>
    <row r="1136" spans="4:17" ht="15.75">
      <c r="D1136"/>
      <c r="E1136"/>
      <c r="F1136"/>
      <c r="G1136"/>
      <c r="H1136"/>
      <c r="I1136"/>
      <c r="J1136"/>
      <c r="K1136"/>
      <c r="L1136"/>
      <c r="M1136"/>
      <c r="N1136"/>
      <c r="O1136"/>
      <c r="P1136" s="233">
        <f t="shared" si="29"/>
        <v>0</v>
      </c>
      <c r="Q1136" s="233"/>
    </row>
    <row r="1137" spans="4:17" ht="15.75">
      <c r="D1137"/>
      <c r="E1137"/>
      <c r="F1137"/>
      <c r="G1137"/>
      <c r="H1137"/>
      <c r="I1137"/>
      <c r="J1137"/>
      <c r="K1137"/>
      <c r="L1137"/>
      <c r="M1137"/>
      <c r="N1137"/>
      <c r="O1137"/>
      <c r="P1137" s="233">
        <f t="shared" si="29"/>
        <v>0</v>
      </c>
      <c r="Q1137" s="233"/>
    </row>
    <row r="1138" spans="4:17" ht="15.75">
      <c r="D1138"/>
      <c r="E1138"/>
      <c r="F1138"/>
      <c r="G1138"/>
      <c r="H1138"/>
      <c r="I1138"/>
      <c r="J1138"/>
      <c r="K1138"/>
      <c r="L1138"/>
      <c r="M1138"/>
      <c r="N1138"/>
      <c r="O1138"/>
      <c r="P1138" s="233">
        <f t="shared" si="29"/>
        <v>0</v>
      </c>
      <c r="Q1138" s="233"/>
    </row>
    <row r="1139" spans="4:17" ht="15.75">
      <c r="D1139"/>
      <c r="E1139"/>
      <c r="F1139"/>
      <c r="G1139"/>
      <c r="H1139"/>
      <c r="I1139"/>
      <c r="J1139"/>
      <c r="K1139"/>
      <c r="L1139"/>
      <c r="M1139"/>
      <c r="N1139"/>
      <c r="O1139"/>
      <c r="P1139" s="233">
        <f t="shared" si="29"/>
        <v>0</v>
      </c>
      <c r="Q1139" s="233"/>
    </row>
    <row r="1140" spans="4:17" ht="15.75">
      <c r="D1140"/>
      <c r="E1140"/>
      <c r="F1140"/>
      <c r="G1140"/>
      <c r="H1140"/>
      <c r="I1140"/>
      <c r="J1140"/>
      <c r="K1140"/>
      <c r="L1140"/>
      <c r="M1140"/>
      <c r="N1140"/>
      <c r="O1140"/>
      <c r="P1140" s="233">
        <f t="shared" si="29"/>
        <v>0</v>
      </c>
      <c r="Q1140" s="233"/>
    </row>
    <row r="1141" spans="4:17" ht="15.75">
      <c r="D1141"/>
      <c r="E1141"/>
      <c r="F1141"/>
      <c r="G1141"/>
      <c r="H1141"/>
      <c r="I1141"/>
      <c r="J1141"/>
      <c r="K1141"/>
      <c r="L1141"/>
      <c r="M1141"/>
      <c r="N1141"/>
      <c r="O1141"/>
      <c r="P1141" s="233">
        <f t="shared" si="29"/>
        <v>0</v>
      </c>
      <c r="Q1141" s="233"/>
    </row>
    <row r="1142" spans="4:17" ht="15.75">
      <c r="D1142"/>
      <c r="E1142"/>
      <c r="F1142"/>
      <c r="G1142"/>
      <c r="H1142"/>
      <c r="I1142"/>
      <c r="J1142"/>
      <c r="K1142"/>
      <c r="L1142"/>
      <c r="M1142"/>
      <c r="N1142"/>
      <c r="O1142"/>
      <c r="P1142" s="233">
        <f t="shared" si="29"/>
        <v>0</v>
      </c>
      <c r="Q1142" s="233"/>
    </row>
    <row r="1143" spans="4:17" ht="15.75">
      <c r="D1143"/>
      <c r="E1143"/>
      <c r="F1143"/>
      <c r="G1143"/>
      <c r="H1143"/>
      <c r="I1143"/>
      <c r="J1143"/>
      <c r="K1143"/>
      <c r="L1143"/>
      <c r="M1143"/>
      <c r="N1143"/>
      <c r="O1143"/>
      <c r="P1143" s="233">
        <f t="shared" si="29"/>
        <v>0</v>
      </c>
      <c r="Q1143" s="233"/>
    </row>
    <row r="1144" spans="4:17" ht="15.75">
      <c r="D1144"/>
      <c r="E1144"/>
      <c r="F1144"/>
      <c r="G1144"/>
      <c r="H1144"/>
      <c r="I1144"/>
      <c r="J1144"/>
      <c r="K1144"/>
      <c r="L1144"/>
      <c r="M1144"/>
      <c r="N1144"/>
      <c r="O1144"/>
      <c r="P1144" s="233">
        <f t="shared" si="29"/>
        <v>0</v>
      </c>
      <c r="Q1144" s="233"/>
    </row>
    <row r="1145" spans="4:17" ht="15.75">
      <c r="D1145"/>
      <c r="E1145"/>
      <c r="F1145"/>
      <c r="G1145"/>
      <c r="H1145"/>
      <c r="I1145"/>
      <c r="J1145"/>
      <c r="K1145"/>
      <c r="L1145"/>
      <c r="M1145"/>
      <c r="N1145"/>
      <c r="O1145"/>
      <c r="P1145" s="233">
        <f t="shared" si="29"/>
        <v>0</v>
      </c>
      <c r="Q1145" s="233"/>
    </row>
    <row r="1146" spans="4:17" ht="15.75">
      <c r="D1146"/>
      <c r="E1146"/>
      <c r="F1146"/>
      <c r="G1146"/>
      <c r="H1146"/>
      <c r="I1146"/>
      <c r="J1146"/>
      <c r="K1146"/>
      <c r="L1146"/>
      <c r="M1146"/>
      <c r="N1146"/>
      <c r="O1146"/>
      <c r="P1146" s="233">
        <f t="shared" si="29"/>
        <v>0</v>
      </c>
      <c r="Q1146" s="233"/>
    </row>
    <row r="1147" spans="4:17" ht="15.75">
      <c r="D1147"/>
      <c r="E1147"/>
      <c r="F1147"/>
      <c r="G1147"/>
      <c r="H1147"/>
      <c r="I1147"/>
      <c r="J1147"/>
      <c r="K1147"/>
      <c r="L1147"/>
      <c r="M1147"/>
      <c r="N1147"/>
      <c r="O1147"/>
      <c r="P1147" s="233">
        <f t="shared" si="29"/>
        <v>0</v>
      </c>
      <c r="Q1147" s="233"/>
    </row>
    <row r="1148" spans="4:17" ht="15.75">
      <c r="D1148"/>
      <c r="E1148"/>
      <c r="F1148"/>
      <c r="G1148"/>
      <c r="H1148"/>
      <c r="I1148"/>
      <c r="J1148"/>
      <c r="K1148"/>
      <c r="L1148"/>
      <c r="M1148"/>
      <c r="N1148"/>
      <c r="O1148"/>
      <c r="P1148" s="233">
        <f t="shared" si="29"/>
        <v>0</v>
      </c>
      <c r="Q1148" s="233"/>
    </row>
    <row r="1149" spans="4:17" ht="15.75">
      <c r="D1149"/>
      <c r="E1149"/>
      <c r="F1149"/>
      <c r="G1149"/>
      <c r="H1149"/>
      <c r="I1149"/>
      <c r="J1149"/>
      <c r="K1149"/>
      <c r="L1149"/>
      <c r="M1149"/>
      <c r="N1149"/>
      <c r="O1149"/>
      <c r="P1149" s="233">
        <f t="shared" si="29"/>
        <v>0</v>
      </c>
      <c r="Q1149" s="233"/>
    </row>
    <row r="1150" spans="4:17" ht="15.75">
      <c r="D1150"/>
      <c r="E1150"/>
      <c r="F1150"/>
      <c r="G1150"/>
      <c r="H1150"/>
      <c r="I1150"/>
      <c r="J1150"/>
      <c r="K1150"/>
      <c r="L1150"/>
      <c r="M1150"/>
      <c r="N1150"/>
      <c r="O1150"/>
      <c r="P1150" s="233">
        <f t="shared" si="29"/>
        <v>0</v>
      </c>
      <c r="Q1150" s="233"/>
    </row>
    <row r="1151" spans="4:17" ht="15.75">
      <c r="D1151"/>
      <c r="E1151"/>
      <c r="F1151"/>
      <c r="G1151"/>
      <c r="H1151"/>
      <c r="I1151"/>
      <c r="J1151"/>
      <c r="K1151"/>
      <c r="L1151"/>
      <c r="M1151"/>
      <c r="N1151"/>
      <c r="O1151"/>
      <c r="P1151" s="233">
        <f t="shared" si="29"/>
        <v>0</v>
      </c>
      <c r="Q1151" s="233"/>
    </row>
    <row r="1152" spans="4:17" ht="15.75">
      <c r="D1152"/>
      <c r="E1152"/>
      <c r="F1152"/>
      <c r="G1152"/>
      <c r="H1152"/>
      <c r="I1152"/>
      <c r="J1152"/>
      <c r="K1152"/>
      <c r="L1152"/>
      <c r="M1152"/>
      <c r="N1152"/>
      <c r="O1152"/>
      <c r="P1152" s="233">
        <f t="shared" si="29"/>
        <v>0</v>
      </c>
      <c r="Q1152" s="233"/>
    </row>
    <row r="1153" spans="4:17" ht="15.75">
      <c r="D1153"/>
      <c r="E1153"/>
      <c r="F1153"/>
      <c r="G1153"/>
      <c r="H1153"/>
      <c r="I1153"/>
      <c r="J1153"/>
      <c r="K1153"/>
      <c r="L1153"/>
      <c r="M1153"/>
      <c r="N1153"/>
      <c r="O1153"/>
      <c r="P1153" s="233">
        <f t="shared" si="29"/>
        <v>0</v>
      </c>
      <c r="Q1153" s="233"/>
    </row>
    <row r="1154" spans="4:17" ht="15.75">
      <c r="D1154"/>
      <c r="E1154"/>
      <c r="F1154"/>
      <c r="G1154"/>
      <c r="H1154"/>
      <c r="I1154"/>
      <c r="J1154"/>
      <c r="K1154"/>
      <c r="L1154"/>
      <c r="M1154"/>
      <c r="N1154"/>
      <c r="O1154"/>
      <c r="P1154" s="233">
        <f t="shared" si="29"/>
        <v>0</v>
      </c>
      <c r="Q1154" s="233"/>
    </row>
    <row r="1155" spans="4:17" ht="15.75">
      <c r="D1155"/>
      <c r="E1155"/>
      <c r="F1155"/>
      <c r="G1155"/>
      <c r="H1155"/>
      <c r="I1155"/>
      <c r="J1155"/>
      <c r="K1155"/>
      <c r="L1155"/>
      <c r="M1155"/>
      <c r="N1155"/>
      <c r="O1155"/>
      <c r="P1155" s="233">
        <f t="shared" si="29"/>
        <v>0</v>
      </c>
      <c r="Q1155" s="233"/>
    </row>
    <row r="1156" spans="4:17" ht="15.75">
      <c r="D1156"/>
      <c r="E1156"/>
      <c r="F1156"/>
      <c r="G1156"/>
      <c r="H1156"/>
      <c r="I1156"/>
      <c r="J1156"/>
      <c r="K1156"/>
      <c r="L1156"/>
      <c r="M1156"/>
      <c r="N1156"/>
      <c r="O1156"/>
      <c r="P1156" s="233">
        <f t="shared" si="29"/>
        <v>0</v>
      </c>
      <c r="Q1156" s="233"/>
    </row>
    <row r="1157" spans="4:17" ht="15.75">
      <c r="D1157"/>
      <c r="E1157"/>
      <c r="F1157"/>
      <c r="G1157"/>
      <c r="H1157"/>
      <c r="I1157"/>
      <c r="J1157"/>
      <c r="K1157"/>
      <c r="L1157"/>
      <c r="M1157"/>
      <c r="N1157"/>
      <c r="O1157"/>
      <c r="P1157" s="233">
        <f t="shared" si="29"/>
        <v>0</v>
      </c>
      <c r="Q1157" s="233"/>
    </row>
    <row r="1158" spans="4:17" ht="15.75">
      <c r="D1158"/>
      <c r="E1158"/>
      <c r="F1158"/>
      <c r="G1158"/>
      <c r="H1158"/>
      <c r="I1158"/>
      <c r="J1158"/>
      <c r="K1158"/>
      <c r="L1158"/>
      <c r="M1158"/>
      <c r="N1158"/>
      <c r="O1158"/>
      <c r="P1158" s="233">
        <f t="shared" si="29"/>
        <v>0</v>
      </c>
      <c r="Q1158" s="233"/>
    </row>
    <row r="1159" spans="4:17" ht="15.75">
      <c r="D1159"/>
      <c r="E1159"/>
      <c r="F1159"/>
      <c r="G1159"/>
      <c r="H1159"/>
      <c r="I1159"/>
      <c r="J1159"/>
      <c r="K1159"/>
      <c r="L1159"/>
      <c r="M1159"/>
      <c r="N1159"/>
      <c r="O1159"/>
      <c r="P1159" s="233">
        <f t="shared" si="29"/>
        <v>0</v>
      </c>
      <c r="Q1159" s="233"/>
    </row>
    <row r="1160" spans="4:17" ht="15.75">
      <c r="D1160"/>
      <c r="E1160"/>
      <c r="F1160"/>
      <c r="G1160"/>
      <c r="H1160"/>
      <c r="I1160"/>
      <c r="J1160"/>
      <c r="K1160"/>
      <c r="L1160"/>
      <c r="M1160"/>
      <c r="N1160"/>
      <c r="O1160"/>
      <c r="P1160" s="233">
        <f t="shared" si="29"/>
        <v>0</v>
      </c>
      <c r="Q1160" s="233"/>
    </row>
    <row r="1161" spans="4:17" ht="15.75">
      <c r="D1161"/>
      <c r="E1161"/>
      <c r="F1161"/>
      <c r="G1161"/>
      <c r="H1161"/>
      <c r="I1161"/>
      <c r="J1161"/>
      <c r="K1161"/>
      <c r="L1161"/>
      <c r="M1161"/>
      <c r="N1161"/>
      <c r="O1161"/>
      <c r="P1161" s="233">
        <f t="shared" si="29"/>
        <v>0</v>
      </c>
      <c r="Q1161" s="233"/>
    </row>
    <row r="1162" spans="4:17" ht="15.75">
      <c r="D1162"/>
      <c r="E1162"/>
      <c r="F1162"/>
      <c r="G1162"/>
      <c r="H1162"/>
      <c r="I1162"/>
      <c r="J1162"/>
      <c r="K1162"/>
      <c r="L1162"/>
      <c r="M1162"/>
      <c r="N1162"/>
      <c r="O1162"/>
      <c r="P1162" s="233">
        <f t="shared" si="29"/>
        <v>0</v>
      </c>
      <c r="Q1162" s="233"/>
    </row>
    <row r="1163" spans="4:17" ht="15.75">
      <c r="D1163"/>
      <c r="E1163"/>
      <c r="F1163"/>
      <c r="G1163"/>
      <c r="H1163"/>
      <c r="I1163"/>
      <c r="J1163"/>
      <c r="K1163"/>
      <c r="L1163"/>
      <c r="M1163"/>
      <c r="N1163"/>
      <c r="O1163"/>
      <c r="P1163" s="233">
        <f t="shared" si="29"/>
        <v>0</v>
      </c>
      <c r="Q1163" s="233"/>
    </row>
    <row r="1164" spans="4:17" ht="15.75">
      <c r="D1164"/>
      <c r="E1164"/>
      <c r="F1164"/>
      <c r="G1164"/>
      <c r="H1164"/>
      <c r="I1164"/>
      <c r="J1164"/>
      <c r="K1164"/>
      <c r="L1164"/>
      <c r="M1164"/>
      <c r="N1164"/>
      <c r="O1164"/>
      <c r="P1164" s="233">
        <f t="shared" si="29"/>
        <v>0</v>
      </c>
      <c r="Q1164" s="233"/>
    </row>
    <row r="1165" spans="4:17" ht="15.75">
      <c r="D1165"/>
      <c r="E1165"/>
      <c r="F1165"/>
      <c r="G1165"/>
      <c r="H1165"/>
      <c r="I1165"/>
      <c r="J1165"/>
      <c r="K1165"/>
      <c r="L1165"/>
      <c r="M1165"/>
      <c r="N1165"/>
      <c r="O1165"/>
      <c r="P1165" s="233">
        <f t="shared" si="29"/>
        <v>0</v>
      </c>
      <c r="Q1165" s="233"/>
    </row>
    <row r="1166" spans="4:17" ht="15.75">
      <c r="D1166"/>
      <c r="E1166"/>
      <c r="F1166"/>
      <c r="G1166"/>
      <c r="H1166"/>
      <c r="I1166"/>
      <c r="J1166"/>
      <c r="K1166"/>
      <c r="L1166"/>
      <c r="M1166"/>
      <c r="N1166"/>
      <c r="O1166"/>
      <c r="P1166" s="233">
        <f t="shared" ref="P1166:P1229" si="30">IF(ISNUMBER(Q1166),Q1166,0)</f>
        <v>0</v>
      </c>
      <c r="Q1166" s="233"/>
    </row>
    <row r="1167" spans="4:17" ht="15.75">
      <c r="D1167"/>
      <c r="E1167"/>
      <c r="F1167"/>
      <c r="G1167"/>
      <c r="H1167"/>
      <c r="I1167"/>
      <c r="J1167"/>
      <c r="K1167"/>
      <c r="L1167"/>
      <c r="M1167"/>
      <c r="N1167"/>
      <c r="O1167"/>
      <c r="P1167" s="233">
        <f t="shared" si="30"/>
        <v>0</v>
      </c>
      <c r="Q1167" s="233"/>
    </row>
    <row r="1168" spans="4:17" ht="15.75">
      <c r="D1168"/>
      <c r="E1168"/>
      <c r="F1168"/>
      <c r="G1168"/>
      <c r="H1168"/>
      <c r="I1168"/>
      <c r="J1168"/>
      <c r="K1168"/>
      <c r="L1168"/>
      <c r="M1168"/>
      <c r="N1168"/>
      <c r="O1168"/>
      <c r="P1168" s="233">
        <f t="shared" si="30"/>
        <v>0</v>
      </c>
      <c r="Q1168" s="233"/>
    </row>
    <row r="1169" spans="4:17" ht="15.75">
      <c r="D1169"/>
      <c r="E1169"/>
      <c r="F1169"/>
      <c r="G1169"/>
      <c r="H1169"/>
      <c r="I1169"/>
      <c r="J1169"/>
      <c r="K1169"/>
      <c r="L1169"/>
      <c r="M1169"/>
      <c r="N1169"/>
      <c r="O1169"/>
      <c r="P1169" s="233">
        <f t="shared" si="30"/>
        <v>0</v>
      </c>
      <c r="Q1169" s="233"/>
    </row>
    <row r="1170" spans="4:17" ht="15.75">
      <c r="D1170"/>
      <c r="E1170"/>
      <c r="F1170"/>
      <c r="G1170"/>
      <c r="H1170"/>
      <c r="I1170"/>
      <c r="J1170"/>
      <c r="K1170"/>
      <c r="L1170"/>
      <c r="M1170"/>
      <c r="N1170"/>
      <c r="O1170"/>
      <c r="P1170" s="233">
        <f t="shared" si="30"/>
        <v>0</v>
      </c>
      <c r="Q1170" s="233"/>
    </row>
    <row r="1171" spans="4:17" ht="15.75">
      <c r="D1171"/>
      <c r="E1171"/>
      <c r="F1171"/>
      <c r="G1171"/>
      <c r="H1171"/>
      <c r="I1171"/>
      <c r="J1171"/>
      <c r="K1171"/>
      <c r="L1171"/>
      <c r="M1171"/>
      <c r="N1171"/>
      <c r="O1171"/>
      <c r="P1171" s="233">
        <f t="shared" si="30"/>
        <v>0</v>
      </c>
      <c r="Q1171" s="233"/>
    </row>
    <row r="1172" spans="4:17" ht="15.75">
      <c r="D1172"/>
      <c r="E1172"/>
      <c r="F1172"/>
      <c r="G1172"/>
      <c r="H1172"/>
      <c r="I1172"/>
      <c r="J1172"/>
      <c r="K1172"/>
      <c r="L1172"/>
      <c r="M1172"/>
      <c r="N1172"/>
      <c r="O1172"/>
      <c r="P1172" s="233">
        <f t="shared" si="30"/>
        <v>0</v>
      </c>
      <c r="Q1172" s="233"/>
    </row>
    <row r="1173" spans="4:17" ht="15.75">
      <c r="D1173"/>
      <c r="E1173"/>
      <c r="F1173"/>
      <c r="G1173"/>
      <c r="H1173"/>
      <c r="I1173"/>
      <c r="J1173"/>
      <c r="K1173"/>
      <c r="L1173"/>
      <c r="M1173"/>
      <c r="N1173"/>
      <c r="O1173"/>
      <c r="P1173" s="233">
        <f t="shared" si="30"/>
        <v>0</v>
      </c>
      <c r="Q1173" s="233"/>
    </row>
    <row r="1174" spans="4:17" ht="15.75">
      <c r="D1174"/>
      <c r="E1174"/>
      <c r="F1174"/>
      <c r="G1174"/>
      <c r="H1174"/>
      <c r="I1174"/>
      <c r="J1174"/>
      <c r="K1174"/>
      <c r="L1174"/>
      <c r="M1174"/>
      <c r="N1174"/>
      <c r="O1174"/>
      <c r="P1174" s="233">
        <f t="shared" si="30"/>
        <v>0</v>
      </c>
      <c r="Q1174" s="233"/>
    </row>
    <row r="1175" spans="4:17" ht="15.75">
      <c r="D1175"/>
      <c r="E1175"/>
      <c r="F1175"/>
      <c r="G1175"/>
      <c r="H1175"/>
      <c r="I1175"/>
      <c r="J1175"/>
      <c r="K1175"/>
      <c r="L1175"/>
      <c r="M1175"/>
      <c r="N1175"/>
      <c r="O1175"/>
      <c r="P1175" s="233">
        <f t="shared" si="30"/>
        <v>0</v>
      </c>
      <c r="Q1175" s="233"/>
    </row>
    <row r="1176" spans="4:17" ht="15.75">
      <c r="D1176"/>
      <c r="E1176"/>
      <c r="F1176"/>
      <c r="G1176"/>
      <c r="H1176"/>
      <c r="I1176"/>
      <c r="J1176"/>
      <c r="K1176"/>
      <c r="L1176"/>
      <c r="M1176"/>
      <c r="N1176"/>
      <c r="O1176"/>
      <c r="P1176" s="233">
        <f t="shared" si="30"/>
        <v>0</v>
      </c>
      <c r="Q1176" s="233"/>
    </row>
    <row r="1177" spans="4:17" ht="15.75">
      <c r="D1177"/>
      <c r="E1177"/>
      <c r="F1177"/>
      <c r="G1177"/>
      <c r="H1177"/>
      <c r="I1177"/>
      <c r="J1177"/>
      <c r="K1177"/>
      <c r="L1177"/>
      <c r="M1177"/>
      <c r="N1177"/>
      <c r="O1177"/>
      <c r="P1177" s="233">
        <f t="shared" si="30"/>
        <v>0</v>
      </c>
      <c r="Q1177" s="233"/>
    </row>
    <row r="1178" spans="4:17" ht="15.75">
      <c r="D1178"/>
      <c r="E1178"/>
      <c r="F1178"/>
      <c r="G1178"/>
      <c r="H1178"/>
      <c r="I1178"/>
      <c r="J1178"/>
      <c r="K1178"/>
      <c r="L1178"/>
      <c r="M1178"/>
      <c r="N1178"/>
      <c r="O1178"/>
      <c r="P1178" s="233">
        <f t="shared" si="30"/>
        <v>0</v>
      </c>
      <c r="Q1178" s="233"/>
    </row>
    <row r="1179" spans="4:17" ht="15.75">
      <c r="D1179"/>
      <c r="E1179"/>
      <c r="F1179"/>
      <c r="G1179"/>
      <c r="H1179"/>
      <c r="I1179"/>
      <c r="J1179"/>
      <c r="K1179"/>
      <c r="L1179"/>
      <c r="M1179"/>
      <c r="N1179"/>
      <c r="O1179"/>
      <c r="P1179" s="233">
        <f t="shared" si="30"/>
        <v>0</v>
      </c>
      <c r="Q1179" s="233"/>
    </row>
    <row r="1180" spans="4:17" ht="15.75">
      <c r="D1180"/>
      <c r="E1180"/>
      <c r="F1180"/>
      <c r="G1180"/>
      <c r="H1180"/>
      <c r="I1180"/>
      <c r="J1180"/>
      <c r="K1180"/>
      <c r="L1180"/>
      <c r="M1180"/>
      <c r="N1180"/>
      <c r="O1180"/>
      <c r="P1180" s="233">
        <f t="shared" si="30"/>
        <v>0</v>
      </c>
      <c r="Q1180" s="233"/>
    </row>
    <row r="1181" spans="4:17" ht="15.75">
      <c r="D1181"/>
      <c r="E1181"/>
      <c r="F1181"/>
      <c r="G1181"/>
      <c r="H1181"/>
      <c r="I1181"/>
      <c r="J1181"/>
      <c r="K1181"/>
      <c r="L1181"/>
      <c r="M1181"/>
      <c r="N1181"/>
      <c r="O1181"/>
      <c r="P1181" s="233">
        <f t="shared" si="30"/>
        <v>0</v>
      </c>
      <c r="Q1181" s="233"/>
    </row>
    <row r="1182" spans="4:17" ht="15.75">
      <c r="D1182"/>
      <c r="E1182"/>
      <c r="F1182"/>
      <c r="G1182"/>
      <c r="H1182"/>
      <c r="I1182"/>
      <c r="J1182"/>
      <c r="K1182"/>
      <c r="L1182"/>
      <c r="M1182"/>
      <c r="N1182"/>
      <c r="O1182"/>
      <c r="P1182" s="233">
        <f t="shared" si="30"/>
        <v>0</v>
      </c>
      <c r="Q1182" s="233"/>
    </row>
    <row r="1183" spans="4:17" ht="15.75">
      <c r="D1183"/>
      <c r="E1183"/>
      <c r="F1183"/>
      <c r="G1183"/>
      <c r="H1183"/>
      <c r="I1183"/>
      <c r="J1183"/>
      <c r="K1183"/>
      <c r="L1183"/>
      <c r="M1183"/>
      <c r="N1183"/>
      <c r="O1183"/>
      <c r="P1183" s="233">
        <f t="shared" si="30"/>
        <v>0</v>
      </c>
      <c r="Q1183" s="233"/>
    </row>
    <row r="1184" spans="4:17" ht="15.75">
      <c r="D1184"/>
      <c r="E1184"/>
      <c r="F1184"/>
      <c r="G1184"/>
      <c r="H1184"/>
      <c r="I1184"/>
      <c r="J1184"/>
      <c r="K1184"/>
      <c r="L1184"/>
      <c r="M1184"/>
      <c r="N1184"/>
      <c r="O1184"/>
      <c r="P1184" s="233">
        <f t="shared" si="30"/>
        <v>0</v>
      </c>
      <c r="Q1184" s="233"/>
    </row>
    <row r="1185" spans="4:17" ht="15.75">
      <c r="D1185"/>
      <c r="E1185"/>
      <c r="F1185"/>
      <c r="G1185"/>
      <c r="H1185"/>
      <c r="I1185"/>
      <c r="J1185"/>
      <c r="K1185"/>
      <c r="L1185"/>
      <c r="M1185"/>
      <c r="N1185"/>
      <c r="O1185"/>
      <c r="P1185" s="233">
        <f t="shared" si="30"/>
        <v>0</v>
      </c>
      <c r="Q1185" s="233"/>
    </row>
    <row r="1186" spans="4:17" ht="15.75">
      <c r="D1186"/>
      <c r="E1186"/>
      <c r="F1186"/>
      <c r="G1186"/>
      <c r="H1186"/>
      <c r="I1186"/>
      <c r="J1186"/>
      <c r="K1186"/>
      <c r="L1186"/>
      <c r="M1186"/>
      <c r="N1186"/>
      <c r="O1186"/>
      <c r="P1186" s="233">
        <f t="shared" si="30"/>
        <v>0</v>
      </c>
      <c r="Q1186" s="233"/>
    </row>
    <row r="1187" spans="4:17" ht="15.75">
      <c r="D1187"/>
      <c r="E1187"/>
      <c r="F1187"/>
      <c r="G1187"/>
      <c r="H1187"/>
      <c r="I1187"/>
      <c r="J1187"/>
      <c r="K1187"/>
      <c r="L1187"/>
      <c r="M1187"/>
      <c r="N1187"/>
      <c r="O1187"/>
      <c r="P1187" s="233">
        <f t="shared" si="30"/>
        <v>0</v>
      </c>
      <c r="Q1187" s="233"/>
    </row>
    <row r="1188" spans="4:17" ht="15.75">
      <c r="D1188"/>
      <c r="E1188"/>
      <c r="F1188"/>
      <c r="G1188"/>
      <c r="H1188"/>
      <c r="I1188"/>
      <c r="J1188"/>
      <c r="K1188"/>
      <c r="L1188"/>
      <c r="M1188"/>
      <c r="N1188"/>
      <c r="O1188"/>
      <c r="P1188" s="233">
        <f t="shared" si="30"/>
        <v>0</v>
      </c>
      <c r="Q1188" s="233"/>
    </row>
    <row r="1189" spans="4:17" ht="15.75">
      <c r="D1189"/>
      <c r="E1189"/>
      <c r="F1189"/>
      <c r="G1189"/>
      <c r="H1189"/>
      <c r="I1189"/>
      <c r="J1189"/>
      <c r="K1189"/>
      <c r="L1189"/>
      <c r="M1189"/>
      <c r="N1189"/>
      <c r="O1189"/>
      <c r="P1189" s="233">
        <f t="shared" si="30"/>
        <v>0</v>
      </c>
      <c r="Q1189" s="233"/>
    </row>
    <row r="1190" spans="4:17" ht="15.75">
      <c r="D1190"/>
      <c r="E1190"/>
      <c r="F1190"/>
      <c r="G1190"/>
      <c r="H1190"/>
      <c r="I1190"/>
      <c r="J1190"/>
      <c r="K1190"/>
      <c r="L1190"/>
      <c r="M1190"/>
      <c r="N1190"/>
      <c r="O1190"/>
      <c r="P1190" s="233">
        <f t="shared" si="30"/>
        <v>0</v>
      </c>
      <c r="Q1190" s="233"/>
    </row>
    <row r="1191" spans="4:17" ht="15.75">
      <c r="D1191"/>
      <c r="E1191"/>
      <c r="F1191"/>
      <c r="G1191"/>
      <c r="H1191"/>
      <c r="I1191"/>
      <c r="J1191"/>
      <c r="K1191"/>
      <c r="L1191"/>
      <c r="M1191"/>
      <c r="N1191"/>
      <c r="O1191"/>
      <c r="P1191" s="233">
        <f t="shared" si="30"/>
        <v>0</v>
      </c>
      <c r="Q1191" s="233"/>
    </row>
    <row r="1192" spans="4:17" ht="15.75">
      <c r="D1192"/>
      <c r="E1192"/>
      <c r="F1192"/>
      <c r="G1192"/>
      <c r="H1192"/>
      <c r="I1192"/>
      <c r="J1192"/>
      <c r="K1192"/>
      <c r="L1192"/>
      <c r="M1192"/>
      <c r="N1192"/>
      <c r="O1192"/>
      <c r="P1192" s="233">
        <f t="shared" si="30"/>
        <v>0</v>
      </c>
      <c r="Q1192" s="233"/>
    </row>
    <row r="1193" spans="4:17" ht="15.75">
      <c r="D1193"/>
      <c r="E1193"/>
      <c r="F1193"/>
      <c r="G1193"/>
      <c r="H1193"/>
      <c r="I1193"/>
      <c r="J1193"/>
      <c r="K1193"/>
      <c r="L1193"/>
      <c r="M1193"/>
      <c r="N1193"/>
      <c r="O1193"/>
      <c r="P1193" s="233">
        <f t="shared" si="30"/>
        <v>0</v>
      </c>
      <c r="Q1193" s="233"/>
    </row>
    <row r="1194" spans="4:17" ht="15.75">
      <c r="D1194"/>
      <c r="E1194"/>
      <c r="F1194"/>
      <c r="G1194"/>
      <c r="H1194"/>
      <c r="I1194"/>
      <c r="J1194"/>
      <c r="K1194"/>
      <c r="L1194"/>
      <c r="M1194"/>
      <c r="N1194"/>
      <c r="O1194"/>
      <c r="P1194" s="233">
        <f t="shared" si="30"/>
        <v>0</v>
      </c>
      <c r="Q1194" s="233"/>
    </row>
    <row r="1195" spans="4:17" ht="15.75">
      <c r="D1195"/>
      <c r="E1195"/>
      <c r="F1195"/>
      <c r="G1195"/>
      <c r="H1195"/>
      <c r="I1195"/>
      <c r="J1195"/>
      <c r="K1195"/>
      <c r="L1195"/>
      <c r="M1195"/>
      <c r="N1195"/>
      <c r="O1195"/>
      <c r="P1195" s="233">
        <f t="shared" si="30"/>
        <v>0</v>
      </c>
      <c r="Q1195" s="233"/>
    </row>
    <row r="1196" spans="4:17" ht="15.75">
      <c r="D1196"/>
      <c r="E1196"/>
      <c r="F1196"/>
      <c r="G1196"/>
      <c r="H1196"/>
      <c r="I1196"/>
      <c r="J1196"/>
      <c r="K1196"/>
      <c r="L1196"/>
      <c r="M1196"/>
      <c r="N1196"/>
      <c r="O1196"/>
      <c r="P1196" s="233">
        <f t="shared" si="30"/>
        <v>0</v>
      </c>
      <c r="Q1196" s="233"/>
    </row>
    <row r="1197" spans="4:17" ht="15.75">
      <c r="D1197"/>
      <c r="E1197"/>
      <c r="F1197"/>
      <c r="G1197"/>
      <c r="H1197"/>
      <c r="I1197"/>
      <c r="J1197"/>
      <c r="K1197"/>
      <c r="L1197"/>
      <c r="M1197"/>
      <c r="N1197"/>
      <c r="O1197"/>
      <c r="P1197" s="233">
        <f t="shared" si="30"/>
        <v>0</v>
      </c>
      <c r="Q1197" s="233"/>
    </row>
    <row r="1198" spans="4:17" ht="15.75">
      <c r="D1198"/>
      <c r="E1198"/>
      <c r="F1198"/>
      <c r="G1198"/>
      <c r="H1198"/>
      <c r="I1198"/>
      <c r="J1198"/>
      <c r="K1198"/>
      <c r="L1198"/>
      <c r="M1198"/>
      <c r="N1198"/>
      <c r="O1198"/>
      <c r="P1198" s="233">
        <f t="shared" si="30"/>
        <v>0</v>
      </c>
      <c r="Q1198" s="233"/>
    </row>
    <row r="1199" spans="4:17" ht="15.75">
      <c r="D1199"/>
      <c r="E1199"/>
      <c r="F1199"/>
      <c r="G1199"/>
      <c r="H1199"/>
      <c r="I1199"/>
      <c r="J1199"/>
      <c r="K1199"/>
      <c r="L1199"/>
      <c r="M1199"/>
      <c r="N1199"/>
      <c r="O1199"/>
      <c r="P1199" s="233">
        <f t="shared" si="30"/>
        <v>0</v>
      </c>
      <c r="Q1199" s="233"/>
    </row>
    <row r="1200" spans="4:17" ht="15.75">
      <c r="D1200"/>
      <c r="E1200"/>
      <c r="F1200"/>
      <c r="G1200"/>
      <c r="H1200"/>
      <c r="I1200"/>
      <c r="J1200"/>
      <c r="K1200"/>
      <c r="L1200"/>
      <c r="M1200"/>
      <c r="N1200"/>
      <c r="O1200"/>
      <c r="P1200" s="233">
        <f t="shared" si="30"/>
        <v>0</v>
      </c>
      <c r="Q1200" s="233"/>
    </row>
    <row r="1201" spans="4:17" ht="15.75">
      <c r="D1201"/>
      <c r="E1201"/>
      <c r="F1201"/>
      <c r="G1201"/>
      <c r="H1201"/>
      <c r="I1201"/>
      <c r="J1201"/>
      <c r="K1201"/>
      <c r="L1201"/>
      <c r="M1201"/>
      <c r="N1201"/>
      <c r="O1201"/>
      <c r="P1201" s="233">
        <f t="shared" si="30"/>
        <v>0</v>
      </c>
      <c r="Q1201" s="233"/>
    </row>
    <row r="1202" spans="4:17" ht="15.75">
      <c r="D1202"/>
      <c r="E1202"/>
      <c r="F1202"/>
      <c r="G1202"/>
      <c r="H1202"/>
      <c r="I1202"/>
      <c r="J1202"/>
      <c r="K1202"/>
      <c r="L1202"/>
      <c r="M1202"/>
      <c r="N1202"/>
      <c r="O1202"/>
      <c r="P1202" s="233">
        <f t="shared" si="30"/>
        <v>0</v>
      </c>
      <c r="Q1202" s="233"/>
    </row>
    <row r="1203" spans="4:17" ht="15.75">
      <c r="D1203"/>
      <c r="E1203"/>
      <c r="F1203"/>
      <c r="G1203"/>
      <c r="H1203"/>
      <c r="I1203"/>
      <c r="J1203"/>
      <c r="K1203"/>
      <c r="L1203"/>
      <c r="M1203"/>
      <c r="N1203"/>
      <c r="O1203"/>
      <c r="P1203" s="233">
        <f t="shared" si="30"/>
        <v>0</v>
      </c>
      <c r="Q1203" s="233"/>
    </row>
    <row r="1204" spans="4:17" ht="15.75">
      <c r="D1204"/>
      <c r="E1204"/>
      <c r="F1204"/>
      <c r="G1204"/>
      <c r="H1204"/>
      <c r="I1204"/>
      <c r="J1204"/>
      <c r="K1204"/>
      <c r="L1204"/>
      <c r="M1204"/>
      <c r="N1204"/>
      <c r="O1204"/>
      <c r="P1204" s="233">
        <f t="shared" si="30"/>
        <v>0</v>
      </c>
      <c r="Q1204" s="233"/>
    </row>
    <row r="1205" spans="4:17" ht="15.75">
      <c r="D1205"/>
      <c r="E1205"/>
      <c r="F1205"/>
      <c r="G1205"/>
      <c r="H1205"/>
      <c r="I1205"/>
      <c r="J1205"/>
      <c r="K1205"/>
      <c r="L1205"/>
      <c r="M1205"/>
      <c r="N1205"/>
      <c r="O1205"/>
      <c r="P1205" s="233">
        <f t="shared" si="30"/>
        <v>0</v>
      </c>
      <c r="Q1205" s="233"/>
    </row>
    <row r="1206" spans="4:17" ht="15.75">
      <c r="D1206"/>
      <c r="E1206"/>
      <c r="F1206"/>
      <c r="G1206"/>
      <c r="H1206"/>
      <c r="I1206"/>
      <c r="J1206"/>
      <c r="K1206"/>
      <c r="L1206"/>
      <c r="M1206"/>
      <c r="N1206"/>
      <c r="O1206"/>
      <c r="P1206" s="233">
        <f t="shared" si="30"/>
        <v>0</v>
      </c>
      <c r="Q1206" s="233"/>
    </row>
    <row r="1207" spans="4:17" ht="15.75">
      <c r="D1207"/>
      <c r="E1207"/>
      <c r="F1207"/>
      <c r="G1207"/>
      <c r="H1207"/>
      <c r="I1207"/>
      <c r="J1207"/>
      <c r="K1207"/>
      <c r="L1207"/>
      <c r="M1207"/>
      <c r="N1207"/>
      <c r="O1207"/>
      <c r="P1207" s="233">
        <f t="shared" si="30"/>
        <v>0</v>
      </c>
      <c r="Q1207" s="233"/>
    </row>
    <row r="1208" spans="4:17" ht="15.75">
      <c r="D1208"/>
      <c r="E1208"/>
      <c r="F1208"/>
      <c r="G1208"/>
      <c r="H1208"/>
      <c r="I1208"/>
      <c r="J1208"/>
      <c r="K1208"/>
      <c r="L1208"/>
      <c r="M1208"/>
      <c r="N1208"/>
      <c r="O1208"/>
      <c r="P1208" s="233">
        <f t="shared" si="30"/>
        <v>0</v>
      </c>
      <c r="Q1208" s="233"/>
    </row>
    <row r="1209" spans="4:17" ht="15.75">
      <c r="D1209"/>
      <c r="E1209"/>
      <c r="F1209"/>
      <c r="G1209"/>
      <c r="H1209"/>
      <c r="I1209"/>
      <c r="J1209"/>
      <c r="K1209"/>
      <c r="L1209"/>
      <c r="M1209"/>
      <c r="N1209"/>
      <c r="O1209"/>
      <c r="P1209" s="233">
        <f t="shared" si="30"/>
        <v>0</v>
      </c>
      <c r="Q1209" s="233"/>
    </row>
    <row r="1210" spans="4:17" ht="15.75">
      <c r="D1210"/>
      <c r="E1210"/>
      <c r="F1210"/>
      <c r="G1210"/>
      <c r="H1210"/>
      <c r="I1210"/>
      <c r="J1210"/>
      <c r="K1210"/>
      <c r="L1210"/>
      <c r="M1210"/>
      <c r="N1210"/>
      <c r="O1210"/>
      <c r="P1210" s="233">
        <f t="shared" si="30"/>
        <v>0</v>
      </c>
      <c r="Q1210" s="233"/>
    </row>
    <row r="1211" spans="4:17" ht="15.75">
      <c r="D1211"/>
      <c r="E1211"/>
      <c r="F1211"/>
      <c r="G1211"/>
      <c r="H1211"/>
      <c r="I1211"/>
      <c r="J1211"/>
      <c r="K1211"/>
      <c r="L1211"/>
      <c r="M1211"/>
      <c r="N1211"/>
      <c r="O1211"/>
      <c r="P1211" s="233">
        <f t="shared" si="30"/>
        <v>0</v>
      </c>
      <c r="Q1211" s="233"/>
    </row>
    <row r="1212" spans="4:17" ht="15.75">
      <c r="D1212"/>
      <c r="E1212"/>
      <c r="F1212"/>
      <c r="G1212"/>
      <c r="H1212"/>
      <c r="I1212"/>
      <c r="J1212"/>
      <c r="K1212"/>
      <c r="L1212"/>
      <c r="M1212"/>
      <c r="N1212"/>
      <c r="O1212"/>
      <c r="P1212" s="233">
        <f t="shared" si="30"/>
        <v>0</v>
      </c>
      <c r="Q1212" s="233"/>
    </row>
    <row r="1213" spans="4:17" ht="15.75">
      <c r="D1213"/>
      <c r="E1213"/>
      <c r="F1213"/>
      <c r="G1213"/>
      <c r="H1213"/>
      <c r="I1213"/>
      <c r="J1213"/>
      <c r="K1213"/>
      <c r="L1213"/>
      <c r="M1213"/>
      <c r="N1213"/>
      <c r="O1213"/>
      <c r="P1213" s="233">
        <f t="shared" si="30"/>
        <v>0</v>
      </c>
      <c r="Q1213" s="233"/>
    </row>
    <row r="1214" spans="4:17" ht="15.75">
      <c r="D1214"/>
      <c r="E1214"/>
      <c r="F1214"/>
      <c r="G1214"/>
      <c r="H1214"/>
      <c r="I1214"/>
      <c r="J1214"/>
      <c r="K1214"/>
      <c r="L1214"/>
      <c r="M1214"/>
      <c r="N1214"/>
      <c r="O1214"/>
      <c r="P1214" s="233">
        <f t="shared" si="30"/>
        <v>0</v>
      </c>
      <c r="Q1214" s="233"/>
    </row>
    <row r="1215" spans="4:17" ht="15.75">
      <c r="D1215"/>
      <c r="E1215"/>
      <c r="F1215"/>
      <c r="G1215"/>
      <c r="H1215"/>
      <c r="I1215"/>
      <c r="J1215"/>
      <c r="K1215"/>
      <c r="L1215"/>
      <c r="M1215"/>
      <c r="N1215"/>
      <c r="O1215"/>
      <c r="P1215" s="233">
        <f t="shared" si="30"/>
        <v>0</v>
      </c>
      <c r="Q1215" s="233"/>
    </row>
    <row r="1216" spans="4:17" ht="15.75">
      <c r="D1216"/>
      <c r="E1216"/>
      <c r="F1216"/>
      <c r="G1216"/>
      <c r="H1216"/>
      <c r="I1216"/>
      <c r="J1216"/>
      <c r="K1216"/>
      <c r="L1216"/>
      <c r="M1216"/>
      <c r="N1216"/>
      <c r="O1216"/>
      <c r="P1216" s="233">
        <f t="shared" si="30"/>
        <v>0</v>
      </c>
      <c r="Q1216" s="233"/>
    </row>
    <row r="1217" spans="4:17" ht="15.75">
      <c r="D1217"/>
      <c r="E1217"/>
      <c r="F1217"/>
      <c r="G1217"/>
      <c r="H1217"/>
      <c r="I1217"/>
      <c r="J1217"/>
      <c r="K1217"/>
      <c r="L1217"/>
      <c r="M1217"/>
      <c r="N1217"/>
      <c r="O1217"/>
      <c r="P1217" s="233">
        <f t="shared" si="30"/>
        <v>0</v>
      </c>
      <c r="Q1217" s="233"/>
    </row>
    <row r="1218" spans="4:17" ht="15.75">
      <c r="D1218"/>
      <c r="E1218"/>
      <c r="F1218"/>
      <c r="G1218"/>
      <c r="H1218"/>
      <c r="I1218"/>
      <c r="J1218"/>
      <c r="K1218"/>
      <c r="L1218"/>
      <c r="M1218"/>
      <c r="N1218"/>
      <c r="O1218"/>
      <c r="P1218" s="233">
        <f t="shared" si="30"/>
        <v>0</v>
      </c>
      <c r="Q1218" s="233"/>
    </row>
    <row r="1219" spans="4:17" ht="15.75">
      <c r="D1219"/>
      <c r="E1219"/>
      <c r="F1219"/>
      <c r="G1219"/>
      <c r="H1219"/>
      <c r="I1219"/>
      <c r="J1219"/>
      <c r="K1219"/>
      <c r="L1219"/>
      <c r="M1219"/>
      <c r="N1219"/>
      <c r="O1219"/>
      <c r="P1219" s="233">
        <f t="shared" si="30"/>
        <v>0</v>
      </c>
      <c r="Q1219" s="233"/>
    </row>
    <row r="1220" spans="4:17" ht="15.75">
      <c r="D1220"/>
      <c r="E1220"/>
      <c r="F1220"/>
      <c r="G1220"/>
      <c r="H1220"/>
      <c r="I1220"/>
      <c r="J1220"/>
      <c r="K1220"/>
      <c r="L1220"/>
      <c r="M1220"/>
      <c r="N1220"/>
      <c r="O1220"/>
      <c r="P1220" s="233">
        <f t="shared" si="30"/>
        <v>0</v>
      </c>
      <c r="Q1220" s="233"/>
    </row>
    <row r="1221" spans="4:17" ht="15.75">
      <c r="D1221"/>
      <c r="E1221"/>
      <c r="F1221"/>
      <c r="G1221"/>
      <c r="H1221"/>
      <c r="I1221"/>
      <c r="J1221"/>
      <c r="K1221"/>
      <c r="L1221"/>
      <c r="M1221"/>
      <c r="N1221"/>
      <c r="O1221"/>
      <c r="P1221" s="233">
        <f t="shared" si="30"/>
        <v>0</v>
      </c>
      <c r="Q1221" s="233"/>
    </row>
    <row r="1222" spans="4:17" ht="15.75">
      <c r="D1222"/>
      <c r="E1222"/>
      <c r="F1222"/>
      <c r="G1222"/>
      <c r="H1222"/>
      <c r="I1222"/>
      <c r="J1222"/>
      <c r="K1222"/>
      <c r="L1222"/>
      <c r="M1222"/>
      <c r="N1222"/>
      <c r="O1222"/>
      <c r="P1222" s="233">
        <f t="shared" si="30"/>
        <v>0</v>
      </c>
      <c r="Q1222" s="233"/>
    </row>
    <row r="1223" spans="4:17" ht="15.75">
      <c r="D1223"/>
      <c r="E1223"/>
      <c r="F1223"/>
      <c r="G1223"/>
      <c r="H1223"/>
      <c r="I1223"/>
      <c r="J1223"/>
      <c r="K1223"/>
      <c r="L1223"/>
      <c r="M1223"/>
      <c r="N1223"/>
      <c r="O1223"/>
      <c r="P1223" s="233">
        <f t="shared" si="30"/>
        <v>0</v>
      </c>
      <c r="Q1223" s="233"/>
    </row>
    <row r="1224" spans="4:17" ht="15.75">
      <c r="D1224"/>
      <c r="E1224"/>
      <c r="F1224"/>
      <c r="G1224"/>
      <c r="H1224"/>
      <c r="I1224"/>
      <c r="J1224"/>
      <c r="K1224"/>
      <c r="L1224"/>
      <c r="M1224"/>
      <c r="N1224"/>
      <c r="O1224"/>
      <c r="P1224" s="233">
        <f t="shared" si="30"/>
        <v>0</v>
      </c>
      <c r="Q1224" s="233"/>
    </row>
    <row r="1225" spans="4:17" ht="15.75">
      <c r="D1225"/>
      <c r="E1225"/>
      <c r="F1225"/>
      <c r="G1225"/>
      <c r="H1225"/>
      <c r="I1225"/>
      <c r="J1225"/>
      <c r="K1225"/>
      <c r="L1225"/>
      <c r="M1225"/>
      <c r="N1225"/>
      <c r="O1225"/>
      <c r="P1225" s="233">
        <f t="shared" si="30"/>
        <v>0</v>
      </c>
      <c r="Q1225" s="233"/>
    </row>
    <row r="1226" spans="4:17" ht="15.75">
      <c r="D1226"/>
      <c r="E1226"/>
      <c r="F1226"/>
      <c r="G1226"/>
      <c r="H1226"/>
      <c r="I1226"/>
      <c r="J1226"/>
      <c r="K1226"/>
      <c r="L1226"/>
      <c r="M1226"/>
      <c r="N1226"/>
      <c r="O1226"/>
      <c r="P1226" s="233">
        <f t="shared" si="30"/>
        <v>0</v>
      </c>
      <c r="Q1226" s="233"/>
    </row>
    <row r="1227" spans="4:17" ht="15.75">
      <c r="D1227"/>
      <c r="E1227"/>
      <c r="F1227"/>
      <c r="G1227"/>
      <c r="H1227"/>
      <c r="I1227"/>
      <c r="J1227"/>
      <c r="K1227"/>
      <c r="L1227"/>
      <c r="M1227"/>
      <c r="N1227"/>
      <c r="O1227"/>
      <c r="P1227" s="233">
        <f t="shared" si="30"/>
        <v>0</v>
      </c>
      <c r="Q1227" s="233"/>
    </row>
    <row r="1228" spans="4:17" ht="15.75">
      <c r="D1228"/>
      <c r="E1228"/>
      <c r="F1228"/>
      <c r="G1228"/>
      <c r="H1228"/>
      <c r="I1228"/>
      <c r="J1228"/>
      <c r="K1228"/>
      <c r="L1228"/>
      <c r="M1228"/>
      <c r="N1228"/>
      <c r="O1228"/>
      <c r="P1228" s="233">
        <f t="shared" si="30"/>
        <v>0</v>
      </c>
      <c r="Q1228" s="233"/>
    </row>
    <row r="1229" spans="4:17" ht="15.75">
      <c r="D1229"/>
      <c r="E1229"/>
      <c r="F1229"/>
      <c r="G1229"/>
      <c r="H1229"/>
      <c r="I1229"/>
      <c r="J1229"/>
      <c r="K1229"/>
      <c r="L1229"/>
      <c r="M1229"/>
      <c r="N1229"/>
      <c r="O1229"/>
      <c r="P1229" s="233">
        <f t="shared" si="30"/>
        <v>0</v>
      </c>
      <c r="Q1229" s="233"/>
    </row>
    <row r="1230" spans="4:17" ht="15.75">
      <c r="D1230"/>
      <c r="E1230"/>
      <c r="F1230"/>
      <c r="G1230"/>
      <c r="H1230"/>
      <c r="I1230"/>
      <c r="J1230"/>
      <c r="K1230"/>
      <c r="L1230"/>
      <c r="M1230"/>
      <c r="N1230"/>
      <c r="O1230"/>
      <c r="P1230" s="233">
        <f t="shared" ref="P1230:P1293" si="31">IF(ISNUMBER(Q1230),Q1230,0)</f>
        <v>0</v>
      </c>
      <c r="Q1230" s="233"/>
    </row>
    <row r="1231" spans="4:17" ht="15.75">
      <c r="D1231"/>
      <c r="E1231"/>
      <c r="F1231"/>
      <c r="G1231"/>
      <c r="H1231"/>
      <c r="I1231"/>
      <c r="J1231"/>
      <c r="K1231"/>
      <c r="L1231"/>
      <c r="M1231"/>
      <c r="N1231"/>
      <c r="O1231"/>
      <c r="P1231" s="233">
        <f t="shared" si="31"/>
        <v>0</v>
      </c>
      <c r="Q1231" s="233"/>
    </row>
    <row r="1232" spans="4:17" ht="15.75">
      <c r="D1232"/>
      <c r="E1232"/>
      <c r="F1232"/>
      <c r="G1232"/>
      <c r="H1232"/>
      <c r="I1232"/>
      <c r="J1232"/>
      <c r="K1232"/>
      <c r="L1232"/>
      <c r="M1232"/>
      <c r="N1232"/>
      <c r="O1232"/>
      <c r="P1232" s="233">
        <f t="shared" si="31"/>
        <v>0</v>
      </c>
      <c r="Q1232" s="233"/>
    </row>
    <row r="1233" spans="4:17" ht="15.75">
      <c r="D1233"/>
      <c r="E1233"/>
      <c r="F1233"/>
      <c r="G1233"/>
      <c r="H1233"/>
      <c r="I1233"/>
      <c r="J1233"/>
      <c r="K1233"/>
      <c r="L1233"/>
      <c r="M1233"/>
      <c r="N1233"/>
      <c r="O1233"/>
      <c r="P1233" s="233">
        <f t="shared" si="31"/>
        <v>0</v>
      </c>
      <c r="Q1233" s="233"/>
    </row>
    <row r="1234" spans="4:17" ht="15.75">
      <c r="D1234"/>
      <c r="E1234"/>
      <c r="F1234"/>
      <c r="G1234"/>
      <c r="H1234"/>
      <c r="I1234"/>
      <c r="J1234"/>
      <c r="K1234"/>
      <c r="L1234"/>
      <c r="M1234"/>
      <c r="N1234"/>
      <c r="O1234"/>
      <c r="P1234" s="233">
        <f t="shared" si="31"/>
        <v>0</v>
      </c>
      <c r="Q1234" s="233"/>
    </row>
    <row r="1235" spans="4:17" ht="15.75">
      <c r="D1235"/>
      <c r="E1235"/>
      <c r="F1235"/>
      <c r="G1235"/>
      <c r="H1235"/>
      <c r="I1235"/>
      <c r="J1235"/>
      <c r="K1235"/>
      <c r="L1235"/>
      <c r="M1235"/>
      <c r="N1235"/>
      <c r="O1235"/>
      <c r="P1235" s="233">
        <f t="shared" si="31"/>
        <v>0</v>
      </c>
      <c r="Q1235" s="233"/>
    </row>
    <row r="1236" spans="4:17" ht="15.75">
      <c r="D1236"/>
      <c r="E1236"/>
      <c r="F1236"/>
      <c r="G1236"/>
      <c r="H1236"/>
      <c r="I1236"/>
      <c r="J1236"/>
      <c r="K1236"/>
      <c r="L1236"/>
      <c r="M1236"/>
      <c r="N1236"/>
      <c r="O1236"/>
      <c r="P1236" s="233">
        <f t="shared" si="31"/>
        <v>0</v>
      </c>
      <c r="Q1236" s="233"/>
    </row>
    <row r="1237" spans="4:17" ht="15.75">
      <c r="D1237"/>
      <c r="E1237"/>
      <c r="F1237"/>
      <c r="G1237"/>
      <c r="H1237"/>
      <c r="I1237"/>
      <c r="J1237"/>
      <c r="K1237"/>
      <c r="L1237"/>
      <c r="M1237"/>
      <c r="N1237"/>
      <c r="O1237"/>
      <c r="P1237" s="233">
        <f t="shared" si="31"/>
        <v>0</v>
      </c>
      <c r="Q1237" s="233"/>
    </row>
    <row r="1238" spans="4:17" ht="15.75">
      <c r="D1238"/>
      <c r="E1238"/>
      <c r="F1238"/>
      <c r="G1238"/>
      <c r="H1238"/>
      <c r="I1238"/>
      <c r="J1238"/>
      <c r="K1238"/>
      <c r="L1238"/>
      <c r="M1238"/>
      <c r="N1238"/>
      <c r="O1238"/>
      <c r="P1238" s="233">
        <f t="shared" si="31"/>
        <v>0</v>
      </c>
      <c r="Q1238" s="233"/>
    </row>
    <row r="1239" spans="4:17" ht="15.75">
      <c r="D1239"/>
      <c r="E1239"/>
      <c r="F1239"/>
      <c r="G1239"/>
      <c r="H1239"/>
      <c r="I1239"/>
      <c r="J1239"/>
      <c r="K1239"/>
      <c r="L1239"/>
      <c r="M1239"/>
      <c r="N1239"/>
      <c r="O1239"/>
      <c r="P1239" s="233">
        <f t="shared" si="31"/>
        <v>0</v>
      </c>
      <c r="Q1239" s="233"/>
    </row>
    <row r="1240" spans="4:17" ht="15.75">
      <c r="D1240"/>
      <c r="E1240"/>
      <c r="F1240"/>
      <c r="G1240"/>
      <c r="H1240"/>
      <c r="I1240"/>
      <c r="J1240"/>
      <c r="K1240"/>
      <c r="L1240"/>
      <c r="M1240"/>
      <c r="N1240"/>
      <c r="O1240"/>
      <c r="P1240" s="233">
        <f t="shared" si="31"/>
        <v>0</v>
      </c>
      <c r="Q1240" s="233"/>
    </row>
    <row r="1241" spans="4:17" ht="15.75">
      <c r="D1241"/>
      <c r="E1241"/>
      <c r="F1241"/>
      <c r="G1241"/>
      <c r="H1241"/>
      <c r="I1241"/>
      <c r="J1241"/>
      <c r="K1241"/>
      <c r="L1241"/>
      <c r="M1241"/>
      <c r="N1241"/>
      <c r="O1241"/>
      <c r="P1241" s="233">
        <f t="shared" si="31"/>
        <v>0</v>
      </c>
      <c r="Q1241" s="233"/>
    </row>
    <row r="1242" spans="4:17" ht="15.75">
      <c r="D1242"/>
      <c r="E1242"/>
      <c r="F1242"/>
      <c r="G1242"/>
      <c r="H1242"/>
      <c r="I1242"/>
      <c r="J1242"/>
      <c r="K1242"/>
      <c r="L1242"/>
      <c r="M1242"/>
      <c r="N1242"/>
      <c r="O1242"/>
      <c r="P1242" s="233">
        <f t="shared" si="31"/>
        <v>0</v>
      </c>
      <c r="Q1242" s="233"/>
    </row>
    <row r="1243" spans="4:17" ht="15.75">
      <c r="D1243"/>
      <c r="E1243"/>
      <c r="F1243"/>
      <c r="G1243"/>
      <c r="H1243"/>
      <c r="I1243"/>
      <c r="J1243"/>
      <c r="K1243"/>
      <c r="L1243"/>
      <c r="M1243"/>
      <c r="N1243"/>
      <c r="O1243"/>
      <c r="P1243" s="233">
        <f t="shared" si="31"/>
        <v>0</v>
      </c>
      <c r="Q1243" s="233"/>
    </row>
    <row r="1244" spans="4:17" ht="15.75">
      <c r="D1244"/>
      <c r="E1244"/>
      <c r="F1244"/>
      <c r="G1244"/>
      <c r="H1244"/>
      <c r="I1244"/>
      <c r="J1244"/>
      <c r="K1244"/>
      <c r="L1244"/>
      <c r="M1244"/>
      <c r="N1244"/>
      <c r="O1244"/>
      <c r="P1244" s="233">
        <f t="shared" si="31"/>
        <v>0</v>
      </c>
      <c r="Q1244" s="233"/>
    </row>
    <row r="1245" spans="4:17" ht="15.75">
      <c r="D1245"/>
      <c r="E1245"/>
      <c r="F1245"/>
      <c r="G1245"/>
      <c r="H1245"/>
      <c r="I1245"/>
      <c r="J1245"/>
      <c r="K1245"/>
      <c r="L1245"/>
      <c r="M1245"/>
      <c r="N1245"/>
      <c r="O1245"/>
      <c r="P1245" s="233">
        <f t="shared" si="31"/>
        <v>0</v>
      </c>
      <c r="Q1245" s="233"/>
    </row>
    <row r="1246" spans="4:17" ht="15.75">
      <c r="D1246"/>
      <c r="E1246"/>
      <c r="F1246"/>
      <c r="G1246"/>
      <c r="H1246"/>
      <c r="I1246"/>
      <c r="J1246"/>
      <c r="K1246"/>
      <c r="L1246"/>
      <c r="M1246"/>
      <c r="N1246"/>
      <c r="O1246"/>
      <c r="P1246" s="233">
        <f t="shared" si="31"/>
        <v>0</v>
      </c>
      <c r="Q1246" s="233"/>
    </row>
    <row r="1247" spans="4:17" ht="15.75">
      <c r="D1247"/>
      <c r="E1247"/>
      <c r="F1247"/>
      <c r="G1247"/>
      <c r="H1247"/>
      <c r="I1247"/>
      <c r="J1247"/>
      <c r="K1247"/>
      <c r="L1247"/>
      <c r="M1247"/>
      <c r="N1247"/>
      <c r="O1247"/>
      <c r="P1247" s="233">
        <f t="shared" si="31"/>
        <v>0</v>
      </c>
      <c r="Q1247" s="233"/>
    </row>
    <row r="1248" spans="4:17" ht="15.75">
      <c r="D1248"/>
      <c r="E1248"/>
      <c r="F1248"/>
      <c r="G1248"/>
      <c r="H1248"/>
      <c r="I1248"/>
      <c r="J1248"/>
      <c r="K1248"/>
      <c r="L1248"/>
      <c r="M1248"/>
      <c r="N1248"/>
      <c r="O1248"/>
      <c r="P1248" s="233">
        <f t="shared" si="31"/>
        <v>0</v>
      </c>
      <c r="Q1248" s="233"/>
    </row>
    <row r="1249" spans="4:17" ht="15.75">
      <c r="D1249"/>
      <c r="E1249"/>
      <c r="F1249"/>
      <c r="G1249"/>
      <c r="H1249"/>
      <c r="I1249"/>
      <c r="J1249"/>
      <c r="K1249"/>
      <c r="L1249"/>
      <c r="M1249"/>
      <c r="N1249"/>
      <c r="O1249"/>
      <c r="P1249" s="233">
        <f t="shared" si="31"/>
        <v>0</v>
      </c>
      <c r="Q1249" s="233"/>
    </row>
    <row r="1250" spans="4:17" ht="15.75">
      <c r="D1250"/>
      <c r="E1250"/>
      <c r="F1250"/>
      <c r="G1250"/>
      <c r="H1250"/>
      <c r="I1250"/>
      <c r="J1250"/>
      <c r="K1250"/>
      <c r="L1250"/>
      <c r="M1250"/>
      <c r="N1250"/>
      <c r="O1250"/>
      <c r="P1250" s="233">
        <f t="shared" si="31"/>
        <v>0</v>
      </c>
      <c r="Q1250" s="233"/>
    </row>
    <row r="1251" spans="4:17" ht="15.75">
      <c r="D1251"/>
      <c r="E1251"/>
      <c r="F1251"/>
      <c r="G1251"/>
      <c r="H1251"/>
      <c r="I1251"/>
      <c r="J1251"/>
      <c r="K1251"/>
      <c r="L1251"/>
      <c r="M1251"/>
      <c r="N1251"/>
      <c r="O1251"/>
      <c r="P1251" s="233">
        <f t="shared" si="31"/>
        <v>0</v>
      </c>
      <c r="Q1251" s="233"/>
    </row>
    <row r="1252" spans="4:17" ht="15.75">
      <c r="D1252"/>
      <c r="E1252"/>
      <c r="F1252"/>
      <c r="G1252"/>
      <c r="H1252"/>
      <c r="I1252"/>
      <c r="J1252"/>
      <c r="K1252"/>
      <c r="L1252"/>
      <c r="M1252"/>
      <c r="N1252"/>
      <c r="O1252"/>
      <c r="P1252" s="233">
        <f t="shared" si="31"/>
        <v>0</v>
      </c>
      <c r="Q1252" s="233"/>
    </row>
    <row r="1253" spans="4:17" ht="15.75">
      <c r="D1253"/>
      <c r="E1253"/>
      <c r="F1253"/>
      <c r="G1253"/>
      <c r="H1253"/>
      <c r="I1253"/>
      <c r="J1253"/>
      <c r="K1253"/>
      <c r="L1253"/>
      <c r="M1253"/>
      <c r="N1253"/>
      <c r="O1253"/>
      <c r="P1253" s="233">
        <f t="shared" si="31"/>
        <v>0</v>
      </c>
      <c r="Q1253" s="233"/>
    </row>
    <row r="1254" spans="4:17" ht="15.75">
      <c r="D1254"/>
      <c r="E1254"/>
      <c r="F1254"/>
      <c r="G1254"/>
      <c r="H1254"/>
      <c r="I1254"/>
      <c r="J1254"/>
      <c r="K1254"/>
      <c r="L1254"/>
      <c r="M1254"/>
      <c r="N1254"/>
      <c r="O1254"/>
      <c r="P1254" s="233">
        <f t="shared" si="31"/>
        <v>0</v>
      </c>
      <c r="Q1254" s="233"/>
    </row>
    <row r="1255" spans="4:17" ht="15.75">
      <c r="D1255"/>
      <c r="E1255"/>
      <c r="F1255"/>
      <c r="G1255"/>
      <c r="H1255"/>
      <c r="I1255"/>
      <c r="J1255"/>
      <c r="K1255"/>
      <c r="L1255"/>
      <c r="M1255"/>
      <c r="N1255"/>
      <c r="O1255"/>
      <c r="P1255" s="233">
        <f t="shared" si="31"/>
        <v>0</v>
      </c>
      <c r="Q1255" s="233"/>
    </row>
    <row r="1256" spans="4:17" ht="15.75">
      <c r="D1256"/>
      <c r="E1256"/>
      <c r="F1256"/>
      <c r="G1256"/>
      <c r="H1256"/>
      <c r="I1256"/>
      <c r="J1256"/>
      <c r="K1256"/>
      <c r="L1256"/>
      <c r="M1256"/>
      <c r="N1256"/>
      <c r="O1256"/>
      <c r="P1256" s="233">
        <f t="shared" si="31"/>
        <v>0</v>
      </c>
      <c r="Q1256" s="233"/>
    </row>
    <row r="1257" spans="4:17" ht="15.75">
      <c r="D1257"/>
      <c r="E1257"/>
      <c r="F1257"/>
      <c r="G1257"/>
      <c r="H1257"/>
      <c r="I1257"/>
      <c r="J1257"/>
      <c r="K1257"/>
      <c r="L1257"/>
      <c r="M1257"/>
      <c r="N1257"/>
      <c r="O1257"/>
      <c r="P1257" s="233">
        <f t="shared" si="31"/>
        <v>0</v>
      </c>
      <c r="Q1257" s="233"/>
    </row>
    <row r="1258" spans="4:17" ht="15.75">
      <c r="D1258"/>
      <c r="E1258"/>
      <c r="F1258"/>
      <c r="G1258"/>
      <c r="H1258"/>
      <c r="I1258"/>
      <c r="J1258"/>
      <c r="K1258"/>
      <c r="L1258"/>
      <c r="M1258"/>
      <c r="N1258"/>
      <c r="O1258"/>
      <c r="P1258" s="233">
        <f t="shared" si="31"/>
        <v>0</v>
      </c>
      <c r="Q1258" s="233"/>
    </row>
    <row r="1259" spans="4:17" ht="15.75">
      <c r="D1259"/>
      <c r="E1259"/>
      <c r="F1259"/>
      <c r="G1259"/>
      <c r="H1259"/>
      <c r="I1259"/>
      <c r="J1259"/>
      <c r="K1259"/>
      <c r="L1259"/>
      <c r="M1259"/>
      <c r="N1259"/>
      <c r="O1259"/>
      <c r="P1259" s="233">
        <f t="shared" si="31"/>
        <v>0</v>
      </c>
      <c r="Q1259" s="233"/>
    </row>
    <row r="1260" spans="4:17" ht="15.75">
      <c r="D1260"/>
      <c r="E1260"/>
      <c r="F1260"/>
      <c r="G1260"/>
      <c r="H1260"/>
      <c r="I1260"/>
      <c r="J1260"/>
      <c r="K1260"/>
      <c r="L1260"/>
      <c r="M1260"/>
      <c r="N1260"/>
      <c r="O1260"/>
      <c r="P1260" s="233">
        <f t="shared" si="31"/>
        <v>0</v>
      </c>
      <c r="Q1260" s="233"/>
    </row>
    <row r="1261" spans="4:17" ht="15.75">
      <c r="D1261"/>
      <c r="E1261"/>
      <c r="F1261"/>
      <c r="G1261"/>
      <c r="H1261"/>
      <c r="I1261"/>
      <c r="J1261"/>
      <c r="K1261"/>
      <c r="L1261"/>
      <c r="M1261"/>
      <c r="N1261"/>
      <c r="O1261"/>
      <c r="P1261" s="233">
        <f t="shared" si="31"/>
        <v>0</v>
      </c>
      <c r="Q1261" s="233"/>
    </row>
    <row r="1262" spans="4:17" ht="15.75">
      <c r="D1262"/>
      <c r="E1262"/>
      <c r="F1262"/>
      <c r="G1262"/>
      <c r="H1262"/>
      <c r="I1262"/>
      <c r="J1262"/>
      <c r="K1262"/>
      <c r="L1262"/>
      <c r="M1262"/>
      <c r="N1262"/>
      <c r="O1262"/>
      <c r="P1262" s="233">
        <f t="shared" si="31"/>
        <v>0</v>
      </c>
      <c r="Q1262" s="233"/>
    </row>
    <row r="1263" spans="4:17" ht="15.75">
      <c r="D1263"/>
      <c r="E1263"/>
      <c r="F1263"/>
      <c r="G1263"/>
      <c r="H1263"/>
      <c r="I1263"/>
      <c r="J1263"/>
      <c r="K1263"/>
      <c r="L1263"/>
      <c r="M1263"/>
      <c r="N1263"/>
      <c r="O1263"/>
      <c r="P1263" s="233">
        <f t="shared" si="31"/>
        <v>0</v>
      </c>
      <c r="Q1263" s="233"/>
    </row>
    <row r="1264" spans="4:17" ht="15.75">
      <c r="D1264"/>
      <c r="E1264"/>
      <c r="F1264"/>
      <c r="G1264"/>
      <c r="H1264"/>
      <c r="I1264"/>
      <c r="J1264"/>
      <c r="K1264"/>
      <c r="L1264"/>
      <c r="M1264"/>
      <c r="N1264"/>
      <c r="O1264"/>
      <c r="P1264" s="233">
        <f t="shared" si="31"/>
        <v>0</v>
      </c>
      <c r="Q1264" s="233"/>
    </row>
    <row r="1265" spans="4:17" ht="15.75">
      <c r="D1265"/>
      <c r="E1265"/>
      <c r="F1265"/>
      <c r="G1265"/>
      <c r="H1265"/>
      <c r="I1265"/>
      <c r="J1265"/>
      <c r="K1265"/>
      <c r="L1265"/>
      <c r="M1265"/>
      <c r="N1265"/>
      <c r="O1265"/>
      <c r="P1265" s="233">
        <f t="shared" si="31"/>
        <v>0</v>
      </c>
      <c r="Q1265" s="233"/>
    </row>
    <row r="1266" spans="4:17" ht="15.75">
      <c r="D1266"/>
      <c r="E1266"/>
      <c r="F1266"/>
      <c r="G1266"/>
      <c r="H1266"/>
      <c r="I1266"/>
      <c r="J1266"/>
      <c r="K1266"/>
      <c r="L1266"/>
      <c r="M1266"/>
      <c r="N1266"/>
      <c r="O1266"/>
      <c r="P1266" s="233">
        <f t="shared" si="31"/>
        <v>0</v>
      </c>
      <c r="Q1266" s="233"/>
    </row>
    <row r="1267" spans="4:17" ht="15.75">
      <c r="D1267"/>
      <c r="E1267"/>
      <c r="F1267"/>
      <c r="G1267"/>
      <c r="H1267"/>
      <c r="I1267"/>
      <c r="J1267"/>
      <c r="K1267"/>
      <c r="L1267"/>
      <c r="M1267"/>
      <c r="N1267"/>
      <c r="O1267"/>
      <c r="P1267" s="233">
        <f t="shared" si="31"/>
        <v>0</v>
      </c>
      <c r="Q1267" s="233"/>
    </row>
    <row r="1268" spans="4:17" ht="15.75">
      <c r="D1268"/>
      <c r="E1268"/>
      <c r="F1268"/>
      <c r="G1268"/>
      <c r="H1268"/>
      <c r="I1268"/>
      <c r="J1268"/>
      <c r="K1268"/>
      <c r="L1268"/>
      <c r="M1268"/>
      <c r="N1268"/>
      <c r="O1268"/>
      <c r="P1268" s="233">
        <f t="shared" si="31"/>
        <v>0</v>
      </c>
      <c r="Q1268" s="233"/>
    </row>
    <row r="1269" spans="4:17" ht="15.75">
      <c r="D1269"/>
      <c r="E1269"/>
      <c r="F1269"/>
      <c r="G1269"/>
      <c r="H1269"/>
      <c r="I1269"/>
      <c r="J1269"/>
      <c r="K1269"/>
      <c r="L1269"/>
      <c r="M1269"/>
      <c r="N1269"/>
      <c r="O1269"/>
      <c r="P1269" s="233">
        <f t="shared" si="31"/>
        <v>0</v>
      </c>
      <c r="Q1269" s="233"/>
    </row>
    <row r="1270" spans="4:17" ht="15.75">
      <c r="D1270"/>
      <c r="E1270"/>
      <c r="F1270"/>
      <c r="G1270"/>
      <c r="H1270"/>
      <c r="I1270"/>
      <c r="J1270"/>
      <c r="K1270"/>
      <c r="L1270"/>
      <c r="M1270"/>
      <c r="N1270"/>
      <c r="O1270"/>
      <c r="P1270" s="233">
        <f t="shared" si="31"/>
        <v>0</v>
      </c>
      <c r="Q1270" s="233"/>
    </row>
    <row r="1271" spans="4:17" ht="15.75">
      <c r="D1271"/>
      <c r="E1271"/>
      <c r="F1271"/>
      <c r="G1271"/>
      <c r="H1271"/>
      <c r="I1271"/>
      <c r="J1271"/>
      <c r="K1271"/>
      <c r="L1271"/>
      <c r="M1271"/>
      <c r="N1271"/>
      <c r="O1271"/>
      <c r="P1271" s="233">
        <f t="shared" si="31"/>
        <v>0</v>
      </c>
      <c r="Q1271" s="233"/>
    </row>
    <row r="1272" spans="4:17" ht="15.75">
      <c r="D1272"/>
      <c r="E1272"/>
      <c r="F1272"/>
      <c r="G1272"/>
      <c r="H1272"/>
      <c r="I1272"/>
      <c r="J1272"/>
      <c r="K1272"/>
      <c r="L1272"/>
      <c r="M1272"/>
      <c r="N1272"/>
      <c r="O1272"/>
      <c r="P1272" s="233">
        <f t="shared" si="31"/>
        <v>0</v>
      </c>
      <c r="Q1272" s="233"/>
    </row>
    <row r="1273" spans="4:17" ht="15.75">
      <c r="D1273"/>
      <c r="E1273"/>
      <c r="F1273"/>
      <c r="G1273"/>
      <c r="H1273"/>
      <c r="I1273"/>
      <c r="J1273"/>
      <c r="K1273"/>
      <c r="L1273"/>
      <c r="M1273"/>
      <c r="N1273"/>
      <c r="O1273"/>
      <c r="P1273" s="233">
        <f t="shared" si="31"/>
        <v>0</v>
      </c>
      <c r="Q1273" s="233"/>
    </row>
    <row r="1274" spans="4:17" ht="15.75">
      <c r="D1274"/>
      <c r="E1274"/>
      <c r="F1274"/>
      <c r="G1274"/>
      <c r="H1274"/>
      <c r="I1274"/>
      <c r="J1274"/>
      <c r="K1274"/>
      <c r="L1274"/>
      <c r="M1274"/>
      <c r="N1274"/>
      <c r="O1274"/>
      <c r="P1274" s="233">
        <f t="shared" si="31"/>
        <v>0</v>
      </c>
      <c r="Q1274" s="233"/>
    </row>
    <row r="1275" spans="4:17" ht="15.75">
      <c r="D1275"/>
      <c r="E1275"/>
      <c r="F1275"/>
      <c r="G1275"/>
      <c r="H1275"/>
      <c r="I1275"/>
      <c r="J1275"/>
      <c r="K1275"/>
      <c r="L1275"/>
      <c r="M1275"/>
      <c r="N1275"/>
      <c r="O1275"/>
      <c r="P1275" s="233">
        <f t="shared" si="31"/>
        <v>0</v>
      </c>
      <c r="Q1275" s="233"/>
    </row>
    <row r="1276" spans="4:17" ht="15.75">
      <c r="D1276"/>
      <c r="E1276"/>
      <c r="F1276"/>
      <c r="G1276"/>
      <c r="H1276"/>
      <c r="I1276"/>
      <c r="J1276"/>
      <c r="K1276"/>
      <c r="L1276"/>
      <c r="M1276"/>
      <c r="N1276"/>
      <c r="O1276"/>
      <c r="P1276" s="233">
        <f t="shared" si="31"/>
        <v>0</v>
      </c>
      <c r="Q1276" s="233"/>
    </row>
    <row r="1277" spans="4:17" ht="15.75">
      <c r="D1277"/>
      <c r="E1277"/>
      <c r="F1277"/>
      <c r="G1277"/>
      <c r="H1277"/>
      <c r="I1277"/>
      <c r="J1277"/>
      <c r="K1277"/>
      <c r="L1277"/>
      <c r="M1277"/>
      <c r="N1277"/>
      <c r="O1277"/>
      <c r="P1277" s="233">
        <f t="shared" si="31"/>
        <v>0</v>
      </c>
      <c r="Q1277" s="233"/>
    </row>
    <row r="1278" spans="4:17" ht="15.75">
      <c r="D1278"/>
      <c r="E1278"/>
      <c r="F1278"/>
      <c r="G1278"/>
      <c r="H1278"/>
      <c r="I1278"/>
      <c r="J1278"/>
      <c r="K1278"/>
      <c r="L1278"/>
      <c r="M1278"/>
      <c r="N1278"/>
      <c r="O1278"/>
      <c r="P1278" s="233">
        <f t="shared" si="31"/>
        <v>0</v>
      </c>
      <c r="Q1278" s="233"/>
    </row>
    <row r="1279" spans="4:17" ht="15.75">
      <c r="D1279"/>
      <c r="E1279"/>
      <c r="F1279"/>
      <c r="G1279"/>
      <c r="H1279"/>
      <c r="I1279"/>
      <c r="J1279"/>
      <c r="K1279"/>
      <c r="L1279"/>
      <c r="M1279"/>
      <c r="N1279"/>
      <c r="O1279"/>
      <c r="P1279" s="233">
        <f t="shared" si="31"/>
        <v>0</v>
      </c>
      <c r="Q1279" s="233"/>
    </row>
    <row r="1280" spans="4:17" ht="15.75">
      <c r="D1280"/>
      <c r="E1280"/>
      <c r="F1280"/>
      <c r="G1280"/>
      <c r="H1280"/>
      <c r="I1280"/>
      <c r="J1280"/>
      <c r="K1280"/>
      <c r="L1280"/>
      <c r="M1280"/>
      <c r="N1280"/>
      <c r="O1280"/>
      <c r="P1280" s="233">
        <f t="shared" si="31"/>
        <v>0</v>
      </c>
      <c r="Q1280" s="233"/>
    </row>
    <row r="1281" spans="4:17" ht="15.75">
      <c r="D1281"/>
      <c r="E1281"/>
      <c r="F1281"/>
      <c r="G1281"/>
      <c r="H1281"/>
      <c r="I1281"/>
      <c r="J1281"/>
      <c r="K1281"/>
      <c r="L1281"/>
      <c r="M1281"/>
      <c r="N1281"/>
      <c r="O1281"/>
      <c r="P1281" s="233">
        <f t="shared" si="31"/>
        <v>0</v>
      </c>
      <c r="Q1281" s="233"/>
    </row>
    <row r="1282" spans="4:17" ht="15.75">
      <c r="D1282"/>
      <c r="E1282"/>
      <c r="F1282"/>
      <c r="G1282"/>
      <c r="H1282"/>
      <c r="I1282"/>
      <c r="J1282"/>
      <c r="K1282"/>
      <c r="L1282"/>
      <c r="M1282"/>
      <c r="N1282"/>
      <c r="O1282"/>
      <c r="P1282" s="233">
        <f t="shared" si="31"/>
        <v>0</v>
      </c>
      <c r="Q1282" s="233"/>
    </row>
    <row r="1283" spans="4:17" ht="15.75">
      <c r="D1283"/>
      <c r="E1283"/>
      <c r="F1283"/>
      <c r="G1283"/>
      <c r="H1283"/>
      <c r="I1283"/>
      <c r="J1283"/>
      <c r="K1283"/>
      <c r="L1283"/>
      <c r="M1283"/>
      <c r="N1283"/>
      <c r="O1283"/>
      <c r="P1283" s="233">
        <f t="shared" si="31"/>
        <v>0</v>
      </c>
      <c r="Q1283" s="233"/>
    </row>
    <row r="1284" spans="4:17" ht="15.75">
      <c r="D1284"/>
      <c r="E1284"/>
      <c r="F1284"/>
      <c r="G1284"/>
      <c r="H1284"/>
      <c r="I1284"/>
      <c r="J1284"/>
      <c r="K1284"/>
      <c r="L1284"/>
      <c r="M1284"/>
      <c r="N1284"/>
      <c r="O1284"/>
      <c r="P1284" s="233">
        <f t="shared" si="31"/>
        <v>0</v>
      </c>
      <c r="Q1284" s="233"/>
    </row>
    <row r="1285" spans="4:17" ht="15.75">
      <c r="D1285"/>
      <c r="E1285"/>
      <c r="F1285"/>
      <c r="G1285"/>
      <c r="H1285"/>
      <c r="I1285"/>
      <c r="J1285"/>
      <c r="K1285"/>
      <c r="L1285"/>
      <c r="M1285"/>
      <c r="N1285"/>
      <c r="O1285"/>
      <c r="P1285" s="233">
        <f t="shared" si="31"/>
        <v>0</v>
      </c>
      <c r="Q1285" s="233"/>
    </row>
    <row r="1286" spans="4:17" ht="15.75">
      <c r="D1286"/>
      <c r="E1286"/>
      <c r="F1286"/>
      <c r="G1286"/>
      <c r="H1286"/>
      <c r="I1286"/>
      <c r="J1286"/>
      <c r="K1286"/>
      <c r="L1286"/>
      <c r="M1286"/>
      <c r="N1286"/>
      <c r="O1286"/>
      <c r="P1286" s="233">
        <f t="shared" si="31"/>
        <v>0</v>
      </c>
      <c r="Q1286" s="233"/>
    </row>
    <row r="1287" spans="4:17" ht="15.75">
      <c r="D1287"/>
      <c r="E1287"/>
      <c r="F1287"/>
      <c r="G1287"/>
      <c r="H1287"/>
      <c r="I1287"/>
      <c r="J1287"/>
      <c r="K1287"/>
      <c r="L1287"/>
      <c r="M1287"/>
      <c r="N1287"/>
      <c r="O1287"/>
      <c r="P1287" s="233">
        <f t="shared" si="31"/>
        <v>0</v>
      </c>
      <c r="Q1287" s="233"/>
    </row>
    <row r="1288" spans="4:17" ht="15.75">
      <c r="D1288"/>
      <c r="E1288"/>
      <c r="F1288"/>
      <c r="G1288"/>
      <c r="H1288"/>
      <c r="I1288"/>
      <c r="J1288"/>
      <c r="K1288"/>
      <c r="L1288"/>
      <c r="M1288"/>
      <c r="N1288"/>
      <c r="O1288"/>
      <c r="P1288" s="233">
        <f t="shared" si="31"/>
        <v>0</v>
      </c>
      <c r="Q1288" s="233"/>
    </row>
    <row r="1289" spans="4:17" ht="15.75">
      <c r="D1289"/>
      <c r="E1289"/>
      <c r="F1289"/>
      <c r="G1289"/>
      <c r="H1289"/>
      <c r="I1289"/>
      <c r="J1289"/>
      <c r="K1289"/>
      <c r="L1289"/>
      <c r="M1289"/>
      <c r="N1289"/>
      <c r="O1289"/>
      <c r="P1289" s="233">
        <f t="shared" si="31"/>
        <v>0</v>
      </c>
      <c r="Q1289" s="233"/>
    </row>
    <row r="1290" spans="4:17" ht="15.75">
      <c r="D1290"/>
      <c r="E1290"/>
      <c r="F1290"/>
      <c r="G1290"/>
      <c r="H1290"/>
      <c r="I1290"/>
      <c r="J1290"/>
      <c r="K1290"/>
      <c r="L1290"/>
      <c r="M1290"/>
      <c r="N1290"/>
      <c r="O1290"/>
      <c r="P1290" s="233">
        <f t="shared" si="31"/>
        <v>0</v>
      </c>
      <c r="Q1290" s="233"/>
    </row>
    <row r="1291" spans="4:17" ht="15.75">
      <c r="D1291"/>
      <c r="E1291"/>
      <c r="F1291"/>
      <c r="G1291"/>
      <c r="H1291"/>
      <c r="I1291"/>
      <c r="J1291"/>
      <c r="K1291"/>
      <c r="L1291"/>
      <c r="M1291"/>
      <c r="N1291"/>
      <c r="O1291"/>
      <c r="P1291" s="233">
        <f t="shared" si="31"/>
        <v>0</v>
      </c>
      <c r="Q1291" s="233"/>
    </row>
    <row r="1292" spans="4:17" ht="15.75">
      <c r="D1292"/>
      <c r="E1292"/>
      <c r="F1292"/>
      <c r="G1292"/>
      <c r="H1292"/>
      <c r="I1292"/>
      <c r="J1292"/>
      <c r="K1292"/>
      <c r="L1292"/>
      <c r="M1292"/>
      <c r="N1292"/>
      <c r="O1292"/>
      <c r="P1292" s="233">
        <f t="shared" si="31"/>
        <v>0</v>
      </c>
      <c r="Q1292" s="233"/>
    </row>
    <row r="1293" spans="4:17" ht="15.75">
      <c r="D1293"/>
      <c r="E1293"/>
      <c r="F1293"/>
      <c r="G1293"/>
      <c r="H1293"/>
      <c r="I1293"/>
      <c r="J1293"/>
      <c r="K1293"/>
      <c r="L1293"/>
      <c r="M1293"/>
      <c r="N1293"/>
      <c r="O1293"/>
      <c r="P1293" s="233">
        <f t="shared" si="31"/>
        <v>0</v>
      </c>
      <c r="Q1293" s="233"/>
    </row>
    <row r="1294" spans="4:17" ht="15.75">
      <c r="D1294"/>
      <c r="E1294"/>
      <c r="F1294"/>
      <c r="G1294"/>
      <c r="H1294"/>
      <c r="I1294"/>
      <c r="J1294"/>
      <c r="K1294"/>
      <c r="L1294"/>
      <c r="M1294"/>
      <c r="N1294"/>
      <c r="O1294"/>
      <c r="P1294" s="233">
        <f t="shared" ref="P1294:P1357" si="32">IF(ISNUMBER(Q1294),Q1294,0)</f>
        <v>0</v>
      </c>
      <c r="Q1294" s="233"/>
    </row>
    <row r="1295" spans="4:17" ht="15.75">
      <c r="D1295"/>
      <c r="E1295"/>
      <c r="F1295"/>
      <c r="G1295"/>
      <c r="H1295"/>
      <c r="I1295"/>
      <c r="J1295"/>
      <c r="K1295"/>
      <c r="L1295"/>
      <c r="M1295"/>
      <c r="N1295"/>
      <c r="O1295"/>
      <c r="P1295" s="233">
        <f t="shared" si="32"/>
        <v>0</v>
      </c>
      <c r="Q1295" s="233"/>
    </row>
    <row r="1296" spans="4:17" ht="15.75">
      <c r="D1296"/>
      <c r="E1296"/>
      <c r="F1296"/>
      <c r="G1296"/>
      <c r="H1296"/>
      <c r="I1296"/>
      <c r="J1296"/>
      <c r="K1296"/>
      <c r="L1296"/>
      <c r="M1296"/>
      <c r="N1296"/>
      <c r="O1296"/>
      <c r="P1296" s="233">
        <f t="shared" si="32"/>
        <v>0</v>
      </c>
      <c r="Q1296" s="233"/>
    </row>
    <row r="1297" spans="4:17" ht="15.75">
      <c r="D1297"/>
      <c r="E1297"/>
      <c r="F1297"/>
      <c r="G1297"/>
      <c r="H1297"/>
      <c r="I1297"/>
      <c r="J1297"/>
      <c r="K1297"/>
      <c r="L1297"/>
      <c r="M1297"/>
      <c r="N1297"/>
      <c r="O1297"/>
      <c r="P1297" s="233">
        <f t="shared" si="32"/>
        <v>0</v>
      </c>
      <c r="Q1297" s="233"/>
    </row>
    <row r="1298" spans="4:17" ht="15.75">
      <c r="D1298"/>
      <c r="E1298"/>
      <c r="F1298"/>
      <c r="G1298"/>
      <c r="H1298"/>
      <c r="I1298"/>
      <c r="J1298"/>
      <c r="K1298"/>
      <c r="L1298"/>
      <c r="M1298"/>
      <c r="N1298"/>
      <c r="O1298"/>
      <c r="P1298" s="233">
        <f t="shared" si="32"/>
        <v>0</v>
      </c>
      <c r="Q1298" s="233"/>
    </row>
    <row r="1299" spans="4:17" ht="15.75">
      <c r="D1299"/>
      <c r="E1299"/>
      <c r="F1299"/>
      <c r="G1299"/>
      <c r="H1299"/>
      <c r="I1299"/>
      <c r="J1299"/>
      <c r="K1299"/>
      <c r="L1299"/>
      <c r="M1299"/>
      <c r="N1299"/>
      <c r="O1299"/>
      <c r="P1299" s="233">
        <f t="shared" si="32"/>
        <v>0</v>
      </c>
      <c r="Q1299" s="233"/>
    </row>
    <row r="1300" spans="4:17" ht="15.75">
      <c r="D1300"/>
      <c r="E1300"/>
      <c r="F1300"/>
      <c r="G1300"/>
      <c r="H1300"/>
      <c r="I1300"/>
      <c r="J1300"/>
      <c r="K1300"/>
      <c r="L1300"/>
      <c r="M1300"/>
      <c r="N1300"/>
      <c r="O1300"/>
      <c r="P1300" s="233">
        <f t="shared" si="32"/>
        <v>0</v>
      </c>
      <c r="Q1300" s="233"/>
    </row>
    <row r="1301" spans="4:17" ht="15.75">
      <c r="D1301"/>
      <c r="E1301"/>
      <c r="F1301"/>
      <c r="G1301"/>
      <c r="H1301"/>
      <c r="I1301"/>
      <c r="J1301"/>
      <c r="K1301"/>
      <c r="L1301"/>
      <c r="M1301"/>
      <c r="N1301"/>
      <c r="O1301"/>
      <c r="P1301" s="233">
        <f t="shared" si="32"/>
        <v>0</v>
      </c>
      <c r="Q1301" s="233"/>
    </row>
    <row r="1302" spans="4:17" ht="15.75">
      <c r="D1302"/>
      <c r="E1302"/>
      <c r="F1302"/>
      <c r="G1302"/>
      <c r="H1302"/>
      <c r="I1302"/>
      <c r="J1302"/>
      <c r="K1302"/>
      <c r="L1302"/>
      <c r="M1302"/>
      <c r="N1302"/>
      <c r="O1302"/>
      <c r="P1302" s="233">
        <f t="shared" si="32"/>
        <v>0</v>
      </c>
      <c r="Q1302" s="233"/>
    </row>
    <row r="1303" spans="4:17" ht="15.75">
      <c r="D1303"/>
      <c r="E1303"/>
      <c r="F1303"/>
      <c r="G1303"/>
      <c r="H1303"/>
      <c r="I1303"/>
      <c r="J1303"/>
      <c r="K1303"/>
      <c r="L1303"/>
      <c r="M1303"/>
      <c r="N1303"/>
      <c r="O1303"/>
      <c r="P1303" s="233">
        <f t="shared" si="32"/>
        <v>0</v>
      </c>
      <c r="Q1303" s="233"/>
    </row>
    <row r="1304" spans="4:17" ht="15.75">
      <c r="D1304"/>
      <c r="E1304"/>
      <c r="F1304"/>
      <c r="G1304"/>
      <c r="H1304"/>
      <c r="I1304"/>
      <c r="J1304"/>
      <c r="K1304"/>
      <c r="L1304"/>
      <c r="M1304"/>
      <c r="N1304"/>
      <c r="O1304"/>
      <c r="P1304" s="233">
        <f t="shared" si="32"/>
        <v>0</v>
      </c>
      <c r="Q1304" s="233"/>
    </row>
    <row r="1305" spans="4:17" ht="15.75">
      <c r="D1305"/>
      <c r="E1305"/>
      <c r="F1305"/>
      <c r="G1305"/>
      <c r="H1305"/>
      <c r="I1305"/>
      <c r="J1305"/>
      <c r="K1305"/>
      <c r="L1305"/>
      <c r="M1305"/>
      <c r="N1305"/>
      <c r="O1305"/>
      <c r="P1305" s="233">
        <f t="shared" si="32"/>
        <v>0</v>
      </c>
      <c r="Q1305" s="233"/>
    </row>
    <row r="1306" spans="4:17" ht="15.75">
      <c r="D1306"/>
      <c r="E1306"/>
      <c r="F1306"/>
      <c r="G1306"/>
      <c r="H1306"/>
      <c r="I1306"/>
      <c r="J1306"/>
      <c r="K1306"/>
      <c r="L1306"/>
      <c r="M1306"/>
      <c r="N1306"/>
      <c r="O1306"/>
      <c r="P1306" s="233">
        <f t="shared" si="32"/>
        <v>0</v>
      </c>
      <c r="Q1306" s="233"/>
    </row>
    <row r="1307" spans="4:17" ht="15.75">
      <c r="D1307"/>
      <c r="E1307"/>
      <c r="F1307"/>
      <c r="G1307"/>
      <c r="H1307"/>
      <c r="I1307"/>
      <c r="J1307"/>
      <c r="K1307"/>
      <c r="L1307"/>
      <c r="M1307"/>
      <c r="N1307"/>
      <c r="O1307"/>
      <c r="P1307" s="233">
        <f t="shared" si="32"/>
        <v>0</v>
      </c>
      <c r="Q1307" s="233"/>
    </row>
    <row r="1308" spans="4:17" ht="15.75">
      <c r="D1308"/>
      <c r="E1308"/>
      <c r="F1308"/>
      <c r="G1308"/>
      <c r="H1308"/>
      <c r="I1308"/>
      <c r="J1308"/>
      <c r="K1308"/>
      <c r="L1308"/>
      <c r="M1308"/>
      <c r="N1308"/>
      <c r="O1308"/>
      <c r="P1308" s="233">
        <f t="shared" si="32"/>
        <v>0</v>
      </c>
      <c r="Q1308" s="233"/>
    </row>
    <row r="1309" spans="4:17" ht="15.75">
      <c r="D1309"/>
      <c r="E1309"/>
      <c r="F1309"/>
      <c r="G1309"/>
      <c r="H1309"/>
      <c r="I1309"/>
      <c r="J1309"/>
      <c r="K1309"/>
      <c r="L1309"/>
      <c r="M1309"/>
      <c r="N1309"/>
      <c r="O1309"/>
      <c r="P1309" s="233">
        <f t="shared" si="32"/>
        <v>0</v>
      </c>
      <c r="Q1309" s="233"/>
    </row>
    <row r="1310" spans="4:17" ht="15.75">
      <c r="D1310"/>
      <c r="E1310"/>
      <c r="F1310"/>
      <c r="G1310"/>
      <c r="H1310"/>
      <c r="I1310"/>
      <c r="J1310"/>
      <c r="K1310"/>
      <c r="L1310"/>
      <c r="M1310"/>
      <c r="N1310"/>
      <c r="O1310"/>
      <c r="P1310" s="233">
        <f t="shared" si="32"/>
        <v>0</v>
      </c>
      <c r="Q1310" s="233"/>
    </row>
    <row r="1311" spans="4:17" ht="15.75">
      <c r="D1311"/>
      <c r="E1311"/>
      <c r="F1311"/>
      <c r="G1311"/>
      <c r="H1311"/>
      <c r="I1311"/>
      <c r="J1311"/>
      <c r="K1311"/>
      <c r="L1311"/>
      <c r="M1311"/>
      <c r="N1311"/>
      <c r="O1311"/>
      <c r="P1311" s="233">
        <f t="shared" si="32"/>
        <v>0</v>
      </c>
      <c r="Q1311" s="233"/>
    </row>
    <row r="1312" spans="4:17" ht="15.75">
      <c r="D1312"/>
      <c r="E1312"/>
      <c r="F1312"/>
      <c r="G1312"/>
      <c r="H1312"/>
      <c r="I1312"/>
      <c r="J1312"/>
      <c r="K1312"/>
      <c r="L1312"/>
      <c r="M1312"/>
      <c r="N1312"/>
      <c r="O1312"/>
      <c r="P1312" s="233">
        <f t="shared" si="32"/>
        <v>0</v>
      </c>
      <c r="Q1312" s="233"/>
    </row>
    <row r="1313" spans="4:17" ht="15.75">
      <c r="D1313"/>
      <c r="E1313"/>
      <c r="F1313"/>
      <c r="G1313"/>
      <c r="H1313"/>
      <c r="I1313"/>
      <c r="J1313"/>
      <c r="K1313"/>
      <c r="L1313"/>
      <c r="M1313"/>
      <c r="N1313"/>
      <c r="O1313"/>
      <c r="P1313" s="233">
        <f t="shared" si="32"/>
        <v>0</v>
      </c>
      <c r="Q1313" s="233"/>
    </row>
    <row r="1314" spans="4:17" ht="15.75">
      <c r="D1314"/>
      <c r="E1314"/>
      <c r="F1314"/>
      <c r="G1314"/>
      <c r="H1314"/>
      <c r="I1314"/>
      <c r="J1314"/>
      <c r="K1314"/>
      <c r="L1314"/>
      <c r="M1314"/>
      <c r="N1314"/>
      <c r="O1314"/>
      <c r="P1314" s="233">
        <f t="shared" si="32"/>
        <v>0</v>
      </c>
      <c r="Q1314" s="233"/>
    </row>
    <row r="1315" spans="4:17" ht="15.75">
      <c r="D1315"/>
      <c r="E1315"/>
      <c r="F1315"/>
      <c r="G1315"/>
      <c r="H1315"/>
      <c r="I1315"/>
      <c r="J1315"/>
      <c r="K1315"/>
      <c r="L1315"/>
      <c r="M1315"/>
      <c r="N1315"/>
      <c r="O1315"/>
      <c r="P1315" s="233">
        <f t="shared" si="32"/>
        <v>0</v>
      </c>
      <c r="Q1315" s="233"/>
    </row>
    <row r="1316" spans="4:17" ht="15.75">
      <c r="D1316"/>
      <c r="E1316"/>
      <c r="F1316"/>
      <c r="G1316"/>
      <c r="H1316"/>
      <c r="I1316"/>
      <c r="J1316"/>
      <c r="K1316"/>
      <c r="L1316"/>
      <c r="M1316"/>
      <c r="N1316"/>
      <c r="O1316"/>
      <c r="P1316" s="233">
        <f t="shared" si="32"/>
        <v>0</v>
      </c>
      <c r="Q1316" s="233"/>
    </row>
    <row r="1317" spans="4:17" ht="15.75">
      <c r="D1317"/>
      <c r="E1317"/>
      <c r="F1317"/>
      <c r="G1317"/>
      <c r="H1317"/>
      <c r="I1317"/>
      <c r="J1317"/>
      <c r="K1317"/>
      <c r="L1317"/>
      <c r="M1317"/>
      <c r="N1317"/>
      <c r="O1317"/>
      <c r="P1317" s="233">
        <f t="shared" si="32"/>
        <v>0</v>
      </c>
      <c r="Q1317" s="233"/>
    </row>
    <row r="1318" spans="4:17" ht="15.75">
      <c r="D1318"/>
      <c r="E1318"/>
      <c r="F1318"/>
      <c r="G1318"/>
      <c r="H1318"/>
      <c r="I1318"/>
      <c r="J1318"/>
      <c r="K1318"/>
      <c r="L1318"/>
      <c r="M1318"/>
      <c r="N1318"/>
      <c r="O1318"/>
      <c r="P1318" s="233">
        <f t="shared" si="32"/>
        <v>0</v>
      </c>
      <c r="Q1318" s="233"/>
    </row>
    <row r="1319" spans="4:17" ht="15.75">
      <c r="D1319"/>
      <c r="E1319"/>
      <c r="F1319"/>
      <c r="G1319"/>
      <c r="H1319"/>
      <c r="I1319"/>
      <c r="J1319"/>
      <c r="K1319"/>
      <c r="L1319"/>
      <c r="M1319"/>
      <c r="N1319"/>
      <c r="O1319"/>
      <c r="P1319" s="233">
        <f t="shared" si="32"/>
        <v>0</v>
      </c>
      <c r="Q1319" s="233"/>
    </row>
    <row r="1320" spans="4:17" ht="15.75">
      <c r="D1320"/>
      <c r="E1320"/>
      <c r="F1320"/>
      <c r="G1320"/>
      <c r="H1320"/>
      <c r="I1320"/>
      <c r="J1320"/>
      <c r="K1320"/>
      <c r="L1320"/>
      <c r="M1320"/>
      <c r="N1320"/>
      <c r="O1320"/>
      <c r="P1320" s="233">
        <f t="shared" si="32"/>
        <v>0</v>
      </c>
      <c r="Q1320" s="233"/>
    </row>
    <row r="1321" spans="4:17" ht="15.75">
      <c r="D1321"/>
      <c r="E1321"/>
      <c r="F1321"/>
      <c r="G1321"/>
      <c r="H1321"/>
      <c r="I1321"/>
      <c r="J1321"/>
      <c r="K1321"/>
      <c r="L1321"/>
      <c r="M1321"/>
      <c r="N1321"/>
      <c r="O1321"/>
      <c r="P1321" s="233">
        <f t="shared" si="32"/>
        <v>0</v>
      </c>
      <c r="Q1321" s="233"/>
    </row>
    <row r="1322" spans="4:17" ht="15.75">
      <c r="D1322"/>
      <c r="E1322"/>
      <c r="F1322"/>
      <c r="G1322"/>
      <c r="H1322"/>
      <c r="I1322"/>
      <c r="J1322"/>
      <c r="K1322"/>
      <c r="L1322"/>
      <c r="M1322"/>
      <c r="N1322"/>
      <c r="O1322"/>
      <c r="P1322" s="233">
        <f t="shared" si="32"/>
        <v>0</v>
      </c>
      <c r="Q1322" s="233"/>
    </row>
    <row r="1323" spans="4:17" ht="15.75">
      <c r="D1323"/>
      <c r="E1323"/>
      <c r="F1323"/>
      <c r="G1323"/>
      <c r="H1323"/>
      <c r="I1323"/>
      <c r="J1323"/>
      <c r="K1323"/>
      <c r="L1323"/>
      <c r="M1323"/>
      <c r="N1323"/>
      <c r="O1323"/>
      <c r="P1323" s="233">
        <f t="shared" si="32"/>
        <v>0</v>
      </c>
      <c r="Q1323" s="233"/>
    </row>
    <row r="1324" spans="4:17" ht="15.75">
      <c r="D1324"/>
      <c r="E1324"/>
      <c r="F1324"/>
      <c r="G1324"/>
      <c r="H1324"/>
      <c r="I1324"/>
      <c r="J1324"/>
      <c r="K1324"/>
      <c r="L1324"/>
      <c r="M1324"/>
      <c r="N1324"/>
      <c r="O1324"/>
      <c r="P1324" s="233">
        <f t="shared" si="32"/>
        <v>0</v>
      </c>
      <c r="Q1324" s="233"/>
    </row>
    <row r="1325" spans="4:17" ht="15.75">
      <c r="D1325"/>
      <c r="E1325"/>
      <c r="F1325"/>
      <c r="G1325"/>
      <c r="H1325"/>
      <c r="I1325"/>
      <c r="J1325"/>
      <c r="K1325"/>
      <c r="L1325"/>
      <c r="M1325"/>
      <c r="N1325"/>
      <c r="O1325"/>
      <c r="P1325" s="233">
        <f t="shared" si="32"/>
        <v>0</v>
      </c>
      <c r="Q1325" s="233"/>
    </row>
    <row r="1326" spans="4:17" ht="15.75">
      <c r="D1326"/>
      <c r="E1326"/>
      <c r="F1326"/>
      <c r="G1326"/>
      <c r="H1326"/>
      <c r="I1326"/>
      <c r="J1326"/>
      <c r="K1326"/>
      <c r="L1326"/>
      <c r="M1326"/>
      <c r="N1326"/>
      <c r="O1326"/>
      <c r="P1326" s="233">
        <f t="shared" si="32"/>
        <v>0</v>
      </c>
      <c r="Q1326" s="233"/>
    </row>
    <row r="1327" spans="4:17" ht="15.75">
      <c r="D1327"/>
      <c r="E1327"/>
      <c r="F1327"/>
      <c r="G1327"/>
      <c r="H1327"/>
      <c r="I1327"/>
      <c r="J1327"/>
      <c r="K1327"/>
      <c r="L1327"/>
      <c r="M1327"/>
      <c r="N1327"/>
      <c r="O1327"/>
      <c r="P1327" s="233">
        <f t="shared" si="32"/>
        <v>0</v>
      </c>
      <c r="Q1327" s="233"/>
    </row>
    <row r="1328" spans="4:17" ht="15.75">
      <c r="D1328"/>
      <c r="E1328"/>
      <c r="F1328"/>
      <c r="G1328"/>
      <c r="H1328"/>
      <c r="I1328"/>
      <c r="J1328"/>
      <c r="K1328"/>
      <c r="L1328"/>
      <c r="M1328"/>
      <c r="N1328"/>
      <c r="O1328"/>
      <c r="P1328" s="233">
        <f t="shared" si="32"/>
        <v>0</v>
      </c>
      <c r="Q1328" s="233"/>
    </row>
    <row r="1329" spans="4:17" ht="15.75">
      <c r="D1329"/>
      <c r="E1329"/>
      <c r="F1329"/>
      <c r="G1329"/>
      <c r="H1329"/>
      <c r="I1329"/>
      <c r="J1329"/>
      <c r="K1329"/>
      <c r="L1329"/>
      <c r="M1329"/>
      <c r="N1329"/>
      <c r="O1329"/>
      <c r="P1329" s="233">
        <f t="shared" si="32"/>
        <v>0</v>
      </c>
      <c r="Q1329" s="233"/>
    </row>
    <row r="1330" spans="4:17" ht="15.75">
      <c r="D1330"/>
      <c r="E1330"/>
      <c r="F1330"/>
      <c r="G1330"/>
      <c r="H1330"/>
      <c r="I1330"/>
      <c r="J1330"/>
      <c r="K1330"/>
      <c r="L1330"/>
      <c r="M1330"/>
      <c r="N1330"/>
      <c r="O1330"/>
      <c r="P1330" s="233">
        <f t="shared" si="32"/>
        <v>0</v>
      </c>
      <c r="Q1330" s="233"/>
    </row>
    <row r="1331" spans="4:17" ht="15.75">
      <c r="D1331"/>
      <c r="E1331"/>
      <c r="F1331"/>
      <c r="G1331"/>
      <c r="H1331"/>
      <c r="I1331"/>
      <c r="J1331"/>
      <c r="K1331"/>
      <c r="L1331"/>
      <c r="M1331"/>
      <c r="N1331"/>
      <c r="O1331"/>
      <c r="P1331" s="233">
        <f t="shared" si="32"/>
        <v>0</v>
      </c>
      <c r="Q1331" s="233"/>
    </row>
    <row r="1332" spans="4:17" ht="15.75">
      <c r="D1332"/>
      <c r="E1332"/>
      <c r="F1332"/>
      <c r="G1332"/>
      <c r="H1332"/>
      <c r="I1332"/>
      <c r="J1332"/>
      <c r="K1332"/>
      <c r="L1332"/>
      <c r="M1332"/>
      <c r="N1332"/>
      <c r="O1332"/>
      <c r="P1332" s="233">
        <f t="shared" si="32"/>
        <v>0</v>
      </c>
      <c r="Q1332" s="233"/>
    </row>
    <row r="1333" spans="4:17" ht="15.75">
      <c r="D1333"/>
      <c r="E1333"/>
      <c r="F1333"/>
      <c r="G1333"/>
      <c r="H1333"/>
      <c r="I1333"/>
      <c r="J1333"/>
      <c r="K1333"/>
      <c r="L1333"/>
      <c r="M1333"/>
      <c r="N1333"/>
      <c r="O1333"/>
      <c r="P1333" s="233">
        <f t="shared" si="32"/>
        <v>0</v>
      </c>
      <c r="Q1333" s="233"/>
    </row>
    <row r="1334" spans="4:17" ht="15.75">
      <c r="D1334"/>
      <c r="E1334"/>
      <c r="F1334"/>
      <c r="G1334"/>
      <c r="H1334"/>
      <c r="I1334"/>
      <c r="J1334"/>
      <c r="K1334"/>
      <c r="L1334"/>
      <c r="M1334"/>
      <c r="N1334"/>
      <c r="O1334"/>
      <c r="P1334" s="233">
        <f t="shared" si="32"/>
        <v>0</v>
      </c>
      <c r="Q1334" s="233"/>
    </row>
    <row r="1335" spans="4:17" ht="15.75">
      <c r="D1335"/>
      <c r="E1335"/>
      <c r="F1335"/>
      <c r="G1335"/>
      <c r="H1335"/>
      <c r="I1335"/>
      <c r="J1335"/>
      <c r="K1335"/>
      <c r="L1335"/>
      <c r="M1335"/>
      <c r="N1335"/>
      <c r="O1335"/>
      <c r="P1335" s="233">
        <f t="shared" si="32"/>
        <v>0</v>
      </c>
      <c r="Q1335" s="233"/>
    </row>
    <row r="1336" spans="4:17" ht="15.75">
      <c r="D1336"/>
      <c r="E1336"/>
      <c r="F1336"/>
      <c r="G1336"/>
      <c r="H1336"/>
      <c r="I1336"/>
      <c r="J1336"/>
      <c r="K1336"/>
      <c r="L1336"/>
      <c r="M1336"/>
      <c r="N1336"/>
      <c r="O1336"/>
      <c r="P1336" s="233">
        <f t="shared" si="32"/>
        <v>0</v>
      </c>
      <c r="Q1336" s="233"/>
    </row>
    <row r="1337" spans="4:17" ht="15.75">
      <c r="D1337"/>
      <c r="E1337"/>
      <c r="F1337"/>
      <c r="G1337"/>
      <c r="H1337"/>
      <c r="I1337"/>
      <c r="J1337"/>
      <c r="K1337"/>
      <c r="L1337"/>
      <c r="M1337"/>
      <c r="N1337"/>
      <c r="O1337"/>
      <c r="P1337" s="233">
        <f t="shared" si="32"/>
        <v>0</v>
      </c>
      <c r="Q1337" s="233"/>
    </row>
    <row r="1338" spans="4:17" ht="15.75">
      <c r="D1338"/>
      <c r="E1338"/>
      <c r="F1338"/>
      <c r="G1338"/>
      <c r="H1338"/>
      <c r="I1338"/>
      <c r="J1338"/>
      <c r="K1338"/>
      <c r="L1338"/>
      <c r="M1338"/>
      <c r="N1338"/>
      <c r="O1338"/>
      <c r="P1338" s="233">
        <f t="shared" si="32"/>
        <v>0</v>
      </c>
      <c r="Q1338" s="233"/>
    </row>
    <row r="1339" spans="4:17" ht="15.75">
      <c r="D1339"/>
      <c r="E1339"/>
      <c r="F1339"/>
      <c r="G1339"/>
      <c r="H1339"/>
      <c r="I1339"/>
      <c r="J1339"/>
      <c r="K1339"/>
      <c r="L1339"/>
      <c r="M1339"/>
      <c r="N1339"/>
      <c r="O1339"/>
      <c r="P1339" s="233">
        <f t="shared" si="32"/>
        <v>0</v>
      </c>
      <c r="Q1339" s="233"/>
    </row>
    <row r="1340" spans="4:17" ht="15.75">
      <c r="D1340"/>
      <c r="E1340"/>
      <c r="F1340"/>
      <c r="G1340"/>
      <c r="H1340"/>
      <c r="I1340"/>
      <c r="J1340"/>
      <c r="K1340"/>
      <c r="L1340"/>
      <c r="M1340"/>
      <c r="N1340"/>
      <c r="O1340"/>
      <c r="P1340" s="233">
        <f t="shared" si="32"/>
        <v>0</v>
      </c>
      <c r="Q1340" s="233"/>
    </row>
    <row r="1341" spans="4:17" ht="15.75">
      <c r="D1341"/>
      <c r="E1341"/>
      <c r="F1341"/>
      <c r="G1341"/>
      <c r="H1341"/>
      <c r="I1341"/>
      <c r="J1341"/>
      <c r="K1341"/>
      <c r="L1341"/>
      <c r="M1341"/>
      <c r="N1341"/>
      <c r="O1341"/>
      <c r="P1341" s="233">
        <f t="shared" si="32"/>
        <v>0</v>
      </c>
      <c r="Q1341" s="233"/>
    </row>
    <row r="1342" spans="4:17" ht="15.75">
      <c r="D1342"/>
      <c r="E1342"/>
      <c r="F1342"/>
      <c r="G1342"/>
      <c r="H1342"/>
      <c r="I1342"/>
      <c r="J1342"/>
      <c r="K1342"/>
      <c r="L1342"/>
      <c r="M1342"/>
      <c r="N1342"/>
      <c r="O1342"/>
      <c r="P1342" s="233">
        <f t="shared" si="32"/>
        <v>0</v>
      </c>
      <c r="Q1342" s="233"/>
    </row>
    <row r="1343" spans="4:17" ht="15.75">
      <c r="D1343"/>
      <c r="E1343"/>
      <c r="F1343"/>
      <c r="G1343"/>
      <c r="H1343"/>
      <c r="I1343"/>
      <c r="J1343"/>
      <c r="K1343"/>
      <c r="L1343"/>
      <c r="M1343"/>
      <c r="N1343"/>
      <c r="O1343"/>
      <c r="P1343" s="233">
        <f t="shared" si="32"/>
        <v>0</v>
      </c>
      <c r="Q1343" s="233"/>
    </row>
    <row r="1344" spans="4:17" ht="15.75">
      <c r="D1344"/>
      <c r="E1344"/>
      <c r="F1344"/>
      <c r="G1344"/>
      <c r="H1344"/>
      <c r="I1344"/>
      <c r="J1344"/>
      <c r="K1344"/>
      <c r="L1344"/>
      <c r="M1344"/>
      <c r="N1344"/>
      <c r="O1344"/>
      <c r="P1344" s="233">
        <f t="shared" si="32"/>
        <v>0</v>
      </c>
      <c r="Q1344" s="233"/>
    </row>
    <row r="1345" spans="4:17" ht="15.75">
      <c r="D1345"/>
      <c r="E1345"/>
      <c r="F1345"/>
      <c r="G1345"/>
      <c r="H1345"/>
      <c r="I1345"/>
      <c r="J1345"/>
      <c r="K1345"/>
      <c r="L1345"/>
      <c r="M1345"/>
      <c r="N1345"/>
      <c r="O1345"/>
      <c r="P1345" s="233">
        <f t="shared" si="32"/>
        <v>0</v>
      </c>
      <c r="Q1345" s="233"/>
    </row>
    <row r="1346" spans="4:17" ht="15.75">
      <c r="D1346"/>
      <c r="E1346"/>
      <c r="F1346"/>
      <c r="G1346"/>
      <c r="H1346"/>
      <c r="I1346"/>
      <c r="J1346"/>
      <c r="K1346"/>
      <c r="L1346"/>
      <c r="M1346"/>
      <c r="N1346"/>
      <c r="O1346"/>
      <c r="P1346" s="233">
        <f t="shared" si="32"/>
        <v>0</v>
      </c>
      <c r="Q1346" s="233"/>
    </row>
    <row r="1347" spans="4:17" ht="15.75">
      <c r="D1347"/>
      <c r="E1347"/>
      <c r="F1347"/>
      <c r="G1347"/>
      <c r="H1347"/>
      <c r="I1347"/>
      <c r="J1347"/>
      <c r="K1347"/>
      <c r="L1347"/>
      <c r="M1347"/>
      <c r="N1347"/>
      <c r="O1347"/>
      <c r="P1347" s="233">
        <f t="shared" si="32"/>
        <v>0</v>
      </c>
      <c r="Q1347" s="233"/>
    </row>
    <row r="1348" spans="4:17" ht="15.75">
      <c r="D1348"/>
      <c r="E1348"/>
      <c r="F1348"/>
      <c r="G1348"/>
      <c r="H1348"/>
      <c r="I1348"/>
      <c r="J1348"/>
      <c r="K1348"/>
      <c r="L1348"/>
      <c r="M1348"/>
      <c r="N1348"/>
      <c r="O1348"/>
      <c r="P1348" s="233">
        <f t="shared" si="32"/>
        <v>0</v>
      </c>
      <c r="Q1348" s="233"/>
    </row>
    <row r="1349" spans="4:17" ht="15.75">
      <c r="D1349"/>
      <c r="E1349"/>
      <c r="F1349"/>
      <c r="G1349"/>
      <c r="H1349"/>
      <c r="I1349"/>
      <c r="J1349"/>
      <c r="K1349"/>
      <c r="L1349"/>
      <c r="M1349"/>
      <c r="N1349"/>
      <c r="O1349"/>
      <c r="P1349" s="233">
        <f t="shared" si="32"/>
        <v>0</v>
      </c>
      <c r="Q1349" s="233"/>
    </row>
    <row r="1350" spans="4:17" ht="15.75">
      <c r="D1350"/>
      <c r="E1350"/>
      <c r="F1350"/>
      <c r="G1350"/>
      <c r="H1350"/>
      <c r="I1350"/>
      <c r="J1350"/>
      <c r="K1350"/>
      <c r="L1350"/>
      <c r="M1350"/>
      <c r="N1350"/>
      <c r="O1350"/>
      <c r="P1350" s="233">
        <f t="shared" si="32"/>
        <v>0</v>
      </c>
      <c r="Q1350" s="233"/>
    </row>
    <row r="1351" spans="4:17" ht="15.75">
      <c r="D1351"/>
      <c r="E1351"/>
      <c r="F1351"/>
      <c r="G1351"/>
      <c r="H1351"/>
      <c r="I1351"/>
      <c r="J1351"/>
      <c r="K1351"/>
      <c r="L1351"/>
      <c r="M1351"/>
      <c r="N1351"/>
      <c r="O1351"/>
      <c r="P1351" s="233">
        <f t="shared" si="32"/>
        <v>0</v>
      </c>
      <c r="Q1351" s="233"/>
    </row>
    <row r="1352" spans="4:17" ht="15.75">
      <c r="D1352"/>
      <c r="E1352"/>
      <c r="F1352"/>
      <c r="G1352"/>
      <c r="H1352"/>
      <c r="I1352"/>
      <c r="J1352"/>
      <c r="K1352"/>
      <c r="L1352"/>
      <c r="M1352"/>
      <c r="N1352"/>
      <c r="O1352"/>
      <c r="P1352" s="233">
        <f t="shared" si="32"/>
        <v>0</v>
      </c>
      <c r="Q1352" s="233"/>
    </row>
    <row r="1353" spans="4:17" ht="15.75">
      <c r="D1353"/>
      <c r="E1353"/>
      <c r="F1353"/>
      <c r="G1353"/>
      <c r="H1353"/>
      <c r="I1353"/>
      <c r="J1353"/>
      <c r="K1353"/>
      <c r="L1353"/>
      <c r="M1353"/>
      <c r="N1353"/>
      <c r="O1353"/>
      <c r="P1353" s="233">
        <f t="shared" si="32"/>
        <v>0</v>
      </c>
      <c r="Q1353" s="233"/>
    </row>
    <row r="1354" spans="4:17" ht="15.75">
      <c r="D1354"/>
      <c r="E1354"/>
      <c r="F1354"/>
      <c r="G1354"/>
      <c r="H1354"/>
      <c r="I1354"/>
      <c r="J1354"/>
      <c r="K1354"/>
      <c r="L1354"/>
      <c r="M1354"/>
      <c r="N1354"/>
      <c r="O1354"/>
      <c r="P1354" s="233">
        <f t="shared" si="32"/>
        <v>0</v>
      </c>
      <c r="Q1354" s="233"/>
    </row>
    <row r="1355" spans="4:17" ht="15.75">
      <c r="D1355"/>
      <c r="E1355"/>
      <c r="F1355"/>
      <c r="G1355"/>
      <c r="H1355"/>
      <c r="I1355"/>
      <c r="J1355"/>
      <c r="K1355"/>
      <c r="L1355"/>
      <c r="M1355"/>
      <c r="N1355"/>
      <c r="O1355"/>
      <c r="P1355" s="233">
        <f t="shared" si="32"/>
        <v>0</v>
      </c>
      <c r="Q1355" s="233"/>
    </row>
    <row r="1356" spans="4:17" ht="15.75">
      <c r="D1356"/>
      <c r="E1356"/>
      <c r="F1356"/>
      <c r="G1356"/>
      <c r="H1356"/>
      <c r="I1356"/>
      <c r="J1356"/>
      <c r="K1356"/>
      <c r="L1356"/>
      <c r="M1356"/>
      <c r="N1356"/>
      <c r="O1356"/>
      <c r="P1356" s="233">
        <f t="shared" si="32"/>
        <v>0</v>
      </c>
      <c r="Q1356" s="233"/>
    </row>
    <row r="1357" spans="4:17" ht="15.75">
      <c r="D1357"/>
      <c r="E1357"/>
      <c r="F1357"/>
      <c r="G1357"/>
      <c r="H1357"/>
      <c r="I1357"/>
      <c r="J1357"/>
      <c r="K1357"/>
      <c r="L1357"/>
      <c r="M1357"/>
      <c r="N1357"/>
      <c r="O1357"/>
      <c r="P1357" s="233">
        <f t="shared" si="32"/>
        <v>0</v>
      </c>
      <c r="Q1357" s="233"/>
    </row>
    <row r="1358" spans="4:17" ht="15.75">
      <c r="D1358"/>
      <c r="E1358"/>
      <c r="F1358"/>
      <c r="G1358"/>
      <c r="H1358"/>
      <c r="I1358"/>
      <c r="J1358"/>
      <c r="K1358"/>
      <c r="L1358"/>
      <c r="M1358"/>
      <c r="N1358"/>
      <c r="O1358"/>
      <c r="P1358" s="233">
        <f t="shared" ref="P1358:P1421" si="33">IF(ISNUMBER(Q1358),Q1358,0)</f>
        <v>0</v>
      </c>
      <c r="Q1358" s="233"/>
    </row>
    <row r="1359" spans="4:17" ht="15.75">
      <c r="D1359"/>
      <c r="E1359"/>
      <c r="F1359"/>
      <c r="G1359"/>
      <c r="H1359"/>
      <c r="I1359"/>
      <c r="J1359"/>
      <c r="K1359"/>
      <c r="L1359"/>
      <c r="M1359"/>
      <c r="N1359"/>
      <c r="O1359"/>
      <c r="P1359" s="233">
        <f t="shared" si="33"/>
        <v>0</v>
      </c>
      <c r="Q1359" s="233"/>
    </row>
    <row r="1360" spans="4:17" ht="15.75">
      <c r="D1360"/>
      <c r="E1360"/>
      <c r="F1360"/>
      <c r="G1360"/>
      <c r="H1360"/>
      <c r="I1360"/>
      <c r="J1360"/>
      <c r="K1360"/>
      <c r="L1360"/>
      <c r="M1360"/>
      <c r="N1360"/>
      <c r="O1360"/>
      <c r="P1360" s="233">
        <f t="shared" si="33"/>
        <v>0</v>
      </c>
      <c r="Q1360" s="233"/>
    </row>
    <row r="1361" spans="4:17" ht="15.75">
      <c r="D1361"/>
      <c r="E1361"/>
      <c r="F1361"/>
      <c r="G1361"/>
      <c r="H1361"/>
      <c r="I1361"/>
      <c r="J1361"/>
      <c r="K1361"/>
      <c r="L1361"/>
      <c r="M1361"/>
      <c r="N1361"/>
      <c r="O1361"/>
      <c r="P1361" s="233">
        <f t="shared" si="33"/>
        <v>0</v>
      </c>
      <c r="Q1361" s="233"/>
    </row>
    <row r="1362" spans="4:17" ht="15.75">
      <c r="D1362"/>
      <c r="E1362"/>
      <c r="F1362"/>
      <c r="G1362"/>
      <c r="H1362"/>
      <c r="I1362"/>
      <c r="J1362"/>
      <c r="K1362"/>
      <c r="L1362"/>
      <c r="M1362"/>
      <c r="N1362"/>
      <c r="O1362"/>
      <c r="P1362" s="233">
        <f t="shared" si="33"/>
        <v>0</v>
      </c>
      <c r="Q1362" s="233"/>
    </row>
    <row r="1363" spans="4:17" ht="15.75">
      <c r="D1363"/>
      <c r="E1363"/>
      <c r="F1363"/>
      <c r="G1363"/>
      <c r="H1363"/>
      <c r="I1363"/>
      <c r="J1363"/>
      <c r="K1363"/>
      <c r="L1363"/>
      <c r="M1363"/>
      <c r="N1363"/>
      <c r="O1363"/>
      <c r="P1363" s="233">
        <f t="shared" si="33"/>
        <v>0</v>
      </c>
      <c r="Q1363" s="233"/>
    </row>
    <row r="1364" spans="4:17" ht="15.75">
      <c r="D1364"/>
      <c r="E1364"/>
      <c r="F1364"/>
      <c r="G1364"/>
      <c r="H1364"/>
      <c r="I1364"/>
      <c r="J1364"/>
      <c r="K1364"/>
      <c r="L1364"/>
      <c r="M1364"/>
      <c r="N1364"/>
      <c r="O1364"/>
      <c r="P1364" s="233">
        <f t="shared" si="33"/>
        <v>0</v>
      </c>
      <c r="Q1364" s="233"/>
    </row>
    <row r="1365" spans="4:17" ht="15.75">
      <c r="D1365"/>
      <c r="E1365"/>
      <c r="F1365"/>
      <c r="G1365"/>
      <c r="H1365"/>
      <c r="I1365"/>
      <c r="J1365"/>
      <c r="K1365"/>
      <c r="L1365"/>
      <c r="M1365"/>
      <c r="N1365"/>
      <c r="O1365"/>
      <c r="P1365" s="233">
        <f t="shared" si="33"/>
        <v>0</v>
      </c>
      <c r="Q1365" s="233"/>
    </row>
    <row r="1366" spans="4:17" ht="15.75">
      <c r="D1366"/>
      <c r="E1366"/>
      <c r="F1366"/>
      <c r="G1366"/>
      <c r="H1366"/>
      <c r="I1366"/>
      <c r="J1366"/>
      <c r="K1366"/>
      <c r="L1366"/>
      <c r="M1366"/>
      <c r="N1366"/>
      <c r="O1366"/>
      <c r="P1366" s="233">
        <f t="shared" si="33"/>
        <v>0</v>
      </c>
      <c r="Q1366" s="233"/>
    </row>
    <row r="1367" spans="4:17" ht="15.75">
      <c r="D1367"/>
      <c r="E1367"/>
      <c r="F1367"/>
      <c r="G1367"/>
      <c r="H1367"/>
      <c r="I1367"/>
      <c r="J1367"/>
      <c r="K1367"/>
      <c r="L1367"/>
      <c r="M1367"/>
      <c r="N1367"/>
      <c r="O1367"/>
      <c r="P1367" s="233">
        <f t="shared" si="33"/>
        <v>0</v>
      </c>
      <c r="Q1367" s="233"/>
    </row>
    <row r="1368" spans="4:17" ht="15.75">
      <c r="D1368"/>
      <c r="E1368"/>
      <c r="F1368"/>
      <c r="G1368"/>
      <c r="H1368"/>
      <c r="I1368"/>
      <c r="J1368"/>
      <c r="K1368"/>
      <c r="L1368"/>
      <c r="M1368"/>
      <c r="N1368"/>
      <c r="O1368"/>
      <c r="P1368" s="233">
        <f t="shared" si="33"/>
        <v>0</v>
      </c>
      <c r="Q1368" s="233"/>
    </row>
    <row r="1369" spans="4:17" ht="15.75">
      <c r="D1369"/>
      <c r="E1369"/>
      <c r="F1369"/>
      <c r="G1369"/>
      <c r="H1369"/>
      <c r="I1369"/>
      <c r="J1369"/>
      <c r="K1369"/>
      <c r="L1369"/>
      <c r="M1369"/>
      <c r="N1369"/>
      <c r="O1369"/>
      <c r="P1369" s="233">
        <f t="shared" si="33"/>
        <v>0</v>
      </c>
      <c r="Q1369" s="233"/>
    </row>
    <row r="1370" spans="4:17" ht="15.75">
      <c r="D1370"/>
      <c r="E1370"/>
      <c r="F1370"/>
      <c r="G1370"/>
      <c r="H1370"/>
      <c r="I1370"/>
      <c r="J1370"/>
      <c r="K1370"/>
      <c r="L1370"/>
      <c r="M1370"/>
      <c r="N1370"/>
      <c r="O1370"/>
      <c r="P1370" s="233">
        <f t="shared" si="33"/>
        <v>0</v>
      </c>
      <c r="Q1370" s="233"/>
    </row>
    <row r="1371" spans="4:17" ht="15.75">
      <c r="D1371"/>
      <c r="E1371"/>
      <c r="F1371"/>
      <c r="G1371"/>
      <c r="H1371"/>
      <c r="I1371"/>
      <c r="J1371"/>
      <c r="K1371"/>
      <c r="L1371"/>
      <c r="M1371"/>
      <c r="N1371"/>
      <c r="O1371"/>
      <c r="P1371" s="233">
        <f t="shared" si="33"/>
        <v>0</v>
      </c>
      <c r="Q1371" s="233"/>
    </row>
    <row r="1372" spans="4:17" ht="15.75">
      <c r="D1372"/>
      <c r="E1372"/>
      <c r="F1372"/>
      <c r="G1372"/>
      <c r="H1372"/>
      <c r="I1372"/>
      <c r="J1372"/>
      <c r="K1372"/>
      <c r="L1372"/>
      <c r="M1372"/>
      <c r="N1372"/>
      <c r="O1372"/>
      <c r="P1372" s="233">
        <f t="shared" si="33"/>
        <v>0</v>
      </c>
      <c r="Q1372" s="233"/>
    </row>
    <row r="1373" spans="4:17" ht="15.75">
      <c r="D1373"/>
      <c r="E1373"/>
      <c r="F1373"/>
      <c r="G1373"/>
      <c r="H1373"/>
      <c r="I1373"/>
      <c r="J1373"/>
      <c r="K1373"/>
      <c r="L1373"/>
      <c r="M1373"/>
      <c r="N1373"/>
      <c r="O1373"/>
      <c r="P1373" s="233">
        <f t="shared" si="33"/>
        <v>0</v>
      </c>
      <c r="Q1373" s="233"/>
    </row>
    <row r="1374" spans="4:17" ht="15.75">
      <c r="D1374"/>
      <c r="E1374"/>
      <c r="F1374"/>
      <c r="G1374"/>
      <c r="H1374"/>
      <c r="I1374"/>
      <c r="J1374"/>
      <c r="K1374"/>
      <c r="L1374"/>
      <c r="M1374"/>
      <c r="N1374"/>
      <c r="O1374"/>
      <c r="P1374" s="233">
        <f t="shared" si="33"/>
        <v>0</v>
      </c>
      <c r="Q1374" s="233"/>
    </row>
    <row r="1375" spans="4:17" ht="15.75">
      <c r="D1375"/>
      <c r="E1375"/>
      <c r="F1375"/>
      <c r="G1375"/>
      <c r="H1375"/>
      <c r="I1375"/>
      <c r="J1375"/>
      <c r="K1375"/>
      <c r="L1375"/>
      <c r="M1375"/>
      <c r="N1375"/>
      <c r="O1375"/>
      <c r="P1375" s="233">
        <f t="shared" si="33"/>
        <v>0</v>
      </c>
      <c r="Q1375" s="233"/>
    </row>
    <row r="1376" spans="4:17" ht="15.75">
      <c r="D1376"/>
      <c r="E1376"/>
      <c r="F1376"/>
      <c r="G1376"/>
      <c r="H1376"/>
      <c r="I1376"/>
      <c r="J1376"/>
      <c r="K1376"/>
      <c r="L1376"/>
      <c r="M1376"/>
      <c r="N1376"/>
      <c r="O1376"/>
      <c r="P1376" s="233">
        <f t="shared" si="33"/>
        <v>0</v>
      </c>
      <c r="Q1376" s="233"/>
    </row>
    <row r="1377" spans="4:17" ht="15.75">
      <c r="D1377"/>
      <c r="E1377"/>
      <c r="F1377"/>
      <c r="G1377"/>
      <c r="H1377"/>
      <c r="I1377"/>
      <c r="J1377"/>
      <c r="K1377"/>
      <c r="L1377"/>
      <c r="M1377"/>
      <c r="N1377"/>
      <c r="O1377"/>
      <c r="P1377" s="233">
        <f t="shared" si="33"/>
        <v>0</v>
      </c>
      <c r="Q1377" s="233"/>
    </row>
    <row r="1378" spans="4:17" ht="15.75">
      <c r="D1378"/>
      <c r="E1378"/>
      <c r="F1378"/>
      <c r="G1378"/>
      <c r="H1378"/>
      <c r="I1378"/>
      <c r="J1378"/>
      <c r="K1378"/>
      <c r="L1378"/>
      <c r="M1378"/>
      <c r="N1378"/>
      <c r="O1378"/>
      <c r="P1378" s="233">
        <f t="shared" si="33"/>
        <v>0</v>
      </c>
      <c r="Q1378" s="233"/>
    </row>
    <row r="1379" spans="4:17" ht="15.75">
      <c r="D1379"/>
      <c r="E1379"/>
      <c r="F1379"/>
      <c r="G1379"/>
      <c r="H1379"/>
      <c r="I1379"/>
      <c r="J1379"/>
      <c r="K1379"/>
      <c r="L1379"/>
      <c r="M1379"/>
      <c r="N1379"/>
      <c r="O1379"/>
      <c r="P1379" s="233">
        <f t="shared" si="33"/>
        <v>0</v>
      </c>
      <c r="Q1379" s="233"/>
    </row>
    <row r="1380" spans="4:17" ht="15.75">
      <c r="D1380"/>
      <c r="E1380"/>
      <c r="F1380"/>
      <c r="G1380"/>
      <c r="H1380"/>
      <c r="I1380"/>
      <c r="J1380"/>
      <c r="K1380"/>
      <c r="L1380"/>
      <c r="M1380"/>
      <c r="N1380"/>
      <c r="O1380"/>
      <c r="P1380" s="233">
        <f t="shared" si="33"/>
        <v>0</v>
      </c>
      <c r="Q1380" s="233"/>
    </row>
    <row r="1381" spans="4:17" ht="15.75">
      <c r="D1381"/>
      <c r="E1381"/>
      <c r="F1381"/>
      <c r="G1381"/>
      <c r="H1381"/>
      <c r="I1381"/>
      <c r="J1381"/>
      <c r="K1381"/>
      <c r="L1381"/>
      <c r="M1381"/>
      <c r="N1381"/>
      <c r="O1381"/>
      <c r="P1381" s="233">
        <f t="shared" si="33"/>
        <v>0</v>
      </c>
      <c r="Q1381" s="233"/>
    </row>
    <row r="1382" spans="4:17" ht="15.75">
      <c r="D1382"/>
      <c r="E1382"/>
      <c r="F1382"/>
      <c r="G1382"/>
      <c r="H1382"/>
      <c r="I1382"/>
      <c r="J1382"/>
      <c r="K1382"/>
      <c r="L1382"/>
      <c r="M1382"/>
      <c r="N1382"/>
      <c r="O1382"/>
      <c r="P1382" s="233">
        <f t="shared" si="33"/>
        <v>0</v>
      </c>
      <c r="Q1382" s="233"/>
    </row>
    <row r="1383" spans="4:17" ht="15.75">
      <c r="D1383"/>
      <c r="E1383"/>
      <c r="F1383"/>
      <c r="G1383"/>
      <c r="H1383"/>
      <c r="I1383"/>
      <c r="J1383"/>
      <c r="K1383"/>
      <c r="L1383"/>
      <c r="M1383"/>
      <c r="N1383"/>
      <c r="O1383"/>
      <c r="P1383" s="233">
        <f t="shared" si="33"/>
        <v>0</v>
      </c>
      <c r="Q1383" s="233"/>
    </row>
    <row r="1384" spans="4:17" ht="15.75">
      <c r="D1384"/>
      <c r="E1384"/>
      <c r="F1384"/>
      <c r="G1384"/>
      <c r="H1384"/>
      <c r="I1384"/>
      <c r="J1384"/>
      <c r="K1384"/>
      <c r="L1384"/>
      <c r="M1384"/>
      <c r="N1384"/>
      <c r="O1384"/>
      <c r="P1384" s="233">
        <f t="shared" si="33"/>
        <v>0</v>
      </c>
      <c r="Q1384" s="233"/>
    </row>
    <row r="1385" spans="4:17" ht="15.75">
      <c r="D1385"/>
      <c r="E1385"/>
      <c r="F1385"/>
      <c r="G1385"/>
      <c r="H1385"/>
      <c r="I1385"/>
      <c r="J1385"/>
      <c r="K1385"/>
      <c r="L1385"/>
      <c r="M1385"/>
      <c r="N1385"/>
      <c r="O1385"/>
      <c r="P1385" s="233">
        <f t="shared" si="33"/>
        <v>0</v>
      </c>
      <c r="Q1385" s="233"/>
    </row>
    <row r="1386" spans="4:17" ht="15.75">
      <c r="D1386"/>
      <c r="E1386"/>
      <c r="F1386"/>
      <c r="G1386"/>
      <c r="H1386"/>
      <c r="I1386"/>
      <c r="J1386"/>
      <c r="K1386"/>
      <c r="L1386"/>
      <c r="M1386"/>
      <c r="N1386"/>
      <c r="O1386"/>
      <c r="P1386" s="233">
        <f t="shared" si="33"/>
        <v>0</v>
      </c>
      <c r="Q1386" s="233"/>
    </row>
    <row r="1387" spans="4:17" ht="15.75">
      <c r="D1387"/>
      <c r="E1387"/>
      <c r="F1387"/>
      <c r="G1387"/>
      <c r="H1387"/>
      <c r="I1387"/>
      <c r="J1387"/>
      <c r="K1387"/>
      <c r="L1387"/>
      <c r="M1387"/>
      <c r="N1387"/>
      <c r="O1387"/>
      <c r="P1387" s="233">
        <f t="shared" si="33"/>
        <v>0</v>
      </c>
      <c r="Q1387" s="233"/>
    </row>
    <row r="1388" spans="4:17" ht="15.75">
      <c r="D1388"/>
      <c r="E1388"/>
      <c r="F1388"/>
      <c r="G1388"/>
      <c r="H1388"/>
      <c r="I1388"/>
      <c r="J1388"/>
      <c r="K1388"/>
      <c r="L1388"/>
      <c r="M1388"/>
      <c r="N1388"/>
      <c r="O1388"/>
      <c r="P1388" s="233">
        <f t="shared" si="33"/>
        <v>0</v>
      </c>
      <c r="Q1388" s="233"/>
    </row>
    <row r="1389" spans="4:17" ht="15.75">
      <c r="D1389"/>
      <c r="E1389"/>
      <c r="F1389"/>
      <c r="G1389"/>
      <c r="H1389"/>
      <c r="I1389"/>
      <c r="J1389"/>
      <c r="K1389"/>
      <c r="L1389"/>
      <c r="M1389"/>
      <c r="N1389"/>
      <c r="O1389"/>
      <c r="P1389" s="233">
        <f t="shared" si="33"/>
        <v>0</v>
      </c>
      <c r="Q1389" s="233"/>
    </row>
    <row r="1390" spans="4:17" ht="15.75">
      <c r="D1390"/>
      <c r="E1390"/>
      <c r="F1390"/>
      <c r="G1390"/>
      <c r="H1390"/>
      <c r="I1390"/>
      <c r="J1390"/>
      <c r="K1390"/>
      <c r="L1390"/>
      <c r="M1390"/>
      <c r="N1390"/>
      <c r="O1390"/>
      <c r="P1390" s="233">
        <f t="shared" si="33"/>
        <v>0</v>
      </c>
      <c r="Q1390" s="233"/>
    </row>
    <row r="1391" spans="4:17" ht="15.75">
      <c r="D1391"/>
      <c r="E1391"/>
      <c r="F1391"/>
      <c r="G1391"/>
      <c r="H1391"/>
      <c r="I1391"/>
      <c r="J1391"/>
      <c r="K1391"/>
      <c r="L1391"/>
      <c r="M1391"/>
      <c r="N1391"/>
      <c r="O1391"/>
      <c r="P1391" s="233">
        <f t="shared" si="33"/>
        <v>0</v>
      </c>
      <c r="Q1391" s="233"/>
    </row>
    <row r="1392" spans="4:17" ht="15.75">
      <c r="D1392"/>
      <c r="E1392"/>
      <c r="F1392"/>
      <c r="G1392"/>
      <c r="H1392"/>
      <c r="I1392"/>
      <c r="J1392"/>
      <c r="K1392"/>
      <c r="L1392"/>
      <c r="M1392"/>
      <c r="N1392"/>
      <c r="O1392"/>
      <c r="P1392" s="233">
        <f t="shared" si="33"/>
        <v>0</v>
      </c>
      <c r="Q1392" s="233"/>
    </row>
    <row r="1393" spans="4:17" ht="15.75">
      <c r="D1393"/>
      <c r="E1393"/>
      <c r="F1393"/>
      <c r="G1393"/>
      <c r="H1393"/>
      <c r="I1393"/>
      <c r="J1393"/>
      <c r="K1393"/>
      <c r="L1393"/>
      <c r="M1393"/>
      <c r="N1393"/>
      <c r="O1393"/>
      <c r="P1393" s="233">
        <f t="shared" si="33"/>
        <v>0</v>
      </c>
      <c r="Q1393" s="233"/>
    </row>
    <row r="1394" spans="4:17" ht="15.75">
      <c r="D1394"/>
      <c r="E1394"/>
      <c r="F1394"/>
      <c r="G1394"/>
      <c r="H1394"/>
      <c r="I1394"/>
      <c r="J1394"/>
      <c r="K1394"/>
      <c r="L1394"/>
      <c r="M1394"/>
      <c r="N1394"/>
      <c r="O1394"/>
      <c r="P1394" s="233">
        <f t="shared" si="33"/>
        <v>0</v>
      </c>
      <c r="Q1394" s="233"/>
    </row>
    <row r="1395" spans="4:17" ht="15.75">
      <c r="D1395"/>
      <c r="E1395"/>
      <c r="F1395"/>
      <c r="G1395"/>
      <c r="H1395"/>
      <c r="I1395"/>
      <c r="J1395"/>
      <c r="K1395"/>
      <c r="L1395"/>
      <c r="M1395"/>
      <c r="N1395"/>
      <c r="O1395"/>
      <c r="P1395" s="233">
        <f t="shared" si="33"/>
        <v>0</v>
      </c>
      <c r="Q1395" s="233"/>
    </row>
    <row r="1396" spans="4:17" ht="15.75">
      <c r="D1396"/>
      <c r="E1396"/>
      <c r="F1396"/>
      <c r="G1396"/>
      <c r="H1396"/>
      <c r="I1396"/>
      <c r="J1396"/>
      <c r="K1396"/>
      <c r="L1396"/>
      <c r="M1396"/>
      <c r="N1396"/>
      <c r="O1396"/>
      <c r="P1396" s="233">
        <f t="shared" si="33"/>
        <v>0</v>
      </c>
      <c r="Q1396" s="233"/>
    </row>
    <row r="1397" spans="4:17" ht="15.75">
      <c r="D1397"/>
      <c r="E1397"/>
      <c r="F1397"/>
      <c r="G1397"/>
      <c r="H1397"/>
      <c r="I1397"/>
      <c r="J1397"/>
      <c r="K1397"/>
      <c r="L1397"/>
      <c r="M1397"/>
      <c r="N1397"/>
      <c r="O1397"/>
      <c r="P1397" s="233">
        <f t="shared" si="33"/>
        <v>0</v>
      </c>
      <c r="Q1397" s="233"/>
    </row>
    <row r="1398" spans="4:17" ht="15.75">
      <c r="D1398"/>
      <c r="E1398"/>
      <c r="F1398"/>
      <c r="G1398"/>
      <c r="H1398"/>
      <c r="I1398"/>
      <c r="J1398"/>
      <c r="K1398"/>
      <c r="L1398"/>
      <c r="M1398"/>
      <c r="N1398"/>
      <c r="O1398"/>
      <c r="P1398" s="233">
        <f t="shared" si="33"/>
        <v>0</v>
      </c>
      <c r="Q1398" s="233"/>
    </row>
    <row r="1399" spans="4:17" ht="15.75">
      <c r="D1399"/>
      <c r="E1399"/>
      <c r="F1399"/>
      <c r="G1399"/>
      <c r="H1399"/>
      <c r="I1399"/>
      <c r="J1399"/>
      <c r="K1399"/>
      <c r="L1399"/>
      <c r="M1399"/>
      <c r="N1399"/>
      <c r="O1399"/>
      <c r="P1399" s="233">
        <f t="shared" si="33"/>
        <v>0</v>
      </c>
      <c r="Q1399" s="233"/>
    </row>
    <row r="1400" spans="4:17" ht="15.75">
      <c r="D1400"/>
      <c r="E1400"/>
      <c r="F1400"/>
      <c r="G1400"/>
      <c r="H1400"/>
      <c r="I1400"/>
      <c r="J1400"/>
      <c r="K1400"/>
      <c r="L1400"/>
      <c r="M1400"/>
      <c r="N1400"/>
      <c r="O1400"/>
      <c r="P1400" s="233">
        <f t="shared" si="33"/>
        <v>0</v>
      </c>
      <c r="Q1400" s="233"/>
    </row>
    <row r="1401" spans="4:17" ht="15.75">
      <c r="D1401"/>
      <c r="E1401"/>
      <c r="F1401"/>
      <c r="G1401"/>
      <c r="H1401"/>
      <c r="I1401"/>
      <c r="J1401"/>
      <c r="K1401"/>
      <c r="L1401"/>
      <c r="M1401"/>
      <c r="N1401"/>
      <c r="O1401"/>
      <c r="P1401" s="233">
        <f t="shared" si="33"/>
        <v>0</v>
      </c>
      <c r="Q1401" s="233"/>
    </row>
    <row r="1402" spans="4:17" ht="15.75">
      <c r="D1402"/>
      <c r="E1402"/>
      <c r="F1402"/>
      <c r="G1402"/>
      <c r="H1402"/>
      <c r="I1402"/>
      <c r="J1402"/>
      <c r="K1402"/>
      <c r="L1402"/>
      <c r="M1402"/>
      <c r="N1402"/>
      <c r="O1402"/>
      <c r="P1402" s="233">
        <f t="shared" si="33"/>
        <v>0</v>
      </c>
      <c r="Q1402" s="233"/>
    </row>
    <row r="1403" spans="4:17" ht="15.75">
      <c r="D1403"/>
      <c r="E1403"/>
      <c r="F1403"/>
      <c r="G1403"/>
      <c r="H1403"/>
      <c r="I1403"/>
      <c r="J1403"/>
      <c r="K1403"/>
      <c r="L1403"/>
      <c r="M1403"/>
      <c r="N1403"/>
      <c r="O1403"/>
      <c r="P1403" s="233">
        <f t="shared" si="33"/>
        <v>0</v>
      </c>
      <c r="Q1403" s="233"/>
    </row>
    <row r="1404" spans="4:17" ht="15.75">
      <c r="D1404"/>
      <c r="E1404"/>
      <c r="F1404"/>
      <c r="G1404"/>
      <c r="H1404"/>
      <c r="I1404"/>
      <c r="J1404"/>
      <c r="K1404"/>
      <c r="L1404"/>
      <c r="M1404"/>
      <c r="N1404"/>
      <c r="O1404"/>
      <c r="P1404" s="233">
        <f t="shared" si="33"/>
        <v>0</v>
      </c>
      <c r="Q1404" s="233"/>
    </row>
    <row r="1405" spans="4:17" ht="15.75">
      <c r="D1405"/>
      <c r="E1405"/>
      <c r="F1405"/>
      <c r="G1405"/>
      <c r="H1405"/>
      <c r="I1405"/>
      <c r="J1405"/>
      <c r="K1405"/>
      <c r="L1405"/>
      <c r="M1405"/>
      <c r="N1405"/>
      <c r="O1405"/>
      <c r="P1405" s="233">
        <f t="shared" si="33"/>
        <v>0</v>
      </c>
      <c r="Q1405" s="233"/>
    </row>
    <row r="1406" spans="4:17" ht="15.75">
      <c r="D1406"/>
      <c r="E1406"/>
      <c r="F1406"/>
      <c r="G1406"/>
      <c r="H1406"/>
      <c r="I1406"/>
      <c r="J1406"/>
      <c r="K1406"/>
      <c r="L1406"/>
      <c r="M1406"/>
      <c r="N1406"/>
      <c r="O1406"/>
      <c r="P1406" s="233">
        <f t="shared" si="33"/>
        <v>0</v>
      </c>
      <c r="Q1406" s="233"/>
    </row>
    <row r="1407" spans="4:17" ht="15.75">
      <c r="D1407"/>
      <c r="E1407"/>
      <c r="F1407"/>
      <c r="G1407"/>
      <c r="H1407"/>
      <c r="I1407"/>
      <c r="J1407"/>
      <c r="K1407"/>
      <c r="L1407"/>
      <c r="M1407"/>
      <c r="N1407"/>
      <c r="O1407"/>
      <c r="P1407" s="233">
        <f t="shared" si="33"/>
        <v>0</v>
      </c>
      <c r="Q1407" s="233"/>
    </row>
    <row r="1408" spans="4:17" ht="15.75">
      <c r="D1408"/>
      <c r="E1408"/>
      <c r="F1408"/>
      <c r="G1408"/>
      <c r="H1408"/>
      <c r="I1408"/>
      <c r="J1408"/>
      <c r="K1408"/>
      <c r="L1408"/>
      <c r="M1408"/>
      <c r="N1408"/>
      <c r="O1408"/>
      <c r="P1408" s="233">
        <f t="shared" si="33"/>
        <v>0</v>
      </c>
      <c r="Q1408" s="233"/>
    </row>
    <row r="1409" spans="4:17" ht="15.75">
      <c r="D1409"/>
      <c r="E1409"/>
      <c r="F1409"/>
      <c r="G1409"/>
      <c r="H1409"/>
      <c r="I1409"/>
      <c r="J1409"/>
      <c r="K1409"/>
      <c r="L1409"/>
      <c r="M1409"/>
      <c r="N1409"/>
      <c r="O1409"/>
      <c r="P1409" s="233">
        <f t="shared" si="33"/>
        <v>0</v>
      </c>
      <c r="Q1409" s="233"/>
    </row>
    <row r="1410" spans="4:17" ht="15.75">
      <c r="D1410"/>
      <c r="E1410"/>
      <c r="F1410"/>
      <c r="G1410"/>
      <c r="H1410"/>
      <c r="I1410"/>
      <c r="J1410"/>
      <c r="K1410"/>
      <c r="L1410"/>
      <c r="M1410"/>
      <c r="N1410"/>
      <c r="O1410"/>
      <c r="P1410" s="233">
        <f t="shared" si="33"/>
        <v>0</v>
      </c>
      <c r="Q1410" s="233"/>
    </row>
    <row r="1411" spans="4:17" ht="15.75">
      <c r="D1411"/>
      <c r="E1411"/>
      <c r="F1411"/>
      <c r="G1411"/>
      <c r="H1411"/>
      <c r="I1411"/>
      <c r="J1411"/>
      <c r="K1411"/>
      <c r="L1411"/>
      <c r="M1411"/>
      <c r="N1411"/>
      <c r="O1411"/>
      <c r="P1411" s="233">
        <f t="shared" si="33"/>
        <v>0</v>
      </c>
      <c r="Q1411" s="233"/>
    </row>
    <row r="1412" spans="4:17" ht="15.75">
      <c r="D1412"/>
      <c r="E1412"/>
      <c r="F1412"/>
      <c r="G1412"/>
      <c r="H1412"/>
      <c r="I1412"/>
      <c r="J1412"/>
      <c r="K1412"/>
      <c r="L1412"/>
      <c r="M1412"/>
      <c r="N1412"/>
      <c r="O1412"/>
      <c r="P1412" s="233">
        <f t="shared" si="33"/>
        <v>0</v>
      </c>
      <c r="Q1412" s="233"/>
    </row>
    <row r="1413" spans="4:17" ht="15.75">
      <c r="D1413"/>
      <c r="E1413"/>
      <c r="F1413"/>
      <c r="G1413"/>
      <c r="H1413"/>
      <c r="I1413"/>
      <c r="J1413"/>
      <c r="K1413"/>
      <c r="L1413"/>
      <c r="M1413"/>
      <c r="N1413"/>
      <c r="O1413"/>
      <c r="P1413" s="233">
        <f t="shared" si="33"/>
        <v>0</v>
      </c>
      <c r="Q1413" s="233"/>
    </row>
    <row r="1414" spans="4:17" ht="15.75">
      <c r="D1414"/>
      <c r="E1414"/>
      <c r="F1414"/>
      <c r="G1414"/>
      <c r="H1414"/>
      <c r="I1414"/>
      <c r="J1414"/>
      <c r="K1414"/>
      <c r="L1414"/>
      <c r="M1414"/>
      <c r="N1414"/>
      <c r="O1414"/>
      <c r="P1414" s="233">
        <f t="shared" si="33"/>
        <v>0</v>
      </c>
      <c r="Q1414" s="233"/>
    </row>
    <row r="1415" spans="4:17" ht="15.75">
      <c r="D1415"/>
      <c r="E1415"/>
      <c r="F1415"/>
      <c r="G1415"/>
      <c r="H1415"/>
      <c r="I1415"/>
      <c r="J1415"/>
      <c r="K1415"/>
      <c r="L1415"/>
      <c r="M1415"/>
      <c r="N1415"/>
      <c r="O1415"/>
      <c r="P1415" s="233">
        <f t="shared" si="33"/>
        <v>0</v>
      </c>
      <c r="Q1415" s="233"/>
    </row>
    <row r="1416" spans="4:17" ht="15.75">
      <c r="D1416"/>
      <c r="E1416"/>
      <c r="F1416"/>
      <c r="G1416"/>
      <c r="H1416"/>
      <c r="I1416"/>
      <c r="J1416"/>
      <c r="K1416"/>
      <c r="L1416"/>
      <c r="M1416"/>
      <c r="N1416"/>
      <c r="O1416"/>
      <c r="P1416" s="233">
        <f t="shared" si="33"/>
        <v>0</v>
      </c>
      <c r="Q1416" s="233"/>
    </row>
    <row r="1417" spans="4:17" ht="15.75">
      <c r="D1417"/>
      <c r="E1417"/>
      <c r="F1417"/>
      <c r="G1417"/>
      <c r="H1417"/>
      <c r="I1417"/>
      <c r="J1417"/>
      <c r="K1417"/>
      <c r="L1417"/>
      <c r="M1417"/>
      <c r="N1417"/>
      <c r="O1417"/>
      <c r="P1417" s="233">
        <f t="shared" si="33"/>
        <v>0</v>
      </c>
      <c r="Q1417" s="233"/>
    </row>
    <row r="1418" spans="4:17" ht="15.75">
      <c r="D1418"/>
      <c r="E1418"/>
      <c r="F1418"/>
      <c r="G1418"/>
      <c r="H1418"/>
      <c r="I1418"/>
      <c r="J1418"/>
      <c r="K1418"/>
      <c r="L1418"/>
      <c r="M1418"/>
      <c r="N1418"/>
      <c r="O1418"/>
      <c r="P1418" s="233">
        <f t="shared" si="33"/>
        <v>0</v>
      </c>
      <c r="Q1418" s="233"/>
    </row>
    <row r="1419" spans="4:17" ht="15.75">
      <c r="D1419"/>
      <c r="E1419"/>
      <c r="F1419"/>
      <c r="G1419"/>
      <c r="H1419"/>
      <c r="I1419"/>
      <c r="J1419"/>
      <c r="K1419"/>
      <c r="L1419"/>
      <c r="M1419"/>
      <c r="N1419"/>
      <c r="O1419"/>
      <c r="P1419" s="233">
        <f t="shared" si="33"/>
        <v>0</v>
      </c>
      <c r="Q1419" s="233"/>
    </row>
    <row r="1420" spans="4:17" ht="15.75">
      <c r="D1420"/>
      <c r="E1420"/>
      <c r="F1420"/>
      <c r="G1420"/>
      <c r="H1420"/>
      <c r="I1420"/>
      <c r="J1420"/>
      <c r="K1420"/>
      <c r="L1420"/>
      <c r="M1420"/>
      <c r="N1420"/>
      <c r="O1420"/>
      <c r="P1420" s="233">
        <f t="shared" si="33"/>
        <v>0</v>
      </c>
      <c r="Q1420" s="233"/>
    </row>
    <row r="1421" spans="4:17" ht="15.75">
      <c r="D1421"/>
      <c r="E1421"/>
      <c r="F1421"/>
      <c r="G1421"/>
      <c r="H1421"/>
      <c r="I1421"/>
      <c r="J1421"/>
      <c r="K1421"/>
      <c r="L1421"/>
      <c r="M1421"/>
      <c r="N1421"/>
      <c r="O1421"/>
      <c r="P1421" s="233">
        <f t="shared" si="33"/>
        <v>0</v>
      </c>
      <c r="Q1421" s="233"/>
    </row>
    <row r="1422" spans="4:17" ht="15.75">
      <c r="D1422"/>
      <c r="E1422"/>
      <c r="F1422"/>
      <c r="G1422"/>
      <c r="H1422"/>
      <c r="I1422"/>
      <c r="J1422"/>
      <c r="K1422"/>
      <c r="L1422"/>
      <c r="M1422"/>
      <c r="N1422"/>
      <c r="O1422"/>
      <c r="P1422" s="233">
        <f t="shared" ref="P1422:P1485" si="34">IF(ISNUMBER(Q1422),Q1422,0)</f>
        <v>0</v>
      </c>
      <c r="Q1422" s="233"/>
    </row>
    <row r="1423" spans="4:17" ht="15.75">
      <c r="D1423"/>
      <c r="E1423"/>
      <c r="F1423"/>
      <c r="G1423"/>
      <c r="H1423"/>
      <c r="I1423"/>
      <c r="J1423"/>
      <c r="K1423"/>
      <c r="L1423"/>
      <c r="M1423"/>
      <c r="N1423"/>
      <c r="O1423"/>
      <c r="P1423" s="233">
        <f t="shared" si="34"/>
        <v>0</v>
      </c>
      <c r="Q1423" s="233"/>
    </row>
    <row r="1424" spans="4:17" ht="15.75">
      <c r="D1424"/>
      <c r="E1424"/>
      <c r="F1424"/>
      <c r="G1424"/>
      <c r="H1424"/>
      <c r="I1424"/>
      <c r="J1424"/>
      <c r="K1424"/>
      <c r="L1424"/>
      <c r="M1424"/>
      <c r="N1424"/>
      <c r="O1424"/>
      <c r="P1424" s="233">
        <f t="shared" si="34"/>
        <v>0</v>
      </c>
      <c r="Q1424" s="233"/>
    </row>
    <row r="1425" spans="4:17" ht="15.75">
      <c r="D1425"/>
      <c r="E1425"/>
      <c r="F1425"/>
      <c r="G1425"/>
      <c r="H1425"/>
      <c r="I1425"/>
      <c r="J1425"/>
      <c r="K1425"/>
      <c r="L1425"/>
      <c r="M1425"/>
      <c r="N1425"/>
      <c r="O1425"/>
      <c r="P1425" s="233">
        <f t="shared" si="34"/>
        <v>0</v>
      </c>
      <c r="Q1425" s="233"/>
    </row>
    <row r="1426" spans="4:17" ht="15.75">
      <c r="D1426"/>
      <c r="E1426"/>
      <c r="F1426"/>
      <c r="G1426"/>
      <c r="H1426"/>
      <c r="I1426"/>
      <c r="J1426"/>
      <c r="K1426"/>
      <c r="L1426"/>
      <c r="M1426"/>
      <c r="N1426"/>
      <c r="O1426"/>
      <c r="P1426" s="233">
        <f t="shared" si="34"/>
        <v>0</v>
      </c>
      <c r="Q1426" s="233"/>
    </row>
    <row r="1427" spans="4:17" ht="15.75">
      <c r="D1427"/>
      <c r="E1427"/>
      <c r="F1427"/>
      <c r="G1427"/>
      <c r="H1427"/>
      <c r="I1427"/>
      <c r="J1427"/>
      <c r="K1427"/>
      <c r="L1427"/>
      <c r="M1427"/>
      <c r="N1427"/>
      <c r="O1427"/>
      <c r="P1427" s="233">
        <f t="shared" si="34"/>
        <v>0</v>
      </c>
      <c r="Q1427" s="233"/>
    </row>
    <row r="1428" spans="4:17" ht="15.75">
      <c r="D1428"/>
      <c r="E1428"/>
      <c r="F1428"/>
      <c r="G1428"/>
      <c r="H1428"/>
      <c r="I1428"/>
      <c r="J1428"/>
      <c r="K1428"/>
      <c r="L1428"/>
      <c r="M1428"/>
      <c r="N1428"/>
      <c r="O1428"/>
      <c r="P1428" s="233">
        <f t="shared" si="34"/>
        <v>0</v>
      </c>
      <c r="Q1428" s="233"/>
    </row>
    <row r="1429" spans="4:17" ht="15.75">
      <c r="D1429"/>
      <c r="E1429"/>
      <c r="F1429"/>
      <c r="G1429"/>
      <c r="H1429"/>
      <c r="I1429"/>
      <c r="J1429"/>
      <c r="K1429"/>
      <c r="L1429"/>
      <c r="M1429"/>
      <c r="N1429"/>
      <c r="O1429"/>
      <c r="P1429" s="233">
        <f t="shared" si="34"/>
        <v>0</v>
      </c>
      <c r="Q1429" s="233"/>
    </row>
    <row r="1430" spans="4:17" ht="15.75">
      <c r="D1430"/>
      <c r="E1430"/>
      <c r="F1430"/>
      <c r="G1430"/>
      <c r="H1430"/>
      <c r="I1430"/>
      <c r="J1430"/>
      <c r="K1430"/>
      <c r="L1430"/>
      <c r="M1430"/>
      <c r="N1430"/>
      <c r="O1430"/>
      <c r="P1430" s="233">
        <f t="shared" si="34"/>
        <v>0</v>
      </c>
      <c r="Q1430" s="233"/>
    </row>
    <row r="1431" spans="4:17" ht="15.75">
      <c r="D1431"/>
      <c r="E1431"/>
      <c r="F1431"/>
      <c r="G1431"/>
      <c r="H1431"/>
      <c r="I1431"/>
      <c r="J1431"/>
      <c r="K1431"/>
      <c r="L1431"/>
      <c r="M1431"/>
      <c r="N1431"/>
      <c r="O1431"/>
      <c r="P1431" s="233">
        <f t="shared" si="34"/>
        <v>0</v>
      </c>
      <c r="Q1431" s="233"/>
    </row>
    <row r="1432" spans="4:17" ht="15.75">
      <c r="D1432"/>
      <c r="E1432"/>
      <c r="F1432"/>
      <c r="G1432"/>
      <c r="H1432"/>
      <c r="I1432"/>
      <c r="J1432"/>
      <c r="K1432"/>
      <c r="L1432"/>
      <c r="M1432"/>
      <c r="N1432"/>
      <c r="O1432"/>
      <c r="P1432" s="233">
        <f t="shared" si="34"/>
        <v>0</v>
      </c>
      <c r="Q1432" s="233"/>
    </row>
    <row r="1433" spans="4:17" ht="15.75">
      <c r="D1433"/>
      <c r="E1433"/>
      <c r="F1433"/>
      <c r="G1433"/>
      <c r="H1433"/>
      <c r="I1433"/>
      <c r="J1433"/>
      <c r="K1433"/>
      <c r="L1433"/>
      <c r="M1433"/>
      <c r="N1433"/>
      <c r="O1433"/>
      <c r="P1433" s="233">
        <f t="shared" si="34"/>
        <v>0</v>
      </c>
      <c r="Q1433" s="233"/>
    </row>
    <row r="1434" spans="4:17" ht="15.75">
      <c r="D1434"/>
      <c r="E1434"/>
      <c r="F1434"/>
      <c r="G1434"/>
      <c r="H1434"/>
      <c r="I1434"/>
      <c r="J1434"/>
      <c r="K1434"/>
      <c r="L1434"/>
      <c r="M1434"/>
      <c r="N1434"/>
      <c r="O1434"/>
      <c r="P1434" s="233">
        <f t="shared" si="34"/>
        <v>0</v>
      </c>
      <c r="Q1434" s="233"/>
    </row>
    <row r="1435" spans="4:17" ht="15.75">
      <c r="D1435"/>
      <c r="E1435"/>
      <c r="F1435"/>
      <c r="G1435"/>
      <c r="H1435"/>
      <c r="I1435"/>
      <c r="J1435"/>
      <c r="K1435"/>
      <c r="L1435"/>
      <c r="M1435"/>
      <c r="N1435"/>
      <c r="O1435"/>
      <c r="P1435" s="233">
        <f t="shared" si="34"/>
        <v>0</v>
      </c>
      <c r="Q1435" s="233"/>
    </row>
    <row r="1436" spans="4:17" ht="15.75">
      <c r="D1436"/>
      <c r="E1436"/>
      <c r="F1436"/>
      <c r="G1436"/>
      <c r="H1436"/>
      <c r="I1436"/>
      <c r="J1436"/>
      <c r="K1436"/>
      <c r="L1436"/>
      <c r="M1436"/>
      <c r="N1436"/>
      <c r="O1436"/>
      <c r="P1436" s="233">
        <f t="shared" si="34"/>
        <v>0</v>
      </c>
      <c r="Q1436" s="233"/>
    </row>
    <row r="1437" spans="4:17" ht="15.75">
      <c r="D1437"/>
      <c r="E1437"/>
      <c r="F1437"/>
      <c r="G1437"/>
      <c r="H1437"/>
      <c r="I1437"/>
      <c r="J1437"/>
      <c r="K1437"/>
      <c r="L1437"/>
      <c r="M1437"/>
      <c r="N1437"/>
      <c r="O1437"/>
      <c r="P1437" s="233">
        <f t="shared" si="34"/>
        <v>0</v>
      </c>
      <c r="Q1437" s="233"/>
    </row>
    <row r="1438" spans="4:17" ht="15.75">
      <c r="D1438"/>
      <c r="E1438"/>
      <c r="F1438"/>
      <c r="G1438"/>
      <c r="H1438"/>
      <c r="I1438"/>
      <c r="J1438"/>
      <c r="K1438"/>
      <c r="L1438"/>
      <c r="M1438"/>
      <c r="N1438"/>
      <c r="O1438"/>
      <c r="P1438" s="233">
        <f t="shared" si="34"/>
        <v>0</v>
      </c>
      <c r="Q1438" s="233"/>
    </row>
    <row r="1439" spans="4:17" ht="15.75">
      <c r="D1439"/>
      <c r="E1439"/>
      <c r="F1439"/>
      <c r="G1439"/>
      <c r="H1439"/>
      <c r="I1439"/>
      <c r="J1439"/>
      <c r="K1439"/>
      <c r="L1439"/>
      <c r="M1439"/>
      <c r="N1439"/>
      <c r="O1439"/>
      <c r="P1439" s="233">
        <f t="shared" si="34"/>
        <v>0</v>
      </c>
      <c r="Q1439" s="233"/>
    </row>
    <row r="1440" spans="4:17" ht="15.75">
      <c r="D1440"/>
      <c r="E1440"/>
      <c r="F1440"/>
      <c r="G1440"/>
      <c r="H1440"/>
      <c r="I1440"/>
      <c r="J1440"/>
      <c r="K1440"/>
      <c r="L1440"/>
      <c r="M1440"/>
      <c r="N1440"/>
      <c r="O1440"/>
      <c r="P1440" s="233">
        <f t="shared" si="34"/>
        <v>0</v>
      </c>
      <c r="Q1440" s="233"/>
    </row>
    <row r="1441" spans="4:17" ht="15.75">
      <c r="D1441"/>
      <c r="E1441"/>
      <c r="F1441"/>
      <c r="G1441"/>
      <c r="H1441"/>
      <c r="I1441"/>
      <c r="J1441"/>
      <c r="K1441"/>
      <c r="L1441"/>
      <c r="M1441"/>
      <c r="N1441"/>
      <c r="O1441"/>
      <c r="P1441" s="233">
        <f t="shared" si="34"/>
        <v>0</v>
      </c>
      <c r="Q1441" s="233"/>
    </row>
    <row r="1442" spans="4:17" ht="15.75">
      <c r="D1442"/>
      <c r="E1442"/>
      <c r="F1442"/>
      <c r="G1442"/>
      <c r="H1442"/>
      <c r="I1442"/>
      <c r="J1442"/>
      <c r="K1442"/>
      <c r="L1442"/>
      <c r="M1442"/>
      <c r="N1442"/>
      <c r="O1442"/>
      <c r="P1442" s="233">
        <f t="shared" si="34"/>
        <v>0</v>
      </c>
      <c r="Q1442" s="233"/>
    </row>
    <row r="1443" spans="4:17" ht="15.75">
      <c r="D1443"/>
      <c r="E1443"/>
      <c r="F1443"/>
      <c r="G1443"/>
      <c r="H1443"/>
      <c r="I1443"/>
      <c r="J1443"/>
      <c r="K1443"/>
      <c r="L1443"/>
      <c r="M1443"/>
      <c r="N1443"/>
      <c r="O1443"/>
      <c r="P1443" s="233">
        <f t="shared" si="34"/>
        <v>0</v>
      </c>
      <c r="Q1443" s="233"/>
    </row>
    <row r="1444" spans="4:17" ht="15.75">
      <c r="D1444"/>
      <c r="E1444"/>
      <c r="F1444"/>
      <c r="G1444"/>
      <c r="H1444"/>
      <c r="I1444"/>
      <c r="J1444"/>
      <c r="K1444"/>
      <c r="L1444"/>
      <c r="M1444"/>
      <c r="N1444"/>
      <c r="O1444"/>
      <c r="P1444" s="233">
        <f t="shared" si="34"/>
        <v>0</v>
      </c>
      <c r="Q1444" s="233"/>
    </row>
    <row r="1445" spans="4:17" ht="15.75">
      <c r="D1445"/>
      <c r="E1445"/>
      <c r="F1445"/>
      <c r="G1445"/>
      <c r="H1445"/>
      <c r="I1445"/>
      <c r="J1445"/>
      <c r="K1445"/>
      <c r="L1445"/>
      <c r="M1445"/>
      <c r="N1445"/>
      <c r="O1445"/>
      <c r="P1445" s="233">
        <f t="shared" si="34"/>
        <v>0</v>
      </c>
      <c r="Q1445" s="233"/>
    </row>
    <row r="1446" spans="4:17" ht="15.75">
      <c r="D1446"/>
      <c r="E1446"/>
      <c r="F1446"/>
      <c r="G1446"/>
      <c r="H1446"/>
      <c r="I1446"/>
      <c r="J1446"/>
      <c r="K1446"/>
      <c r="L1446"/>
      <c r="M1446"/>
      <c r="N1446"/>
      <c r="O1446"/>
      <c r="P1446" s="233">
        <f t="shared" si="34"/>
        <v>0</v>
      </c>
      <c r="Q1446" s="233"/>
    </row>
    <row r="1447" spans="4:17" ht="15.75">
      <c r="D1447"/>
      <c r="E1447"/>
      <c r="F1447"/>
      <c r="G1447"/>
      <c r="H1447"/>
      <c r="I1447"/>
      <c r="J1447"/>
      <c r="K1447"/>
      <c r="L1447"/>
      <c r="M1447"/>
      <c r="N1447"/>
      <c r="O1447"/>
      <c r="P1447" s="233">
        <f t="shared" si="34"/>
        <v>0</v>
      </c>
      <c r="Q1447" s="233"/>
    </row>
    <row r="1448" spans="4:17" ht="15.75">
      <c r="D1448"/>
      <c r="E1448"/>
      <c r="F1448"/>
      <c r="G1448"/>
      <c r="H1448"/>
      <c r="I1448"/>
      <c r="J1448"/>
      <c r="K1448"/>
      <c r="L1448"/>
      <c r="M1448"/>
      <c r="N1448"/>
      <c r="O1448"/>
      <c r="P1448" s="233">
        <f t="shared" si="34"/>
        <v>0</v>
      </c>
      <c r="Q1448" s="233"/>
    </row>
    <row r="1449" spans="4:17" ht="15.75">
      <c r="D1449"/>
      <c r="E1449"/>
      <c r="F1449"/>
      <c r="G1449"/>
      <c r="H1449"/>
      <c r="I1449"/>
      <c r="J1449"/>
      <c r="K1449"/>
      <c r="L1449"/>
      <c r="M1449"/>
      <c r="N1449"/>
      <c r="O1449"/>
      <c r="P1449" s="233">
        <f t="shared" si="34"/>
        <v>0</v>
      </c>
      <c r="Q1449" s="233"/>
    </row>
    <row r="1450" spans="4:17" ht="15.75">
      <c r="D1450"/>
      <c r="E1450"/>
      <c r="F1450"/>
      <c r="G1450"/>
      <c r="H1450"/>
      <c r="I1450"/>
      <c r="J1450"/>
      <c r="K1450"/>
      <c r="L1450"/>
      <c r="M1450"/>
      <c r="N1450"/>
      <c r="O1450"/>
      <c r="P1450" s="233">
        <f t="shared" si="34"/>
        <v>0</v>
      </c>
      <c r="Q1450" s="233"/>
    </row>
    <row r="1451" spans="4:17" ht="15.75">
      <c r="D1451"/>
      <c r="E1451"/>
      <c r="F1451"/>
      <c r="G1451"/>
      <c r="H1451"/>
      <c r="I1451"/>
      <c r="J1451"/>
      <c r="K1451"/>
      <c r="L1451"/>
      <c r="M1451"/>
      <c r="N1451"/>
      <c r="O1451"/>
      <c r="P1451" s="233">
        <f t="shared" si="34"/>
        <v>0</v>
      </c>
      <c r="Q1451" s="233"/>
    </row>
    <row r="1452" spans="4:17" ht="15.75">
      <c r="D1452"/>
      <c r="E1452"/>
      <c r="F1452"/>
      <c r="G1452"/>
      <c r="H1452"/>
      <c r="I1452"/>
      <c r="J1452"/>
      <c r="K1452"/>
      <c r="L1452"/>
      <c r="M1452"/>
      <c r="N1452"/>
      <c r="O1452"/>
      <c r="P1452" s="233">
        <f t="shared" si="34"/>
        <v>0</v>
      </c>
      <c r="Q1452" s="233"/>
    </row>
    <row r="1453" spans="4:17" ht="15.75">
      <c r="D1453"/>
      <c r="E1453"/>
      <c r="F1453"/>
      <c r="G1453"/>
      <c r="H1453"/>
      <c r="I1453"/>
      <c r="J1453"/>
      <c r="K1453"/>
      <c r="L1453"/>
      <c r="M1453"/>
      <c r="N1453"/>
      <c r="O1453"/>
      <c r="P1453" s="233">
        <f t="shared" si="34"/>
        <v>0</v>
      </c>
      <c r="Q1453" s="233"/>
    </row>
    <row r="1454" spans="4:17" ht="15.75">
      <c r="D1454"/>
      <c r="E1454"/>
      <c r="F1454"/>
      <c r="G1454"/>
      <c r="H1454"/>
      <c r="I1454"/>
      <c r="J1454"/>
      <c r="K1454"/>
      <c r="L1454"/>
      <c r="M1454"/>
      <c r="N1454"/>
      <c r="O1454"/>
      <c r="P1454" s="233">
        <f t="shared" si="34"/>
        <v>0</v>
      </c>
      <c r="Q1454" s="233"/>
    </row>
    <row r="1455" spans="4:17" ht="15.75">
      <c r="D1455"/>
      <c r="E1455"/>
      <c r="F1455"/>
      <c r="G1455"/>
      <c r="H1455"/>
      <c r="I1455"/>
      <c r="J1455"/>
      <c r="K1455"/>
      <c r="L1455"/>
      <c r="M1455"/>
      <c r="N1455"/>
      <c r="O1455"/>
      <c r="P1455" s="233">
        <f t="shared" si="34"/>
        <v>0</v>
      </c>
      <c r="Q1455" s="233"/>
    </row>
    <row r="1456" spans="4:17" ht="15.75">
      <c r="D1456"/>
      <c r="E1456"/>
      <c r="F1456"/>
      <c r="G1456"/>
      <c r="H1456"/>
      <c r="I1456"/>
      <c r="J1456"/>
      <c r="K1456"/>
      <c r="L1456"/>
      <c r="M1456"/>
      <c r="N1456"/>
      <c r="O1456"/>
      <c r="P1456" s="233">
        <f t="shared" si="34"/>
        <v>0</v>
      </c>
      <c r="Q1456" s="233"/>
    </row>
    <row r="1457" spans="4:17" ht="15.75">
      <c r="D1457"/>
      <c r="E1457"/>
      <c r="F1457"/>
      <c r="G1457"/>
      <c r="H1457"/>
      <c r="I1457"/>
      <c r="J1457"/>
      <c r="K1457"/>
      <c r="L1457"/>
      <c r="M1457"/>
      <c r="N1457"/>
      <c r="O1457"/>
      <c r="P1457" s="233">
        <f t="shared" si="34"/>
        <v>0</v>
      </c>
      <c r="Q1457" s="233"/>
    </row>
    <row r="1458" spans="4:17" ht="15.75">
      <c r="D1458"/>
      <c r="E1458"/>
      <c r="F1458"/>
      <c r="G1458"/>
      <c r="H1458"/>
      <c r="I1458"/>
      <c r="J1458"/>
      <c r="K1458"/>
      <c r="L1458"/>
      <c r="M1458"/>
      <c r="N1458"/>
      <c r="O1458"/>
      <c r="P1458" s="233">
        <f t="shared" si="34"/>
        <v>0</v>
      </c>
      <c r="Q1458" s="233"/>
    </row>
    <row r="1459" spans="4:17" ht="15.75">
      <c r="D1459"/>
      <c r="E1459"/>
      <c r="F1459"/>
      <c r="G1459"/>
      <c r="H1459"/>
      <c r="I1459"/>
      <c r="J1459"/>
      <c r="K1459"/>
      <c r="L1459"/>
      <c r="M1459"/>
      <c r="N1459"/>
      <c r="O1459"/>
      <c r="P1459" s="233">
        <f t="shared" si="34"/>
        <v>0</v>
      </c>
      <c r="Q1459" s="233"/>
    </row>
    <row r="1460" spans="4:17" ht="15.75">
      <c r="D1460"/>
      <c r="E1460"/>
      <c r="F1460"/>
      <c r="G1460"/>
      <c r="H1460"/>
      <c r="I1460"/>
      <c r="J1460"/>
      <c r="K1460"/>
      <c r="L1460"/>
      <c r="M1460"/>
      <c r="N1460"/>
      <c r="O1460"/>
      <c r="P1460" s="233">
        <f t="shared" si="34"/>
        <v>0</v>
      </c>
      <c r="Q1460" s="233"/>
    </row>
    <row r="1461" spans="4:17" ht="15.75">
      <c r="D1461"/>
      <c r="E1461"/>
      <c r="F1461"/>
      <c r="G1461"/>
      <c r="H1461"/>
      <c r="I1461"/>
      <c r="J1461"/>
      <c r="K1461"/>
      <c r="L1461"/>
      <c r="M1461"/>
      <c r="N1461"/>
      <c r="O1461"/>
      <c r="P1461" s="233">
        <f t="shared" si="34"/>
        <v>0</v>
      </c>
      <c r="Q1461" s="233"/>
    </row>
    <row r="1462" spans="4:17" ht="15.75">
      <c r="D1462"/>
      <c r="E1462"/>
      <c r="F1462"/>
      <c r="G1462"/>
      <c r="H1462"/>
      <c r="I1462"/>
      <c r="J1462"/>
      <c r="K1462"/>
      <c r="L1462"/>
      <c r="M1462"/>
      <c r="N1462"/>
      <c r="O1462"/>
      <c r="P1462" s="233">
        <f t="shared" si="34"/>
        <v>0</v>
      </c>
      <c r="Q1462" s="233"/>
    </row>
    <row r="1463" spans="4:17" ht="15.75">
      <c r="D1463"/>
      <c r="E1463"/>
      <c r="F1463"/>
      <c r="G1463"/>
      <c r="H1463"/>
      <c r="I1463"/>
      <c r="J1463"/>
      <c r="K1463"/>
      <c r="L1463"/>
      <c r="M1463"/>
      <c r="N1463"/>
      <c r="O1463"/>
      <c r="P1463" s="233">
        <f t="shared" si="34"/>
        <v>0</v>
      </c>
      <c r="Q1463" s="233"/>
    </row>
    <row r="1464" spans="4:17" ht="15.75">
      <c r="D1464"/>
      <c r="E1464"/>
      <c r="F1464"/>
      <c r="G1464"/>
      <c r="H1464"/>
      <c r="I1464"/>
      <c r="J1464"/>
      <c r="K1464"/>
      <c r="L1464"/>
      <c r="M1464"/>
      <c r="N1464"/>
      <c r="O1464"/>
      <c r="P1464" s="233">
        <f t="shared" si="34"/>
        <v>0</v>
      </c>
      <c r="Q1464" s="233"/>
    </row>
    <row r="1465" spans="4:17" ht="15.75">
      <c r="D1465"/>
      <c r="E1465"/>
      <c r="F1465"/>
      <c r="G1465"/>
      <c r="H1465"/>
      <c r="I1465"/>
      <c r="J1465"/>
      <c r="K1465"/>
      <c r="L1465"/>
      <c r="M1465"/>
      <c r="N1465"/>
      <c r="O1465"/>
      <c r="P1465" s="233">
        <f t="shared" si="34"/>
        <v>0</v>
      </c>
      <c r="Q1465" s="233"/>
    </row>
    <row r="1466" spans="4:17" ht="15.75">
      <c r="D1466"/>
      <c r="E1466"/>
      <c r="F1466"/>
      <c r="G1466"/>
      <c r="H1466"/>
      <c r="I1466"/>
      <c r="J1466"/>
      <c r="K1466"/>
      <c r="L1466"/>
      <c r="M1466"/>
      <c r="N1466"/>
      <c r="O1466"/>
      <c r="P1466" s="233">
        <f t="shared" si="34"/>
        <v>0</v>
      </c>
      <c r="Q1466" s="233"/>
    </row>
    <row r="1467" spans="4:17" ht="15.75">
      <c r="D1467"/>
      <c r="E1467"/>
      <c r="F1467"/>
      <c r="G1467"/>
      <c r="H1467"/>
      <c r="I1467"/>
      <c r="J1467"/>
      <c r="K1467"/>
      <c r="L1467"/>
      <c r="M1467"/>
      <c r="N1467"/>
      <c r="O1467"/>
      <c r="P1467" s="233">
        <f t="shared" si="34"/>
        <v>0</v>
      </c>
      <c r="Q1467" s="233"/>
    </row>
    <row r="1468" spans="4:17" ht="15.75">
      <c r="D1468"/>
      <c r="E1468"/>
      <c r="F1468"/>
      <c r="G1468"/>
      <c r="H1468"/>
      <c r="I1468"/>
      <c r="J1468"/>
      <c r="K1468"/>
      <c r="L1468"/>
      <c r="M1468"/>
      <c r="N1468"/>
      <c r="O1468"/>
      <c r="P1468" s="233">
        <f t="shared" si="34"/>
        <v>0</v>
      </c>
      <c r="Q1468" s="233"/>
    </row>
    <row r="1469" spans="4:17" ht="15.75">
      <c r="D1469"/>
      <c r="E1469"/>
      <c r="F1469"/>
      <c r="G1469"/>
      <c r="H1469"/>
      <c r="I1469"/>
      <c r="J1469"/>
      <c r="K1469"/>
      <c r="L1469"/>
      <c r="M1469"/>
      <c r="N1469"/>
      <c r="O1469"/>
      <c r="P1469" s="233">
        <f t="shared" si="34"/>
        <v>0</v>
      </c>
      <c r="Q1469" s="233"/>
    </row>
    <row r="1470" spans="4:17" ht="15.75">
      <c r="D1470"/>
      <c r="E1470"/>
      <c r="F1470"/>
      <c r="G1470"/>
      <c r="H1470"/>
      <c r="I1470"/>
      <c r="J1470"/>
      <c r="K1470"/>
      <c r="L1470"/>
      <c r="M1470"/>
      <c r="N1470"/>
      <c r="O1470"/>
      <c r="P1470" s="233">
        <f t="shared" si="34"/>
        <v>0</v>
      </c>
      <c r="Q1470" s="233"/>
    </row>
    <row r="1471" spans="4:17" ht="15.75">
      <c r="D1471"/>
      <c r="E1471"/>
      <c r="F1471"/>
      <c r="G1471"/>
      <c r="H1471"/>
      <c r="I1471"/>
      <c r="J1471"/>
      <c r="K1471"/>
      <c r="L1471"/>
      <c r="M1471"/>
      <c r="N1471"/>
      <c r="O1471"/>
      <c r="P1471" s="233">
        <f t="shared" si="34"/>
        <v>0</v>
      </c>
      <c r="Q1471" s="233"/>
    </row>
    <row r="1472" spans="4:17" ht="15.75">
      <c r="D1472"/>
      <c r="E1472"/>
      <c r="F1472"/>
      <c r="G1472"/>
      <c r="H1472"/>
      <c r="I1472"/>
      <c r="J1472"/>
      <c r="K1472"/>
      <c r="L1472"/>
      <c r="M1472"/>
      <c r="N1472"/>
      <c r="O1472"/>
      <c r="P1472" s="233">
        <f t="shared" si="34"/>
        <v>0</v>
      </c>
      <c r="Q1472" s="233"/>
    </row>
    <row r="1473" spans="4:17" ht="15.75">
      <c r="D1473"/>
      <c r="E1473"/>
      <c r="F1473"/>
      <c r="G1473"/>
      <c r="H1473"/>
      <c r="I1473"/>
      <c r="J1473"/>
      <c r="K1473"/>
      <c r="L1473"/>
      <c r="M1473"/>
      <c r="N1473"/>
      <c r="O1473"/>
      <c r="P1473" s="233">
        <f t="shared" si="34"/>
        <v>0</v>
      </c>
      <c r="Q1473" s="233"/>
    </row>
    <row r="1474" spans="4:17" ht="15.75">
      <c r="D1474"/>
      <c r="E1474"/>
      <c r="F1474"/>
      <c r="G1474"/>
      <c r="H1474"/>
      <c r="I1474"/>
      <c r="J1474"/>
      <c r="K1474"/>
      <c r="L1474"/>
      <c r="M1474"/>
      <c r="N1474"/>
      <c r="O1474"/>
      <c r="P1474" s="233">
        <f t="shared" si="34"/>
        <v>0</v>
      </c>
      <c r="Q1474" s="233"/>
    </row>
    <row r="1475" spans="4:17" ht="15.75">
      <c r="D1475"/>
      <c r="E1475"/>
      <c r="F1475"/>
      <c r="G1475"/>
      <c r="H1475"/>
      <c r="I1475"/>
      <c r="J1475"/>
      <c r="K1475"/>
      <c r="L1475"/>
      <c r="M1475"/>
      <c r="N1475"/>
      <c r="O1475"/>
      <c r="P1475" s="233">
        <f t="shared" si="34"/>
        <v>0</v>
      </c>
      <c r="Q1475" s="233"/>
    </row>
    <row r="1476" spans="4:17" ht="15.75">
      <c r="D1476"/>
      <c r="E1476"/>
      <c r="F1476"/>
      <c r="G1476"/>
      <c r="H1476"/>
      <c r="I1476"/>
      <c r="J1476"/>
      <c r="K1476"/>
      <c r="L1476"/>
      <c r="M1476"/>
      <c r="N1476"/>
      <c r="O1476"/>
      <c r="P1476" s="233">
        <f t="shared" si="34"/>
        <v>0</v>
      </c>
      <c r="Q1476" s="233"/>
    </row>
    <row r="1477" spans="4:17" ht="15.75">
      <c r="D1477"/>
      <c r="E1477"/>
      <c r="F1477"/>
      <c r="G1477"/>
      <c r="H1477"/>
      <c r="I1477"/>
      <c r="J1477"/>
      <c r="K1477"/>
      <c r="L1477"/>
      <c r="M1477"/>
      <c r="N1477"/>
      <c r="O1477"/>
      <c r="P1477" s="233">
        <f t="shared" si="34"/>
        <v>0</v>
      </c>
      <c r="Q1477" s="233"/>
    </row>
    <row r="1478" spans="4:17" ht="15.75">
      <c r="D1478"/>
      <c r="E1478"/>
      <c r="F1478"/>
      <c r="G1478"/>
      <c r="H1478"/>
      <c r="I1478"/>
      <c r="J1478"/>
      <c r="K1478"/>
      <c r="L1478"/>
      <c r="M1478"/>
      <c r="N1478"/>
      <c r="O1478"/>
      <c r="P1478" s="233">
        <f t="shared" si="34"/>
        <v>0</v>
      </c>
      <c r="Q1478" s="233"/>
    </row>
    <row r="1479" spans="4:17" ht="15.75">
      <c r="D1479"/>
      <c r="E1479"/>
      <c r="F1479"/>
      <c r="G1479"/>
      <c r="H1479"/>
      <c r="I1479"/>
      <c r="J1479"/>
      <c r="K1479"/>
      <c r="L1479"/>
      <c r="M1479"/>
      <c r="N1479"/>
      <c r="O1479"/>
      <c r="P1479" s="233">
        <f t="shared" si="34"/>
        <v>0</v>
      </c>
      <c r="Q1479" s="233"/>
    </row>
    <row r="1480" spans="4:17" ht="15.75">
      <c r="D1480"/>
      <c r="E1480"/>
      <c r="F1480"/>
      <c r="G1480"/>
      <c r="H1480"/>
      <c r="I1480"/>
      <c r="J1480"/>
      <c r="K1480"/>
      <c r="L1480"/>
      <c r="M1480"/>
      <c r="N1480"/>
      <c r="O1480"/>
      <c r="P1480" s="233">
        <f t="shared" si="34"/>
        <v>0</v>
      </c>
      <c r="Q1480" s="233"/>
    </row>
    <row r="1481" spans="4:17" ht="15.75">
      <c r="D1481"/>
      <c r="E1481"/>
      <c r="F1481"/>
      <c r="G1481"/>
      <c r="H1481"/>
      <c r="I1481"/>
      <c r="J1481"/>
      <c r="K1481"/>
      <c r="L1481"/>
      <c r="M1481"/>
      <c r="N1481"/>
      <c r="O1481"/>
      <c r="P1481" s="233">
        <f t="shared" si="34"/>
        <v>0</v>
      </c>
      <c r="Q1481" s="233"/>
    </row>
    <row r="1482" spans="4:17" ht="15.75">
      <c r="D1482"/>
      <c r="E1482"/>
      <c r="F1482"/>
      <c r="G1482"/>
      <c r="H1482"/>
      <c r="I1482"/>
      <c r="J1482"/>
      <c r="K1482"/>
      <c r="L1482"/>
      <c r="M1482"/>
      <c r="N1482"/>
      <c r="O1482"/>
      <c r="P1482" s="233">
        <f t="shared" si="34"/>
        <v>0</v>
      </c>
      <c r="Q1482" s="233"/>
    </row>
    <row r="1483" spans="4:17" ht="15.75">
      <c r="D1483"/>
      <c r="E1483"/>
      <c r="F1483"/>
      <c r="G1483"/>
      <c r="H1483"/>
      <c r="I1483"/>
      <c r="J1483"/>
      <c r="K1483"/>
      <c r="L1483"/>
      <c r="M1483"/>
      <c r="N1483"/>
      <c r="O1483"/>
      <c r="P1483" s="233">
        <f t="shared" si="34"/>
        <v>0</v>
      </c>
      <c r="Q1483" s="233"/>
    </row>
    <row r="1484" spans="4:17" ht="15.75">
      <c r="D1484"/>
      <c r="E1484"/>
      <c r="F1484"/>
      <c r="G1484"/>
      <c r="H1484"/>
      <c r="I1484"/>
      <c r="J1484"/>
      <c r="K1484"/>
      <c r="L1484"/>
      <c r="M1484"/>
      <c r="N1484"/>
      <c r="O1484"/>
      <c r="P1484" s="233">
        <f t="shared" si="34"/>
        <v>0</v>
      </c>
      <c r="Q1484" s="233"/>
    </row>
    <row r="1485" spans="4:17" ht="15.75">
      <c r="D1485"/>
      <c r="E1485"/>
      <c r="F1485"/>
      <c r="G1485"/>
      <c r="H1485"/>
      <c r="I1485"/>
      <c r="J1485"/>
      <c r="K1485"/>
      <c r="L1485"/>
      <c r="M1485"/>
      <c r="N1485"/>
      <c r="O1485"/>
      <c r="P1485" s="233">
        <f t="shared" si="34"/>
        <v>0</v>
      </c>
      <c r="Q1485" s="233"/>
    </row>
    <row r="1486" spans="4:17" ht="15.75">
      <c r="D1486"/>
      <c r="E1486"/>
      <c r="F1486"/>
      <c r="G1486"/>
      <c r="H1486"/>
      <c r="I1486"/>
      <c r="J1486"/>
      <c r="K1486"/>
      <c r="L1486"/>
      <c r="M1486"/>
      <c r="N1486"/>
      <c r="O1486"/>
      <c r="P1486" s="233">
        <f t="shared" ref="P1486:P1549" si="35">IF(ISNUMBER(Q1486),Q1486,0)</f>
        <v>0</v>
      </c>
      <c r="Q1486" s="233"/>
    </row>
    <row r="1487" spans="4:17" ht="15.75">
      <c r="D1487"/>
      <c r="E1487"/>
      <c r="F1487"/>
      <c r="G1487"/>
      <c r="H1487"/>
      <c r="I1487"/>
      <c r="J1487"/>
      <c r="K1487"/>
      <c r="L1487"/>
      <c r="M1487"/>
      <c r="N1487"/>
      <c r="O1487"/>
      <c r="P1487" s="233">
        <f t="shared" si="35"/>
        <v>0</v>
      </c>
      <c r="Q1487" s="233"/>
    </row>
    <row r="1488" spans="4:17" ht="15.75">
      <c r="D1488"/>
      <c r="E1488"/>
      <c r="F1488"/>
      <c r="G1488"/>
      <c r="H1488"/>
      <c r="I1488"/>
      <c r="J1488"/>
      <c r="K1488"/>
      <c r="L1488"/>
      <c r="M1488"/>
      <c r="N1488"/>
      <c r="O1488"/>
      <c r="P1488" s="233">
        <f t="shared" si="35"/>
        <v>0</v>
      </c>
      <c r="Q1488" s="233"/>
    </row>
    <row r="1489" spans="4:17" ht="15.75">
      <c r="D1489"/>
      <c r="E1489"/>
      <c r="F1489"/>
      <c r="G1489"/>
      <c r="H1489"/>
      <c r="I1489"/>
      <c r="J1489"/>
      <c r="K1489"/>
      <c r="L1489"/>
      <c r="M1489"/>
      <c r="N1489"/>
      <c r="O1489"/>
      <c r="P1489" s="233">
        <f t="shared" si="35"/>
        <v>0</v>
      </c>
      <c r="Q1489" s="233"/>
    </row>
    <row r="1490" spans="4:17" ht="15.75">
      <c r="D1490"/>
      <c r="E1490"/>
      <c r="F1490"/>
      <c r="G1490"/>
      <c r="H1490"/>
      <c r="I1490"/>
      <c r="J1490"/>
      <c r="K1490"/>
      <c r="L1490"/>
      <c r="M1490"/>
      <c r="N1490"/>
      <c r="O1490"/>
      <c r="P1490" s="233">
        <f t="shared" si="35"/>
        <v>0</v>
      </c>
      <c r="Q1490" s="233"/>
    </row>
    <row r="1491" spans="4:17" ht="15.75">
      <c r="D1491"/>
      <c r="E1491"/>
      <c r="F1491"/>
      <c r="G1491"/>
      <c r="H1491"/>
      <c r="I1491"/>
      <c r="J1491"/>
      <c r="K1491"/>
      <c r="L1491"/>
      <c r="M1491"/>
      <c r="N1491"/>
      <c r="O1491"/>
      <c r="P1491" s="233">
        <f t="shared" si="35"/>
        <v>0</v>
      </c>
      <c r="Q1491" s="233"/>
    </row>
    <row r="1492" spans="4:17" ht="15.75">
      <c r="D1492"/>
      <c r="E1492"/>
      <c r="F1492"/>
      <c r="G1492"/>
      <c r="H1492"/>
      <c r="I1492"/>
      <c r="J1492"/>
      <c r="K1492"/>
      <c r="L1492"/>
      <c r="M1492"/>
      <c r="N1492"/>
      <c r="O1492"/>
      <c r="P1492" s="233">
        <f t="shared" si="35"/>
        <v>0</v>
      </c>
      <c r="Q1492" s="233"/>
    </row>
    <row r="1493" spans="4:17" ht="15.75">
      <c r="D1493"/>
      <c r="E1493"/>
      <c r="F1493"/>
      <c r="G1493"/>
      <c r="H1493"/>
      <c r="I1493"/>
      <c r="J1493"/>
      <c r="K1493"/>
      <c r="L1493"/>
      <c r="M1493"/>
      <c r="N1493"/>
      <c r="O1493"/>
      <c r="P1493" s="233">
        <f t="shared" si="35"/>
        <v>0</v>
      </c>
      <c r="Q1493" s="233"/>
    </row>
    <row r="1494" spans="4:17" ht="15.75">
      <c r="D1494"/>
      <c r="E1494"/>
      <c r="F1494"/>
      <c r="G1494"/>
      <c r="H1494"/>
      <c r="I1494"/>
      <c r="J1494"/>
      <c r="K1494"/>
      <c r="L1494"/>
      <c r="M1494"/>
      <c r="N1494"/>
      <c r="O1494"/>
      <c r="P1494" s="233">
        <f t="shared" si="35"/>
        <v>0</v>
      </c>
      <c r="Q1494" s="233"/>
    </row>
    <row r="1495" spans="4:17" ht="15.75">
      <c r="D1495"/>
      <c r="E1495"/>
      <c r="F1495"/>
      <c r="G1495"/>
      <c r="H1495"/>
      <c r="I1495"/>
      <c r="J1495"/>
      <c r="K1495"/>
      <c r="L1495"/>
      <c r="M1495"/>
      <c r="N1495"/>
      <c r="O1495"/>
      <c r="P1495" s="233">
        <f t="shared" si="35"/>
        <v>0</v>
      </c>
      <c r="Q1495" s="233"/>
    </row>
    <row r="1496" spans="4:17" ht="15.75">
      <c r="D1496"/>
      <c r="E1496"/>
      <c r="F1496"/>
      <c r="G1496"/>
      <c r="H1496"/>
      <c r="I1496"/>
      <c r="J1496"/>
      <c r="K1496"/>
      <c r="L1496"/>
      <c r="M1496"/>
      <c r="N1496"/>
      <c r="O1496"/>
      <c r="P1496" s="233">
        <f t="shared" si="35"/>
        <v>0</v>
      </c>
      <c r="Q1496" s="233"/>
    </row>
    <row r="1497" spans="4:17" ht="15.75">
      <c r="D1497"/>
      <c r="E1497"/>
      <c r="F1497"/>
      <c r="G1497"/>
      <c r="H1497"/>
      <c r="I1497"/>
      <c r="J1497"/>
      <c r="K1497"/>
      <c r="L1497"/>
      <c r="M1497"/>
      <c r="N1497"/>
      <c r="O1497"/>
      <c r="P1497" s="233">
        <f t="shared" si="35"/>
        <v>0</v>
      </c>
      <c r="Q1497" s="233"/>
    </row>
    <row r="1498" spans="4:17" ht="15.75">
      <c r="D1498"/>
      <c r="E1498"/>
      <c r="F1498"/>
      <c r="G1498"/>
      <c r="H1498"/>
      <c r="I1498"/>
      <c r="J1498"/>
      <c r="K1498"/>
      <c r="L1498"/>
      <c r="M1498"/>
      <c r="N1498"/>
      <c r="O1498"/>
      <c r="P1498" s="233">
        <f t="shared" si="35"/>
        <v>0</v>
      </c>
      <c r="Q1498" s="233"/>
    </row>
    <row r="1499" spans="4:17" ht="15.75">
      <c r="D1499"/>
      <c r="E1499"/>
      <c r="F1499"/>
      <c r="G1499"/>
      <c r="H1499"/>
      <c r="I1499"/>
      <c r="J1499"/>
      <c r="K1499"/>
      <c r="L1499"/>
      <c r="M1499"/>
      <c r="N1499"/>
      <c r="O1499"/>
      <c r="P1499" s="233">
        <f t="shared" si="35"/>
        <v>0</v>
      </c>
      <c r="Q1499" s="233"/>
    </row>
    <row r="1500" spans="4:17" ht="15.75">
      <c r="D1500"/>
      <c r="E1500"/>
      <c r="F1500"/>
      <c r="G1500"/>
      <c r="H1500"/>
      <c r="I1500"/>
      <c r="J1500"/>
      <c r="K1500"/>
      <c r="L1500"/>
      <c r="M1500"/>
      <c r="N1500"/>
      <c r="O1500"/>
      <c r="P1500" s="233">
        <f t="shared" si="35"/>
        <v>0</v>
      </c>
      <c r="Q1500" s="233"/>
    </row>
    <row r="1501" spans="4:17" ht="15.75">
      <c r="D1501"/>
      <c r="E1501"/>
      <c r="F1501"/>
      <c r="G1501"/>
      <c r="H1501"/>
      <c r="I1501"/>
      <c r="J1501"/>
      <c r="K1501"/>
      <c r="L1501"/>
      <c r="M1501"/>
      <c r="N1501"/>
      <c r="O1501"/>
      <c r="P1501" s="233">
        <f t="shared" si="35"/>
        <v>0</v>
      </c>
      <c r="Q1501" s="233"/>
    </row>
    <row r="1502" spans="4:17" ht="15.75">
      <c r="D1502"/>
      <c r="E1502"/>
      <c r="F1502"/>
      <c r="G1502"/>
      <c r="H1502"/>
      <c r="I1502"/>
      <c r="J1502"/>
      <c r="K1502"/>
      <c r="L1502"/>
      <c r="M1502"/>
      <c r="N1502"/>
      <c r="O1502"/>
      <c r="P1502" s="233">
        <f t="shared" si="35"/>
        <v>0</v>
      </c>
      <c r="Q1502" s="233"/>
    </row>
    <row r="1503" spans="4:17" ht="15.75">
      <c r="D1503"/>
      <c r="E1503"/>
      <c r="F1503"/>
      <c r="G1503"/>
      <c r="H1503"/>
      <c r="I1503"/>
      <c r="J1503"/>
      <c r="K1503"/>
      <c r="L1503"/>
      <c r="M1503"/>
      <c r="N1503"/>
      <c r="O1503"/>
      <c r="P1503" s="233">
        <f t="shared" si="35"/>
        <v>0</v>
      </c>
      <c r="Q1503" s="233"/>
    </row>
    <row r="1504" spans="4:17" ht="15.75">
      <c r="D1504"/>
      <c r="E1504"/>
      <c r="F1504"/>
      <c r="G1504"/>
      <c r="H1504"/>
      <c r="I1504"/>
      <c r="J1504"/>
      <c r="K1504"/>
      <c r="L1504"/>
      <c r="M1504"/>
      <c r="N1504"/>
      <c r="O1504"/>
      <c r="P1504" s="233">
        <f t="shared" si="35"/>
        <v>0</v>
      </c>
      <c r="Q1504" s="233"/>
    </row>
    <row r="1505" spans="4:17" ht="15.75">
      <c r="D1505"/>
      <c r="E1505"/>
      <c r="F1505"/>
      <c r="G1505"/>
      <c r="H1505"/>
      <c r="I1505"/>
      <c r="J1505"/>
      <c r="K1505"/>
      <c r="L1505"/>
      <c r="M1505"/>
      <c r="N1505"/>
      <c r="O1505"/>
      <c r="P1505" s="233">
        <f t="shared" si="35"/>
        <v>0</v>
      </c>
      <c r="Q1505" s="233"/>
    </row>
    <row r="1506" spans="4:17" ht="15.75">
      <c r="D1506"/>
      <c r="E1506"/>
      <c r="F1506"/>
      <c r="G1506"/>
      <c r="H1506"/>
      <c r="I1506"/>
      <c r="J1506"/>
      <c r="K1506"/>
      <c r="L1506"/>
      <c r="M1506"/>
      <c r="N1506"/>
      <c r="O1506"/>
      <c r="P1506" s="233">
        <f t="shared" si="35"/>
        <v>0</v>
      </c>
      <c r="Q1506" s="233"/>
    </row>
    <row r="1507" spans="4:17" ht="15.75">
      <c r="D1507"/>
      <c r="E1507"/>
      <c r="F1507"/>
      <c r="G1507"/>
      <c r="H1507"/>
      <c r="I1507"/>
      <c r="J1507"/>
      <c r="K1507"/>
      <c r="L1507"/>
      <c r="M1507"/>
      <c r="N1507"/>
      <c r="O1507"/>
      <c r="P1507" s="233">
        <f t="shared" si="35"/>
        <v>0</v>
      </c>
      <c r="Q1507" s="233"/>
    </row>
    <row r="1508" spans="4:17" ht="15.75">
      <c r="D1508"/>
      <c r="E1508"/>
      <c r="F1508"/>
      <c r="G1508"/>
      <c r="H1508"/>
      <c r="I1508"/>
      <c r="J1508"/>
      <c r="K1508"/>
      <c r="L1508"/>
      <c r="M1508"/>
      <c r="N1508"/>
      <c r="O1508"/>
      <c r="P1508" s="233">
        <f t="shared" si="35"/>
        <v>0</v>
      </c>
      <c r="Q1508" s="233"/>
    </row>
    <row r="1509" spans="4:17" ht="15.75">
      <c r="D1509"/>
      <c r="E1509"/>
      <c r="F1509"/>
      <c r="G1509"/>
      <c r="H1509"/>
      <c r="I1509"/>
      <c r="J1509"/>
      <c r="K1509"/>
      <c r="L1509"/>
      <c r="M1509"/>
      <c r="N1509"/>
      <c r="O1509"/>
      <c r="P1509" s="233">
        <f t="shared" si="35"/>
        <v>0</v>
      </c>
      <c r="Q1509" s="233"/>
    </row>
    <row r="1510" spans="4:17" ht="15.75">
      <c r="D1510"/>
      <c r="E1510"/>
      <c r="F1510"/>
      <c r="G1510"/>
      <c r="H1510"/>
      <c r="I1510"/>
      <c r="J1510"/>
      <c r="K1510"/>
      <c r="L1510"/>
      <c r="M1510"/>
      <c r="N1510"/>
      <c r="O1510"/>
      <c r="P1510" s="233">
        <f t="shared" si="35"/>
        <v>0</v>
      </c>
      <c r="Q1510" s="233"/>
    </row>
    <row r="1511" spans="4:17" ht="15.75">
      <c r="D1511"/>
      <c r="E1511"/>
      <c r="F1511"/>
      <c r="G1511"/>
      <c r="H1511"/>
      <c r="I1511"/>
      <c r="J1511"/>
      <c r="K1511"/>
      <c r="L1511"/>
      <c r="M1511"/>
      <c r="N1511"/>
      <c r="O1511"/>
      <c r="P1511" s="233">
        <f t="shared" si="35"/>
        <v>0</v>
      </c>
      <c r="Q1511" s="233"/>
    </row>
    <row r="1512" spans="4:17" ht="15.75">
      <c r="D1512"/>
      <c r="E1512"/>
      <c r="F1512"/>
      <c r="G1512"/>
      <c r="H1512"/>
      <c r="I1512"/>
      <c r="J1512"/>
      <c r="K1512"/>
      <c r="L1512"/>
      <c r="M1512"/>
      <c r="N1512"/>
      <c r="O1512"/>
      <c r="P1512" s="233">
        <f t="shared" si="35"/>
        <v>0</v>
      </c>
      <c r="Q1512" s="233"/>
    </row>
    <row r="1513" spans="4:17" ht="15.75">
      <c r="D1513"/>
      <c r="E1513"/>
      <c r="F1513"/>
      <c r="G1513"/>
      <c r="H1513"/>
      <c r="I1513"/>
      <c r="J1513"/>
      <c r="K1513"/>
      <c r="L1513"/>
      <c r="M1513"/>
      <c r="N1513"/>
      <c r="O1513"/>
      <c r="P1513" s="233">
        <f t="shared" si="35"/>
        <v>0</v>
      </c>
      <c r="Q1513" s="233"/>
    </row>
    <row r="1514" spans="4:17" ht="15.75">
      <c r="D1514"/>
      <c r="E1514"/>
      <c r="F1514"/>
      <c r="G1514"/>
      <c r="H1514"/>
      <c r="I1514"/>
      <c r="J1514"/>
      <c r="K1514"/>
      <c r="L1514"/>
      <c r="M1514"/>
      <c r="N1514"/>
      <c r="O1514"/>
      <c r="P1514" s="233">
        <f t="shared" si="35"/>
        <v>0</v>
      </c>
      <c r="Q1514" s="233"/>
    </row>
    <row r="1515" spans="4:17" ht="15.75">
      <c r="D1515"/>
      <c r="E1515"/>
      <c r="F1515"/>
      <c r="G1515"/>
      <c r="H1515"/>
      <c r="I1515"/>
      <c r="J1515"/>
      <c r="K1515"/>
      <c r="L1515"/>
      <c r="M1515"/>
      <c r="N1515"/>
      <c r="O1515"/>
      <c r="P1515" s="233">
        <f t="shared" si="35"/>
        <v>0</v>
      </c>
      <c r="Q1515" s="233"/>
    </row>
    <row r="1516" spans="4:17" ht="15.75">
      <c r="D1516"/>
      <c r="E1516"/>
      <c r="F1516"/>
      <c r="G1516"/>
      <c r="H1516"/>
      <c r="I1516"/>
      <c r="J1516"/>
      <c r="K1516"/>
      <c r="L1516"/>
      <c r="M1516"/>
      <c r="N1516"/>
      <c r="O1516"/>
      <c r="P1516" s="233">
        <f t="shared" si="35"/>
        <v>0</v>
      </c>
      <c r="Q1516" s="233"/>
    </row>
    <row r="1517" spans="4:17" ht="15.75">
      <c r="D1517"/>
      <c r="E1517"/>
      <c r="F1517"/>
      <c r="G1517"/>
      <c r="H1517"/>
      <c r="I1517"/>
      <c r="J1517"/>
      <c r="K1517"/>
      <c r="L1517"/>
      <c r="M1517"/>
      <c r="N1517"/>
      <c r="O1517"/>
      <c r="P1517" s="233">
        <f t="shared" si="35"/>
        <v>0</v>
      </c>
      <c r="Q1517" s="233"/>
    </row>
    <row r="1518" spans="4:17" ht="15.75">
      <c r="D1518"/>
      <c r="E1518"/>
      <c r="F1518"/>
      <c r="G1518"/>
      <c r="H1518"/>
      <c r="I1518"/>
      <c r="J1518"/>
      <c r="K1518"/>
      <c r="L1518"/>
      <c r="M1518"/>
      <c r="N1518"/>
      <c r="O1518"/>
      <c r="P1518" s="233">
        <f t="shared" si="35"/>
        <v>0</v>
      </c>
      <c r="Q1518" s="233"/>
    </row>
    <row r="1519" spans="4:17" ht="15.75">
      <c r="D1519"/>
      <c r="E1519"/>
      <c r="F1519"/>
      <c r="G1519"/>
      <c r="H1519"/>
      <c r="I1519"/>
      <c r="J1519"/>
      <c r="K1519"/>
      <c r="L1519"/>
      <c r="M1519"/>
      <c r="N1519"/>
      <c r="O1519"/>
      <c r="P1519" s="233">
        <f t="shared" si="35"/>
        <v>0</v>
      </c>
      <c r="Q1519" s="233"/>
    </row>
    <row r="1520" spans="4:17" ht="15.75">
      <c r="D1520"/>
      <c r="E1520"/>
      <c r="F1520"/>
      <c r="G1520"/>
      <c r="H1520"/>
      <c r="I1520"/>
      <c r="J1520"/>
      <c r="K1520"/>
      <c r="L1520"/>
      <c r="M1520"/>
      <c r="N1520"/>
      <c r="O1520"/>
      <c r="P1520" s="233">
        <f t="shared" si="35"/>
        <v>0</v>
      </c>
      <c r="Q1520" s="233"/>
    </row>
    <row r="1521" spans="4:17" ht="15.75">
      <c r="D1521"/>
      <c r="E1521"/>
      <c r="F1521"/>
      <c r="G1521"/>
      <c r="H1521"/>
      <c r="I1521"/>
      <c r="J1521"/>
      <c r="K1521"/>
      <c r="L1521"/>
      <c r="M1521"/>
      <c r="N1521"/>
      <c r="O1521"/>
      <c r="P1521" s="233">
        <f t="shared" si="35"/>
        <v>0</v>
      </c>
      <c r="Q1521" s="233"/>
    </row>
    <row r="1522" spans="4:17" ht="15.75">
      <c r="D1522"/>
      <c r="E1522"/>
      <c r="F1522"/>
      <c r="G1522"/>
      <c r="H1522"/>
      <c r="I1522"/>
      <c r="J1522"/>
      <c r="K1522"/>
      <c r="L1522"/>
      <c r="M1522"/>
      <c r="N1522"/>
      <c r="O1522"/>
      <c r="P1522" s="233">
        <f t="shared" si="35"/>
        <v>0</v>
      </c>
      <c r="Q1522" s="233"/>
    </row>
    <row r="1523" spans="4:17" ht="15.75">
      <c r="D1523"/>
      <c r="E1523"/>
      <c r="F1523"/>
      <c r="G1523"/>
      <c r="H1523"/>
      <c r="I1523"/>
      <c r="J1523"/>
      <c r="K1523"/>
      <c r="L1523"/>
      <c r="M1523"/>
      <c r="N1523"/>
      <c r="O1523"/>
      <c r="P1523" s="233">
        <f t="shared" si="35"/>
        <v>0</v>
      </c>
      <c r="Q1523" s="233"/>
    </row>
    <row r="1524" spans="4:17" ht="15.75">
      <c r="D1524"/>
      <c r="E1524"/>
      <c r="F1524"/>
      <c r="G1524"/>
      <c r="H1524"/>
      <c r="I1524"/>
      <c r="J1524"/>
      <c r="K1524"/>
      <c r="L1524"/>
      <c r="M1524"/>
      <c r="N1524"/>
      <c r="O1524"/>
      <c r="P1524" s="233">
        <f t="shared" si="35"/>
        <v>0</v>
      </c>
      <c r="Q1524" s="233"/>
    </row>
    <row r="1525" spans="4:17" ht="15.75">
      <c r="D1525"/>
      <c r="E1525"/>
      <c r="F1525"/>
      <c r="G1525"/>
      <c r="H1525"/>
      <c r="I1525"/>
      <c r="J1525"/>
      <c r="K1525"/>
      <c r="L1525"/>
      <c r="M1525"/>
      <c r="N1525"/>
      <c r="O1525"/>
      <c r="P1525" s="233">
        <f t="shared" si="35"/>
        <v>0</v>
      </c>
      <c r="Q1525" s="233"/>
    </row>
    <row r="1526" spans="4:17" ht="15.75">
      <c r="D1526"/>
      <c r="E1526"/>
      <c r="F1526"/>
      <c r="G1526"/>
      <c r="H1526"/>
      <c r="I1526"/>
      <c r="J1526"/>
      <c r="K1526"/>
      <c r="L1526"/>
      <c r="M1526"/>
      <c r="N1526"/>
      <c r="O1526"/>
      <c r="P1526" s="233">
        <f t="shared" si="35"/>
        <v>0</v>
      </c>
      <c r="Q1526" s="233"/>
    </row>
    <row r="1527" spans="4:17" ht="15.75">
      <c r="D1527"/>
      <c r="E1527"/>
      <c r="F1527"/>
      <c r="G1527"/>
      <c r="H1527"/>
      <c r="I1527"/>
      <c r="J1527"/>
      <c r="K1527"/>
      <c r="L1527"/>
      <c r="M1527"/>
      <c r="N1527"/>
      <c r="O1527"/>
      <c r="P1527" s="233">
        <f t="shared" si="35"/>
        <v>0</v>
      </c>
      <c r="Q1527" s="233"/>
    </row>
    <row r="1528" spans="4:17" ht="15.75">
      <c r="D1528"/>
      <c r="E1528"/>
      <c r="F1528"/>
      <c r="G1528"/>
      <c r="H1528"/>
      <c r="I1528"/>
      <c r="J1528"/>
      <c r="K1528"/>
      <c r="L1528"/>
      <c r="M1528"/>
      <c r="N1528"/>
      <c r="O1528"/>
      <c r="P1528" s="233">
        <f t="shared" si="35"/>
        <v>0</v>
      </c>
      <c r="Q1528" s="233"/>
    </row>
    <row r="1529" spans="4:17" ht="15.75">
      <c r="D1529"/>
      <c r="E1529"/>
      <c r="F1529"/>
      <c r="G1529"/>
      <c r="H1529"/>
      <c r="I1529"/>
      <c r="J1529"/>
      <c r="K1529"/>
      <c r="L1529"/>
      <c r="M1529"/>
      <c r="N1529"/>
      <c r="O1529"/>
      <c r="P1529" s="233">
        <f t="shared" si="35"/>
        <v>0</v>
      </c>
      <c r="Q1529" s="233"/>
    </row>
    <row r="1530" spans="4:17" ht="15.75">
      <c r="D1530"/>
      <c r="E1530"/>
      <c r="F1530"/>
      <c r="G1530"/>
      <c r="H1530"/>
      <c r="I1530"/>
      <c r="J1530"/>
      <c r="K1530"/>
      <c r="L1530"/>
      <c r="M1530"/>
      <c r="N1530"/>
      <c r="O1530"/>
      <c r="P1530" s="233">
        <f t="shared" si="35"/>
        <v>0</v>
      </c>
      <c r="Q1530" s="233"/>
    </row>
    <row r="1531" spans="4:17" ht="15.75">
      <c r="D1531"/>
      <c r="E1531"/>
      <c r="F1531"/>
      <c r="G1531"/>
      <c r="H1531"/>
      <c r="I1531"/>
      <c r="J1531"/>
      <c r="K1531"/>
      <c r="L1531"/>
      <c r="M1531"/>
      <c r="N1531"/>
      <c r="O1531"/>
      <c r="P1531" s="233">
        <f t="shared" si="35"/>
        <v>0</v>
      </c>
      <c r="Q1531" s="233"/>
    </row>
    <row r="1532" spans="4:17" ht="15.75">
      <c r="D1532"/>
      <c r="E1532"/>
      <c r="F1532"/>
      <c r="G1532"/>
      <c r="H1532"/>
      <c r="I1532"/>
      <c r="J1532"/>
      <c r="K1532"/>
      <c r="L1532"/>
      <c r="M1532"/>
      <c r="N1532"/>
      <c r="O1532"/>
      <c r="P1532" s="233">
        <f t="shared" si="35"/>
        <v>0</v>
      </c>
      <c r="Q1532" s="233"/>
    </row>
    <row r="1533" spans="4:17" ht="15.75">
      <c r="D1533"/>
      <c r="E1533"/>
      <c r="F1533"/>
      <c r="G1533"/>
      <c r="H1533"/>
      <c r="I1533"/>
      <c r="J1533"/>
      <c r="K1533"/>
      <c r="L1533"/>
      <c r="M1533"/>
      <c r="N1533"/>
      <c r="O1533"/>
      <c r="P1533" s="233">
        <f t="shared" si="35"/>
        <v>0</v>
      </c>
      <c r="Q1533" s="233"/>
    </row>
    <row r="1534" spans="4:17" ht="15.75">
      <c r="D1534"/>
      <c r="E1534"/>
      <c r="F1534"/>
      <c r="G1534"/>
      <c r="H1534"/>
      <c r="I1534"/>
      <c r="J1534"/>
      <c r="K1534"/>
      <c r="L1534"/>
      <c r="M1534"/>
      <c r="N1534"/>
      <c r="O1534"/>
      <c r="P1534" s="233">
        <f t="shared" si="35"/>
        <v>0</v>
      </c>
      <c r="Q1534" s="233"/>
    </row>
    <row r="1535" spans="4:17" ht="15.75">
      <c r="D1535"/>
      <c r="E1535"/>
      <c r="F1535"/>
      <c r="G1535"/>
      <c r="H1535"/>
      <c r="I1535"/>
      <c r="J1535"/>
      <c r="K1535"/>
      <c r="L1535"/>
      <c r="M1535"/>
      <c r="N1535"/>
      <c r="O1535"/>
      <c r="P1535" s="233">
        <f t="shared" si="35"/>
        <v>0</v>
      </c>
      <c r="Q1535" s="233"/>
    </row>
    <row r="1536" spans="4:17" ht="15.75">
      <c r="D1536"/>
      <c r="E1536"/>
      <c r="F1536"/>
      <c r="G1536"/>
      <c r="H1536"/>
      <c r="I1536"/>
      <c r="J1536"/>
      <c r="K1536"/>
      <c r="L1536"/>
      <c r="M1536"/>
      <c r="N1536"/>
      <c r="O1536"/>
      <c r="P1536" s="233">
        <f t="shared" si="35"/>
        <v>0</v>
      </c>
      <c r="Q1536" s="233"/>
    </row>
    <row r="1537" spans="4:17" ht="15.75">
      <c r="D1537"/>
      <c r="E1537"/>
      <c r="F1537"/>
      <c r="G1537"/>
      <c r="H1537"/>
      <c r="I1537"/>
      <c r="J1537"/>
      <c r="K1537"/>
      <c r="L1537"/>
      <c r="M1537"/>
      <c r="N1537"/>
      <c r="O1537"/>
      <c r="P1537" s="233">
        <f t="shared" si="35"/>
        <v>0</v>
      </c>
      <c r="Q1537" s="233"/>
    </row>
    <row r="1538" spans="4:17" ht="15.75">
      <c r="D1538"/>
      <c r="E1538"/>
      <c r="F1538"/>
      <c r="G1538"/>
      <c r="H1538"/>
      <c r="I1538"/>
      <c r="J1538"/>
      <c r="K1538"/>
      <c r="L1538"/>
      <c r="M1538"/>
      <c r="N1538"/>
      <c r="O1538"/>
      <c r="P1538" s="233">
        <f t="shared" si="35"/>
        <v>0</v>
      </c>
      <c r="Q1538" s="233"/>
    </row>
    <row r="1539" spans="4:17" ht="15.75">
      <c r="D1539"/>
      <c r="E1539"/>
      <c r="F1539"/>
      <c r="G1539"/>
      <c r="H1539"/>
      <c r="I1539"/>
      <c r="J1539"/>
      <c r="K1539"/>
      <c r="L1539"/>
      <c r="M1539"/>
      <c r="N1539"/>
      <c r="O1539"/>
      <c r="P1539" s="233">
        <f t="shared" si="35"/>
        <v>0</v>
      </c>
      <c r="Q1539" s="233"/>
    </row>
    <row r="1540" spans="4:17" ht="15.75">
      <c r="D1540"/>
      <c r="E1540"/>
      <c r="F1540"/>
      <c r="G1540"/>
      <c r="H1540"/>
      <c r="I1540"/>
      <c r="J1540"/>
      <c r="K1540"/>
      <c r="L1540"/>
      <c r="M1540"/>
      <c r="N1540"/>
      <c r="O1540"/>
      <c r="P1540" s="233">
        <f t="shared" si="35"/>
        <v>0</v>
      </c>
      <c r="Q1540" s="233"/>
    </row>
    <row r="1541" spans="4:17" ht="15.75">
      <c r="D1541"/>
      <c r="E1541"/>
      <c r="F1541"/>
      <c r="G1541"/>
      <c r="H1541"/>
      <c r="I1541"/>
      <c r="J1541"/>
      <c r="K1541"/>
      <c r="L1541"/>
      <c r="M1541"/>
      <c r="N1541"/>
      <c r="O1541"/>
      <c r="P1541" s="233">
        <f t="shared" si="35"/>
        <v>0</v>
      </c>
      <c r="Q1541" s="233"/>
    </row>
    <row r="1542" spans="4:17" ht="15.75">
      <c r="D1542"/>
      <c r="E1542"/>
      <c r="F1542"/>
      <c r="G1542"/>
      <c r="H1542"/>
      <c r="I1542"/>
      <c r="J1542"/>
      <c r="K1542"/>
      <c r="L1542"/>
      <c r="M1542"/>
      <c r="N1542"/>
      <c r="O1542"/>
      <c r="P1542" s="233">
        <f t="shared" si="35"/>
        <v>0</v>
      </c>
      <c r="Q1542" s="233"/>
    </row>
    <row r="1543" spans="4:17" ht="15.75">
      <c r="D1543"/>
      <c r="E1543"/>
      <c r="F1543"/>
      <c r="G1543"/>
      <c r="H1543"/>
      <c r="I1543"/>
      <c r="J1543"/>
      <c r="K1543"/>
      <c r="L1543"/>
      <c r="M1543"/>
      <c r="N1543"/>
      <c r="O1543"/>
      <c r="P1543" s="233">
        <f t="shared" si="35"/>
        <v>0</v>
      </c>
      <c r="Q1543" s="233"/>
    </row>
    <row r="1544" spans="4:17" ht="15.75">
      <c r="D1544"/>
      <c r="E1544"/>
      <c r="F1544"/>
      <c r="G1544"/>
      <c r="H1544"/>
      <c r="I1544"/>
      <c r="J1544"/>
      <c r="K1544"/>
      <c r="L1544"/>
      <c r="M1544"/>
      <c r="N1544"/>
      <c r="O1544"/>
      <c r="P1544" s="233">
        <f t="shared" si="35"/>
        <v>0</v>
      </c>
      <c r="Q1544" s="233"/>
    </row>
    <row r="1545" spans="4:17" ht="15.75">
      <c r="D1545"/>
      <c r="E1545"/>
      <c r="F1545"/>
      <c r="G1545"/>
      <c r="H1545"/>
      <c r="I1545"/>
      <c r="J1545"/>
      <c r="K1545"/>
      <c r="L1545"/>
      <c r="M1545"/>
      <c r="N1545"/>
      <c r="O1545"/>
      <c r="P1545" s="233">
        <f t="shared" si="35"/>
        <v>0</v>
      </c>
      <c r="Q1545" s="233"/>
    </row>
    <row r="1546" spans="4:17" ht="15.75">
      <c r="D1546"/>
      <c r="E1546"/>
      <c r="F1546"/>
      <c r="G1546"/>
      <c r="H1546"/>
      <c r="I1546"/>
      <c r="J1546"/>
      <c r="K1546"/>
      <c r="L1546"/>
      <c r="M1546"/>
      <c r="N1546"/>
      <c r="O1546"/>
      <c r="P1546" s="233">
        <f t="shared" si="35"/>
        <v>0</v>
      </c>
      <c r="Q1546" s="233"/>
    </row>
    <row r="1547" spans="4:17" ht="15.75">
      <c r="D1547"/>
      <c r="E1547"/>
      <c r="F1547"/>
      <c r="G1547"/>
      <c r="H1547"/>
      <c r="I1547"/>
      <c r="J1547"/>
      <c r="K1547"/>
      <c r="L1547"/>
      <c r="M1547"/>
      <c r="N1547"/>
      <c r="O1547"/>
      <c r="P1547" s="233">
        <f t="shared" si="35"/>
        <v>0</v>
      </c>
      <c r="Q1547" s="233"/>
    </row>
    <row r="1548" spans="4:17" ht="15.75">
      <c r="D1548"/>
      <c r="E1548"/>
      <c r="F1548"/>
      <c r="G1548"/>
      <c r="H1548"/>
      <c r="I1548"/>
      <c r="J1548"/>
      <c r="K1548"/>
      <c r="L1548"/>
      <c r="M1548"/>
      <c r="N1548"/>
      <c r="O1548"/>
      <c r="P1548" s="233">
        <f t="shared" si="35"/>
        <v>0</v>
      </c>
      <c r="Q1548" s="233"/>
    </row>
    <row r="1549" spans="4:17" ht="15.75">
      <c r="D1549"/>
      <c r="E1549"/>
      <c r="F1549"/>
      <c r="G1549"/>
      <c r="H1549"/>
      <c r="I1549"/>
      <c r="J1549"/>
      <c r="K1549"/>
      <c r="L1549"/>
      <c r="M1549"/>
      <c r="N1549"/>
      <c r="O1549"/>
      <c r="P1549" s="233">
        <f t="shared" si="35"/>
        <v>0</v>
      </c>
      <c r="Q1549" s="233"/>
    </row>
    <row r="1550" spans="4:17" ht="15.75">
      <c r="D1550"/>
      <c r="E1550"/>
      <c r="F1550"/>
      <c r="G1550"/>
      <c r="H1550"/>
      <c r="I1550"/>
      <c r="J1550"/>
      <c r="K1550"/>
      <c r="L1550"/>
      <c r="M1550"/>
      <c r="N1550"/>
      <c r="O1550"/>
      <c r="P1550" s="233">
        <f t="shared" ref="P1550:P1613" si="36">IF(ISNUMBER(Q1550),Q1550,0)</f>
        <v>0</v>
      </c>
      <c r="Q1550" s="233"/>
    </row>
    <row r="1551" spans="4:17" ht="15.75">
      <c r="D1551"/>
      <c r="E1551"/>
      <c r="F1551"/>
      <c r="G1551"/>
      <c r="H1551"/>
      <c r="I1551"/>
      <c r="J1551"/>
      <c r="K1551"/>
      <c r="L1551"/>
      <c r="M1551"/>
      <c r="N1551"/>
      <c r="O1551"/>
      <c r="P1551" s="233">
        <f t="shared" si="36"/>
        <v>0</v>
      </c>
      <c r="Q1551" s="233"/>
    </row>
    <row r="1552" spans="4:17" ht="15.75">
      <c r="D1552"/>
      <c r="E1552"/>
      <c r="F1552"/>
      <c r="G1552"/>
      <c r="H1552"/>
      <c r="I1552"/>
      <c r="J1552"/>
      <c r="K1552"/>
      <c r="L1552"/>
      <c r="M1552"/>
      <c r="N1552"/>
      <c r="O1552"/>
      <c r="P1552" s="233">
        <f t="shared" si="36"/>
        <v>0</v>
      </c>
      <c r="Q1552" s="233"/>
    </row>
    <row r="1553" spans="4:17" ht="15.75">
      <c r="D1553"/>
      <c r="E1553"/>
      <c r="F1553"/>
      <c r="G1553"/>
      <c r="H1553"/>
      <c r="I1553"/>
      <c r="J1553"/>
      <c r="K1553"/>
      <c r="L1553"/>
      <c r="M1553"/>
      <c r="N1553"/>
      <c r="O1553"/>
      <c r="P1553" s="233">
        <f t="shared" si="36"/>
        <v>0</v>
      </c>
      <c r="Q1553" s="233"/>
    </row>
    <row r="1554" spans="4:17" ht="15.75">
      <c r="D1554"/>
      <c r="E1554"/>
      <c r="F1554"/>
      <c r="G1554"/>
      <c r="H1554"/>
      <c r="I1554"/>
      <c r="J1554"/>
      <c r="K1554"/>
      <c r="L1554"/>
      <c r="M1554"/>
      <c r="N1554"/>
      <c r="O1554"/>
      <c r="P1554" s="233">
        <f t="shared" si="36"/>
        <v>0</v>
      </c>
      <c r="Q1554" s="233"/>
    </row>
    <row r="1555" spans="4:17" ht="15.75">
      <c r="D1555"/>
      <c r="E1555"/>
      <c r="F1555"/>
      <c r="G1555"/>
      <c r="H1555"/>
      <c r="I1555"/>
      <c r="J1555"/>
      <c r="K1555"/>
      <c r="L1555"/>
      <c r="M1555"/>
      <c r="N1555"/>
      <c r="O1555"/>
      <c r="P1555" s="233">
        <f t="shared" si="36"/>
        <v>0</v>
      </c>
      <c r="Q1555" s="233"/>
    </row>
    <row r="1556" spans="4:17" ht="15.75">
      <c r="D1556"/>
      <c r="E1556"/>
      <c r="F1556"/>
      <c r="G1556"/>
      <c r="H1556"/>
      <c r="I1556"/>
      <c r="J1556"/>
      <c r="K1556"/>
      <c r="L1556"/>
      <c r="M1556"/>
      <c r="N1556"/>
      <c r="O1556"/>
      <c r="P1556" s="233">
        <f t="shared" si="36"/>
        <v>0</v>
      </c>
      <c r="Q1556" s="233"/>
    </row>
    <row r="1557" spans="4:17" ht="15.75">
      <c r="D1557"/>
      <c r="E1557"/>
      <c r="F1557"/>
      <c r="G1557"/>
      <c r="H1557"/>
      <c r="I1557"/>
      <c r="J1557"/>
      <c r="K1557"/>
      <c r="L1557"/>
      <c r="M1557"/>
      <c r="N1557"/>
      <c r="O1557"/>
      <c r="P1557" s="233">
        <f t="shared" si="36"/>
        <v>0</v>
      </c>
      <c r="Q1557" s="233"/>
    </row>
    <row r="1558" spans="4:17" ht="15.75">
      <c r="D1558"/>
      <c r="E1558"/>
      <c r="F1558"/>
      <c r="G1558"/>
      <c r="H1558"/>
      <c r="I1558"/>
      <c r="J1558"/>
      <c r="K1558"/>
      <c r="L1558"/>
      <c r="M1558"/>
      <c r="N1558"/>
      <c r="O1558"/>
      <c r="P1558" s="233">
        <f t="shared" si="36"/>
        <v>0</v>
      </c>
      <c r="Q1558" s="233"/>
    </row>
    <row r="1559" spans="4:17" ht="15.75">
      <c r="D1559"/>
      <c r="E1559"/>
      <c r="F1559"/>
      <c r="G1559"/>
      <c r="H1559"/>
      <c r="I1559"/>
      <c r="J1559"/>
      <c r="K1559"/>
      <c r="L1559"/>
      <c r="M1559"/>
      <c r="N1559"/>
      <c r="O1559"/>
      <c r="P1559" s="233">
        <f t="shared" si="36"/>
        <v>0</v>
      </c>
      <c r="Q1559" s="233"/>
    </row>
    <row r="1560" spans="4:17" ht="15.75">
      <c r="D1560"/>
      <c r="E1560"/>
      <c r="F1560"/>
      <c r="G1560"/>
      <c r="H1560"/>
      <c r="I1560"/>
      <c r="J1560"/>
      <c r="K1560"/>
      <c r="L1560"/>
      <c r="M1560"/>
      <c r="N1560"/>
      <c r="O1560"/>
      <c r="P1560" s="233">
        <f t="shared" si="36"/>
        <v>0</v>
      </c>
      <c r="Q1560" s="233"/>
    </row>
    <row r="1561" spans="4:17" ht="15.75">
      <c r="D1561"/>
      <c r="E1561"/>
      <c r="F1561"/>
      <c r="G1561"/>
      <c r="H1561"/>
      <c r="I1561"/>
      <c r="J1561"/>
      <c r="K1561"/>
      <c r="L1561"/>
      <c r="M1561"/>
      <c r="N1561"/>
      <c r="O1561"/>
      <c r="P1561" s="233">
        <f t="shared" si="36"/>
        <v>0</v>
      </c>
      <c r="Q1561" s="233"/>
    </row>
    <row r="1562" spans="4:17" ht="15.75">
      <c r="D1562"/>
      <c r="E1562"/>
      <c r="F1562"/>
      <c r="G1562"/>
      <c r="H1562"/>
      <c r="I1562"/>
      <c r="J1562"/>
      <c r="K1562"/>
      <c r="L1562"/>
      <c r="M1562"/>
      <c r="N1562"/>
      <c r="O1562"/>
      <c r="P1562" s="233">
        <f t="shared" si="36"/>
        <v>0</v>
      </c>
      <c r="Q1562" s="233"/>
    </row>
    <row r="1563" spans="4:17" ht="15.75">
      <c r="D1563"/>
      <c r="E1563"/>
      <c r="F1563"/>
      <c r="G1563"/>
      <c r="H1563"/>
      <c r="I1563"/>
      <c r="J1563"/>
      <c r="K1563"/>
      <c r="L1563"/>
      <c r="M1563"/>
      <c r="N1563"/>
      <c r="O1563"/>
      <c r="P1563" s="233">
        <f t="shared" si="36"/>
        <v>0</v>
      </c>
      <c r="Q1563" s="233"/>
    </row>
    <row r="1564" spans="4:17" ht="15.75">
      <c r="D1564"/>
      <c r="E1564"/>
      <c r="F1564"/>
      <c r="G1564"/>
      <c r="H1564"/>
      <c r="I1564"/>
      <c r="J1564"/>
      <c r="K1564"/>
      <c r="L1564"/>
      <c r="M1564"/>
      <c r="N1564"/>
      <c r="O1564"/>
      <c r="P1564" s="233">
        <f t="shared" si="36"/>
        <v>0</v>
      </c>
      <c r="Q1564" s="233"/>
    </row>
    <row r="1565" spans="4:17" ht="15.75">
      <c r="D1565"/>
      <c r="E1565"/>
      <c r="F1565"/>
      <c r="G1565"/>
      <c r="H1565"/>
      <c r="I1565"/>
      <c r="J1565"/>
      <c r="K1565"/>
      <c r="L1565"/>
      <c r="M1565"/>
      <c r="N1565"/>
      <c r="O1565"/>
      <c r="P1565" s="233">
        <f t="shared" si="36"/>
        <v>0</v>
      </c>
      <c r="Q1565" s="233"/>
    </row>
    <row r="1566" spans="4:17" ht="15.75">
      <c r="D1566"/>
      <c r="E1566"/>
      <c r="F1566"/>
      <c r="G1566"/>
      <c r="H1566"/>
      <c r="I1566"/>
      <c r="J1566"/>
      <c r="K1566"/>
      <c r="L1566"/>
      <c r="M1566"/>
      <c r="N1566"/>
      <c r="O1566"/>
      <c r="P1566" s="233">
        <f t="shared" si="36"/>
        <v>0</v>
      </c>
      <c r="Q1566" s="233"/>
    </row>
    <row r="1567" spans="4:17" ht="15.75">
      <c r="D1567"/>
      <c r="E1567"/>
      <c r="F1567"/>
      <c r="G1567"/>
      <c r="H1567"/>
      <c r="I1567"/>
      <c r="J1567"/>
      <c r="K1567"/>
      <c r="L1567"/>
      <c r="M1567"/>
      <c r="N1567"/>
      <c r="O1567"/>
      <c r="P1567" s="233">
        <f t="shared" si="36"/>
        <v>0</v>
      </c>
      <c r="Q1567" s="233"/>
    </row>
    <row r="1568" spans="4:17" ht="15.75">
      <c r="D1568"/>
      <c r="E1568"/>
      <c r="F1568"/>
      <c r="G1568"/>
      <c r="H1568"/>
      <c r="I1568"/>
      <c r="J1568"/>
      <c r="K1568"/>
      <c r="L1568"/>
      <c r="M1568"/>
      <c r="N1568"/>
      <c r="O1568"/>
      <c r="P1568" s="233">
        <f t="shared" si="36"/>
        <v>0</v>
      </c>
      <c r="Q1568" s="233"/>
    </row>
    <row r="1569" spans="4:17" ht="15.75">
      <c r="D1569"/>
      <c r="E1569"/>
      <c r="F1569"/>
      <c r="G1569"/>
      <c r="H1569"/>
      <c r="I1569"/>
      <c r="J1569"/>
      <c r="K1569"/>
      <c r="L1569"/>
      <c r="M1569"/>
      <c r="N1569"/>
      <c r="O1569"/>
      <c r="P1569" s="233">
        <f t="shared" si="36"/>
        <v>0</v>
      </c>
      <c r="Q1569" s="233"/>
    </row>
    <row r="1570" spans="4:17" ht="15.75">
      <c r="D1570"/>
      <c r="E1570"/>
      <c r="F1570"/>
      <c r="G1570"/>
      <c r="H1570"/>
      <c r="I1570"/>
      <c r="J1570"/>
      <c r="K1570"/>
      <c r="L1570"/>
      <c r="M1570"/>
      <c r="N1570"/>
      <c r="O1570"/>
      <c r="P1570" s="233">
        <f t="shared" si="36"/>
        <v>0</v>
      </c>
      <c r="Q1570" s="233"/>
    </row>
    <row r="1571" spans="4:17" ht="15.75">
      <c r="D1571"/>
      <c r="E1571"/>
      <c r="F1571"/>
      <c r="G1571"/>
      <c r="H1571"/>
      <c r="I1571"/>
      <c r="J1571"/>
      <c r="K1571"/>
      <c r="L1571"/>
      <c r="M1571"/>
      <c r="N1571"/>
      <c r="O1571"/>
      <c r="P1571" s="233">
        <f t="shared" si="36"/>
        <v>0</v>
      </c>
      <c r="Q1571" s="233"/>
    </row>
    <row r="1572" spans="4:17" ht="15.75">
      <c r="D1572"/>
      <c r="E1572"/>
      <c r="F1572"/>
      <c r="G1572"/>
      <c r="H1572"/>
      <c r="I1572"/>
      <c r="J1572"/>
      <c r="K1572"/>
      <c r="L1572"/>
      <c r="M1572"/>
      <c r="N1572"/>
      <c r="O1572"/>
      <c r="P1572" s="233">
        <f t="shared" si="36"/>
        <v>0</v>
      </c>
      <c r="Q1572" s="233"/>
    </row>
    <row r="1573" spans="4:17" ht="15.75">
      <c r="D1573"/>
      <c r="E1573"/>
      <c r="F1573"/>
      <c r="G1573"/>
      <c r="H1573"/>
      <c r="I1573"/>
      <c r="J1573"/>
      <c r="K1573"/>
      <c r="L1573"/>
      <c r="M1573"/>
      <c r="N1573"/>
      <c r="O1573"/>
      <c r="P1573" s="233">
        <f t="shared" si="36"/>
        <v>0</v>
      </c>
      <c r="Q1573" s="233"/>
    </row>
    <row r="1574" spans="4:17" ht="15.75">
      <c r="D1574"/>
      <c r="E1574"/>
      <c r="F1574"/>
      <c r="G1574"/>
      <c r="H1574"/>
      <c r="I1574"/>
      <c r="J1574"/>
      <c r="K1574"/>
      <c r="L1574"/>
      <c r="M1574"/>
      <c r="N1574"/>
      <c r="O1574"/>
      <c r="P1574" s="233">
        <f t="shared" si="36"/>
        <v>0</v>
      </c>
      <c r="Q1574" s="233"/>
    </row>
    <row r="1575" spans="4:17" ht="15.75">
      <c r="D1575"/>
      <c r="E1575"/>
      <c r="F1575"/>
      <c r="G1575"/>
      <c r="H1575"/>
      <c r="I1575"/>
      <c r="J1575"/>
      <c r="K1575"/>
      <c r="L1575"/>
      <c r="M1575"/>
      <c r="N1575"/>
      <c r="O1575"/>
      <c r="P1575" s="233">
        <f t="shared" si="36"/>
        <v>0</v>
      </c>
      <c r="Q1575" s="233"/>
    </row>
    <row r="1576" spans="4:17" ht="15.75">
      <c r="D1576"/>
      <c r="E1576"/>
      <c r="F1576"/>
      <c r="G1576"/>
      <c r="H1576"/>
      <c r="I1576"/>
      <c r="J1576"/>
      <c r="K1576"/>
      <c r="L1576"/>
      <c r="M1576"/>
      <c r="N1576"/>
      <c r="O1576"/>
      <c r="P1576" s="233">
        <f t="shared" si="36"/>
        <v>0</v>
      </c>
      <c r="Q1576" s="233"/>
    </row>
    <row r="1577" spans="4:17" ht="15.75">
      <c r="D1577"/>
      <c r="E1577"/>
      <c r="F1577"/>
      <c r="G1577"/>
      <c r="H1577"/>
      <c r="I1577"/>
      <c r="J1577"/>
      <c r="K1577"/>
      <c r="L1577"/>
      <c r="M1577"/>
      <c r="N1577"/>
      <c r="O1577"/>
      <c r="P1577" s="233">
        <f t="shared" si="36"/>
        <v>0</v>
      </c>
      <c r="Q1577" s="233"/>
    </row>
    <row r="1578" spans="4:17" ht="15.75">
      <c r="D1578"/>
      <c r="E1578"/>
      <c r="F1578"/>
      <c r="G1578"/>
      <c r="H1578"/>
      <c r="I1578"/>
      <c r="J1578"/>
      <c r="K1578"/>
      <c r="L1578"/>
      <c r="M1578"/>
      <c r="N1578"/>
      <c r="O1578"/>
      <c r="P1578" s="233">
        <f t="shared" si="36"/>
        <v>0</v>
      </c>
      <c r="Q1578" s="233"/>
    </row>
    <row r="1579" spans="4:17" ht="15.75">
      <c r="D1579"/>
      <c r="E1579"/>
      <c r="F1579"/>
      <c r="G1579"/>
      <c r="H1579"/>
      <c r="I1579"/>
      <c r="J1579"/>
      <c r="K1579"/>
      <c r="L1579"/>
      <c r="M1579"/>
      <c r="N1579"/>
      <c r="O1579"/>
      <c r="P1579" s="233">
        <f t="shared" si="36"/>
        <v>0</v>
      </c>
      <c r="Q1579" s="233"/>
    </row>
    <row r="1580" spans="4:17" ht="15.75">
      <c r="D1580"/>
      <c r="E1580"/>
      <c r="F1580"/>
      <c r="G1580"/>
      <c r="H1580"/>
      <c r="I1580"/>
      <c r="J1580"/>
      <c r="K1580"/>
      <c r="L1580"/>
      <c r="M1580"/>
      <c r="N1580"/>
      <c r="O1580"/>
      <c r="P1580" s="233">
        <f t="shared" si="36"/>
        <v>0</v>
      </c>
      <c r="Q1580" s="233"/>
    </row>
    <row r="1581" spans="4:17" ht="15.75">
      <c r="D1581"/>
      <c r="E1581"/>
      <c r="F1581"/>
      <c r="G1581"/>
      <c r="H1581"/>
      <c r="I1581"/>
      <c r="J1581"/>
      <c r="K1581"/>
      <c r="L1581"/>
      <c r="M1581"/>
      <c r="N1581"/>
      <c r="O1581"/>
      <c r="P1581" s="233">
        <f t="shared" si="36"/>
        <v>0</v>
      </c>
      <c r="Q1581" s="233"/>
    </row>
    <row r="1582" spans="4:17" ht="15.75">
      <c r="D1582"/>
      <c r="E1582"/>
      <c r="F1582"/>
      <c r="G1582"/>
      <c r="H1582"/>
      <c r="I1582"/>
      <c r="J1582"/>
      <c r="K1582"/>
      <c r="L1582"/>
      <c r="M1582"/>
      <c r="N1582"/>
      <c r="O1582"/>
      <c r="P1582" s="233">
        <f t="shared" si="36"/>
        <v>0</v>
      </c>
      <c r="Q1582" s="233"/>
    </row>
    <row r="1583" spans="4:17" ht="15.75">
      <c r="D1583"/>
      <c r="E1583"/>
      <c r="F1583"/>
      <c r="G1583"/>
      <c r="H1583"/>
      <c r="I1583"/>
      <c r="J1583"/>
      <c r="K1583"/>
      <c r="L1583"/>
      <c r="M1583"/>
      <c r="N1583"/>
      <c r="O1583"/>
      <c r="P1583" s="233">
        <f t="shared" si="36"/>
        <v>0</v>
      </c>
      <c r="Q1583" s="233"/>
    </row>
    <row r="1584" spans="4:17" ht="15.75">
      <c r="D1584"/>
      <c r="E1584"/>
      <c r="F1584"/>
      <c r="G1584"/>
      <c r="H1584"/>
      <c r="I1584"/>
      <c r="J1584"/>
      <c r="K1584"/>
      <c r="L1584"/>
      <c r="M1584"/>
      <c r="N1584"/>
      <c r="O1584"/>
      <c r="P1584" s="233">
        <f t="shared" si="36"/>
        <v>0</v>
      </c>
      <c r="Q1584" s="233"/>
    </row>
    <row r="1585" spans="4:17" ht="15.75">
      <c r="D1585"/>
      <c r="E1585"/>
      <c r="F1585"/>
      <c r="G1585"/>
      <c r="H1585"/>
      <c r="I1585"/>
      <c r="J1585"/>
      <c r="K1585"/>
      <c r="L1585"/>
      <c r="M1585"/>
      <c r="N1585"/>
      <c r="O1585"/>
      <c r="P1585" s="233">
        <f t="shared" si="36"/>
        <v>0</v>
      </c>
      <c r="Q1585" s="233"/>
    </row>
    <row r="1586" spans="4:17" ht="15.75">
      <c r="D1586"/>
      <c r="E1586"/>
      <c r="F1586"/>
      <c r="G1586"/>
      <c r="H1586"/>
      <c r="I1586"/>
      <c r="J1586"/>
      <c r="K1586"/>
      <c r="L1586"/>
      <c r="M1586"/>
      <c r="N1586"/>
      <c r="O1586"/>
      <c r="P1586" s="233">
        <f t="shared" si="36"/>
        <v>0</v>
      </c>
      <c r="Q1586" s="233"/>
    </row>
    <row r="1587" spans="4:17" ht="15.75">
      <c r="D1587"/>
      <c r="E1587"/>
      <c r="F1587"/>
      <c r="G1587"/>
      <c r="H1587"/>
      <c r="I1587"/>
      <c r="J1587"/>
      <c r="K1587"/>
      <c r="L1587"/>
      <c r="M1587"/>
      <c r="N1587"/>
      <c r="O1587"/>
      <c r="P1587" s="233">
        <f t="shared" si="36"/>
        <v>0</v>
      </c>
      <c r="Q1587" s="233"/>
    </row>
    <row r="1588" spans="4:17" ht="15.75">
      <c r="D1588"/>
      <c r="E1588"/>
      <c r="F1588"/>
      <c r="G1588"/>
      <c r="H1588"/>
      <c r="I1588"/>
      <c r="J1588"/>
      <c r="K1588"/>
      <c r="L1588"/>
      <c r="M1588"/>
      <c r="N1588"/>
      <c r="O1588"/>
      <c r="P1588" s="233">
        <f t="shared" si="36"/>
        <v>0</v>
      </c>
      <c r="Q1588" s="233"/>
    </row>
    <row r="1589" spans="4:17" ht="15.75">
      <c r="D1589"/>
      <c r="E1589"/>
      <c r="F1589"/>
      <c r="G1589"/>
      <c r="H1589"/>
      <c r="I1589"/>
      <c r="J1589"/>
      <c r="K1589"/>
      <c r="L1589"/>
      <c r="M1589"/>
      <c r="N1589"/>
      <c r="O1589"/>
      <c r="P1589" s="233">
        <f t="shared" si="36"/>
        <v>0</v>
      </c>
      <c r="Q1589" s="233"/>
    </row>
    <row r="1590" spans="4:17" ht="15.75">
      <c r="D1590"/>
      <c r="E1590"/>
      <c r="F1590"/>
      <c r="G1590"/>
      <c r="H1590"/>
      <c r="I1590"/>
      <c r="J1590"/>
      <c r="K1590"/>
      <c r="L1590"/>
      <c r="M1590"/>
      <c r="N1590"/>
      <c r="O1590"/>
      <c r="P1590" s="233">
        <f t="shared" si="36"/>
        <v>0</v>
      </c>
      <c r="Q1590" s="233"/>
    </row>
    <row r="1591" spans="4:17" ht="15.75">
      <c r="D1591"/>
      <c r="E1591"/>
      <c r="F1591"/>
      <c r="G1591"/>
      <c r="H1591"/>
      <c r="I1591"/>
      <c r="J1591"/>
      <c r="K1591"/>
      <c r="L1591"/>
      <c r="M1591"/>
      <c r="N1591"/>
      <c r="O1591"/>
      <c r="P1591" s="233">
        <f t="shared" si="36"/>
        <v>0</v>
      </c>
      <c r="Q1591" s="233"/>
    </row>
    <row r="1592" spans="4:17" ht="15.75">
      <c r="D1592"/>
      <c r="E1592"/>
      <c r="F1592"/>
      <c r="G1592"/>
      <c r="H1592"/>
      <c r="I1592"/>
      <c r="J1592"/>
      <c r="K1592"/>
      <c r="L1592"/>
      <c r="M1592"/>
      <c r="N1592"/>
      <c r="O1592"/>
      <c r="P1592" s="233">
        <f t="shared" si="36"/>
        <v>0</v>
      </c>
      <c r="Q1592" s="233"/>
    </row>
    <row r="1593" spans="4:17" ht="15.75">
      <c r="D1593"/>
      <c r="E1593"/>
      <c r="F1593"/>
      <c r="G1593"/>
      <c r="H1593"/>
      <c r="I1593"/>
      <c r="J1593"/>
      <c r="K1593"/>
      <c r="L1593"/>
      <c r="M1593"/>
      <c r="N1593"/>
      <c r="O1593"/>
      <c r="P1593" s="233">
        <f t="shared" si="36"/>
        <v>0</v>
      </c>
      <c r="Q1593" s="233"/>
    </row>
    <row r="1594" spans="4:17" ht="15.75">
      <c r="D1594"/>
      <c r="E1594"/>
      <c r="F1594"/>
      <c r="G1594"/>
      <c r="H1594"/>
      <c r="I1594"/>
      <c r="J1594"/>
      <c r="K1594"/>
      <c r="L1594"/>
      <c r="M1594"/>
      <c r="N1594"/>
      <c r="O1594"/>
      <c r="P1594" s="233">
        <f t="shared" si="36"/>
        <v>0</v>
      </c>
      <c r="Q1594" s="233"/>
    </row>
    <row r="1595" spans="4:17" ht="15.75">
      <c r="D1595"/>
      <c r="E1595"/>
      <c r="F1595"/>
      <c r="G1595"/>
      <c r="H1595"/>
      <c r="I1595"/>
      <c r="J1595"/>
      <c r="K1595"/>
      <c r="L1595"/>
      <c r="M1595"/>
      <c r="N1595"/>
      <c r="O1595"/>
      <c r="P1595" s="233">
        <f t="shared" si="36"/>
        <v>0</v>
      </c>
      <c r="Q1595" s="233"/>
    </row>
    <row r="1596" spans="4:17" ht="15.75">
      <c r="D1596"/>
      <c r="E1596"/>
      <c r="F1596"/>
      <c r="G1596"/>
      <c r="H1596"/>
      <c r="I1596"/>
      <c r="J1596"/>
      <c r="K1596"/>
      <c r="L1596"/>
      <c r="M1596"/>
      <c r="N1596"/>
      <c r="O1596"/>
      <c r="P1596" s="233">
        <f t="shared" si="36"/>
        <v>0</v>
      </c>
      <c r="Q1596" s="233"/>
    </row>
    <row r="1597" spans="4:17" ht="15.75">
      <c r="D1597"/>
      <c r="E1597"/>
      <c r="F1597"/>
      <c r="G1597"/>
      <c r="H1597"/>
      <c r="I1597"/>
      <c r="J1597"/>
      <c r="K1597"/>
      <c r="L1597"/>
      <c r="M1597"/>
      <c r="N1597"/>
      <c r="O1597"/>
      <c r="P1597" s="233">
        <f t="shared" si="36"/>
        <v>0</v>
      </c>
      <c r="Q1597" s="233"/>
    </row>
    <row r="1598" spans="4:17" ht="15.75">
      <c r="D1598"/>
      <c r="E1598"/>
      <c r="F1598"/>
      <c r="G1598"/>
      <c r="H1598"/>
      <c r="I1598"/>
      <c r="J1598"/>
      <c r="K1598"/>
      <c r="L1598"/>
      <c r="M1598"/>
      <c r="N1598"/>
      <c r="O1598"/>
      <c r="P1598" s="233">
        <f t="shared" si="36"/>
        <v>0</v>
      </c>
      <c r="Q1598" s="233"/>
    </row>
    <row r="1599" spans="4:17" ht="15.75">
      <c r="D1599"/>
      <c r="E1599"/>
      <c r="F1599"/>
      <c r="G1599"/>
      <c r="H1599"/>
      <c r="I1599"/>
      <c r="J1599"/>
      <c r="K1599"/>
      <c r="L1599"/>
      <c r="M1599"/>
      <c r="N1599"/>
      <c r="O1599"/>
      <c r="P1599" s="233">
        <f t="shared" si="36"/>
        <v>0</v>
      </c>
      <c r="Q1599" s="233"/>
    </row>
    <row r="1600" spans="4:17" ht="15.75">
      <c r="D1600"/>
      <c r="E1600"/>
      <c r="F1600"/>
      <c r="G1600"/>
      <c r="H1600"/>
      <c r="I1600"/>
      <c r="J1600"/>
      <c r="K1600"/>
      <c r="L1600"/>
      <c r="M1600"/>
      <c r="N1600"/>
      <c r="O1600"/>
      <c r="P1600" s="233">
        <f t="shared" si="36"/>
        <v>0</v>
      </c>
      <c r="Q1600" s="233"/>
    </row>
    <row r="1601" spans="4:17" ht="15.75">
      <c r="D1601"/>
      <c r="E1601"/>
      <c r="F1601"/>
      <c r="G1601"/>
      <c r="H1601"/>
      <c r="I1601"/>
      <c r="J1601"/>
      <c r="K1601"/>
      <c r="L1601"/>
      <c r="M1601"/>
      <c r="N1601"/>
      <c r="O1601"/>
      <c r="P1601" s="233">
        <f t="shared" si="36"/>
        <v>0</v>
      </c>
      <c r="Q1601" s="233"/>
    </row>
    <row r="1602" spans="4:17" ht="15.75">
      <c r="D1602"/>
      <c r="E1602"/>
      <c r="F1602"/>
      <c r="G1602"/>
      <c r="H1602"/>
      <c r="I1602"/>
      <c r="J1602"/>
      <c r="K1602"/>
      <c r="L1602"/>
      <c r="M1602"/>
      <c r="N1602"/>
      <c r="O1602"/>
      <c r="P1602" s="233">
        <f t="shared" si="36"/>
        <v>0</v>
      </c>
      <c r="Q1602" s="233"/>
    </row>
    <row r="1603" spans="4:17" ht="15.75">
      <c r="D1603"/>
      <c r="E1603"/>
      <c r="F1603"/>
      <c r="G1603"/>
      <c r="H1603"/>
      <c r="I1603"/>
      <c r="J1603"/>
      <c r="K1603"/>
      <c r="L1603"/>
      <c r="M1603"/>
      <c r="N1603"/>
      <c r="O1603"/>
      <c r="P1603" s="233">
        <f t="shared" si="36"/>
        <v>0</v>
      </c>
      <c r="Q1603" s="233"/>
    </row>
    <row r="1604" spans="4:17" ht="15.75">
      <c r="D1604"/>
      <c r="E1604"/>
      <c r="F1604"/>
      <c r="G1604"/>
      <c r="H1604"/>
      <c r="I1604"/>
      <c r="J1604"/>
      <c r="K1604"/>
      <c r="L1604"/>
      <c r="M1604"/>
      <c r="N1604"/>
      <c r="O1604"/>
      <c r="P1604" s="233">
        <f t="shared" si="36"/>
        <v>0</v>
      </c>
      <c r="Q1604" s="233"/>
    </row>
    <row r="1605" spans="4:17" ht="15.75">
      <c r="D1605"/>
      <c r="E1605"/>
      <c r="F1605"/>
      <c r="G1605"/>
      <c r="H1605"/>
      <c r="I1605"/>
      <c r="J1605"/>
      <c r="K1605"/>
      <c r="L1605"/>
      <c r="M1605"/>
      <c r="N1605"/>
      <c r="O1605"/>
      <c r="P1605" s="233">
        <f t="shared" si="36"/>
        <v>0</v>
      </c>
      <c r="Q1605" s="233"/>
    </row>
    <row r="1606" spans="4:17" ht="15.75">
      <c r="D1606"/>
      <c r="E1606"/>
      <c r="F1606"/>
      <c r="G1606"/>
      <c r="H1606"/>
      <c r="I1606"/>
      <c r="J1606"/>
      <c r="K1606"/>
      <c r="L1606"/>
      <c r="M1606"/>
      <c r="N1606"/>
      <c r="O1606"/>
      <c r="P1606" s="233">
        <f t="shared" si="36"/>
        <v>0</v>
      </c>
      <c r="Q1606" s="233"/>
    </row>
    <row r="1607" spans="4:17" ht="15.75">
      <c r="D1607"/>
      <c r="E1607"/>
      <c r="F1607"/>
      <c r="G1607"/>
      <c r="H1607"/>
      <c r="I1607"/>
      <c r="J1607"/>
      <c r="K1607"/>
      <c r="L1607"/>
      <c r="M1607"/>
      <c r="N1607"/>
      <c r="O1607"/>
      <c r="P1607" s="233">
        <f t="shared" si="36"/>
        <v>0</v>
      </c>
      <c r="Q1607" s="233"/>
    </row>
    <row r="1608" spans="4:17" ht="15.75">
      <c r="D1608"/>
      <c r="E1608"/>
      <c r="F1608"/>
      <c r="G1608"/>
      <c r="H1608"/>
      <c r="I1608"/>
      <c r="J1608"/>
      <c r="K1608"/>
      <c r="L1608"/>
      <c r="M1608"/>
      <c r="N1608"/>
      <c r="O1608"/>
      <c r="P1608" s="233">
        <f t="shared" si="36"/>
        <v>0</v>
      </c>
      <c r="Q1608" s="233"/>
    </row>
    <row r="1609" spans="4:17" ht="15.75">
      <c r="D1609"/>
      <c r="E1609"/>
      <c r="F1609"/>
      <c r="G1609"/>
      <c r="H1609"/>
      <c r="I1609"/>
      <c r="J1609"/>
      <c r="K1609"/>
      <c r="L1609"/>
      <c r="M1609"/>
      <c r="N1609"/>
      <c r="O1609"/>
      <c r="P1609" s="233">
        <f t="shared" si="36"/>
        <v>0</v>
      </c>
      <c r="Q1609" s="233"/>
    </row>
    <row r="1610" spans="4:17" ht="15.75">
      <c r="D1610"/>
      <c r="E1610"/>
      <c r="F1610"/>
      <c r="G1610"/>
      <c r="H1610"/>
      <c r="I1610"/>
      <c r="J1610"/>
      <c r="K1610"/>
      <c r="L1610"/>
      <c r="M1610"/>
      <c r="N1610"/>
      <c r="O1610"/>
      <c r="P1610" s="233">
        <f t="shared" si="36"/>
        <v>0</v>
      </c>
      <c r="Q1610" s="233"/>
    </row>
    <row r="1611" spans="4:17" ht="15.75">
      <c r="D1611"/>
      <c r="E1611"/>
      <c r="F1611"/>
      <c r="G1611"/>
      <c r="H1611"/>
      <c r="I1611"/>
      <c r="J1611"/>
      <c r="K1611"/>
      <c r="L1611"/>
      <c r="M1611"/>
      <c r="N1611"/>
      <c r="O1611"/>
      <c r="P1611" s="233">
        <f t="shared" si="36"/>
        <v>0</v>
      </c>
      <c r="Q1611" s="233"/>
    </row>
    <row r="1612" spans="4:17" ht="15.75">
      <c r="D1612"/>
      <c r="E1612"/>
      <c r="F1612"/>
      <c r="G1612"/>
      <c r="H1612"/>
      <c r="I1612"/>
      <c r="J1612"/>
      <c r="K1612"/>
      <c r="L1612"/>
      <c r="M1612"/>
      <c r="N1612"/>
      <c r="O1612"/>
      <c r="P1612" s="233">
        <f t="shared" si="36"/>
        <v>0</v>
      </c>
      <c r="Q1612" s="233"/>
    </row>
    <row r="1613" spans="4:17" ht="15.75">
      <c r="D1613"/>
      <c r="E1613"/>
      <c r="F1613"/>
      <c r="G1613"/>
      <c r="H1613"/>
      <c r="I1613"/>
      <c r="J1613"/>
      <c r="K1613"/>
      <c r="L1613"/>
      <c r="M1613"/>
      <c r="N1613"/>
      <c r="O1613"/>
      <c r="P1613" s="233">
        <f t="shared" si="36"/>
        <v>0</v>
      </c>
      <c r="Q1613" s="233"/>
    </row>
    <row r="1614" spans="4:17" ht="15.75">
      <c r="D1614"/>
      <c r="E1614"/>
      <c r="F1614"/>
      <c r="G1614"/>
      <c r="H1614"/>
      <c r="I1614"/>
      <c r="J1614"/>
      <c r="K1614"/>
      <c r="L1614"/>
      <c r="M1614"/>
      <c r="N1614"/>
      <c r="O1614"/>
      <c r="P1614" s="233">
        <f t="shared" ref="P1614:P1677" si="37">IF(ISNUMBER(Q1614),Q1614,0)</f>
        <v>0</v>
      </c>
      <c r="Q1614" s="233"/>
    </row>
    <row r="1615" spans="4:17" ht="15.75">
      <c r="D1615"/>
      <c r="E1615"/>
      <c r="F1615"/>
      <c r="G1615"/>
      <c r="H1615"/>
      <c r="I1615"/>
      <c r="J1615"/>
      <c r="K1615"/>
      <c r="L1615"/>
      <c r="M1615"/>
      <c r="N1615"/>
      <c r="O1615"/>
      <c r="P1615" s="233">
        <f t="shared" si="37"/>
        <v>0</v>
      </c>
      <c r="Q1615" s="233"/>
    </row>
    <row r="1616" spans="4:17" ht="15.75">
      <c r="D1616"/>
      <c r="E1616"/>
      <c r="F1616"/>
      <c r="G1616"/>
      <c r="H1616"/>
      <c r="I1616"/>
      <c r="J1616"/>
      <c r="K1616"/>
      <c r="L1616"/>
      <c r="M1616"/>
      <c r="N1616"/>
      <c r="O1616"/>
      <c r="P1616" s="233">
        <f t="shared" si="37"/>
        <v>0</v>
      </c>
      <c r="Q1616" s="233"/>
    </row>
    <row r="1617" spans="4:17" ht="15.75">
      <c r="D1617"/>
      <c r="E1617"/>
      <c r="F1617"/>
      <c r="G1617"/>
      <c r="H1617"/>
      <c r="I1617"/>
      <c r="J1617"/>
      <c r="K1617"/>
      <c r="L1617"/>
      <c r="M1617"/>
      <c r="N1617"/>
      <c r="O1617"/>
      <c r="P1617" s="233">
        <f t="shared" si="37"/>
        <v>0</v>
      </c>
      <c r="Q1617" s="233"/>
    </row>
    <row r="1618" spans="4:17" ht="15.75">
      <c r="D1618"/>
      <c r="E1618"/>
      <c r="F1618"/>
      <c r="G1618"/>
      <c r="H1618"/>
      <c r="I1618"/>
      <c r="J1618"/>
      <c r="K1618"/>
      <c r="L1618"/>
      <c r="M1618"/>
      <c r="N1618"/>
      <c r="O1618"/>
      <c r="P1618" s="233">
        <f t="shared" si="37"/>
        <v>0</v>
      </c>
      <c r="Q1618" s="233"/>
    </row>
    <row r="1619" spans="4:17" ht="15.75">
      <c r="D1619"/>
      <c r="E1619"/>
      <c r="F1619"/>
      <c r="G1619"/>
      <c r="H1619"/>
      <c r="I1619"/>
      <c r="J1619"/>
      <c r="K1619"/>
      <c r="L1619"/>
      <c r="M1619"/>
      <c r="N1619"/>
      <c r="O1619"/>
      <c r="P1619" s="233">
        <f t="shared" si="37"/>
        <v>0</v>
      </c>
      <c r="Q1619" s="233"/>
    </row>
    <row r="1620" spans="4:17" ht="15.75">
      <c r="D1620"/>
      <c r="E1620"/>
      <c r="F1620"/>
      <c r="G1620"/>
      <c r="H1620"/>
      <c r="I1620"/>
      <c r="J1620"/>
      <c r="K1620"/>
      <c r="L1620"/>
      <c r="M1620"/>
      <c r="N1620"/>
      <c r="O1620"/>
      <c r="P1620" s="233">
        <f t="shared" si="37"/>
        <v>0</v>
      </c>
      <c r="Q1620" s="233"/>
    </row>
    <row r="1621" spans="4:17" ht="15.75">
      <c r="D1621"/>
      <c r="E1621"/>
      <c r="F1621"/>
      <c r="G1621"/>
      <c r="H1621"/>
      <c r="I1621"/>
      <c r="J1621"/>
      <c r="K1621"/>
      <c r="L1621"/>
      <c r="M1621"/>
      <c r="N1621"/>
      <c r="O1621"/>
      <c r="P1621" s="233">
        <f t="shared" si="37"/>
        <v>0</v>
      </c>
      <c r="Q1621" s="233"/>
    </row>
    <row r="1622" spans="4:17" ht="15.75">
      <c r="D1622"/>
      <c r="E1622"/>
      <c r="F1622"/>
      <c r="G1622"/>
      <c r="H1622"/>
      <c r="I1622"/>
      <c r="J1622"/>
      <c r="K1622"/>
      <c r="L1622"/>
      <c r="M1622"/>
      <c r="N1622"/>
      <c r="O1622"/>
      <c r="P1622" s="233">
        <f t="shared" si="37"/>
        <v>0</v>
      </c>
      <c r="Q1622" s="233"/>
    </row>
    <row r="1623" spans="4:17" ht="15.75">
      <c r="D1623"/>
      <c r="E1623"/>
      <c r="F1623"/>
      <c r="G1623"/>
      <c r="H1623"/>
      <c r="I1623"/>
      <c r="J1623"/>
      <c r="K1623"/>
      <c r="L1623"/>
      <c r="M1623"/>
      <c r="N1623"/>
      <c r="O1623"/>
      <c r="P1623" s="233">
        <f t="shared" si="37"/>
        <v>0</v>
      </c>
      <c r="Q1623" s="233"/>
    </row>
    <row r="1624" spans="4:17" ht="15.75">
      <c r="D1624"/>
      <c r="E1624"/>
      <c r="F1624"/>
      <c r="G1624"/>
      <c r="H1624"/>
      <c r="I1624"/>
      <c r="J1624"/>
      <c r="K1624"/>
      <c r="L1624"/>
      <c r="M1624"/>
      <c r="N1624"/>
      <c r="O1624"/>
      <c r="P1624" s="233">
        <f t="shared" si="37"/>
        <v>0</v>
      </c>
      <c r="Q1624" s="233"/>
    </row>
    <row r="1625" spans="4:17" ht="15.75">
      <c r="D1625"/>
      <c r="E1625"/>
      <c r="F1625"/>
      <c r="G1625"/>
      <c r="H1625"/>
      <c r="I1625"/>
      <c r="J1625"/>
      <c r="K1625"/>
      <c r="L1625"/>
      <c r="M1625"/>
      <c r="N1625"/>
      <c r="O1625"/>
      <c r="P1625" s="233">
        <f t="shared" si="37"/>
        <v>0</v>
      </c>
      <c r="Q1625" s="233"/>
    </row>
    <row r="1626" spans="4:17" ht="15.75">
      <c r="D1626"/>
      <c r="E1626"/>
      <c r="F1626"/>
      <c r="G1626"/>
      <c r="H1626"/>
      <c r="I1626"/>
      <c r="J1626"/>
      <c r="K1626"/>
      <c r="L1626"/>
      <c r="M1626"/>
      <c r="N1626"/>
      <c r="O1626"/>
      <c r="P1626" s="233">
        <f t="shared" si="37"/>
        <v>0</v>
      </c>
      <c r="Q1626" s="233"/>
    </row>
    <row r="1627" spans="4:17" ht="15.75">
      <c r="D1627"/>
      <c r="E1627"/>
      <c r="F1627"/>
      <c r="G1627"/>
      <c r="H1627"/>
      <c r="I1627"/>
      <c r="J1627"/>
      <c r="K1627"/>
      <c r="L1627"/>
      <c r="M1627"/>
      <c r="N1627"/>
      <c r="O1627"/>
      <c r="P1627" s="233">
        <f t="shared" si="37"/>
        <v>0</v>
      </c>
      <c r="Q1627" s="233"/>
    </row>
    <row r="1628" spans="4:17" ht="15.75">
      <c r="D1628"/>
      <c r="E1628"/>
      <c r="F1628"/>
      <c r="G1628"/>
      <c r="H1628"/>
      <c r="I1628"/>
      <c r="J1628"/>
      <c r="K1628"/>
      <c r="L1628"/>
      <c r="M1628"/>
      <c r="N1628"/>
      <c r="O1628"/>
      <c r="P1628" s="233">
        <f t="shared" si="37"/>
        <v>0</v>
      </c>
      <c r="Q1628" s="233"/>
    </row>
    <row r="1629" spans="4:17" ht="15.75">
      <c r="D1629"/>
      <c r="E1629"/>
      <c r="F1629"/>
      <c r="G1629"/>
      <c r="H1629"/>
      <c r="I1629"/>
      <c r="J1629"/>
      <c r="K1629"/>
      <c r="L1629"/>
      <c r="M1629"/>
      <c r="N1629"/>
      <c r="O1629"/>
      <c r="P1629" s="233">
        <f t="shared" si="37"/>
        <v>0</v>
      </c>
      <c r="Q1629" s="233"/>
    </row>
    <row r="1630" spans="4:17" ht="15.75">
      <c r="D1630"/>
      <c r="E1630"/>
      <c r="F1630"/>
      <c r="G1630"/>
      <c r="H1630"/>
      <c r="I1630"/>
      <c r="J1630"/>
      <c r="K1630"/>
      <c r="L1630"/>
      <c r="M1630"/>
      <c r="N1630"/>
      <c r="O1630"/>
      <c r="P1630" s="233">
        <f t="shared" si="37"/>
        <v>0</v>
      </c>
      <c r="Q1630" s="233"/>
    </row>
    <row r="1631" spans="4:17" ht="15.75">
      <c r="D1631"/>
      <c r="E1631"/>
      <c r="F1631"/>
      <c r="G1631"/>
      <c r="H1631"/>
      <c r="I1631"/>
      <c r="J1631"/>
      <c r="K1631"/>
      <c r="L1631"/>
      <c r="M1631"/>
      <c r="N1631"/>
      <c r="O1631"/>
      <c r="P1631" s="233">
        <f t="shared" si="37"/>
        <v>0</v>
      </c>
      <c r="Q1631" s="233"/>
    </row>
    <row r="1632" spans="4:17" ht="15.75">
      <c r="D1632"/>
      <c r="E1632"/>
      <c r="F1632"/>
      <c r="G1632"/>
      <c r="H1632"/>
      <c r="I1632"/>
      <c r="J1632"/>
      <c r="K1632"/>
      <c r="L1632"/>
      <c r="M1632"/>
      <c r="N1632"/>
      <c r="O1632"/>
      <c r="P1632" s="233">
        <f t="shared" si="37"/>
        <v>0</v>
      </c>
      <c r="Q1632" s="233"/>
    </row>
    <row r="1633" spans="4:17" ht="15.75">
      <c r="D1633"/>
      <c r="E1633"/>
      <c r="F1633"/>
      <c r="G1633"/>
      <c r="H1633"/>
      <c r="I1633"/>
      <c r="J1633"/>
      <c r="K1633"/>
      <c r="L1633"/>
      <c r="M1633"/>
      <c r="N1633"/>
      <c r="O1633"/>
      <c r="P1633" s="233">
        <f t="shared" si="37"/>
        <v>0</v>
      </c>
      <c r="Q1633" s="233"/>
    </row>
    <row r="1634" spans="4:17" ht="15.75">
      <c r="D1634"/>
      <c r="E1634"/>
      <c r="F1634"/>
      <c r="G1634"/>
      <c r="H1634"/>
      <c r="I1634"/>
      <c r="J1634"/>
      <c r="K1634"/>
      <c r="L1634"/>
      <c r="M1634"/>
      <c r="N1634"/>
      <c r="O1634"/>
      <c r="P1634" s="233">
        <f t="shared" si="37"/>
        <v>0</v>
      </c>
      <c r="Q1634" s="233"/>
    </row>
    <row r="1635" spans="4:17" ht="15.75">
      <c r="D1635"/>
      <c r="E1635"/>
      <c r="F1635"/>
      <c r="G1635"/>
      <c r="H1635"/>
      <c r="I1635"/>
      <c r="J1635"/>
      <c r="K1635"/>
      <c r="L1635"/>
      <c r="M1635"/>
      <c r="N1635"/>
      <c r="O1635"/>
      <c r="P1635" s="233">
        <f t="shared" si="37"/>
        <v>0</v>
      </c>
      <c r="Q1635" s="233"/>
    </row>
    <row r="1636" spans="4:17" ht="15.75">
      <c r="D1636"/>
      <c r="E1636"/>
      <c r="F1636"/>
      <c r="G1636"/>
      <c r="H1636"/>
      <c r="I1636"/>
      <c r="J1636"/>
      <c r="K1636"/>
      <c r="L1636"/>
      <c r="M1636"/>
      <c r="N1636"/>
      <c r="O1636"/>
      <c r="P1636" s="233">
        <f t="shared" si="37"/>
        <v>0</v>
      </c>
      <c r="Q1636" s="233"/>
    </row>
    <row r="1637" spans="4:17" ht="15.75">
      <c r="D1637"/>
      <c r="E1637"/>
      <c r="F1637"/>
      <c r="G1637"/>
      <c r="H1637"/>
      <c r="I1637"/>
      <c r="J1637"/>
      <c r="K1637"/>
      <c r="L1637"/>
      <c r="M1637"/>
      <c r="N1637"/>
      <c r="O1637"/>
      <c r="P1637" s="233">
        <f t="shared" si="37"/>
        <v>0</v>
      </c>
      <c r="Q1637" s="233"/>
    </row>
    <row r="1638" spans="4:17" ht="15.75">
      <c r="D1638"/>
      <c r="E1638"/>
      <c r="F1638"/>
      <c r="G1638"/>
      <c r="H1638"/>
      <c r="I1638"/>
      <c r="J1638"/>
      <c r="K1638"/>
      <c r="L1638"/>
      <c r="M1638"/>
      <c r="N1638"/>
      <c r="O1638"/>
      <c r="P1638" s="233">
        <f t="shared" si="37"/>
        <v>0</v>
      </c>
      <c r="Q1638" s="233"/>
    </row>
    <row r="1639" spans="4:17" ht="15.75">
      <c r="D1639"/>
      <c r="E1639"/>
      <c r="F1639"/>
      <c r="G1639"/>
      <c r="H1639"/>
      <c r="I1639"/>
      <c r="J1639"/>
      <c r="K1639"/>
      <c r="L1639"/>
      <c r="M1639"/>
      <c r="N1639"/>
      <c r="O1639"/>
      <c r="P1639" s="233">
        <f t="shared" si="37"/>
        <v>0</v>
      </c>
      <c r="Q1639" s="233"/>
    </row>
    <row r="1640" spans="4:17" ht="15.75">
      <c r="D1640"/>
      <c r="E1640"/>
      <c r="F1640"/>
      <c r="G1640"/>
      <c r="H1640"/>
      <c r="I1640"/>
      <c r="J1640"/>
      <c r="K1640"/>
      <c r="L1640"/>
      <c r="M1640"/>
      <c r="N1640"/>
      <c r="O1640"/>
      <c r="P1640" s="233">
        <f t="shared" si="37"/>
        <v>0</v>
      </c>
      <c r="Q1640" s="233"/>
    </row>
    <row r="1641" spans="4:17" ht="15.75">
      <c r="D1641"/>
      <c r="E1641"/>
      <c r="F1641"/>
      <c r="G1641"/>
      <c r="H1641"/>
      <c r="I1641"/>
      <c r="J1641"/>
      <c r="K1641"/>
      <c r="L1641"/>
      <c r="M1641"/>
      <c r="N1641"/>
      <c r="O1641"/>
      <c r="P1641" s="233">
        <f t="shared" si="37"/>
        <v>0</v>
      </c>
      <c r="Q1641" s="233"/>
    </row>
    <row r="1642" spans="4:17" ht="15.75">
      <c r="D1642"/>
      <c r="E1642"/>
      <c r="F1642"/>
      <c r="G1642"/>
      <c r="H1642"/>
      <c r="I1642"/>
      <c r="J1642"/>
      <c r="K1642"/>
      <c r="L1642"/>
      <c r="M1642"/>
      <c r="N1642"/>
      <c r="O1642"/>
      <c r="P1642" s="233">
        <f t="shared" si="37"/>
        <v>0</v>
      </c>
      <c r="Q1642" s="233"/>
    </row>
    <row r="1643" spans="4:17" ht="15.75">
      <c r="D1643"/>
      <c r="E1643"/>
      <c r="F1643"/>
      <c r="G1643"/>
      <c r="H1643"/>
      <c r="I1643"/>
      <c r="J1643"/>
      <c r="K1643"/>
      <c r="L1643"/>
      <c r="M1643"/>
      <c r="N1643"/>
      <c r="O1643"/>
      <c r="P1643" s="233">
        <f t="shared" si="37"/>
        <v>0</v>
      </c>
      <c r="Q1643" s="233"/>
    </row>
    <row r="1644" spans="4:17" ht="15.75">
      <c r="D1644"/>
      <c r="E1644"/>
      <c r="F1644"/>
      <c r="G1644"/>
      <c r="H1644"/>
      <c r="I1644"/>
      <c r="J1644"/>
      <c r="K1644"/>
      <c r="L1644"/>
      <c r="M1644"/>
      <c r="N1644"/>
      <c r="O1644"/>
      <c r="P1644" s="233">
        <f t="shared" si="37"/>
        <v>0</v>
      </c>
      <c r="Q1644" s="233"/>
    </row>
    <row r="1645" spans="4:17" ht="15.75">
      <c r="D1645"/>
      <c r="E1645"/>
      <c r="F1645"/>
      <c r="G1645"/>
      <c r="H1645"/>
      <c r="I1645"/>
      <c r="J1645"/>
      <c r="K1645"/>
      <c r="L1645"/>
      <c r="M1645"/>
      <c r="N1645"/>
      <c r="O1645"/>
      <c r="P1645" s="233">
        <f t="shared" si="37"/>
        <v>0</v>
      </c>
      <c r="Q1645" s="233"/>
    </row>
    <row r="1646" spans="4:17" ht="15.75">
      <c r="D1646"/>
      <c r="E1646"/>
      <c r="F1646"/>
      <c r="G1646"/>
      <c r="H1646"/>
      <c r="I1646"/>
      <c r="J1646"/>
      <c r="K1646"/>
      <c r="L1646"/>
      <c r="M1646"/>
      <c r="N1646"/>
      <c r="O1646"/>
      <c r="P1646" s="233">
        <f t="shared" si="37"/>
        <v>0</v>
      </c>
      <c r="Q1646" s="233"/>
    </row>
    <row r="1647" spans="4:17" ht="15.75">
      <c r="D1647"/>
      <c r="E1647"/>
      <c r="F1647"/>
      <c r="G1647"/>
      <c r="H1647"/>
      <c r="I1647"/>
      <c r="J1647"/>
      <c r="K1647"/>
      <c r="L1647"/>
      <c r="M1647"/>
      <c r="N1647"/>
      <c r="O1647"/>
      <c r="P1647" s="233">
        <f t="shared" si="37"/>
        <v>0</v>
      </c>
      <c r="Q1647" s="233"/>
    </row>
    <row r="1648" spans="4:17" ht="15.75">
      <c r="D1648"/>
      <c r="E1648"/>
      <c r="F1648"/>
      <c r="G1648"/>
      <c r="H1648"/>
      <c r="I1648"/>
      <c r="J1648"/>
      <c r="K1648"/>
      <c r="L1648"/>
      <c r="M1648"/>
      <c r="N1648"/>
      <c r="O1648"/>
      <c r="P1648" s="233">
        <f t="shared" si="37"/>
        <v>0</v>
      </c>
      <c r="Q1648" s="233"/>
    </row>
    <row r="1649" spans="4:17" ht="15.75">
      <c r="D1649"/>
      <c r="E1649"/>
      <c r="F1649"/>
      <c r="G1649"/>
      <c r="H1649"/>
      <c r="I1649"/>
      <c r="J1649"/>
      <c r="K1649"/>
      <c r="L1649"/>
      <c r="M1649"/>
      <c r="N1649"/>
      <c r="O1649"/>
      <c r="P1649" s="233">
        <f t="shared" si="37"/>
        <v>0</v>
      </c>
      <c r="Q1649" s="233"/>
    </row>
    <row r="1650" spans="4:17" ht="15.75">
      <c r="D1650"/>
      <c r="E1650"/>
      <c r="F1650"/>
      <c r="G1650"/>
      <c r="H1650"/>
      <c r="I1650"/>
      <c r="J1650"/>
      <c r="K1650"/>
      <c r="L1650"/>
      <c r="M1650"/>
      <c r="N1650"/>
      <c r="O1650"/>
      <c r="P1650" s="233">
        <f t="shared" si="37"/>
        <v>0</v>
      </c>
      <c r="Q1650" s="233"/>
    </row>
    <row r="1651" spans="4:17" ht="15.75">
      <c r="D1651"/>
      <c r="E1651"/>
      <c r="F1651"/>
      <c r="G1651"/>
      <c r="H1651"/>
      <c r="I1651"/>
      <c r="J1651"/>
      <c r="K1651"/>
      <c r="L1651"/>
      <c r="M1651"/>
      <c r="N1651"/>
      <c r="O1651"/>
      <c r="P1651" s="233">
        <f t="shared" si="37"/>
        <v>0</v>
      </c>
      <c r="Q1651" s="233"/>
    </row>
    <row r="1652" spans="4:17" ht="15.75">
      <c r="D1652"/>
      <c r="E1652"/>
      <c r="F1652"/>
      <c r="G1652"/>
      <c r="H1652"/>
      <c r="I1652"/>
      <c r="J1652"/>
      <c r="K1652"/>
      <c r="L1652"/>
      <c r="M1652"/>
      <c r="N1652"/>
      <c r="O1652"/>
      <c r="P1652" s="233">
        <f t="shared" si="37"/>
        <v>0</v>
      </c>
      <c r="Q1652" s="233"/>
    </row>
    <row r="1653" spans="4:17" ht="15.75">
      <c r="D1653"/>
      <c r="E1653"/>
      <c r="F1653"/>
      <c r="G1653"/>
      <c r="H1653"/>
      <c r="I1653"/>
      <c r="J1653"/>
      <c r="K1653"/>
      <c r="L1653"/>
      <c r="M1653"/>
      <c r="N1653"/>
      <c r="O1653"/>
      <c r="P1653" s="233">
        <f t="shared" si="37"/>
        <v>0</v>
      </c>
      <c r="Q1653" s="233"/>
    </row>
    <row r="1654" spans="4:17" ht="15.75">
      <c r="D1654"/>
      <c r="E1654"/>
      <c r="F1654"/>
      <c r="G1654"/>
      <c r="H1654"/>
      <c r="I1654"/>
      <c r="J1654"/>
      <c r="K1654"/>
      <c r="L1654"/>
      <c r="M1654"/>
      <c r="N1654"/>
      <c r="O1654"/>
      <c r="P1654" s="233">
        <f t="shared" si="37"/>
        <v>0</v>
      </c>
      <c r="Q1654" s="233"/>
    </row>
    <row r="1655" spans="4:17" ht="15.75">
      <c r="D1655"/>
      <c r="E1655"/>
      <c r="F1655"/>
      <c r="G1655"/>
      <c r="H1655"/>
      <c r="I1655"/>
      <c r="J1655"/>
      <c r="K1655"/>
      <c r="L1655"/>
      <c r="M1655"/>
      <c r="N1655"/>
      <c r="O1655"/>
      <c r="P1655" s="233">
        <f t="shared" si="37"/>
        <v>0</v>
      </c>
      <c r="Q1655" s="233"/>
    </row>
    <row r="1656" spans="4:17" ht="15.75">
      <c r="D1656"/>
      <c r="E1656"/>
      <c r="F1656"/>
      <c r="G1656"/>
      <c r="H1656"/>
      <c r="I1656"/>
      <c r="J1656"/>
      <c r="K1656"/>
      <c r="L1656"/>
      <c r="M1656"/>
      <c r="N1656"/>
      <c r="O1656"/>
      <c r="P1656" s="233">
        <f t="shared" si="37"/>
        <v>0</v>
      </c>
      <c r="Q1656" s="233"/>
    </row>
    <row r="1657" spans="4:17" ht="15.75">
      <c r="D1657"/>
      <c r="E1657"/>
      <c r="F1657"/>
      <c r="G1657"/>
      <c r="H1657"/>
      <c r="I1657"/>
      <c r="J1657"/>
      <c r="K1657"/>
      <c r="L1657"/>
      <c r="M1657"/>
      <c r="N1657"/>
      <c r="O1657"/>
      <c r="P1657" s="233">
        <f t="shared" si="37"/>
        <v>0</v>
      </c>
      <c r="Q1657" s="233"/>
    </row>
    <row r="1658" spans="4:17" ht="15.75">
      <c r="D1658"/>
      <c r="E1658"/>
      <c r="F1658"/>
      <c r="G1658"/>
      <c r="H1658"/>
      <c r="I1658"/>
      <c r="J1658"/>
      <c r="K1658"/>
      <c r="L1658"/>
      <c r="M1658"/>
      <c r="N1658"/>
      <c r="O1658"/>
      <c r="P1658" s="233">
        <f t="shared" si="37"/>
        <v>0</v>
      </c>
      <c r="Q1658" s="233"/>
    </row>
    <row r="1659" spans="4:17" ht="15.75">
      <c r="D1659"/>
      <c r="E1659"/>
      <c r="F1659"/>
      <c r="G1659"/>
      <c r="H1659"/>
      <c r="I1659"/>
      <c r="J1659"/>
      <c r="K1659"/>
      <c r="L1659"/>
      <c r="M1659"/>
      <c r="N1659"/>
      <c r="O1659"/>
      <c r="P1659" s="233">
        <f t="shared" si="37"/>
        <v>0</v>
      </c>
      <c r="Q1659" s="233"/>
    </row>
    <row r="1660" spans="4:17" ht="15.75">
      <c r="D1660"/>
      <c r="E1660"/>
      <c r="F1660"/>
      <c r="G1660"/>
      <c r="H1660"/>
      <c r="I1660"/>
      <c r="J1660"/>
      <c r="K1660"/>
      <c r="L1660"/>
      <c r="M1660"/>
      <c r="N1660"/>
      <c r="O1660"/>
      <c r="P1660" s="233">
        <f t="shared" si="37"/>
        <v>0</v>
      </c>
      <c r="Q1660" s="233"/>
    </row>
    <row r="1661" spans="4:17" ht="15.75">
      <c r="D1661"/>
      <c r="E1661"/>
      <c r="F1661"/>
      <c r="G1661"/>
      <c r="H1661"/>
      <c r="I1661"/>
      <c r="J1661"/>
      <c r="K1661"/>
      <c r="L1661"/>
      <c r="M1661"/>
      <c r="N1661"/>
      <c r="O1661"/>
      <c r="P1661" s="233">
        <f t="shared" si="37"/>
        <v>0</v>
      </c>
      <c r="Q1661" s="233"/>
    </row>
    <row r="1662" spans="4:17" ht="15.75">
      <c r="D1662"/>
      <c r="E1662"/>
      <c r="F1662"/>
      <c r="G1662"/>
      <c r="H1662"/>
      <c r="I1662"/>
      <c r="J1662"/>
      <c r="K1662"/>
      <c r="L1662"/>
      <c r="M1662"/>
      <c r="N1662"/>
      <c r="O1662"/>
      <c r="P1662" s="233">
        <f t="shared" si="37"/>
        <v>0</v>
      </c>
      <c r="Q1662" s="233"/>
    </row>
    <row r="1663" spans="4:17" ht="15.75">
      <c r="D1663"/>
      <c r="E1663"/>
      <c r="F1663"/>
      <c r="G1663"/>
      <c r="H1663"/>
      <c r="I1663"/>
      <c r="J1663"/>
      <c r="K1663"/>
      <c r="L1663"/>
      <c r="M1663"/>
      <c r="N1663"/>
      <c r="O1663"/>
      <c r="P1663" s="233">
        <f t="shared" si="37"/>
        <v>0</v>
      </c>
      <c r="Q1663" s="233"/>
    </row>
    <row r="1664" spans="4:17" ht="15.75">
      <c r="D1664"/>
      <c r="E1664"/>
      <c r="F1664"/>
      <c r="G1664"/>
      <c r="H1664"/>
      <c r="I1664"/>
      <c r="J1664"/>
      <c r="K1664"/>
      <c r="L1664"/>
      <c r="M1664"/>
      <c r="N1664"/>
      <c r="O1664"/>
      <c r="P1664" s="233">
        <f t="shared" si="37"/>
        <v>0</v>
      </c>
      <c r="Q1664" s="233"/>
    </row>
    <row r="1665" spans="4:17" ht="15.75">
      <c r="D1665"/>
      <c r="E1665"/>
      <c r="F1665"/>
      <c r="G1665"/>
      <c r="H1665"/>
      <c r="I1665"/>
      <c r="J1665"/>
      <c r="K1665"/>
      <c r="L1665"/>
      <c r="M1665"/>
      <c r="N1665"/>
      <c r="O1665"/>
      <c r="P1665" s="233">
        <f t="shared" si="37"/>
        <v>0</v>
      </c>
      <c r="Q1665" s="233"/>
    </row>
    <row r="1666" spans="4:17" ht="15.75">
      <c r="D1666"/>
      <c r="E1666"/>
      <c r="F1666"/>
      <c r="G1666"/>
      <c r="H1666"/>
      <c r="I1666"/>
      <c r="J1666"/>
      <c r="K1666"/>
      <c r="L1666"/>
      <c r="M1666"/>
      <c r="N1666"/>
      <c r="O1666"/>
      <c r="P1666" s="233">
        <f t="shared" si="37"/>
        <v>0</v>
      </c>
      <c r="Q1666" s="233"/>
    </row>
    <row r="1667" spans="4:17" ht="15.75">
      <c r="D1667"/>
      <c r="E1667"/>
      <c r="F1667"/>
      <c r="G1667"/>
      <c r="H1667"/>
      <c r="I1667"/>
      <c r="J1667"/>
      <c r="K1667"/>
      <c r="L1667"/>
      <c r="M1667"/>
      <c r="N1667"/>
      <c r="O1667"/>
      <c r="P1667" s="233">
        <f t="shared" si="37"/>
        <v>0</v>
      </c>
      <c r="Q1667" s="233"/>
    </row>
    <row r="1668" spans="4:17" ht="15.75">
      <c r="D1668"/>
      <c r="E1668"/>
      <c r="F1668"/>
      <c r="G1668"/>
      <c r="H1668"/>
      <c r="I1668"/>
      <c r="J1668"/>
      <c r="K1668"/>
      <c r="L1668"/>
      <c r="M1668"/>
      <c r="N1668"/>
      <c r="O1668"/>
      <c r="P1668" s="233">
        <f t="shared" si="37"/>
        <v>0</v>
      </c>
      <c r="Q1668" s="233"/>
    </row>
    <row r="1669" spans="4:17" ht="15.75">
      <c r="D1669"/>
      <c r="E1669"/>
      <c r="F1669"/>
      <c r="G1669"/>
      <c r="H1669"/>
      <c r="I1669"/>
      <c r="J1669"/>
      <c r="K1669"/>
      <c r="L1669"/>
      <c r="M1669"/>
      <c r="N1669"/>
      <c r="O1669"/>
      <c r="P1669" s="233">
        <f t="shared" si="37"/>
        <v>0</v>
      </c>
      <c r="Q1669" s="233"/>
    </row>
    <row r="1670" spans="4:17" ht="15.75">
      <c r="D1670"/>
      <c r="E1670"/>
      <c r="F1670"/>
      <c r="G1670"/>
      <c r="H1670"/>
      <c r="I1670"/>
      <c r="J1670"/>
      <c r="K1670"/>
      <c r="L1670"/>
      <c r="M1670"/>
      <c r="N1670"/>
      <c r="O1670"/>
      <c r="P1670" s="233">
        <f t="shared" si="37"/>
        <v>0</v>
      </c>
      <c r="Q1670" s="233"/>
    </row>
    <row r="1671" spans="4:17" ht="15.75">
      <c r="D1671"/>
      <c r="E1671"/>
      <c r="F1671"/>
      <c r="G1671"/>
      <c r="H1671"/>
      <c r="I1671"/>
      <c r="J1671"/>
      <c r="K1671"/>
      <c r="L1671"/>
      <c r="M1671"/>
      <c r="N1671"/>
      <c r="O1671"/>
      <c r="P1671" s="233">
        <f t="shared" si="37"/>
        <v>0</v>
      </c>
      <c r="Q1671" s="233"/>
    </row>
    <row r="1672" spans="4:17" ht="15.75">
      <c r="D1672"/>
      <c r="E1672"/>
      <c r="F1672"/>
      <c r="G1672"/>
      <c r="H1672"/>
      <c r="I1672"/>
      <c r="J1672"/>
      <c r="K1672"/>
      <c r="L1672"/>
      <c r="M1672"/>
      <c r="N1672"/>
      <c r="O1672"/>
      <c r="P1672" s="233">
        <f t="shared" si="37"/>
        <v>0</v>
      </c>
      <c r="Q1672" s="233"/>
    </row>
    <row r="1673" spans="4:17" ht="15.75">
      <c r="D1673"/>
      <c r="E1673"/>
      <c r="F1673"/>
      <c r="G1673"/>
      <c r="H1673"/>
      <c r="I1673"/>
      <c r="J1673"/>
      <c r="K1673"/>
      <c r="L1673"/>
      <c r="M1673"/>
      <c r="N1673"/>
      <c r="O1673"/>
      <c r="P1673" s="233">
        <f t="shared" si="37"/>
        <v>0</v>
      </c>
      <c r="Q1673" s="233"/>
    </row>
    <row r="1674" spans="4:17" ht="15.75">
      <c r="D1674"/>
      <c r="E1674"/>
      <c r="F1674"/>
      <c r="G1674"/>
      <c r="H1674"/>
      <c r="I1674"/>
      <c r="J1674"/>
      <c r="K1674"/>
      <c r="L1674"/>
      <c r="M1674"/>
      <c r="N1674"/>
      <c r="O1674"/>
      <c r="P1674" s="233">
        <f t="shared" si="37"/>
        <v>0</v>
      </c>
      <c r="Q1674" s="233"/>
    </row>
    <row r="1675" spans="4:17" ht="15.75">
      <c r="D1675"/>
      <c r="E1675"/>
      <c r="F1675"/>
      <c r="G1675"/>
      <c r="H1675"/>
      <c r="I1675"/>
      <c r="J1675"/>
      <c r="K1675"/>
      <c r="L1675"/>
      <c r="M1675"/>
      <c r="N1675"/>
      <c r="O1675"/>
      <c r="P1675" s="233">
        <f t="shared" si="37"/>
        <v>0</v>
      </c>
      <c r="Q1675" s="233"/>
    </row>
    <row r="1676" spans="4:17" ht="15.75">
      <c r="D1676"/>
      <c r="E1676"/>
      <c r="F1676"/>
      <c r="G1676"/>
      <c r="H1676"/>
      <c r="I1676"/>
      <c r="J1676"/>
      <c r="K1676"/>
      <c r="L1676"/>
      <c r="M1676"/>
      <c r="N1676"/>
      <c r="O1676"/>
      <c r="P1676" s="233">
        <f t="shared" si="37"/>
        <v>0</v>
      </c>
      <c r="Q1676" s="233"/>
    </row>
    <row r="1677" spans="4:17" ht="15.75">
      <c r="D1677"/>
      <c r="E1677"/>
      <c r="F1677"/>
      <c r="G1677"/>
      <c r="H1677"/>
      <c r="I1677"/>
      <c r="J1677"/>
      <c r="K1677"/>
      <c r="L1677"/>
      <c r="M1677"/>
      <c r="N1677"/>
      <c r="O1677"/>
      <c r="P1677" s="233">
        <f t="shared" si="37"/>
        <v>0</v>
      </c>
      <c r="Q1677" s="233"/>
    </row>
    <row r="1678" spans="4:17" ht="15.75">
      <c r="D1678"/>
      <c r="E1678"/>
      <c r="F1678"/>
      <c r="G1678"/>
      <c r="H1678"/>
      <c r="I1678"/>
      <c r="J1678"/>
      <c r="K1678"/>
      <c r="L1678"/>
      <c r="M1678"/>
      <c r="N1678"/>
      <c r="O1678"/>
      <c r="P1678" s="233">
        <f t="shared" ref="P1678:P1732" si="38">IF(ISNUMBER(Q1678),Q1678,0)</f>
        <v>0</v>
      </c>
      <c r="Q1678" s="233"/>
    </row>
    <row r="1679" spans="4:17" ht="15.75">
      <c r="D1679"/>
      <c r="E1679"/>
      <c r="F1679"/>
      <c r="G1679"/>
      <c r="H1679"/>
      <c r="I1679"/>
      <c r="J1679"/>
      <c r="K1679"/>
      <c r="L1679"/>
      <c r="M1679"/>
      <c r="N1679"/>
      <c r="O1679"/>
      <c r="P1679" s="233">
        <f t="shared" si="38"/>
        <v>0</v>
      </c>
      <c r="Q1679" s="233"/>
    </row>
    <row r="1680" spans="4:17" ht="15.75">
      <c r="D1680"/>
      <c r="E1680"/>
      <c r="F1680"/>
      <c r="G1680"/>
      <c r="H1680"/>
      <c r="I1680"/>
      <c r="J1680"/>
      <c r="K1680"/>
      <c r="L1680"/>
      <c r="M1680"/>
      <c r="N1680"/>
      <c r="O1680"/>
      <c r="P1680" s="233">
        <f t="shared" si="38"/>
        <v>0</v>
      </c>
      <c r="Q1680" s="233"/>
    </row>
    <row r="1681" spans="4:17" ht="15.75">
      <c r="D1681"/>
      <c r="E1681"/>
      <c r="F1681"/>
      <c r="G1681"/>
      <c r="H1681"/>
      <c r="I1681"/>
      <c r="J1681"/>
      <c r="K1681"/>
      <c r="L1681"/>
      <c r="M1681"/>
      <c r="N1681"/>
      <c r="O1681"/>
      <c r="P1681" s="233">
        <f t="shared" si="38"/>
        <v>0</v>
      </c>
      <c r="Q1681" s="233"/>
    </row>
    <row r="1682" spans="4:17" ht="15.75">
      <c r="D1682"/>
      <c r="E1682"/>
      <c r="F1682"/>
      <c r="G1682"/>
      <c r="H1682"/>
      <c r="I1682"/>
      <c r="J1682"/>
      <c r="K1682"/>
      <c r="L1682"/>
      <c r="M1682"/>
      <c r="N1682"/>
      <c r="O1682"/>
      <c r="P1682" s="233">
        <f t="shared" si="38"/>
        <v>0</v>
      </c>
      <c r="Q1682" s="233"/>
    </row>
    <row r="1683" spans="4:17" ht="15.75">
      <c r="D1683"/>
      <c r="E1683"/>
      <c r="F1683"/>
      <c r="G1683"/>
      <c r="H1683"/>
      <c r="I1683"/>
      <c r="J1683"/>
      <c r="K1683"/>
      <c r="L1683"/>
      <c r="M1683"/>
      <c r="N1683"/>
      <c r="O1683"/>
      <c r="P1683" s="233">
        <f t="shared" si="38"/>
        <v>0</v>
      </c>
      <c r="Q1683" s="233"/>
    </row>
    <row r="1684" spans="4:17" ht="15.75">
      <c r="D1684"/>
      <c r="E1684"/>
      <c r="F1684"/>
      <c r="G1684"/>
      <c r="H1684"/>
      <c r="I1684"/>
      <c r="J1684"/>
      <c r="K1684"/>
      <c r="L1684"/>
      <c r="M1684"/>
      <c r="N1684"/>
      <c r="O1684"/>
      <c r="P1684" s="233">
        <f t="shared" si="38"/>
        <v>0</v>
      </c>
      <c r="Q1684" s="233"/>
    </row>
    <row r="1685" spans="4:17" ht="15.75">
      <c r="D1685"/>
      <c r="E1685"/>
      <c r="F1685"/>
      <c r="G1685"/>
      <c r="H1685"/>
      <c r="I1685"/>
      <c r="J1685"/>
      <c r="K1685"/>
      <c r="L1685"/>
      <c r="M1685"/>
      <c r="N1685"/>
      <c r="O1685"/>
      <c r="P1685" s="233">
        <f t="shared" si="38"/>
        <v>0</v>
      </c>
      <c r="Q1685" s="233"/>
    </row>
    <row r="1686" spans="4:17" ht="15.75">
      <c r="D1686"/>
      <c r="E1686"/>
      <c r="F1686"/>
      <c r="G1686"/>
      <c r="H1686"/>
      <c r="I1686"/>
      <c r="J1686"/>
      <c r="K1686"/>
      <c r="L1686"/>
      <c r="M1686"/>
      <c r="N1686"/>
      <c r="O1686"/>
      <c r="P1686" s="233">
        <f t="shared" si="38"/>
        <v>0</v>
      </c>
      <c r="Q1686" s="233"/>
    </row>
    <row r="1687" spans="4:17" ht="15.75">
      <c r="D1687"/>
      <c r="E1687"/>
      <c r="F1687"/>
      <c r="G1687"/>
      <c r="H1687"/>
      <c r="I1687"/>
      <c r="J1687"/>
      <c r="K1687"/>
      <c r="L1687"/>
      <c r="M1687"/>
      <c r="N1687"/>
      <c r="O1687"/>
      <c r="P1687" s="233">
        <f t="shared" si="38"/>
        <v>0</v>
      </c>
      <c r="Q1687" s="233"/>
    </row>
    <row r="1688" spans="4:17" ht="15.75">
      <c r="D1688"/>
      <c r="E1688"/>
      <c r="F1688"/>
      <c r="G1688"/>
      <c r="H1688"/>
      <c r="I1688"/>
      <c r="J1688"/>
      <c r="K1688"/>
      <c r="L1688"/>
      <c r="M1688"/>
      <c r="N1688"/>
      <c r="O1688"/>
      <c r="P1688" s="233">
        <f t="shared" si="38"/>
        <v>0</v>
      </c>
      <c r="Q1688" s="233"/>
    </row>
    <row r="1689" spans="4:17" ht="15.75">
      <c r="D1689"/>
      <c r="E1689"/>
      <c r="F1689"/>
      <c r="G1689"/>
      <c r="H1689"/>
      <c r="I1689"/>
      <c r="J1689"/>
      <c r="K1689"/>
      <c r="L1689"/>
      <c r="M1689"/>
      <c r="N1689"/>
      <c r="O1689"/>
      <c r="P1689" s="233">
        <f t="shared" si="38"/>
        <v>0</v>
      </c>
      <c r="Q1689" s="233"/>
    </row>
    <row r="1690" spans="4:17" ht="15.75">
      <c r="D1690"/>
      <c r="E1690"/>
      <c r="F1690"/>
      <c r="G1690"/>
      <c r="H1690"/>
      <c r="I1690"/>
      <c r="J1690"/>
      <c r="K1690"/>
      <c r="L1690"/>
      <c r="M1690"/>
      <c r="N1690"/>
      <c r="O1690"/>
      <c r="P1690" s="233">
        <f t="shared" si="38"/>
        <v>0</v>
      </c>
      <c r="Q1690" s="233"/>
    </row>
    <row r="1691" spans="4:17" ht="15.75">
      <c r="D1691"/>
      <c r="E1691"/>
      <c r="F1691"/>
      <c r="G1691"/>
      <c r="H1691"/>
      <c r="I1691"/>
      <c r="J1691"/>
      <c r="K1691"/>
      <c r="L1691"/>
      <c r="M1691"/>
      <c r="N1691"/>
      <c r="O1691"/>
      <c r="P1691" s="233">
        <f t="shared" si="38"/>
        <v>0</v>
      </c>
      <c r="Q1691" s="233"/>
    </row>
    <row r="1692" spans="4:17" ht="15.75">
      <c r="D1692"/>
      <c r="E1692"/>
      <c r="F1692"/>
      <c r="G1692"/>
      <c r="H1692"/>
      <c r="I1692"/>
      <c r="J1692"/>
      <c r="K1692"/>
      <c r="L1692"/>
      <c r="M1692"/>
      <c r="N1692"/>
      <c r="O1692"/>
      <c r="P1692" s="233">
        <f t="shared" si="38"/>
        <v>0</v>
      </c>
      <c r="Q1692" s="233"/>
    </row>
    <row r="1693" spans="4:17" ht="15.75">
      <c r="D1693"/>
      <c r="E1693"/>
      <c r="F1693"/>
      <c r="G1693"/>
      <c r="H1693"/>
      <c r="I1693"/>
      <c r="J1693"/>
      <c r="K1693"/>
      <c r="L1693"/>
      <c r="M1693"/>
      <c r="N1693"/>
      <c r="O1693"/>
      <c r="P1693" s="233">
        <f t="shared" si="38"/>
        <v>0</v>
      </c>
      <c r="Q1693" s="233"/>
    </row>
    <row r="1694" spans="4:17" ht="15.75">
      <c r="D1694"/>
      <c r="E1694"/>
      <c r="F1694"/>
      <c r="G1694"/>
      <c r="H1694"/>
      <c r="I1694"/>
      <c r="J1694"/>
      <c r="K1694"/>
      <c r="L1694"/>
      <c r="M1694"/>
      <c r="N1694"/>
      <c r="O1694"/>
      <c r="P1694" s="233">
        <f t="shared" si="38"/>
        <v>0</v>
      </c>
      <c r="Q1694" s="233"/>
    </row>
    <row r="1695" spans="4:17" ht="15.75">
      <c r="D1695"/>
      <c r="E1695"/>
      <c r="F1695"/>
      <c r="G1695"/>
      <c r="H1695"/>
      <c r="I1695"/>
      <c r="J1695"/>
      <c r="K1695"/>
      <c r="L1695"/>
      <c r="M1695"/>
      <c r="N1695"/>
      <c r="O1695"/>
      <c r="P1695" s="233">
        <f t="shared" si="38"/>
        <v>0</v>
      </c>
      <c r="Q1695" s="233"/>
    </row>
    <row r="1696" spans="4:17" ht="15.75">
      <c r="D1696"/>
      <c r="E1696"/>
      <c r="F1696"/>
      <c r="G1696"/>
      <c r="H1696"/>
      <c r="I1696"/>
      <c r="J1696"/>
      <c r="K1696"/>
      <c r="L1696"/>
      <c r="M1696"/>
      <c r="N1696"/>
      <c r="O1696"/>
      <c r="P1696" s="233">
        <f t="shared" si="38"/>
        <v>0</v>
      </c>
      <c r="Q1696" s="233"/>
    </row>
    <row r="1697" spans="4:17" ht="15.75">
      <c r="D1697"/>
      <c r="E1697"/>
      <c r="F1697"/>
      <c r="G1697"/>
      <c r="H1697"/>
      <c r="I1697"/>
      <c r="J1697"/>
      <c r="K1697"/>
      <c r="L1697"/>
      <c r="M1697"/>
      <c r="N1697"/>
      <c r="O1697"/>
      <c r="P1697" s="233">
        <f t="shared" si="38"/>
        <v>0</v>
      </c>
      <c r="Q1697" s="233"/>
    </row>
    <row r="1698" spans="4:17" ht="15.75">
      <c r="D1698"/>
      <c r="E1698"/>
      <c r="F1698"/>
      <c r="G1698"/>
      <c r="H1698"/>
      <c r="I1698"/>
      <c r="J1698"/>
      <c r="K1698"/>
      <c r="L1698"/>
      <c r="M1698"/>
      <c r="N1698"/>
      <c r="O1698"/>
      <c r="P1698" s="233">
        <f t="shared" si="38"/>
        <v>0</v>
      </c>
      <c r="Q1698" s="233"/>
    </row>
    <row r="1699" spans="4:17" ht="15.75">
      <c r="D1699"/>
      <c r="E1699"/>
      <c r="F1699"/>
      <c r="G1699"/>
      <c r="H1699"/>
      <c r="I1699"/>
      <c r="J1699"/>
      <c r="K1699"/>
      <c r="L1699"/>
      <c r="M1699"/>
      <c r="N1699"/>
      <c r="O1699"/>
      <c r="P1699" s="233">
        <f t="shared" si="38"/>
        <v>0</v>
      </c>
      <c r="Q1699" s="233"/>
    </row>
    <row r="1700" spans="4:17" ht="15.75">
      <c r="D1700"/>
      <c r="E1700"/>
      <c r="F1700"/>
      <c r="G1700"/>
      <c r="H1700"/>
      <c r="I1700"/>
      <c r="J1700"/>
      <c r="K1700"/>
      <c r="L1700"/>
      <c r="M1700"/>
      <c r="N1700"/>
      <c r="O1700"/>
      <c r="P1700" s="233">
        <f t="shared" si="38"/>
        <v>0</v>
      </c>
      <c r="Q1700" s="233"/>
    </row>
    <row r="1701" spans="4:17" ht="15.75">
      <c r="D1701"/>
      <c r="E1701"/>
      <c r="F1701"/>
      <c r="G1701"/>
      <c r="H1701"/>
      <c r="I1701"/>
      <c r="J1701"/>
      <c r="K1701"/>
      <c r="L1701"/>
      <c r="M1701"/>
      <c r="N1701"/>
      <c r="O1701"/>
      <c r="P1701" s="233">
        <f t="shared" si="38"/>
        <v>0</v>
      </c>
      <c r="Q1701" s="233"/>
    </row>
    <row r="1702" spans="4:17" ht="15.75">
      <c r="D1702"/>
      <c r="E1702"/>
      <c r="F1702"/>
      <c r="G1702"/>
      <c r="H1702"/>
      <c r="I1702"/>
      <c r="J1702"/>
      <c r="K1702"/>
      <c r="L1702"/>
      <c r="M1702"/>
      <c r="N1702"/>
      <c r="O1702"/>
      <c r="P1702" s="233">
        <f t="shared" si="38"/>
        <v>0</v>
      </c>
      <c r="Q1702" s="233"/>
    </row>
    <row r="1703" spans="4:17" ht="15.75">
      <c r="D1703"/>
      <c r="E1703"/>
      <c r="F1703"/>
      <c r="G1703"/>
      <c r="H1703"/>
      <c r="I1703"/>
      <c r="J1703"/>
      <c r="K1703"/>
      <c r="L1703"/>
      <c r="M1703"/>
      <c r="N1703"/>
      <c r="O1703"/>
      <c r="P1703" s="233">
        <f t="shared" si="38"/>
        <v>0</v>
      </c>
      <c r="Q1703" s="233"/>
    </row>
    <row r="1704" spans="4:17" ht="15.75">
      <c r="D1704"/>
      <c r="E1704"/>
      <c r="F1704"/>
      <c r="G1704"/>
      <c r="H1704"/>
      <c r="I1704"/>
      <c r="J1704"/>
      <c r="K1704"/>
      <c r="L1704"/>
      <c r="M1704"/>
      <c r="N1704"/>
      <c r="O1704"/>
      <c r="P1704" s="233">
        <f t="shared" si="38"/>
        <v>0</v>
      </c>
      <c r="Q1704" s="233"/>
    </row>
    <row r="1705" spans="4:17" ht="15.75">
      <c r="D1705"/>
      <c r="E1705"/>
      <c r="F1705"/>
      <c r="G1705"/>
      <c r="H1705"/>
      <c r="I1705"/>
      <c r="J1705"/>
      <c r="K1705"/>
      <c r="L1705"/>
      <c r="M1705"/>
      <c r="N1705"/>
      <c r="O1705"/>
      <c r="P1705" s="233">
        <f t="shared" si="38"/>
        <v>0</v>
      </c>
      <c r="Q1705" s="233"/>
    </row>
    <row r="1706" spans="4:17" ht="15.75">
      <c r="D1706"/>
      <c r="E1706"/>
      <c r="F1706"/>
      <c r="G1706"/>
      <c r="H1706"/>
      <c r="I1706"/>
      <c r="J1706"/>
      <c r="K1706"/>
      <c r="L1706"/>
      <c r="M1706"/>
      <c r="N1706"/>
      <c r="O1706"/>
      <c r="P1706" s="233">
        <f t="shared" si="38"/>
        <v>0</v>
      </c>
      <c r="Q1706" s="233"/>
    </row>
    <row r="1707" spans="4:17" ht="15.75">
      <c r="D1707"/>
      <c r="E1707"/>
      <c r="F1707"/>
      <c r="G1707"/>
      <c r="H1707"/>
      <c r="I1707"/>
      <c r="J1707"/>
      <c r="K1707"/>
      <c r="L1707"/>
      <c r="M1707"/>
      <c r="N1707"/>
      <c r="O1707"/>
      <c r="P1707" s="233">
        <f t="shared" si="38"/>
        <v>0</v>
      </c>
      <c r="Q1707" s="233"/>
    </row>
    <row r="1708" spans="4:17" ht="15.75">
      <c r="D1708"/>
      <c r="E1708"/>
      <c r="F1708"/>
      <c r="G1708"/>
      <c r="H1708"/>
      <c r="I1708"/>
      <c r="J1708"/>
      <c r="K1708"/>
      <c r="L1708"/>
      <c r="M1708"/>
      <c r="N1708"/>
      <c r="O1708"/>
      <c r="P1708" s="233">
        <f t="shared" si="38"/>
        <v>0</v>
      </c>
      <c r="Q1708" s="233"/>
    </row>
    <row r="1709" spans="4:17" ht="15.75">
      <c r="D1709"/>
      <c r="E1709"/>
      <c r="F1709"/>
      <c r="G1709"/>
      <c r="H1709"/>
      <c r="I1709"/>
      <c r="J1709"/>
      <c r="K1709"/>
      <c r="L1709"/>
      <c r="M1709"/>
      <c r="N1709"/>
      <c r="O1709"/>
      <c r="P1709" s="233">
        <f t="shared" si="38"/>
        <v>0</v>
      </c>
      <c r="Q1709" s="233"/>
    </row>
    <row r="1710" spans="4:17" ht="15.75">
      <c r="D1710"/>
      <c r="E1710"/>
      <c r="F1710"/>
      <c r="G1710"/>
      <c r="H1710"/>
      <c r="I1710"/>
      <c r="J1710"/>
      <c r="K1710"/>
      <c r="L1710"/>
      <c r="M1710"/>
      <c r="N1710"/>
      <c r="O1710"/>
      <c r="P1710" s="233">
        <f t="shared" si="38"/>
        <v>0</v>
      </c>
      <c r="Q1710" s="233"/>
    </row>
    <row r="1711" spans="4:17" ht="15.75">
      <c r="D1711"/>
      <c r="E1711"/>
      <c r="F1711"/>
      <c r="G1711"/>
      <c r="H1711"/>
      <c r="I1711"/>
      <c r="J1711"/>
      <c r="K1711"/>
      <c r="L1711"/>
      <c r="M1711"/>
      <c r="N1711"/>
      <c r="O1711"/>
      <c r="P1711" s="233">
        <f t="shared" si="38"/>
        <v>0</v>
      </c>
      <c r="Q1711" s="233"/>
    </row>
    <row r="1712" spans="4:17" ht="15.75">
      <c r="D1712"/>
      <c r="E1712"/>
      <c r="F1712"/>
      <c r="G1712"/>
      <c r="H1712"/>
      <c r="I1712"/>
      <c r="J1712"/>
      <c r="K1712"/>
      <c r="L1712"/>
      <c r="M1712"/>
      <c r="N1712"/>
      <c r="O1712"/>
      <c r="P1712" s="233">
        <f t="shared" si="38"/>
        <v>0</v>
      </c>
      <c r="Q1712" s="233"/>
    </row>
    <row r="1713" spans="1:17" ht="15.75">
      <c r="D1713"/>
      <c r="E1713"/>
      <c r="F1713"/>
      <c r="G1713"/>
      <c r="H1713"/>
      <c r="I1713"/>
      <c r="J1713"/>
      <c r="K1713"/>
      <c r="L1713"/>
      <c r="M1713"/>
      <c r="N1713"/>
      <c r="O1713"/>
      <c r="P1713" s="233">
        <f t="shared" si="38"/>
        <v>0</v>
      </c>
      <c r="Q1713" s="233"/>
    </row>
    <row r="1714" spans="1:17" ht="15.75">
      <c r="D1714"/>
      <c r="E1714"/>
      <c r="F1714"/>
      <c r="G1714"/>
      <c r="H1714"/>
      <c r="I1714"/>
      <c r="J1714"/>
      <c r="K1714"/>
      <c r="L1714"/>
      <c r="M1714"/>
      <c r="N1714"/>
      <c r="O1714"/>
      <c r="P1714" s="233">
        <f t="shared" si="38"/>
        <v>0</v>
      </c>
      <c r="Q1714" s="233"/>
    </row>
    <row r="1715" spans="1:17" ht="15.75">
      <c r="D1715"/>
      <c r="E1715"/>
      <c r="F1715"/>
      <c r="G1715"/>
      <c r="H1715"/>
      <c r="I1715"/>
      <c r="J1715"/>
      <c r="K1715"/>
      <c r="L1715"/>
      <c r="M1715"/>
      <c r="N1715"/>
      <c r="O1715"/>
      <c r="P1715" s="233">
        <f t="shared" si="38"/>
        <v>0</v>
      </c>
      <c r="Q1715" s="233"/>
    </row>
    <row r="1716" spans="1:17" ht="15.75">
      <c r="D1716"/>
      <c r="E1716"/>
      <c r="F1716"/>
      <c r="G1716"/>
      <c r="H1716"/>
      <c r="I1716"/>
      <c r="J1716"/>
      <c r="K1716"/>
      <c r="L1716"/>
      <c r="M1716"/>
      <c r="N1716"/>
      <c r="O1716"/>
      <c r="P1716" s="233">
        <f t="shared" si="38"/>
        <v>0</v>
      </c>
      <c r="Q1716" s="233"/>
    </row>
    <row r="1717" spans="1:17" ht="15.75">
      <c r="D1717"/>
      <c r="E1717"/>
      <c r="F1717"/>
      <c r="G1717"/>
      <c r="H1717"/>
      <c r="I1717"/>
      <c r="J1717"/>
      <c r="K1717"/>
      <c r="L1717"/>
      <c r="M1717"/>
      <c r="N1717"/>
      <c r="O1717"/>
      <c r="P1717" s="233">
        <f t="shared" si="38"/>
        <v>0</v>
      </c>
      <c r="Q1717" s="233"/>
    </row>
    <row r="1718" spans="1:17" ht="15.75">
      <c r="D1718"/>
      <c r="E1718"/>
      <c r="F1718"/>
      <c r="G1718"/>
      <c r="H1718"/>
      <c r="I1718"/>
      <c r="J1718"/>
      <c r="K1718"/>
      <c r="L1718"/>
      <c r="M1718"/>
      <c r="N1718"/>
      <c r="O1718"/>
      <c r="P1718" s="233">
        <f t="shared" si="38"/>
        <v>0</v>
      </c>
      <c r="Q1718" s="233"/>
    </row>
    <row r="1719" spans="1:17" ht="15.75">
      <c r="D1719"/>
      <c r="E1719"/>
      <c r="F1719"/>
      <c r="G1719"/>
      <c r="H1719"/>
      <c r="I1719"/>
      <c r="J1719"/>
      <c r="K1719"/>
      <c r="L1719"/>
      <c r="M1719"/>
      <c r="N1719"/>
      <c r="O1719"/>
      <c r="P1719" s="233">
        <f t="shared" si="38"/>
        <v>0</v>
      </c>
      <c r="Q1719" s="233"/>
    </row>
    <row r="1720" spans="1:17" ht="15.75">
      <c r="D1720"/>
      <c r="E1720"/>
      <c r="F1720"/>
      <c r="G1720"/>
      <c r="H1720"/>
      <c r="I1720"/>
      <c r="J1720"/>
      <c r="K1720"/>
      <c r="L1720"/>
      <c r="M1720"/>
      <c r="N1720"/>
      <c r="O1720"/>
      <c r="P1720" s="233">
        <f t="shared" si="38"/>
        <v>0</v>
      </c>
      <c r="Q1720" s="233"/>
    </row>
    <row r="1721" spans="1:17" ht="15.75">
      <c r="D1721"/>
      <c r="E1721"/>
      <c r="F1721"/>
      <c r="G1721"/>
      <c r="H1721"/>
      <c r="I1721"/>
      <c r="J1721"/>
      <c r="K1721"/>
      <c r="L1721"/>
      <c r="M1721"/>
      <c r="N1721"/>
      <c r="O1721"/>
      <c r="P1721" s="233">
        <f t="shared" si="38"/>
        <v>0</v>
      </c>
      <c r="Q1721" s="233"/>
    </row>
    <row r="1722" spans="1:17" ht="15.75">
      <c r="D1722"/>
      <c r="E1722"/>
      <c r="F1722"/>
      <c r="G1722"/>
      <c r="H1722"/>
      <c r="I1722"/>
      <c r="J1722"/>
      <c r="K1722"/>
      <c r="L1722"/>
      <c r="M1722"/>
      <c r="N1722"/>
      <c r="O1722"/>
      <c r="P1722" s="233">
        <f t="shared" si="38"/>
        <v>0</v>
      </c>
      <c r="Q1722" s="233"/>
    </row>
    <row r="1723" spans="1:17" ht="15.75">
      <c r="D1723"/>
      <c r="E1723"/>
      <c r="F1723"/>
      <c r="G1723"/>
      <c r="H1723"/>
      <c r="I1723"/>
      <c r="J1723"/>
      <c r="K1723"/>
      <c r="L1723"/>
      <c r="M1723"/>
      <c r="N1723"/>
      <c r="O1723"/>
      <c r="P1723" s="233">
        <f t="shared" si="38"/>
        <v>0</v>
      </c>
      <c r="Q1723" s="233"/>
    </row>
    <row r="1724" spans="1:17" ht="15.75">
      <c r="D1724"/>
      <c r="E1724"/>
      <c r="F1724"/>
      <c r="G1724"/>
      <c r="H1724"/>
      <c r="I1724"/>
      <c r="J1724"/>
      <c r="K1724"/>
      <c r="L1724"/>
      <c r="M1724"/>
      <c r="N1724"/>
      <c r="O1724"/>
      <c r="P1724" s="233">
        <f t="shared" si="38"/>
        <v>0</v>
      </c>
      <c r="Q1724" s="233"/>
    </row>
    <row r="1725" spans="1:17" ht="15.75">
      <c r="D1725"/>
      <c r="E1725"/>
      <c r="F1725"/>
      <c r="G1725"/>
      <c r="H1725"/>
      <c r="I1725"/>
      <c r="J1725"/>
      <c r="K1725"/>
      <c r="L1725"/>
      <c r="M1725"/>
      <c r="N1725"/>
      <c r="O1725"/>
      <c r="P1725" s="233">
        <f t="shared" si="38"/>
        <v>0</v>
      </c>
      <c r="Q1725" s="233"/>
    </row>
    <row r="1726" spans="1:17" ht="15.75">
      <c r="D1726"/>
      <c r="E1726"/>
      <c r="F1726"/>
      <c r="G1726"/>
      <c r="H1726"/>
      <c r="I1726"/>
      <c r="J1726"/>
      <c r="K1726"/>
      <c r="L1726"/>
      <c r="M1726"/>
      <c r="N1726"/>
      <c r="O1726"/>
      <c r="P1726" s="233">
        <f t="shared" si="38"/>
        <v>0</v>
      </c>
      <c r="Q1726" s="247"/>
    </row>
    <row r="1727" spans="1:17">
      <c r="A1727" s="9" t="s">
        <v>829</v>
      </c>
      <c r="B1727" t="s">
        <v>846</v>
      </c>
      <c r="C1727" s="9" t="s">
        <v>1775</v>
      </c>
      <c r="D1727">
        <v>1</v>
      </c>
      <c r="E1727">
        <v>1</v>
      </c>
      <c r="F1727">
        <v>35</v>
      </c>
      <c r="G1727">
        <v>999</v>
      </c>
      <c r="H1727">
        <v>999</v>
      </c>
      <c r="I1727">
        <v>1</v>
      </c>
      <c r="J1727">
        <v>1</v>
      </c>
      <c r="K1727">
        <v>9</v>
      </c>
      <c r="L1727">
        <v>99</v>
      </c>
      <c r="M1727">
        <v>1</v>
      </c>
      <c r="N1727">
        <v>3</v>
      </c>
      <c r="O1727" s="14">
        <v>99999</v>
      </c>
      <c r="P1727" s="233">
        <f t="shared" si="38"/>
        <v>0</v>
      </c>
      <c r="Q1727" s="233">
        <f>'Rede Básica + Ajuste'!D9</f>
        <v>0</v>
      </c>
    </row>
    <row r="1728" spans="1:17">
      <c r="A1728" s="9" t="s">
        <v>829</v>
      </c>
      <c r="B1728" t="s">
        <v>846</v>
      </c>
      <c r="C1728" s="9" t="s">
        <v>1776</v>
      </c>
      <c r="D1728">
        <v>1</v>
      </c>
      <c r="E1728">
        <v>1</v>
      </c>
      <c r="F1728">
        <v>35</v>
      </c>
      <c r="G1728">
        <v>999</v>
      </c>
      <c r="H1728">
        <v>999</v>
      </c>
      <c r="I1728">
        <v>1</v>
      </c>
      <c r="J1728">
        <v>1</v>
      </c>
      <c r="K1728">
        <v>9</v>
      </c>
      <c r="L1728">
        <v>99</v>
      </c>
      <c r="M1728">
        <v>3</v>
      </c>
      <c r="N1728">
        <v>3</v>
      </c>
      <c r="O1728" s="14">
        <v>99999</v>
      </c>
      <c r="P1728" s="233">
        <f t="shared" si="38"/>
        <v>0</v>
      </c>
      <c r="Q1728" s="233">
        <f>'Rede Básica + Ajuste'!D10</f>
        <v>0</v>
      </c>
    </row>
    <row r="1729" spans="1:17">
      <c r="A1729" s="9" t="s">
        <v>829</v>
      </c>
      <c r="B1729" t="s">
        <v>846</v>
      </c>
      <c r="C1729" s="9" t="s">
        <v>1777</v>
      </c>
      <c r="D1729">
        <v>1</v>
      </c>
      <c r="E1729">
        <v>1</v>
      </c>
      <c r="F1729">
        <v>35</v>
      </c>
      <c r="G1729">
        <v>999</v>
      </c>
      <c r="H1729">
        <v>999</v>
      </c>
      <c r="I1729">
        <v>1</v>
      </c>
      <c r="J1729">
        <v>2</v>
      </c>
      <c r="K1729">
        <v>9</v>
      </c>
      <c r="L1729">
        <v>99</v>
      </c>
      <c r="M1729">
        <v>1</v>
      </c>
      <c r="N1729">
        <v>3</v>
      </c>
      <c r="O1729" s="14">
        <v>99999</v>
      </c>
      <c r="P1729" s="233">
        <f t="shared" si="38"/>
        <v>0</v>
      </c>
      <c r="Q1729" s="233">
        <f>'Rede Básica + Ajuste'!E9</f>
        <v>0</v>
      </c>
    </row>
    <row r="1730" spans="1:17">
      <c r="A1730" s="9" t="s">
        <v>829</v>
      </c>
      <c r="B1730" t="s">
        <v>846</v>
      </c>
      <c r="C1730" s="9" t="s">
        <v>1778</v>
      </c>
      <c r="D1730">
        <v>1</v>
      </c>
      <c r="E1730">
        <v>1</v>
      </c>
      <c r="F1730">
        <v>35</v>
      </c>
      <c r="G1730">
        <v>999</v>
      </c>
      <c r="H1730">
        <v>999</v>
      </c>
      <c r="I1730">
        <v>1</v>
      </c>
      <c r="J1730">
        <v>2</v>
      </c>
      <c r="K1730">
        <v>9</v>
      </c>
      <c r="L1730">
        <v>99</v>
      </c>
      <c r="M1730">
        <v>3</v>
      </c>
      <c r="N1730">
        <v>3</v>
      </c>
      <c r="O1730" s="14">
        <v>99999</v>
      </c>
      <c r="P1730" s="233">
        <f t="shared" si="38"/>
        <v>0</v>
      </c>
      <c r="Q1730" s="233">
        <f>'Rede Básica + Ajuste'!E10</f>
        <v>0</v>
      </c>
    </row>
    <row r="1731" spans="1:17">
      <c r="A1731" s="9" t="s">
        <v>829</v>
      </c>
      <c r="B1731" t="s">
        <v>846</v>
      </c>
      <c r="C1731" s="9" t="s">
        <v>1779</v>
      </c>
      <c r="D1731">
        <v>1</v>
      </c>
      <c r="E1731">
        <v>1</v>
      </c>
      <c r="F1731">
        <v>35</v>
      </c>
      <c r="G1731">
        <v>999</v>
      </c>
      <c r="H1731">
        <v>999</v>
      </c>
      <c r="I1731">
        <v>1</v>
      </c>
      <c r="J1731">
        <v>1</v>
      </c>
      <c r="K1731">
        <v>9</v>
      </c>
      <c r="L1731">
        <v>99</v>
      </c>
      <c r="M1731">
        <v>1</v>
      </c>
      <c r="N1731">
        <v>1</v>
      </c>
      <c r="O1731" s="14">
        <v>99999</v>
      </c>
      <c r="P1731" s="233">
        <f t="shared" si="38"/>
        <v>0</v>
      </c>
      <c r="Q1731" s="233">
        <f>'Rede Básica + Ajuste'!C9</f>
        <v>0</v>
      </c>
    </row>
    <row r="1732" spans="1:17">
      <c r="A1732" s="9" t="s">
        <v>829</v>
      </c>
      <c r="B1732" t="s">
        <v>846</v>
      </c>
      <c r="C1732" s="9" t="s">
        <v>1780</v>
      </c>
      <c r="D1732">
        <v>1</v>
      </c>
      <c r="E1732">
        <v>1</v>
      </c>
      <c r="F1732">
        <v>35</v>
      </c>
      <c r="G1732">
        <v>999</v>
      </c>
      <c r="H1732">
        <v>999</v>
      </c>
      <c r="I1732">
        <v>1</v>
      </c>
      <c r="J1732">
        <v>1</v>
      </c>
      <c r="K1732">
        <v>9</v>
      </c>
      <c r="L1732">
        <v>99</v>
      </c>
      <c r="M1732">
        <v>3</v>
      </c>
      <c r="N1732">
        <v>1</v>
      </c>
      <c r="O1732" s="14">
        <v>99999</v>
      </c>
      <c r="P1732" s="233">
        <f t="shared" si="38"/>
        <v>0</v>
      </c>
      <c r="Q1732" s="233">
        <f>'Rede Básica + Ajuste'!C10</f>
        <v>0</v>
      </c>
    </row>
    <row r="1733" spans="1:17" ht="15.75">
      <c r="D1733"/>
      <c r="E1733"/>
      <c r="F1733"/>
      <c r="G1733"/>
      <c r="H1733"/>
      <c r="I1733"/>
      <c r="J1733"/>
      <c r="K1733"/>
      <c r="L1733"/>
      <c r="M1733"/>
      <c r="N1733"/>
      <c r="O1733"/>
    </row>
    <row r="1734" spans="1:17" ht="15.75">
      <c r="D1734"/>
      <c r="E1734"/>
      <c r="F1734"/>
      <c r="G1734"/>
      <c r="H1734"/>
      <c r="I1734"/>
      <c r="J1734"/>
      <c r="K1734"/>
      <c r="L1734"/>
      <c r="M1734"/>
      <c r="N1734"/>
      <c r="O1734"/>
    </row>
    <row r="1735" spans="1:17" ht="15.75">
      <c r="D1735"/>
      <c r="E1735"/>
      <c r="F1735"/>
      <c r="G1735"/>
      <c r="H1735"/>
      <c r="I1735"/>
      <c r="J1735"/>
      <c r="K1735"/>
      <c r="L1735"/>
      <c r="M1735"/>
      <c r="N1735"/>
      <c r="O1735"/>
    </row>
    <row r="1736" spans="1:17" ht="15.75">
      <c r="D1736"/>
      <c r="E1736"/>
      <c r="F1736"/>
      <c r="G1736"/>
      <c r="H1736"/>
      <c r="I1736"/>
      <c r="J1736"/>
      <c r="K1736"/>
      <c r="L1736"/>
      <c r="M1736"/>
      <c r="N1736"/>
      <c r="O1736"/>
    </row>
    <row r="1737" spans="1:17" ht="15.75">
      <c r="D1737"/>
      <c r="E1737"/>
      <c r="F1737"/>
      <c r="G1737"/>
      <c r="H1737"/>
      <c r="I1737"/>
      <c r="J1737"/>
      <c r="K1737"/>
      <c r="L1737"/>
      <c r="M1737"/>
      <c r="N1737"/>
      <c r="O1737"/>
    </row>
    <row r="1738" spans="1:17" ht="15.75">
      <c r="D1738"/>
      <c r="E1738"/>
      <c r="F1738"/>
      <c r="G1738"/>
      <c r="H1738"/>
      <c r="I1738"/>
      <c r="J1738"/>
      <c r="K1738"/>
      <c r="L1738"/>
      <c r="M1738"/>
      <c r="N1738"/>
      <c r="O1738"/>
    </row>
    <row r="1739" spans="1:17" ht="15.75">
      <c r="D1739"/>
      <c r="E1739"/>
      <c r="F1739"/>
      <c r="G1739"/>
      <c r="H1739"/>
      <c r="I1739"/>
      <c r="J1739"/>
      <c r="K1739"/>
      <c r="L1739"/>
      <c r="M1739"/>
      <c r="N1739"/>
      <c r="O1739"/>
    </row>
    <row r="1740" spans="1:17" ht="15.75">
      <c r="D1740"/>
      <c r="E1740"/>
      <c r="F1740"/>
      <c r="G1740"/>
      <c r="H1740"/>
      <c r="I1740"/>
      <c r="J1740"/>
      <c r="K1740"/>
      <c r="L1740"/>
      <c r="M1740"/>
      <c r="N1740"/>
      <c r="O1740"/>
    </row>
    <row r="1741" spans="1:17" ht="15.75">
      <c r="D1741"/>
      <c r="E1741"/>
      <c r="F1741"/>
      <c r="G1741"/>
      <c r="H1741"/>
      <c r="I1741"/>
      <c r="J1741"/>
      <c r="K1741"/>
      <c r="L1741"/>
      <c r="M1741"/>
      <c r="N1741"/>
      <c r="O1741"/>
    </row>
    <row r="1742" spans="1:17" ht="15.75">
      <c r="D1742"/>
      <c r="E1742"/>
      <c r="F1742"/>
      <c r="G1742"/>
      <c r="H1742"/>
      <c r="I1742"/>
      <c r="J1742"/>
      <c r="K1742"/>
      <c r="L1742"/>
      <c r="M1742"/>
      <c r="N1742"/>
      <c r="O1742"/>
    </row>
    <row r="1743" spans="1:17" ht="15.75">
      <c r="D1743"/>
      <c r="E1743"/>
      <c r="F1743"/>
      <c r="G1743"/>
      <c r="H1743"/>
      <c r="I1743"/>
      <c r="J1743"/>
      <c r="K1743"/>
      <c r="L1743"/>
      <c r="M1743"/>
      <c r="N1743"/>
      <c r="O1743"/>
    </row>
    <row r="1744" spans="1:17" ht="15.75">
      <c r="D1744"/>
      <c r="E1744"/>
      <c r="F1744"/>
      <c r="G1744"/>
      <c r="H1744"/>
      <c r="I1744"/>
      <c r="J1744"/>
      <c r="K1744"/>
      <c r="L1744"/>
      <c r="M1744"/>
      <c r="N1744"/>
      <c r="O1744"/>
    </row>
    <row r="1745" customFormat="1" ht="15.75"/>
    <row r="1746" customFormat="1" ht="15.75"/>
    <row r="1747" customFormat="1" ht="15.75"/>
    <row r="1748" customFormat="1" ht="15.75"/>
    <row r="1749" customFormat="1" ht="15.75"/>
    <row r="1750" customFormat="1" ht="15.75"/>
    <row r="1751" customFormat="1" ht="15.75"/>
    <row r="1752" customFormat="1" ht="15.75"/>
    <row r="1753" customFormat="1" ht="15.75"/>
    <row r="1754" customFormat="1" ht="15.75"/>
    <row r="1755" customFormat="1" ht="15.75"/>
    <row r="1756" customFormat="1" ht="15.75"/>
    <row r="1757" customFormat="1" ht="15.75"/>
    <row r="1758" customFormat="1" ht="15.75"/>
    <row r="1759" customFormat="1" ht="15.75"/>
    <row r="1760" customFormat="1" ht="15.75"/>
    <row r="1761" customFormat="1" ht="15.75"/>
    <row r="1762" customFormat="1" ht="15.75"/>
    <row r="1763" customFormat="1" ht="15.75"/>
    <row r="1764" customFormat="1" ht="15.75"/>
    <row r="1765" customFormat="1" ht="15.75"/>
    <row r="1766" customFormat="1" ht="15.75"/>
    <row r="1767" customFormat="1" ht="15.75"/>
    <row r="1768" customFormat="1" ht="15.75"/>
    <row r="1769" customFormat="1" ht="15.75"/>
    <row r="1770" customFormat="1" ht="15.75"/>
    <row r="1771" customFormat="1" ht="15.75"/>
    <row r="1772" customFormat="1" ht="15.75"/>
    <row r="1773" customFormat="1" ht="15.75"/>
    <row r="1774" customFormat="1" ht="15.75"/>
    <row r="1775" customFormat="1" ht="15.75"/>
    <row r="1776" customFormat="1" ht="15.75"/>
    <row r="1777" customFormat="1" ht="15.75"/>
    <row r="1778" customFormat="1" ht="15.75"/>
    <row r="1779" customFormat="1" ht="15.75"/>
    <row r="1780" customFormat="1" ht="15.75"/>
    <row r="1781" customFormat="1" ht="15.75"/>
    <row r="1782" customFormat="1" ht="15.75"/>
    <row r="1783" customFormat="1" ht="15.75"/>
    <row r="1784" customFormat="1" ht="15.75"/>
    <row r="1785" customFormat="1" ht="15.75"/>
    <row r="1786" customFormat="1" ht="15.75"/>
    <row r="1787" customFormat="1" ht="15.75"/>
    <row r="1788" customFormat="1" ht="15.75"/>
    <row r="1789" customFormat="1" ht="15.75"/>
    <row r="1790" customFormat="1" ht="15.75"/>
    <row r="1791" customFormat="1" ht="15.75"/>
    <row r="1792" customFormat="1" ht="15.75"/>
    <row r="1793" customFormat="1" ht="15.75"/>
    <row r="1794" customFormat="1" ht="15.75"/>
    <row r="1795" customFormat="1" ht="15.75"/>
    <row r="1796" customFormat="1" ht="15.75"/>
    <row r="1797" customFormat="1" ht="15.75"/>
    <row r="1798" customFormat="1" ht="15.75"/>
    <row r="1799" customFormat="1" ht="15.75"/>
    <row r="1800" customFormat="1" ht="15.75"/>
    <row r="1801" customFormat="1" ht="15.75"/>
    <row r="1802" customFormat="1" ht="15.75"/>
    <row r="1803" customFormat="1" ht="15.75"/>
    <row r="1804" customFormat="1" ht="15.75"/>
    <row r="1805" customFormat="1" ht="15.75"/>
    <row r="1806" customFormat="1" ht="15.75"/>
    <row r="1807" customFormat="1" ht="15.75"/>
    <row r="1808" customFormat="1" ht="15.75"/>
    <row r="1809" customFormat="1" ht="15.75"/>
    <row r="1810" customFormat="1" ht="15.75"/>
    <row r="1811" customFormat="1" ht="15.75"/>
    <row r="1812" customFormat="1" ht="15.75"/>
    <row r="1813" customFormat="1" ht="15.75"/>
    <row r="1814" customFormat="1" ht="15.75"/>
    <row r="1815" customFormat="1" ht="15.75"/>
    <row r="1816" customFormat="1" ht="15.75"/>
    <row r="1817" customFormat="1" ht="15.75"/>
    <row r="1818" customFormat="1" ht="15.75"/>
    <row r="1819" customFormat="1" ht="15.75"/>
    <row r="1820" customFormat="1" ht="15.75"/>
    <row r="1821" customFormat="1" ht="15.75"/>
    <row r="1822" customFormat="1" ht="15.75"/>
    <row r="1823" customFormat="1" ht="15.75"/>
    <row r="1824" customFormat="1" ht="15.75"/>
    <row r="1825" customFormat="1" ht="15.75"/>
    <row r="1826" customFormat="1" ht="15.75"/>
    <row r="1827" customFormat="1" ht="15.75"/>
    <row r="1828" customFormat="1" ht="15.75"/>
    <row r="1829" customFormat="1" ht="15.75"/>
    <row r="1830" customFormat="1" ht="15.75"/>
    <row r="1831" customFormat="1" ht="15.75"/>
    <row r="1832" customFormat="1" ht="15.75"/>
    <row r="1833" customFormat="1" ht="15.75"/>
    <row r="1834" customFormat="1" ht="15.75"/>
    <row r="1835" customFormat="1" ht="15.75"/>
    <row r="1836" customFormat="1" ht="15.75"/>
    <row r="1837" customFormat="1" ht="15.75"/>
    <row r="1838" customFormat="1" ht="15.75"/>
    <row r="1839" customFormat="1" ht="15.75"/>
    <row r="1840" customFormat="1" ht="15.75"/>
    <row r="1841" customFormat="1" ht="15.75"/>
    <row r="1842" customFormat="1" ht="15.75"/>
    <row r="1843" customFormat="1" ht="15.75"/>
    <row r="1844" customFormat="1" ht="15.75"/>
    <row r="1845" customFormat="1" ht="15.75"/>
    <row r="1846" customFormat="1" ht="15.75"/>
    <row r="1847" customFormat="1" ht="15.75"/>
    <row r="1848" customFormat="1" ht="15.75"/>
    <row r="1849" customFormat="1" ht="15.75"/>
    <row r="1850" customFormat="1" ht="15.75"/>
    <row r="1851" customFormat="1" ht="15.75"/>
    <row r="1852" customFormat="1" ht="15.75"/>
    <row r="1853" customFormat="1" ht="15.75"/>
    <row r="1854" customFormat="1" ht="15.75"/>
    <row r="1855" customFormat="1" ht="15.75"/>
    <row r="1856" customFormat="1" ht="15.75"/>
    <row r="1857" customFormat="1" ht="15.75"/>
    <row r="1858" customFormat="1" ht="15.75"/>
    <row r="1859" customFormat="1" ht="15.75"/>
    <row r="1860" customFormat="1" ht="15.75"/>
    <row r="1861" customFormat="1" ht="15.75"/>
    <row r="1862" customFormat="1" ht="15.75"/>
    <row r="1863" customFormat="1" ht="15.75"/>
    <row r="1864" customFormat="1" ht="15.75"/>
    <row r="1865" customFormat="1" ht="15.75"/>
    <row r="1866" customFormat="1" ht="15.75"/>
    <row r="1867" customFormat="1" ht="15.75"/>
    <row r="1868" customFormat="1" ht="15.75"/>
    <row r="1869" customFormat="1" ht="15.75"/>
    <row r="1870" customFormat="1" ht="15.75"/>
    <row r="1871" customFormat="1" ht="15.75"/>
    <row r="1872" customFormat="1" ht="15.75"/>
    <row r="1873" customFormat="1" ht="15.75"/>
    <row r="1874" customFormat="1" ht="15.75"/>
    <row r="1875" customFormat="1" ht="15.75"/>
    <row r="1876" customFormat="1" ht="15.75"/>
    <row r="1877" customFormat="1" ht="15.75"/>
    <row r="1878" customFormat="1" ht="15.75"/>
    <row r="1879" customFormat="1" ht="15.75"/>
    <row r="1880" customFormat="1" ht="15.75"/>
    <row r="1881" customFormat="1" ht="15.75"/>
    <row r="1882" customFormat="1" ht="15.75"/>
    <row r="1883" customFormat="1" ht="15.75"/>
    <row r="1884" customFormat="1" ht="15.75"/>
    <row r="1885" customFormat="1" ht="15.75"/>
    <row r="1886" customFormat="1" ht="15.75"/>
    <row r="1887" customFormat="1" ht="15.75"/>
    <row r="1888" customFormat="1" ht="15.75"/>
    <row r="1889" customFormat="1" ht="15.75"/>
    <row r="1890" customFormat="1" ht="15.75"/>
    <row r="1891" customFormat="1" ht="15.75"/>
    <row r="1892" customFormat="1" ht="15.75"/>
    <row r="1893" customFormat="1" ht="15.75"/>
    <row r="1894" customFormat="1" ht="15.75"/>
    <row r="1895" customFormat="1" ht="15.75"/>
    <row r="1896" customFormat="1" ht="15.75"/>
    <row r="1897" customFormat="1" ht="15.75"/>
    <row r="1898" customFormat="1" ht="15.75"/>
    <row r="1899" customFormat="1" ht="15.75"/>
    <row r="1900" customFormat="1" ht="15.75"/>
    <row r="1901" customFormat="1" ht="15.75"/>
    <row r="1902" customFormat="1" ht="15.75"/>
    <row r="1903" customFormat="1" ht="15.75"/>
    <row r="1904" customFormat="1" ht="15.75"/>
    <row r="1905" customFormat="1" ht="15.75"/>
    <row r="1906" customFormat="1" ht="15.75"/>
    <row r="1907" customFormat="1" ht="15.75"/>
    <row r="1908" customFormat="1" ht="15.75"/>
    <row r="1909" customFormat="1" ht="15.75"/>
    <row r="1910" customFormat="1" ht="15.75"/>
    <row r="1911" customFormat="1" ht="15.75"/>
    <row r="1912" customFormat="1" ht="15.75"/>
    <row r="1913" customFormat="1" ht="15.75"/>
    <row r="1914" customFormat="1" ht="15.75"/>
    <row r="1915" customFormat="1" ht="15.75"/>
    <row r="1916" customFormat="1" ht="15.75"/>
    <row r="1917" customFormat="1" ht="15.75"/>
    <row r="1918" customFormat="1" ht="15.75"/>
    <row r="1919" customFormat="1" ht="15.75"/>
    <row r="1920" customFormat="1" ht="15.75"/>
    <row r="1921" customFormat="1" ht="15.75"/>
    <row r="1922" customFormat="1" ht="15.75"/>
    <row r="1923" customFormat="1" ht="15.75"/>
    <row r="1924" customFormat="1" ht="15.75"/>
    <row r="1925" customFormat="1" ht="15.75"/>
    <row r="1926" customFormat="1" ht="15.75"/>
    <row r="1927" customFormat="1" ht="15.75"/>
    <row r="1928" customFormat="1" ht="15.75"/>
    <row r="1929" customFormat="1" ht="15.75"/>
    <row r="1930" customFormat="1" ht="15.75"/>
    <row r="1931" customFormat="1" ht="15.75"/>
    <row r="1932" customFormat="1" ht="15.75"/>
    <row r="1933" customFormat="1" ht="15.75"/>
    <row r="1934" customFormat="1" ht="15.75"/>
    <row r="1935" customFormat="1" ht="15.75"/>
    <row r="1936" customFormat="1" ht="15.75"/>
    <row r="1937" customFormat="1" ht="15.75"/>
    <row r="1938" customFormat="1" ht="15.75"/>
    <row r="1939" customFormat="1" ht="15.75"/>
    <row r="1940" customFormat="1" ht="15.75"/>
    <row r="1941" customFormat="1" ht="15.75"/>
    <row r="1942" customFormat="1" ht="15.75"/>
    <row r="1943" customFormat="1" ht="15.75"/>
    <row r="1944" customFormat="1" ht="15.75"/>
    <row r="1945" customFormat="1" ht="15.75"/>
    <row r="1946" customFormat="1" ht="15.75"/>
    <row r="1947" customFormat="1" ht="15.75"/>
    <row r="1948" customFormat="1" ht="15.75"/>
    <row r="1949" customFormat="1" ht="15.75"/>
    <row r="1950" customFormat="1" ht="15.75"/>
    <row r="1951" customFormat="1" ht="15.75"/>
    <row r="1952" customFormat="1" ht="15.75"/>
    <row r="1953" customFormat="1" ht="15.75"/>
    <row r="1954" customFormat="1" ht="15.75"/>
    <row r="1955" customFormat="1" ht="15.75"/>
    <row r="1956" customFormat="1" ht="15.75"/>
    <row r="1957" customFormat="1" ht="15.75"/>
    <row r="1958" customFormat="1" ht="15.75"/>
    <row r="1959" customFormat="1" ht="15.75"/>
    <row r="1960" customFormat="1" ht="15.75"/>
    <row r="1961" customFormat="1" ht="15.75"/>
    <row r="1962" customFormat="1" ht="15.75"/>
    <row r="1963" customFormat="1" ht="15.75"/>
    <row r="1964" customFormat="1" ht="15.75"/>
    <row r="1965" customFormat="1" ht="15.75"/>
    <row r="1966" customFormat="1" ht="15.75"/>
    <row r="1967" customFormat="1" ht="15.75"/>
    <row r="1968" customFormat="1" ht="15.75"/>
    <row r="1969" customFormat="1" ht="15.75"/>
    <row r="1970" customFormat="1" ht="15.75"/>
    <row r="1971" customFormat="1" ht="15.75"/>
    <row r="1972" customFormat="1" ht="15.75"/>
    <row r="1973" customFormat="1" ht="15.75"/>
    <row r="1974" customFormat="1" ht="15.75"/>
    <row r="1975" customFormat="1" ht="15.75"/>
    <row r="1976" customFormat="1" ht="15.75"/>
    <row r="1977" customFormat="1" ht="15.75"/>
    <row r="1978" customFormat="1" ht="15.75"/>
    <row r="1979" customFormat="1" ht="15.75"/>
    <row r="1980" customFormat="1" ht="15.75"/>
    <row r="1981" customFormat="1" ht="15.75"/>
    <row r="1982" customFormat="1" ht="15.75"/>
    <row r="1983" customFormat="1" ht="15.75"/>
    <row r="1984" customFormat="1" ht="15.75"/>
    <row r="1985" customFormat="1" ht="15.75"/>
    <row r="1986" customFormat="1" ht="15.75"/>
    <row r="1987" customFormat="1" ht="15.75"/>
    <row r="1988" customFormat="1" ht="15.75"/>
    <row r="1989" customFormat="1" ht="15.75"/>
    <row r="1990" customFormat="1" ht="15.75"/>
    <row r="1991" customFormat="1" ht="15.75"/>
    <row r="1992" customFormat="1" ht="15.75"/>
    <row r="1993" customFormat="1" ht="15.75"/>
    <row r="1994" customFormat="1" ht="15.75"/>
    <row r="1995" customFormat="1" ht="15.75"/>
    <row r="1996" customFormat="1" ht="15.75"/>
    <row r="1997" customFormat="1" ht="15.75"/>
    <row r="1998" customFormat="1" ht="15.75"/>
    <row r="1999" customFormat="1" ht="15.75"/>
    <row r="2000" customFormat="1" ht="15.75"/>
    <row r="2001" customFormat="1" ht="15.75"/>
    <row r="2002" customFormat="1" ht="15.75"/>
    <row r="2003" customFormat="1" ht="15.75"/>
    <row r="2004" customFormat="1" ht="15.75"/>
    <row r="2005" customFormat="1" ht="15.75"/>
    <row r="2006" customFormat="1" ht="15.75"/>
    <row r="2007" customFormat="1" ht="15.75"/>
    <row r="2008" customFormat="1" ht="15.75"/>
    <row r="2009" customFormat="1" ht="15.75"/>
    <row r="2010" customFormat="1" ht="15.75"/>
    <row r="2011" customFormat="1" ht="15.75"/>
    <row r="2012" customFormat="1" ht="15.75"/>
    <row r="2013" customFormat="1" ht="15.75"/>
    <row r="2014" customFormat="1" ht="15.75"/>
    <row r="2015" customFormat="1" ht="15.75"/>
    <row r="2016" customFormat="1" ht="15.75"/>
    <row r="2017" customFormat="1" ht="15.75"/>
    <row r="2018" customFormat="1" ht="15.75"/>
    <row r="2019" customFormat="1" ht="15.75"/>
    <row r="2020" customFormat="1" ht="15.75"/>
    <row r="2021" customFormat="1" ht="15.75"/>
    <row r="2022" customFormat="1" ht="15.75"/>
    <row r="2023" customFormat="1" ht="15.75"/>
    <row r="2024" customFormat="1" ht="15.75"/>
    <row r="2025" customFormat="1" ht="15.75"/>
    <row r="2026" customFormat="1" ht="15.75"/>
    <row r="2027" customFormat="1" ht="15.75"/>
    <row r="2028" customFormat="1" ht="15.75"/>
    <row r="2029" customFormat="1" ht="15.75"/>
    <row r="2030" customFormat="1" ht="15.75"/>
    <row r="2031" customFormat="1" ht="15.75"/>
    <row r="2032" customFormat="1" ht="15.75"/>
    <row r="2033" customFormat="1" ht="15.75"/>
    <row r="2034" customFormat="1" ht="15.75"/>
    <row r="2035" customFormat="1" ht="15.75"/>
    <row r="2036" customFormat="1" ht="15.75"/>
    <row r="2037" customFormat="1" ht="15.75"/>
    <row r="2038" customFormat="1" ht="15.75"/>
    <row r="2039" customFormat="1" ht="15.75"/>
    <row r="2040" customFormat="1" ht="15.75"/>
    <row r="2041" customFormat="1" ht="15.75"/>
    <row r="2042" customFormat="1" ht="15.75"/>
    <row r="2043" customFormat="1" ht="15.75"/>
    <row r="2044" customFormat="1" ht="15.75"/>
    <row r="2045" customFormat="1" ht="15.75"/>
    <row r="2046" customFormat="1" ht="15.75"/>
    <row r="2047" customFormat="1" ht="15.75"/>
    <row r="2048" customFormat="1" ht="15.75"/>
    <row r="2049" customFormat="1" ht="15.75"/>
    <row r="2050" customFormat="1" ht="15.75"/>
    <row r="2051" customFormat="1" ht="15.75"/>
    <row r="2052" customFormat="1" ht="15.75"/>
    <row r="2053" customFormat="1" ht="15.75"/>
    <row r="2054" customFormat="1" ht="15.75"/>
    <row r="2055" customFormat="1" ht="15.75"/>
    <row r="2056" customFormat="1" ht="15.75"/>
    <row r="2057" customFormat="1" ht="15.75"/>
    <row r="2058" customFormat="1" ht="15.75"/>
    <row r="2059" customFormat="1" ht="15.75"/>
    <row r="2060" customFormat="1" ht="15.75"/>
    <row r="2061" customFormat="1" ht="15.75"/>
    <row r="2062" customFormat="1" ht="15.75"/>
    <row r="2063" customFormat="1" ht="15.75"/>
    <row r="2064" customFormat="1" ht="15.75"/>
    <row r="2065" customFormat="1" ht="15.75"/>
    <row r="2066" customFormat="1" ht="15.75"/>
    <row r="2067" customFormat="1" ht="15.75"/>
    <row r="2068" customFormat="1" ht="15.75"/>
    <row r="2069" customFormat="1" ht="15.75"/>
    <row r="2070" customFormat="1" ht="15.75"/>
    <row r="2071" customFormat="1" ht="15.75"/>
    <row r="2072" customFormat="1" ht="15.75"/>
    <row r="2073" customFormat="1" ht="15.75"/>
    <row r="2074" customFormat="1" ht="15.75"/>
    <row r="2075" customFormat="1" ht="15.75"/>
    <row r="2076" customFormat="1" ht="15.75"/>
    <row r="2077" customFormat="1" ht="15.75"/>
    <row r="2078" customFormat="1" ht="15.75"/>
    <row r="2079" customFormat="1" ht="15.75"/>
    <row r="2080" customFormat="1" ht="15.75"/>
    <row r="2081" customFormat="1" ht="15.75"/>
    <row r="2082" customFormat="1" ht="15.75"/>
    <row r="2083" customFormat="1" ht="15.75"/>
    <row r="2084" customFormat="1" ht="15.75"/>
    <row r="2085" customFormat="1" ht="15.75"/>
    <row r="2086" customFormat="1" ht="15.75"/>
    <row r="2087" customFormat="1" ht="15.75"/>
    <row r="2088" customFormat="1" ht="15.75"/>
    <row r="2089" customFormat="1" ht="15.75"/>
    <row r="2090" customFormat="1" ht="15.75"/>
    <row r="2091" customFormat="1" ht="15.75"/>
    <row r="2092" customFormat="1" ht="15.75"/>
    <row r="2093" customFormat="1" ht="15.75"/>
    <row r="2094" customFormat="1" ht="15.75"/>
    <row r="2095" customFormat="1" ht="15.75"/>
    <row r="2096" customFormat="1" ht="15.75"/>
    <row r="2097" customFormat="1" ht="15.75"/>
    <row r="2098" customFormat="1" ht="15.75"/>
    <row r="2099" customFormat="1" ht="15.75"/>
    <row r="2100" customFormat="1" ht="15.75"/>
    <row r="2101" customFormat="1" ht="15.75"/>
    <row r="2102" customFormat="1" ht="15.75"/>
    <row r="2103" customFormat="1" ht="15.75"/>
    <row r="2104" customFormat="1" ht="15.75"/>
    <row r="2105" customFormat="1" ht="15.75"/>
    <row r="2106" customFormat="1" ht="15.75"/>
    <row r="2107" customFormat="1" ht="15.75"/>
    <row r="2108" customFormat="1" ht="15.75"/>
    <row r="2109" customFormat="1" ht="15.75"/>
    <row r="2110" customFormat="1" ht="15.75"/>
    <row r="2111" customFormat="1" ht="15.75"/>
    <row r="2112" customFormat="1" ht="15.75"/>
    <row r="2113" customFormat="1" ht="15.75"/>
    <row r="2114" customFormat="1" ht="15.75"/>
    <row r="2115" customFormat="1" ht="15.75"/>
    <row r="2116" customFormat="1" ht="15.75"/>
    <row r="2117" customFormat="1" ht="15.75"/>
    <row r="2118" customFormat="1" ht="15.75"/>
    <row r="2119" customFormat="1" ht="15.75"/>
    <row r="2120" customFormat="1" ht="15.75"/>
    <row r="2121" customFormat="1" ht="15.75"/>
    <row r="2122" customFormat="1" ht="15.75"/>
    <row r="2123" customFormat="1" ht="15.75"/>
    <row r="2124" customFormat="1" ht="15.75"/>
    <row r="2125" customFormat="1" ht="15.75"/>
    <row r="2126" customFormat="1" ht="15.75"/>
    <row r="2127" customFormat="1" ht="15.75"/>
    <row r="2128" customFormat="1" ht="15.75"/>
    <row r="2129" customFormat="1" ht="15.75"/>
    <row r="2130" customFormat="1" ht="15.75"/>
    <row r="2131" customFormat="1" ht="15.75"/>
    <row r="2132" customFormat="1" ht="15.75"/>
    <row r="2133" customFormat="1" ht="15.75"/>
    <row r="2134" customFormat="1" ht="15.75"/>
    <row r="2135" customFormat="1" ht="15.75"/>
    <row r="2136" customFormat="1" ht="15.75"/>
    <row r="2137" customFormat="1" ht="15.75"/>
    <row r="2138" customFormat="1" ht="15.75"/>
    <row r="2139" customFormat="1" ht="15.75"/>
    <row r="2140" customFormat="1" ht="15.75"/>
    <row r="2141" customFormat="1" ht="15.75"/>
    <row r="2142" customFormat="1" ht="15.75"/>
    <row r="2143" customFormat="1" ht="15.75"/>
    <row r="2144" customFormat="1" ht="15.75"/>
    <row r="2145" customFormat="1" ht="15.75"/>
    <row r="2146" customFormat="1" ht="15.75"/>
    <row r="2147" customFormat="1" ht="15.75"/>
    <row r="2148" customFormat="1" ht="15.75"/>
    <row r="2149" customFormat="1" ht="15.75"/>
    <row r="2150" customFormat="1" ht="15.75"/>
    <row r="2151" customFormat="1" ht="15.75"/>
    <row r="2152" customFormat="1" ht="15.75"/>
    <row r="2153" customFormat="1" ht="15.75"/>
    <row r="2154" customFormat="1" ht="15.75"/>
    <row r="2155" customFormat="1" ht="15.75"/>
    <row r="2156" customFormat="1" ht="15.75"/>
    <row r="2157" customFormat="1" ht="15.75"/>
    <row r="2158" customFormat="1" ht="15.75"/>
    <row r="2159" customFormat="1" ht="15.75"/>
    <row r="2160" customFormat="1" ht="15.75"/>
    <row r="2161" customFormat="1" ht="15.75"/>
    <row r="2162" customFormat="1" ht="15.75"/>
    <row r="2163" customFormat="1" ht="15.75"/>
    <row r="2164" customFormat="1" ht="15.75"/>
    <row r="2165" customFormat="1" ht="15.75"/>
    <row r="2166" customFormat="1" ht="15.75"/>
    <row r="2167" customFormat="1" ht="15.75"/>
    <row r="2168" customFormat="1" ht="15.75"/>
    <row r="2169" customFormat="1" ht="15.75"/>
    <row r="2170" customFormat="1" ht="15.75"/>
    <row r="2171" customFormat="1" ht="15.75"/>
    <row r="2172" customFormat="1" ht="15.75"/>
    <row r="2173" customFormat="1" ht="15.75"/>
    <row r="2174" customFormat="1" ht="15.75"/>
    <row r="2175" customFormat="1" ht="15.75"/>
    <row r="2176" customFormat="1" ht="15.75"/>
    <row r="2177" customFormat="1" ht="15.75"/>
    <row r="2178" customFormat="1" ht="15.75"/>
    <row r="2179" customFormat="1" ht="15.75"/>
    <row r="2180" customFormat="1" ht="15.75"/>
    <row r="2181" customFormat="1" ht="15.75"/>
    <row r="2182" customFormat="1" ht="15.75"/>
    <row r="2183" customFormat="1" ht="15.75"/>
    <row r="2184" customFormat="1" ht="15.75"/>
    <row r="2185" customFormat="1" ht="15.75"/>
    <row r="2186" customFormat="1" ht="15.75"/>
    <row r="2187" customFormat="1" ht="15.75"/>
    <row r="2188" customFormat="1" ht="15.75"/>
    <row r="2189" customFormat="1" ht="15.75"/>
    <row r="2190" customFormat="1" ht="15.75"/>
    <row r="2191" customFormat="1" ht="15.75"/>
    <row r="2192" customFormat="1" ht="15.75"/>
    <row r="2193" customFormat="1" ht="15.75"/>
    <row r="2194" customFormat="1" ht="15.75"/>
    <row r="2195" customFormat="1" ht="15.75"/>
    <row r="2196" customFormat="1" ht="15.75"/>
    <row r="2197" customFormat="1" ht="15.75"/>
    <row r="2198" customFormat="1" ht="15.75"/>
    <row r="2199" customFormat="1" ht="15.75"/>
    <row r="2200" customFormat="1" ht="15.75"/>
    <row r="2201" customFormat="1" ht="15.75"/>
    <row r="2202" customFormat="1" ht="15.75"/>
    <row r="2203" customFormat="1" ht="15.75"/>
    <row r="2204" customFormat="1" ht="15.75"/>
    <row r="2205" customFormat="1" ht="15.75"/>
    <row r="2206" customFormat="1" ht="15.75"/>
    <row r="2207" customFormat="1" ht="15.75"/>
    <row r="2208" customFormat="1" ht="15.75"/>
    <row r="2209" customFormat="1" ht="15.75"/>
    <row r="2210" customFormat="1" ht="15.75"/>
    <row r="2211" customFormat="1" ht="15.75"/>
    <row r="2212" customFormat="1" ht="15.75"/>
    <row r="2213" customFormat="1" ht="15.75"/>
    <row r="2214" customFormat="1" ht="15.75"/>
    <row r="2215" customFormat="1" ht="15.75"/>
    <row r="2216" customFormat="1" ht="15.75"/>
    <row r="2217" customFormat="1" ht="15.75"/>
    <row r="2218" customFormat="1" ht="15.75"/>
    <row r="2219" customFormat="1" ht="15.75"/>
    <row r="2220" customFormat="1" ht="15.75"/>
    <row r="2221" customFormat="1" ht="15.75"/>
    <row r="2222" customFormat="1" ht="15.75"/>
    <row r="2223" customFormat="1" ht="15.75"/>
    <row r="2224" customFormat="1" ht="15.75"/>
    <row r="2225" customFormat="1" ht="15.75"/>
    <row r="2226" customFormat="1" ht="15.75"/>
    <row r="2227" customFormat="1" ht="15.75"/>
    <row r="2228" customFormat="1" ht="15.75"/>
    <row r="2229" customFormat="1" ht="15.75"/>
    <row r="2230" customFormat="1" ht="15.75"/>
    <row r="2231" customFormat="1" ht="15.75"/>
    <row r="2232" customFormat="1" ht="15.75"/>
    <row r="2233" customFormat="1" ht="15.75"/>
    <row r="2234" customFormat="1" ht="15.75"/>
    <row r="2235" customFormat="1" ht="15.75"/>
    <row r="2236" customFormat="1" ht="15.75"/>
    <row r="2237" customFormat="1" ht="15.75"/>
    <row r="2238" customFormat="1" ht="15.75"/>
    <row r="2239" customFormat="1" ht="15.75"/>
    <row r="2240" customFormat="1" ht="15.75"/>
    <row r="2241" customFormat="1" ht="15.75"/>
    <row r="2242" customFormat="1" ht="15.75"/>
    <row r="2243" customFormat="1" ht="15.75"/>
    <row r="2244" customFormat="1" ht="15.75"/>
    <row r="2245" customFormat="1" ht="15.75"/>
    <row r="2246" customFormat="1" ht="15.75"/>
    <row r="2247" customFormat="1" ht="15.75"/>
    <row r="2248" customFormat="1" ht="15.75"/>
    <row r="2249" customFormat="1" ht="15.75"/>
    <row r="2250" customFormat="1" ht="15.75"/>
    <row r="2251" customFormat="1" ht="15.75"/>
    <row r="2252" customFormat="1" ht="15.75"/>
    <row r="2253" customFormat="1" ht="15.75"/>
    <row r="2254" customFormat="1" ht="15.75"/>
    <row r="2255" customFormat="1" ht="15.75"/>
    <row r="2256" customFormat="1" ht="15.75"/>
    <row r="2257" customFormat="1" ht="15.75"/>
    <row r="2258" customFormat="1" ht="15.75"/>
    <row r="2259" customFormat="1" ht="15.75"/>
    <row r="2260" customFormat="1" ht="15.75"/>
    <row r="2261" customFormat="1" ht="15.75"/>
    <row r="2262" customFormat="1" ht="15.75"/>
    <row r="2263" customFormat="1" ht="15.75"/>
    <row r="2264" customFormat="1" ht="15.75"/>
    <row r="2265" customFormat="1" ht="15.75"/>
    <row r="2266" customFormat="1" ht="15.75"/>
    <row r="2267" customFormat="1" ht="15.75"/>
    <row r="2268" customFormat="1" ht="15.75"/>
    <row r="2269" customFormat="1" ht="15.75"/>
    <row r="2270" customFormat="1" ht="15.75"/>
    <row r="2271" customFormat="1" ht="15.75"/>
    <row r="2272" customFormat="1" ht="15.75"/>
    <row r="2273" customFormat="1" ht="15.75"/>
    <row r="2274" customFormat="1" ht="15.75"/>
    <row r="2275" customFormat="1" ht="15.75"/>
    <row r="2276" customFormat="1" ht="15.75"/>
    <row r="2277" customFormat="1" ht="15.75"/>
    <row r="2278" customFormat="1" ht="15.75"/>
    <row r="2279" customFormat="1" ht="15.75"/>
    <row r="2280" customFormat="1" ht="15.75"/>
    <row r="2281" customFormat="1" ht="15.75"/>
    <row r="2282" customFormat="1" ht="15.75"/>
    <row r="2283" customFormat="1" ht="15.75"/>
    <row r="2284" customFormat="1" ht="15.75"/>
    <row r="2285" customFormat="1" ht="15.75"/>
    <row r="2286" customFormat="1" ht="15.75"/>
    <row r="2287" customFormat="1" ht="15.75"/>
    <row r="2288" customFormat="1" ht="15.75"/>
    <row r="2289" customFormat="1" ht="15.75"/>
    <row r="2290" customFormat="1" ht="15.75"/>
    <row r="2291" customFormat="1" ht="15.75"/>
    <row r="2292" customFormat="1" ht="15.75"/>
    <row r="2293" customFormat="1" ht="15.75"/>
    <row r="2294" customFormat="1" ht="15.75"/>
    <row r="2295" customFormat="1" ht="15.75"/>
    <row r="2296" customFormat="1" ht="15.75"/>
    <row r="2297" customFormat="1" ht="15.75"/>
    <row r="2298" customFormat="1" ht="15.75"/>
    <row r="2299" customFormat="1" ht="15.75"/>
    <row r="2300" customFormat="1" ht="15.75"/>
    <row r="2301" customFormat="1" ht="15.75"/>
    <row r="2302" customFormat="1" ht="15.75"/>
    <row r="2303" customFormat="1" ht="15.75"/>
    <row r="2304" customFormat="1" ht="15.75"/>
    <row r="2305" customFormat="1" ht="15.75"/>
    <row r="2306" customFormat="1" ht="15.75"/>
    <row r="2307" customFormat="1" ht="15.75"/>
    <row r="2308" customFormat="1" ht="15.75"/>
    <row r="2309" customFormat="1" ht="15.75"/>
    <row r="2310" customFormat="1" ht="15.75"/>
    <row r="2311" customFormat="1" ht="15.75"/>
    <row r="2312" customFormat="1" ht="15.75"/>
    <row r="2313" customFormat="1" ht="15.75"/>
    <row r="2314" customFormat="1" ht="15.75"/>
    <row r="2315" customFormat="1" ht="15.75"/>
    <row r="2316" customFormat="1" ht="15.75"/>
    <row r="2317" customFormat="1" ht="15.75"/>
    <row r="2318" customFormat="1" ht="15.75"/>
    <row r="2319" customFormat="1" ht="15.75"/>
    <row r="2320" customFormat="1" ht="15.75"/>
    <row r="2321" customFormat="1" ht="15.75"/>
    <row r="2322" customFormat="1" ht="15.75"/>
    <row r="2323" customFormat="1" ht="15.75"/>
    <row r="2324" customFormat="1" ht="15.75"/>
    <row r="2325" customFormat="1" ht="15.75"/>
    <row r="2326" customFormat="1" ht="15.75"/>
    <row r="2327" customFormat="1" ht="15.75"/>
    <row r="2328" customFormat="1" ht="15.75"/>
    <row r="2329" customFormat="1" ht="15.75"/>
    <row r="2330" customFormat="1" ht="15.75"/>
    <row r="2331" customFormat="1" ht="15.75"/>
    <row r="2332" customFormat="1" ht="15.75"/>
    <row r="2333" customFormat="1" ht="15.75"/>
    <row r="2334" customFormat="1" ht="15.75"/>
    <row r="2335" customFormat="1" ht="15.75"/>
    <row r="2336" customFormat="1" ht="15.75"/>
    <row r="2337" customFormat="1" ht="15.75"/>
    <row r="2338" customFormat="1" ht="15.75"/>
    <row r="2339" customFormat="1" ht="15.75"/>
    <row r="2340" customFormat="1" ht="15.75"/>
    <row r="2341" customFormat="1" ht="15.75"/>
    <row r="2342" customFormat="1" ht="15.75"/>
    <row r="2343" customFormat="1" ht="15.75"/>
    <row r="2344" customFormat="1" ht="15.75"/>
    <row r="2345" customFormat="1" ht="15.75"/>
    <row r="2346" customFormat="1" ht="15.75"/>
    <row r="2347" customFormat="1" ht="15.75"/>
    <row r="2348" customFormat="1" ht="15.75"/>
    <row r="2349" customFormat="1" ht="15.75"/>
    <row r="2350" customFormat="1" ht="15.75"/>
    <row r="2351" customFormat="1" ht="15.75"/>
    <row r="2352" customFormat="1" ht="15.75"/>
    <row r="2353" customFormat="1" ht="15.75"/>
    <row r="2354" customFormat="1" ht="15.75"/>
    <row r="2355" customFormat="1" ht="15.75"/>
    <row r="2356" customFormat="1" ht="15.75"/>
    <row r="2357" customFormat="1" ht="15.75"/>
    <row r="2358" customFormat="1" ht="15.75"/>
    <row r="2359" customFormat="1" ht="15.75"/>
    <row r="2360" customFormat="1" ht="15.75"/>
    <row r="2361" customFormat="1" ht="15.75"/>
    <row r="2362" customFormat="1" ht="15.75"/>
    <row r="2363" customFormat="1" ht="15.75"/>
    <row r="2364" customFormat="1" ht="15.75"/>
    <row r="2365" customFormat="1" ht="15.75"/>
    <row r="2366" customFormat="1" ht="15.75"/>
    <row r="2367" customFormat="1" ht="15.75"/>
    <row r="2368" customFormat="1" ht="15.75"/>
    <row r="2369" customFormat="1" ht="15.75"/>
    <row r="2370" customFormat="1" ht="15.75"/>
    <row r="2371" customFormat="1" ht="15.75"/>
    <row r="2372" customFormat="1" ht="15.75"/>
    <row r="2373" customFormat="1" ht="15.75"/>
    <row r="2374" customFormat="1" ht="15.75"/>
    <row r="2375" customFormat="1" ht="15.75"/>
    <row r="2376" customFormat="1" ht="15.75"/>
    <row r="2377" customFormat="1" ht="15.75"/>
    <row r="2378" customFormat="1" ht="15.75"/>
    <row r="2379" customFormat="1" ht="15.75"/>
    <row r="2380" customFormat="1" ht="15.75"/>
    <row r="2381" customFormat="1" ht="15.75"/>
    <row r="2382" customFormat="1" ht="15.75"/>
    <row r="2383" customFormat="1" ht="15.75"/>
    <row r="2384" customFormat="1" ht="15.75"/>
    <row r="2385" customFormat="1" ht="15.75"/>
    <row r="2386" customFormat="1" ht="15.75"/>
    <row r="2387" customFormat="1" ht="15.75"/>
    <row r="2388" customFormat="1" ht="15.75"/>
    <row r="2389" customFormat="1" ht="15.75"/>
    <row r="2390" customFormat="1" ht="15.75"/>
    <row r="2391" customFormat="1" ht="15.75"/>
    <row r="2392" customFormat="1" ht="15.75"/>
    <row r="2393" customFormat="1" ht="15.75"/>
    <row r="2394" customFormat="1" ht="15.75"/>
    <row r="2395" customFormat="1" ht="15.75"/>
    <row r="2396" customFormat="1" ht="15.75"/>
    <row r="2397" customFormat="1" ht="15.75"/>
    <row r="2398" customFormat="1" ht="15.75"/>
    <row r="2399" customFormat="1" ht="15.75"/>
    <row r="2400" customFormat="1" ht="15.75"/>
    <row r="2401" customFormat="1" ht="15.75"/>
    <row r="2402" customFormat="1" ht="15.75"/>
    <row r="2403" customFormat="1" ht="15.75"/>
    <row r="2404" customFormat="1" ht="15.75"/>
    <row r="2405" customFormat="1" ht="15.75"/>
    <row r="2406" customFormat="1" ht="15.75"/>
    <row r="2407" customFormat="1" ht="15.75"/>
    <row r="2408" customFormat="1" ht="15.75"/>
    <row r="2409" customFormat="1" ht="15.75"/>
    <row r="2410" customFormat="1" ht="15.75"/>
    <row r="2411" customFormat="1" ht="15.75"/>
    <row r="2412" customFormat="1" ht="15.75"/>
    <row r="2413" customFormat="1" ht="15.75"/>
    <row r="2414" customFormat="1" ht="15.75"/>
    <row r="2415" customFormat="1" ht="15.75"/>
    <row r="2416" customFormat="1" ht="15.75"/>
    <row r="2417" customFormat="1" ht="15.75"/>
    <row r="2418" customFormat="1" ht="15.75"/>
    <row r="2419" customFormat="1" ht="15.75"/>
    <row r="2420" customFormat="1" ht="15.75"/>
    <row r="2421" customFormat="1" ht="15.75"/>
    <row r="2422" customFormat="1" ht="15.75"/>
    <row r="2423" customFormat="1" ht="15.75"/>
    <row r="2424" customFormat="1" ht="15.75"/>
    <row r="2425" customFormat="1" ht="15.75"/>
    <row r="2426" customFormat="1" ht="15.75"/>
    <row r="2427" customFormat="1" ht="15.75"/>
    <row r="2428" customFormat="1" ht="15.75"/>
    <row r="2429" customFormat="1" ht="15.75"/>
    <row r="2430" customFormat="1" ht="15.75"/>
    <row r="2431" customFormat="1" ht="15.75"/>
    <row r="2432" customFormat="1" ht="15.75"/>
    <row r="2433" customFormat="1" ht="15.75"/>
    <row r="2434" customFormat="1" ht="15.75"/>
    <row r="2435" customFormat="1" ht="15.75"/>
    <row r="2436" customFormat="1" ht="15.75"/>
    <row r="2437" customFormat="1" ht="15.75"/>
    <row r="2438" customFormat="1" ht="15.75"/>
    <row r="2439" customFormat="1" ht="15.75"/>
    <row r="2440" customFormat="1" ht="15.75"/>
    <row r="2441" customFormat="1" ht="15.75"/>
    <row r="2442" customFormat="1" ht="15.75"/>
    <row r="2443" customFormat="1" ht="15.75"/>
    <row r="2444" customFormat="1" ht="15.75"/>
    <row r="2445" customFormat="1" ht="15.75"/>
    <row r="2446" customFormat="1" ht="15.75"/>
    <row r="2447" customFormat="1" ht="15.75"/>
    <row r="2448" customFormat="1" ht="15.75"/>
    <row r="2449" customFormat="1" ht="15.75"/>
    <row r="2450" customFormat="1" ht="15.75"/>
    <row r="2451" customFormat="1" ht="15.75"/>
    <row r="2452" customFormat="1" ht="15.75"/>
    <row r="2453" customFormat="1" ht="15.75"/>
    <row r="2454" customFormat="1" ht="15.75"/>
    <row r="2455" customFormat="1" ht="15.75"/>
    <row r="2456" customFormat="1" ht="15.75"/>
    <row r="2457" customFormat="1" ht="15.75"/>
    <row r="2458" customFormat="1" ht="15.75"/>
    <row r="2459" customFormat="1" ht="15.75"/>
    <row r="2460" customFormat="1" ht="15.75"/>
    <row r="2461" customFormat="1" ht="15.75"/>
    <row r="2462" customFormat="1" ht="15.75"/>
    <row r="2463" customFormat="1" ht="15.75"/>
    <row r="2464" customFormat="1" ht="15.75"/>
    <row r="2465" customFormat="1" ht="15.75"/>
    <row r="2466" customFormat="1" ht="15.75"/>
    <row r="2467" customFormat="1" ht="15.75"/>
    <row r="2468" customFormat="1" ht="15.75"/>
    <row r="2469" customFormat="1" ht="15.75"/>
    <row r="2470" customFormat="1" ht="15.75"/>
    <row r="2471" customFormat="1" ht="15.75"/>
    <row r="2472" customFormat="1" ht="15.75"/>
    <row r="2473" customFormat="1" ht="15.75"/>
    <row r="2474" customFormat="1" ht="15.75"/>
    <row r="2475" customFormat="1" ht="15.75"/>
    <row r="2476" customFormat="1" ht="15.75"/>
    <row r="2477" customFormat="1" ht="15.75"/>
    <row r="2478" customFormat="1" ht="15.75"/>
    <row r="2479" customFormat="1" ht="15.75"/>
    <row r="2480" customFormat="1" ht="15.75"/>
    <row r="2481" customFormat="1" ht="15.75"/>
    <row r="2482" customFormat="1" ht="15.75"/>
    <row r="2483" customFormat="1" ht="15.75"/>
    <row r="2484" customFormat="1" ht="15.75"/>
    <row r="2485" customFormat="1" ht="15.75"/>
    <row r="2486" customFormat="1" ht="15.75"/>
    <row r="2487" customFormat="1" ht="15.75"/>
    <row r="2488" customFormat="1" ht="15.75"/>
    <row r="2489" customFormat="1" ht="15.75"/>
    <row r="2490" customFormat="1" ht="15.75"/>
    <row r="2491" customFormat="1" ht="15.75"/>
    <row r="2492" customFormat="1" ht="15.75"/>
    <row r="2493" customFormat="1" ht="15.75"/>
    <row r="2494" customFormat="1" ht="15.75"/>
    <row r="2495" customFormat="1" ht="15.75"/>
    <row r="2496" customFormat="1" ht="15.75"/>
    <row r="2497" customFormat="1" ht="15.75"/>
    <row r="2498" customFormat="1" ht="15.75"/>
    <row r="2499" customFormat="1" ht="15.75"/>
    <row r="2500" customFormat="1" ht="15.75"/>
    <row r="2501" customFormat="1" ht="15.75"/>
    <row r="2502" customFormat="1" ht="15.75"/>
    <row r="2503" customFormat="1" ht="15.75"/>
    <row r="2504" customFormat="1" ht="15.75"/>
    <row r="2505" customFormat="1" ht="15.75"/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Plan29">
    <tabColor theme="0" tint="-0.499984740745262"/>
  </sheetPr>
  <dimension ref="A1:EH474"/>
  <sheetViews>
    <sheetView zoomScale="60" zoomScaleNormal="60" workbookViewId="0">
      <selection sqref="A1:H1048576"/>
    </sheetView>
  </sheetViews>
  <sheetFormatPr defaultColWidth="9.140625" defaultRowHeight="15"/>
  <cols>
    <col min="1" max="1" width="12.7109375" style="504" bestFit="1" customWidth="1"/>
    <col min="2" max="2" width="12.5703125" style="504" bestFit="1" customWidth="1"/>
    <col min="3" max="3" width="10.140625" style="504" customWidth="1"/>
    <col min="4" max="4" width="50.42578125" style="504" bestFit="1" customWidth="1"/>
    <col min="5" max="5" width="41.140625" style="504" bestFit="1" customWidth="1"/>
    <col min="6" max="6" width="43.28515625" style="504" bestFit="1" customWidth="1"/>
    <col min="7" max="7" width="34.7109375" style="504" bestFit="1" customWidth="1"/>
    <col min="8" max="8" width="42.7109375" style="504" bestFit="1" customWidth="1"/>
    <col min="9" max="9" width="33.42578125" style="504" bestFit="1" customWidth="1"/>
    <col min="10" max="10" width="25.42578125" style="504" bestFit="1" customWidth="1"/>
    <col min="11" max="11" width="30.85546875" style="504" bestFit="1" customWidth="1"/>
    <col min="12" max="14" width="13" style="504" customWidth="1"/>
    <col min="15" max="15" width="12.5703125" style="504" bestFit="1" customWidth="1"/>
    <col min="16" max="16" width="12.5703125" style="504" customWidth="1"/>
    <col min="17" max="19" width="13" style="504" customWidth="1"/>
    <col min="20" max="20" width="41.140625" style="504" customWidth="1"/>
    <col min="21" max="22" width="13" style="504" customWidth="1"/>
    <col min="23" max="33" width="13" style="504" bestFit="1" customWidth="1"/>
    <col min="34" max="36" width="12.5703125" style="504" bestFit="1" customWidth="1"/>
    <col min="37" max="37" width="49.42578125" style="504" bestFit="1" customWidth="1"/>
    <col min="38" max="38" width="17.5703125" style="504" bestFit="1" customWidth="1"/>
    <col min="39" max="39" width="18" style="504" bestFit="1" customWidth="1"/>
    <col min="40" max="40" width="17.5703125" style="504" bestFit="1" customWidth="1"/>
    <col min="41" max="41" width="18" style="504" bestFit="1" customWidth="1"/>
    <col min="42" max="42" width="17" style="504" bestFit="1" customWidth="1"/>
    <col min="43" max="43" width="17.5703125" style="504" bestFit="1" customWidth="1"/>
    <col min="44" max="44" width="18" style="504" bestFit="1" customWidth="1"/>
    <col min="45" max="47" width="17.5703125" style="504" bestFit="1" customWidth="1"/>
    <col min="48" max="48" width="17" style="504" bestFit="1" customWidth="1"/>
    <col min="49" max="51" width="17.5703125" style="504" bestFit="1" customWidth="1"/>
    <col min="52" max="52" width="17" style="504" bestFit="1" customWidth="1"/>
    <col min="53" max="53" width="17.5703125" style="504" bestFit="1" customWidth="1"/>
    <col min="54" max="54" width="40.85546875" style="504" bestFit="1" customWidth="1"/>
    <col min="55" max="70" width="10.140625" style="504" bestFit="1" customWidth="1"/>
    <col min="71" max="71" width="42.7109375" style="504" bestFit="1" customWidth="1"/>
    <col min="72" max="72" width="16.5703125" style="504" bestFit="1" customWidth="1"/>
    <col min="73" max="75" width="17.5703125" style="504" bestFit="1" customWidth="1"/>
    <col min="76" max="76" width="17" style="504" bestFit="1" customWidth="1"/>
    <col min="77" max="77" width="17.5703125" style="504" bestFit="1" customWidth="1"/>
    <col min="78" max="79" width="17" style="504" bestFit="1" customWidth="1"/>
    <col min="80" max="80" width="17.5703125" style="504" bestFit="1" customWidth="1"/>
    <col min="81" max="82" width="17" style="504" bestFit="1" customWidth="1"/>
    <col min="83" max="84" width="17.5703125" style="504" bestFit="1" customWidth="1"/>
    <col min="85" max="86" width="18" style="504" bestFit="1" customWidth="1"/>
    <col min="87" max="87" width="17" style="504" bestFit="1" customWidth="1"/>
    <col min="88" max="88" width="33.42578125" style="504" bestFit="1" customWidth="1"/>
    <col min="89" max="104" width="10.140625" style="504" bestFit="1" customWidth="1"/>
    <col min="105" max="105" width="25.42578125" style="504" bestFit="1" customWidth="1"/>
    <col min="106" max="119" width="10.140625" style="504" bestFit="1" customWidth="1"/>
    <col min="120" max="120" width="11.140625" style="504" bestFit="1" customWidth="1"/>
    <col min="121" max="121" width="10.140625" style="504" bestFit="1" customWidth="1"/>
    <col min="122" max="122" width="30.85546875" style="504" bestFit="1" customWidth="1"/>
    <col min="123" max="123" width="13.42578125" style="504" bestFit="1" customWidth="1"/>
    <col min="124" max="125" width="14" style="504" bestFit="1" customWidth="1"/>
    <col min="126" max="126" width="13.42578125" style="504" bestFit="1" customWidth="1"/>
    <col min="127" max="127" width="14.42578125" style="504" bestFit="1" customWidth="1"/>
    <col min="128" max="130" width="14" style="504" bestFit="1" customWidth="1"/>
    <col min="131" max="131" width="14.42578125" style="504" bestFit="1" customWidth="1"/>
    <col min="132" max="132" width="14" style="504" bestFit="1" customWidth="1"/>
    <col min="133" max="133" width="14.42578125" style="504" bestFit="1" customWidth="1"/>
    <col min="134" max="134" width="14" style="504" bestFit="1" customWidth="1"/>
    <col min="135" max="135" width="13.42578125" style="504" bestFit="1" customWidth="1"/>
    <col min="136" max="138" width="14.42578125" style="504" bestFit="1" customWidth="1"/>
    <col min="139" max="16384" width="9.140625" style="504"/>
  </cols>
  <sheetData>
    <row r="1" spans="1:138">
      <c r="A1" s="1466" t="s">
        <v>1781</v>
      </c>
      <c r="B1" s="504">
        <f>YEAR(SAS_RA0_DataInicio)*100+MONTH(SAS_RA0_DataInicio)</f>
        <v>202107</v>
      </c>
      <c r="D1" s="1466" t="s">
        <v>1782</v>
      </c>
      <c r="E1" s="1466" t="s">
        <v>1783</v>
      </c>
      <c r="F1" s="1466" t="s">
        <v>1784</v>
      </c>
    </row>
    <row r="2" spans="1:138" ht="15.75">
      <c r="A2" s="1466" t="s">
        <v>1785</v>
      </c>
      <c r="B2" s="504">
        <f>YEAR(SAS_RA0_DataFim)*100+MONTH(SAS_RA0_DataFim)</f>
        <v>202206</v>
      </c>
      <c r="D2" s="1467" t="str">
        <f>UPPER(VLOOKUP(LnkTXTSigla,Informacoes[],9,FALSE))</f>
        <v>ELETROPAULO</v>
      </c>
      <c r="E2" s="504">
        <f>IF(_xlfn.MAXIFS(C:C,A:A,D2)&gt;B2,B2,_xlfn.MAXIFS(C:C,A:A,D2))</f>
        <v>0</v>
      </c>
      <c r="F2" s="506">
        <f>YEAR(SAS_RA0_DataFim)*100+MONTH(SAS_RA0_DataFim)-E2+1</f>
        <v>202207</v>
      </c>
    </row>
    <row r="3" spans="1:138" ht="15.75">
      <c r="A3" s="1468" t="s">
        <v>253</v>
      </c>
      <c r="B3" s="506">
        <f>YEAR(SAS_RA0_DataFim)*100+MONTH(SAS_RA0_DataFim)-MAX(C:C)+1</f>
        <v>202207</v>
      </c>
      <c r="D3" s="1467" t="str">
        <f>UPPER(VLOOKUP(LnkTXTSigla,Informacoes[],11,FALSE))</f>
        <v/>
      </c>
      <c r="E3" s="504">
        <f>IF(_xlfn.MAXIFS(C:C,A:A,D3)&gt;B2,B2,_xlfn.MAXIFS(C:C,A:A,D3))</f>
        <v>0</v>
      </c>
      <c r="F3" s="506">
        <f>YEAR(SAS_RA0_DataFim)*100+MONTH(SAS_RA0_DataFim)-E3+1</f>
        <v>202207</v>
      </c>
    </row>
    <row r="4" spans="1:138" ht="15.75">
      <c r="A4" s="518" t="s">
        <v>1786</v>
      </c>
      <c r="B4" s="519" t="s">
        <v>1787</v>
      </c>
    </row>
    <row r="6" spans="1:138" ht="15.75">
      <c r="A6" s="790"/>
      <c r="B6" s="791"/>
      <c r="C6" s="791"/>
      <c r="D6" s="519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</row>
    <row r="7" spans="1:138" s="505" customFormat="1" ht="15.75">
      <c r="A7"/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</row>
    <row r="8" spans="1:138" s="505" customFormat="1" ht="15.75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</row>
    <row r="9" spans="1:138" ht="15.75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</row>
    <row r="10" spans="1:138" ht="15.7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</row>
    <row r="11" spans="1:138" ht="15.75">
      <c r="A11"/>
      <c r="B11"/>
      <c r="C11"/>
      <c r="D11"/>
      <c r="E11"/>
      <c r="F11"/>
      <c r="G11"/>
      <c r="H11"/>
      <c r="I11"/>
      <c r="J11"/>
      <c r="K11"/>
      <c r="L11"/>
    </row>
    <row r="12" spans="1:138" ht="15.75">
      <c r="A12"/>
      <c r="B12"/>
      <c r="C12"/>
      <c r="D12"/>
      <c r="E12"/>
      <c r="F12"/>
      <c r="G12"/>
      <c r="H12"/>
      <c r="I12"/>
      <c r="J12"/>
      <c r="K12"/>
      <c r="L12"/>
    </row>
    <row r="13" spans="1:138" ht="15.75">
      <c r="A13"/>
      <c r="B13"/>
      <c r="C13"/>
      <c r="D13"/>
      <c r="E13"/>
      <c r="F13"/>
      <c r="G13"/>
      <c r="H13"/>
      <c r="I13"/>
      <c r="J13"/>
      <c r="K13"/>
      <c r="L13"/>
    </row>
    <row r="14" spans="1:138" ht="15.75">
      <c r="A14"/>
      <c r="B14"/>
      <c r="C14"/>
      <c r="D14"/>
      <c r="E14"/>
      <c r="F14"/>
      <c r="G14"/>
      <c r="H14"/>
      <c r="I14"/>
      <c r="J14"/>
      <c r="K14"/>
      <c r="L14"/>
    </row>
    <row r="15" spans="1:138" ht="15.75">
      <c r="A15"/>
      <c r="B15"/>
      <c r="C15"/>
      <c r="D15"/>
      <c r="E15"/>
      <c r="F15"/>
      <c r="G15"/>
      <c r="H15"/>
      <c r="I15"/>
      <c r="J15"/>
      <c r="K15"/>
      <c r="L15"/>
    </row>
    <row r="16" spans="1:138" ht="15.75">
      <c r="A16"/>
      <c r="B16"/>
      <c r="C16"/>
      <c r="D16"/>
      <c r="E16"/>
      <c r="F16"/>
      <c r="G16"/>
      <c r="H16"/>
      <c r="I16"/>
      <c r="J16"/>
      <c r="K16"/>
      <c r="L16"/>
    </row>
    <row r="17" spans="1:12" ht="15.75">
      <c r="A17"/>
      <c r="B17"/>
      <c r="C17"/>
      <c r="D17"/>
      <c r="E17"/>
      <c r="F17"/>
      <c r="G17"/>
      <c r="H17"/>
      <c r="I17"/>
      <c r="J17"/>
      <c r="K17"/>
      <c r="L17"/>
    </row>
    <row r="18" spans="1:12" ht="15.75">
      <c r="A18"/>
      <c r="B18"/>
      <c r="C18"/>
      <c r="D18"/>
      <c r="E18"/>
      <c r="F18"/>
      <c r="G18"/>
      <c r="H18"/>
      <c r="I18"/>
      <c r="J18"/>
      <c r="K18"/>
      <c r="L18"/>
    </row>
    <row r="19" spans="1:12" ht="15.75">
      <c r="A19"/>
      <c r="B19"/>
      <c r="C19"/>
      <c r="D19"/>
      <c r="E19"/>
      <c r="F19"/>
      <c r="G19"/>
      <c r="H19"/>
      <c r="I19"/>
      <c r="J19"/>
      <c r="K19"/>
      <c r="L19"/>
    </row>
    <row r="20" spans="1:12" ht="15.75">
      <c r="A20"/>
      <c r="B20"/>
      <c r="C20"/>
      <c r="D20"/>
      <c r="E20"/>
      <c r="F20"/>
      <c r="G20"/>
      <c r="H20"/>
      <c r="I20"/>
      <c r="J20"/>
      <c r="K20"/>
      <c r="L20"/>
    </row>
    <row r="21" spans="1:12" ht="15.75">
      <c r="A21"/>
      <c r="B21"/>
      <c r="C21"/>
      <c r="D21"/>
      <c r="E21"/>
      <c r="F21"/>
      <c r="G21"/>
      <c r="H21"/>
      <c r="I21"/>
      <c r="J21"/>
      <c r="K21"/>
      <c r="L21"/>
    </row>
    <row r="22" spans="1:12" ht="15.75">
      <c r="A22"/>
      <c r="B22"/>
      <c r="C22"/>
      <c r="D22"/>
      <c r="E22"/>
      <c r="F22"/>
      <c r="G22"/>
      <c r="H22"/>
      <c r="I22"/>
      <c r="J22"/>
      <c r="K22"/>
      <c r="L22"/>
    </row>
    <row r="23" spans="1:12" ht="15.75">
      <c r="A23"/>
      <c r="B23"/>
      <c r="C23"/>
      <c r="D23"/>
      <c r="E23"/>
      <c r="F23"/>
      <c r="G23"/>
      <c r="H23"/>
      <c r="I23"/>
      <c r="J23"/>
      <c r="K23"/>
      <c r="L23"/>
    </row>
    <row r="24" spans="1:12" ht="15.75">
      <c r="A24"/>
      <c r="B24"/>
      <c r="C24"/>
      <c r="D24"/>
      <c r="E24"/>
      <c r="F24"/>
      <c r="G24"/>
      <c r="H24"/>
      <c r="I24"/>
      <c r="J24"/>
      <c r="K24"/>
      <c r="L24"/>
    </row>
    <row r="25" spans="1:12" ht="15.75">
      <c r="A25"/>
      <c r="B25"/>
      <c r="C25"/>
      <c r="D25"/>
      <c r="E25"/>
      <c r="F25"/>
      <c r="G25"/>
      <c r="H25"/>
      <c r="I25"/>
      <c r="J25"/>
      <c r="K25"/>
      <c r="L25"/>
    </row>
    <row r="26" spans="1:12" ht="15.75">
      <c r="A26"/>
      <c r="B26"/>
      <c r="C26"/>
      <c r="D26"/>
      <c r="E26"/>
      <c r="F26"/>
      <c r="G26"/>
      <c r="H26"/>
      <c r="I26"/>
      <c r="J26"/>
      <c r="K26"/>
      <c r="L26"/>
    </row>
    <row r="27" spans="1:12" ht="15.75">
      <c r="A27"/>
      <c r="B27"/>
      <c r="C27"/>
      <c r="D27"/>
      <c r="E27"/>
      <c r="F27"/>
      <c r="G27"/>
      <c r="H27"/>
      <c r="I27"/>
      <c r="J27"/>
      <c r="K27"/>
      <c r="L27"/>
    </row>
    <row r="28" spans="1:12" ht="15.75">
      <c r="A28"/>
      <c r="B28"/>
      <c r="C28"/>
      <c r="D28"/>
      <c r="E28"/>
      <c r="F28"/>
      <c r="G28"/>
      <c r="H28"/>
      <c r="I28"/>
      <c r="J28"/>
      <c r="K28"/>
      <c r="L28"/>
    </row>
    <row r="29" spans="1:12" ht="15.75">
      <c r="A29"/>
      <c r="B29"/>
      <c r="C29"/>
      <c r="D29"/>
      <c r="E29"/>
      <c r="F29"/>
      <c r="G29"/>
      <c r="H29"/>
      <c r="I29"/>
      <c r="J29"/>
      <c r="K29"/>
      <c r="L29"/>
    </row>
    <row r="30" spans="1:12" ht="15.75">
      <c r="A30"/>
      <c r="B30"/>
      <c r="C30"/>
      <c r="D30"/>
      <c r="E30"/>
      <c r="F30"/>
      <c r="G30"/>
      <c r="H30"/>
      <c r="I30"/>
      <c r="J30"/>
      <c r="K30"/>
      <c r="L30"/>
    </row>
    <row r="31" spans="1:12" ht="15.75">
      <c r="A31"/>
      <c r="B31"/>
      <c r="C31"/>
      <c r="D31"/>
      <c r="E31"/>
      <c r="F31"/>
      <c r="G31"/>
      <c r="H31"/>
      <c r="I31"/>
      <c r="J31"/>
      <c r="K31"/>
      <c r="L31"/>
    </row>
    <row r="32" spans="1:12" ht="15.75">
      <c r="A32"/>
      <c r="B32"/>
      <c r="C32"/>
      <c r="D32"/>
      <c r="E32"/>
      <c r="F32"/>
      <c r="G32"/>
      <c r="H32"/>
      <c r="I32"/>
      <c r="J32"/>
      <c r="K32"/>
      <c r="L32"/>
    </row>
    <row r="33" spans="1:20" ht="15.75">
      <c r="A33"/>
      <c r="B33"/>
      <c r="C33"/>
      <c r="D33"/>
      <c r="E33"/>
      <c r="F33"/>
      <c r="G33"/>
      <c r="H33"/>
      <c r="I33"/>
      <c r="J33"/>
      <c r="K33"/>
      <c r="L33"/>
    </row>
    <row r="34" spans="1:20" ht="15.75">
      <c r="A34"/>
      <c r="B34"/>
      <c r="C34"/>
      <c r="D34"/>
      <c r="E34"/>
      <c r="F34"/>
      <c r="G34"/>
      <c r="H34"/>
      <c r="I34"/>
      <c r="J34"/>
      <c r="K34"/>
      <c r="L34"/>
    </row>
    <row r="35" spans="1:20" ht="15.75">
      <c r="A35"/>
      <c r="B35"/>
      <c r="C35"/>
      <c r="D35"/>
      <c r="E35"/>
      <c r="F35"/>
      <c r="G35"/>
      <c r="H35"/>
      <c r="I35"/>
      <c r="J35"/>
      <c r="K35"/>
      <c r="L35"/>
    </row>
    <row r="36" spans="1:20" ht="15.75">
      <c r="A36"/>
      <c r="B36"/>
      <c r="C36"/>
      <c r="D36"/>
      <c r="E36"/>
      <c r="F36"/>
      <c r="G36"/>
      <c r="H36"/>
      <c r="I36"/>
      <c r="J36"/>
      <c r="K36"/>
      <c r="L36"/>
    </row>
    <row r="37" spans="1:20" ht="15.75">
      <c r="A37"/>
      <c r="B37"/>
      <c r="C37"/>
      <c r="D37"/>
      <c r="E37"/>
      <c r="F37"/>
      <c r="G37"/>
      <c r="H37"/>
      <c r="I37"/>
      <c r="J37"/>
      <c r="K37"/>
      <c r="L37"/>
    </row>
    <row r="38" spans="1:20" ht="15.75">
      <c r="A38"/>
      <c r="B38"/>
      <c r="C38"/>
      <c r="D38"/>
      <c r="E38"/>
      <c r="F38"/>
      <c r="G38"/>
      <c r="H38"/>
      <c r="I38"/>
      <c r="J38"/>
      <c r="K38"/>
      <c r="L38"/>
    </row>
    <row r="39" spans="1:20" ht="15.75">
      <c r="A39"/>
      <c r="B39"/>
      <c r="C39"/>
      <c r="D39"/>
      <c r="E39"/>
      <c r="F39"/>
      <c r="G39"/>
      <c r="H39"/>
      <c r="I39"/>
      <c r="J39"/>
      <c r="K39"/>
      <c r="L39"/>
    </row>
    <row r="40" spans="1:20" ht="15.75">
      <c r="A40"/>
      <c r="B40"/>
      <c r="C40"/>
      <c r="D40"/>
      <c r="E40"/>
      <c r="F40"/>
      <c r="G40"/>
      <c r="H40"/>
      <c r="I40"/>
      <c r="J40"/>
      <c r="K40"/>
      <c r="L40"/>
    </row>
    <row r="41" spans="1:20" ht="15.75">
      <c r="A41"/>
      <c r="B41"/>
      <c r="C41"/>
      <c r="D41"/>
      <c r="E41"/>
      <c r="F41"/>
      <c r="G41"/>
      <c r="H41"/>
      <c r="I41"/>
      <c r="J41"/>
      <c r="K41"/>
      <c r="L41"/>
    </row>
    <row r="42" spans="1:20" ht="15.75">
      <c r="A42"/>
      <c r="B42"/>
      <c r="C42"/>
      <c r="D42"/>
      <c r="E42"/>
      <c r="F42"/>
      <c r="G42"/>
      <c r="H42"/>
      <c r="I42"/>
      <c r="J42"/>
      <c r="K42"/>
    </row>
    <row r="43" spans="1:20" ht="15.75">
      <c r="A43"/>
      <c r="B43"/>
      <c r="C43"/>
      <c r="D43"/>
      <c r="E43"/>
      <c r="F43"/>
      <c r="G43"/>
      <c r="H43"/>
      <c r="I43"/>
      <c r="J43"/>
      <c r="K43"/>
    </row>
    <row r="44" spans="1:20" ht="15.75">
      <c r="A44"/>
      <c r="B44"/>
      <c r="C44"/>
      <c r="D44"/>
      <c r="E44"/>
      <c r="F44"/>
      <c r="G44"/>
      <c r="H44"/>
      <c r="I44"/>
      <c r="J44"/>
      <c r="K44"/>
    </row>
    <row r="45" spans="1:20" ht="15.75">
      <c r="A45"/>
      <c r="B45"/>
      <c r="C45"/>
      <c r="D45"/>
      <c r="E45"/>
      <c r="F45"/>
      <c r="G45"/>
      <c r="H45"/>
      <c r="I45"/>
      <c r="J45"/>
      <c r="K45"/>
    </row>
    <row r="46" spans="1:20" ht="15.75">
      <c r="A46"/>
      <c r="B46"/>
      <c r="C46"/>
      <c r="D46"/>
      <c r="E46"/>
      <c r="F46"/>
      <c r="G46"/>
      <c r="H46"/>
      <c r="I46"/>
      <c r="J46"/>
      <c r="K46"/>
      <c r="M46"/>
      <c r="N46"/>
      <c r="O46"/>
      <c r="P46"/>
      <c r="Q46"/>
      <c r="R46"/>
      <c r="S46"/>
      <c r="T46"/>
    </row>
    <row r="47" spans="1:20" ht="15.75">
      <c r="A47"/>
      <c r="B47"/>
      <c r="C47"/>
      <c r="D47"/>
      <c r="E47"/>
      <c r="F47"/>
      <c r="G47"/>
      <c r="H47"/>
      <c r="I47"/>
      <c r="J47"/>
      <c r="K47"/>
    </row>
    <row r="48" spans="1:20" ht="15.75">
      <c r="A48"/>
      <c r="B48"/>
      <c r="C48"/>
      <c r="D48"/>
      <c r="E48"/>
      <c r="F48"/>
      <c r="G48"/>
      <c r="H48"/>
      <c r="I48"/>
      <c r="J48"/>
      <c r="K48"/>
    </row>
    <row r="49" spans="1:11" ht="15.75">
      <c r="A49"/>
      <c r="B49"/>
      <c r="C49"/>
      <c r="D49"/>
      <c r="E49"/>
      <c r="F49"/>
      <c r="G49"/>
      <c r="H49"/>
      <c r="I49"/>
      <c r="J49"/>
      <c r="K49"/>
    </row>
    <row r="50" spans="1:11" ht="15.75">
      <c r="A50"/>
      <c r="B50"/>
      <c r="C50"/>
      <c r="D50"/>
      <c r="E50"/>
      <c r="F50"/>
      <c r="G50"/>
      <c r="H50"/>
      <c r="I50"/>
      <c r="J50"/>
      <c r="K50"/>
    </row>
    <row r="51" spans="1:11" ht="15.75">
      <c r="A51"/>
      <c r="B51"/>
      <c r="C51"/>
      <c r="D51"/>
      <c r="E51"/>
      <c r="F51"/>
      <c r="G51"/>
      <c r="H51"/>
      <c r="I51"/>
      <c r="J51"/>
      <c r="K51"/>
    </row>
    <row r="52" spans="1:11" ht="15.75">
      <c r="A52"/>
      <c r="B52"/>
      <c r="C52"/>
      <c r="D52"/>
      <c r="E52"/>
      <c r="F52"/>
      <c r="G52"/>
      <c r="H52"/>
      <c r="I52"/>
      <c r="J52"/>
      <c r="K52"/>
    </row>
    <row r="53" spans="1:11" ht="15.75">
      <c r="A53"/>
      <c r="B53"/>
      <c r="C53"/>
      <c r="D53"/>
      <c r="E53"/>
      <c r="F53"/>
      <c r="G53"/>
      <c r="H53"/>
      <c r="I53"/>
      <c r="J53"/>
      <c r="K53"/>
    </row>
    <row r="54" spans="1:11" ht="15.75">
      <c r="A54"/>
      <c r="B54"/>
      <c r="C54"/>
      <c r="D54"/>
      <c r="E54"/>
      <c r="F54"/>
      <c r="G54"/>
      <c r="H54"/>
      <c r="I54"/>
      <c r="J54"/>
      <c r="K54"/>
    </row>
    <row r="55" spans="1:11" ht="15.75">
      <c r="A55"/>
      <c r="B55"/>
      <c r="C55"/>
      <c r="D55"/>
      <c r="E55"/>
      <c r="F55"/>
      <c r="G55"/>
      <c r="H55"/>
      <c r="I55"/>
      <c r="J55"/>
      <c r="K55"/>
    </row>
    <row r="56" spans="1:11" ht="15.75">
      <c r="A56"/>
      <c r="B56"/>
      <c r="C56"/>
      <c r="D56"/>
      <c r="E56"/>
      <c r="F56"/>
      <c r="G56"/>
      <c r="H56"/>
      <c r="I56"/>
      <c r="J56"/>
      <c r="K56"/>
    </row>
    <row r="57" spans="1:11" ht="15.75">
      <c r="A57"/>
      <c r="B57"/>
      <c r="C57"/>
      <c r="D57"/>
      <c r="E57"/>
      <c r="F57"/>
      <c r="G57"/>
      <c r="H57"/>
      <c r="I57"/>
      <c r="J57"/>
      <c r="K57"/>
    </row>
    <row r="58" spans="1:11" ht="15.75">
      <c r="A58"/>
      <c r="B58"/>
      <c r="C58"/>
      <c r="D58"/>
      <c r="E58"/>
      <c r="F58"/>
      <c r="G58"/>
      <c r="H58"/>
      <c r="I58"/>
      <c r="J58"/>
      <c r="K58"/>
    </row>
    <row r="59" spans="1:11" ht="15.75">
      <c r="A59"/>
      <c r="B59"/>
      <c r="C59"/>
      <c r="D59"/>
      <c r="E59"/>
      <c r="F59"/>
      <c r="G59"/>
      <c r="H59"/>
      <c r="I59"/>
      <c r="J59"/>
      <c r="K59"/>
    </row>
    <row r="60" spans="1:11" ht="15.75">
      <c r="A60"/>
      <c r="B60"/>
      <c r="C60"/>
      <c r="D60"/>
      <c r="E60"/>
      <c r="F60"/>
      <c r="G60"/>
      <c r="H60"/>
      <c r="I60"/>
      <c r="J60"/>
      <c r="K60"/>
    </row>
    <row r="61" spans="1:11" ht="15.75">
      <c r="A61"/>
      <c r="B61"/>
      <c r="C61"/>
      <c r="D61"/>
      <c r="E61"/>
      <c r="F61"/>
      <c r="G61"/>
      <c r="H61"/>
      <c r="I61"/>
      <c r="J61"/>
      <c r="K61"/>
    </row>
    <row r="62" spans="1:11" ht="15.75">
      <c r="A62"/>
      <c r="B62"/>
      <c r="C62"/>
      <c r="D62"/>
      <c r="E62"/>
      <c r="F62"/>
      <c r="G62"/>
      <c r="H62"/>
      <c r="I62"/>
      <c r="J62"/>
      <c r="K62"/>
    </row>
    <row r="63" spans="1:11" ht="15.75">
      <c r="A63"/>
      <c r="B63"/>
      <c r="C63"/>
      <c r="D63"/>
      <c r="E63"/>
      <c r="F63"/>
      <c r="G63"/>
      <c r="H63"/>
      <c r="I63"/>
      <c r="J63"/>
      <c r="K63"/>
    </row>
    <row r="64" spans="1:11" ht="15.75">
      <c r="A64"/>
      <c r="B64"/>
      <c r="C64"/>
      <c r="D64"/>
      <c r="E64"/>
      <c r="F64"/>
      <c r="G64"/>
      <c r="H64"/>
      <c r="I64"/>
      <c r="J64"/>
      <c r="K64"/>
    </row>
    <row r="65" spans="1:11" ht="15.75">
      <c r="A65"/>
      <c r="B65"/>
      <c r="C65"/>
      <c r="D65"/>
      <c r="E65"/>
      <c r="F65"/>
      <c r="G65"/>
      <c r="H65"/>
      <c r="I65"/>
      <c r="J65"/>
      <c r="K65"/>
    </row>
    <row r="66" spans="1:11" ht="15.75">
      <c r="A66"/>
      <c r="B66"/>
      <c r="C66"/>
      <c r="D66"/>
      <c r="E66"/>
      <c r="F66"/>
      <c r="G66"/>
      <c r="H66"/>
      <c r="I66"/>
      <c r="J66"/>
      <c r="K66"/>
    </row>
    <row r="67" spans="1:11" ht="15.75">
      <c r="A67"/>
      <c r="B67"/>
      <c r="C67"/>
      <c r="D67"/>
      <c r="E67"/>
      <c r="F67"/>
      <c r="G67"/>
      <c r="H67"/>
      <c r="I67"/>
      <c r="J67"/>
      <c r="K67"/>
    </row>
    <row r="68" spans="1:11" ht="15.75">
      <c r="A68"/>
      <c r="B68"/>
      <c r="C68"/>
      <c r="D68"/>
      <c r="E68"/>
      <c r="F68"/>
      <c r="G68"/>
      <c r="H68"/>
      <c r="I68"/>
      <c r="J68"/>
      <c r="K68"/>
    </row>
    <row r="69" spans="1:11" ht="15.75">
      <c r="A69"/>
      <c r="B69"/>
      <c r="C69"/>
      <c r="D69"/>
      <c r="E69"/>
      <c r="F69"/>
      <c r="G69"/>
      <c r="H69"/>
      <c r="I69"/>
      <c r="J69"/>
      <c r="K69"/>
    </row>
    <row r="70" spans="1:11" ht="15.75">
      <c r="A70"/>
      <c r="B70"/>
      <c r="C70"/>
      <c r="D70"/>
      <c r="E70"/>
      <c r="F70"/>
      <c r="G70"/>
      <c r="H70"/>
      <c r="I70"/>
      <c r="J70"/>
      <c r="K70"/>
    </row>
    <row r="71" spans="1:11" ht="15.75">
      <c r="A71"/>
      <c r="B71"/>
      <c r="C71"/>
      <c r="D71"/>
      <c r="E71"/>
      <c r="F71"/>
      <c r="G71"/>
      <c r="H71"/>
      <c r="I71"/>
      <c r="J71"/>
      <c r="K71"/>
    </row>
    <row r="72" spans="1:11" ht="15.75">
      <c r="A72"/>
      <c r="B72"/>
      <c r="C72"/>
      <c r="D72"/>
      <c r="E72"/>
      <c r="F72"/>
      <c r="G72"/>
      <c r="H72"/>
      <c r="I72"/>
      <c r="J72"/>
      <c r="K72"/>
    </row>
    <row r="73" spans="1:11" ht="15.75">
      <c r="A73"/>
      <c r="B73"/>
      <c r="C73"/>
      <c r="D73"/>
      <c r="E73"/>
      <c r="F73"/>
      <c r="G73"/>
      <c r="H73"/>
      <c r="I73"/>
      <c r="J73"/>
      <c r="K73"/>
    </row>
    <row r="74" spans="1:11" ht="15.75">
      <c r="A74"/>
      <c r="B74"/>
      <c r="C74"/>
      <c r="D74"/>
      <c r="E74"/>
      <c r="F74"/>
      <c r="G74"/>
      <c r="H74"/>
      <c r="I74"/>
      <c r="J74"/>
      <c r="K74"/>
    </row>
    <row r="75" spans="1:11" ht="15.75">
      <c r="A75"/>
      <c r="B75"/>
      <c r="C75"/>
      <c r="D75"/>
      <c r="E75"/>
      <c r="F75"/>
      <c r="G75"/>
      <c r="H75"/>
      <c r="I75"/>
      <c r="J75"/>
      <c r="K75"/>
    </row>
    <row r="76" spans="1:11" ht="15.75">
      <c r="A76"/>
      <c r="B76"/>
      <c r="C76"/>
      <c r="D76"/>
      <c r="E76"/>
      <c r="F76"/>
      <c r="G76"/>
      <c r="H76"/>
      <c r="I76"/>
      <c r="J76"/>
      <c r="K76"/>
    </row>
    <row r="77" spans="1:11" ht="15.75">
      <c r="A77"/>
      <c r="B77"/>
      <c r="C77"/>
      <c r="D77"/>
      <c r="E77"/>
      <c r="F77"/>
      <c r="G77"/>
      <c r="H77"/>
      <c r="I77"/>
      <c r="J77"/>
      <c r="K77"/>
    </row>
    <row r="78" spans="1:11" ht="15.75">
      <c r="A78"/>
      <c r="B78"/>
      <c r="C78"/>
      <c r="D78"/>
      <c r="E78"/>
      <c r="F78"/>
      <c r="G78"/>
      <c r="H78"/>
      <c r="I78"/>
      <c r="J78"/>
      <c r="K78"/>
    </row>
    <row r="79" spans="1:11" ht="15.75">
      <c r="A79"/>
      <c r="B79"/>
      <c r="C79"/>
      <c r="D79"/>
      <c r="E79"/>
      <c r="F79"/>
      <c r="G79"/>
      <c r="H79"/>
      <c r="I79"/>
      <c r="J79"/>
      <c r="K79"/>
    </row>
    <row r="80" spans="1:11" ht="15.75">
      <c r="A80"/>
      <c r="B80"/>
      <c r="C80"/>
      <c r="D80"/>
      <c r="E80"/>
      <c r="F80"/>
      <c r="G80"/>
      <c r="H80"/>
      <c r="I80"/>
      <c r="J80"/>
      <c r="K80"/>
    </row>
    <row r="81" spans="1:11" ht="15.75">
      <c r="A81"/>
      <c r="B81"/>
      <c r="C81"/>
      <c r="D81"/>
      <c r="E81"/>
      <c r="F81"/>
      <c r="G81"/>
      <c r="H81"/>
      <c r="I81"/>
      <c r="J81"/>
      <c r="K81"/>
    </row>
    <row r="82" spans="1:11" ht="15.75">
      <c r="A82"/>
      <c r="B82"/>
      <c r="C82"/>
      <c r="D82"/>
      <c r="E82"/>
      <c r="F82"/>
      <c r="G82"/>
      <c r="H82"/>
      <c r="I82"/>
      <c r="J82"/>
      <c r="K82"/>
    </row>
    <row r="83" spans="1:11" ht="15.75">
      <c r="A83"/>
      <c r="B83"/>
      <c r="C83"/>
      <c r="D83"/>
      <c r="E83"/>
      <c r="F83"/>
      <c r="G83"/>
      <c r="H83"/>
      <c r="I83"/>
      <c r="J83"/>
      <c r="K83"/>
    </row>
    <row r="84" spans="1:11" ht="15.75">
      <c r="A84"/>
      <c r="B84"/>
      <c r="C84"/>
      <c r="D84"/>
      <c r="E84"/>
      <c r="F84"/>
      <c r="G84"/>
      <c r="H84"/>
      <c r="I84"/>
      <c r="J84"/>
      <c r="K84"/>
    </row>
    <row r="85" spans="1:11" ht="15.75">
      <c r="A85"/>
      <c r="B85"/>
      <c r="C85"/>
      <c r="D85"/>
      <c r="E85"/>
      <c r="F85"/>
      <c r="G85"/>
      <c r="H85"/>
      <c r="I85"/>
      <c r="J85"/>
      <c r="K85"/>
    </row>
    <row r="86" spans="1:11" ht="15.75">
      <c r="A86"/>
      <c r="B86"/>
      <c r="C86"/>
      <c r="D86"/>
      <c r="E86"/>
      <c r="F86"/>
      <c r="G86"/>
      <c r="H86"/>
      <c r="I86"/>
      <c r="J86"/>
      <c r="K86"/>
    </row>
    <row r="87" spans="1:11" ht="15.75">
      <c r="A87"/>
      <c r="B87"/>
      <c r="C87"/>
      <c r="D87"/>
      <c r="E87"/>
      <c r="F87"/>
      <c r="G87"/>
      <c r="H87"/>
      <c r="I87"/>
      <c r="J87"/>
      <c r="K87"/>
    </row>
    <row r="88" spans="1:11" ht="15.75">
      <c r="A88"/>
      <c r="B88"/>
      <c r="C88"/>
      <c r="D88"/>
      <c r="E88"/>
      <c r="F88"/>
      <c r="G88"/>
      <c r="H88"/>
      <c r="I88"/>
      <c r="J88"/>
      <c r="K88"/>
    </row>
    <row r="89" spans="1:11" ht="15.75">
      <c r="A89"/>
      <c r="B89"/>
      <c r="C89"/>
      <c r="D89"/>
      <c r="E89"/>
      <c r="F89"/>
      <c r="G89"/>
      <c r="H89"/>
      <c r="I89"/>
      <c r="J89"/>
      <c r="K89"/>
    </row>
    <row r="90" spans="1:11" ht="15.75">
      <c r="A90"/>
      <c r="B90"/>
      <c r="C90"/>
      <c r="D90"/>
      <c r="E90"/>
      <c r="F90"/>
      <c r="G90"/>
      <c r="H90"/>
      <c r="I90"/>
      <c r="J90"/>
      <c r="K90"/>
    </row>
    <row r="91" spans="1:11" ht="15.75">
      <c r="A91"/>
      <c r="B91"/>
      <c r="C91"/>
      <c r="D91"/>
      <c r="E91"/>
      <c r="F91"/>
      <c r="G91"/>
      <c r="H91"/>
      <c r="I91"/>
      <c r="J91"/>
      <c r="K91"/>
    </row>
    <row r="92" spans="1:11" ht="15.75">
      <c r="A92"/>
      <c r="B92"/>
      <c r="C92"/>
      <c r="D92"/>
      <c r="E92"/>
      <c r="F92"/>
      <c r="G92"/>
      <c r="H92"/>
      <c r="I92"/>
      <c r="J92"/>
      <c r="K92"/>
    </row>
    <row r="93" spans="1:11" ht="15.75">
      <c r="A93"/>
      <c r="B93"/>
      <c r="C93"/>
      <c r="D93"/>
      <c r="E93"/>
      <c r="F93"/>
      <c r="G93"/>
      <c r="H93"/>
      <c r="I93"/>
      <c r="J93"/>
      <c r="K93"/>
    </row>
    <row r="94" spans="1:11" ht="15.75">
      <c r="A94"/>
      <c r="B94"/>
      <c r="C94"/>
      <c r="D94"/>
      <c r="E94"/>
      <c r="F94"/>
      <c r="G94"/>
      <c r="H94"/>
      <c r="I94"/>
      <c r="J94"/>
      <c r="K94"/>
    </row>
    <row r="95" spans="1:11" ht="15.75">
      <c r="A95"/>
      <c r="B95"/>
      <c r="C95"/>
      <c r="D95"/>
      <c r="E95"/>
      <c r="F95"/>
      <c r="G95"/>
      <c r="H95"/>
      <c r="I95"/>
      <c r="J95"/>
      <c r="K95"/>
    </row>
    <row r="96" spans="1:11" ht="15.75">
      <c r="A96"/>
      <c r="B96"/>
      <c r="C96"/>
      <c r="D96"/>
      <c r="E96"/>
      <c r="F96"/>
      <c r="G96"/>
      <c r="H96"/>
      <c r="I96"/>
      <c r="J96"/>
      <c r="K96"/>
    </row>
    <row r="97" spans="1:11" ht="15.75">
      <c r="A97"/>
      <c r="B97"/>
      <c r="C97"/>
      <c r="D97"/>
      <c r="E97"/>
      <c r="F97"/>
      <c r="G97"/>
      <c r="H97"/>
      <c r="I97"/>
      <c r="J97"/>
      <c r="K97"/>
    </row>
    <row r="98" spans="1:11" ht="15.75">
      <c r="A98"/>
      <c r="B98"/>
      <c r="C98"/>
      <c r="D98"/>
      <c r="E98"/>
      <c r="F98"/>
      <c r="G98"/>
      <c r="H98"/>
      <c r="I98"/>
      <c r="J98"/>
      <c r="K98"/>
    </row>
    <row r="99" spans="1:11" ht="15.75">
      <c r="A99"/>
      <c r="B99"/>
      <c r="C99"/>
      <c r="D99"/>
      <c r="E99"/>
      <c r="F99"/>
      <c r="G99"/>
      <c r="H99"/>
      <c r="I99"/>
      <c r="J99"/>
      <c r="K99"/>
    </row>
    <row r="100" spans="1:11" ht="15.75">
      <c r="A100"/>
      <c r="B100"/>
      <c r="C100"/>
      <c r="D100"/>
      <c r="E100"/>
      <c r="F100"/>
      <c r="G100"/>
      <c r="H100"/>
      <c r="I100"/>
      <c r="J100"/>
      <c r="K100"/>
    </row>
    <row r="101" spans="1:11" ht="15.75">
      <c r="A101"/>
      <c r="B101"/>
      <c r="C101"/>
      <c r="D101"/>
      <c r="E101"/>
      <c r="F101"/>
      <c r="G101"/>
      <c r="H101"/>
      <c r="I101"/>
      <c r="J101"/>
      <c r="K101"/>
    </row>
    <row r="102" spans="1:11" ht="15.75">
      <c r="A102"/>
      <c r="B102"/>
      <c r="C102"/>
      <c r="D102"/>
      <c r="E102"/>
      <c r="F102"/>
      <c r="G102"/>
      <c r="H102"/>
      <c r="I102"/>
      <c r="J102"/>
      <c r="K102"/>
    </row>
    <row r="103" spans="1:11" ht="15.75">
      <c r="A103"/>
      <c r="B103"/>
      <c r="C103"/>
      <c r="D103"/>
      <c r="E103"/>
      <c r="F103"/>
      <c r="G103"/>
      <c r="H103"/>
      <c r="I103"/>
      <c r="J103"/>
      <c r="K103"/>
    </row>
    <row r="104" spans="1:11" ht="15.75">
      <c r="A104"/>
      <c r="B104"/>
      <c r="C104"/>
      <c r="D104"/>
      <c r="E104"/>
      <c r="F104"/>
      <c r="G104"/>
      <c r="H104"/>
      <c r="I104"/>
      <c r="J104"/>
      <c r="K104"/>
    </row>
    <row r="105" spans="1:11" ht="15.75">
      <c r="A105"/>
      <c r="B105"/>
      <c r="C105"/>
      <c r="D105"/>
      <c r="E105"/>
      <c r="F105"/>
      <c r="G105"/>
      <c r="H105"/>
      <c r="I105"/>
      <c r="J105"/>
      <c r="K105"/>
    </row>
    <row r="106" spans="1:11" ht="15.75">
      <c r="A106"/>
      <c r="B106"/>
      <c r="C106"/>
      <c r="D106"/>
      <c r="E106"/>
      <c r="F106"/>
      <c r="G106"/>
      <c r="H106"/>
      <c r="I106"/>
      <c r="J106"/>
      <c r="K106"/>
    </row>
    <row r="107" spans="1:11" ht="15.75">
      <c r="A107"/>
      <c r="B107"/>
      <c r="C107"/>
      <c r="D107"/>
      <c r="E107"/>
      <c r="F107"/>
      <c r="G107"/>
      <c r="H107"/>
      <c r="I107"/>
      <c r="J107"/>
      <c r="K107"/>
    </row>
    <row r="108" spans="1:11" ht="15.75">
      <c r="A108"/>
      <c r="B108"/>
      <c r="C108"/>
      <c r="D108"/>
      <c r="E108"/>
      <c r="F108"/>
      <c r="G108"/>
      <c r="H108"/>
      <c r="I108"/>
      <c r="J108"/>
      <c r="K108"/>
    </row>
    <row r="109" spans="1:11" ht="15.75">
      <c r="A109"/>
      <c r="B109"/>
      <c r="C109"/>
      <c r="D109"/>
      <c r="E109"/>
      <c r="F109"/>
      <c r="G109"/>
      <c r="H109"/>
      <c r="I109"/>
      <c r="J109"/>
      <c r="K109"/>
    </row>
    <row r="110" spans="1:11" ht="15.75">
      <c r="A110"/>
      <c r="B110"/>
      <c r="C110"/>
      <c r="D110"/>
      <c r="E110"/>
      <c r="F110"/>
      <c r="G110"/>
      <c r="H110"/>
      <c r="I110"/>
      <c r="J110"/>
      <c r="K110"/>
    </row>
    <row r="111" spans="1:11" ht="15.75">
      <c r="A111"/>
      <c r="B111"/>
      <c r="C111"/>
      <c r="D111"/>
      <c r="E111"/>
      <c r="F111"/>
      <c r="G111"/>
      <c r="H111"/>
      <c r="I111"/>
      <c r="J111"/>
      <c r="K111"/>
    </row>
    <row r="112" spans="1:11" ht="15.75">
      <c r="A112"/>
      <c r="B112"/>
      <c r="C112"/>
      <c r="D112"/>
      <c r="E112"/>
      <c r="F112"/>
      <c r="G112"/>
      <c r="H112"/>
      <c r="I112"/>
      <c r="J112"/>
      <c r="K112"/>
    </row>
    <row r="113" spans="1:11" ht="15.75">
      <c r="A113"/>
      <c r="B113"/>
      <c r="C113"/>
      <c r="D113"/>
      <c r="E113"/>
      <c r="F113"/>
      <c r="G113"/>
      <c r="H113"/>
      <c r="I113"/>
      <c r="J113"/>
      <c r="K113"/>
    </row>
    <row r="114" spans="1:11" ht="15.75">
      <c r="A114"/>
      <c r="B114"/>
      <c r="C114"/>
      <c r="D114"/>
      <c r="E114"/>
      <c r="F114"/>
      <c r="G114"/>
      <c r="H114"/>
      <c r="I114"/>
      <c r="J114"/>
      <c r="K114"/>
    </row>
    <row r="115" spans="1:11" ht="15.75">
      <c r="A115"/>
      <c r="B115"/>
      <c r="C115"/>
      <c r="D115"/>
      <c r="E115"/>
      <c r="F115"/>
      <c r="G115"/>
      <c r="H115"/>
      <c r="I115"/>
      <c r="J115"/>
      <c r="K115"/>
    </row>
    <row r="116" spans="1:11" ht="15.75">
      <c r="A116"/>
      <c r="B116"/>
      <c r="C116"/>
      <c r="D116"/>
      <c r="E116"/>
      <c r="F116"/>
      <c r="G116"/>
      <c r="H116"/>
      <c r="I116"/>
      <c r="J116"/>
      <c r="K116"/>
    </row>
    <row r="117" spans="1:11" ht="15.75">
      <c r="A117"/>
      <c r="B117"/>
      <c r="C117"/>
      <c r="D117"/>
      <c r="E117"/>
      <c r="F117"/>
      <c r="G117"/>
      <c r="H117"/>
      <c r="I117"/>
      <c r="J117"/>
      <c r="K117"/>
    </row>
    <row r="118" spans="1:11" ht="15.75">
      <c r="A118"/>
      <c r="B118"/>
      <c r="C118"/>
      <c r="D118"/>
      <c r="E118"/>
      <c r="F118"/>
      <c r="G118"/>
      <c r="H118"/>
      <c r="I118"/>
      <c r="J118"/>
      <c r="K118"/>
    </row>
    <row r="119" spans="1:11" ht="15.75">
      <c r="A119"/>
      <c r="B119"/>
      <c r="C119"/>
      <c r="D119"/>
      <c r="E119"/>
      <c r="F119"/>
      <c r="G119"/>
      <c r="H119"/>
      <c r="I119"/>
      <c r="J119"/>
      <c r="K119"/>
    </row>
    <row r="120" spans="1:11" ht="15.75">
      <c r="A120"/>
      <c r="B120"/>
      <c r="C120"/>
      <c r="D120"/>
      <c r="E120"/>
      <c r="F120"/>
      <c r="G120"/>
      <c r="H120"/>
      <c r="I120"/>
      <c r="J120"/>
      <c r="K120"/>
    </row>
    <row r="121" spans="1:11" ht="15.75">
      <c r="A121"/>
      <c r="B121"/>
      <c r="C121"/>
      <c r="D121"/>
      <c r="E121"/>
      <c r="F121"/>
      <c r="G121"/>
      <c r="H121"/>
      <c r="I121"/>
      <c r="J121"/>
      <c r="K121"/>
    </row>
    <row r="122" spans="1:11" ht="15.75">
      <c r="A122"/>
      <c r="B122"/>
      <c r="C122"/>
      <c r="D122"/>
      <c r="E122"/>
      <c r="F122"/>
      <c r="G122"/>
      <c r="H122"/>
      <c r="I122"/>
      <c r="J122"/>
      <c r="K122"/>
    </row>
    <row r="123" spans="1:11" ht="15.75">
      <c r="A123"/>
      <c r="B123"/>
      <c r="C123"/>
      <c r="D123"/>
      <c r="E123"/>
      <c r="F123"/>
      <c r="G123"/>
      <c r="H123"/>
      <c r="I123"/>
      <c r="J123"/>
      <c r="K123"/>
    </row>
    <row r="124" spans="1:11" ht="15.75">
      <c r="A124"/>
      <c r="B124"/>
      <c r="C124"/>
      <c r="D124"/>
      <c r="E124"/>
      <c r="F124"/>
      <c r="G124"/>
      <c r="H124"/>
      <c r="I124"/>
      <c r="J124"/>
      <c r="K124"/>
    </row>
    <row r="125" spans="1:11" ht="15.75">
      <c r="A125"/>
      <c r="B125"/>
      <c r="C125"/>
      <c r="D125"/>
      <c r="E125"/>
      <c r="F125"/>
      <c r="G125"/>
      <c r="H125"/>
      <c r="I125"/>
      <c r="J125"/>
      <c r="K125"/>
    </row>
    <row r="126" spans="1:11" ht="15.75">
      <c r="A126"/>
      <c r="B126"/>
      <c r="C126"/>
      <c r="D126"/>
      <c r="E126"/>
      <c r="F126"/>
      <c r="G126"/>
      <c r="H126"/>
      <c r="I126"/>
      <c r="J126"/>
      <c r="K126"/>
    </row>
    <row r="127" spans="1:11" ht="15.75">
      <c r="A127"/>
      <c r="B127"/>
      <c r="C127"/>
      <c r="D127"/>
      <c r="E127"/>
      <c r="F127"/>
      <c r="G127"/>
      <c r="H127"/>
      <c r="I127"/>
      <c r="J127"/>
      <c r="K127"/>
    </row>
    <row r="128" spans="1:11" ht="15.75">
      <c r="A128"/>
      <c r="B128"/>
      <c r="C128"/>
      <c r="D128"/>
      <c r="E128"/>
      <c r="F128"/>
      <c r="G128"/>
      <c r="H128"/>
      <c r="I128"/>
      <c r="J128"/>
      <c r="K128"/>
    </row>
    <row r="129" spans="1:11" ht="15.75">
      <c r="A129"/>
      <c r="B129"/>
      <c r="C129"/>
      <c r="D129"/>
      <c r="E129"/>
      <c r="F129"/>
      <c r="G129"/>
      <c r="H129"/>
      <c r="I129"/>
      <c r="J129"/>
      <c r="K129"/>
    </row>
    <row r="130" spans="1:11" ht="15.75">
      <c r="A130"/>
      <c r="B130"/>
      <c r="C130"/>
      <c r="D130"/>
      <c r="E130"/>
      <c r="F130"/>
      <c r="G130"/>
      <c r="H130"/>
      <c r="I130"/>
      <c r="J130"/>
      <c r="K130"/>
    </row>
    <row r="131" spans="1:11" ht="15.75">
      <c r="A131"/>
      <c r="B131"/>
      <c r="C131"/>
      <c r="D131"/>
      <c r="E131"/>
      <c r="F131"/>
      <c r="G131"/>
      <c r="H131"/>
      <c r="I131"/>
      <c r="J131"/>
      <c r="K131"/>
    </row>
    <row r="132" spans="1:11" ht="15.75">
      <c r="A132"/>
      <c r="B132"/>
      <c r="C132"/>
      <c r="D132"/>
      <c r="E132"/>
      <c r="F132"/>
      <c r="G132"/>
      <c r="H132"/>
      <c r="I132"/>
      <c r="J132"/>
      <c r="K132"/>
    </row>
    <row r="133" spans="1:11" ht="15.75">
      <c r="A133"/>
      <c r="B133"/>
      <c r="C133"/>
      <c r="D133"/>
      <c r="E133"/>
      <c r="F133"/>
      <c r="G133"/>
      <c r="H133"/>
      <c r="I133"/>
      <c r="J133"/>
      <c r="K133"/>
    </row>
    <row r="134" spans="1:11" ht="15.75">
      <c r="A134"/>
      <c r="B134"/>
      <c r="C134"/>
      <c r="D134"/>
      <c r="E134"/>
      <c r="F134"/>
      <c r="G134"/>
      <c r="H134"/>
      <c r="I134"/>
      <c r="J134"/>
      <c r="K134"/>
    </row>
    <row r="135" spans="1:11" ht="15.75">
      <c r="A135"/>
      <c r="B135"/>
      <c r="C135"/>
      <c r="D135"/>
      <c r="E135"/>
      <c r="F135"/>
      <c r="G135"/>
      <c r="H135"/>
      <c r="I135"/>
      <c r="J135"/>
      <c r="K135"/>
    </row>
    <row r="136" spans="1:11" ht="15.75">
      <c r="A136"/>
      <c r="B136"/>
      <c r="C136"/>
      <c r="D136"/>
      <c r="E136"/>
      <c r="F136"/>
      <c r="G136"/>
      <c r="H136"/>
      <c r="I136"/>
      <c r="J136"/>
      <c r="K136"/>
    </row>
    <row r="137" spans="1:11" ht="15.75">
      <c r="A137"/>
      <c r="B137"/>
      <c r="C137"/>
      <c r="D137"/>
      <c r="E137"/>
      <c r="F137"/>
      <c r="G137"/>
      <c r="H137"/>
      <c r="I137"/>
      <c r="J137"/>
      <c r="K137"/>
    </row>
    <row r="138" spans="1:11" ht="15.75">
      <c r="A138"/>
      <c r="B138"/>
      <c r="C138"/>
      <c r="D138"/>
      <c r="E138"/>
      <c r="F138"/>
      <c r="G138"/>
      <c r="H138"/>
      <c r="I138"/>
      <c r="J138"/>
      <c r="K138"/>
    </row>
    <row r="139" spans="1:11" ht="15.75">
      <c r="A139"/>
      <c r="B139"/>
      <c r="C139"/>
      <c r="D139"/>
      <c r="E139"/>
      <c r="F139"/>
      <c r="G139"/>
      <c r="H139"/>
      <c r="I139"/>
      <c r="J139"/>
      <c r="K139"/>
    </row>
    <row r="140" spans="1:11" ht="15.75">
      <c r="A140"/>
      <c r="B140"/>
      <c r="C140"/>
      <c r="D140"/>
      <c r="E140"/>
      <c r="F140"/>
      <c r="G140"/>
      <c r="H140"/>
      <c r="I140"/>
      <c r="J140"/>
      <c r="K140"/>
    </row>
    <row r="141" spans="1:11" ht="15.75">
      <c r="A141"/>
      <c r="B141"/>
      <c r="C141"/>
      <c r="D141"/>
      <c r="E141"/>
      <c r="F141"/>
      <c r="G141"/>
      <c r="H141"/>
      <c r="I141"/>
      <c r="J141"/>
      <c r="K141"/>
    </row>
    <row r="142" spans="1:11" ht="15.75">
      <c r="A142"/>
      <c r="B142"/>
      <c r="C142"/>
      <c r="D142"/>
      <c r="E142"/>
      <c r="F142"/>
      <c r="G142"/>
      <c r="H142"/>
      <c r="I142"/>
      <c r="J142"/>
      <c r="K142"/>
    </row>
    <row r="143" spans="1:11" ht="15.75">
      <c r="A143"/>
      <c r="B143"/>
      <c r="C143"/>
      <c r="D143"/>
      <c r="E143"/>
      <c r="F143"/>
      <c r="G143"/>
      <c r="H143"/>
      <c r="I143"/>
      <c r="J143"/>
      <c r="K143"/>
    </row>
    <row r="144" spans="1:11" ht="15.75">
      <c r="A144"/>
      <c r="B144"/>
      <c r="C144"/>
      <c r="D144"/>
      <c r="E144"/>
      <c r="F144"/>
      <c r="G144"/>
      <c r="H144"/>
      <c r="I144"/>
      <c r="J144"/>
      <c r="K144"/>
    </row>
    <row r="145" spans="1:11" ht="15.75">
      <c r="A145"/>
      <c r="B145"/>
      <c r="C145"/>
      <c r="D145"/>
      <c r="E145"/>
      <c r="F145"/>
      <c r="G145"/>
      <c r="H145"/>
      <c r="I145"/>
      <c r="J145"/>
      <c r="K145"/>
    </row>
    <row r="146" spans="1:11" ht="15.75">
      <c r="A146"/>
      <c r="B146"/>
      <c r="C146"/>
      <c r="D146"/>
      <c r="E146"/>
      <c r="F146"/>
      <c r="G146"/>
      <c r="H146"/>
      <c r="I146"/>
      <c r="J146"/>
      <c r="K146"/>
    </row>
    <row r="147" spans="1:11" ht="15.75">
      <c r="A147"/>
      <c r="B147"/>
      <c r="C147"/>
      <c r="D147"/>
      <c r="E147"/>
      <c r="F147"/>
      <c r="G147"/>
      <c r="H147"/>
      <c r="I147"/>
      <c r="J147"/>
      <c r="K147"/>
    </row>
    <row r="148" spans="1:11" ht="15.75">
      <c r="A148"/>
      <c r="B148"/>
      <c r="C148"/>
      <c r="D148"/>
      <c r="E148"/>
      <c r="F148"/>
      <c r="G148"/>
      <c r="H148"/>
      <c r="I148"/>
      <c r="J148"/>
      <c r="K148"/>
    </row>
    <row r="149" spans="1:11" ht="15.75">
      <c r="A149"/>
      <c r="B149"/>
      <c r="C149"/>
      <c r="D149"/>
      <c r="E149"/>
      <c r="F149"/>
      <c r="G149"/>
      <c r="H149"/>
      <c r="I149"/>
      <c r="J149"/>
      <c r="K149"/>
    </row>
    <row r="150" spans="1:11" ht="15.75">
      <c r="A150"/>
      <c r="B150"/>
      <c r="C150"/>
      <c r="D150"/>
      <c r="E150"/>
      <c r="F150"/>
      <c r="G150"/>
      <c r="H150"/>
      <c r="I150"/>
      <c r="J150"/>
      <c r="K150"/>
    </row>
    <row r="151" spans="1:11" ht="15.75">
      <c r="A151"/>
      <c r="B151"/>
      <c r="C151"/>
      <c r="D151"/>
      <c r="E151"/>
      <c r="F151"/>
      <c r="G151"/>
      <c r="H151"/>
      <c r="I151"/>
      <c r="J151"/>
      <c r="K151"/>
    </row>
    <row r="152" spans="1:11" ht="15.75">
      <c r="A152"/>
      <c r="B152"/>
      <c r="C152"/>
      <c r="D152"/>
      <c r="E152"/>
      <c r="F152"/>
      <c r="G152"/>
      <c r="H152"/>
      <c r="I152"/>
      <c r="J152"/>
      <c r="K152"/>
    </row>
    <row r="153" spans="1:11" ht="15.75">
      <c r="A153"/>
      <c r="B153"/>
      <c r="C153"/>
      <c r="D153"/>
      <c r="E153"/>
      <c r="F153"/>
      <c r="G153"/>
      <c r="H153"/>
      <c r="I153"/>
      <c r="J153"/>
      <c r="K153"/>
    </row>
    <row r="154" spans="1:11" ht="15.75">
      <c r="A154"/>
      <c r="B154"/>
      <c r="C154"/>
      <c r="D154"/>
      <c r="E154"/>
      <c r="F154"/>
      <c r="G154"/>
      <c r="H154"/>
      <c r="I154"/>
      <c r="J154"/>
      <c r="K154"/>
    </row>
    <row r="155" spans="1:11" ht="15.75">
      <c r="A155"/>
      <c r="B155"/>
      <c r="C155"/>
      <c r="D155"/>
      <c r="E155"/>
      <c r="F155"/>
      <c r="G155"/>
      <c r="H155"/>
      <c r="I155"/>
      <c r="J155"/>
      <c r="K155"/>
    </row>
    <row r="156" spans="1:11" ht="15.75">
      <c r="A156"/>
      <c r="B156"/>
      <c r="C156"/>
      <c r="D156"/>
      <c r="E156"/>
      <c r="F156"/>
      <c r="G156"/>
      <c r="H156"/>
      <c r="I156"/>
      <c r="J156"/>
      <c r="K156"/>
    </row>
    <row r="157" spans="1:11" ht="15.75">
      <c r="A157"/>
      <c r="B157"/>
      <c r="C157"/>
      <c r="D157"/>
      <c r="E157"/>
      <c r="F157"/>
      <c r="G157"/>
      <c r="H157"/>
      <c r="I157"/>
      <c r="J157"/>
      <c r="K157"/>
    </row>
    <row r="158" spans="1:11" ht="15.75">
      <c r="A158"/>
      <c r="B158"/>
      <c r="C158"/>
      <c r="D158"/>
      <c r="E158"/>
      <c r="F158"/>
      <c r="G158"/>
      <c r="H158"/>
      <c r="I158"/>
      <c r="J158"/>
      <c r="K158"/>
    </row>
    <row r="159" spans="1:11" ht="15.75">
      <c r="A159"/>
      <c r="B159"/>
      <c r="C159"/>
      <c r="D159"/>
      <c r="E159"/>
      <c r="F159"/>
      <c r="G159"/>
      <c r="H159"/>
      <c r="I159"/>
      <c r="J159"/>
      <c r="K159"/>
    </row>
    <row r="160" spans="1:11" ht="15.75">
      <c r="A160"/>
      <c r="B160"/>
      <c r="C160"/>
      <c r="D160"/>
      <c r="E160"/>
      <c r="F160"/>
      <c r="G160"/>
      <c r="H160"/>
      <c r="I160"/>
      <c r="J160"/>
      <c r="K160"/>
    </row>
    <row r="161" spans="1:11" ht="15.75">
      <c r="A161"/>
      <c r="B161"/>
      <c r="C161"/>
      <c r="D161"/>
      <c r="E161"/>
      <c r="F161"/>
      <c r="G161"/>
      <c r="H161"/>
      <c r="I161"/>
      <c r="J161"/>
      <c r="K161"/>
    </row>
    <row r="162" spans="1:11" ht="15.75">
      <c r="A162"/>
      <c r="B162"/>
      <c r="C162"/>
      <c r="D162"/>
      <c r="E162"/>
      <c r="F162"/>
      <c r="G162"/>
      <c r="H162"/>
      <c r="I162"/>
      <c r="J162"/>
      <c r="K162"/>
    </row>
    <row r="163" spans="1:11" ht="15.75">
      <c r="A163"/>
      <c r="B163"/>
      <c r="C163"/>
      <c r="D163"/>
      <c r="E163"/>
      <c r="F163"/>
      <c r="G163"/>
      <c r="H163"/>
      <c r="I163"/>
      <c r="J163"/>
      <c r="K163"/>
    </row>
    <row r="164" spans="1:11" ht="15.75">
      <c r="A164"/>
      <c r="B164"/>
      <c r="C164"/>
      <c r="D164"/>
      <c r="E164"/>
      <c r="F164"/>
      <c r="G164"/>
      <c r="H164"/>
      <c r="I164"/>
      <c r="J164"/>
      <c r="K164"/>
    </row>
    <row r="165" spans="1:11" ht="15.75">
      <c r="A165"/>
      <c r="B165"/>
      <c r="C165"/>
      <c r="D165"/>
      <c r="E165"/>
      <c r="F165"/>
      <c r="G165"/>
      <c r="H165"/>
      <c r="I165"/>
      <c r="J165"/>
      <c r="K165"/>
    </row>
    <row r="166" spans="1:11" ht="15.75">
      <c r="A166"/>
      <c r="B166"/>
      <c r="C166"/>
      <c r="D166"/>
      <c r="E166"/>
      <c r="F166"/>
      <c r="G166"/>
      <c r="H166"/>
      <c r="I166"/>
      <c r="J166"/>
      <c r="K166"/>
    </row>
    <row r="167" spans="1:11" ht="15.75">
      <c r="A167"/>
      <c r="B167"/>
      <c r="C167"/>
      <c r="D167"/>
      <c r="E167"/>
      <c r="F167"/>
      <c r="G167"/>
      <c r="H167"/>
      <c r="I167"/>
      <c r="J167"/>
      <c r="K167"/>
    </row>
    <row r="168" spans="1:11" ht="15.75">
      <c r="A168"/>
      <c r="B168"/>
      <c r="C168"/>
      <c r="D168"/>
      <c r="E168"/>
      <c r="F168"/>
      <c r="G168"/>
      <c r="H168"/>
      <c r="I168"/>
      <c r="J168"/>
      <c r="K168"/>
    </row>
    <row r="169" spans="1:11" ht="15.75">
      <c r="A169"/>
      <c r="B169"/>
      <c r="C169"/>
      <c r="D169"/>
      <c r="E169"/>
      <c r="F169"/>
      <c r="G169"/>
      <c r="H169"/>
      <c r="I169"/>
      <c r="J169"/>
      <c r="K169"/>
    </row>
    <row r="170" spans="1:11" ht="15.75">
      <c r="A170"/>
      <c r="B170"/>
      <c r="C170"/>
      <c r="D170"/>
      <c r="E170"/>
      <c r="F170"/>
      <c r="G170"/>
      <c r="H170"/>
      <c r="I170"/>
      <c r="J170"/>
      <c r="K170"/>
    </row>
    <row r="171" spans="1:11" ht="15.75">
      <c r="A171"/>
      <c r="B171"/>
      <c r="C171"/>
      <c r="D171"/>
      <c r="E171"/>
      <c r="F171"/>
      <c r="G171"/>
      <c r="H171"/>
      <c r="I171"/>
      <c r="J171"/>
      <c r="K171"/>
    </row>
    <row r="172" spans="1:11" ht="15.75">
      <c r="A172"/>
      <c r="B172"/>
      <c r="C172"/>
      <c r="D172"/>
      <c r="E172"/>
      <c r="F172"/>
      <c r="G172"/>
      <c r="H172"/>
      <c r="I172"/>
      <c r="J172"/>
      <c r="K172"/>
    </row>
    <row r="173" spans="1:11" ht="15.75">
      <c r="A173"/>
      <c r="B173"/>
      <c r="C173"/>
      <c r="D173"/>
      <c r="E173"/>
      <c r="F173"/>
      <c r="G173"/>
      <c r="H173"/>
      <c r="I173"/>
      <c r="J173"/>
      <c r="K173"/>
    </row>
    <row r="174" spans="1:11" ht="15.75">
      <c r="A174"/>
      <c r="B174"/>
      <c r="C174"/>
      <c r="D174"/>
      <c r="E174"/>
      <c r="F174"/>
      <c r="G174"/>
      <c r="H174"/>
      <c r="I174"/>
      <c r="J174"/>
      <c r="K174"/>
    </row>
    <row r="175" spans="1:11" ht="15.75">
      <c r="A175"/>
      <c r="B175"/>
      <c r="C175"/>
      <c r="D175"/>
      <c r="E175"/>
      <c r="F175"/>
      <c r="G175"/>
      <c r="H175"/>
      <c r="I175"/>
      <c r="J175"/>
      <c r="K175"/>
    </row>
    <row r="176" spans="1:11" ht="15.75">
      <c r="A176"/>
      <c r="B176"/>
      <c r="C176"/>
      <c r="D176"/>
      <c r="E176"/>
      <c r="F176"/>
      <c r="G176"/>
      <c r="H176"/>
      <c r="I176"/>
      <c r="J176"/>
      <c r="K176"/>
    </row>
    <row r="177" spans="1:11" ht="15.75">
      <c r="A177"/>
      <c r="B177"/>
      <c r="C177"/>
      <c r="D177"/>
      <c r="E177"/>
      <c r="F177"/>
      <c r="G177"/>
      <c r="H177"/>
      <c r="I177"/>
      <c r="J177"/>
      <c r="K177"/>
    </row>
    <row r="178" spans="1:11" ht="15.75">
      <c r="A178"/>
      <c r="B178"/>
      <c r="C178"/>
      <c r="D178"/>
      <c r="E178"/>
      <c r="F178"/>
      <c r="G178"/>
      <c r="H178"/>
      <c r="I178"/>
      <c r="J178"/>
      <c r="K178"/>
    </row>
    <row r="179" spans="1:11" ht="15.75">
      <c r="A179"/>
      <c r="B179"/>
      <c r="C179"/>
      <c r="D179"/>
      <c r="E179"/>
      <c r="F179"/>
      <c r="G179"/>
      <c r="H179"/>
      <c r="I179"/>
      <c r="J179"/>
      <c r="K179"/>
    </row>
    <row r="180" spans="1:11" ht="15.75">
      <c r="A180"/>
      <c r="B180"/>
      <c r="C180"/>
      <c r="D180"/>
      <c r="E180"/>
      <c r="F180"/>
      <c r="G180"/>
      <c r="H180"/>
      <c r="I180"/>
      <c r="J180"/>
      <c r="K180"/>
    </row>
    <row r="181" spans="1:11" ht="15.75">
      <c r="A181"/>
      <c r="B181"/>
      <c r="C181"/>
      <c r="D181"/>
      <c r="E181"/>
      <c r="F181"/>
      <c r="G181"/>
      <c r="H181"/>
      <c r="I181"/>
      <c r="J181"/>
      <c r="K181"/>
    </row>
    <row r="182" spans="1:11" ht="15.75">
      <c r="A182"/>
      <c r="B182"/>
      <c r="C182"/>
      <c r="D182"/>
      <c r="E182"/>
      <c r="F182"/>
      <c r="G182"/>
      <c r="H182"/>
      <c r="I182"/>
      <c r="J182"/>
      <c r="K182"/>
    </row>
    <row r="183" spans="1:11" ht="15.75">
      <c r="A183"/>
      <c r="B183"/>
      <c r="C183"/>
      <c r="D183"/>
      <c r="E183"/>
      <c r="F183"/>
      <c r="G183"/>
      <c r="H183"/>
      <c r="I183"/>
      <c r="J183"/>
      <c r="K183"/>
    </row>
    <row r="184" spans="1:11" ht="15.75">
      <c r="A184"/>
      <c r="B184"/>
      <c r="C184"/>
      <c r="D184"/>
      <c r="E184"/>
      <c r="F184"/>
      <c r="G184"/>
      <c r="H184"/>
      <c r="I184"/>
      <c r="J184"/>
      <c r="K184"/>
    </row>
    <row r="185" spans="1:11" ht="15.75">
      <c r="A185"/>
      <c r="B185"/>
      <c r="C185"/>
      <c r="D185"/>
      <c r="E185"/>
      <c r="F185"/>
      <c r="G185"/>
      <c r="H185"/>
      <c r="I185"/>
      <c r="J185"/>
      <c r="K185"/>
    </row>
    <row r="186" spans="1:11" ht="15.75">
      <c r="A186"/>
      <c r="B186"/>
      <c r="C186"/>
      <c r="D186"/>
      <c r="E186"/>
      <c r="F186"/>
      <c r="G186"/>
      <c r="H186"/>
      <c r="I186"/>
      <c r="J186"/>
      <c r="K186"/>
    </row>
    <row r="187" spans="1:11" ht="15.75">
      <c r="A187"/>
      <c r="B187"/>
      <c r="C187"/>
      <c r="D187"/>
      <c r="E187"/>
      <c r="F187"/>
      <c r="G187"/>
      <c r="H187"/>
      <c r="I187"/>
      <c r="J187"/>
      <c r="K187"/>
    </row>
    <row r="188" spans="1:11" ht="15.75">
      <c r="A188"/>
      <c r="B188"/>
      <c r="C188"/>
      <c r="D188"/>
      <c r="E188"/>
      <c r="F188"/>
      <c r="G188"/>
      <c r="H188"/>
      <c r="I188"/>
      <c r="J188"/>
      <c r="K188"/>
    </row>
    <row r="189" spans="1:11" ht="15.75">
      <c r="A189"/>
      <c r="B189"/>
      <c r="C189"/>
      <c r="D189"/>
      <c r="E189"/>
      <c r="F189"/>
      <c r="G189"/>
      <c r="H189"/>
      <c r="I189"/>
      <c r="J189"/>
      <c r="K189"/>
    </row>
    <row r="190" spans="1:11" ht="15.75">
      <c r="A190"/>
      <c r="B190"/>
      <c r="C190"/>
      <c r="D190"/>
      <c r="E190"/>
      <c r="F190"/>
      <c r="G190"/>
      <c r="H190"/>
      <c r="I190"/>
      <c r="J190"/>
      <c r="K190"/>
    </row>
    <row r="191" spans="1:11" ht="15.75">
      <c r="A191"/>
      <c r="B191"/>
      <c r="C191"/>
      <c r="D191"/>
      <c r="E191"/>
      <c r="F191"/>
      <c r="G191"/>
      <c r="H191"/>
      <c r="I191"/>
      <c r="J191"/>
      <c r="K191"/>
    </row>
    <row r="192" spans="1:11" ht="15.75">
      <c r="A192"/>
      <c r="B192"/>
      <c r="C192"/>
      <c r="D192"/>
      <c r="E192"/>
      <c r="F192"/>
      <c r="G192"/>
      <c r="H192"/>
      <c r="I192"/>
      <c r="J192"/>
      <c r="K192"/>
    </row>
    <row r="193" spans="1:11" ht="15.75">
      <c r="A193"/>
      <c r="B193"/>
      <c r="C193"/>
      <c r="D193"/>
      <c r="E193"/>
      <c r="F193"/>
      <c r="G193"/>
      <c r="H193"/>
      <c r="I193"/>
      <c r="J193"/>
      <c r="K193"/>
    </row>
    <row r="194" spans="1:11" ht="15.75">
      <c r="A194"/>
      <c r="B194"/>
      <c r="C194"/>
      <c r="D194"/>
      <c r="E194"/>
      <c r="F194"/>
      <c r="G194"/>
      <c r="H194"/>
      <c r="I194"/>
      <c r="J194"/>
      <c r="K194"/>
    </row>
    <row r="195" spans="1:11" ht="15.75">
      <c r="A195"/>
      <c r="B195"/>
      <c r="C195"/>
      <c r="D195"/>
      <c r="E195"/>
      <c r="F195"/>
      <c r="G195"/>
      <c r="H195"/>
      <c r="I195"/>
      <c r="J195"/>
      <c r="K195"/>
    </row>
    <row r="196" spans="1:11" ht="15.75">
      <c r="A196"/>
      <c r="B196"/>
      <c r="C196"/>
      <c r="D196"/>
      <c r="E196"/>
      <c r="F196"/>
      <c r="G196"/>
      <c r="H196"/>
      <c r="I196"/>
      <c r="J196"/>
      <c r="K196"/>
    </row>
    <row r="197" spans="1:11" ht="15.75">
      <c r="A197"/>
      <c r="B197"/>
      <c r="C197"/>
      <c r="D197"/>
      <c r="E197"/>
      <c r="F197"/>
      <c r="G197"/>
      <c r="H197"/>
      <c r="I197"/>
      <c r="J197"/>
      <c r="K197"/>
    </row>
    <row r="198" spans="1:11" ht="15.75">
      <c r="A198"/>
      <c r="B198"/>
      <c r="C198"/>
      <c r="D198"/>
      <c r="E198"/>
      <c r="F198"/>
      <c r="G198"/>
      <c r="H198"/>
      <c r="I198"/>
      <c r="J198"/>
      <c r="K198"/>
    </row>
    <row r="199" spans="1:11" ht="15.75">
      <c r="A199"/>
      <c r="B199"/>
      <c r="C199"/>
      <c r="D199"/>
      <c r="E199"/>
      <c r="F199"/>
      <c r="G199"/>
      <c r="H199"/>
      <c r="I199"/>
      <c r="J199"/>
      <c r="K199"/>
    </row>
    <row r="200" spans="1:11" ht="15.75">
      <c r="A200"/>
      <c r="B200"/>
      <c r="C200"/>
      <c r="D200"/>
      <c r="E200"/>
      <c r="F200"/>
      <c r="G200"/>
      <c r="H200"/>
      <c r="I200"/>
      <c r="J200"/>
      <c r="K200"/>
    </row>
    <row r="201" spans="1:11" ht="15.75">
      <c r="A201"/>
      <c r="B201"/>
      <c r="C201"/>
      <c r="D201"/>
      <c r="E201"/>
      <c r="F201"/>
      <c r="G201"/>
      <c r="H201"/>
      <c r="I201"/>
      <c r="J201"/>
      <c r="K201"/>
    </row>
    <row r="202" spans="1:11" ht="15.75">
      <c r="A202"/>
      <c r="B202"/>
      <c r="C202"/>
      <c r="D202"/>
      <c r="E202"/>
      <c r="F202"/>
      <c r="G202"/>
      <c r="H202"/>
      <c r="I202"/>
      <c r="J202"/>
      <c r="K202"/>
    </row>
    <row r="203" spans="1:11" ht="15.75">
      <c r="A203"/>
      <c r="B203"/>
      <c r="C203"/>
      <c r="D203"/>
      <c r="E203"/>
      <c r="F203"/>
      <c r="G203"/>
      <c r="H203"/>
      <c r="I203"/>
      <c r="J203"/>
      <c r="K203"/>
    </row>
    <row r="204" spans="1:11" ht="15.75">
      <c r="A204"/>
      <c r="B204"/>
      <c r="C204"/>
      <c r="D204"/>
      <c r="E204"/>
      <c r="F204"/>
      <c r="G204"/>
      <c r="H204"/>
      <c r="I204"/>
      <c r="J204"/>
      <c r="K204"/>
    </row>
    <row r="205" spans="1:11" ht="15.75">
      <c r="A205"/>
      <c r="B205"/>
      <c r="C205"/>
      <c r="D205"/>
      <c r="E205"/>
      <c r="F205"/>
      <c r="G205"/>
      <c r="H205"/>
      <c r="I205"/>
      <c r="J205"/>
      <c r="K205"/>
    </row>
    <row r="206" spans="1:11" ht="15.75">
      <c r="A206"/>
      <c r="B206"/>
      <c r="C206"/>
      <c r="D206"/>
      <c r="E206"/>
      <c r="F206"/>
      <c r="G206"/>
      <c r="H206"/>
      <c r="I206"/>
      <c r="J206"/>
      <c r="K206"/>
    </row>
    <row r="207" spans="1:11" ht="15.75">
      <c r="A207"/>
      <c r="B207"/>
      <c r="C207"/>
      <c r="D207"/>
      <c r="E207"/>
      <c r="F207"/>
      <c r="G207"/>
      <c r="H207"/>
      <c r="I207"/>
      <c r="J207"/>
      <c r="K207"/>
    </row>
    <row r="208" spans="1:11" ht="15.75">
      <c r="A208"/>
      <c r="B208"/>
      <c r="C208"/>
      <c r="D208"/>
      <c r="E208"/>
      <c r="F208"/>
      <c r="G208"/>
      <c r="H208"/>
      <c r="I208"/>
      <c r="J208"/>
      <c r="K208"/>
    </row>
    <row r="209" spans="1:11" ht="15.75">
      <c r="A209"/>
      <c r="B209"/>
      <c r="C209"/>
      <c r="D209"/>
      <c r="E209"/>
      <c r="F209"/>
      <c r="G209"/>
      <c r="H209"/>
      <c r="I209"/>
      <c r="J209"/>
      <c r="K209"/>
    </row>
    <row r="210" spans="1:11" ht="15.75">
      <c r="A210"/>
      <c r="B210"/>
      <c r="C210"/>
      <c r="D210"/>
      <c r="E210"/>
      <c r="F210"/>
      <c r="G210"/>
      <c r="H210"/>
      <c r="I210"/>
      <c r="J210"/>
      <c r="K210"/>
    </row>
    <row r="211" spans="1:11" ht="15.75">
      <c r="A211"/>
      <c r="B211"/>
      <c r="C211"/>
      <c r="D211"/>
      <c r="E211"/>
      <c r="F211"/>
      <c r="G211"/>
      <c r="H211"/>
      <c r="I211"/>
      <c r="J211"/>
      <c r="K211"/>
    </row>
    <row r="212" spans="1:11" ht="15.75">
      <c r="A212"/>
      <c r="B212"/>
      <c r="C212"/>
      <c r="D212"/>
      <c r="E212"/>
      <c r="F212"/>
      <c r="G212"/>
      <c r="H212"/>
      <c r="I212"/>
      <c r="J212"/>
      <c r="K212"/>
    </row>
    <row r="213" spans="1:11" ht="15.75">
      <c r="A213"/>
      <c r="B213"/>
      <c r="C213"/>
      <c r="D213"/>
      <c r="E213"/>
      <c r="F213"/>
      <c r="G213"/>
      <c r="H213"/>
      <c r="I213"/>
      <c r="J213"/>
      <c r="K213"/>
    </row>
    <row r="214" spans="1:11" ht="15.75">
      <c r="A214"/>
      <c r="B214"/>
      <c r="C214"/>
      <c r="D214"/>
      <c r="E214"/>
      <c r="F214"/>
      <c r="G214"/>
      <c r="H214"/>
      <c r="I214"/>
      <c r="J214"/>
      <c r="K214"/>
    </row>
    <row r="215" spans="1:11" ht="15.75">
      <c r="A215"/>
      <c r="B215"/>
      <c r="C215"/>
      <c r="D215"/>
      <c r="E215"/>
      <c r="F215"/>
      <c r="G215"/>
      <c r="H215"/>
      <c r="I215"/>
      <c r="J215"/>
      <c r="K215"/>
    </row>
    <row r="216" spans="1:11" ht="15.75">
      <c r="A216"/>
      <c r="B216"/>
      <c r="C216"/>
      <c r="D216"/>
      <c r="E216"/>
      <c r="F216"/>
      <c r="G216"/>
      <c r="H216"/>
      <c r="I216"/>
      <c r="J216"/>
      <c r="K216"/>
    </row>
    <row r="217" spans="1:11" ht="15.75">
      <c r="A217"/>
      <c r="B217"/>
      <c r="C217"/>
      <c r="D217"/>
      <c r="E217"/>
      <c r="F217"/>
      <c r="G217"/>
      <c r="H217"/>
      <c r="I217"/>
      <c r="J217"/>
      <c r="K217"/>
    </row>
    <row r="218" spans="1:11" ht="15.75">
      <c r="A218"/>
      <c r="B218"/>
      <c r="C218"/>
      <c r="D218"/>
      <c r="E218"/>
      <c r="F218"/>
      <c r="G218"/>
      <c r="H218"/>
      <c r="I218"/>
      <c r="J218"/>
      <c r="K218"/>
    </row>
    <row r="219" spans="1:11" ht="15.75">
      <c r="A219"/>
      <c r="B219"/>
      <c r="C219"/>
      <c r="D219"/>
      <c r="E219"/>
      <c r="F219"/>
      <c r="G219"/>
      <c r="H219"/>
      <c r="I219"/>
      <c r="J219"/>
      <c r="K219"/>
    </row>
    <row r="220" spans="1:11" ht="15.75">
      <c r="A220"/>
      <c r="B220"/>
      <c r="C220"/>
      <c r="D220"/>
      <c r="E220"/>
      <c r="F220"/>
      <c r="G220"/>
      <c r="H220"/>
      <c r="I220"/>
      <c r="J220"/>
      <c r="K220"/>
    </row>
    <row r="221" spans="1:11" ht="15.75">
      <c r="A221"/>
      <c r="B221"/>
      <c r="C221"/>
      <c r="D221"/>
      <c r="E221"/>
      <c r="F221"/>
      <c r="G221"/>
      <c r="H221"/>
      <c r="I221"/>
      <c r="J221"/>
      <c r="K221"/>
    </row>
    <row r="222" spans="1:11" ht="15.75">
      <c r="A222"/>
      <c r="B222"/>
      <c r="C222"/>
      <c r="D222"/>
      <c r="E222"/>
      <c r="F222"/>
      <c r="G222"/>
      <c r="H222"/>
      <c r="I222"/>
      <c r="J222"/>
      <c r="K222"/>
    </row>
    <row r="223" spans="1:11" ht="15.75">
      <c r="A223"/>
      <c r="B223"/>
      <c r="C223"/>
      <c r="D223"/>
      <c r="E223"/>
      <c r="F223"/>
      <c r="G223"/>
      <c r="H223"/>
      <c r="I223"/>
      <c r="J223"/>
      <c r="K223"/>
    </row>
    <row r="224" spans="1:11" ht="15.75">
      <c r="A224"/>
      <c r="B224"/>
      <c r="C224"/>
      <c r="D224"/>
      <c r="E224"/>
      <c r="F224"/>
      <c r="G224"/>
      <c r="H224"/>
      <c r="I224"/>
      <c r="J224"/>
      <c r="K224"/>
    </row>
    <row r="225" spans="1:11" ht="15.75">
      <c r="A225"/>
      <c r="B225"/>
      <c r="C225"/>
      <c r="D225"/>
      <c r="E225"/>
      <c r="F225"/>
      <c r="G225"/>
      <c r="H225"/>
      <c r="I225"/>
      <c r="J225"/>
      <c r="K225"/>
    </row>
    <row r="226" spans="1:11" ht="15.75">
      <c r="A226"/>
      <c r="B226"/>
      <c r="C226"/>
      <c r="D226"/>
      <c r="E226"/>
      <c r="F226"/>
      <c r="G226"/>
      <c r="H226"/>
      <c r="I226"/>
      <c r="J226"/>
      <c r="K226"/>
    </row>
    <row r="227" spans="1:11" ht="15.75">
      <c r="A227"/>
      <c r="B227"/>
      <c r="C227"/>
      <c r="D227"/>
      <c r="E227"/>
      <c r="F227"/>
      <c r="G227"/>
      <c r="H227"/>
      <c r="I227"/>
      <c r="J227"/>
      <c r="K227"/>
    </row>
    <row r="228" spans="1:11" ht="15.75">
      <c r="A228"/>
      <c r="B228"/>
      <c r="C228"/>
      <c r="D228"/>
      <c r="E228"/>
      <c r="F228"/>
      <c r="G228"/>
      <c r="H228"/>
      <c r="I228"/>
      <c r="J228"/>
      <c r="K228"/>
    </row>
    <row r="229" spans="1:11" ht="15.75">
      <c r="A229"/>
      <c r="B229"/>
      <c r="C229"/>
      <c r="D229"/>
      <c r="E229"/>
      <c r="F229"/>
      <c r="G229"/>
      <c r="H229"/>
      <c r="I229"/>
      <c r="J229"/>
      <c r="K229"/>
    </row>
    <row r="230" spans="1:11" ht="15.75">
      <c r="A230"/>
      <c r="B230"/>
      <c r="C230"/>
      <c r="D230"/>
      <c r="E230"/>
      <c r="F230"/>
      <c r="G230"/>
      <c r="H230"/>
      <c r="I230"/>
      <c r="J230"/>
      <c r="K230"/>
    </row>
    <row r="231" spans="1:11" ht="15.75">
      <c r="A231"/>
      <c r="B231"/>
      <c r="C231"/>
      <c r="D231"/>
      <c r="E231"/>
      <c r="F231"/>
      <c r="G231"/>
      <c r="H231"/>
      <c r="I231"/>
      <c r="J231"/>
      <c r="K231"/>
    </row>
    <row r="232" spans="1:11" ht="15.75">
      <c r="A232"/>
      <c r="B232"/>
      <c r="C232"/>
      <c r="D232"/>
      <c r="E232"/>
      <c r="F232"/>
      <c r="G232"/>
      <c r="H232"/>
      <c r="I232"/>
      <c r="J232"/>
      <c r="K232"/>
    </row>
    <row r="233" spans="1:11" ht="15.75">
      <c r="A233"/>
      <c r="B233"/>
      <c r="C233"/>
      <c r="D233"/>
      <c r="E233"/>
      <c r="F233"/>
      <c r="G233"/>
      <c r="H233"/>
      <c r="I233"/>
      <c r="J233"/>
      <c r="K233"/>
    </row>
    <row r="234" spans="1:11" ht="15.75">
      <c r="A234"/>
      <c r="B234"/>
      <c r="C234"/>
      <c r="D234"/>
      <c r="E234"/>
      <c r="F234"/>
      <c r="G234"/>
      <c r="H234"/>
      <c r="I234"/>
      <c r="J234"/>
      <c r="K234"/>
    </row>
    <row r="235" spans="1:11" ht="15.75">
      <c r="A235"/>
      <c r="B235"/>
      <c r="C235"/>
      <c r="D235"/>
      <c r="E235"/>
      <c r="F235"/>
      <c r="G235"/>
      <c r="H235"/>
      <c r="I235"/>
      <c r="J235"/>
      <c r="K235"/>
    </row>
    <row r="236" spans="1:11" ht="15.75">
      <c r="A236"/>
      <c r="B236"/>
      <c r="C236"/>
      <c r="D236"/>
      <c r="E236"/>
      <c r="F236"/>
      <c r="G236"/>
      <c r="H236"/>
      <c r="I236"/>
      <c r="J236"/>
      <c r="K236"/>
    </row>
    <row r="237" spans="1:11" ht="15.75">
      <c r="A237"/>
      <c r="B237"/>
      <c r="C237"/>
      <c r="D237"/>
      <c r="E237"/>
      <c r="F237"/>
      <c r="G237"/>
      <c r="H237"/>
      <c r="I237"/>
      <c r="J237"/>
      <c r="K237"/>
    </row>
    <row r="238" spans="1:11" ht="15.75">
      <c r="A238"/>
      <c r="B238"/>
      <c r="C238"/>
      <c r="D238"/>
      <c r="E238"/>
      <c r="F238"/>
      <c r="G238"/>
      <c r="H238"/>
      <c r="I238"/>
      <c r="J238"/>
      <c r="K238"/>
    </row>
    <row r="239" spans="1:11" ht="15.75">
      <c r="A239"/>
      <c r="B239"/>
      <c r="C239"/>
      <c r="D239"/>
      <c r="E239"/>
      <c r="F239"/>
      <c r="G239"/>
      <c r="H239"/>
      <c r="I239"/>
      <c r="J239"/>
      <c r="K239"/>
    </row>
    <row r="240" spans="1:11" ht="15.75">
      <c r="A240"/>
      <c r="B240"/>
      <c r="C240"/>
      <c r="D240"/>
      <c r="E240"/>
      <c r="F240"/>
      <c r="G240"/>
      <c r="H240"/>
      <c r="I240"/>
      <c r="J240"/>
      <c r="K240"/>
    </row>
    <row r="241" spans="1:11" ht="15.75">
      <c r="A241"/>
      <c r="B241"/>
      <c r="C241"/>
      <c r="D241"/>
      <c r="E241"/>
      <c r="F241"/>
      <c r="G241"/>
      <c r="H241"/>
      <c r="I241"/>
      <c r="J241"/>
      <c r="K241"/>
    </row>
    <row r="242" spans="1:11" ht="15.75">
      <c r="A242"/>
      <c r="B242"/>
      <c r="C242"/>
      <c r="D242"/>
      <c r="E242"/>
      <c r="F242"/>
      <c r="G242"/>
      <c r="H242"/>
      <c r="I242"/>
      <c r="J242"/>
      <c r="K242"/>
    </row>
    <row r="243" spans="1:11" ht="15.75">
      <c r="A243"/>
      <c r="B243"/>
      <c r="C243"/>
      <c r="D243"/>
      <c r="E243"/>
      <c r="F243"/>
      <c r="G243"/>
      <c r="H243"/>
      <c r="I243"/>
      <c r="J243"/>
      <c r="K243"/>
    </row>
    <row r="244" spans="1:11" ht="15.75">
      <c r="A244"/>
      <c r="B244"/>
      <c r="C244"/>
      <c r="D244"/>
      <c r="E244"/>
      <c r="F244"/>
      <c r="G244"/>
      <c r="H244"/>
      <c r="I244"/>
      <c r="J244"/>
      <c r="K244"/>
    </row>
    <row r="245" spans="1:11" ht="15.75">
      <c r="A245"/>
      <c r="B245"/>
      <c r="C245"/>
      <c r="D245"/>
      <c r="E245"/>
      <c r="F245"/>
      <c r="G245"/>
      <c r="H245"/>
      <c r="I245"/>
      <c r="J245"/>
      <c r="K245"/>
    </row>
    <row r="246" spans="1:11" ht="15.75">
      <c r="A246"/>
      <c r="B246"/>
      <c r="C246"/>
      <c r="D246"/>
      <c r="E246"/>
      <c r="F246"/>
      <c r="G246"/>
      <c r="H246"/>
      <c r="I246"/>
      <c r="J246"/>
      <c r="K246"/>
    </row>
    <row r="247" spans="1:11" ht="15.75">
      <c r="A247"/>
      <c r="B247"/>
      <c r="C247"/>
      <c r="D247"/>
      <c r="E247"/>
      <c r="F247"/>
      <c r="G247"/>
      <c r="H247"/>
      <c r="I247"/>
      <c r="J247"/>
      <c r="K247"/>
    </row>
    <row r="248" spans="1:11" ht="15.75">
      <c r="A248"/>
      <c r="B248"/>
      <c r="C248"/>
      <c r="D248"/>
      <c r="E248"/>
      <c r="F248"/>
      <c r="G248"/>
      <c r="H248"/>
      <c r="I248"/>
      <c r="J248"/>
      <c r="K248"/>
    </row>
    <row r="249" spans="1:11" ht="15.75">
      <c r="A249"/>
      <c r="B249"/>
      <c r="C249"/>
      <c r="D249"/>
      <c r="E249"/>
      <c r="F249"/>
      <c r="G249"/>
      <c r="H249"/>
      <c r="I249"/>
      <c r="J249"/>
      <c r="K249"/>
    </row>
    <row r="250" spans="1:11" ht="15.75">
      <c r="A250"/>
      <c r="B250"/>
      <c r="C250"/>
      <c r="D250"/>
      <c r="E250"/>
      <c r="F250"/>
      <c r="G250"/>
      <c r="H250"/>
      <c r="I250"/>
      <c r="J250"/>
      <c r="K250"/>
    </row>
    <row r="251" spans="1:11" ht="15.75">
      <c r="A251"/>
      <c r="B251"/>
      <c r="C251"/>
      <c r="D251"/>
      <c r="E251"/>
      <c r="F251"/>
      <c r="G251"/>
      <c r="H251"/>
      <c r="I251"/>
      <c r="J251"/>
      <c r="K251"/>
    </row>
    <row r="252" spans="1:11" ht="15.75">
      <c r="A252"/>
      <c r="B252"/>
      <c r="C252"/>
      <c r="D252"/>
      <c r="E252"/>
      <c r="F252"/>
      <c r="G252"/>
      <c r="H252"/>
      <c r="I252"/>
      <c r="J252"/>
      <c r="K252"/>
    </row>
    <row r="253" spans="1:11" ht="15.75">
      <c r="A253"/>
      <c r="B253"/>
      <c r="C253"/>
      <c r="D253"/>
      <c r="E253"/>
      <c r="F253"/>
      <c r="G253"/>
      <c r="H253"/>
      <c r="I253"/>
      <c r="J253"/>
      <c r="K253"/>
    </row>
    <row r="254" spans="1:11" ht="15.75">
      <c r="A254"/>
      <c r="B254"/>
      <c r="C254"/>
      <c r="D254"/>
      <c r="E254"/>
      <c r="F254"/>
      <c r="G254"/>
      <c r="H254"/>
      <c r="I254"/>
      <c r="J254"/>
      <c r="K254"/>
    </row>
    <row r="255" spans="1:11" ht="15.75">
      <c r="A255"/>
      <c r="B255"/>
      <c r="C255"/>
      <c r="D255"/>
      <c r="E255"/>
      <c r="F255"/>
      <c r="G255"/>
      <c r="H255"/>
      <c r="I255"/>
      <c r="J255"/>
      <c r="K255"/>
    </row>
    <row r="256" spans="1:11" ht="15.75">
      <c r="A256"/>
      <c r="B256"/>
      <c r="C256"/>
      <c r="D256"/>
      <c r="E256"/>
      <c r="F256"/>
      <c r="G256"/>
      <c r="H256"/>
      <c r="I256"/>
      <c r="J256"/>
      <c r="K256"/>
    </row>
    <row r="257" spans="1:11" ht="15.75">
      <c r="A257"/>
      <c r="B257"/>
      <c r="C257"/>
      <c r="D257"/>
      <c r="E257"/>
      <c r="F257"/>
      <c r="G257"/>
      <c r="H257"/>
      <c r="I257"/>
      <c r="J257"/>
      <c r="K257"/>
    </row>
    <row r="258" spans="1:11" ht="15.75">
      <c r="A258"/>
      <c r="B258"/>
      <c r="C258"/>
      <c r="D258"/>
      <c r="E258"/>
      <c r="F258"/>
      <c r="G258"/>
      <c r="H258"/>
      <c r="I258"/>
      <c r="J258"/>
      <c r="K258"/>
    </row>
    <row r="259" spans="1:11" ht="15.75">
      <c r="A259"/>
      <c r="B259"/>
      <c r="C259"/>
      <c r="D259"/>
      <c r="E259"/>
      <c r="F259"/>
      <c r="G259"/>
      <c r="H259"/>
      <c r="I259"/>
      <c r="J259"/>
      <c r="K259"/>
    </row>
    <row r="260" spans="1:11" ht="15.75">
      <c r="A260"/>
      <c r="B260"/>
      <c r="C260"/>
      <c r="D260"/>
      <c r="E260"/>
      <c r="F260"/>
      <c r="G260"/>
      <c r="H260"/>
      <c r="I260"/>
      <c r="J260"/>
      <c r="K260"/>
    </row>
    <row r="261" spans="1:11" ht="15.75">
      <c r="A261"/>
      <c r="B261"/>
      <c r="C261"/>
      <c r="D261"/>
      <c r="E261"/>
      <c r="F261"/>
      <c r="G261"/>
      <c r="H261"/>
      <c r="I261"/>
      <c r="J261"/>
      <c r="K261"/>
    </row>
    <row r="262" spans="1:11" ht="15.75">
      <c r="A262"/>
      <c r="B262"/>
      <c r="C262"/>
      <c r="D262"/>
      <c r="E262"/>
      <c r="F262"/>
      <c r="G262"/>
      <c r="H262"/>
      <c r="I262"/>
      <c r="J262"/>
      <c r="K262"/>
    </row>
    <row r="263" spans="1:11" ht="15.75">
      <c r="A263"/>
      <c r="B263"/>
      <c r="C263"/>
      <c r="D263"/>
      <c r="E263"/>
      <c r="F263"/>
      <c r="G263"/>
      <c r="H263"/>
      <c r="I263"/>
      <c r="J263"/>
      <c r="K263"/>
    </row>
    <row r="264" spans="1:11" ht="15.75">
      <c r="A264"/>
      <c r="B264"/>
      <c r="C264"/>
      <c r="D264"/>
      <c r="E264"/>
      <c r="F264"/>
      <c r="G264"/>
      <c r="H264"/>
      <c r="I264"/>
      <c r="J264"/>
      <c r="K264"/>
    </row>
    <row r="265" spans="1:11" ht="15.75">
      <c r="A265"/>
      <c r="B265"/>
      <c r="C265"/>
      <c r="D265"/>
      <c r="E265"/>
      <c r="F265"/>
      <c r="G265"/>
      <c r="H265"/>
      <c r="I265"/>
      <c r="J265"/>
      <c r="K265"/>
    </row>
    <row r="266" spans="1:11" ht="15.75">
      <c r="A266"/>
      <c r="B266"/>
      <c r="C266"/>
      <c r="D266"/>
      <c r="E266"/>
      <c r="F266"/>
      <c r="G266"/>
      <c r="H266"/>
      <c r="I266"/>
      <c r="J266"/>
      <c r="K266"/>
    </row>
    <row r="267" spans="1:11" ht="15.75">
      <c r="A267"/>
      <c r="B267"/>
      <c r="C267"/>
      <c r="D267"/>
      <c r="E267"/>
      <c r="F267"/>
      <c r="G267"/>
      <c r="H267"/>
      <c r="I267"/>
      <c r="J267"/>
      <c r="K267"/>
    </row>
    <row r="268" spans="1:11" ht="15.75">
      <c r="A268"/>
      <c r="B268"/>
      <c r="C268"/>
      <c r="D268"/>
      <c r="E268"/>
      <c r="F268"/>
      <c r="G268"/>
      <c r="H268"/>
      <c r="I268"/>
      <c r="J268"/>
      <c r="K268"/>
    </row>
    <row r="269" spans="1:11" ht="15.75">
      <c r="A269"/>
      <c r="B269"/>
      <c r="C269"/>
      <c r="D269"/>
      <c r="E269"/>
      <c r="F269"/>
      <c r="G269"/>
      <c r="H269"/>
      <c r="I269"/>
      <c r="J269"/>
      <c r="K269"/>
    </row>
    <row r="270" spans="1:11" ht="15.75">
      <c r="A270"/>
      <c r="B270"/>
      <c r="C270"/>
      <c r="D270"/>
      <c r="E270"/>
      <c r="F270"/>
      <c r="G270"/>
      <c r="H270"/>
      <c r="I270"/>
      <c r="J270"/>
      <c r="K270"/>
    </row>
    <row r="271" spans="1:11" ht="15.75">
      <c r="A271"/>
      <c r="B271"/>
      <c r="C271"/>
      <c r="D271"/>
      <c r="E271"/>
      <c r="F271"/>
      <c r="G271"/>
      <c r="H271"/>
      <c r="I271"/>
      <c r="J271"/>
      <c r="K271"/>
    </row>
    <row r="272" spans="1:11" ht="15.75">
      <c r="A272"/>
      <c r="B272"/>
      <c r="C272"/>
      <c r="D272"/>
      <c r="E272"/>
      <c r="F272"/>
      <c r="G272"/>
      <c r="H272"/>
      <c r="I272"/>
      <c r="J272"/>
      <c r="K272"/>
    </row>
    <row r="273" spans="1:11" ht="15.75">
      <c r="A273"/>
      <c r="B273"/>
      <c r="C273"/>
      <c r="D273"/>
      <c r="E273"/>
      <c r="F273"/>
      <c r="G273"/>
      <c r="H273"/>
      <c r="I273"/>
      <c r="J273"/>
      <c r="K273"/>
    </row>
    <row r="274" spans="1:11" ht="15.75">
      <c r="A274"/>
      <c r="B274"/>
      <c r="C274"/>
      <c r="D274"/>
      <c r="E274"/>
      <c r="F274"/>
      <c r="G274"/>
      <c r="H274"/>
      <c r="I274"/>
      <c r="J274"/>
      <c r="K274"/>
    </row>
    <row r="275" spans="1:11" ht="15.75">
      <c r="A275"/>
      <c r="B275"/>
      <c r="C275"/>
      <c r="D275"/>
      <c r="E275"/>
      <c r="F275"/>
      <c r="G275"/>
      <c r="H275"/>
      <c r="I275"/>
      <c r="J275"/>
      <c r="K275"/>
    </row>
    <row r="276" spans="1:11" ht="15.75">
      <c r="A276"/>
      <c r="B276"/>
      <c r="C276"/>
      <c r="D276"/>
      <c r="E276"/>
      <c r="F276"/>
      <c r="G276"/>
      <c r="H276"/>
      <c r="I276"/>
      <c r="J276"/>
      <c r="K276"/>
    </row>
    <row r="277" spans="1:11" ht="15.75">
      <c r="A277"/>
      <c r="B277"/>
      <c r="C277"/>
      <c r="D277"/>
      <c r="E277"/>
      <c r="F277"/>
      <c r="G277"/>
      <c r="H277"/>
      <c r="I277"/>
      <c r="J277"/>
      <c r="K277"/>
    </row>
    <row r="278" spans="1:11" ht="15.75">
      <c r="A278"/>
      <c r="B278"/>
      <c r="C278"/>
      <c r="D278"/>
      <c r="E278"/>
      <c r="F278"/>
      <c r="G278"/>
      <c r="H278"/>
      <c r="I278"/>
      <c r="J278"/>
      <c r="K278"/>
    </row>
    <row r="279" spans="1:11" ht="15.75">
      <c r="A279"/>
      <c r="B279"/>
      <c r="C279"/>
      <c r="D279"/>
      <c r="E279"/>
      <c r="F279"/>
      <c r="G279"/>
      <c r="H279"/>
      <c r="I279"/>
      <c r="J279"/>
      <c r="K279"/>
    </row>
    <row r="280" spans="1:11" ht="15.75">
      <c r="A280"/>
      <c r="B280"/>
      <c r="C280"/>
      <c r="D280"/>
      <c r="E280"/>
      <c r="F280"/>
      <c r="G280"/>
      <c r="H280"/>
      <c r="I280"/>
      <c r="J280"/>
      <c r="K280"/>
    </row>
    <row r="281" spans="1:11" ht="15.75">
      <c r="A281"/>
      <c r="B281"/>
      <c r="C281"/>
      <c r="D281"/>
      <c r="E281"/>
      <c r="F281"/>
      <c r="G281"/>
      <c r="H281"/>
      <c r="I281"/>
      <c r="J281"/>
      <c r="K281"/>
    </row>
    <row r="282" spans="1:11" ht="15.75">
      <c r="A282"/>
      <c r="B282"/>
      <c r="C282"/>
      <c r="D282"/>
      <c r="E282"/>
      <c r="F282"/>
      <c r="G282"/>
      <c r="H282"/>
      <c r="I282"/>
      <c r="J282"/>
      <c r="K282"/>
    </row>
    <row r="283" spans="1:11" ht="15.75">
      <c r="A283"/>
      <c r="B283"/>
      <c r="C283"/>
      <c r="D283"/>
      <c r="E283"/>
      <c r="F283"/>
      <c r="G283"/>
      <c r="H283"/>
      <c r="I283"/>
      <c r="J283"/>
      <c r="K283"/>
    </row>
    <row r="284" spans="1:11" ht="15.75">
      <c r="A284"/>
      <c r="B284"/>
      <c r="C284"/>
      <c r="D284"/>
      <c r="E284"/>
      <c r="F284"/>
      <c r="G284"/>
      <c r="H284"/>
      <c r="I284"/>
      <c r="J284"/>
      <c r="K284"/>
    </row>
    <row r="285" spans="1:11" ht="15.75">
      <c r="A285"/>
      <c r="B285"/>
      <c r="C285"/>
      <c r="D285"/>
      <c r="E285"/>
      <c r="F285"/>
      <c r="G285"/>
      <c r="H285"/>
      <c r="I285"/>
      <c r="J285"/>
      <c r="K285"/>
    </row>
    <row r="286" spans="1:11" ht="15.75">
      <c r="A286"/>
      <c r="B286"/>
      <c r="C286"/>
      <c r="D286"/>
      <c r="E286"/>
      <c r="F286"/>
      <c r="G286"/>
      <c r="H286"/>
      <c r="I286"/>
      <c r="J286"/>
      <c r="K286"/>
    </row>
    <row r="287" spans="1:11" ht="15.75">
      <c r="A287"/>
      <c r="B287"/>
      <c r="C287"/>
      <c r="D287"/>
      <c r="E287"/>
      <c r="F287"/>
      <c r="G287"/>
      <c r="H287"/>
      <c r="I287"/>
      <c r="J287"/>
      <c r="K287"/>
    </row>
    <row r="288" spans="1:11" ht="15.75">
      <c r="A288"/>
      <c r="B288"/>
      <c r="C288"/>
      <c r="D288"/>
      <c r="E288"/>
      <c r="F288"/>
      <c r="G288"/>
      <c r="H288"/>
      <c r="I288"/>
      <c r="J288"/>
      <c r="K288"/>
    </row>
    <row r="289" spans="1:11" ht="15.75">
      <c r="A289"/>
      <c r="B289"/>
      <c r="C289"/>
      <c r="D289"/>
      <c r="E289"/>
      <c r="F289"/>
      <c r="G289"/>
      <c r="H289"/>
      <c r="I289"/>
      <c r="J289"/>
      <c r="K289"/>
    </row>
    <row r="290" spans="1:11" ht="15.75">
      <c r="A290"/>
      <c r="B290"/>
      <c r="C290"/>
      <c r="D290"/>
      <c r="E290"/>
      <c r="F290"/>
      <c r="G290"/>
      <c r="H290"/>
      <c r="I290"/>
      <c r="J290"/>
      <c r="K290"/>
    </row>
    <row r="291" spans="1:11" ht="15.75">
      <c r="A291"/>
      <c r="B291"/>
      <c r="C291"/>
      <c r="D291"/>
      <c r="E291"/>
      <c r="F291"/>
      <c r="G291"/>
      <c r="H291"/>
      <c r="I291"/>
      <c r="J291"/>
      <c r="K291"/>
    </row>
    <row r="292" spans="1:11" ht="15.75">
      <c r="A292"/>
      <c r="B292"/>
      <c r="C292"/>
      <c r="D292"/>
      <c r="E292"/>
      <c r="F292"/>
      <c r="G292"/>
      <c r="H292"/>
      <c r="I292"/>
      <c r="J292"/>
      <c r="K292"/>
    </row>
    <row r="293" spans="1:11" ht="15.75">
      <c r="A293"/>
      <c r="B293"/>
      <c r="C293"/>
      <c r="D293"/>
      <c r="E293"/>
      <c r="F293"/>
      <c r="G293"/>
      <c r="H293"/>
      <c r="I293"/>
      <c r="J293"/>
      <c r="K293"/>
    </row>
    <row r="294" spans="1:11" ht="15.75">
      <c r="A294"/>
      <c r="B294"/>
      <c r="C294"/>
      <c r="D294"/>
      <c r="E294"/>
      <c r="F294"/>
      <c r="G294"/>
      <c r="H294"/>
      <c r="I294"/>
      <c r="J294"/>
      <c r="K294"/>
    </row>
    <row r="295" spans="1:11" ht="15.75">
      <c r="A295"/>
      <c r="B295"/>
      <c r="C295"/>
      <c r="D295"/>
      <c r="E295"/>
      <c r="F295"/>
      <c r="G295"/>
      <c r="H295"/>
      <c r="I295"/>
      <c r="J295"/>
      <c r="K295"/>
    </row>
    <row r="296" spans="1:11" ht="15.75">
      <c r="A296"/>
      <c r="B296"/>
      <c r="C296"/>
      <c r="D296"/>
      <c r="E296"/>
      <c r="F296"/>
      <c r="G296"/>
      <c r="H296"/>
      <c r="I296"/>
      <c r="J296"/>
      <c r="K296"/>
    </row>
    <row r="297" spans="1:11" ht="15.75">
      <c r="A297"/>
      <c r="B297"/>
      <c r="C297"/>
      <c r="D297"/>
      <c r="E297"/>
      <c r="F297"/>
      <c r="G297"/>
      <c r="H297"/>
      <c r="I297"/>
      <c r="J297"/>
      <c r="K297"/>
    </row>
    <row r="298" spans="1:11" ht="15.75">
      <c r="A298"/>
      <c r="B298"/>
      <c r="C298"/>
      <c r="D298"/>
      <c r="E298"/>
      <c r="F298"/>
      <c r="G298"/>
      <c r="H298"/>
      <c r="I298"/>
      <c r="J298"/>
      <c r="K298"/>
    </row>
    <row r="299" spans="1:11" ht="15.75">
      <c r="A299"/>
      <c r="B299"/>
      <c r="C299"/>
      <c r="D299"/>
      <c r="E299"/>
      <c r="F299"/>
      <c r="G299"/>
      <c r="H299"/>
      <c r="I299"/>
      <c r="J299"/>
      <c r="K299"/>
    </row>
    <row r="300" spans="1:11" ht="15.75">
      <c r="A300"/>
      <c r="B300"/>
      <c r="C300"/>
      <c r="D300"/>
      <c r="E300"/>
      <c r="F300"/>
      <c r="G300"/>
      <c r="H300"/>
      <c r="I300"/>
      <c r="J300"/>
      <c r="K300"/>
    </row>
    <row r="301" spans="1:11" ht="15.75">
      <c r="A301"/>
      <c r="B301"/>
      <c r="C301"/>
      <c r="D301"/>
      <c r="E301"/>
      <c r="F301"/>
      <c r="G301"/>
      <c r="H301"/>
      <c r="I301"/>
      <c r="J301"/>
      <c r="K301"/>
    </row>
    <row r="302" spans="1:11" ht="15.75">
      <c r="A302"/>
      <c r="B302"/>
      <c r="C302"/>
      <c r="D302"/>
      <c r="E302"/>
      <c r="F302"/>
      <c r="G302"/>
      <c r="H302"/>
      <c r="I302"/>
      <c r="J302"/>
      <c r="K302"/>
    </row>
    <row r="303" spans="1:11" ht="15.75">
      <c r="A303"/>
      <c r="B303"/>
      <c r="C303"/>
      <c r="D303"/>
      <c r="E303"/>
      <c r="F303"/>
      <c r="G303"/>
      <c r="H303"/>
      <c r="I303"/>
      <c r="J303"/>
      <c r="K303"/>
    </row>
    <row r="304" spans="1:11" ht="15.75">
      <c r="A304"/>
      <c r="B304"/>
      <c r="C304"/>
      <c r="D304"/>
      <c r="E304"/>
      <c r="F304"/>
      <c r="G304"/>
      <c r="H304"/>
      <c r="I304"/>
      <c r="J304"/>
      <c r="K304"/>
    </row>
    <row r="305" spans="1:11" ht="15.75">
      <c r="A305"/>
      <c r="B305"/>
      <c r="C305"/>
      <c r="D305"/>
      <c r="E305"/>
      <c r="F305"/>
      <c r="G305"/>
      <c r="H305"/>
      <c r="I305"/>
      <c r="J305"/>
      <c r="K305"/>
    </row>
    <row r="306" spans="1:11" ht="15.75">
      <c r="A306"/>
      <c r="B306"/>
      <c r="C306"/>
      <c r="D306"/>
      <c r="E306"/>
      <c r="F306"/>
      <c r="G306"/>
      <c r="H306"/>
      <c r="I306"/>
      <c r="J306"/>
      <c r="K306"/>
    </row>
    <row r="307" spans="1:11" ht="15.75">
      <c r="A307"/>
      <c r="B307"/>
      <c r="C307"/>
      <c r="D307"/>
      <c r="E307"/>
      <c r="F307"/>
      <c r="G307"/>
      <c r="H307"/>
      <c r="I307"/>
      <c r="J307"/>
      <c r="K307"/>
    </row>
    <row r="308" spans="1:11" ht="15.75">
      <c r="A308"/>
      <c r="B308"/>
      <c r="C308"/>
      <c r="D308"/>
      <c r="E308"/>
      <c r="F308"/>
      <c r="G308"/>
      <c r="H308"/>
      <c r="I308"/>
      <c r="J308"/>
      <c r="K308"/>
    </row>
    <row r="309" spans="1:11" ht="15.75">
      <c r="A309"/>
      <c r="B309"/>
      <c r="C309"/>
      <c r="D309"/>
      <c r="E309"/>
      <c r="F309"/>
      <c r="G309"/>
      <c r="H309"/>
      <c r="I309"/>
      <c r="J309"/>
      <c r="K309"/>
    </row>
    <row r="310" spans="1:11" ht="15.75">
      <c r="A310"/>
      <c r="B310"/>
      <c r="C310"/>
      <c r="D310"/>
      <c r="E310"/>
      <c r="F310"/>
      <c r="G310"/>
      <c r="H310"/>
      <c r="I310"/>
      <c r="J310"/>
      <c r="K310"/>
    </row>
    <row r="311" spans="1:11" ht="15.75">
      <c r="A311"/>
      <c r="B311"/>
      <c r="C311"/>
      <c r="D311"/>
      <c r="E311"/>
      <c r="F311"/>
      <c r="G311"/>
      <c r="H311"/>
      <c r="I311"/>
      <c r="J311"/>
      <c r="K311"/>
    </row>
    <row r="312" spans="1:11" ht="15.75">
      <c r="A312"/>
      <c r="B312"/>
      <c r="C312"/>
      <c r="D312"/>
      <c r="E312"/>
      <c r="F312"/>
      <c r="G312"/>
      <c r="H312"/>
      <c r="I312"/>
      <c r="J312"/>
      <c r="K312"/>
    </row>
    <row r="313" spans="1:11" ht="15.75">
      <c r="A313"/>
      <c r="B313"/>
      <c r="C313"/>
      <c r="D313"/>
      <c r="E313"/>
      <c r="F313"/>
      <c r="G313"/>
      <c r="H313"/>
      <c r="I313"/>
      <c r="J313"/>
      <c r="K313"/>
    </row>
    <row r="314" spans="1:11" ht="15.75">
      <c r="A314"/>
      <c r="B314"/>
      <c r="C314"/>
      <c r="D314"/>
      <c r="E314"/>
      <c r="F314"/>
      <c r="G314"/>
      <c r="H314"/>
      <c r="I314"/>
      <c r="J314"/>
      <c r="K314"/>
    </row>
    <row r="315" spans="1:11" ht="15.75">
      <c r="A315"/>
      <c r="B315"/>
      <c r="C315"/>
      <c r="D315"/>
      <c r="E315"/>
      <c r="F315"/>
      <c r="G315"/>
      <c r="H315"/>
      <c r="I315"/>
      <c r="J315"/>
      <c r="K315"/>
    </row>
    <row r="316" spans="1:11" ht="15.75">
      <c r="A316"/>
      <c r="B316"/>
      <c r="C316"/>
      <c r="D316"/>
      <c r="E316"/>
      <c r="F316"/>
      <c r="G316"/>
      <c r="H316"/>
      <c r="I316"/>
      <c r="J316"/>
      <c r="K316"/>
    </row>
    <row r="317" spans="1:11" ht="15.75">
      <c r="A317"/>
      <c r="B317"/>
      <c r="C317"/>
      <c r="D317"/>
      <c r="E317"/>
      <c r="F317"/>
      <c r="G317"/>
      <c r="H317"/>
      <c r="I317"/>
      <c r="J317"/>
      <c r="K317"/>
    </row>
    <row r="318" spans="1:11" ht="15.75">
      <c r="A318"/>
      <c r="B318"/>
      <c r="C318"/>
      <c r="D318"/>
      <c r="E318"/>
      <c r="F318"/>
      <c r="G318"/>
      <c r="H318"/>
      <c r="I318"/>
      <c r="J318"/>
      <c r="K318"/>
    </row>
    <row r="319" spans="1:11" ht="15.75">
      <c r="A319"/>
      <c r="B319"/>
      <c r="C319"/>
      <c r="D319"/>
      <c r="E319"/>
      <c r="F319"/>
      <c r="G319"/>
      <c r="H319"/>
      <c r="I319"/>
      <c r="J319"/>
      <c r="K319"/>
    </row>
    <row r="320" spans="1:11" ht="15.75">
      <c r="A320"/>
      <c r="B320"/>
      <c r="C320"/>
      <c r="D320"/>
      <c r="E320"/>
      <c r="F320"/>
      <c r="G320"/>
      <c r="H320"/>
      <c r="I320"/>
      <c r="J320"/>
      <c r="K320"/>
    </row>
    <row r="321" spans="1:11" ht="15.75">
      <c r="A321"/>
      <c r="B321"/>
      <c r="C321"/>
      <c r="D321"/>
      <c r="E321"/>
      <c r="F321"/>
      <c r="G321"/>
      <c r="H321"/>
      <c r="I321"/>
      <c r="J321"/>
      <c r="K321"/>
    </row>
    <row r="322" spans="1:11" ht="15.75">
      <c r="A322"/>
      <c r="B322"/>
      <c r="C322"/>
      <c r="D322"/>
      <c r="E322"/>
      <c r="F322"/>
      <c r="G322"/>
      <c r="H322"/>
      <c r="I322"/>
      <c r="J322"/>
      <c r="K322"/>
    </row>
    <row r="323" spans="1:11" ht="15.75">
      <c r="A323"/>
      <c r="B323"/>
      <c r="C323"/>
      <c r="D323"/>
      <c r="E323"/>
      <c r="F323"/>
      <c r="G323"/>
      <c r="H323"/>
      <c r="I323"/>
      <c r="J323"/>
      <c r="K323"/>
    </row>
    <row r="324" spans="1:11" ht="15.75">
      <c r="A324"/>
      <c r="B324"/>
      <c r="C324"/>
      <c r="D324"/>
      <c r="E324"/>
      <c r="F324"/>
      <c r="G324"/>
      <c r="H324"/>
      <c r="I324"/>
      <c r="J324"/>
      <c r="K324"/>
    </row>
    <row r="325" spans="1:11" ht="15.75">
      <c r="A325"/>
      <c r="B325"/>
      <c r="C325"/>
      <c r="D325"/>
      <c r="E325"/>
      <c r="F325"/>
      <c r="G325"/>
      <c r="H325"/>
      <c r="I325"/>
      <c r="J325"/>
      <c r="K325"/>
    </row>
    <row r="326" spans="1:11" ht="15.75">
      <c r="A326"/>
      <c r="B326"/>
      <c r="C326"/>
      <c r="D326"/>
      <c r="E326"/>
      <c r="F326"/>
      <c r="G326"/>
      <c r="H326"/>
      <c r="I326"/>
      <c r="J326"/>
      <c r="K326"/>
    </row>
    <row r="327" spans="1:11" ht="15.75">
      <c r="A327"/>
      <c r="B327"/>
      <c r="C327"/>
      <c r="D327"/>
      <c r="E327"/>
      <c r="F327"/>
      <c r="G327"/>
      <c r="H327"/>
      <c r="I327"/>
      <c r="J327"/>
      <c r="K327"/>
    </row>
    <row r="328" spans="1:11" ht="15.75">
      <c r="A328"/>
      <c r="B328"/>
      <c r="C328"/>
      <c r="D328"/>
      <c r="E328"/>
      <c r="F328"/>
      <c r="G328"/>
      <c r="H328"/>
      <c r="I328"/>
      <c r="J328"/>
      <c r="K328"/>
    </row>
    <row r="329" spans="1:11" ht="15.75">
      <c r="A329"/>
      <c r="B329"/>
      <c r="C329"/>
      <c r="D329"/>
      <c r="E329"/>
      <c r="F329"/>
      <c r="G329"/>
      <c r="H329"/>
      <c r="I329"/>
      <c r="J329"/>
      <c r="K329"/>
    </row>
    <row r="330" spans="1:11" ht="15.75">
      <c r="A330"/>
      <c r="B330"/>
      <c r="C330"/>
      <c r="D330"/>
      <c r="E330"/>
      <c r="F330"/>
      <c r="G330"/>
      <c r="H330"/>
      <c r="I330"/>
      <c r="J330"/>
      <c r="K330"/>
    </row>
    <row r="331" spans="1:11" ht="15.75">
      <c r="A331"/>
      <c r="B331"/>
      <c r="C331"/>
      <c r="D331"/>
      <c r="E331"/>
      <c r="F331"/>
      <c r="G331"/>
      <c r="H331"/>
      <c r="I331"/>
      <c r="J331"/>
      <c r="K331"/>
    </row>
    <row r="332" spans="1:11" ht="15.75">
      <c r="A332"/>
      <c r="B332"/>
      <c r="C332"/>
      <c r="D332"/>
      <c r="E332"/>
      <c r="F332"/>
      <c r="G332"/>
      <c r="H332"/>
      <c r="I332"/>
      <c r="J332"/>
      <c r="K332"/>
    </row>
    <row r="333" spans="1:11" ht="15.75">
      <c r="A333"/>
      <c r="B333"/>
      <c r="C333"/>
      <c r="D333"/>
      <c r="E333"/>
      <c r="F333"/>
      <c r="G333"/>
      <c r="H333"/>
      <c r="I333"/>
      <c r="J333"/>
      <c r="K333"/>
    </row>
    <row r="334" spans="1:11" ht="15.75">
      <c r="A334"/>
      <c r="B334"/>
      <c r="C334"/>
      <c r="D334"/>
      <c r="E334"/>
      <c r="F334"/>
      <c r="G334"/>
      <c r="H334"/>
      <c r="I334"/>
      <c r="J334"/>
      <c r="K334"/>
    </row>
    <row r="335" spans="1:11" ht="15.75">
      <c r="A335"/>
      <c r="B335"/>
      <c r="C335"/>
      <c r="D335"/>
      <c r="E335"/>
      <c r="F335"/>
      <c r="G335"/>
      <c r="H335"/>
      <c r="I335"/>
      <c r="J335"/>
      <c r="K335"/>
    </row>
    <row r="336" spans="1:11" ht="15.75">
      <c r="A336"/>
      <c r="B336"/>
      <c r="C336"/>
      <c r="D336"/>
      <c r="E336"/>
      <c r="F336"/>
      <c r="G336"/>
      <c r="H336"/>
      <c r="I336"/>
      <c r="J336"/>
      <c r="K336"/>
    </row>
    <row r="337" spans="1:11" ht="15.75">
      <c r="A337"/>
      <c r="B337"/>
      <c r="C337"/>
      <c r="D337"/>
      <c r="E337"/>
      <c r="F337"/>
      <c r="G337"/>
      <c r="H337"/>
      <c r="I337"/>
      <c r="J337"/>
      <c r="K337"/>
    </row>
    <row r="338" spans="1:11" ht="15.75">
      <c r="A338"/>
      <c r="B338"/>
      <c r="C338"/>
      <c r="D338"/>
      <c r="E338"/>
      <c r="F338"/>
      <c r="G338"/>
      <c r="H338"/>
      <c r="I338"/>
      <c r="J338"/>
      <c r="K338"/>
    </row>
    <row r="339" spans="1:11" ht="15.75">
      <c r="A339"/>
      <c r="B339"/>
      <c r="C339"/>
      <c r="D339"/>
      <c r="E339"/>
      <c r="F339"/>
      <c r="G339"/>
      <c r="H339"/>
      <c r="I339"/>
      <c r="J339"/>
      <c r="K339"/>
    </row>
    <row r="340" spans="1:11" ht="15.75">
      <c r="A340"/>
      <c r="B340"/>
      <c r="C340"/>
      <c r="D340"/>
      <c r="E340"/>
      <c r="F340"/>
      <c r="G340"/>
      <c r="H340"/>
      <c r="I340"/>
      <c r="J340"/>
      <c r="K340"/>
    </row>
    <row r="341" spans="1:11" ht="15.75">
      <c r="A341"/>
      <c r="B341"/>
      <c r="C341"/>
      <c r="D341"/>
      <c r="E341"/>
      <c r="F341"/>
      <c r="G341"/>
      <c r="H341"/>
      <c r="I341"/>
      <c r="J341"/>
      <c r="K341"/>
    </row>
    <row r="342" spans="1:11" ht="15.75">
      <c r="A342"/>
      <c r="B342"/>
      <c r="C342"/>
      <c r="D342"/>
      <c r="E342"/>
      <c r="F342"/>
      <c r="G342"/>
      <c r="H342"/>
      <c r="I342"/>
      <c r="J342"/>
      <c r="K342"/>
    </row>
    <row r="343" spans="1:11" ht="15.75">
      <c r="A343"/>
      <c r="B343"/>
      <c r="C343"/>
      <c r="D343"/>
      <c r="E343"/>
      <c r="F343"/>
      <c r="G343"/>
      <c r="H343"/>
      <c r="I343"/>
      <c r="J343"/>
      <c r="K343"/>
    </row>
    <row r="344" spans="1:11" ht="15.75">
      <c r="A344"/>
      <c r="B344"/>
      <c r="C344"/>
      <c r="D344"/>
      <c r="E344"/>
      <c r="F344"/>
      <c r="G344"/>
      <c r="H344"/>
      <c r="I344"/>
      <c r="J344"/>
      <c r="K344"/>
    </row>
    <row r="345" spans="1:11" ht="15.75">
      <c r="A345"/>
      <c r="B345"/>
      <c r="C345"/>
      <c r="D345"/>
      <c r="E345"/>
      <c r="F345"/>
      <c r="G345"/>
      <c r="H345"/>
      <c r="I345"/>
      <c r="J345"/>
      <c r="K345"/>
    </row>
    <row r="346" spans="1:11" ht="15.75">
      <c r="A346"/>
      <c r="B346"/>
      <c r="C346"/>
      <c r="D346"/>
      <c r="E346"/>
      <c r="F346"/>
      <c r="G346"/>
      <c r="H346"/>
      <c r="I346"/>
      <c r="J346"/>
      <c r="K346"/>
    </row>
    <row r="347" spans="1:11" ht="15.75">
      <c r="A347"/>
      <c r="B347"/>
      <c r="C347"/>
      <c r="D347"/>
      <c r="E347"/>
      <c r="F347"/>
      <c r="G347"/>
      <c r="H347"/>
      <c r="I347"/>
      <c r="J347"/>
      <c r="K347"/>
    </row>
    <row r="348" spans="1:11" ht="15.75">
      <c r="A348"/>
      <c r="B348"/>
      <c r="C348"/>
      <c r="D348"/>
      <c r="E348"/>
      <c r="F348"/>
      <c r="G348"/>
      <c r="H348"/>
      <c r="I348"/>
      <c r="J348"/>
      <c r="K348"/>
    </row>
    <row r="349" spans="1:11" ht="15.75">
      <c r="A349"/>
      <c r="B349"/>
      <c r="C349"/>
      <c r="D349"/>
      <c r="E349"/>
      <c r="F349"/>
      <c r="G349"/>
      <c r="H349"/>
      <c r="I349"/>
      <c r="J349"/>
      <c r="K349"/>
    </row>
    <row r="350" spans="1:11" ht="15.75">
      <c r="A350"/>
      <c r="B350"/>
      <c r="C350"/>
      <c r="D350"/>
      <c r="E350"/>
      <c r="F350"/>
      <c r="G350"/>
      <c r="H350"/>
      <c r="I350"/>
      <c r="J350"/>
      <c r="K350"/>
    </row>
    <row r="351" spans="1:11" ht="15.75">
      <c r="A351"/>
      <c r="B351"/>
      <c r="C351"/>
      <c r="D351"/>
      <c r="E351"/>
      <c r="F351"/>
      <c r="G351"/>
      <c r="H351"/>
      <c r="I351"/>
      <c r="J351"/>
      <c r="K351"/>
    </row>
    <row r="352" spans="1:11" ht="15.75">
      <c r="A352"/>
      <c r="B352"/>
      <c r="C352"/>
      <c r="D352"/>
      <c r="E352"/>
      <c r="F352"/>
      <c r="G352"/>
      <c r="H352"/>
      <c r="I352"/>
      <c r="J352"/>
      <c r="K352"/>
    </row>
    <row r="353" spans="1:11" ht="15.75">
      <c r="A353"/>
      <c r="B353"/>
      <c r="C353"/>
      <c r="D353"/>
      <c r="E353"/>
      <c r="F353"/>
      <c r="G353"/>
      <c r="H353"/>
      <c r="I353"/>
      <c r="J353"/>
      <c r="K353"/>
    </row>
    <row r="354" spans="1:11" ht="15.75">
      <c r="A354"/>
      <c r="B354"/>
      <c r="C354"/>
      <c r="D354"/>
      <c r="E354"/>
      <c r="F354"/>
      <c r="G354"/>
      <c r="H354"/>
      <c r="I354"/>
      <c r="J354"/>
      <c r="K354"/>
    </row>
    <row r="355" spans="1:11" ht="15.75">
      <c r="A355"/>
      <c r="B355"/>
      <c r="C355"/>
      <c r="D355"/>
      <c r="E355"/>
      <c r="F355"/>
      <c r="G355"/>
      <c r="H355"/>
      <c r="I355"/>
      <c r="J355"/>
      <c r="K355"/>
    </row>
    <row r="356" spans="1:11" ht="15.75">
      <c r="A356"/>
      <c r="B356"/>
      <c r="C356"/>
      <c r="D356"/>
      <c r="E356"/>
      <c r="F356"/>
      <c r="G356"/>
      <c r="H356"/>
      <c r="I356"/>
      <c r="J356"/>
      <c r="K356"/>
    </row>
    <row r="357" spans="1:11" ht="15.75">
      <c r="A357"/>
      <c r="B357"/>
      <c r="C357"/>
      <c r="D357"/>
      <c r="E357"/>
      <c r="F357"/>
      <c r="G357"/>
      <c r="H357"/>
      <c r="I357"/>
      <c r="J357"/>
      <c r="K357"/>
    </row>
    <row r="358" spans="1:11" ht="15.75">
      <c r="A358"/>
      <c r="B358"/>
      <c r="C358"/>
      <c r="D358"/>
      <c r="E358"/>
      <c r="F358"/>
      <c r="G358"/>
      <c r="H358"/>
      <c r="I358"/>
      <c r="J358"/>
      <c r="K358"/>
    </row>
    <row r="359" spans="1:11" ht="15.75">
      <c r="A359"/>
      <c r="B359"/>
      <c r="C359"/>
      <c r="D359"/>
      <c r="E359"/>
      <c r="F359"/>
      <c r="G359"/>
      <c r="H359"/>
      <c r="I359"/>
      <c r="J359"/>
      <c r="K359"/>
    </row>
    <row r="360" spans="1:11" ht="15.75">
      <c r="A360"/>
      <c r="B360"/>
      <c r="C360"/>
      <c r="D360"/>
      <c r="E360"/>
      <c r="F360"/>
      <c r="G360"/>
      <c r="H360"/>
      <c r="I360"/>
      <c r="J360"/>
      <c r="K360"/>
    </row>
    <row r="361" spans="1:11" ht="15.75">
      <c r="A361"/>
      <c r="B361"/>
      <c r="C361"/>
      <c r="D361"/>
      <c r="E361"/>
      <c r="F361"/>
      <c r="G361"/>
      <c r="H361"/>
      <c r="I361"/>
      <c r="J361"/>
      <c r="K361"/>
    </row>
    <row r="362" spans="1:11" ht="15.75">
      <c r="A362"/>
      <c r="B362"/>
      <c r="C362"/>
      <c r="D362"/>
      <c r="E362"/>
      <c r="F362"/>
      <c r="G362"/>
      <c r="H362"/>
      <c r="I362"/>
      <c r="J362"/>
      <c r="K362"/>
    </row>
    <row r="363" spans="1:11" ht="15.75">
      <c r="A363"/>
      <c r="B363"/>
      <c r="C363"/>
      <c r="D363"/>
      <c r="E363"/>
      <c r="F363"/>
      <c r="G363"/>
      <c r="H363"/>
      <c r="I363"/>
      <c r="J363"/>
      <c r="K363"/>
    </row>
    <row r="364" spans="1:11" ht="15.75">
      <c r="A364"/>
      <c r="B364"/>
      <c r="C364"/>
      <c r="D364"/>
      <c r="E364"/>
      <c r="F364"/>
      <c r="G364"/>
      <c r="H364"/>
      <c r="I364"/>
      <c r="J364"/>
      <c r="K364"/>
    </row>
    <row r="365" spans="1:11" ht="15.75">
      <c r="A365"/>
      <c r="B365"/>
      <c r="C365"/>
      <c r="D365"/>
      <c r="E365"/>
      <c r="F365"/>
      <c r="G365"/>
      <c r="H365"/>
      <c r="I365"/>
      <c r="J365"/>
      <c r="K365"/>
    </row>
    <row r="366" spans="1:11" ht="15.75">
      <c r="A366"/>
      <c r="B366"/>
      <c r="C366"/>
      <c r="D366"/>
      <c r="E366"/>
      <c r="F366"/>
      <c r="G366"/>
      <c r="H366"/>
      <c r="I366"/>
      <c r="J366"/>
      <c r="K366"/>
    </row>
    <row r="367" spans="1:11" ht="15.75">
      <c r="A367"/>
      <c r="B367"/>
      <c r="C367"/>
      <c r="D367"/>
      <c r="E367"/>
      <c r="F367"/>
      <c r="G367"/>
      <c r="H367"/>
      <c r="I367"/>
      <c r="J367"/>
      <c r="K367"/>
    </row>
    <row r="368" spans="1:11" ht="15.75">
      <c r="A368"/>
      <c r="B368"/>
      <c r="C368"/>
      <c r="D368"/>
      <c r="E368"/>
      <c r="F368"/>
      <c r="G368"/>
      <c r="H368"/>
      <c r="I368"/>
      <c r="J368"/>
      <c r="K368"/>
    </row>
    <row r="369" spans="1:11" ht="15.75">
      <c r="A369"/>
      <c r="B369"/>
      <c r="C369"/>
      <c r="D369"/>
      <c r="E369"/>
      <c r="F369"/>
      <c r="G369"/>
      <c r="H369"/>
      <c r="I369"/>
      <c r="J369"/>
      <c r="K369"/>
    </row>
    <row r="370" spans="1:11" ht="15.75">
      <c r="A370"/>
      <c r="B370"/>
      <c r="C370"/>
      <c r="D370"/>
      <c r="E370"/>
      <c r="F370"/>
      <c r="G370"/>
      <c r="H370"/>
      <c r="I370"/>
      <c r="J370"/>
      <c r="K370"/>
    </row>
    <row r="371" spans="1:11" ht="15.75">
      <c r="A371"/>
      <c r="B371"/>
      <c r="C371"/>
      <c r="D371"/>
      <c r="E371"/>
      <c r="F371"/>
      <c r="G371"/>
      <c r="H371"/>
      <c r="I371"/>
      <c r="J371"/>
      <c r="K371"/>
    </row>
    <row r="372" spans="1:11" ht="15.75">
      <c r="A372"/>
      <c r="B372"/>
      <c r="C372"/>
      <c r="D372"/>
      <c r="E372"/>
      <c r="F372"/>
      <c r="G372"/>
      <c r="H372"/>
      <c r="I372"/>
      <c r="J372"/>
      <c r="K372"/>
    </row>
    <row r="373" spans="1:11" ht="15.75">
      <c r="A373"/>
      <c r="B373"/>
      <c r="C373"/>
      <c r="D373"/>
      <c r="E373"/>
      <c r="F373"/>
      <c r="G373"/>
      <c r="H373"/>
      <c r="I373"/>
      <c r="J373"/>
      <c r="K373"/>
    </row>
    <row r="374" spans="1:11" ht="15.75">
      <c r="A374"/>
      <c r="B374"/>
      <c r="C374"/>
      <c r="D374"/>
      <c r="E374"/>
      <c r="F374"/>
      <c r="G374"/>
      <c r="H374"/>
      <c r="I374"/>
      <c r="J374"/>
      <c r="K374"/>
    </row>
    <row r="375" spans="1:11" ht="15.75">
      <c r="A375"/>
      <c r="B375"/>
      <c r="C375"/>
      <c r="D375"/>
      <c r="E375"/>
      <c r="F375"/>
      <c r="G375"/>
      <c r="H375"/>
      <c r="I375"/>
      <c r="J375"/>
      <c r="K375"/>
    </row>
    <row r="376" spans="1:11" ht="15.75">
      <c r="A376"/>
      <c r="B376"/>
      <c r="C376"/>
      <c r="D376"/>
      <c r="E376"/>
      <c r="F376"/>
      <c r="G376"/>
      <c r="H376"/>
      <c r="I376"/>
      <c r="J376"/>
      <c r="K376"/>
    </row>
    <row r="377" spans="1:11" ht="15.75">
      <c r="A377"/>
      <c r="B377"/>
      <c r="C377"/>
      <c r="D377"/>
      <c r="E377"/>
      <c r="F377"/>
      <c r="G377"/>
      <c r="H377"/>
      <c r="I377"/>
      <c r="J377"/>
      <c r="K377"/>
    </row>
    <row r="378" spans="1:11" ht="15.75">
      <c r="A378"/>
      <c r="B378"/>
      <c r="C378"/>
      <c r="D378"/>
      <c r="E378"/>
      <c r="F378"/>
      <c r="G378"/>
      <c r="H378"/>
      <c r="I378"/>
      <c r="J378"/>
      <c r="K378"/>
    </row>
    <row r="379" spans="1:11" ht="15.75">
      <c r="A379"/>
      <c r="B379"/>
      <c r="C379"/>
      <c r="D379"/>
      <c r="E379"/>
      <c r="F379"/>
      <c r="G379"/>
      <c r="H379"/>
      <c r="I379"/>
      <c r="J379"/>
      <c r="K379"/>
    </row>
    <row r="380" spans="1:11" ht="15.75">
      <c r="A380"/>
      <c r="B380"/>
      <c r="C380"/>
      <c r="D380"/>
      <c r="E380"/>
      <c r="F380"/>
      <c r="G380"/>
      <c r="H380"/>
      <c r="I380"/>
      <c r="J380"/>
      <c r="K380"/>
    </row>
    <row r="381" spans="1:11" ht="15.75">
      <c r="A381"/>
      <c r="B381"/>
      <c r="C381"/>
      <c r="D381"/>
      <c r="E381"/>
      <c r="F381"/>
      <c r="G381"/>
      <c r="H381"/>
      <c r="I381"/>
      <c r="J381"/>
      <c r="K381"/>
    </row>
    <row r="382" spans="1:11" ht="15.75">
      <c r="A382"/>
      <c r="B382"/>
      <c r="C382"/>
      <c r="D382"/>
      <c r="E382"/>
      <c r="F382"/>
      <c r="G382"/>
      <c r="H382"/>
      <c r="I382"/>
      <c r="J382"/>
      <c r="K382"/>
    </row>
    <row r="383" spans="1:11" ht="15.75">
      <c r="A383"/>
      <c r="B383"/>
      <c r="C383"/>
      <c r="D383"/>
      <c r="E383"/>
      <c r="F383"/>
      <c r="G383"/>
      <c r="H383"/>
      <c r="I383"/>
      <c r="J383"/>
      <c r="K383"/>
    </row>
    <row r="384" spans="1:11" ht="15.75">
      <c r="A384"/>
      <c r="B384"/>
      <c r="C384"/>
      <c r="D384"/>
      <c r="E384"/>
      <c r="F384"/>
      <c r="G384"/>
      <c r="H384"/>
      <c r="I384"/>
      <c r="J384"/>
      <c r="K384"/>
    </row>
    <row r="385" spans="1:11" ht="15.75">
      <c r="A385"/>
      <c r="B385"/>
      <c r="C385"/>
      <c r="D385"/>
      <c r="E385"/>
      <c r="F385"/>
      <c r="G385"/>
      <c r="H385"/>
      <c r="I385"/>
      <c r="J385"/>
      <c r="K385"/>
    </row>
    <row r="386" spans="1:11" ht="15.75">
      <c r="A386"/>
      <c r="B386"/>
      <c r="C386"/>
      <c r="D386"/>
      <c r="E386"/>
      <c r="F386"/>
      <c r="G386"/>
      <c r="H386"/>
      <c r="I386"/>
      <c r="J386"/>
      <c r="K386"/>
    </row>
    <row r="387" spans="1:11" ht="15.75">
      <c r="A387"/>
      <c r="B387"/>
      <c r="C387"/>
      <c r="D387"/>
      <c r="E387"/>
      <c r="F387"/>
      <c r="G387"/>
      <c r="H387"/>
      <c r="I387"/>
      <c r="J387"/>
      <c r="K387"/>
    </row>
    <row r="388" spans="1:11" ht="15.75">
      <c r="A388"/>
      <c r="B388"/>
      <c r="C388"/>
      <c r="D388"/>
      <c r="E388"/>
      <c r="F388"/>
      <c r="G388"/>
      <c r="H388"/>
      <c r="I388"/>
      <c r="J388"/>
      <c r="K388"/>
    </row>
    <row r="389" spans="1:11" ht="15.75">
      <c r="A389"/>
      <c r="B389"/>
      <c r="C389"/>
      <c r="D389"/>
      <c r="E389"/>
      <c r="F389"/>
      <c r="G389"/>
      <c r="H389"/>
      <c r="I389"/>
      <c r="J389"/>
      <c r="K389"/>
    </row>
    <row r="390" spans="1:11" ht="15.75">
      <c r="A390"/>
      <c r="B390"/>
      <c r="C390"/>
      <c r="D390"/>
      <c r="E390"/>
      <c r="F390"/>
      <c r="G390"/>
      <c r="H390"/>
      <c r="I390"/>
      <c r="J390"/>
      <c r="K390"/>
    </row>
    <row r="391" spans="1:11" ht="15.75">
      <c r="A391"/>
      <c r="B391"/>
      <c r="C391"/>
      <c r="D391"/>
      <c r="E391"/>
      <c r="F391"/>
      <c r="G391"/>
      <c r="H391"/>
      <c r="I391"/>
      <c r="J391"/>
      <c r="K391"/>
    </row>
    <row r="392" spans="1:11" ht="15.75">
      <c r="A392"/>
      <c r="B392"/>
      <c r="C392"/>
      <c r="D392"/>
      <c r="E392"/>
      <c r="F392"/>
      <c r="G392"/>
      <c r="H392"/>
      <c r="I392"/>
      <c r="J392"/>
      <c r="K392"/>
    </row>
    <row r="393" spans="1:11" ht="15.75">
      <c r="A393"/>
      <c r="B393"/>
      <c r="C393"/>
      <c r="D393"/>
      <c r="E393"/>
      <c r="F393"/>
      <c r="G393"/>
      <c r="H393"/>
      <c r="I393"/>
      <c r="J393"/>
      <c r="K393"/>
    </row>
    <row r="394" spans="1:11" ht="15.75">
      <c r="A394"/>
      <c r="B394"/>
      <c r="C394"/>
      <c r="D394"/>
      <c r="E394"/>
      <c r="F394"/>
      <c r="G394"/>
      <c r="H394"/>
      <c r="I394"/>
      <c r="J394"/>
      <c r="K394"/>
    </row>
    <row r="395" spans="1:11" ht="15.75">
      <c r="A395"/>
      <c r="B395"/>
      <c r="C395"/>
      <c r="D395"/>
      <c r="E395"/>
      <c r="F395"/>
      <c r="G395"/>
      <c r="H395"/>
      <c r="I395"/>
      <c r="J395"/>
      <c r="K395"/>
    </row>
    <row r="396" spans="1:11" ht="15.75">
      <c r="A396"/>
      <c r="B396"/>
      <c r="C396"/>
      <c r="D396"/>
      <c r="E396"/>
      <c r="F396"/>
      <c r="G396"/>
      <c r="H396"/>
      <c r="I396"/>
      <c r="J396"/>
      <c r="K396"/>
    </row>
    <row r="397" spans="1:11" ht="15.75">
      <c r="A397"/>
      <c r="B397"/>
      <c r="C397"/>
      <c r="D397"/>
      <c r="E397"/>
      <c r="F397"/>
      <c r="G397"/>
      <c r="H397"/>
      <c r="I397"/>
      <c r="J397"/>
      <c r="K397"/>
    </row>
    <row r="398" spans="1:11" ht="15.75">
      <c r="A398"/>
      <c r="B398"/>
      <c r="C398"/>
      <c r="D398"/>
      <c r="E398"/>
      <c r="F398"/>
      <c r="G398"/>
      <c r="H398"/>
      <c r="I398"/>
      <c r="J398"/>
      <c r="K398"/>
    </row>
    <row r="399" spans="1:11" ht="15.75">
      <c r="A399"/>
      <c r="B399"/>
      <c r="C399"/>
      <c r="D399"/>
      <c r="E399"/>
      <c r="F399"/>
      <c r="G399"/>
      <c r="H399"/>
      <c r="I399"/>
      <c r="J399"/>
      <c r="K399"/>
    </row>
    <row r="400" spans="1:11" ht="15.75">
      <c r="A400"/>
      <c r="B400"/>
      <c r="C400"/>
      <c r="D400"/>
      <c r="E400"/>
      <c r="F400"/>
      <c r="G400"/>
      <c r="H400"/>
      <c r="I400"/>
      <c r="J400"/>
      <c r="K400"/>
    </row>
    <row r="401" spans="1:11" ht="15.75">
      <c r="A401"/>
      <c r="B401"/>
      <c r="C401"/>
      <c r="D401"/>
      <c r="E401"/>
      <c r="F401"/>
      <c r="G401"/>
      <c r="H401"/>
      <c r="I401"/>
      <c r="J401"/>
      <c r="K401"/>
    </row>
    <row r="402" spans="1:11" ht="15.75">
      <c r="A402"/>
      <c r="B402"/>
      <c r="C402"/>
      <c r="D402"/>
      <c r="E402"/>
      <c r="F402"/>
      <c r="G402"/>
      <c r="H402"/>
      <c r="I402"/>
      <c r="J402"/>
      <c r="K402"/>
    </row>
    <row r="403" spans="1:11" ht="15.75">
      <c r="A403"/>
      <c r="B403"/>
      <c r="C403"/>
      <c r="D403"/>
      <c r="E403"/>
      <c r="F403"/>
      <c r="G403"/>
      <c r="H403"/>
      <c r="I403"/>
      <c r="J403"/>
      <c r="K403"/>
    </row>
    <row r="404" spans="1:11" ht="15.75">
      <c r="A404"/>
      <c r="B404"/>
      <c r="C404"/>
      <c r="D404"/>
      <c r="E404"/>
      <c r="F404"/>
      <c r="G404"/>
      <c r="H404"/>
      <c r="I404"/>
      <c r="J404"/>
      <c r="K404"/>
    </row>
    <row r="405" spans="1:11" ht="15.75">
      <c r="A405"/>
      <c r="B405"/>
      <c r="C405"/>
      <c r="D405"/>
      <c r="E405"/>
      <c r="F405"/>
      <c r="G405"/>
      <c r="H405"/>
      <c r="I405"/>
      <c r="J405"/>
      <c r="K405"/>
    </row>
    <row r="406" spans="1:11" ht="15.75">
      <c r="A406"/>
      <c r="B406"/>
      <c r="C406"/>
      <c r="D406"/>
      <c r="E406"/>
      <c r="F406"/>
      <c r="G406"/>
      <c r="H406"/>
      <c r="I406"/>
      <c r="J406"/>
      <c r="K406"/>
    </row>
    <row r="407" spans="1:11" ht="15.75">
      <c r="A407"/>
      <c r="B407"/>
      <c r="C407"/>
      <c r="D407"/>
      <c r="E407"/>
      <c r="F407"/>
      <c r="G407"/>
      <c r="H407"/>
      <c r="I407"/>
      <c r="J407"/>
      <c r="K407"/>
    </row>
    <row r="408" spans="1:11" ht="15.75">
      <c r="A408"/>
      <c r="B408"/>
      <c r="C408"/>
      <c r="D408"/>
      <c r="E408"/>
      <c r="F408"/>
      <c r="G408"/>
      <c r="H408"/>
      <c r="I408"/>
      <c r="J408"/>
      <c r="K408"/>
    </row>
    <row r="409" spans="1:11" ht="15.75">
      <c r="A409"/>
      <c r="B409"/>
      <c r="C409"/>
      <c r="D409"/>
      <c r="E409"/>
      <c r="F409"/>
      <c r="G409"/>
      <c r="H409"/>
      <c r="I409"/>
      <c r="J409"/>
      <c r="K409"/>
    </row>
    <row r="410" spans="1:11" ht="15.75">
      <c r="A410"/>
      <c r="B410"/>
      <c r="C410"/>
      <c r="D410"/>
      <c r="E410"/>
      <c r="F410"/>
      <c r="G410"/>
      <c r="H410"/>
      <c r="I410"/>
      <c r="J410"/>
      <c r="K410"/>
    </row>
    <row r="411" spans="1:11" ht="15.75">
      <c r="A411"/>
      <c r="B411"/>
      <c r="C411"/>
      <c r="D411"/>
      <c r="E411"/>
      <c r="F411"/>
      <c r="G411"/>
      <c r="H411"/>
      <c r="I411"/>
      <c r="J411"/>
      <c r="K411"/>
    </row>
    <row r="412" spans="1:11" ht="15.75">
      <c r="A412"/>
      <c r="B412"/>
      <c r="C412"/>
      <c r="D412"/>
      <c r="E412"/>
      <c r="F412"/>
      <c r="G412"/>
      <c r="H412"/>
      <c r="I412"/>
      <c r="J412"/>
      <c r="K412"/>
    </row>
    <row r="413" spans="1:11" ht="15.75">
      <c r="A413"/>
      <c r="B413"/>
      <c r="C413"/>
      <c r="D413"/>
      <c r="E413"/>
      <c r="F413"/>
      <c r="G413"/>
      <c r="H413"/>
      <c r="I413"/>
      <c r="J413"/>
      <c r="K413"/>
    </row>
    <row r="414" spans="1:11" ht="15.75">
      <c r="A414"/>
      <c r="B414"/>
      <c r="C414"/>
      <c r="D414"/>
      <c r="E414"/>
      <c r="F414"/>
      <c r="G414"/>
      <c r="H414"/>
      <c r="I414"/>
      <c r="J414"/>
      <c r="K414"/>
    </row>
    <row r="415" spans="1:11" ht="15.75">
      <c r="A415"/>
      <c r="B415"/>
      <c r="C415"/>
      <c r="D415"/>
      <c r="E415"/>
      <c r="F415"/>
      <c r="G415"/>
      <c r="H415"/>
      <c r="I415"/>
      <c r="J415"/>
      <c r="K415"/>
    </row>
    <row r="416" spans="1:11" ht="15.75">
      <c r="A416"/>
      <c r="B416"/>
      <c r="C416"/>
      <c r="D416"/>
      <c r="E416"/>
      <c r="F416"/>
      <c r="G416"/>
      <c r="H416"/>
      <c r="I416"/>
      <c r="J416"/>
      <c r="K416"/>
    </row>
    <row r="417" spans="1:11" ht="15.75">
      <c r="A417"/>
      <c r="B417"/>
      <c r="C417"/>
      <c r="D417"/>
      <c r="E417"/>
      <c r="F417"/>
      <c r="G417"/>
      <c r="H417"/>
      <c r="I417"/>
      <c r="J417"/>
      <c r="K417"/>
    </row>
    <row r="418" spans="1:11" ht="15.75">
      <c r="A418"/>
      <c r="B418"/>
      <c r="C418"/>
      <c r="D418"/>
      <c r="E418"/>
      <c r="F418"/>
      <c r="G418"/>
      <c r="H418"/>
      <c r="I418"/>
      <c r="J418"/>
      <c r="K418"/>
    </row>
    <row r="419" spans="1:11" ht="15.75">
      <c r="A419"/>
      <c r="B419"/>
      <c r="C419"/>
      <c r="D419"/>
      <c r="E419"/>
      <c r="F419"/>
      <c r="G419"/>
      <c r="H419"/>
      <c r="I419"/>
      <c r="J419"/>
      <c r="K419"/>
    </row>
    <row r="420" spans="1:11" ht="15.75">
      <c r="A420"/>
      <c r="B420"/>
      <c r="C420"/>
      <c r="D420"/>
      <c r="E420"/>
      <c r="F420"/>
      <c r="G420"/>
      <c r="H420"/>
      <c r="I420"/>
      <c r="J420"/>
      <c r="K420"/>
    </row>
    <row r="421" spans="1:11" ht="15.75">
      <c r="A421"/>
      <c r="B421"/>
      <c r="C421"/>
      <c r="D421"/>
      <c r="E421"/>
      <c r="F421"/>
      <c r="G421"/>
      <c r="H421"/>
      <c r="I421"/>
      <c r="J421"/>
      <c r="K421"/>
    </row>
    <row r="422" spans="1:11" ht="15.75">
      <c r="A422"/>
      <c r="B422"/>
      <c r="C422"/>
      <c r="D422"/>
      <c r="E422"/>
      <c r="F422"/>
      <c r="G422"/>
      <c r="H422"/>
      <c r="I422"/>
      <c r="J422"/>
      <c r="K422"/>
    </row>
    <row r="423" spans="1:11" ht="15.75">
      <c r="A423"/>
      <c r="B423"/>
      <c r="C423"/>
      <c r="D423"/>
      <c r="E423"/>
      <c r="F423"/>
      <c r="G423"/>
      <c r="H423"/>
      <c r="I423"/>
      <c r="J423"/>
      <c r="K423"/>
    </row>
    <row r="424" spans="1:11" ht="15.75">
      <c r="A424"/>
      <c r="B424"/>
      <c r="C424"/>
      <c r="D424"/>
      <c r="E424"/>
      <c r="F424"/>
      <c r="G424"/>
      <c r="H424"/>
      <c r="I424"/>
      <c r="J424"/>
      <c r="K424"/>
    </row>
    <row r="425" spans="1:11" ht="15.75">
      <c r="A425"/>
      <c r="B425"/>
      <c r="C425"/>
      <c r="D425"/>
      <c r="E425"/>
      <c r="F425"/>
      <c r="G425"/>
      <c r="H425"/>
      <c r="I425"/>
      <c r="J425"/>
      <c r="K425"/>
    </row>
    <row r="426" spans="1:11" ht="15.75">
      <c r="A426"/>
      <c r="B426"/>
      <c r="C426"/>
      <c r="D426"/>
      <c r="E426"/>
      <c r="F426"/>
      <c r="G426"/>
      <c r="H426"/>
      <c r="I426"/>
      <c r="J426"/>
      <c r="K426"/>
    </row>
    <row r="427" spans="1:11" ht="15.75">
      <c r="A427"/>
      <c r="B427"/>
      <c r="C427"/>
      <c r="D427"/>
      <c r="E427"/>
      <c r="F427"/>
      <c r="G427"/>
      <c r="H427"/>
      <c r="I427"/>
      <c r="J427"/>
      <c r="K427"/>
    </row>
    <row r="428" spans="1:11" ht="15.75">
      <c r="A428"/>
      <c r="B428"/>
      <c r="C428"/>
      <c r="D428"/>
      <c r="E428"/>
      <c r="F428"/>
      <c r="G428"/>
      <c r="H428"/>
      <c r="I428"/>
      <c r="J428"/>
      <c r="K428"/>
    </row>
    <row r="429" spans="1:11" ht="15.75">
      <c r="A429"/>
      <c r="B429"/>
      <c r="C429"/>
      <c r="D429"/>
      <c r="E429"/>
      <c r="F429"/>
      <c r="G429"/>
      <c r="H429"/>
      <c r="I429"/>
      <c r="J429"/>
      <c r="K429"/>
    </row>
    <row r="430" spans="1:11" ht="15.75">
      <c r="A430"/>
      <c r="B430"/>
      <c r="C430"/>
      <c r="D430"/>
      <c r="E430"/>
      <c r="F430"/>
      <c r="G430"/>
      <c r="H430"/>
      <c r="I430"/>
      <c r="J430"/>
      <c r="K430"/>
    </row>
    <row r="431" spans="1:11" ht="15.75">
      <c r="A431"/>
      <c r="B431"/>
      <c r="C431"/>
      <c r="D431"/>
      <c r="E431"/>
      <c r="F431"/>
      <c r="G431"/>
      <c r="H431"/>
      <c r="I431"/>
      <c r="J431"/>
      <c r="K431"/>
    </row>
    <row r="432" spans="1:11" ht="15.75">
      <c r="A432"/>
      <c r="B432"/>
      <c r="C432"/>
      <c r="D432"/>
      <c r="E432"/>
      <c r="F432"/>
      <c r="G432"/>
      <c r="H432"/>
      <c r="I432"/>
      <c r="J432"/>
      <c r="K432"/>
    </row>
    <row r="433" spans="1:11" ht="15.75">
      <c r="A433"/>
      <c r="B433"/>
      <c r="C433"/>
      <c r="D433"/>
      <c r="E433"/>
      <c r="F433"/>
      <c r="G433"/>
      <c r="H433"/>
      <c r="I433"/>
      <c r="J433"/>
      <c r="K433"/>
    </row>
    <row r="434" spans="1:11" ht="15.75">
      <c r="A434"/>
      <c r="B434"/>
      <c r="C434"/>
      <c r="D434"/>
      <c r="E434"/>
      <c r="F434"/>
      <c r="G434"/>
      <c r="H434"/>
      <c r="I434"/>
      <c r="J434"/>
      <c r="K434"/>
    </row>
    <row r="435" spans="1:11" ht="15.75">
      <c r="A435"/>
      <c r="B435"/>
      <c r="C435"/>
      <c r="D435"/>
      <c r="E435"/>
      <c r="F435"/>
      <c r="G435"/>
      <c r="H435"/>
      <c r="I435"/>
      <c r="J435"/>
      <c r="K435"/>
    </row>
    <row r="436" spans="1:11" ht="15.75">
      <c r="A436"/>
      <c r="B436"/>
      <c r="C436"/>
      <c r="D436"/>
      <c r="E436"/>
      <c r="F436"/>
      <c r="G436"/>
      <c r="H436"/>
      <c r="I436"/>
      <c r="J436"/>
      <c r="K436"/>
    </row>
    <row r="437" spans="1:11" ht="15.75">
      <c r="A437"/>
      <c r="B437"/>
      <c r="C437"/>
      <c r="D437"/>
      <c r="E437"/>
      <c r="F437"/>
      <c r="G437"/>
      <c r="H437"/>
      <c r="I437"/>
      <c r="J437"/>
      <c r="K437"/>
    </row>
    <row r="438" spans="1:11" ht="15.75">
      <c r="A438"/>
      <c r="B438"/>
      <c r="C438"/>
      <c r="D438"/>
      <c r="E438"/>
      <c r="F438"/>
      <c r="G438"/>
      <c r="H438"/>
      <c r="I438"/>
      <c r="J438"/>
      <c r="K438"/>
    </row>
    <row r="439" spans="1:11" ht="15.75">
      <c r="A439"/>
      <c r="B439"/>
      <c r="C439"/>
      <c r="D439"/>
      <c r="E439"/>
      <c r="F439"/>
      <c r="G439"/>
      <c r="H439"/>
      <c r="I439"/>
      <c r="J439"/>
      <c r="K439"/>
    </row>
    <row r="440" spans="1:11" ht="15.75">
      <c r="A440"/>
      <c r="B440"/>
      <c r="C440"/>
      <c r="D440"/>
      <c r="E440"/>
      <c r="F440"/>
      <c r="G440"/>
      <c r="H440"/>
      <c r="I440"/>
      <c r="J440"/>
      <c r="K440"/>
    </row>
    <row r="441" spans="1:11" ht="15.75">
      <c r="A441"/>
      <c r="B441"/>
      <c r="C441"/>
      <c r="D441"/>
      <c r="E441"/>
      <c r="F441"/>
      <c r="G441"/>
      <c r="H441"/>
      <c r="I441"/>
      <c r="J441"/>
      <c r="K441"/>
    </row>
    <row r="442" spans="1:11" ht="15.75">
      <c r="A442"/>
      <c r="B442"/>
      <c r="C442"/>
      <c r="D442"/>
      <c r="E442"/>
      <c r="F442"/>
      <c r="G442"/>
      <c r="H442"/>
      <c r="I442"/>
      <c r="J442"/>
      <c r="K442"/>
    </row>
    <row r="443" spans="1:11" ht="15.75">
      <c r="A443"/>
      <c r="B443"/>
      <c r="C443"/>
      <c r="D443"/>
      <c r="E443"/>
      <c r="F443"/>
      <c r="G443"/>
      <c r="H443"/>
      <c r="I443"/>
      <c r="J443"/>
      <c r="K443"/>
    </row>
    <row r="444" spans="1:11" ht="15.75">
      <c r="A444"/>
      <c r="B444"/>
      <c r="C444"/>
      <c r="D444"/>
      <c r="E444"/>
      <c r="F444"/>
      <c r="G444"/>
      <c r="H444"/>
      <c r="I444"/>
      <c r="J444"/>
      <c r="K444"/>
    </row>
    <row r="445" spans="1:11" ht="15.75">
      <c r="A445"/>
      <c r="B445"/>
      <c r="C445"/>
      <c r="D445"/>
      <c r="E445"/>
      <c r="F445"/>
      <c r="G445"/>
      <c r="H445"/>
      <c r="I445"/>
      <c r="J445"/>
      <c r="K445"/>
    </row>
    <row r="446" spans="1:11" ht="15.75">
      <c r="A446"/>
      <c r="B446"/>
      <c r="C446"/>
      <c r="D446"/>
      <c r="E446"/>
      <c r="F446"/>
      <c r="G446"/>
      <c r="H446"/>
      <c r="I446"/>
      <c r="J446"/>
      <c r="K446"/>
    </row>
    <row r="447" spans="1:11" ht="15.75">
      <c r="A447"/>
      <c r="B447"/>
      <c r="C447"/>
      <c r="D447"/>
      <c r="E447"/>
      <c r="F447"/>
      <c r="G447"/>
      <c r="H447"/>
      <c r="I447"/>
      <c r="J447"/>
      <c r="K447"/>
    </row>
    <row r="448" spans="1:11" ht="15.75">
      <c r="A448"/>
      <c r="B448"/>
      <c r="C448"/>
      <c r="D448"/>
      <c r="E448"/>
      <c r="F448"/>
      <c r="G448"/>
      <c r="H448"/>
      <c r="I448"/>
      <c r="J448"/>
      <c r="K448"/>
    </row>
    <row r="449" spans="1:11" ht="15.75">
      <c r="A449"/>
      <c r="B449"/>
      <c r="C449"/>
      <c r="D449"/>
      <c r="E449"/>
      <c r="F449"/>
      <c r="G449"/>
      <c r="H449"/>
      <c r="I449"/>
      <c r="J449"/>
      <c r="K449"/>
    </row>
    <row r="450" spans="1:11" ht="15.75">
      <c r="A450"/>
      <c r="B450"/>
      <c r="C450"/>
      <c r="D450"/>
      <c r="E450"/>
      <c r="F450"/>
      <c r="G450"/>
      <c r="H450"/>
      <c r="I450"/>
      <c r="J450"/>
      <c r="K450"/>
    </row>
    <row r="451" spans="1:11" ht="15.75">
      <c r="A451"/>
      <c r="B451"/>
      <c r="C451"/>
      <c r="D451"/>
      <c r="E451"/>
      <c r="F451"/>
      <c r="G451"/>
      <c r="H451"/>
      <c r="I451"/>
      <c r="J451"/>
      <c r="K451"/>
    </row>
    <row r="452" spans="1:11" ht="15.75">
      <c r="A452"/>
      <c r="B452"/>
      <c r="C452"/>
      <c r="D452"/>
      <c r="E452"/>
      <c r="F452"/>
      <c r="G452"/>
      <c r="H452"/>
      <c r="I452"/>
      <c r="J452"/>
      <c r="K452"/>
    </row>
    <row r="453" spans="1:11" ht="15.75">
      <c r="A453"/>
      <c r="B453"/>
      <c r="C453"/>
      <c r="D453"/>
      <c r="E453"/>
      <c r="F453"/>
      <c r="G453"/>
      <c r="H453"/>
      <c r="I453"/>
      <c r="J453"/>
      <c r="K453"/>
    </row>
    <row r="454" spans="1:11" ht="15.75">
      <c r="A454"/>
      <c r="B454"/>
      <c r="C454"/>
      <c r="D454"/>
      <c r="E454"/>
      <c r="F454"/>
      <c r="G454"/>
      <c r="H454"/>
      <c r="I454"/>
      <c r="J454"/>
      <c r="K454"/>
    </row>
    <row r="455" spans="1:11" ht="15.75">
      <c r="A455"/>
      <c r="B455"/>
      <c r="C455"/>
      <c r="D455"/>
      <c r="E455"/>
      <c r="F455"/>
      <c r="G455"/>
      <c r="H455"/>
      <c r="I455"/>
      <c r="J455"/>
      <c r="K455"/>
    </row>
    <row r="456" spans="1:11" ht="15.75">
      <c r="A456"/>
      <c r="B456"/>
      <c r="C456"/>
      <c r="D456"/>
      <c r="E456"/>
      <c r="F456"/>
      <c r="G456"/>
      <c r="H456"/>
      <c r="I456"/>
      <c r="J456"/>
      <c r="K456"/>
    </row>
    <row r="457" spans="1:11" ht="15.75">
      <c r="A457"/>
      <c r="B457"/>
      <c r="C457"/>
      <c r="D457"/>
      <c r="E457"/>
      <c r="F457"/>
      <c r="G457"/>
      <c r="H457"/>
      <c r="I457"/>
      <c r="J457"/>
      <c r="K457"/>
    </row>
    <row r="458" spans="1:11" ht="15.75">
      <c r="A458"/>
      <c r="B458"/>
      <c r="C458"/>
      <c r="D458"/>
      <c r="E458"/>
      <c r="F458"/>
      <c r="G458"/>
      <c r="H458"/>
      <c r="I458"/>
      <c r="J458"/>
      <c r="K458"/>
    </row>
    <row r="459" spans="1:11" ht="15.75">
      <c r="A459"/>
      <c r="B459"/>
      <c r="C459"/>
      <c r="D459"/>
      <c r="E459"/>
      <c r="F459"/>
      <c r="G459"/>
      <c r="H459"/>
      <c r="I459"/>
      <c r="J459"/>
      <c r="K459"/>
    </row>
    <row r="460" spans="1:11" ht="15.75">
      <c r="A460"/>
      <c r="B460"/>
      <c r="C460"/>
      <c r="D460"/>
      <c r="E460"/>
      <c r="F460"/>
      <c r="G460"/>
      <c r="H460"/>
      <c r="I460"/>
      <c r="J460"/>
      <c r="K460"/>
    </row>
    <row r="461" spans="1:11" ht="15.75">
      <c r="A461"/>
      <c r="B461"/>
      <c r="C461"/>
      <c r="D461"/>
      <c r="E461"/>
      <c r="F461"/>
      <c r="G461"/>
      <c r="H461"/>
      <c r="I461"/>
      <c r="J461"/>
      <c r="K461"/>
    </row>
    <row r="462" spans="1:11" ht="15.75">
      <c r="A462"/>
      <c r="B462"/>
      <c r="C462"/>
      <c r="D462"/>
      <c r="E462"/>
      <c r="F462"/>
      <c r="G462"/>
      <c r="H462"/>
      <c r="I462"/>
      <c r="J462"/>
      <c r="K462"/>
    </row>
    <row r="463" spans="1:11" ht="15.75">
      <c r="A463"/>
      <c r="B463"/>
      <c r="C463"/>
      <c r="D463"/>
      <c r="E463"/>
      <c r="F463"/>
      <c r="G463"/>
      <c r="H463"/>
      <c r="I463"/>
      <c r="J463"/>
      <c r="K463"/>
    </row>
    <row r="464" spans="1:11" ht="15.75">
      <c r="A464"/>
      <c r="B464"/>
      <c r="C464"/>
      <c r="D464"/>
      <c r="E464"/>
      <c r="F464"/>
      <c r="G464"/>
      <c r="H464"/>
      <c r="I464"/>
      <c r="J464"/>
      <c r="K464"/>
    </row>
    <row r="465" spans="1:11" ht="15.75">
      <c r="A465"/>
      <c r="B465"/>
      <c r="C465"/>
      <c r="D465"/>
      <c r="E465"/>
      <c r="F465"/>
      <c r="G465"/>
      <c r="H465"/>
      <c r="I465"/>
      <c r="J465"/>
      <c r="K465"/>
    </row>
    <row r="466" spans="1:11" ht="15.75">
      <c r="A466"/>
      <c r="B466"/>
      <c r="C466"/>
      <c r="D466"/>
      <c r="E466"/>
      <c r="F466"/>
      <c r="G466"/>
      <c r="H466"/>
      <c r="I466"/>
      <c r="J466"/>
      <c r="K466"/>
    </row>
    <row r="467" spans="1:11" ht="15.75">
      <c r="A467"/>
      <c r="B467"/>
      <c r="C467"/>
      <c r="D467"/>
      <c r="E467"/>
      <c r="F467"/>
      <c r="G467"/>
      <c r="H467"/>
      <c r="I467"/>
      <c r="J467"/>
      <c r="K467"/>
    </row>
    <row r="468" spans="1:11" ht="15.75">
      <c r="A468"/>
      <c r="B468"/>
      <c r="C468"/>
      <c r="D468"/>
      <c r="E468"/>
      <c r="F468"/>
      <c r="G468"/>
      <c r="H468"/>
      <c r="I468"/>
      <c r="J468"/>
      <c r="K468"/>
    </row>
    <row r="469" spans="1:11" ht="15.75">
      <c r="A469"/>
      <c r="B469"/>
      <c r="C469"/>
      <c r="D469"/>
      <c r="E469"/>
      <c r="F469"/>
      <c r="G469"/>
      <c r="H469"/>
      <c r="I469"/>
      <c r="J469"/>
      <c r="K469"/>
    </row>
    <row r="470" spans="1:11" ht="15.75">
      <c r="A470"/>
      <c r="B470"/>
      <c r="C470"/>
      <c r="D470"/>
      <c r="E470"/>
      <c r="F470"/>
      <c r="G470"/>
      <c r="H470"/>
      <c r="I470"/>
      <c r="J470"/>
      <c r="K470"/>
    </row>
    <row r="471" spans="1:11" ht="15.75">
      <c r="A471"/>
      <c r="B471"/>
      <c r="C471"/>
      <c r="D471"/>
      <c r="E471"/>
      <c r="F471"/>
      <c r="G471"/>
      <c r="H471"/>
      <c r="I471"/>
      <c r="J471"/>
      <c r="K471"/>
    </row>
    <row r="472" spans="1:11" ht="15.75">
      <c r="A472"/>
      <c r="B472"/>
      <c r="C472"/>
      <c r="D472"/>
      <c r="E472"/>
      <c r="F472"/>
      <c r="G472"/>
      <c r="H472"/>
      <c r="I472"/>
      <c r="J472"/>
      <c r="K472"/>
    </row>
    <row r="473" spans="1:11" ht="15.75">
      <c r="A473"/>
      <c r="B473"/>
      <c r="C473"/>
      <c r="D473"/>
      <c r="E473"/>
      <c r="F473"/>
      <c r="G473"/>
      <c r="H473"/>
      <c r="I473"/>
      <c r="J473"/>
      <c r="K473"/>
    </row>
    <row r="474" spans="1:11" ht="15.75">
      <c r="A474"/>
      <c r="B474"/>
      <c r="C474"/>
      <c r="D474"/>
      <c r="E474"/>
      <c r="F474"/>
      <c r="G474"/>
      <c r="H474"/>
      <c r="I474"/>
      <c r="J474"/>
      <c r="K474"/>
    </row>
  </sheetData>
  <pageMargins left="0.511811024" right="0.511811024" top="0.78740157499999996" bottom="0.78740157499999996" header="0.31496062000000002" footer="0.3149606200000000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Plan35" filterMode="1"/>
  <dimension ref="A1:M124"/>
  <sheetViews>
    <sheetView workbookViewId="0">
      <selection activeCell="B17" sqref="B17"/>
    </sheetView>
  </sheetViews>
  <sheetFormatPr defaultColWidth="9.140625" defaultRowHeight="11.25"/>
  <cols>
    <col min="1" max="1" width="24" style="481" bestFit="1" customWidth="1"/>
    <col min="2" max="4" width="9.140625" style="481"/>
    <col min="5" max="5" width="35.7109375" style="481" customWidth="1"/>
    <col min="6" max="6" width="12.5703125" style="481" bestFit="1" customWidth="1"/>
    <col min="7" max="7" width="12.7109375" style="481" customWidth="1"/>
    <col min="8" max="8" width="10.5703125" style="481" bestFit="1" customWidth="1"/>
    <col min="9" max="9" width="10.85546875" style="481" bestFit="1" customWidth="1"/>
    <col min="10" max="10" width="10.140625" style="481" bestFit="1" customWidth="1"/>
    <col min="11" max="11" width="5" style="481" bestFit="1" customWidth="1"/>
    <col min="12" max="12" width="8.85546875" style="481" bestFit="1" customWidth="1"/>
    <col min="13" max="13" width="8.7109375" style="481" bestFit="1" customWidth="1"/>
    <col min="14" max="16384" width="9.140625" style="481"/>
  </cols>
  <sheetData>
    <row r="1" spans="1:2">
      <c r="A1" s="1469" t="s">
        <v>1788</v>
      </c>
      <c r="B1" s="1470">
        <v>0</v>
      </c>
    </row>
    <row r="2" spans="1:2">
      <c r="A2" s="1469" t="s">
        <v>1789</v>
      </c>
      <c r="B2" s="1470">
        <v>0</v>
      </c>
    </row>
    <row r="3" spans="1:2">
      <c r="A3" s="1469" t="s">
        <v>1790</v>
      </c>
      <c r="B3" s="1470">
        <v>0</v>
      </c>
    </row>
    <row r="4" spans="1:2">
      <c r="A4" s="1469" t="s">
        <v>1791</v>
      </c>
      <c r="B4" s="1470">
        <v>0</v>
      </c>
    </row>
    <row r="5" spans="1:2">
      <c r="A5" s="1469" t="s">
        <v>1792</v>
      </c>
      <c r="B5" s="1470">
        <v>0</v>
      </c>
    </row>
    <row r="6" spans="1:2">
      <c r="A6" s="1469" t="s">
        <v>1793</v>
      </c>
      <c r="B6" s="1470">
        <v>0</v>
      </c>
    </row>
    <row r="7" spans="1:2">
      <c r="A7" s="1469" t="s">
        <v>1794</v>
      </c>
      <c r="B7" s="1470">
        <v>0</v>
      </c>
    </row>
    <row r="8" spans="1:2">
      <c r="A8" s="1469" t="s">
        <v>1795</v>
      </c>
      <c r="B8" s="1470">
        <v>0</v>
      </c>
    </row>
    <row r="9" spans="1:2">
      <c r="A9" s="1469" t="s">
        <v>1796</v>
      </c>
      <c r="B9" s="1470">
        <v>0.45</v>
      </c>
    </row>
    <row r="10" spans="1:2">
      <c r="A10" s="1469" t="s">
        <v>1797</v>
      </c>
      <c r="B10" s="1470">
        <v>0.4</v>
      </c>
    </row>
    <row r="11" spans="1:2">
      <c r="A11" s="1469" t="s">
        <v>1798</v>
      </c>
      <c r="B11" s="1469">
        <v>0.65</v>
      </c>
    </row>
    <row r="12" spans="1:2">
      <c r="A12" s="1469" t="s">
        <v>1799</v>
      </c>
      <c r="B12" s="1469">
        <v>0.4</v>
      </c>
    </row>
    <row r="13" spans="1:2">
      <c r="A13" s="1469" t="s">
        <v>1800</v>
      </c>
      <c r="B13" s="1469">
        <v>0.1</v>
      </c>
    </row>
    <row r="14" spans="1:2">
      <c r="A14" s="1469" t="s">
        <v>1801</v>
      </c>
      <c r="B14" s="1469">
        <v>0</v>
      </c>
    </row>
    <row r="15" spans="1:2">
      <c r="A15" s="1469" t="s">
        <v>1802</v>
      </c>
      <c r="B15" s="1469">
        <v>0.3</v>
      </c>
    </row>
    <row r="16" spans="1:2">
      <c r="A16" s="1469" t="s">
        <v>1803</v>
      </c>
      <c r="B16" s="1469">
        <v>0.3</v>
      </c>
    </row>
    <row r="17" spans="1:13">
      <c r="A17" s="1469" t="s">
        <v>1804</v>
      </c>
      <c r="B17" s="1469">
        <v>0.4</v>
      </c>
    </row>
    <row r="20" spans="1:13" ht="15">
      <c r="D20" s="1471" t="s">
        <v>1620</v>
      </c>
      <c r="E20" s="1471" t="s">
        <v>1096</v>
      </c>
      <c r="F20" s="1471" t="s">
        <v>1805</v>
      </c>
      <c r="G20" s="1471" t="s">
        <v>1806</v>
      </c>
      <c r="H20" s="1471" t="s">
        <v>1807</v>
      </c>
      <c r="I20" s="1471" t="s">
        <v>1808</v>
      </c>
      <c r="J20" s="1471" t="s">
        <v>1809</v>
      </c>
      <c r="K20" s="1471" t="s">
        <v>1810</v>
      </c>
      <c r="L20" s="1471" t="s">
        <v>1811</v>
      </c>
      <c r="M20" s="1471" t="s">
        <v>1180</v>
      </c>
    </row>
    <row r="21" spans="1:13" ht="30" hidden="1">
      <c r="D21" s="1472">
        <v>26</v>
      </c>
      <c r="E21" s="1473" t="s">
        <v>1812</v>
      </c>
      <c r="F21" s="1473" t="s">
        <v>174</v>
      </c>
      <c r="G21" s="1474">
        <v>41243</v>
      </c>
      <c r="H21" s="1475">
        <v>41243</v>
      </c>
      <c r="I21" s="1473" t="s">
        <v>1099</v>
      </c>
      <c r="J21" s="1473" t="s">
        <v>175</v>
      </c>
      <c r="K21" s="1472">
        <v>1663</v>
      </c>
      <c r="L21" s="1473" t="s">
        <v>1813</v>
      </c>
      <c r="M21" s="1473" t="s">
        <v>1814</v>
      </c>
    </row>
    <row r="22" spans="1:13" ht="30" hidden="1">
      <c r="D22" s="1472">
        <v>28</v>
      </c>
      <c r="E22" s="1473" t="s">
        <v>1815</v>
      </c>
      <c r="F22" s="1473" t="s">
        <v>1816</v>
      </c>
      <c r="G22" s="1474">
        <v>41214</v>
      </c>
      <c r="H22" s="482"/>
      <c r="I22" s="1473" t="s">
        <v>1099</v>
      </c>
      <c r="J22" s="1473" t="s">
        <v>175</v>
      </c>
      <c r="K22" s="1472">
        <v>1665</v>
      </c>
      <c r="L22" s="1473" t="s">
        <v>175</v>
      </c>
      <c r="M22" s="1473" t="s">
        <v>1814</v>
      </c>
    </row>
    <row r="23" spans="1:13" ht="30" hidden="1">
      <c r="D23" s="1472">
        <v>31</v>
      </c>
      <c r="E23" s="1473" t="s">
        <v>1817</v>
      </c>
      <c r="F23" s="1473" t="s">
        <v>176</v>
      </c>
      <c r="G23" s="1474">
        <v>41243</v>
      </c>
      <c r="H23" s="482"/>
      <c r="I23" s="1473" t="s">
        <v>1099</v>
      </c>
      <c r="J23" s="1473" t="s">
        <v>175</v>
      </c>
      <c r="K23" s="1472">
        <v>1666</v>
      </c>
      <c r="L23" s="1473" t="s">
        <v>175</v>
      </c>
      <c r="M23" s="1473" t="s">
        <v>1814</v>
      </c>
    </row>
    <row r="24" spans="1:13" ht="30" hidden="1">
      <c r="D24" s="1472">
        <v>32</v>
      </c>
      <c r="E24" s="1473" t="s">
        <v>1818</v>
      </c>
      <c r="F24" s="1473" t="s">
        <v>177</v>
      </c>
      <c r="G24" s="1474">
        <v>41094</v>
      </c>
      <c r="H24" s="482"/>
      <c r="I24" s="1473" t="s">
        <v>1099</v>
      </c>
      <c r="J24" s="1473" t="s">
        <v>175</v>
      </c>
      <c r="K24" s="1472">
        <v>1668</v>
      </c>
      <c r="L24" s="1473" t="s">
        <v>1819</v>
      </c>
      <c r="M24" s="1473" t="s">
        <v>1814</v>
      </c>
    </row>
    <row r="25" spans="1:13" ht="30" hidden="1">
      <c r="D25" s="1472">
        <v>37</v>
      </c>
      <c r="E25" s="1473" t="s">
        <v>1820</v>
      </c>
      <c r="F25" s="1473" t="s">
        <v>178</v>
      </c>
      <c r="G25" s="1474">
        <v>41149</v>
      </c>
      <c r="H25" s="482"/>
      <c r="I25" s="1473" t="s">
        <v>1099</v>
      </c>
      <c r="J25" s="1473" t="s">
        <v>175</v>
      </c>
      <c r="K25" s="1472">
        <v>1669</v>
      </c>
      <c r="L25" s="1473" t="s">
        <v>1821</v>
      </c>
      <c r="M25" s="1473" t="s">
        <v>1814</v>
      </c>
    </row>
    <row r="26" spans="1:13" ht="30" hidden="1">
      <c r="D26" s="1472">
        <v>38</v>
      </c>
      <c r="E26" s="1473" t="s">
        <v>1822</v>
      </c>
      <c r="F26" s="1473" t="s">
        <v>179</v>
      </c>
      <c r="G26" s="1474">
        <v>41180</v>
      </c>
      <c r="H26" s="1475">
        <v>41149</v>
      </c>
      <c r="I26" s="1473" t="s">
        <v>1099</v>
      </c>
      <c r="J26" s="1473" t="s">
        <v>175</v>
      </c>
      <c r="K26" s="1472">
        <v>1670</v>
      </c>
      <c r="L26" s="1473" t="s">
        <v>1823</v>
      </c>
      <c r="M26" s="1473" t="s">
        <v>1814</v>
      </c>
    </row>
    <row r="27" spans="1:13" ht="30" hidden="1">
      <c r="D27" s="1472">
        <v>39</v>
      </c>
      <c r="E27" s="1473" t="s">
        <v>1824</v>
      </c>
      <c r="F27" s="1473" t="s">
        <v>1825</v>
      </c>
      <c r="G27" s="1474">
        <v>41021</v>
      </c>
      <c r="H27" s="482"/>
      <c r="I27" s="1473" t="s">
        <v>1099</v>
      </c>
      <c r="J27" s="1473" t="s">
        <v>175</v>
      </c>
      <c r="K27" s="1472">
        <v>1671</v>
      </c>
      <c r="L27" s="1473" t="s">
        <v>1826</v>
      </c>
      <c r="M27" s="1473" t="s">
        <v>1814</v>
      </c>
    </row>
    <row r="28" spans="1:13" ht="30" hidden="1">
      <c r="D28" s="1472">
        <v>40</v>
      </c>
      <c r="E28" s="1473" t="s">
        <v>1827</v>
      </c>
      <c r="F28" s="1473" t="s">
        <v>181</v>
      </c>
      <c r="G28" s="1474">
        <v>41021</v>
      </c>
      <c r="H28" s="482"/>
      <c r="I28" s="1473" t="s">
        <v>1099</v>
      </c>
      <c r="J28" s="1473" t="s">
        <v>175</v>
      </c>
      <c r="K28" s="1472">
        <v>1672</v>
      </c>
      <c r="L28" s="1473" t="s">
        <v>1828</v>
      </c>
      <c r="M28" s="1473" t="s">
        <v>1814</v>
      </c>
    </row>
    <row r="29" spans="1:13" ht="30" hidden="1">
      <c r="D29" s="1472">
        <v>43</v>
      </c>
      <c r="E29" s="1473" t="s">
        <v>1829</v>
      </c>
      <c r="F29" s="1473" t="s">
        <v>182</v>
      </c>
      <c r="G29" s="1474">
        <v>41028</v>
      </c>
      <c r="H29" s="482"/>
      <c r="I29" s="1473" t="s">
        <v>1099</v>
      </c>
      <c r="J29" s="1473" t="s">
        <v>175</v>
      </c>
      <c r="K29" s="1472">
        <v>1674</v>
      </c>
      <c r="L29" s="1473" t="s">
        <v>1830</v>
      </c>
      <c r="M29" s="1473" t="s">
        <v>1814</v>
      </c>
    </row>
    <row r="30" spans="1:13" ht="30" hidden="1">
      <c r="D30" s="1472">
        <v>44</v>
      </c>
      <c r="E30" s="1473" t="s">
        <v>1831</v>
      </c>
      <c r="F30" s="1473" t="s">
        <v>183</v>
      </c>
      <c r="G30" s="1474">
        <v>41180</v>
      </c>
      <c r="H30" s="482"/>
      <c r="I30" s="1473" t="s">
        <v>1099</v>
      </c>
      <c r="J30" s="1473" t="s">
        <v>175</v>
      </c>
      <c r="K30" s="1472">
        <v>1675</v>
      </c>
      <c r="L30" s="1473" t="s">
        <v>1832</v>
      </c>
      <c r="M30" s="1473" t="s">
        <v>1814</v>
      </c>
    </row>
    <row r="31" spans="1:13" ht="30" hidden="1">
      <c r="D31" s="1472">
        <v>46</v>
      </c>
      <c r="E31" s="1473" t="s">
        <v>1833</v>
      </c>
      <c r="F31" s="1473" t="s">
        <v>184</v>
      </c>
      <c r="G31" s="1474">
        <v>41051</v>
      </c>
      <c r="H31" s="1475">
        <v>41257</v>
      </c>
      <c r="I31" s="1473" t="s">
        <v>1099</v>
      </c>
      <c r="J31" s="1473" t="s">
        <v>1834</v>
      </c>
      <c r="K31" s="1472">
        <v>1676</v>
      </c>
      <c r="L31" s="1473" t="s">
        <v>1835</v>
      </c>
      <c r="M31" s="1473" t="s">
        <v>1814</v>
      </c>
    </row>
    <row r="32" spans="1:13" ht="30" hidden="1">
      <c r="D32" s="1472">
        <v>47</v>
      </c>
      <c r="E32" s="1473" t="s">
        <v>1836</v>
      </c>
      <c r="F32" s="1473" t="s">
        <v>185</v>
      </c>
      <c r="G32" s="1474">
        <v>41021</v>
      </c>
      <c r="H32" s="482"/>
      <c r="I32" s="1473" t="s">
        <v>1099</v>
      </c>
      <c r="J32" s="1473" t="s">
        <v>175</v>
      </c>
      <c r="K32" s="1472">
        <v>1677</v>
      </c>
      <c r="L32" s="1473" t="s">
        <v>1837</v>
      </c>
      <c r="M32" s="1473" t="s">
        <v>1814</v>
      </c>
    </row>
    <row r="33" spans="4:13" ht="15" hidden="1">
      <c r="D33" s="1472">
        <v>51</v>
      </c>
      <c r="E33" s="1473" t="s">
        <v>1838</v>
      </c>
      <c r="F33" s="1473" t="s">
        <v>186</v>
      </c>
      <c r="G33" s="1474">
        <v>41235</v>
      </c>
      <c r="H33" s="1475">
        <v>41210</v>
      </c>
      <c r="I33" s="1473" t="s">
        <v>1099</v>
      </c>
      <c r="J33" s="1473" t="s">
        <v>1834</v>
      </c>
      <c r="K33" s="1472">
        <v>1682</v>
      </c>
      <c r="L33" s="1473" t="s">
        <v>1839</v>
      </c>
      <c r="M33" s="1473" t="s">
        <v>1814</v>
      </c>
    </row>
    <row r="34" spans="4:13" ht="15" hidden="1">
      <c r="D34" s="1472">
        <v>56</v>
      </c>
      <c r="E34" s="1473" t="s">
        <v>1840</v>
      </c>
      <c r="F34" s="1473" t="s">
        <v>1841</v>
      </c>
      <c r="G34" s="482"/>
      <c r="H34" s="482"/>
      <c r="I34" s="1473" t="s">
        <v>1099</v>
      </c>
      <c r="J34" s="1473" t="s">
        <v>175</v>
      </c>
      <c r="K34" s="1472">
        <v>1683</v>
      </c>
      <c r="L34" s="1473" t="s">
        <v>175</v>
      </c>
      <c r="M34" s="1473" t="s">
        <v>1814</v>
      </c>
    </row>
    <row r="35" spans="4:13" ht="30" hidden="1">
      <c r="D35" s="1472">
        <v>63</v>
      </c>
      <c r="E35" s="1473" t="s">
        <v>1842</v>
      </c>
      <c r="F35" s="1473" t="s">
        <v>187</v>
      </c>
      <c r="G35" s="1474">
        <v>41007</v>
      </c>
      <c r="H35" s="482"/>
      <c r="I35" s="1473" t="s">
        <v>1099</v>
      </c>
      <c r="J35" s="1473" t="s">
        <v>175</v>
      </c>
      <c r="K35" s="1472">
        <v>1688</v>
      </c>
      <c r="L35" s="1473" t="s">
        <v>1843</v>
      </c>
      <c r="M35" s="1473" t="s">
        <v>1814</v>
      </c>
    </row>
    <row r="36" spans="4:13" ht="30" hidden="1">
      <c r="D36" s="1472">
        <v>69</v>
      </c>
      <c r="E36" s="1473" t="s">
        <v>1844</v>
      </c>
      <c r="F36" s="1473" t="s">
        <v>1845</v>
      </c>
      <c r="G36" s="1474">
        <v>40990</v>
      </c>
      <c r="H36" s="1475">
        <v>42038</v>
      </c>
      <c r="I36" s="1473" t="s">
        <v>1099</v>
      </c>
      <c r="J36" s="1473" t="s">
        <v>175</v>
      </c>
      <c r="K36" s="1472">
        <v>1692</v>
      </c>
      <c r="L36" s="1473" t="s">
        <v>1846</v>
      </c>
      <c r="M36" s="1473" t="s">
        <v>1814</v>
      </c>
    </row>
    <row r="37" spans="4:13" ht="30" hidden="1">
      <c r="D37" s="1472">
        <v>70</v>
      </c>
      <c r="E37" s="1473" t="s">
        <v>1847</v>
      </c>
      <c r="F37" s="1473" t="s">
        <v>1848</v>
      </c>
      <c r="G37" s="1474">
        <v>40990</v>
      </c>
      <c r="H37" s="1475">
        <v>42038</v>
      </c>
      <c r="I37" s="1473" t="s">
        <v>1099</v>
      </c>
      <c r="J37" s="1473" t="s">
        <v>175</v>
      </c>
      <c r="K37" s="1472">
        <v>1693</v>
      </c>
      <c r="L37" s="1473" t="s">
        <v>1849</v>
      </c>
      <c r="M37" s="1473" t="s">
        <v>1814</v>
      </c>
    </row>
    <row r="38" spans="4:13" ht="30" hidden="1">
      <c r="D38" s="1472">
        <v>71</v>
      </c>
      <c r="E38" s="1473" t="s">
        <v>1850</v>
      </c>
      <c r="F38" s="1473" t="s">
        <v>1851</v>
      </c>
      <c r="G38" s="1474">
        <v>40990</v>
      </c>
      <c r="H38" s="1475">
        <v>42038</v>
      </c>
      <c r="I38" s="1473" t="s">
        <v>1099</v>
      </c>
      <c r="J38" s="1473" t="s">
        <v>175</v>
      </c>
      <c r="K38" s="1472">
        <v>1694</v>
      </c>
      <c r="L38" s="1473" t="s">
        <v>1852</v>
      </c>
      <c r="M38" s="1473" t="s">
        <v>1814</v>
      </c>
    </row>
    <row r="39" spans="4:13" ht="30" hidden="1">
      <c r="D39" s="1472">
        <v>72</v>
      </c>
      <c r="E39" s="1473" t="s">
        <v>1853</v>
      </c>
      <c r="F39" s="1473" t="s">
        <v>241</v>
      </c>
      <c r="G39" s="1474">
        <v>40990</v>
      </c>
      <c r="H39" s="1475">
        <v>42038</v>
      </c>
      <c r="I39" s="1473" t="s">
        <v>1099</v>
      </c>
      <c r="J39" s="1473" t="s">
        <v>175</v>
      </c>
      <c r="K39" s="1472">
        <v>1695</v>
      </c>
      <c r="L39" s="1473" t="s">
        <v>1854</v>
      </c>
      <c r="M39" s="1473" t="s">
        <v>1814</v>
      </c>
    </row>
    <row r="40" spans="4:13" ht="30" hidden="1">
      <c r="D40" s="1472">
        <v>73</v>
      </c>
      <c r="E40" s="1473" t="s">
        <v>1855</v>
      </c>
      <c r="F40" s="1473" t="s">
        <v>1856</v>
      </c>
      <c r="G40" s="1474">
        <v>40990</v>
      </c>
      <c r="H40" s="1475">
        <v>42038</v>
      </c>
      <c r="I40" s="1473" t="s">
        <v>1099</v>
      </c>
      <c r="J40" s="1473" t="s">
        <v>1834</v>
      </c>
      <c r="K40" s="1472">
        <v>1696</v>
      </c>
      <c r="L40" s="1473" t="s">
        <v>1857</v>
      </c>
      <c r="M40" s="1473" t="s">
        <v>1814</v>
      </c>
    </row>
    <row r="41" spans="4:13" ht="30" hidden="1">
      <c r="D41" s="1472">
        <v>75</v>
      </c>
      <c r="E41" s="1473" t="s">
        <v>1858</v>
      </c>
      <c r="F41" s="1473" t="s">
        <v>1859</v>
      </c>
      <c r="G41" s="1474">
        <v>41039</v>
      </c>
      <c r="H41" s="482"/>
      <c r="I41" s="1473" t="s">
        <v>1099</v>
      </c>
      <c r="J41" s="1473" t="s">
        <v>175</v>
      </c>
      <c r="K41" s="1472">
        <v>1697</v>
      </c>
      <c r="L41" s="1473" t="s">
        <v>1860</v>
      </c>
      <c r="M41" s="1473" t="s">
        <v>1814</v>
      </c>
    </row>
    <row r="42" spans="4:13" ht="30" hidden="1">
      <c r="D42" s="1472">
        <v>82</v>
      </c>
      <c r="E42" s="1473" t="s">
        <v>1861</v>
      </c>
      <c r="F42" s="1473" t="s">
        <v>188</v>
      </c>
      <c r="G42" s="1474">
        <v>41089</v>
      </c>
      <c r="H42" s="1475">
        <v>41084</v>
      </c>
      <c r="I42" s="1473" t="s">
        <v>1099</v>
      </c>
      <c r="J42" s="1473" t="s">
        <v>1834</v>
      </c>
      <c r="K42" s="1472">
        <v>1701</v>
      </c>
      <c r="L42" s="1473" t="s">
        <v>1862</v>
      </c>
      <c r="M42" s="1473" t="s">
        <v>1814</v>
      </c>
    </row>
    <row r="43" spans="4:13" ht="30" hidden="1">
      <c r="D43" s="1472">
        <v>83</v>
      </c>
      <c r="E43" s="1473" t="s">
        <v>1863</v>
      </c>
      <c r="F43" s="1473" t="s">
        <v>244</v>
      </c>
      <c r="G43" s="1474">
        <v>41147</v>
      </c>
      <c r="H43" s="482"/>
      <c r="I43" s="1473" t="s">
        <v>1099</v>
      </c>
      <c r="J43" s="1473" t="s">
        <v>1834</v>
      </c>
      <c r="K43" s="1472">
        <v>1702</v>
      </c>
      <c r="L43" s="1473" t="s">
        <v>1864</v>
      </c>
      <c r="M43" s="1473" t="s">
        <v>1814</v>
      </c>
    </row>
    <row r="44" spans="4:13" ht="30" hidden="1">
      <c r="D44" s="1472">
        <v>84</v>
      </c>
      <c r="E44" s="1473" t="s">
        <v>1865</v>
      </c>
      <c r="F44" s="1473" t="s">
        <v>1866</v>
      </c>
      <c r="G44" s="1474">
        <v>41089</v>
      </c>
      <c r="H44" s="482"/>
      <c r="I44" s="1473" t="s">
        <v>1099</v>
      </c>
      <c r="J44" s="1473" t="s">
        <v>1834</v>
      </c>
      <c r="K44" s="1472">
        <v>1703</v>
      </c>
      <c r="L44" s="1473" t="s">
        <v>1867</v>
      </c>
      <c r="M44" s="1473" t="s">
        <v>1814</v>
      </c>
    </row>
    <row r="45" spans="4:13" ht="30" hidden="1">
      <c r="D45" s="1472">
        <v>86</v>
      </c>
      <c r="E45" s="1473" t="s">
        <v>1868</v>
      </c>
      <c r="F45" s="1473" t="s">
        <v>189</v>
      </c>
      <c r="G45" s="1474">
        <v>41150</v>
      </c>
      <c r="H45" s="1475">
        <v>41865</v>
      </c>
      <c r="I45" s="1473" t="s">
        <v>1099</v>
      </c>
      <c r="J45" s="1473" t="s">
        <v>1834</v>
      </c>
      <c r="K45" s="1472">
        <v>1704</v>
      </c>
      <c r="L45" s="1473" t="s">
        <v>1869</v>
      </c>
      <c r="M45" s="1473" t="s">
        <v>1814</v>
      </c>
    </row>
    <row r="46" spans="4:13" ht="30" hidden="1">
      <c r="D46" s="1472">
        <v>87</v>
      </c>
      <c r="E46" s="1473" t="s">
        <v>1870</v>
      </c>
      <c r="F46" s="1473" t="s">
        <v>190</v>
      </c>
      <c r="G46" s="1474">
        <v>41150</v>
      </c>
      <c r="H46" s="1475">
        <v>41128</v>
      </c>
      <c r="I46" s="1473" t="s">
        <v>1099</v>
      </c>
      <c r="J46" s="1473" t="s">
        <v>1834</v>
      </c>
      <c r="K46" s="1472">
        <v>1705</v>
      </c>
      <c r="L46" s="1473" t="s">
        <v>1871</v>
      </c>
      <c r="M46" s="1473" t="s">
        <v>1814</v>
      </c>
    </row>
    <row r="47" spans="4:13" ht="30" hidden="1">
      <c r="D47" s="1472">
        <v>88</v>
      </c>
      <c r="E47" s="1473" t="s">
        <v>1872</v>
      </c>
      <c r="F47" s="1473" t="s">
        <v>1873</v>
      </c>
      <c r="G47" s="1474">
        <v>41150</v>
      </c>
      <c r="H47" s="1475">
        <v>41865</v>
      </c>
      <c r="I47" s="1473" t="s">
        <v>1099</v>
      </c>
      <c r="J47" s="1473" t="s">
        <v>1834</v>
      </c>
      <c r="K47" s="1472">
        <v>1706</v>
      </c>
      <c r="L47" s="1473" t="s">
        <v>1874</v>
      </c>
      <c r="M47" s="1473" t="s">
        <v>1814</v>
      </c>
    </row>
    <row r="48" spans="4:13" ht="15" hidden="1">
      <c r="D48" s="1472">
        <v>95</v>
      </c>
      <c r="E48" s="1473" t="s">
        <v>1875</v>
      </c>
      <c r="F48" s="1473" t="s">
        <v>191</v>
      </c>
      <c r="G48" s="1474">
        <v>41112</v>
      </c>
      <c r="H48" s="1475">
        <v>41089</v>
      </c>
      <c r="I48" s="1473" t="s">
        <v>1099</v>
      </c>
      <c r="J48" s="1473" t="s">
        <v>1834</v>
      </c>
      <c r="K48" s="1472">
        <v>1708</v>
      </c>
      <c r="L48" s="1473" t="s">
        <v>1876</v>
      </c>
      <c r="M48" s="1473" t="s">
        <v>1814</v>
      </c>
    </row>
    <row r="49" spans="4:13" ht="30" hidden="1">
      <c r="D49" s="1472">
        <v>103</v>
      </c>
      <c r="E49" s="1473" t="s">
        <v>1877</v>
      </c>
      <c r="F49" s="1473" t="s">
        <v>192</v>
      </c>
      <c r="G49" s="1474">
        <v>41235</v>
      </c>
      <c r="H49" s="1475">
        <v>41164</v>
      </c>
      <c r="I49" s="1473" t="s">
        <v>1099</v>
      </c>
      <c r="J49" s="1473" t="s">
        <v>1834</v>
      </c>
      <c r="K49" s="1472">
        <v>1710</v>
      </c>
      <c r="L49" s="1473" t="s">
        <v>1878</v>
      </c>
      <c r="M49" s="1473" t="s">
        <v>1814</v>
      </c>
    </row>
    <row r="50" spans="4:13" ht="30">
      <c r="D50" s="1472">
        <v>213</v>
      </c>
      <c r="E50" s="1473" t="s">
        <v>1879</v>
      </c>
      <c r="F50" s="1473" t="s">
        <v>1880</v>
      </c>
      <c r="G50" s="482"/>
      <c r="H50" s="482"/>
      <c r="I50" s="1473" t="s">
        <v>1099</v>
      </c>
      <c r="J50" s="1473" t="s">
        <v>175</v>
      </c>
      <c r="K50" s="1472">
        <v>1757</v>
      </c>
      <c r="L50" s="1473" t="s">
        <v>175</v>
      </c>
      <c r="M50" s="1473" t="s">
        <v>1326</v>
      </c>
    </row>
    <row r="51" spans="4:13" ht="30" hidden="1">
      <c r="D51" s="1472">
        <v>369</v>
      </c>
      <c r="E51" s="1473" t="s">
        <v>1881</v>
      </c>
      <c r="F51" s="1473" t="s">
        <v>193</v>
      </c>
      <c r="G51" s="1474">
        <v>41243</v>
      </c>
      <c r="H51" s="1475">
        <v>41243</v>
      </c>
      <c r="I51" s="1473" t="s">
        <v>1099</v>
      </c>
      <c r="J51" s="1473" t="s">
        <v>175</v>
      </c>
      <c r="K51" s="1472">
        <v>1770</v>
      </c>
      <c r="L51" s="1473" t="s">
        <v>1882</v>
      </c>
      <c r="M51" s="1473" t="s">
        <v>1814</v>
      </c>
    </row>
    <row r="52" spans="4:13" ht="15" hidden="1">
      <c r="D52" s="1472">
        <v>370</v>
      </c>
      <c r="E52" s="1473" t="s">
        <v>1883</v>
      </c>
      <c r="F52" s="1473" t="s">
        <v>1884</v>
      </c>
      <c r="G52" s="1474">
        <v>41214</v>
      </c>
      <c r="H52" s="1475">
        <v>41214</v>
      </c>
      <c r="I52" s="1473" t="s">
        <v>1099</v>
      </c>
      <c r="J52" s="1473" t="s">
        <v>175</v>
      </c>
      <c r="K52" s="1472">
        <v>1771</v>
      </c>
      <c r="L52" s="1473" t="s">
        <v>1885</v>
      </c>
      <c r="M52" s="1473" t="s">
        <v>1814</v>
      </c>
    </row>
    <row r="53" spans="4:13" ht="30" hidden="1">
      <c r="D53" s="1472">
        <v>371</v>
      </c>
      <c r="E53" s="1473" t="s">
        <v>1886</v>
      </c>
      <c r="F53" s="1473" t="s">
        <v>196</v>
      </c>
      <c r="G53" s="1474">
        <v>40762</v>
      </c>
      <c r="H53" s="482"/>
      <c r="I53" s="1473" t="s">
        <v>1099</v>
      </c>
      <c r="J53" s="1473" t="s">
        <v>175</v>
      </c>
      <c r="K53" s="1472">
        <v>1772</v>
      </c>
      <c r="L53" s="1473" t="s">
        <v>1887</v>
      </c>
      <c r="M53" s="1473" t="s">
        <v>1814</v>
      </c>
    </row>
    <row r="54" spans="4:13" ht="30" hidden="1">
      <c r="D54" s="1472">
        <v>380</v>
      </c>
      <c r="E54" s="1473" t="s">
        <v>1888</v>
      </c>
      <c r="F54" s="1473" t="s">
        <v>1889</v>
      </c>
      <c r="G54" s="1474">
        <v>41128</v>
      </c>
      <c r="H54" s="482"/>
      <c r="I54" s="1473" t="s">
        <v>1099</v>
      </c>
      <c r="J54" s="1473" t="s">
        <v>175</v>
      </c>
      <c r="K54" s="1472">
        <v>1777</v>
      </c>
      <c r="L54" s="1473" t="s">
        <v>1890</v>
      </c>
      <c r="M54" s="1473" t="s">
        <v>1814</v>
      </c>
    </row>
    <row r="55" spans="4:13" ht="30" hidden="1">
      <c r="D55" s="1472">
        <v>381</v>
      </c>
      <c r="E55" s="1473" t="s">
        <v>1891</v>
      </c>
      <c r="F55" s="1473" t="s">
        <v>198</v>
      </c>
      <c r="G55" s="1474">
        <v>41143</v>
      </c>
      <c r="H55" s="1475">
        <v>41136</v>
      </c>
      <c r="I55" s="1473" t="s">
        <v>1099</v>
      </c>
      <c r="J55" s="1473" t="s">
        <v>175</v>
      </c>
      <c r="K55" s="1472">
        <v>1778</v>
      </c>
      <c r="L55" s="1473" t="s">
        <v>1892</v>
      </c>
      <c r="M55" s="1473" t="s">
        <v>1814</v>
      </c>
    </row>
    <row r="56" spans="4:13" ht="30" hidden="1">
      <c r="D56" s="1472">
        <v>382</v>
      </c>
      <c r="E56" s="1473" t="s">
        <v>1893</v>
      </c>
      <c r="F56" s="1473" t="s">
        <v>199</v>
      </c>
      <c r="G56" s="1474">
        <v>40983</v>
      </c>
      <c r="H56" s="1475">
        <v>41220</v>
      </c>
      <c r="I56" s="1473" t="s">
        <v>1099</v>
      </c>
      <c r="J56" s="1473" t="s">
        <v>175</v>
      </c>
      <c r="K56" s="1472">
        <v>1779</v>
      </c>
      <c r="L56" s="1473" t="s">
        <v>1894</v>
      </c>
      <c r="M56" s="1473" t="s">
        <v>1814</v>
      </c>
    </row>
    <row r="57" spans="4:13" ht="30" hidden="1">
      <c r="D57" s="1472">
        <v>383</v>
      </c>
      <c r="E57" s="1473" t="s">
        <v>1895</v>
      </c>
      <c r="F57" s="1473" t="s">
        <v>1896</v>
      </c>
      <c r="G57" s="1474">
        <v>40983</v>
      </c>
      <c r="H57" s="482"/>
      <c r="I57" s="1473" t="s">
        <v>1099</v>
      </c>
      <c r="J57" s="1473" t="s">
        <v>175</v>
      </c>
      <c r="K57" s="1472">
        <v>1780</v>
      </c>
      <c r="L57" s="1473" t="s">
        <v>1897</v>
      </c>
      <c r="M57" s="1473" t="s">
        <v>1814</v>
      </c>
    </row>
    <row r="58" spans="4:13" ht="30" hidden="1">
      <c r="D58" s="1472">
        <v>385</v>
      </c>
      <c r="E58" s="1473" t="s">
        <v>1898</v>
      </c>
      <c r="F58" s="1473" t="s">
        <v>201</v>
      </c>
      <c r="G58" s="1474">
        <v>41148</v>
      </c>
      <c r="H58" s="482"/>
      <c r="I58" s="1473" t="s">
        <v>1099</v>
      </c>
      <c r="J58" s="1473" t="s">
        <v>175</v>
      </c>
      <c r="K58" s="1472">
        <v>1782</v>
      </c>
      <c r="L58" s="1473" t="s">
        <v>1899</v>
      </c>
      <c r="M58" s="1473" t="s">
        <v>1814</v>
      </c>
    </row>
    <row r="59" spans="4:13" ht="30" hidden="1">
      <c r="D59" s="1472">
        <v>386</v>
      </c>
      <c r="E59" s="1473" t="s">
        <v>1900</v>
      </c>
      <c r="F59" s="1473" t="s">
        <v>1901</v>
      </c>
      <c r="G59" s="1474">
        <v>41039</v>
      </c>
      <c r="H59" s="482"/>
      <c r="I59" s="1473" t="s">
        <v>1099</v>
      </c>
      <c r="J59" s="1473" t="s">
        <v>175</v>
      </c>
      <c r="K59" s="1472">
        <v>1783</v>
      </c>
      <c r="L59" s="1473" t="s">
        <v>1902</v>
      </c>
      <c r="M59" s="1473" t="s">
        <v>1814</v>
      </c>
    </row>
    <row r="60" spans="4:13" ht="45" hidden="1">
      <c r="D60" s="1472">
        <v>390</v>
      </c>
      <c r="E60" s="1473" t="s">
        <v>1903</v>
      </c>
      <c r="F60" s="1473" t="s">
        <v>358</v>
      </c>
      <c r="G60" s="1474">
        <v>41094</v>
      </c>
      <c r="H60" s="482"/>
      <c r="I60" s="1473" t="s">
        <v>1099</v>
      </c>
      <c r="J60" s="1473" t="s">
        <v>175</v>
      </c>
      <c r="K60" s="1472">
        <v>1787</v>
      </c>
      <c r="L60" s="1473" t="s">
        <v>1904</v>
      </c>
      <c r="M60" s="1473" t="s">
        <v>1814</v>
      </c>
    </row>
    <row r="61" spans="4:13" ht="30" hidden="1">
      <c r="D61" s="1472">
        <v>391</v>
      </c>
      <c r="E61" s="1473" t="s">
        <v>1905</v>
      </c>
      <c r="F61" s="1473" t="s">
        <v>332</v>
      </c>
      <c r="G61" s="1474">
        <v>41205</v>
      </c>
      <c r="H61" s="482"/>
      <c r="I61" s="1473" t="s">
        <v>1099</v>
      </c>
      <c r="J61" s="1473" t="s">
        <v>175</v>
      </c>
      <c r="K61" s="1472">
        <v>1788</v>
      </c>
      <c r="L61" s="1473" t="s">
        <v>1906</v>
      </c>
      <c r="M61" s="1473" t="s">
        <v>1814</v>
      </c>
    </row>
    <row r="62" spans="4:13" ht="30" hidden="1">
      <c r="D62" s="1472">
        <v>396</v>
      </c>
      <c r="E62" s="1473" t="s">
        <v>1907</v>
      </c>
      <c r="F62" s="1473" t="s">
        <v>1908</v>
      </c>
      <c r="G62" s="1474">
        <v>41018</v>
      </c>
      <c r="H62" s="482"/>
      <c r="I62" s="1473" t="s">
        <v>1099</v>
      </c>
      <c r="J62" s="1473" t="s">
        <v>175</v>
      </c>
      <c r="K62" s="1472">
        <v>1792</v>
      </c>
      <c r="L62" s="1473" t="s">
        <v>1909</v>
      </c>
      <c r="M62" s="1473" t="s">
        <v>1814</v>
      </c>
    </row>
    <row r="63" spans="4:13" ht="15" hidden="1">
      <c r="D63" s="1472">
        <v>397</v>
      </c>
      <c r="E63" s="1473" t="s">
        <v>1910</v>
      </c>
      <c r="F63" s="1473" t="s">
        <v>243</v>
      </c>
      <c r="G63" s="1474">
        <v>41079</v>
      </c>
      <c r="H63" s="1475">
        <v>39922</v>
      </c>
      <c r="I63" s="1473" t="s">
        <v>1099</v>
      </c>
      <c r="J63" s="1473" t="s">
        <v>175</v>
      </c>
      <c r="K63" s="1472">
        <v>1793</v>
      </c>
      <c r="L63" s="1473" t="s">
        <v>1911</v>
      </c>
      <c r="M63" s="1473" t="s">
        <v>1814</v>
      </c>
    </row>
    <row r="64" spans="4:13" ht="30" hidden="1">
      <c r="D64" s="1472">
        <v>398</v>
      </c>
      <c r="E64" s="1473" t="s">
        <v>1912</v>
      </c>
      <c r="F64" s="1473" t="s">
        <v>204</v>
      </c>
      <c r="G64" s="1474">
        <v>41112</v>
      </c>
      <c r="H64" s="1475">
        <v>41089</v>
      </c>
      <c r="I64" s="1473" t="s">
        <v>1099</v>
      </c>
      <c r="J64" s="1473" t="s">
        <v>1834</v>
      </c>
      <c r="K64" s="1472">
        <v>1794</v>
      </c>
      <c r="L64" s="1473" t="s">
        <v>1913</v>
      </c>
      <c r="M64" s="1473" t="s">
        <v>1814</v>
      </c>
    </row>
    <row r="65" spans="4:13" ht="30" hidden="1">
      <c r="D65" s="1472">
        <v>399</v>
      </c>
      <c r="E65" s="1473" t="s">
        <v>1914</v>
      </c>
      <c r="F65" s="1473" t="s">
        <v>205</v>
      </c>
      <c r="G65" s="1474">
        <v>41112</v>
      </c>
      <c r="H65" s="1475">
        <v>41089</v>
      </c>
      <c r="I65" s="1473" t="s">
        <v>1099</v>
      </c>
      <c r="J65" s="1473" t="s">
        <v>1834</v>
      </c>
      <c r="K65" s="1472">
        <v>1795</v>
      </c>
      <c r="L65" s="1473" t="s">
        <v>1915</v>
      </c>
      <c r="M65" s="1473" t="s">
        <v>1814</v>
      </c>
    </row>
    <row r="66" spans="4:13" ht="30" hidden="1">
      <c r="D66" s="1472">
        <v>400</v>
      </c>
      <c r="E66" s="1473" t="s">
        <v>1916</v>
      </c>
      <c r="F66" s="1473" t="s">
        <v>206</v>
      </c>
      <c r="G66" s="1474">
        <v>41051</v>
      </c>
      <c r="H66" s="1475">
        <v>41018</v>
      </c>
      <c r="I66" s="1473" t="s">
        <v>1099</v>
      </c>
      <c r="J66" s="1473" t="s">
        <v>1834</v>
      </c>
      <c r="K66" s="1472">
        <v>1796</v>
      </c>
      <c r="L66" s="1473" t="s">
        <v>1917</v>
      </c>
      <c r="M66" s="1473" t="s">
        <v>1814</v>
      </c>
    </row>
    <row r="67" spans="4:13" ht="30" hidden="1">
      <c r="D67" s="1472">
        <v>401</v>
      </c>
      <c r="E67" s="1473" t="s">
        <v>1918</v>
      </c>
      <c r="F67" s="1473" t="s">
        <v>207</v>
      </c>
      <c r="G67" s="1474">
        <v>41112</v>
      </c>
      <c r="H67" s="1475">
        <v>41089</v>
      </c>
      <c r="I67" s="1473" t="s">
        <v>1099</v>
      </c>
      <c r="J67" s="1473" t="s">
        <v>1834</v>
      </c>
      <c r="K67" s="1472">
        <v>1797</v>
      </c>
      <c r="L67" s="1473" t="s">
        <v>1919</v>
      </c>
      <c r="M67" s="1473" t="s">
        <v>1814</v>
      </c>
    </row>
    <row r="68" spans="4:13" ht="30" hidden="1">
      <c r="D68" s="1472">
        <v>404</v>
      </c>
      <c r="E68" s="1473" t="s">
        <v>1920</v>
      </c>
      <c r="F68" s="1473" t="s">
        <v>208</v>
      </c>
      <c r="G68" s="1474">
        <v>41007</v>
      </c>
      <c r="H68" s="482"/>
      <c r="I68" s="1473" t="s">
        <v>1099</v>
      </c>
      <c r="J68" s="1473" t="s">
        <v>175</v>
      </c>
      <c r="K68" s="1472">
        <v>1800</v>
      </c>
      <c r="L68" s="1473" t="s">
        <v>1921</v>
      </c>
      <c r="M68" s="1473" t="s">
        <v>1814</v>
      </c>
    </row>
    <row r="69" spans="4:13" ht="30" hidden="1">
      <c r="D69" s="1472">
        <v>405</v>
      </c>
      <c r="E69" s="1473" t="s">
        <v>1922</v>
      </c>
      <c r="F69" s="1473" t="s">
        <v>210</v>
      </c>
      <c r="G69" s="1474">
        <v>41007</v>
      </c>
      <c r="H69" s="482"/>
      <c r="I69" s="1473" t="s">
        <v>1099</v>
      </c>
      <c r="J69" s="1473" t="s">
        <v>175</v>
      </c>
      <c r="K69" s="1472">
        <v>1802</v>
      </c>
      <c r="L69" s="1473" t="s">
        <v>1923</v>
      </c>
      <c r="M69" s="1473" t="s">
        <v>1814</v>
      </c>
    </row>
    <row r="70" spans="4:13" ht="30">
      <c r="D70" s="1472">
        <v>598</v>
      </c>
      <c r="E70" s="1473" t="s">
        <v>1924</v>
      </c>
      <c r="F70" s="1473" t="s">
        <v>1925</v>
      </c>
      <c r="G70" s="1474">
        <v>41485</v>
      </c>
      <c r="H70" s="482"/>
      <c r="I70" s="1473" t="s">
        <v>1099</v>
      </c>
      <c r="J70" s="1473" t="s">
        <v>1834</v>
      </c>
      <c r="K70" s="1472">
        <v>1855</v>
      </c>
      <c r="L70" s="1473" t="s">
        <v>1926</v>
      </c>
      <c r="M70" s="1473" t="s">
        <v>1326</v>
      </c>
    </row>
    <row r="71" spans="4:13" ht="30">
      <c r="D71" s="1472">
        <v>2351</v>
      </c>
      <c r="E71" s="1473" t="s">
        <v>1927</v>
      </c>
      <c r="F71" s="1473" t="s">
        <v>515</v>
      </c>
      <c r="G71" s="1474">
        <v>41485</v>
      </c>
      <c r="H71" s="482"/>
      <c r="I71" s="1473" t="s">
        <v>1099</v>
      </c>
      <c r="J71" s="1473" t="s">
        <v>1834</v>
      </c>
      <c r="K71" s="1472">
        <v>2062</v>
      </c>
      <c r="L71" s="1473" t="s">
        <v>1928</v>
      </c>
      <c r="M71" s="1473" t="s">
        <v>1326</v>
      </c>
    </row>
    <row r="72" spans="4:13" ht="45">
      <c r="D72" s="1472">
        <v>2381</v>
      </c>
      <c r="E72" s="1473" t="s">
        <v>1929</v>
      </c>
      <c r="F72" s="1473" t="s">
        <v>487</v>
      </c>
      <c r="G72" s="1474">
        <v>41485</v>
      </c>
      <c r="H72" s="482"/>
      <c r="I72" s="1473" t="s">
        <v>1099</v>
      </c>
      <c r="J72" s="1473" t="s">
        <v>1834</v>
      </c>
      <c r="K72" s="1472">
        <v>2066</v>
      </c>
      <c r="L72" s="1473" t="s">
        <v>1930</v>
      </c>
      <c r="M72" s="1473" t="s">
        <v>1326</v>
      </c>
    </row>
    <row r="73" spans="4:13" ht="30" hidden="1">
      <c r="D73" s="1472">
        <v>2513</v>
      </c>
      <c r="E73" s="1473" t="s">
        <v>1931</v>
      </c>
      <c r="F73" s="1473" t="s">
        <v>1932</v>
      </c>
      <c r="G73" s="1474">
        <v>40909</v>
      </c>
      <c r="H73" s="482"/>
      <c r="I73" s="1473" t="s">
        <v>1099</v>
      </c>
      <c r="J73" s="1473" t="s">
        <v>175</v>
      </c>
      <c r="K73" s="1472">
        <v>2076</v>
      </c>
      <c r="L73" s="1473" t="s">
        <v>175</v>
      </c>
      <c r="M73" s="1473" t="s">
        <v>175</v>
      </c>
    </row>
    <row r="74" spans="4:13" ht="45">
      <c r="D74" s="1472">
        <v>2763</v>
      </c>
      <c r="E74" s="1473" t="s">
        <v>1933</v>
      </c>
      <c r="F74" s="1473" t="s">
        <v>212</v>
      </c>
      <c r="G74" s="1474">
        <v>41485</v>
      </c>
      <c r="H74" s="482"/>
      <c r="I74" s="1473" t="s">
        <v>1099</v>
      </c>
      <c r="J74" s="1473" t="s">
        <v>1834</v>
      </c>
      <c r="K74" s="1472">
        <v>2111</v>
      </c>
      <c r="L74" s="1473" t="s">
        <v>1934</v>
      </c>
      <c r="M74" s="1473" t="s">
        <v>1326</v>
      </c>
    </row>
    <row r="75" spans="4:13" ht="45">
      <c r="D75" s="1472">
        <v>2783</v>
      </c>
      <c r="E75" s="1473" t="s">
        <v>1935</v>
      </c>
      <c r="F75" s="1473" t="s">
        <v>526</v>
      </c>
      <c r="G75" s="1474">
        <v>41485</v>
      </c>
      <c r="H75" s="482"/>
      <c r="I75" s="1473" t="s">
        <v>1099</v>
      </c>
      <c r="J75" s="1473" t="s">
        <v>1834</v>
      </c>
      <c r="K75" s="1472">
        <v>2114</v>
      </c>
      <c r="L75" s="1473" t="s">
        <v>1936</v>
      </c>
      <c r="M75" s="1473" t="s">
        <v>1326</v>
      </c>
    </row>
    <row r="76" spans="4:13" ht="15" hidden="1">
      <c r="D76" s="1472">
        <v>2866</v>
      </c>
      <c r="E76" s="1473" t="s">
        <v>1937</v>
      </c>
      <c r="F76" s="1473" t="s">
        <v>214</v>
      </c>
      <c r="G76" s="1474">
        <v>41084</v>
      </c>
      <c r="H76" s="482"/>
      <c r="I76" s="1473" t="s">
        <v>1099</v>
      </c>
      <c r="J76" s="1473" t="s">
        <v>175</v>
      </c>
      <c r="K76" s="1472">
        <v>2126</v>
      </c>
      <c r="L76" s="1473" t="s">
        <v>1938</v>
      </c>
      <c r="M76" s="1473" t="s">
        <v>1814</v>
      </c>
    </row>
    <row r="77" spans="4:13" ht="30" hidden="1">
      <c r="D77" s="1472">
        <v>2904</v>
      </c>
      <c r="E77" s="1473" t="s">
        <v>1939</v>
      </c>
      <c r="F77" s="1473" t="s">
        <v>1940</v>
      </c>
      <c r="G77" s="1474">
        <v>41150</v>
      </c>
      <c r="H77" s="1475">
        <v>41135</v>
      </c>
      <c r="I77" s="1473" t="s">
        <v>1099</v>
      </c>
      <c r="J77" s="1473" t="s">
        <v>1834</v>
      </c>
      <c r="K77" s="1472">
        <v>2134</v>
      </c>
      <c r="L77" s="1473" t="s">
        <v>1941</v>
      </c>
      <c r="M77" s="1473" t="s">
        <v>1814</v>
      </c>
    </row>
    <row r="78" spans="4:13" ht="30" hidden="1">
      <c r="D78" s="1472">
        <v>2937</v>
      </c>
      <c r="E78" s="1473" t="s">
        <v>1942</v>
      </c>
      <c r="F78" s="1473" t="s">
        <v>215</v>
      </c>
      <c r="G78" s="1474">
        <v>41205</v>
      </c>
      <c r="H78" s="482"/>
      <c r="I78" s="1473" t="s">
        <v>1099</v>
      </c>
      <c r="J78" s="1473" t="s">
        <v>175</v>
      </c>
      <c r="K78" s="1472">
        <v>2141</v>
      </c>
      <c r="L78" s="1473" t="s">
        <v>1943</v>
      </c>
      <c r="M78" s="1473" t="s">
        <v>1814</v>
      </c>
    </row>
    <row r="79" spans="4:13" ht="30">
      <c r="D79" s="1472">
        <v>3223</v>
      </c>
      <c r="E79" s="1473" t="s">
        <v>1944</v>
      </c>
      <c r="F79" s="1473" t="s">
        <v>499</v>
      </c>
      <c r="G79" s="1474">
        <v>41423</v>
      </c>
      <c r="H79" s="482"/>
      <c r="I79" s="1473" t="s">
        <v>1099</v>
      </c>
      <c r="J79" s="1473" t="s">
        <v>1834</v>
      </c>
      <c r="K79" s="1472">
        <v>2193</v>
      </c>
      <c r="L79" s="1473" t="s">
        <v>1945</v>
      </c>
      <c r="M79" s="1473" t="s">
        <v>1326</v>
      </c>
    </row>
    <row r="80" spans="4:13" ht="45">
      <c r="D80" s="1472">
        <v>3627</v>
      </c>
      <c r="E80" s="1473" t="s">
        <v>1946</v>
      </c>
      <c r="F80" s="1473" t="s">
        <v>510</v>
      </c>
      <c r="G80" s="1474">
        <v>41485</v>
      </c>
      <c r="H80" s="482"/>
      <c r="I80" s="1473" t="s">
        <v>1099</v>
      </c>
      <c r="J80" s="1473" t="s">
        <v>1834</v>
      </c>
      <c r="K80" s="1472">
        <v>2215</v>
      </c>
      <c r="L80" s="1473" t="s">
        <v>1947</v>
      </c>
      <c r="M80" s="1473" t="s">
        <v>1326</v>
      </c>
    </row>
    <row r="81" spans="4:13" ht="45">
      <c r="D81" s="1472">
        <v>4248</v>
      </c>
      <c r="E81" s="1473" t="s">
        <v>1948</v>
      </c>
      <c r="F81" s="1473" t="s">
        <v>1949</v>
      </c>
      <c r="G81" s="1474">
        <v>41485</v>
      </c>
      <c r="H81" s="482"/>
      <c r="I81" s="1473" t="s">
        <v>1099</v>
      </c>
      <c r="J81" s="1473" t="s">
        <v>1834</v>
      </c>
      <c r="K81" s="1472">
        <v>2245</v>
      </c>
      <c r="L81" s="1473" t="s">
        <v>1950</v>
      </c>
      <c r="M81" s="1473" t="s">
        <v>1326</v>
      </c>
    </row>
    <row r="82" spans="4:13" ht="105" hidden="1">
      <c r="D82" s="1472">
        <v>4950</v>
      </c>
      <c r="E82" s="1473" t="s">
        <v>1951</v>
      </c>
      <c r="F82" s="1473" t="s">
        <v>216</v>
      </c>
      <c r="G82" s="1474">
        <v>41057</v>
      </c>
      <c r="H82" s="1475">
        <v>41007</v>
      </c>
      <c r="I82" s="1473" t="s">
        <v>1099</v>
      </c>
      <c r="J82" s="1473" t="s">
        <v>175</v>
      </c>
      <c r="K82" s="1472">
        <v>2285</v>
      </c>
      <c r="L82" s="1473" t="s">
        <v>1952</v>
      </c>
      <c r="M82" s="1473" t="s">
        <v>1814</v>
      </c>
    </row>
    <row r="83" spans="4:13" ht="15" hidden="1">
      <c r="D83" s="1472">
        <v>5160</v>
      </c>
      <c r="E83" s="1473" t="s">
        <v>1953</v>
      </c>
      <c r="F83" s="1473" t="s">
        <v>218</v>
      </c>
      <c r="G83" s="1474">
        <v>41204</v>
      </c>
      <c r="H83" s="1475">
        <v>41147</v>
      </c>
      <c r="I83" s="1473" t="s">
        <v>1099</v>
      </c>
      <c r="J83" s="1473" t="s">
        <v>175</v>
      </c>
      <c r="K83" s="1472">
        <v>2313</v>
      </c>
      <c r="L83" s="1473" t="s">
        <v>1954</v>
      </c>
      <c r="M83" s="1473" t="s">
        <v>1814</v>
      </c>
    </row>
    <row r="84" spans="4:13" ht="30" hidden="1">
      <c r="D84" s="1472">
        <v>5216</v>
      </c>
      <c r="E84" s="1473" t="s">
        <v>1955</v>
      </c>
      <c r="F84" s="1473" t="s">
        <v>1956</v>
      </c>
      <c r="G84" s="1474">
        <v>41039</v>
      </c>
      <c r="H84" s="482"/>
      <c r="I84" s="1473" t="s">
        <v>1099</v>
      </c>
      <c r="J84" s="1473" t="s">
        <v>175</v>
      </c>
      <c r="K84" s="1472">
        <v>2330</v>
      </c>
      <c r="L84" s="1473" t="s">
        <v>1957</v>
      </c>
      <c r="M84" s="1473" t="s">
        <v>1814</v>
      </c>
    </row>
    <row r="85" spans="4:13" ht="30" hidden="1">
      <c r="D85" s="1472">
        <v>5217</v>
      </c>
      <c r="E85" s="1473" t="s">
        <v>1958</v>
      </c>
      <c r="F85" s="1473" t="s">
        <v>1959</v>
      </c>
      <c r="G85" s="1474">
        <v>41039</v>
      </c>
      <c r="H85" s="482"/>
      <c r="I85" s="1473" t="s">
        <v>1099</v>
      </c>
      <c r="J85" s="1473" t="s">
        <v>175</v>
      </c>
      <c r="K85" s="1472">
        <v>2331</v>
      </c>
      <c r="L85" s="1473" t="s">
        <v>1960</v>
      </c>
      <c r="M85" s="1473" t="s">
        <v>1814</v>
      </c>
    </row>
    <row r="86" spans="4:13" ht="45">
      <c r="D86" s="1472">
        <v>5274</v>
      </c>
      <c r="E86" s="1473" t="s">
        <v>1961</v>
      </c>
      <c r="F86" s="1473" t="s">
        <v>219</v>
      </c>
      <c r="G86" s="1474">
        <v>41393</v>
      </c>
      <c r="H86" s="482"/>
      <c r="I86" s="1473" t="s">
        <v>1099</v>
      </c>
      <c r="J86" s="1473" t="s">
        <v>1834</v>
      </c>
      <c r="K86" s="1472">
        <v>2339</v>
      </c>
      <c r="L86" s="1473" t="s">
        <v>1962</v>
      </c>
      <c r="M86" s="1473" t="s">
        <v>1326</v>
      </c>
    </row>
    <row r="87" spans="4:13" ht="45">
      <c r="D87" s="1472">
        <v>5351</v>
      </c>
      <c r="E87" s="1473" t="s">
        <v>1963</v>
      </c>
      <c r="F87" s="1473" t="s">
        <v>221</v>
      </c>
      <c r="G87" s="1474">
        <v>41212</v>
      </c>
      <c r="H87" s="482"/>
      <c r="I87" s="1473" t="s">
        <v>1099</v>
      </c>
      <c r="J87" s="1473" t="s">
        <v>1834</v>
      </c>
      <c r="K87" s="1472">
        <v>2340</v>
      </c>
      <c r="L87" s="1473" t="s">
        <v>1964</v>
      </c>
      <c r="M87" s="1473" t="s">
        <v>1326</v>
      </c>
    </row>
    <row r="88" spans="4:13" ht="60">
      <c r="D88" s="1472">
        <v>5352</v>
      </c>
      <c r="E88" s="1473" t="s">
        <v>1965</v>
      </c>
      <c r="F88" s="1473" t="s">
        <v>422</v>
      </c>
      <c r="G88" s="1474">
        <v>41182</v>
      </c>
      <c r="H88" s="482"/>
      <c r="I88" s="1473" t="s">
        <v>1099</v>
      </c>
      <c r="J88" s="1473" t="s">
        <v>1834</v>
      </c>
      <c r="K88" s="1472">
        <v>2341</v>
      </c>
      <c r="L88" s="1473" t="s">
        <v>1966</v>
      </c>
      <c r="M88" s="1473" t="s">
        <v>1326</v>
      </c>
    </row>
    <row r="89" spans="4:13" ht="45">
      <c r="D89" s="1472">
        <v>5353</v>
      </c>
      <c r="E89" s="1473" t="s">
        <v>1967</v>
      </c>
      <c r="F89" s="1473" t="s">
        <v>222</v>
      </c>
      <c r="G89" s="1474">
        <v>41182</v>
      </c>
      <c r="H89" s="482"/>
      <c r="I89" s="1473" t="s">
        <v>1099</v>
      </c>
      <c r="J89" s="1473" t="s">
        <v>1834</v>
      </c>
      <c r="K89" s="1472">
        <v>2342</v>
      </c>
      <c r="L89" s="1473" t="s">
        <v>1968</v>
      </c>
      <c r="M89" s="1473" t="s">
        <v>1326</v>
      </c>
    </row>
    <row r="90" spans="4:13" ht="30">
      <c r="D90" s="1472">
        <v>5355</v>
      </c>
      <c r="E90" s="1473" t="s">
        <v>1969</v>
      </c>
      <c r="F90" s="1473" t="s">
        <v>433</v>
      </c>
      <c r="G90" s="1474">
        <v>41182</v>
      </c>
      <c r="H90" s="482"/>
      <c r="I90" s="1473" t="s">
        <v>1099</v>
      </c>
      <c r="J90" s="1473" t="s">
        <v>1834</v>
      </c>
      <c r="K90" s="1472">
        <v>2343</v>
      </c>
      <c r="L90" s="1473" t="s">
        <v>1970</v>
      </c>
      <c r="M90" s="1473" t="s">
        <v>1326</v>
      </c>
    </row>
    <row r="91" spans="4:13" ht="30">
      <c r="D91" s="1472">
        <v>5363</v>
      </c>
      <c r="E91" s="1473" t="s">
        <v>1971</v>
      </c>
      <c r="F91" s="1473" t="s">
        <v>440</v>
      </c>
      <c r="G91" s="1474">
        <v>41182</v>
      </c>
      <c r="H91" s="482"/>
      <c r="I91" s="1473" t="s">
        <v>1099</v>
      </c>
      <c r="J91" s="1473" t="s">
        <v>1834</v>
      </c>
      <c r="K91" s="1472">
        <v>2344</v>
      </c>
      <c r="L91" s="1473" t="s">
        <v>1972</v>
      </c>
      <c r="M91" s="1473" t="s">
        <v>1326</v>
      </c>
    </row>
    <row r="92" spans="4:13" ht="30">
      <c r="D92" s="1472">
        <v>5364</v>
      </c>
      <c r="E92" s="1473" t="s">
        <v>1973</v>
      </c>
      <c r="F92" s="1473" t="s">
        <v>445</v>
      </c>
      <c r="G92" s="1474">
        <v>41182</v>
      </c>
      <c r="H92" s="482"/>
      <c r="I92" s="1473" t="s">
        <v>1099</v>
      </c>
      <c r="J92" s="1473" t="s">
        <v>1834</v>
      </c>
      <c r="K92" s="1472">
        <v>2345</v>
      </c>
      <c r="L92" s="1473" t="s">
        <v>1974</v>
      </c>
      <c r="M92" s="1473" t="s">
        <v>1326</v>
      </c>
    </row>
    <row r="93" spans="4:13" ht="30">
      <c r="D93" s="1472">
        <v>5365</v>
      </c>
      <c r="E93" s="1473" t="s">
        <v>1975</v>
      </c>
      <c r="F93" s="1473" t="s">
        <v>451</v>
      </c>
      <c r="G93" s="1474">
        <v>41182</v>
      </c>
      <c r="H93" s="482"/>
      <c r="I93" s="1473" t="s">
        <v>1099</v>
      </c>
      <c r="J93" s="1473" t="s">
        <v>1834</v>
      </c>
      <c r="K93" s="1472">
        <v>2346</v>
      </c>
      <c r="L93" s="1473" t="s">
        <v>1976</v>
      </c>
      <c r="M93" s="1473" t="s">
        <v>1326</v>
      </c>
    </row>
    <row r="94" spans="4:13" ht="45">
      <c r="D94" s="1472">
        <v>5366</v>
      </c>
      <c r="E94" s="1473" t="s">
        <v>1977</v>
      </c>
      <c r="F94" s="1473" t="s">
        <v>224</v>
      </c>
      <c r="G94" s="1474">
        <v>41182</v>
      </c>
      <c r="H94" s="482"/>
      <c r="I94" s="1473" t="s">
        <v>1099</v>
      </c>
      <c r="J94" s="1473" t="s">
        <v>1834</v>
      </c>
      <c r="K94" s="1472">
        <v>2347</v>
      </c>
      <c r="L94" s="1473" t="s">
        <v>1978</v>
      </c>
      <c r="M94" s="1473" t="s">
        <v>1326</v>
      </c>
    </row>
    <row r="95" spans="4:13" ht="30">
      <c r="D95" s="1472">
        <v>5367</v>
      </c>
      <c r="E95" s="1473" t="s">
        <v>1979</v>
      </c>
      <c r="F95" s="1473" t="s">
        <v>381</v>
      </c>
      <c r="G95" s="1474">
        <v>40899</v>
      </c>
      <c r="H95" s="482"/>
      <c r="I95" s="1473" t="s">
        <v>1099</v>
      </c>
      <c r="J95" s="1473" t="s">
        <v>1834</v>
      </c>
      <c r="K95" s="1472">
        <v>2348</v>
      </c>
      <c r="L95" s="1473" t="s">
        <v>1980</v>
      </c>
      <c r="M95" s="1473" t="s">
        <v>1326</v>
      </c>
    </row>
    <row r="96" spans="4:13" ht="30">
      <c r="D96" s="1472">
        <v>5368</v>
      </c>
      <c r="E96" s="1473" t="s">
        <v>1981</v>
      </c>
      <c r="F96" s="1473" t="s">
        <v>456</v>
      </c>
      <c r="G96" s="1474">
        <v>41182</v>
      </c>
      <c r="H96" s="482"/>
      <c r="I96" s="1473" t="s">
        <v>1099</v>
      </c>
      <c r="J96" s="1473" t="s">
        <v>1834</v>
      </c>
      <c r="K96" s="1472">
        <v>2349</v>
      </c>
      <c r="L96" s="1473" t="s">
        <v>1982</v>
      </c>
      <c r="M96" s="1473" t="s">
        <v>1326</v>
      </c>
    </row>
    <row r="97" spans="4:13" ht="30">
      <c r="D97" s="1472">
        <v>5369</v>
      </c>
      <c r="E97" s="1473" t="s">
        <v>1983</v>
      </c>
      <c r="F97" s="1473" t="s">
        <v>461</v>
      </c>
      <c r="G97" s="1474">
        <v>41182</v>
      </c>
      <c r="H97" s="482"/>
      <c r="I97" s="1473" t="s">
        <v>1099</v>
      </c>
      <c r="J97" s="1473" t="s">
        <v>1834</v>
      </c>
      <c r="K97" s="1472">
        <v>2350</v>
      </c>
      <c r="L97" s="1473" t="s">
        <v>1984</v>
      </c>
      <c r="M97" s="1473" t="s">
        <v>1326</v>
      </c>
    </row>
    <row r="98" spans="4:13" ht="30">
      <c r="D98" s="1472">
        <v>5370</v>
      </c>
      <c r="E98" s="1473" t="s">
        <v>1985</v>
      </c>
      <c r="F98" s="1473" t="s">
        <v>225</v>
      </c>
      <c r="G98" s="1474">
        <v>41182</v>
      </c>
      <c r="H98" s="482"/>
      <c r="I98" s="1473" t="s">
        <v>1099</v>
      </c>
      <c r="J98" s="1473" t="s">
        <v>1834</v>
      </c>
      <c r="K98" s="1472">
        <v>2351</v>
      </c>
      <c r="L98" s="1473" t="s">
        <v>1986</v>
      </c>
      <c r="M98" s="1473" t="s">
        <v>1326</v>
      </c>
    </row>
    <row r="99" spans="4:13" ht="30">
      <c r="D99" s="1472">
        <v>5371</v>
      </c>
      <c r="E99" s="1473" t="s">
        <v>1987</v>
      </c>
      <c r="F99" s="1473" t="s">
        <v>470</v>
      </c>
      <c r="G99" s="1474">
        <v>41182</v>
      </c>
      <c r="H99" s="482"/>
      <c r="I99" s="1473" t="s">
        <v>1099</v>
      </c>
      <c r="J99" s="1473" t="s">
        <v>1834</v>
      </c>
      <c r="K99" s="1472">
        <v>2352</v>
      </c>
      <c r="L99" s="1473" t="s">
        <v>1988</v>
      </c>
      <c r="M99" s="1473" t="s">
        <v>1326</v>
      </c>
    </row>
    <row r="100" spans="4:13" ht="30">
      <c r="D100" s="1472">
        <v>5373</v>
      </c>
      <c r="E100" s="1473" t="s">
        <v>1989</v>
      </c>
      <c r="F100" s="1473" t="s">
        <v>477</v>
      </c>
      <c r="G100" s="1474">
        <v>41182</v>
      </c>
      <c r="H100" s="482"/>
      <c r="I100" s="1473" t="s">
        <v>1099</v>
      </c>
      <c r="J100" s="1473" t="s">
        <v>1834</v>
      </c>
      <c r="K100" s="1472">
        <v>2353</v>
      </c>
      <c r="L100" s="1473" t="s">
        <v>1990</v>
      </c>
      <c r="M100" s="1473" t="s">
        <v>1326</v>
      </c>
    </row>
    <row r="101" spans="4:13" ht="45">
      <c r="D101" s="1472">
        <v>5377</v>
      </c>
      <c r="E101" s="1473" t="s">
        <v>1991</v>
      </c>
      <c r="F101" s="1473" t="s">
        <v>421</v>
      </c>
      <c r="G101" s="1474">
        <v>41393</v>
      </c>
      <c r="H101" s="482"/>
      <c r="I101" s="1473" t="s">
        <v>1099</v>
      </c>
      <c r="J101" s="1473" t="s">
        <v>1834</v>
      </c>
      <c r="K101" s="1472">
        <v>2355</v>
      </c>
      <c r="L101" s="1473" t="s">
        <v>1992</v>
      </c>
      <c r="M101" s="1473" t="s">
        <v>1326</v>
      </c>
    </row>
    <row r="102" spans="4:13" ht="45">
      <c r="D102" s="1472">
        <v>5378</v>
      </c>
      <c r="E102" s="1473" t="s">
        <v>1993</v>
      </c>
      <c r="F102" s="1473" t="s">
        <v>347</v>
      </c>
      <c r="G102" s="1474">
        <v>41393</v>
      </c>
      <c r="H102" s="482"/>
      <c r="I102" s="1473" t="s">
        <v>1099</v>
      </c>
      <c r="J102" s="1473" t="s">
        <v>1834</v>
      </c>
      <c r="K102" s="1472">
        <v>2356</v>
      </c>
      <c r="L102" s="1473" t="s">
        <v>1994</v>
      </c>
      <c r="M102" s="1473" t="s">
        <v>1326</v>
      </c>
    </row>
    <row r="103" spans="4:13" ht="45">
      <c r="D103" s="1472">
        <v>5379</v>
      </c>
      <c r="E103" s="1473" t="s">
        <v>1995</v>
      </c>
      <c r="F103" s="1473" t="s">
        <v>388</v>
      </c>
      <c r="G103" s="1474">
        <v>41212</v>
      </c>
      <c r="H103" s="482"/>
      <c r="I103" s="1473" t="s">
        <v>1099</v>
      </c>
      <c r="J103" s="1473" t="s">
        <v>1834</v>
      </c>
      <c r="K103" s="1472">
        <v>2357</v>
      </c>
      <c r="L103" s="1473" t="s">
        <v>1996</v>
      </c>
      <c r="M103" s="1473" t="s">
        <v>1326</v>
      </c>
    </row>
    <row r="104" spans="4:13" ht="45">
      <c r="D104" s="1472">
        <v>5381</v>
      </c>
      <c r="E104" s="1473" t="s">
        <v>1997</v>
      </c>
      <c r="F104" s="1473" t="s">
        <v>320</v>
      </c>
      <c r="G104" s="1474">
        <v>41152</v>
      </c>
      <c r="H104" s="482"/>
      <c r="I104" s="1473" t="s">
        <v>1099</v>
      </c>
      <c r="J104" s="1473" t="s">
        <v>1834</v>
      </c>
      <c r="K104" s="1472">
        <v>2358</v>
      </c>
      <c r="L104" s="1473" t="s">
        <v>1998</v>
      </c>
      <c r="M104" s="1473" t="s">
        <v>1326</v>
      </c>
    </row>
    <row r="105" spans="4:13" ht="45">
      <c r="D105" s="1472">
        <v>5382</v>
      </c>
      <c r="E105" s="1473" t="s">
        <v>1999</v>
      </c>
      <c r="F105" s="1473" t="s">
        <v>354</v>
      </c>
      <c r="G105" s="1474">
        <v>41101</v>
      </c>
      <c r="H105" s="482"/>
      <c r="I105" s="1473" t="s">
        <v>1099</v>
      </c>
      <c r="J105" s="1473" t="s">
        <v>1834</v>
      </c>
      <c r="K105" s="1472">
        <v>2359</v>
      </c>
      <c r="L105" s="1473" t="s">
        <v>2000</v>
      </c>
      <c r="M105" s="1473" t="s">
        <v>1326</v>
      </c>
    </row>
    <row r="106" spans="4:13" ht="45">
      <c r="D106" s="1472">
        <v>5384</v>
      </c>
      <c r="E106" s="1473" t="s">
        <v>2001</v>
      </c>
      <c r="F106" s="1473" t="s">
        <v>375</v>
      </c>
      <c r="G106" s="1474">
        <v>41423</v>
      </c>
      <c r="H106" s="482"/>
      <c r="I106" s="1473" t="s">
        <v>1099</v>
      </c>
      <c r="J106" s="1473" t="s">
        <v>1834</v>
      </c>
      <c r="K106" s="1472">
        <v>2360</v>
      </c>
      <c r="L106" s="1473" t="s">
        <v>2002</v>
      </c>
      <c r="M106" s="1473" t="s">
        <v>1326</v>
      </c>
    </row>
    <row r="107" spans="4:13" ht="45">
      <c r="D107" s="1472">
        <v>5385</v>
      </c>
      <c r="E107" s="1473" t="s">
        <v>2003</v>
      </c>
      <c r="F107" s="1473" t="s">
        <v>382</v>
      </c>
      <c r="G107" s="1474">
        <v>41379</v>
      </c>
      <c r="H107" s="482"/>
      <c r="I107" s="1473" t="s">
        <v>1099</v>
      </c>
      <c r="J107" s="1473" t="s">
        <v>1834</v>
      </c>
      <c r="K107" s="1472">
        <v>2361</v>
      </c>
      <c r="L107" s="1473" t="s">
        <v>2004</v>
      </c>
      <c r="M107" s="1473" t="s">
        <v>1326</v>
      </c>
    </row>
    <row r="108" spans="4:13" ht="45">
      <c r="D108" s="1472">
        <v>5386</v>
      </c>
      <c r="E108" s="1473" t="s">
        <v>2005</v>
      </c>
      <c r="F108" s="1473" t="s">
        <v>341</v>
      </c>
      <c r="G108" s="1474">
        <v>41212</v>
      </c>
      <c r="H108" s="482"/>
      <c r="I108" s="1473" t="s">
        <v>1099</v>
      </c>
      <c r="J108" s="1473" t="s">
        <v>1834</v>
      </c>
      <c r="K108" s="1472">
        <v>2362</v>
      </c>
      <c r="L108" s="1473" t="s">
        <v>2006</v>
      </c>
      <c r="M108" s="1473" t="s">
        <v>1326</v>
      </c>
    </row>
    <row r="109" spans="4:13" ht="15" hidden="1">
      <c r="D109" s="1472">
        <v>5697</v>
      </c>
      <c r="E109" s="1473" t="s">
        <v>2007</v>
      </c>
      <c r="F109" s="1473" t="s">
        <v>227</v>
      </c>
      <c r="G109" s="1474">
        <v>41143</v>
      </c>
      <c r="H109" s="1475">
        <v>41128</v>
      </c>
      <c r="I109" s="1473" t="s">
        <v>1099</v>
      </c>
      <c r="J109" s="1473" t="s">
        <v>175</v>
      </c>
      <c r="K109" s="1472">
        <v>2382</v>
      </c>
      <c r="L109" s="1473" t="s">
        <v>2008</v>
      </c>
      <c r="M109" s="1473" t="s">
        <v>1814</v>
      </c>
    </row>
    <row r="110" spans="4:13" ht="30" hidden="1">
      <c r="D110" s="1472">
        <v>5707</v>
      </c>
      <c r="E110" s="1473" t="s">
        <v>2009</v>
      </c>
      <c r="F110" s="1473" t="s">
        <v>228</v>
      </c>
      <c r="G110" s="1474">
        <v>41235</v>
      </c>
      <c r="H110" s="1475">
        <v>41207</v>
      </c>
      <c r="I110" s="1473" t="s">
        <v>1099</v>
      </c>
      <c r="J110" s="1473" t="s">
        <v>175</v>
      </c>
      <c r="K110" s="1472">
        <v>2386</v>
      </c>
      <c r="L110" s="1473" t="s">
        <v>2010</v>
      </c>
      <c r="M110" s="1473" t="s">
        <v>1814</v>
      </c>
    </row>
    <row r="111" spans="4:13" ht="15" hidden="1">
      <c r="D111" s="1472">
        <v>6072</v>
      </c>
      <c r="E111" s="1473" t="s">
        <v>2011</v>
      </c>
      <c r="F111" s="1473" t="s">
        <v>2012</v>
      </c>
      <c r="G111" s="1474">
        <v>41204</v>
      </c>
      <c r="H111" s="1475">
        <v>41164</v>
      </c>
      <c r="I111" s="1473" t="s">
        <v>1099</v>
      </c>
      <c r="J111" s="1473" t="s">
        <v>175</v>
      </c>
      <c r="K111" s="1472">
        <v>2407</v>
      </c>
      <c r="L111" s="1473" t="s">
        <v>2013</v>
      </c>
      <c r="M111" s="1473" t="s">
        <v>1814</v>
      </c>
    </row>
    <row r="112" spans="4:13" ht="30" hidden="1">
      <c r="D112" s="1472">
        <v>6585</v>
      </c>
      <c r="E112" s="1473" t="s">
        <v>2014</v>
      </c>
      <c r="F112" s="1473" t="s">
        <v>230</v>
      </c>
      <c r="G112" s="1474">
        <v>41082</v>
      </c>
      <c r="H112" s="1475">
        <v>41078</v>
      </c>
      <c r="I112" s="1473" t="s">
        <v>1099</v>
      </c>
      <c r="J112" s="1473" t="s">
        <v>175</v>
      </c>
      <c r="K112" s="1472">
        <v>2444</v>
      </c>
      <c r="L112" s="1473" t="s">
        <v>2015</v>
      </c>
      <c r="M112" s="1473" t="s">
        <v>1814</v>
      </c>
    </row>
    <row r="113" spans="4:13" ht="30" hidden="1">
      <c r="D113" s="1472">
        <v>6587</v>
      </c>
      <c r="E113" s="1473" t="s">
        <v>2016</v>
      </c>
      <c r="F113" s="1473" t="s">
        <v>231</v>
      </c>
      <c r="G113" s="1474">
        <v>41021</v>
      </c>
      <c r="H113" s="482"/>
      <c r="I113" s="1473" t="s">
        <v>1099</v>
      </c>
      <c r="J113" s="1473" t="s">
        <v>175</v>
      </c>
      <c r="K113" s="1472">
        <v>2445</v>
      </c>
      <c r="L113" s="1473" t="s">
        <v>2017</v>
      </c>
      <c r="M113" s="1473" t="s">
        <v>1814</v>
      </c>
    </row>
    <row r="114" spans="4:13" ht="30" hidden="1">
      <c r="D114" s="1472">
        <v>6600</v>
      </c>
      <c r="E114" s="1473" t="s">
        <v>2018</v>
      </c>
      <c r="F114" s="1473" t="s">
        <v>232</v>
      </c>
      <c r="G114" s="1474">
        <v>41149</v>
      </c>
      <c r="H114" s="482"/>
      <c r="I114" s="1473" t="s">
        <v>1099</v>
      </c>
      <c r="J114" s="1473" t="s">
        <v>175</v>
      </c>
      <c r="K114" s="1472">
        <v>2452</v>
      </c>
      <c r="L114" s="1473" t="s">
        <v>2019</v>
      </c>
      <c r="M114" s="1473" t="s">
        <v>1814</v>
      </c>
    </row>
    <row r="115" spans="4:13" ht="60">
      <c r="D115" s="1472">
        <v>6609</v>
      </c>
      <c r="E115" s="1473" t="s">
        <v>2020</v>
      </c>
      <c r="F115" s="1473" t="s">
        <v>368</v>
      </c>
      <c r="G115" s="1474">
        <v>41411</v>
      </c>
      <c r="H115" s="482"/>
      <c r="I115" s="1473" t="s">
        <v>1099</v>
      </c>
      <c r="J115" s="1473" t="s">
        <v>1834</v>
      </c>
      <c r="K115" s="1472">
        <v>2455</v>
      </c>
      <c r="L115" s="1473" t="s">
        <v>2021</v>
      </c>
      <c r="M115" s="1473" t="s">
        <v>1326</v>
      </c>
    </row>
    <row r="116" spans="4:13" ht="45">
      <c r="D116" s="1472">
        <v>6610</v>
      </c>
      <c r="E116" s="1473" t="s">
        <v>2022</v>
      </c>
      <c r="F116" s="1473" t="s">
        <v>362</v>
      </c>
      <c r="G116" s="1474">
        <v>41243</v>
      </c>
      <c r="H116" s="482"/>
      <c r="I116" s="1473" t="s">
        <v>1099</v>
      </c>
      <c r="J116" s="1473" t="s">
        <v>1834</v>
      </c>
      <c r="K116" s="1472">
        <v>2456</v>
      </c>
      <c r="L116" s="1473" t="s">
        <v>2023</v>
      </c>
      <c r="M116" s="1473" t="s">
        <v>1326</v>
      </c>
    </row>
    <row r="117" spans="4:13" ht="30" hidden="1">
      <c r="D117" s="1472">
        <v>6611</v>
      </c>
      <c r="E117" s="1473" t="s">
        <v>2024</v>
      </c>
      <c r="F117" s="1473" t="s">
        <v>234</v>
      </c>
      <c r="G117" s="1474">
        <v>40943</v>
      </c>
      <c r="H117" s="482"/>
      <c r="I117" s="1473" t="s">
        <v>1099</v>
      </c>
      <c r="J117" s="1473" t="s">
        <v>175</v>
      </c>
      <c r="K117" s="1472">
        <v>2457</v>
      </c>
      <c r="L117" s="1473" t="s">
        <v>2025</v>
      </c>
      <c r="M117" s="1473" t="s">
        <v>1814</v>
      </c>
    </row>
    <row r="118" spans="4:13" ht="30" hidden="1">
      <c r="D118" s="1472">
        <v>6612</v>
      </c>
      <c r="E118" s="1473" t="s">
        <v>2026</v>
      </c>
      <c r="F118" s="1473" t="s">
        <v>235</v>
      </c>
      <c r="G118" s="1474">
        <v>41082</v>
      </c>
      <c r="H118" s="1475">
        <v>41078</v>
      </c>
      <c r="I118" s="1473" t="s">
        <v>1099</v>
      </c>
      <c r="J118" s="1473" t="s">
        <v>1834</v>
      </c>
      <c r="K118" s="1472">
        <v>2458</v>
      </c>
      <c r="L118" s="1473" t="s">
        <v>2027</v>
      </c>
      <c r="M118" s="1473" t="s">
        <v>1814</v>
      </c>
    </row>
    <row r="119" spans="4:13" ht="30">
      <c r="D119" s="1472">
        <v>6896</v>
      </c>
      <c r="E119" s="1473" t="s">
        <v>2028</v>
      </c>
      <c r="F119" s="1473" t="s">
        <v>361</v>
      </c>
      <c r="G119" s="1474">
        <v>41182</v>
      </c>
      <c r="H119" s="482"/>
      <c r="I119" s="1473" t="s">
        <v>1099</v>
      </c>
      <c r="J119" s="1473" t="s">
        <v>1834</v>
      </c>
      <c r="K119" s="1472">
        <v>2479</v>
      </c>
      <c r="L119" s="1473" t="s">
        <v>2029</v>
      </c>
      <c r="M119" s="1473" t="s">
        <v>1326</v>
      </c>
    </row>
    <row r="120" spans="4:13" ht="45">
      <c r="D120" s="1472">
        <v>6897</v>
      </c>
      <c r="E120" s="1473" t="s">
        <v>2030</v>
      </c>
      <c r="F120" s="1473" t="s">
        <v>2031</v>
      </c>
      <c r="G120" s="1474">
        <v>41182</v>
      </c>
      <c r="H120" s="482"/>
      <c r="I120" s="1473" t="s">
        <v>1099</v>
      </c>
      <c r="J120" s="1473" t="s">
        <v>1834</v>
      </c>
      <c r="K120" s="1472">
        <v>2480</v>
      </c>
      <c r="L120" s="1473" t="s">
        <v>2032</v>
      </c>
      <c r="M120" s="1473" t="s">
        <v>1326</v>
      </c>
    </row>
    <row r="121" spans="4:13" ht="30">
      <c r="D121" s="1472">
        <v>6898</v>
      </c>
      <c r="E121" s="1473" t="s">
        <v>2033</v>
      </c>
      <c r="F121" s="1473" t="s">
        <v>411</v>
      </c>
      <c r="G121" s="1474">
        <v>41182</v>
      </c>
      <c r="H121" s="482"/>
      <c r="I121" s="1473" t="s">
        <v>1099</v>
      </c>
      <c r="J121" s="1473" t="s">
        <v>1834</v>
      </c>
      <c r="K121" s="1472">
        <v>2481</v>
      </c>
      <c r="L121" s="1473" t="s">
        <v>2034</v>
      </c>
      <c r="M121" s="1473" t="s">
        <v>1326</v>
      </c>
    </row>
    <row r="122" spans="4:13" ht="30">
      <c r="D122" s="1472">
        <v>7016</v>
      </c>
      <c r="E122" s="1473" t="s">
        <v>2035</v>
      </c>
      <c r="F122" s="1473" t="s">
        <v>482</v>
      </c>
      <c r="G122" s="1474">
        <v>41182</v>
      </c>
      <c r="H122" s="482"/>
      <c r="I122" s="1473" t="s">
        <v>1099</v>
      </c>
      <c r="J122" s="1473" t="s">
        <v>1834</v>
      </c>
      <c r="K122" s="1472">
        <v>2496</v>
      </c>
      <c r="L122" s="1473" t="s">
        <v>2036</v>
      </c>
      <c r="M122" s="1473" t="s">
        <v>1326</v>
      </c>
    </row>
    <row r="123" spans="4:13" ht="30" hidden="1">
      <c r="D123" s="1472">
        <v>7019</v>
      </c>
      <c r="E123" s="1473" t="s">
        <v>2037</v>
      </c>
      <c r="F123" s="1473" t="s">
        <v>237</v>
      </c>
      <c r="G123" s="1474">
        <v>41214</v>
      </c>
      <c r="H123" s="1475">
        <v>41214</v>
      </c>
      <c r="I123" s="1473" t="s">
        <v>1099</v>
      </c>
      <c r="J123" s="1473" t="s">
        <v>175</v>
      </c>
      <c r="K123" s="1472">
        <v>2497</v>
      </c>
      <c r="L123" s="1473" t="s">
        <v>2038</v>
      </c>
      <c r="M123" s="1473" t="s">
        <v>1814</v>
      </c>
    </row>
    <row r="124" spans="4:13" ht="30">
      <c r="D124" s="1472">
        <v>7371</v>
      </c>
      <c r="E124" s="1473" t="s">
        <v>2039</v>
      </c>
      <c r="F124" s="1473" t="s">
        <v>238</v>
      </c>
      <c r="G124" s="1474">
        <v>41485</v>
      </c>
      <c r="H124" s="482"/>
      <c r="I124" s="1473" t="s">
        <v>1099</v>
      </c>
      <c r="J124" s="1473" t="s">
        <v>1834</v>
      </c>
      <c r="K124" s="1472">
        <v>2527</v>
      </c>
      <c r="L124" s="1473" t="s">
        <v>2040</v>
      </c>
      <c r="M124" s="1473" t="s">
        <v>1326</v>
      </c>
    </row>
  </sheetData>
  <autoFilter ref="D20:M124" xr:uid="{00000000-0009-0000-0000-000017000000}">
    <filterColumn colId="9">
      <filters>
        <filter val="P"/>
      </filters>
    </filterColumn>
  </autoFilter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Plan16">
    <tabColor theme="8" tint="-0.499984740745262"/>
  </sheetPr>
  <dimension ref="B1:G55"/>
  <sheetViews>
    <sheetView showGridLines="0" workbookViewId="0">
      <selection activeCell="D22" sqref="D22"/>
    </sheetView>
  </sheetViews>
  <sheetFormatPr defaultColWidth="9.140625" defaultRowHeight="12.75"/>
  <cols>
    <col min="1" max="1" width="1.140625" style="434" customWidth="1"/>
    <col min="2" max="2" width="47.140625" style="434" bestFit="1" customWidth="1"/>
    <col min="3" max="3" width="27" style="434" customWidth="1"/>
    <col min="4" max="4" width="34.7109375" style="434" bestFit="1" customWidth="1"/>
    <col min="5" max="5" width="15" style="434" bestFit="1" customWidth="1"/>
    <col min="6" max="6" width="43.28515625" style="434" bestFit="1" customWidth="1"/>
    <col min="7" max="7" width="15.140625" style="434" bestFit="1" customWidth="1"/>
    <col min="8" max="16384" width="9.140625" style="434"/>
  </cols>
  <sheetData>
    <row r="1" spans="2:7">
      <c r="C1" s="435"/>
      <c r="D1" s="436"/>
    </row>
    <row r="3" spans="2:7">
      <c r="B3" s="437" t="s">
        <v>2041</v>
      </c>
      <c r="G3" s="435" t="s">
        <v>2042</v>
      </c>
    </row>
    <row r="4" spans="2:7">
      <c r="B4" s="446" t="s">
        <v>2043</v>
      </c>
      <c r="C4" s="446" t="s">
        <v>2044</v>
      </c>
      <c r="D4" s="446" t="s">
        <v>990</v>
      </c>
      <c r="E4" s="435"/>
      <c r="F4" s="1476" t="s">
        <v>2045</v>
      </c>
      <c r="G4" s="1477" t="e">
        <f>(C10*G7)/G5</f>
        <v>#REF!</v>
      </c>
    </row>
    <row r="5" spans="2:7">
      <c r="B5" s="1478" t="s">
        <v>2046</v>
      </c>
      <c r="C5" s="1479"/>
      <c r="D5" s="1480"/>
      <c r="F5" s="1476" t="s">
        <v>2047</v>
      </c>
      <c r="G5" s="1481" t="e">
        <f>(((1+C7)^G6)*C7)/(((1+C7)^G6)-1)</f>
        <v>#REF!</v>
      </c>
    </row>
    <row r="6" spans="2:7">
      <c r="B6" s="1478" t="s">
        <v>2048</v>
      </c>
      <c r="C6" s="1479"/>
      <c r="D6" s="1480"/>
      <c r="F6" s="1476" t="s">
        <v>2049</v>
      </c>
      <c r="G6" s="1482" t="e">
        <f>G7/(C8*C9)</f>
        <v>#REF!</v>
      </c>
    </row>
    <row r="7" spans="2:7">
      <c r="B7" s="1478" t="s">
        <v>2050</v>
      </c>
      <c r="C7" s="1483">
        <f>'BD-NET'!Q189</f>
        <v>3.7699999999999997E-2</v>
      </c>
      <c r="D7" s="1480"/>
      <c r="F7" s="1476" t="s">
        <v>2051</v>
      </c>
      <c r="G7" s="1484">
        <f>12*(20000*C6+10000*C5)</f>
        <v>0</v>
      </c>
    </row>
    <row r="8" spans="2:7">
      <c r="B8" s="1478" t="s">
        <v>2052</v>
      </c>
      <c r="C8" s="1485" t="e">
        <f>C24</f>
        <v>#REF!</v>
      </c>
      <c r="D8" s="1486" t="s">
        <v>2053</v>
      </c>
    </row>
    <row r="9" spans="2:7">
      <c r="B9" s="1478" t="s">
        <v>2054</v>
      </c>
      <c r="C9" s="1487"/>
      <c r="D9" s="1480"/>
    </row>
    <row r="10" spans="2:7">
      <c r="B10" s="1478" t="s">
        <v>2055</v>
      </c>
      <c r="C10" s="1488" t="e">
        <f>F14</f>
        <v>#REF!</v>
      </c>
      <c r="D10" s="1480"/>
    </row>
    <row r="12" spans="2:7">
      <c r="B12" s="446" t="s">
        <v>2056</v>
      </c>
      <c r="C12" s="446" t="s">
        <v>854</v>
      </c>
      <c r="D12" s="446" t="s">
        <v>2057</v>
      </c>
      <c r="E12" s="446" t="s">
        <v>2058</v>
      </c>
      <c r="F12" s="446" t="s">
        <v>2059</v>
      </c>
    </row>
    <row r="13" spans="2:7" ht="13.5" thickBot="1">
      <c r="B13" s="1478" t="s">
        <v>2060</v>
      </c>
      <c r="C13" s="1489" t="e">
        <f>C38</f>
        <v>#REF!</v>
      </c>
      <c r="D13" s="1478"/>
      <c r="E13" s="1478"/>
      <c r="F13" s="1490"/>
    </row>
    <row r="14" spans="2:7" ht="13.5" thickBot="1">
      <c r="B14" s="1478" t="s">
        <v>2061</v>
      </c>
      <c r="C14" s="1489" t="e">
        <f>(C32+E55)*($C$38/$C$35)</f>
        <v>#REF!</v>
      </c>
      <c r="D14" s="1491" t="e">
        <f>$C$17*(C14/($C$14+$C$15+$C$16))</f>
        <v>#REF!</v>
      </c>
      <c r="E14" s="1492" t="e">
        <f>C14-D14</f>
        <v>#REF!</v>
      </c>
      <c r="F14" s="469" t="e">
        <f>E14/$C$13</f>
        <v>#REF!</v>
      </c>
      <c r="G14" s="470" t="s">
        <v>2062</v>
      </c>
    </row>
    <row r="15" spans="2:7">
      <c r="B15" s="1478" t="s">
        <v>2063</v>
      </c>
      <c r="C15" s="1489" t="e">
        <f>C27*($C$38/$C$35)</f>
        <v>#REF!</v>
      </c>
      <c r="D15" s="1491" t="e">
        <f>$C$17*(C15/($C$14+$C$15+$C$16))</f>
        <v>#REF!</v>
      </c>
      <c r="E15" s="1491" t="e">
        <f>C15-D15</f>
        <v>#REF!</v>
      </c>
      <c r="F15" s="1678" t="e">
        <f>E15/$C$13</f>
        <v>#REF!</v>
      </c>
    </row>
    <row r="16" spans="2:7">
      <c r="B16" s="1478" t="s">
        <v>2064</v>
      </c>
      <c r="C16" s="1489" t="e">
        <f>(C33+D54)*($C$38/$C$35)</f>
        <v>#REF!</v>
      </c>
      <c r="D16" s="1491" t="e">
        <f>$C$17*(C16/($C$14+$C$15+$C$16))</f>
        <v>#REF!</v>
      </c>
      <c r="E16" s="1491" t="e">
        <f>C16-D16</f>
        <v>#REF!</v>
      </c>
      <c r="F16" s="1493" t="e">
        <f>E16/$C$13</f>
        <v>#REF!</v>
      </c>
    </row>
    <row r="17" spans="2:6">
      <c r="B17" s="1478" t="s">
        <v>2065</v>
      </c>
      <c r="C17" s="1489" t="e">
        <f>C39</f>
        <v>#REF!</v>
      </c>
      <c r="D17" s="1478"/>
      <c r="E17" s="1478"/>
      <c r="F17" s="1494" t="e">
        <f>C17/C13</f>
        <v>#REF!</v>
      </c>
    </row>
    <row r="18" spans="2:6">
      <c r="D18" s="451" t="e">
        <f>SUM(D14:D17)</f>
        <v>#REF!</v>
      </c>
      <c r="F18" s="1495" t="e">
        <f>SUM(F14:F17)</f>
        <v>#REF!</v>
      </c>
    </row>
    <row r="19" spans="2:6">
      <c r="B19" s="442" t="s">
        <v>2066</v>
      </c>
    </row>
    <row r="20" spans="2:6">
      <c r="B20" s="442"/>
    </row>
    <row r="21" spans="2:6">
      <c r="B21" s="1496" t="s">
        <v>2067</v>
      </c>
      <c r="C21" s="1497" t="e">
        <f>LnkTxtPBCAOMCAA</f>
        <v>#NAME?</v>
      </c>
    </row>
    <row r="22" spans="2:6">
      <c r="B22" s="443" t="s">
        <v>2068</v>
      </c>
      <c r="C22" s="444">
        <v>1.15E-2</v>
      </c>
    </row>
    <row r="23" spans="2:6">
      <c r="B23" s="443" t="s">
        <v>2069</v>
      </c>
      <c r="C23" s="444">
        <v>0</v>
      </c>
    </row>
    <row r="24" spans="2:6">
      <c r="B24" s="1496" t="s">
        <v>2070</v>
      </c>
      <c r="C24" s="1497" t="e">
        <f>#REF!+#REF!</f>
        <v>#REF!</v>
      </c>
    </row>
    <row r="27" spans="2:6">
      <c r="B27" s="1496" t="s">
        <v>2071</v>
      </c>
      <c r="C27" s="1497" t="e">
        <f>#REF!</f>
        <v>#REF!</v>
      </c>
    </row>
    <row r="28" spans="2:6">
      <c r="B28" s="443" t="s">
        <v>2072</v>
      </c>
      <c r="C28" s="449" t="e">
        <f>#REF!</f>
        <v>#REF!</v>
      </c>
    </row>
    <row r="29" spans="2:6">
      <c r="B29" s="443" t="s">
        <v>2073</v>
      </c>
      <c r="C29" s="449"/>
    </row>
    <row r="30" spans="2:6">
      <c r="B30" s="443" t="s">
        <v>2074</v>
      </c>
      <c r="C30" s="449" t="e">
        <f>#REF!</f>
        <v>#REF!</v>
      </c>
    </row>
    <row r="31" spans="2:6">
      <c r="B31" s="1496" t="s">
        <v>2075</v>
      </c>
      <c r="C31" s="1497" t="e">
        <f>#REF!</f>
        <v>#REF!</v>
      </c>
    </row>
    <row r="32" spans="2:6">
      <c r="B32" s="443" t="s">
        <v>2076</v>
      </c>
      <c r="C32" s="449" t="e">
        <f>#REF!</f>
        <v>#REF!</v>
      </c>
    </row>
    <row r="33" spans="2:4">
      <c r="B33" s="443" t="s">
        <v>2077</v>
      </c>
      <c r="C33" s="449" t="e">
        <f>#REF!</f>
        <v>#REF!</v>
      </c>
    </row>
    <row r="34" spans="2:4">
      <c r="B34" s="443" t="s">
        <v>2078</v>
      </c>
      <c r="C34" s="449" t="e">
        <f>#REF!</f>
        <v>#REF!</v>
      </c>
    </row>
    <row r="35" spans="2:4">
      <c r="B35" s="1496" t="s">
        <v>2067</v>
      </c>
      <c r="C35" s="1497" t="e">
        <f>C21</f>
        <v>#NAME?</v>
      </c>
    </row>
    <row r="36" spans="2:4">
      <c r="B36" s="443" t="s">
        <v>2068</v>
      </c>
      <c r="C36" s="444">
        <f>C22</f>
        <v>1.15E-2</v>
      </c>
    </row>
    <row r="37" spans="2:4">
      <c r="B37" s="443" t="s">
        <v>2069</v>
      </c>
      <c r="C37" s="444">
        <f>C23</f>
        <v>0</v>
      </c>
    </row>
    <row r="38" spans="2:4">
      <c r="B38" s="1496" t="s">
        <v>2070</v>
      </c>
      <c r="C38" s="1497" t="e">
        <f>C24</f>
        <v>#REF!</v>
      </c>
    </row>
    <row r="39" spans="2:4">
      <c r="B39" s="443" t="s">
        <v>2079</v>
      </c>
      <c r="C39" s="449" t="e">
        <f>#REF!</f>
        <v>#REF!</v>
      </c>
    </row>
    <row r="40" spans="2:4">
      <c r="B40" s="1679" t="s">
        <v>2080</v>
      </c>
      <c r="C40" s="1680" t="e">
        <f>#REF!</f>
        <v>#REF!</v>
      </c>
    </row>
    <row r="42" spans="2:4" ht="15" customHeight="1"/>
    <row r="43" spans="2:4">
      <c r="B43" s="442"/>
    </row>
    <row r="45" spans="2:4">
      <c r="B45" s="460"/>
      <c r="C45" s="460"/>
      <c r="D45" s="463"/>
    </row>
    <row r="46" spans="2:4">
      <c r="B46" s="461"/>
      <c r="C46" s="461"/>
    </row>
    <row r="47" spans="2:4">
      <c r="B47" s="65"/>
      <c r="C47" s="462"/>
      <c r="D47" s="464"/>
    </row>
    <row r="48" spans="2:4">
      <c r="B48" s="65"/>
      <c r="C48" s="462"/>
      <c r="D48" s="464"/>
    </row>
    <row r="49" spans="2:6">
      <c r="B49" s="65"/>
      <c r="C49" s="462"/>
      <c r="D49" s="464"/>
    </row>
    <row r="50" spans="2:6">
      <c r="B50" s="65"/>
      <c r="C50" s="462"/>
      <c r="D50" s="453"/>
    </row>
    <row r="51" spans="2:6">
      <c r="B51" s="65"/>
      <c r="C51" s="462"/>
      <c r="D51" s="465"/>
      <c r="E51" s="453"/>
    </row>
    <row r="52" spans="2:6">
      <c r="B52" s="65"/>
      <c r="C52" s="462"/>
      <c r="D52" s="465"/>
      <c r="E52" s="454"/>
      <c r="F52" s="455"/>
    </row>
    <row r="53" spans="2:6">
      <c r="B53" s="65"/>
      <c r="C53" s="462"/>
      <c r="D53" s="465"/>
      <c r="E53" s="454"/>
      <c r="F53" s="452"/>
    </row>
    <row r="54" spans="2:6">
      <c r="B54" s="466"/>
      <c r="C54" s="467"/>
      <c r="D54" s="468"/>
      <c r="E54" s="454"/>
      <c r="F54" s="452"/>
    </row>
    <row r="55" spans="2:6">
      <c r="E55" s="456"/>
      <c r="F55" s="457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Plan22">
    <tabColor theme="7" tint="-0.499984740745262"/>
  </sheetPr>
  <dimension ref="B1:Q28"/>
  <sheetViews>
    <sheetView showGridLines="0" workbookViewId="0">
      <selection activeCell="E15" sqref="E15"/>
    </sheetView>
  </sheetViews>
  <sheetFormatPr defaultColWidth="9.140625" defaultRowHeight="12.75"/>
  <cols>
    <col min="1" max="1" width="1.140625" style="434" customWidth="1"/>
    <col min="2" max="2" width="33.28515625" style="434" customWidth="1"/>
    <col min="3" max="3" width="21" style="434" customWidth="1"/>
    <col min="4" max="4" width="31.7109375" style="434" bestFit="1" customWidth="1"/>
    <col min="5" max="5" width="48.140625" style="434" customWidth="1"/>
    <col min="6" max="6" width="45.5703125" style="434" customWidth="1"/>
    <col min="7" max="7" width="7.7109375" style="434" customWidth="1"/>
    <col min="8" max="8" width="30.42578125" style="434" bestFit="1" customWidth="1"/>
    <col min="9" max="10" width="9.140625" style="434"/>
    <col min="11" max="11" width="11.140625" style="434" customWidth="1"/>
    <col min="12" max="16384" width="9.140625" style="434"/>
  </cols>
  <sheetData>
    <row r="1" spans="2:17">
      <c r="C1" s="435"/>
      <c r="D1" s="436"/>
    </row>
    <row r="2" spans="2:17">
      <c r="B2" s="437" t="s">
        <v>2081</v>
      </c>
      <c r="C2" s="438"/>
      <c r="H2" s="439" t="s">
        <v>2082</v>
      </c>
    </row>
    <row r="3" spans="2:17">
      <c r="B3" s="1498" t="s">
        <v>2043</v>
      </c>
      <c r="C3" s="1498" t="s">
        <v>2044</v>
      </c>
      <c r="D3" s="1499" t="s">
        <v>990</v>
      </c>
      <c r="E3" s="1499" t="s">
        <v>2083</v>
      </c>
      <c r="F3" s="1499" t="s">
        <v>2084</v>
      </c>
      <c r="H3" s="439" t="s">
        <v>2085</v>
      </c>
      <c r="M3" s="434" t="s">
        <v>2086</v>
      </c>
      <c r="O3" s="434" t="s">
        <v>2086</v>
      </c>
      <c r="P3" s="434" t="s">
        <v>2086</v>
      </c>
    </row>
    <row r="4" spans="2:17">
      <c r="B4" s="1500" t="s">
        <v>2087</v>
      </c>
      <c r="C4" s="1501" t="e">
        <f>12*C5*(1-$E$13)*1/$E$16</f>
        <v>#DIV/0!</v>
      </c>
      <c r="D4" s="1480" t="s">
        <v>2088</v>
      </c>
      <c r="E4" s="1480"/>
      <c r="F4" s="1480"/>
      <c r="H4" s="1498" t="s">
        <v>2089</v>
      </c>
      <c r="I4" s="1498" t="s">
        <v>1220</v>
      </c>
      <c r="J4" s="1498" t="s">
        <v>2090</v>
      </c>
      <c r="K4" s="1498" t="s">
        <v>2091</v>
      </c>
      <c r="L4" s="1498" t="s">
        <v>1221</v>
      </c>
      <c r="M4" s="1498" t="s">
        <v>1031</v>
      </c>
      <c r="N4" s="1498" t="s">
        <v>648</v>
      </c>
      <c r="O4" s="1498" t="s">
        <v>652</v>
      </c>
      <c r="P4" s="1498" t="s">
        <v>650</v>
      </c>
      <c r="Q4" s="1498" t="s">
        <v>653</v>
      </c>
    </row>
    <row r="5" spans="2:17">
      <c r="B5" s="1500" t="s">
        <v>2048</v>
      </c>
      <c r="C5" s="1502"/>
      <c r="D5" s="1480"/>
      <c r="E5" s="1480"/>
      <c r="F5" s="1480" t="s">
        <v>2092</v>
      </c>
      <c r="H5" s="1500" t="s">
        <v>2087</v>
      </c>
      <c r="I5" s="1501" t="e">
        <f t="shared" ref="I5:Q5" si="0">12*I6*(1-$E$13)*1/$E$16</f>
        <v>#DIV/0!</v>
      </c>
      <c r="J5" s="1501" t="e">
        <f t="shared" si="0"/>
        <v>#DIV/0!</v>
      </c>
      <c r="K5" s="1501" t="e">
        <f t="shared" si="0"/>
        <v>#DIV/0!</v>
      </c>
      <c r="L5" s="1501" t="e">
        <f t="shared" si="0"/>
        <v>#DIV/0!</v>
      </c>
      <c r="M5" s="1501" t="e">
        <f t="shared" si="0"/>
        <v>#DIV/0!</v>
      </c>
      <c r="N5" s="1501" t="e">
        <f t="shared" si="0"/>
        <v>#DIV/0!</v>
      </c>
      <c r="O5" s="1501" t="e">
        <f t="shared" si="0"/>
        <v>#DIV/0!</v>
      </c>
      <c r="P5" s="1501" t="e">
        <f t="shared" si="0"/>
        <v>#DIV/0!</v>
      </c>
      <c r="Q5" s="1501" t="e">
        <f t="shared" si="0"/>
        <v>#DIV/0!</v>
      </c>
    </row>
    <row r="6" spans="2:17">
      <c r="B6" s="1500" t="s">
        <v>2093</v>
      </c>
      <c r="C6" s="1503"/>
      <c r="D6" s="1480" t="s">
        <v>2094</v>
      </c>
      <c r="E6" s="1480"/>
      <c r="F6" s="1504"/>
      <c r="H6" s="1500" t="s">
        <v>2048</v>
      </c>
      <c r="I6" s="1505"/>
      <c r="J6" s="1505"/>
      <c r="K6" s="1505"/>
      <c r="L6" s="1505"/>
      <c r="M6" s="1479"/>
      <c r="N6" s="1506"/>
      <c r="O6" s="1479"/>
      <c r="P6" s="1479"/>
      <c r="Q6" s="1479"/>
    </row>
    <row r="7" spans="2:17">
      <c r="B7" s="1500" t="s">
        <v>2095</v>
      </c>
      <c r="C7" s="1503"/>
      <c r="D7" s="1480" t="s">
        <v>2096</v>
      </c>
      <c r="E7" s="1480"/>
      <c r="F7" s="1504"/>
      <c r="H7" s="1500" t="s">
        <v>2093</v>
      </c>
      <c r="I7" s="1807">
        <f>C6</f>
        <v>0</v>
      </c>
      <c r="J7" s="1808"/>
      <c r="K7" s="1808"/>
      <c r="L7" s="1808"/>
      <c r="M7" s="1808"/>
      <c r="N7" s="1808"/>
      <c r="O7" s="1808"/>
      <c r="P7" s="1808"/>
      <c r="Q7" s="1809"/>
    </row>
    <row r="8" spans="2:17">
      <c r="B8" s="1500" t="s">
        <v>2097</v>
      </c>
      <c r="C8" s="1507"/>
      <c r="D8" s="1480" t="s">
        <v>2098</v>
      </c>
      <c r="E8" s="1480" t="s">
        <v>2099</v>
      </c>
      <c r="F8" s="1508"/>
      <c r="G8" s="440"/>
      <c r="H8" s="1500" t="s">
        <v>2097</v>
      </c>
      <c r="I8" s="1810">
        <f>C8</f>
        <v>0</v>
      </c>
      <c r="J8" s="1811"/>
      <c r="K8" s="1811"/>
      <c r="L8" s="1811"/>
      <c r="M8" s="1811"/>
      <c r="N8" s="1811"/>
      <c r="O8" s="1811"/>
      <c r="P8" s="1811"/>
      <c r="Q8" s="1812"/>
    </row>
    <row r="9" spans="2:17">
      <c r="B9" s="1500" t="s">
        <v>2100</v>
      </c>
      <c r="C9" s="1503"/>
      <c r="D9" s="1480" t="s">
        <v>2101</v>
      </c>
      <c r="E9" s="1480"/>
      <c r="F9" s="1508"/>
      <c r="H9" s="1500" t="s">
        <v>2100</v>
      </c>
      <c r="I9" s="1807">
        <f>C9</f>
        <v>0</v>
      </c>
      <c r="J9" s="1808"/>
      <c r="K9" s="1808"/>
      <c r="L9" s="1808"/>
      <c r="M9" s="1808"/>
      <c r="N9" s="1808"/>
      <c r="O9" s="1808"/>
      <c r="P9" s="1808"/>
      <c r="Q9" s="1809"/>
    </row>
    <row r="10" spans="2:17">
      <c r="B10" s="1500" t="s">
        <v>2102</v>
      </c>
      <c r="C10" s="1507"/>
      <c r="D10" s="1480" t="s">
        <v>2103</v>
      </c>
      <c r="E10" s="1480" t="s">
        <v>2104</v>
      </c>
      <c r="F10" s="1508"/>
      <c r="G10" s="440"/>
      <c r="H10" s="1500" t="s">
        <v>2102</v>
      </c>
      <c r="I10" s="1813">
        <f>C10</f>
        <v>0</v>
      </c>
      <c r="J10" s="1814"/>
      <c r="K10" s="1814"/>
      <c r="L10" s="1814"/>
      <c r="M10" s="1814"/>
      <c r="N10" s="1814"/>
      <c r="O10" s="1814"/>
      <c r="P10" s="1814"/>
      <c r="Q10" s="1815"/>
    </row>
    <row r="12" spans="2:17">
      <c r="D12" s="437" t="s">
        <v>2105</v>
      </c>
    </row>
    <row r="13" spans="2:17">
      <c r="D13" s="1476" t="s">
        <v>2106</v>
      </c>
      <c r="E13" s="1509" t="e">
        <f>C10/C8</f>
        <v>#DIV/0!</v>
      </c>
      <c r="H13" s="439" t="s">
        <v>2107</v>
      </c>
      <c r="M13" s="441">
        <v>4.2321999999999997</v>
      </c>
    </row>
    <row r="14" spans="2:17">
      <c r="D14" s="1476" t="s">
        <v>2108</v>
      </c>
      <c r="E14" s="1510" t="e">
        <f>1/C9</f>
        <v>#DIV/0!</v>
      </c>
      <c r="H14" s="439" t="s">
        <v>2109</v>
      </c>
      <c r="M14" s="434">
        <v>1.01916916988504</v>
      </c>
    </row>
    <row r="15" spans="2:17">
      <c r="D15" s="1476" t="s">
        <v>2110</v>
      </c>
      <c r="E15" s="1511">
        <f>ROUND(C6/(1-C7),4)</f>
        <v>0</v>
      </c>
      <c r="H15" s="439" t="s">
        <v>2111</v>
      </c>
      <c r="M15" s="434">
        <f>M13*M14</f>
        <v>4.313327760787466</v>
      </c>
    </row>
    <row r="16" spans="2:17">
      <c r="D16" s="1476" t="s">
        <v>2047</v>
      </c>
      <c r="E16" s="1512" t="e">
        <f>(((1+E15)^E14)*E15)/((1+E15)^E14-1)</f>
        <v>#DIV/0!</v>
      </c>
      <c r="H16" s="439" t="s">
        <v>2112</v>
      </c>
      <c r="M16" s="434">
        <v>0.3</v>
      </c>
    </row>
    <row r="17" spans="2:13">
      <c r="H17" s="439" t="s">
        <v>2113</v>
      </c>
      <c r="M17" s="434">
        <v>0.4</v>
      </c>
    </row>
    <row r="18" spans="2:13">
      <c r="H18" s="439" t="s">
        <v>2114</v>
      </c>
      <c r="M18" s="434">
        <v>0</v>
      </c>
    </row>
    <row r="20" spans="2:13">
      <c r="B20" s="1496" t="s">
        <v>2067</v>
      </c>
      <c r="C20" s="1497" t="e">
        <f>'REN 473'!C21</f>
        <v>#NAME?</v>
      </c>
      <c r="E20" s="442" t="s">
        <v>2115</v>
      </c>
      <c r="F20" s="442"/>
    </row>
    <row r="21" spans="2:13">
      <c r="B21" s="443" t="s">
        <v>2068</v>
      </c>
      <c r="C21" s="444">
        <f>'REN 473'!C22</f>
        <v>1.15E-2</v>
      </c>
      <c r="E21" s="445" t="s">
        <v>905</v>
      </c>
      <c r="F21" s="446" t="s">
        <v>36</v>
      </c>
    </row>
    <row r="22" spans="2:13">
      <c r="B22" s="443" t="s">
        <v>2069</v>
      </c>
      <c r="C22" s="444">
        <f>'REN 473'!C23</f>
        <v>0</v>
      </c>
      <c r="E22" s="447" t="s">
        <v>2116</v>
      </c>
      <c r="F22" s="448"/>
    </row>
    <row r="23" spans="2:13">
      <c r="B23" s="1496" t="s">
        <v>2070</v>
      </c>
      <c r="C23" s="1497" t="e">
        <f>'REN 473'!C24</f>
        <v>#REF!</v>
      </c>
      <c r="E23" s="447" t="s">
        <v>2117</v>
      </c>
      <c r="F23" s="448"/>
    </row>
    <row r="24" spans="2:13">
      <c r="E24" s="447" t="s">
        <v>2118</v>
      </c>
      <c r="F24" s="448"/>
    </row>
    <row r="25" spans="2:13">
      <c r="B25" s="1496" t="s">
        <v>2071</v>
      </c>
      <c r="C25" s="1513"/>
      <c r="E25" s="447" t="s">
        <v>2119</v>
      </c>
      <c r="F25" s="448"/>
    </row>
    <row r="26" spans="2:13">
      <c r="B26" s="443" t="s">
        <v>2072</v>
      </c>
      <c r="C26" s="471"/>
      <c r="E26" s="1514" t="s">
        <v>2120</v>
      </c>
      <c r="F26" s="1515"/>
    </row>
    <row r="27" spans="2:13">
      <c r="B27" s="443" t="s">
        <v>2073</v>
      </c>
      <c r="C27" s="471"/>
      <c r="E27" s="447" t="s">
        <v>2121</v>
      </c>
      <c r="F27" s="450"/>
    </row>
    <row r="28" spans="2:13">
      <c r="B28" s="1679" t="s">
        <v>2074</v>
      </c>
      <c r="C28" s="1681"/>
      <c r="E28" s="1514" t="s">
        <v>2122</v>
      </c>
      <c r="F28" s="1515"/>
    </row>
  </sheetData>
  <mergeCells count="4">
    <mergeCell ref="I7:Q7"/>
    <mergeCell ref="I8:Q8"/>
    <mergeCell ref="I9:Q9"/>
    <mergeCell ref="I10:Q10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Plan4">
    <tabColor theme="1"/>
  </sheetPr>
  <dimension ref="B2:C2000"/>
  <sheetViews>
    <sheetView workbookViewId="0">
      <selection activeCell="C191" sqref="C191"/>
    </sheetView>
  </sheetViews>
  <sheetFormatPr defaultRowHeight="15.75"/>
  <cols>
    <col min="2" max="2" width="54" bestFit="1" customWidth="1"/>
    <col min="3" max="3" width="50" bestFit="1" customWidth="1"/>
  </cols>
  <sheetData>
    <row r="2" spans="2:3">
      <c r="B2" s="9" t="s">
        <v>2123</v>
      </c>
      <c r="C2" s="9" t="s">
        <v>36</v>
      </c>
    </row>
    <row r="3" spans="2:3">
      <c r="B3" s="64" t="s">
        <v>2124</v>
      </c>
      <c r="C3" t="e">
        <f t="shared" ref="C3:C66" ca="1" si="0">INDIRECT(B3)</f>
        <v>#REF!</v>
      </c>
    </row>
    <row r="4" spans="2:3">
      <c r="B4" s="64" t="s">
        <v>2125</v>
      </c>
      <c r="C4" t="e">
        <f t="shared" ca="1" si="0"/>
        <v>#REF!</v>
      </c>
    </row>
    <row r="5" spans="2:3">
      <c r="B5" s="64" t="s">
        <v>2126</v>
      </c>
      <c r="C5" t="e">
        <f t="shared" ca="1" si="0"/>
        <v>#REF!</v>
      </c>
    </row>
    <row r="6" spans="2:3">
      <c r="B6" s="64" t="s">
        <v>2127</v>
      </c>
      <c r="C6" t="e">
        <f t="shared" ca="1" si="0"/>
        <v>#REF!</v>
      </c>
    </row>
    <row r="7" spans="2:3">
      <c r="B7" s="64" t="s">
        <v>2128</v>
      </c>
      <c r="C7" t="e">
        <f t="shared" ca="1" si="0"/>
        <v>#REF!</v>
      </c>
    </row>
    <row r="8" spans="2:3">
      <c r="B8" s="64" t="s">
        <v>2129</v>
      </c>
      <c r="C8" t="e">
        <f t="shared" ca="1" si="0"/>
        <v>#REF!</v>
      </c>
    </row>
    <row r="9" spans="2:3">
      <c r="B9" s="64" t="s">
        <v>2130</v>
      </c>
      <c r="C9" t="e">
        <f t="shared" ca="1" si="0"/>
        <v>#REF!</v>
      </c>
    </row>
    <row r="10" spans="2:3">
      <c r="B10" s="64" t="s">
        <v>2131</v>
      </c>
      <c r="C10" t="e">
        <f t="shared" ca="1" si="0"/>
        <v>#REF!</v>
      </c>
    </row>
    <row r="11" spans="2:3">
      <c r="B11" s="64" t="s">
        <v>2132</v>
      </c>
      <c r="C11" t="e">
        <f t="shared" ca="1" si="0"/>
        <v>#REF!</v>
      </c>
    </row>
    <row r="12" spans="2:3">
      <c r="B12" s="63" t="s">
        <v>2133</v>
      </c>
      <c r="C12" t="e">
        <f t="shared" ca="1" si="0"/>
        <v>#REF!</v>
      </c>
    </row>
    <row r="13" spans="2:3">
      <c r="B13" s="63" t="s">
        <v>2134</v>
      </c>
      <c r="C13" t="e">
        <f t="shared" ca="1" si="0"/>
        <v>#REF!</v>
      </c>
    </row>
    <row r="14" spans="2:3">
      <c r="B14" s="63" t="s">
        <v>2135</v>
      </c>
      <c r="C14">
        <f t="shared" ca="1" si="0"/>
        <v>2022</v>
      </c>
    </row>
    <row r="15" spans="2:3">
      <c r="B15" s="63" t="s">
        <v>2136</v>
      </c>
      <c r="C15">
        <f t="shared" ca="1" si="0"/>
        <v>2022</v>
      </c>
    </row>
    <row r="16" spans="2:3">
      <c r="B16" s="63" t="s">
        <v>2137</v>
      </c>
      <c r="C16">
        <f t="shared" ca="1" si="0"/>
        <v>44772</v>
      </c>
    </row>
    <row r="17" spans="2:3">
      <c r="B17" s="63" t="s">
        <v>2138</v>
      </c>
      <c r="C17">
        <f t="shared" ca="1" si="0"/>
        <v>16377.068000000003</v>
      </c>
    </row>
    <row r="18" spans="2:3">
      <c r="B18" s="63" t="s">
        <v>2139</v>
      </c>
      <c r="C18">
        <f t="shared" ca="1" si="0"/>
        <v>0</v>
      </c>
    </row>
    <row r="19" spans="2:3">
      <c r="B19" s="63" t="s">
        <v>2140</v>
      </c>
      <c r="C19">
        <f t="shared" ca="1" si="0"/>
        <v>15071.873000000003</v>
      </c>
    </row>
    <row r="20" spans="2:3">
      <c r="B20" s="63" t="s">
        <v>2141</v>
      </c>
      <c r="C20" t="e">
        <f t="shared" ca="1" si="0"/>
        <v>#VALUE!</v>
      </c>
    </row>
    <row r="21" spans="2:3">
      <c r="B21" s="63" t="s">
        <v>2142</v>
      </c>
      <c r="C21">
        <f t="shared" ca="1" si="0"/>
        <v>5382</v>
      </c>
    </row>
    <row r="22" spans="2:3">
      <c r="B22" s="63" t="s">
        <v>1206</v>
      </c>
      <c r="C22">
        <f t="shared" ca="1" si="0"/>
        <v>207</v>
      </c>
    </row>
    <row r="23" spans="2:3">
      <c r="B23" s="63" t="s">
        <v>2143</v>
      </c>
      <c r="C23">
        <f t="shared" ca="1" si="0"/>
        <v>0.18478264492249999</v>
      </c>
    </row>
    <row r="24" spans="2:3">
      <c r="B24" s="63" t="s">
        <v>2144</v>
      </c>
      <c r="C24" t="e">
        <f t="shared" ca="1" si="0"/>
        <v>#REF!</v>
      </c>
    </row>
    <row r="25" spans="2:3">
      <c r="B25" s="63" t="s">
        <v>2145</v>
      </c>
      <c r="C25">
        <f t="shared" ca="1" si="0"/>
        <v>0</v>
      </c>
    </row>
    <row r="26" spans="2:3">
      <c r="B26" s="63" t="s">
        <v>2146</v>
      </c>
      <c r="C26">
        <f t="shared" ca="1" si="0"/>
        <v>0</v>
      </c>
    </row>
    <row r="27" spans="2:3">
      <c r="B27" s="63" t="s">
        <v>2147</v>
      </c>
      <c r="C27" t="e">
        <f t="shared" ca="1" si="0"/>
        <v>#REF!</v>
      </c>
    </row>
    <row r="28" spans="2:3">
      <c r="B28" s="63" t="s">
        <v>2148</v>
      </c>
      <c r="C28" t="e">
        <f t="shared" ca="1" si="0"/>
        <v>#REF!</v>
      </c>
    </row>
    <row r="29" spans="2:3">
      <c r="B29" s="63" t="s">
        <v>2149</v>
      </c>
      <c r="C29">
        <f t="shared" ca="1" si="0"/>
        <v>0</v>
      </c>
    </row>
    <row r="30" spans="2:3">
      <c r="B30" s="63" t="s">
        <v>2150</v>
      </c>
      <c r="C30">
        <f t="shared" ca="1" si="0"/>
        <v>6494</v>
      </c>
    </row>
    <row r="31" spans="2:3">
      <c r="B31" s="63" t="s">
        <v>2151</v>
      </c>
      <c r="C31">
        <f t="shared" ca="1" si="0"/>
        <v>44772</v>
      </c>
    </row>
    <row r="32" spans="2:3">
      <c r="B32" s="63" t="s">
        <v>2152</v>
      </c>
      <c r="C32" t="e">
        <f t="shared" ca="1" si="0"/>
        <v>#REF!</v>
      </c>
    </row>
    <row r="33" spans="2:3">
      <c r="B33" s="63" t="s">
        <v>2153</v>
      </c>
      <c r="C33">
        <f t="shared" ca="1" si="0"/>
        <v>0.23001014276677748</v>
      </c>
    </row>
    <row r="34" spans="2:3">
      <c r="B34" s="63" t="s">
        <v>2154</v>
      </c>
      <c r="C34" t="e">
        <f t="shared" ca="1" si="0"/>
        <v>#REF!</v>
      </c>
    </row>
    <row r="35" spans="2:3">
      <c r="B35" s="63" t="s">
        <v>2155</v>
      </c>
      <c r="C35">
        <f t="shared" ca="1" si="0"/>
        <v>-154215.46</v>
      </c>
    </row>
    <row r="36" spans="2:3">
      <c r="B36" s="63" t="s">
        <v>2156</v>
      </c>
      <c r="C36" t="e">
        <f t="shared" ca="1" si="0"/>
        <v>#REF!</v>
      </c>
    </row>
    <row r="37" spans="2:3">
      <c r="B37" s="63" t="s">
        <v>2157</v>
      </c>
      <c r="C37" t="e">
        <f t="shared" ca="1" si="0"/>
        <v>#REF!</v>
      </c>
    </row>
    <row r="38" spans="2:3">
      <c r="B38" s="64" t="s">
        <v>2158</v>
      </c>
      <c r="C38" t="e">
        <f t="shared" ca="1" si="0"/>
        <v>#REF!</v>
      </c>
    </row>
    <row r="39" spans="2:3">
      <c r="B39" s="63" t="s">
        <v>2159</v>
      </c>
      <c r="C39" t="e">
        <f t="shared" ca="1" si="0"/>
        <v>#REF!</v>
      </c>
    </row>
    <row r="40" spans="2:3">
      <c r="B40" s="63" t="s">
        <v>2160</v>
      </c>
      <c r="C40" t="e">
        <f t="shared" ca="1" si="0"/>
        <v>#REF!</v>
      </c>
    </row>
    <row r="41" spans="2:3">
      <c r="B41" s="63" t="s">
        <v>2161</v>
      </c>
      <c r="C41">
        <f t="shared" ca="1" si="0"/>
        <v>0.14427339894388092</v>
      </c>
    </row>
    <row r="42" spans="2:3">
      <c r="B42" s="63" t="s">
        <v>2162</v>
      </c>
      <c r="C42">
        <f t="shared" ca="1" si="0"/>
        <v>0.14591080814957702</v>
      </c>
    </row>
    <row r="43" spans="2:3">
      <c r="B43" s="63" t="s">
        <v>2163</v>
      </c>
      <c r="C43">
        <f t="shared" ca="1" si="0"/>
        <v>0.14418286668512681</v>
      </c>
    </row>
    <row r="44" spans="2:3">
      <c r="B44" s="63" t="s">
        <v>2164</v>
      </c>
      <c r="C44" t="e">
        <f t="shared" ca="1" si="0"/>
        <v>#REF!</v>
      </c>
    </row>
    <row r="45" spans="2:3">
      <c r="B45" s="63" t="s">
        <v>2165</v>
      </c>
      <c r="C45" t="e">
        <f t="shared" ca="1" si="0"/>
        <v>#REF!</v>
      </c>
    </row>
    <row r="46" spans="2:3">
      <c r="B46" s="63" t="s">
        <v>2166</v>
      </c>
      <c r="C46" t="e">
        <f t="shared" ca="1" si="0"/>
        <v>#REF!</v>
      </c>
    </row>
    <row r="47" spans="2:3">
      <c r="B47" s="63" t="s">
        <v>2167</v>
      </c>
      <c r="C47">
        <f t="shared" ca="1" si="0"/>
        <v>0.14427339894388092</v>
      </c>
    </row>
    <row r="48" spans="2:3">
      <c r="B48" s="63" t="s">
        <v>2168</v>
      </c>
      <c r="C48">
        <f t="shared" ca="1" si="0"/>
        <v>2288467.0436729463</v>
      </c>
    </row>
    <row r="49" spans="2:3">
      <c r="B49" s="63" t="s">
        <v>2169</v>
      </c>
      <c r="C49">
        <f t="shared" ca="1" si="0"/>
        <v>19534.821867000002</v>
      </c>
    </row>
    <row r="50" spans="2:3">
      <c r="B50" s="63" t="s">
        <v>2170</v>
      </c>
      <c r="C50">
        <f t="shared" ca="1" si="0"/>
        <v>0.20480000000000001</v>
      </c>
    </row>
    <row r="51" spans="2:3">
      <c r="B51" s="63" t="s">
        <v>2171</v>
      </c>
      <c r="C51">
        <f t="shared" ca="1" si="0"/>
        <v>16377.068000000003</v>
      </c>
    </row>
    <row r="52" spans="2:3">
      <c r="B52" s="63" t="s">
        <v>2172</v>
      </c>
      <c r="C52">
        <f t="shared" ca="1" si="0"/>
        <v>16377.068000000003</v>
      </c>
    </row>
    <row r="53" spans="2:3">
      <c r="B53" s="63" t="s">
        <v>2173</v>
      </c>
      <c r="C53">
        <f t="shared" ca="1" si="0"/>
        <v>1.15E-2</v>
      </c>
    </row>
    <row r="54" spans="2:3">
      <c r="B54" s="63" t="s">
        <v>2174</v>
      </c>
      <c r="C54">
        <f t="shared" ca="1" si="0"/>
        <v>0.29871840597130045</v>
      </c>
    </row>
    <row r="55" spans="2:3">
      <c r="B55" s="63" t="s">
        <v>2175</v>
      </c>
      <c r="C55">
        <f t="shared" ca="1" si="0"/>
        <v>0</v>
      </c>
    </row>
    <row r="56" spans="2:3">
      <c r="B56" s="63" t="s">
        <v>2176</v>
      </c>
      <c r="C56">
        <f t="shared" ca="1" si="0"/>
        <v>0</v>
      </c>
    </row>
    <row r="57" spans="2:3">
      <c r="B57" s="63" t="s">
        <v>2177</v>
      </c>
      <c r="C57">
        <f t="shared" ca="1" si="0"/>
        <v>0.20464807768586596</v>
      </c>
    </row>
    <row r="58" spans="2:3">
      <c r="B58" s="63" t="s">
        <v>2178</v>
      </c>
      <c r="C58">
        <f t="shared" ca="1" si="0"/>
        <v>0.11886869625198027</v>
      </c>
    </row>
    <row r="59" spans="2:3">
      <c r="B59" s="63" t="s">
        <v>2179</v>
      </c>
      <c r="C59">
        <f t="shared" ca="1" si="0"/>
        <v>0.10736869625198027</v>
      </c>
    </row>
    <row r="60" spans="2:3">
      <c r="B60" s="63" t="s">
        <v>2180</v>
      </c>
      <c r="C60" t="e">
        <f t="shared" ca="1" si="0"/>
        <v>#REF!</v>
      </c>
    </row>
    <row r="61" spans="2:3">
      <c r="B61" s="63" t="s">
        <v>2181</v>
      </c>
      <c r="C61">
        <f t="shared" ca="1" si="0"/>
        <v>-1.7815269793160299E-2</v>
      </c>
    </row>
    <row r="62" spans="2:3">
      <c r="B62" s="63" t="s">
        <v>2182</v>
      </c>
      <c r="C62">
        <f t="shared" ca="1" si="0"/>
        <v>0.1605</v>
      </c>
    </row>
    <row r="63" spans="2:3">
      <c r="B63" s="63" t="s">
        <v>2183</v>
      </c>
      <c r="C63">
        <f t="shared" ca="1" si="0"/>
        <v>4.0924791689861385E-2</v>
      </c>
    </row>
    <row r="64" spans="2:3">
      <c r="B64" s="63" t="s">
        <v>2184</v>
      </c>
      <c r="C64" t="e">
        <f t="shared" ca="1" si="0"/>
        <v>#REF!</v>
      </c>
    </row>
    <row r="65" spans="2:3">
      <c r="B65" s="63" t="s">
        <v>2185</v>
      </c>
      <c r="C65">
        <f t="shared" ca="1" si="0"/>
        <v>6.5613424385475946E-2</v>
      </c>
    </row>
    <row r="66" spans="2:3">
      <c r="B66" s="63" t="s">
        <v>2186</v>
      </c>
      <c r="C66">
        <f t="shared" ca="1" si="0"/>
        <v>9.483821567629816E-2</v>
      </c>
    </row>
    <row r="67" spans="2:3">
      <c r="B67" s="63" t="s">
        <v>2187</v>
      </c>
      <c r="C67">
        <f t="shared" ref="C67:C130" ca="1" si="1">INDIRECT(B67)</f>
        <v>4.2503902488774885E-2</v>
      </c>
    </row>
    <row r="68" spans="2:3">
      <c r="B68" s="63" t="s">
        <v>2188</v>
      </c>
      <c r="C68">
        <f t="shared" ca="1" si="1"/>
        <v>-6.0499999999999998E-2</v>
      </c>
    </row>
    <row r="69" spans="2:3">
      <c r="B69" s="63" t="s">
        <v>2189</v>
      </c>
      <c r="C69">
        <f t="shared" ca="1" si="1"/>
        <v>50464.011495475403</v>
      </c>
    </row>
    <row r="70" spans="2:3">
      <c r="B70" s="63" t="s">
        <v>2190</v>
      </c>
      <c r="C70" t="str">
        <f t="shared" ca="1" si="1"/>
        <v>Cooperativa de Eletrificação da Região de Itapecerica da Serra</v>
      </c>
    </row>
    <row r="71" spans="2:3">
      <c r="B71" s="63" t="s">
        <v>2191</v>
      </c>
      <c r="C71" t="e">
        <f t="shared" ca="1" si="1"/>
        <v>#REF!</v>
      </c>
    </row>
    <row r="72" spans="2:3">
      <c r="B72" s="63" t="s">
        <v>2192</v>
      </c>
      <c r="C72" t="str">
        <f t="shared" ca="1" si="1"/>
        <v>05/2008</v>
      </c>
    </row>
    <row r="73" spans="2:3">
      <c r="B73" s="63" t="s">
        <v>2193</v>
      </c>
      <c r="C73" t="str">
        <f t="shared" ca="1" si="1"/>
        <v>48500.004968/2021-33</v>
      </c>
    </row>
    <row r="74" spans="2:3">
      <c r="B74" s="63" t="s">
        <v>2194</v>
      </c>
      <c r="C74">
        <f t="shared" ca="1" si="1"/>
        <v>0.41264828903794948</v>
      </c>
    </row>
    <row r="75" spans="2:3">
      <c r="B75" s="63" t="s">
        <v>2195</v>
      </c>
      <c r="C75">
        <f t="shared" ca="1" si="1"/>
        <v>0.58735171096205052</v>
      </c>
    </row>
    <row r="76" spans="2:3">
      <c r="B76" s="63" t="s">
        <v>2196</v>
      </c>
      <c r="C76">
        <f t="shared" ca="1" si="1"/>
        <v>0.16164743597351994</v>
      </c>
    </row>
    <row r="77" spans="2:3">
      <c r="B77" s="63" t="s">
        <v>2197</v>
      </c>
      <c r="C77">
        <f t="shared" ca="1" si="1"/>
        <v>2.5362065080911513E-2</v>
      </c>
    </row>
    <row r="78" spans="2:3">
      <c r="B78" s="63" t="s">
        <v>2198</v>
      </c>
      <c r="C78">
        <f t="shared" ca="1" si="1"/>
        <v>3157.7538669999999</v>
      </c>
    </row>
    <row r="79" spans="2:3">
      <c r="B79" s="63" t="s">
        <v>2199</v>
      </c>
      <c r="C79">
        <f t="shared" ca="1" si="1"/>
        <v>0.16164743597351994</v>
      </c>
    </row>
    <row r="80" spans="2:3">
      <c r="B80" s="63" t="s">
        <v>2200</v>
      </c>
      <c r="C80">
        <f t="shared" ca="1" si="1"/>
        <v>200363.99033587321</v>
      </c>
    </row>
    <row r="81" spans="2:3">
      <c r="B81" s="63" t="s">
        <v>2201</v>
      </c>
      <c r="C81">
        <f t="shared" ca="1" si="1"/>
        <v>200363.99033587321</v>
      </c>
    </row>
    <row r="82" spans="2:3">
      <c r="B82" s="64" t="s">
        <v>2202</v>
      </c>
      <c r="C82">
        <f t="shared" ca="1" si="1"/>
        <v>293.256159697513</v>
      </c>
    </row>
    <row r="83" spans="2:3">
      <c r="B83" s="63" t="s">
        <v>2203</v>
      </c>
      <c r="C83">
        <f t="shared" ca="1" si="1"/>
        <v>13038122.330799989</v>
      </c>
    </row>
    <row r="84" spans="2:3">
      <c r="B84" s="63" t="s">
        <v>2204</v>
      </c>
      <c r="C84">
        <f t="shared" ca="1" si="1"/>
        <v>0</v>
      </c>
    </row>
    <row r="85" spans="2:3">
      <c r="B85" s="63" t="s">
        <v>2205</v>
      </c>
      <c r="C85">
        <f t="shared" ca="1" si="1"/>
        <v>0</v>
      </c>
    </row>
    <row r="86" spans="2:3">
      <c r="B86" s="63" t="s">
        <v>2206</v>
      </c>
      <c r="C86" t="str">
        <f t="shared" ca="1" si="1"/>
        <v>julho de 2021 a junho de 2022</v>
      </c>
    </row>
    <row r="87" spans="2:3">
      <c r="B87" s="63" t="s">
        <v>2207</v>
      </c>
      <c r="C87">
        <f t="shared" ca="1" si="1"/>
        <v>0</v>
      </c>
    </row>
    <row r="88" spans="2:3">
      <c r="B88" s="63" t="s">
        <v>2208</v>
      </c>
      <c r="C88" t="str">
        <f t="shared" ca="1" si="1"/>
        <v>Ceris</v>
      </c>
    </row>
    <row r="89" spans="2:3">
      <c r="B89" s="63" t="s">
        <v>2209</v>
      </c>
      <c r="C89">
        <f t="shared" ca="1" si="1"/>
        <v>-2630709.1586146285</v>
      </c>
    </row>
    <row r="90" spans="2:3">
      <c r="B90" s="63" t="s">
        <v>2210</v>
      </c>
      <c r="C90" t="e">
        <f t="shared" ca="1" si="1"/>
        <v>#REF!</v>
      </c>
    </row>
    <row r="91" spans="2:3">
      <c r="B91" s="64" t="s">
        <v>2211</v>
      </c>
      <c r="C91">
        <f t="shared" ca="1" si="1"/>
        <v>2300281.9677699995</v>
      </c>
    </row>
    <row r="92" spans="2:3">
      <c r="B92" s="64" t="s">
        <v>2212</v>
      </c>
      <c r="C92">
        <f t="shared" ca="1" si="1"/>
        <v>-9.2100000000000001E-2</v>
      </c>
    </row>
    <row r="93" spans="2:3">
      <c r="B93" s="64" t="s">
        <v>2213</v>
      </c>
      <c r="C93">
        <f t="shared" ca="1" si="1"/>
        <v>0.47599999999999998</v>
      </c>
    </row>
    <row r="94" spans="2:3">
      <c r="B94" s="64" t="s">
        <v>2214</v>
      </c>
      <c r="C94">
        <f t="shared" ca="1" si="1"/>
        <v>0.31740000000000002</v>
      </c>
    </row>
    <row r="95" spans="2:3">
      <c r="B95" s="64" t="s">
        <v>2215</v>
      </c>
      <c r="C95" t="e">
        <f t="shared" ca="1" si="1"/>
        <v>#VALUE!</v>
      </c>
    </row>
    <row r="96" spans="2:3">
      <c r="B96" s="64" t="s">
        <v>2216</v>
      </c>
      <c r="C96" t="e">
        <f t="shared" ca="1" si="1"/>
        <v>#VALUE!</v>
      </c>
    </row>
    <row r="97" spans="2:3">
      <c r="B97" s="64" t="s">
        <v>2217</v>
      </c>
      <c r="C97" t="e">
        <f t="shared" ca="1" si="1"/>
        <v>#VALUE!</v>
      </c>
    </row>
    <row r="98" spans="2:3">
      <c r="B98" s="64" t="s">
        <v>2218</v>
      </c>
      <c r="C98" t="e">
        <f t="shared" ca="1" si="1"/>
        <v>#VALUE!</v>
      </c>
    </row>
    <row r="99" spans="2:3">
      <c r="B99" s="63" t="s">
        <v>2219</v>
      </c>
      <c r="C99" t="e">
        <f t="shared" ca="1" si="1"/>
        <v>#VALUE!</v>
      </c>
    </row>
    <row r="100" spans="2:3">
      <c r="B100" s="64" t="s">
        <v>2220</v>
      </c>
      <c r="C100" t="e">
        <f t="shared" ca="1" si="1"/>
        <v>#VALUE!</v>
      </c>
    </row>
    <row r="101" spans="2:3">
      <c r="B101" s="63" t="s">
        <v>2221</v>
      </c>
      <c r="C101" t="e">
        <f t="shared" ca="1" si="1"/>
        <v>#VALUE!</v>
      </c>
    </row>
    <row r="102" spans="2:3">
      <c r="B102" s="63" t="s">
        <v>2222</v>
      </c>
      <c r="C102" t="e">
        <f t="shared" ca="1" si="1"/>
        <v>#VALUE!</v>
      </c>
    </row>
    <row r="103" spans="2:3">
      <c r="B103" s="63" t="s">
        <v>2223</v>
      </c>
      <c r="C103" t="e">
        <f t="shared" ca="1" si="1"/>
        <v>#VALUE!</v>
      </c>
    </row>
    <row r="104" spans="2:3">
      <c r="B104" s="63" t="s">
        <v>2224</v>
      </c>
      <c r="C104" t="e">
        <f t="shared" ca="1" si="1"/>
        <v>#VALUE!</v>
      </c>
    </row>
    <row r="105" spans="2:3">
      <c r="B105" s="63" t="s">
        <v>2225</v>
      </c>
      <c r="C105" t="e">
        <f t="shared" ca="1" si="1"/>
        <v>#VALUE!</v>
      </c>
    </row>
    <row r="106" spans="2:3">
      <c r="B106" s="63" t="s">
        <v>2226</v>
      </c>
      <c r="C106" t="e">
        <f t="shared" ca="1" si="1"/>
        <v>#VALUE!</v>
      </c>
    </row>
    <row r="107" spans="2:3">
      <c r="B107" s="63" t="s">
        <v>2227</v>
      </c>
      <c r="C107" t="e">
        <f t="shared" ca="1" si="1"/>
        <v>#VALUE!</v>
      </c>
    </row>
    <row r="108" spans="2:3">
      <c r="B108" s="63" t="s">
        <v>2228</v>
      </c>
      <c r="C108" t="e">
        <f t="shared" ca="1" si="1"/>
        <v>#REF!</v>
      </c>
    </row>
    <row r="109" spans="2:3">
      <c r="B109" s="63" t="s">
        <v>2229</v>
      </c>
      <c r="C109" t="e">
        <f t="shared" ca="1" si="1"/>
        <v>#REF!</v>
      </c>
    </row>
    <row r="110" spans="2:3">
      <c r="B110" s="63" t="s">
        <v>2230</v>
      </c>
      <c r="C110" t="e">
        <f t="shared" ca="1" si="1"/>
        <v>#REF!</v>
      </c>
    </row>
    <row r="111" spans="2:3">
      <c r="B111" s="63" t="s">
        <v>2231</v>
      </c>
      <c r="C111" t="e">
        <f t="shared" ca="1" si="1"/>
        <v>#REF!</v>
      </c>
    </row>
    <row r="112" spans="2:3">
      <c r="B112" s="63" t="s">
        <v>2232</v>
      </c>
      <c r="C112" t="e">
        <f t="shared" ca="1" si="1"/>
        <v>#REF!</v>
      </c>
    </row>
    <row r="113" spans="2:3">
      <c r="B113" s="63" t="s">
        <v>2233</v>
      </c>
      <c r="C113" t="e">
        <f t="shared" ca="1" si="1"/>
        <v>#REF!</v>
      </c>
    </row>
    <row r="114" spans="2:3">
      <c r="B114" s="63" t="s">
        <v>2234</v>
      </c>
      <c r="C114" t="e">
        <f t="shared" ca="1" si="1"/>
        <v>#REF!</v>
      </c>
    </row>
    <row r="115" spans="2:3">
      <c r="B115" s="63" t="s">
        <v>2235</v>
      </c>
      <c r="C115">
        <f t="shared" ca="1" si="1"/>
        <v>0</v>
      </c>
    </row>
    <row r="116" spans="2:3">
      <c r="B116" s="64" t="s">
        <v>2236</v>
      </c>
      <c r="C116">
        <f t="shared" ca="1" si="1"/>
        <v>938941.61184217362</v>
      </c>
    </row>
    <row r="117" spans="2:3">
      <c r="B117" s="63" t="s">
        <v>2237</v>
      </c>
      <c r="C117">
        <f t="shared" ca="1" si="1"/>
        <v>0</v>
      </c>
    </row>
    <row r="118" spans="2:3">
      <c r="B118" s="63" t="s">
        <v>2238</v>
      </c>
      <c r="C118">
        <f t="shared" ca="1" si="1"/>
        <v>0</v>
      </c>
    </row>
    <row r="119" spans="2:3">
      <c r="B119" s="64" t="s">
        <v>2239</v>
      </c>
      <c r="C119">
        <f t="shared" ca="1" si="1"/>
        <v>0</v>
      </c>
    </row>
    <row r="120" spans="2:3">
      <c r="B120" s="63" t="s">
        <v>2240</v>
      </c>
      <c r="C120">
        <f t="shared" ca="1" si="1"/>
        <v>0</v>
      </c>
    </row>
    <row r="121" spans="2:3">
      <c r="B121" s="63" t="s">
        <v>2241</v>
      </c>
      <c r="C121">
        <f t="shared" ca="1" si="1"/>
        <v>0</v>
      </c>
    </row>
    <row r="122" spans="2:3">
      <c r="B122" s="64" t="s">
        <v>2242</v>
      </c>
      <c r="C122">
        <f t="shared" ca="1" si="1"/>
        <v>0</v>
      </c>
    </row>
    <row r="123" spans="2:3">
      <c r="B123" s="63" t="s">
        <v>2243</v>
      </c>
      <c r="C123">
        <f t="shared" ca="1" si="1"/>
        <v>0</v>
      </c>
    </row>
    <row r="124" spans="2:3">
      <c r="B124" s="63" t="s">
        <v>2244</v>
      </c>
      <c r="C124">
        <f t="shared" ca="1" si="1"/>
        <v>0</v>
      </c>
    </row>
    <row r="125" spans="2:3">
      <c r="B125" s="64" t="s">
        <v>2245</v>
      </c>
      <c r="C125">
        <f t="shared" ca="1" si="1"/>
        <v>0</v>
      </c>
    </row>
    <row r="126" spans="2:3">
      <c r="B126" s="63" t="s">
        <v>2246</v>
      </c>
      <c r="C126">
        <f t="shared" ca="1" si="1"/>
        <v>146810.52036774775</v>
      </c>
    </row>
    <row r="127" spans="2:3">
      <c r="B127" s="63" t="s">
        <v>2247</v>
      </c>
      <c r="C127">
        <f t="shared" ca="1" si="1"/>
        <v>0</v>
      </c>
    </row>
    <row r="128" spans="2:3">
      <c r="B128" s="64" t="s">
        <v>2248</v>
      </c>
      <c r="C128">
        <f t="shared" ca="1" si="1"/>
        <v>35330.602821184402</v>
      </c>
    </row>
    <row r="129" spans="2:3">
      <c r="B129" s="63" t="s">
        <v>2249</v>
      </c>
      <c r="C129">
        <f t="shared" ca="1" si="1"/>
        <v>16377.068000000003</v>
      </c>
    </row>
    <row r="130" spans="2:3">
      <c r="B130" s="63" t="s">
        <v>2250</v>
      </c>
      <c r="C130">
        <f t="shared" ca="1" si="1"/>
        <v>13038122.330799989</v>
      </c>
    </row>
    <row r="131" spans="2:3">
      <c r="B131" s="64" t="s">
        <v>2251</v>
      </c>
      <c r="C131" t="str">
        <f t="shared" ref="C131:C194" ca="1" si="2">INDIRECT(B131)</f>
        <v>Convencional</v>
      </c>
    </row>
    <row r="132" spans="2:3">
      <c r="B132" s="63" t="s">
        <v>2252</v>
      </c>
      <c r="C132" t="e">
        <f t="shared" ca="1" si="2"/>
        <v>#VALUE!</v>
      </c>
    </row>
    <row r="133" spans="2:3">
      <c r="B133" s="64" t="s">
        <v>2253</v>
      </c>
      <c r="C133" t="e">
        <f t="shared" ca="1" si="2"/>
        <v>#REF!</v>
      </c>
    </row>
    <row r="134" spans="2:3">
      <c r="B134" s="63" t="s">
        <v>2254</v>
      </c>
      <c r="C134" t="e">
        <f t="shared" ca="1" si="2"/>
        <v>#REF!</v>
      </c>
    </row>
    <row r="135" spans="2:3">
      <c r="B135" s="63" t="s">
        <v>2255</v>
      </c>
      <c r="C135">
        <f t="shared" ca="1" si="2"/>
        <v>44713</v>
      </c>
    </row>
    <row r="136" spans="2:3">
      <c r="B136" s="63" t="s">
        <v>2256</v>
      </c>
      <c r="C136">
        <f t="shared" ca="1" si="2"/>
        <v>44378</v>
      </c>
    </row>
    <row r="137" spans="2:3">
      <c r="B137" s="63" t="s">
        <v>2257</v>
      </c>
      <c r="C137" t="e">
        <f t="shared" ca="1" si="2"/>
        <v>#REF!</v>
      </c>
    </row>
    <row r="138" spans="2:3">
      <c r="B138" s="63" t="s">
        <v>2258</v>
      </c>
      <c r="C138" t="e">
        <f t="shared" ca="1" si="2"/>
        <v>#REF!</v>
      </c>
    </row>
    <row r="139" spans="2:3">
      <c r="B139" s="63" t="s">
        <v>2259</v>
      </c>
      <c r="C139" t="e">
        <f t="shared" ca="1" si="2"/>
        <v>#REF!</v>
      </c>
    </row>
    <row r="140" spans="2:3">
      <c r="B140" s="63" t="s">
        <v>2260</v>
      </c>
      <c r="C140">
        <f t="shared" ca="1" si="2"/>
        <v>0</v>
      </c>
    </row>
    <row r="141" spans="2:3">
      <c r="B141" s="63" t="s">
        <v>2261</v>
      </c>
      <c r="C141" t="e">
        <f t="shared" ca="1" si="2"/>
        <v>#VALUE!</v>
      </c>
    </row>
    <row r="142" spans="2:3">
      <c r="B142" s="63" t="s">
        <v>2262</v>
      </c>
      <c r="C142" t="e">
        <f t="shared" ca="1" si="2"/>
        <v>#VALUE!</v>
      </c>
    </row>
    <row r="143" spans="2:3">
      <c r="B143" s="63" t="s">
        <v>2263</v>
      </c>
      <c r="C143" t="e">
        <f t="shared" ca="1" si="2"/>
        <v>#VALUE!</v>
      </c>
    </row>
    <row r="144" spans="2:3">
      <c r="B144" s="63" t="s">
        <v>2264</v>
      </c>
      <c r="C144" t="e">
        <f t="shared" ca="1" si="2"/>
        <v>#VALUE!</v>
      </c>
    </row>
    <row r="145" spans="2:3">
      <c r="B145" s="63" t="s">
        <v>2265</v>
      </c>
      <c r="C145" t="e">
        <f t="shared" ca="1" si="2"/>
        <v>#VALUE!</v>
      </c>
    </row>
    <row r="146" spans="2:3">
      <c r="B146" s="64" t="s">
        <v>2266</v>
      </c>
      <c r="C146" t="e">
        <f t="shared" ca="1" si="2"/>
        <v>#REF!</v>
      </c>
    </row>
    <row r="147" spans="2:3">
      <c r="B147" s="64" t="s">
        <v>2267</v>
      </c>
      <c r="C147" t="e">
        <f t="shared" ca="1" si="2"/>
        <v>#REF!</v>
      </c>
    </row>
    <row r="148" spans="2:3">
      <c r="B148" s="64" t="s">
        <v>2268</v>
      </c>
      <c r="C148" t="e">
        <f t="shared" ca="1" si="2"/>
        <v>#REF!</v>
      </c>
    </row>
    <row r="149" spans="2:3">
      <c r="B149" s="64" t="s">
        <v>2269</v>
      </c>
      <c r="C149" t="e">
        <f t="shared" ca="1" si="2"/>
        <v>#REF!</v>
      </c>
    </row>
    <row r="150" spans="2:3">
      <c r="B150" s="64" t="s">
        <v>2270</v>
      </c>
      <c r="C150" t="e">
        <f t="shared" ca="1" si="2"/>
        <v>#REF!</v>
      </c>
    </row>
    <row r="151" spans="2:3">
      <c r="B151" s="64" t="s">
        <v>2271</v>
      </c>
      <c r="C151" t="e">
        <f t="shared" ca="1" si="2"/>
        <v>#REF!</v>
      </c>
    </row>
    <row r="152" spans="2:3">
      <c r="B152" s="64" t="s">
        <v>2272</v>
      </c>
      <c r="C152" t="e">
        <f t="shared" ca="1" si="2"/>
        <v>#REF!</v>
      </c>
    </row>
    <row r="153" spans="2:3">
      <c r="B153" s="64" t="s">
        <v>2273</v>
      </c>
      <c r="C153" t="e">
        <f t="shared" ca="1" si="2"/>
        <v>#REF!</v>
      </c>
    </row>
    <row r="154" spans="2:3">
      <c r="B154" s="63" t="s">
        <v>2274</v>
      </c>
      <c r="C154" t="e">
        <f t="shared" ca="1" si="2"/>
        <v>#VALUE!</v>
      </c>
    </row>
    <row r="155" spans="2:3">
      <c r="B155" s="63" t="s">
        <v>2275</v>
      </c>
      <c r="C155" t="e">
        <f t="shared" ca="1" si="2"/>
        <v>#VALUE!</v>
      </c>
    </row>
    <row r="156" spans="2:3">
      <c r="B156" s="63" t="s">
        <v>2276</v>
      </c>
      <c r="C156" t="e">
        <f t="shared" ca="1" si="2"/>
        <v>#VALUE!</v>
      </c>
    </row>
    <row r="157" spans="2:3">
      <c r="B157" s="63" t="s">
        <v>2277</v>
      </c>
      <c r="C157" t="e">
        <f t="shared" ca="1" si="2"/>
        <v>#VALUE!</v>
      </c>
    </row>
    <row r="158" spans="2:3">
      <c r="B158" s="63" t="s">
        <v>2278</v>
      </c>
      <c r="C158" t="e">
        <f t="shared" ca="1" si="2"/>
        <v>#REF!</v>
      </c>
    </row>
    <row r="159" spans="2:3">
      <c r="B159" s="63" t="s">
        <v>2279</v>
      </c>
      <c r="C159" t="e">
        <f t="shared" ca="1" si="2"/>
        <v>#VALUE!</v>
      </c>
    </row>
    <row r="160" spans="2:3">
      <c r="B160" s="63" t="s">
        <v>2280</v>
      </c>
      <c r="C160" t="e">
        <f t="shared" ca="1" si="2"/>
        <v>#VALUE!</v>
      </c>
    </row>
    <row r="161" spans="2:3">
      <c r="B161" s="63" t="s">
        <v>2281</v>
      </c>
      <c r="C161" t="e">
        <f t="shared" ca="1" si="2"/>
        <v>#VALUE!</v>
      </c>
    </row>
    <row r="162" spans="2:3">
      <c r="B162" s="63" t="s">
        <v>2282</v>
      </c>
      <c r="C162" t="e">
        <f t="shared" ca="1" si="2"/>
        <v>#VALUE!</v>
      </c>
    </row>
    <row r="163" spans="2:3">
      <c r="B163" s="63" t="s">
        <v>2283</v>
      </c>
      <c r="C163" t="e">
        <f t="shared" ca="1" si="2"/>
        <v>#VALUE!</v>
      </c>
    </row>
    <row r="164" spans="2:3">
      <c r="B164" s="63" t="s">
        <v>2284</v>
      </c>
      <c r="C164" t="e">
        <f t="shared" ca="1" si="2"/>
        <v>#VALUE!</v>
      </c>
    </row>
    <row r="165" spans="2:3">
      <c r="B165" s="63" t="s">
        <v>2285</v>
      </c>
      <c r="C165" t="e">
        <f t="shared" ca="1" si="2"/>
        <v>#VALUE!</v>
      </c>
    </row>
    <row r="166" spans="2:3">
      <c r="B166" s="63" t="s">
        <v>2286</v>
      </c>
      <c r="C166" t="e">
        <f t="shared" ca="1" si="2"/>
        <v>#VALUE!</v>
      </c>
    </row>
    <row r="167" spans="2:3">
      <c r="B167" s="63" t="s">
        <v>2287</v>
      </c>
      <c r="C167" t="e">
        <f t="shared" ca="1" si="2"/>
        <v>#REF!</v>
      </c>
    </row>
    <row r="168" spans="2:3">
      <c r="B168" s="63"/>
      <c r="C168" t="e">
        <f t="shared" ca="1" si="2"/>
        <v>#REF!</v>
      </c>
    </row>
    <row r="169" spans="2:3">
      <c r="B169" s="63"/>
      <c r="C169" t="e">
        <f t="shared" ca="1" si="2"/>
        <v>#REF!</v>
      </c>
    </row>
    <row r="170" spans="2:3">
      <c r="B170" s="63"/>
      <c r="C170" t="e">
        <f t="shared" ca="1" si="2"/>
        <v>#REF!</v>
      </c>
    </row>
    <row r="171" spans="2:3">
      <c r="B171" s="63"/>
      <c r="C171" t="e">
        <f t="shared" ca="1" si="2"/>
        <v>#REF!</v>
      </c>
    </row>
    <row r="172" spans="2:3">
      <c r="B172" s="63"/>
      <c r="C172" t="e">
        <f t="shared" ca="1" si="2"/>
        <v>#REF!</v>
      </c>
    </row>
    <row r="173" spans="2:3">
      <c r="B173" s="63"/>
      <c r="C173" t="e">
        <f t="shared" ca="1" si="2"/>
        <v>#REF!</v>
      </c>
    </row>
    <row r="174" spans="2:3">
      <c r="B174" s="63"/>
      <c r="C174" t="e">
        <f t="shared" ca="1" si="2"/>
        <v>#REF!</v>
      </c>
    </row>
    <row r="175" spans="2:3">
      <c r="B175" s="63"/>
      <c r="C175" t="e">
        <f t="shared" ca="1" si="2"/>
        <v>#REF!</v>
      </c>
    </row>
    <row r="176" spans="2:3">
      <c r="B176" s="63"/>
      <c r="C176" t="e">
        <f t="shared" ca="1" si="2"/>
        <v>#REF!</v>
      </c>
    </row>
    <row r="177" spans="2:3">
      <c r="B177" s="63"/>
      <c r="C177" t="e">
        <f t="shared" ca="1" si="2"/>
        <v>#REF!</v>
      </c>
    </row>
    <row r="178" spans="2:3">
      <c r="B178" s="63"/>
      <c r="C178" t="e">
        <f t="shared" ca="1" si="2"/>
        <v>#REF!</v>
      </c>
    </row>
    <row r="179" spans="2:3">
      <c r="B179" s="63"/>
      <c r="C179" t="e">
        <f t="shared" ca="1" si="2"/>
        <v>#REF!</v>
      </c>
    </row>
    <row r="180" spans="2:3">
      <c r="B180" s="63"/>
      <c r="C180" t="e">
        <f t="shared" ca="1" si="2"/>
        <v>#REF!</v>
      </c>
    </row>
    <row r="181" spans="2:3">
      <c r="B181" s="63"/>
      <c r="C181" t="e">
        <f t="shared" ca="1" si="2"/>
        <v>#REF!</v>
      </c>
    </row>
    <row r="182" spans="2:3">
      <c r="B182" s="63"/>
      <c r="C182" t="e">
        <f t="shared" ca="1" si="2"/>
        <v>#REF!</v>
      </c>
    </row>
    <row r="183" spans="2:3">
      <c r="B183" s="63"/>
      <c r="C183" t="e">
        <f t="shared" ca="1" si="2"/>
        <v>#REF!</v>
      </c>
    </row>
    <row r="184" spans="2:3">
      <c r="B184" s="63"/>
      <c r="C184" t="e">
        <f t="shared" ca="1" si="2"/>
        <v>#REF!</v>
      </c>
    </row>
    <row r="185" spans="2:3">
      <c r="B185" s="63"/>
      <c r="C185" t="e">
        <f t="shared" ca="1" si="2"/>
        <v>#REF!</v>
      </c>
    </row>
    <row r="186" spans="2:3">
      <c r="B186" s="63"/>
      <c r="C186" t="e">
        <f t="shared" ca="1" si="2"/>
        <v>#REF!</v>
      </c>
    </row>
    <row r="187" spans="2:3">
      <c r="B187" s="63"/>
      <c r="C187" t="e">
        <f t="shared" ca="1" si="2"/>
        <v>#REF!</v>
      </c>
    </row>
    <row r="188" spans="2:3">
      <c r="B188" s="63"/>
      <c r="C188" t="e">
        <f t="shared" ca="1" si="2"/>
        <v>#REF!</v>
      </c>
    </row>
    <row r="189" spans="2:3">
      <c r="B189" s="63"/>
      <c r="C189" t="e">
        <f t="shared" ca="1" si="2"/>
        <v>#REF!</v>
      </c>
    </row>
    <row r="190" spans="2:3">
      <c r="B190" s="63"/>
      <c r="C190" t="e">
        <f t="shared" ca="1" si="2"/>
        <v>#REF!</v>
      </c>
    </row>
    <row r="191" spans="2:3">
      <c r="B191" s="63"/>
      <c r="C191" t="e">
        <f t="shared" ca="1" si="2"/>
        <v>#REF!</v>
      </c>
    </row>
    <row r="192" spans="2:3">
      <c r="B192" s="63"/>
      <c r="C192" t="e">
        <f t="shared" ca="1" si="2"/>
        <v>#REF!</v>
      </c>
    </row>
    <row r="193" spans="2:3">
      <c r="B193" s="63"/>
      <c r="C193" t="e">
        <f t="shared" ca="1" si="2"/>
        <v>#REF!</v>
      </c>
    </row>
    <row r="194" spans="2:3">
      <c r="B194" s="63"/>
      <c r="C194" t="e">
        <f t="shared" ca="1" si="2"/>
        <v>#REF!</v>
      </c>
    </row>
    <row r="195" spans="2:3">
      <c r="B195" s="63"/>
      <c r="C195" t="e">
        <f t="shared" ref="C195:C258" ca="1" si="3">INDIRECT(B195)</f>
        <v>#REF!</v>
      </c>
    </row>
    <row r="196" spans="2:3">
      <c r="B196" s="63"/>
      <c r="C196" t="e">
        <f t="shared" ca="1" si="3"/>
        <v>#REF!</v>
      </c>
    </row>
    <row r="197" spans="2:3">
      <c r="B197" s="63"/>
      <c r="C197" t="e">
        <f t="shared" ca="1" si="3"/>
        <v>#REF!</v>
      </c>
    </row>
    <row r="198" spans="2:3">
      <c r="B198" s="64"/>
      <c r="C198" t="e">
        <f t="shared" ca="1" si="3"/>
        <v>#REF!</v>
      </c>
    </row>
    <row r="199" spans="2:3">
      <c r="B199" s="63"/>
      <c r="C199" t="e">
        <f t="shared" ca="1" si="3"/>
        <v>#REF!</v>
      </c>
    </row>
    <row r="200" spans="2:3">
      <c r="B200" s="63"/>
      <c r="C200" t="e">
        <f t="shared" ca="1" si="3"/>
        <v>#REF!</v>
      </c>
    </row>
    <row r="201" spans="2:3">
      <c r="B201" s="63"/>
      <c r="C201" t="e">
        <f t="shared" ca="1" si="3"/>
        <v>#REF!</v>
      </c>
    </row>
    <row r="202" spans="2:3">
      <c r="B202" s="63"/>
      <c r="C202" t="e">
        <f t="shared" ca="1" si="3"/>
        <v>#REF!</v>
      </c>
    </row>
    <row r="203" spans="2:3">
      <c r="B203" s="63"/>
      <c r="C203" t="e">
        <f t="shared" ca="1" si="3"/>
        <v>#REF!</v>
      </c>
    </row>
    <row r="204" spans="2:3">
      <c r="B204" s="63"/>
      <c r="C204" t="e">
        <f t="shared" ca="1" si="3"/>
        <v>#REF!</v>
      </c>
    </row>
    <row r="205" spans="2:3">
      <c r="B205" s="63"/>
      <c r="C205" t="e">
        <f t="shared" ca="1" si="3"/>
        <v>#REF!</v>
      </c>
    </row>
    <row r="206" spans="2:3">
      <c r="B206" s="63"/>
      <c r="C206" t="e">
        <f t="shared" ca="1" si="3"/>
        <v>#REF!</v>
      </c>
    </row>
    <row r="207" spans="2:3">
      <c r="B207" s="63"/>
      <c r="C207" t="e">
        <f t="shared" ca="1" si="3"/>
        <v>#REF!</v>
      </c>
    </row>
    <row r="208" spans="2:3">
      <c r="B208" s="63"/>
      <c r="C208" t="e">
        <f t="shared" ca="1" si="3"/>
        <v>#REF!</v>
      </c>
    </row>
    <row r="209" spans="2:3">
      <c r="B209" s="63"/>
      <c r="C209" t="e">
        <f t="shared" ca="1" si="3"/>
        <v>#REF!</v>
      </c>
    </row>
    <row r="210" spans="2:3">
      <c r="B210" s="63"/>
      <c r="C210" t="e">
        <f t="shared" ca="1" si="3"/>
        <v>#REF!</v>
      </c>
    </row>
    <row r="211" spans="2:3">
      <c r="B211" s="63"/>
      <c r="C211" t="e">
        <f t="shared" ca="1" si="3"/>
        <v>#REF!</v>
      </c>
    </row>
    <row r="212" spans="2:3">
      <c r="B212" s="63"/>
      <c r="C212" t="e">
        <f t="shared" ca="1" si="3"/>
        <v>#REF!</v>
      </c>
    </row>
    <row r="213" spans="2:3">
      <c r="B213" s="63"/>
      <c r="C213" t="e">
        <f t="shared" ca="1" si="3"/>
        <v>#REF!</v>
      </c>
    </row>
    <row r="214" spans="2:3">
      <c r="B214" s="63"/>
      <c r="C214" t="e">
        <f t="shared" ca="1" si="3"/>
        <v>#REF!</v>
      </c>
    </row>
    <row r="215" spans="2:3">
      <c r="B215" s="63"/>
      <c r="C215" t="e">
        <f t="shared" ca="1" si="3"/>
        <v>#REF!</v>
      </c>
    </row>
    <row r="216" spans="2:3">
      <c r="B216" s="63"/>
      <c r="C216" t="e">
        <f t="shared" ca="1" si="3"/>
        <v>#REF!</v>
      </c>
    </row>
    <row r="217" spans="2:3">
      <c r="B217" s="63"/>
      <c r="C217" t="e">
        <f t="shared" ca="1" si="3"/>
        <v>#REF!</v>
      </c>
    </row>
    <row r="218" spans="2:3">
      <c r="B218" s="63"/>
      <c r="C218" t="e">
        <f t="shared" ca="1" si="3"/>
        <v>#REF!</v>
      </c>
    </row>
    <row r="219" spans="2:3">
      <c r="B219" s="63"/>
      <c r="C219" t="e">
        <f t="shared" ca="1" si="3"/>
        <v>#REF!</v>
      </c>
    </row>
    <row r="220" spans="2:3">
      <c r="B220" s="63"/>
      <c r="C220" t="e">
        <f t="shared" ca="1" si="3"/>
        <v>#REF!</v>
      </c>
    </row>
    <row r="221" spans="2:3">
      <c r="C221" t="e">
        <f t="shared" ca="1" si="3"/>
        <v>#REF!</v>
      </c>
    </row>
    <row r="222" spans="2:3">
      <c r="C222" t="e">
        <f t="shared" ca="1" si="3"/>
        <v>#REF!</v>
      </c>
    </row>
    <row r="223" spans="2:3">
      <c r="C223" t="e">
        <f t="shared" ca="1" si="3"/>
        <v>#REF!</v>
      </c>
    </row>
    <row r="224" spans="2:3">
      <c r="C224" t="e">
        <f t="shared" ca="1" si="3"/>
        <v>#REF!</v>
      </c>
    </row>
    <row r="225" spans="3:3">
      <c r="C225" t="e">
        <f t="shared" ca="1" si="3"/>
        <v>#REF!</v>
      </c>
    </row>
    <row r="226" spans="3:3">
      <c r="C226" t="e">
        <f t="shared" ca="1" si="3"/>
        <v>#REF!</v>
      </c>
    </row>
    <row r="227" spans="3:3">
      <c r="C227" t="e">
        <f t="shared" ca="1" si="3"/>
        <v>#REF!</v>
      </c>
    </row>
    <row r="228" spans="3:3">
      <c r="C228" t="e">
        <f t="shared" ca="1" si="3"/>
        <v>#REF!</v>
      </c>
    </row>
    <row r="229" spans="3:3">
      <c r="C229" t="e">
        <f t="shared" ca="1" si="3"/>
        <v>#REF!</v>
      </c>
    </row>
    <row r="230" spans="3:3">
      <c r="C230" t="e">
        <f t="shared" ca="1" si="3"/>
        <v>#REF!</v>
      </c>
    </row>
    <row r="231" spans="3:3">
      <c r="C231" t="e">
        <f t="shared" ca="1" si="3"/>
        <v>#REF!</v>
      </c>
    </row>
    <row r="232" spans="3:3">
      <c r="C232" t="e">
        <f t="shared" ca="1" si="3"/>
        <v>#REF!</v>
      </c>
    </row>
    <row r="233" spans="3:3">
      <c r="C233" t="e">
        <f t="shared" ca="1" si="3"/>
        <v>#REF!</v>
      </c>
    </row>
    <row r="234" spans="3:3">
      <c r="C234" t="e">
        <f t="shared" ca="1" si="3"/>
        <v>#REF!</v>
      </c>
    </row>
    <row r="235" spans="3:3">
      <c r="C235" t="e">
        <f t="shared" ca="1" si="3"/>
        <v>#REF!</v>
      </c>
    </row>
    <row r="236" spans="3:3">
      <c r="C236" t="e">
        <f t="shared" ca="1" si="3"/>
        <v>#REF!</v>
      </c>
    </row>
    <row r="237" spans="3:3">
      <c r="C237" t="e">
        <f t="shared" ca="1" si="3"/>
        <v>#REF!</v>
      </c>
    </row>
    <row r="238" spans="3:3">
      <c r="C238" t="e">
        <f t="shared" ca="1" si="3"/>
        <v>#REF!</v>
      </c>
    </row>
    <row r="239" spans="3:3">
      <c r="C239" t="e">
        <f t="shared" ca="1" si="3"/>
        <v>#REF!</v>
      </c>
    </row>
    <row r="240" spans="3:3">
      <c r="C240" t="e">
        <f t="shared" ca="1" si="3"/>
        <v>#REF!</v>
      </c>
    </row>
    <row r="241" spans="3:3">
      <c r="C241" t="e">
        <f t="shared" ca="1" si="3"/>
        <v>#REF!</v>
      </c>
    </row>
    <row r="242" spans="3:3">
      <c r="C242" t="e">
        <f t="shared" ca="1" si="3"/>
        <v>#REF!</v>
      </c>
    </row>
    <row r="243" spans="3:3">
      <c r="C243" t="e">
        <f t="shared" ca="1" si="3"/>
        <v>#REF!</v>
      </c>
    </row>
    <row r="244" spans="3:3">
      <c r="C244" t="e">
        <f t="shared" ca="1" si="3"/>
        <v>#REF!</v>
      </c>
    </row>
    <row r="245" spans="3:3">
      <c r="C245" t="e">
        <f t="shared" ca="1" si="3"/>
        <v>#REF!</v>
      </c>
    </row>
    <row r="246" spans="3:3">
      <c r="C246" t="e">
        <f t="shared" ca="1" si="3"/>
        <v>#REF!</v>
      </c>
    </row>
    <row r="247" spans="3:3">
      <c r="C247" t="e">
        <f t="shared" ca="1" si="3"/>
        <v>#REF!</v>
      </c>
    </row>
    <row r="248" spans="3:3">
      <c r="C248" t="e">
        <f t="shared" ca="1" si="3"/>
        <v>#REF!</v>
      </c>
    </row>
    <row r="249" spans="3:3">
      <c r="C249" t="e">
        <f t="shared" ca="1" si="3"/>
        <v>#REF!</v>
      </c>
    </row>
    <row r="250" spans="3:3">
      <c r="C250" t="e">
        <f t="shared" ca="1" si="3"/>
        <v>#REF!</v>
      </c>
    </row>
    <row r="251" spans="3:3">
      <c r="C251" t="e">
        <f t="shared" ca="1" si="3"/>
        <v>#REF!</v>
      </c>
    </row>
    <row r="252" spans="3:3">
      <c r="C252" t="e">
        <f t="shared" ca="1" si="3"/>
        <v>#REF!</v>
      </c>
    </row>
    <row r="253" spans="3:3">
      <c r="C253" t="e">
        <f t="shared" ca="1" si="3"/>
        <v>#REF!</v>
      </c>
    </row>
    <row r="254" spans="3:3">
      <c r="C254" t="e">
        <f t="shared" ca="1" si="3"/>
        <v>#REF!</v>
      </c>
    </row>
    <row r="255" spans="3:3">
      <c r="C255" t="e">
        <f t="shared" ca="1" si="3"/>
        <v>#REF!</v>
      </c>
    </row>
    <row r="256" spans="3:3">
      <c r="C256" t="e">
        <f t="shared" ca="1" si="3"/>
        <v>#REF!</v>
      </c>
    </row>
    <row r="257" spans="3:3">
      <c r="C257" t="e">
        <f t="shared" ca="1" si="3"/>
        <v>#REF!</v>
      </c>
    </row>
    <row r="258" spans="3:3">
      <c r="C258" t="e">
        <f t="shared" ca="1" si="3"/>
        <v>#REF!</v>
      </c>
    </row>
    <row r="259" spans="3:3">
      <c r="C259" t="e">
        <f t="shared" ref="C259:C322" ca="1" si="4">INDIRECT(B259)</f>
        <v>#REF!</v>
      </c>
    </row>
    <row r="260" spans="3:3">
      <c r="C260" t="e">
        <f t="shared" ca="1" si="4"/>
        <v>#REF!</v>
      </c>
    </row>
    <row r="261" spans="3:3">
      <c r="C261" t="e">
        <f t="shared" ca="1" si="4"/>
        <v>#REF!</v>
      </c>
    </row>
    <row r="262" spans="3:3">
      <c r="C262" t="e">
        <f t="shared" ca="1" si="4"/>
        <v>#REF!</v>
      </c>
    </row>
    <row r="263" spans="3:3">
      <c r="C263" t="e">
        <f t="shared" ca="1" si="4"/>
        <v>#REF!</v>
      </c>
    </row>
    <row r="264" spans="3:3">
      <c r="C264" t="e">
        <f t="shared" ca="1" si="4"/>
        <v>#REF!</v>
      </c>
    </row>
    <row r="265" spans="3:3">
      <c r="C265" t="e">
        <f t="shared" ca="1" si="4"/>
        <v>#REF!</v>
      </c>
    </row>
    <row r="266" spans="3:3">
      <c r="C266" t="e">
        <f t="shared" ca="1" si="4"/>
        <v>#REF!</v>
      </c>
    </row>
    <row r="267" spans="3:3">
      <c r="C267" t="e">
        <f t="shared" ca="1" si="4"/>
        <v>#REF!</v>
      </c>
    </row>
    <row r="268" spans="3:3">
      <c r="C268" t="e">
        <f t="shared" ca="1" si="4"/>
        <v>#REF!</v>
      </c>
    </row>
    <row r="269" spans="3:3">
      <c r="C269" t="e">
        <f t="shared" ca="1" si="4"/>
        <v>#REF!</v>
      </c>
    </row>
    <row r="270" spans="3:3">
      <c r="C270" t="e">
        <f t="shared" ca="1" si="4"/>
        <v>#REF!</v>
      </c>
    </row>
    <row r="271" spans="3:3">
      <c r="C271" t="e">
        <f t="shared" ca="1" si="4"/>
        <v>#REF!</v>
      </c>
    </row>
    <row r="272" spans="3:3">
      <c r="C272" t="e">
        <f t="shared" ca="1" si="4"/>
        <v>#REF!</v>
      </c>
    </row>
    <row r="273" spans="3:3">
      <c r="C273" t="e">
        <f t="shared" ca="1" si="4"/>
        <v>#REF!</v>
      </c>
    </row>
    <row r="274" spans="3:3">
      <c r="C274" t="e">
        <f t="shared" ca="1" si="4"/>
        <v>#REF!</v>
      </c>
    </row>
    <row r="275" spans="3:3">
      <c r="C275" t="e">
        <f t="shared" ca="1" si="4"/>
        <v>#REF!</v>
      </c>
    </row>
    <row r="276" spans="3:3">
      <c r="C276" t="e">
        <f t="shared" ca="1" si="4"/>
        <v>#REF!</v>
      </c>
    </row>
    <row r="277" spans="3:3">
      <c r="C277" t="e">
        <f t="shared" ca="1" si="4"/>
        <v>#REF!</v>
      </c>
    </row>
    <row r="278" spans="3:3">
      <c r="C278" t="e">
        <f t="shared" ca="1" si="4"/>
        <v>#REF!</v>
      </c>
    </row>
    <row r="279" spans="3:3">
      <c r="C279" t="e">
        <f t="shared" ca="1" si="4"/>
        <v>#REF!</v>
      </c>
    </row>
    <row r="280" spans="3:3">
      <c r="C280" t="e">
        <f t="shared" ca="1" si="4"/>
        <v>#REF!</v>
      </c>
    </row>
    <row r="281" spans="3:3">
      <c r="C281" t="e">
        <f t="shared" ca="1" si="4"/>
        <v>#REF!</v>
      </c>
    </row>
    <row r="282" spans="3:3">
      <c r="C282" t="e">
        <f t="shared" ca="1" si="4"/>
        <v>#REF!</v>
      </c>
    </row>
    <row r="283" spans="3:3">
      <c r="C283" t="e">
        <f t="shared" ca="1" si="4"/>
        <v>#REF!</v>
      </c>
    </row>
    <row r="284" spans="3:3">
      <c r="C284" t="e">
        <f t="shared" ca="1" si="4"/>
        <v>#REF!</v>
      </c>
    </row>
    <row r="285" spans="3:3">
      <c r="C285" t="e">
        <f t="shared" ca="1" si="4"/>
        <v>#REF!</v>
      </c>
    </row>
    <row r="286" spans="3:3">
      <c r="C286" t="e">
        <f t="shared" ca="1" si="4"/>
        <v>#REF!</v>
      </c>
    </row>
    <row r="287" spans="3:3">
      <c r="C287" t="e">
        <f t="shared" ca="1" si="4"/>
        <v>#REF!</v>
      </c>
    </row>
    <row r="288" spans="3:3">
      <c r="C288" t="e">
        <f t="shared" ca="1" si="4"/>
        <v>#REF!</v>
      </c>
    </row>
    <row r="289" spans="3:3">
      <c r="C289" t="e">
        <f t="shared" ca="1" si="4"/>
        <v>#REF!</v>
      </c>
    </row>
    <row r="290" spans="3:3">
      <c r="C290" t="e">
        <f t="shared" ca="1" si="4"/>
        <v>#REF!</v>
      </c>
    </row>
    <row r="291" spans="3:3">
      <c r="C291" t="e">
        <f t="shared" ca="1" si="4"/>
        <v>#REF!</v>
      </c>
    </row>
    <row r="292" spans="3:3">
      <c r="C292" t="e">
        <f t="shared" ca="1" si="4"/>
        <v>#REF!</v>
      </c>
    </row>
    <row r="293" spans="3:3">
      <c r="C293" t="e">
        <f t="shared" ca="1" si="4"/>
        <v>#REF!</v>
      </c>
    </row>
    <row r="294" spans="3:3">
      <c r="C294" t="e">
        <f t="shared" ca="1" si="4"/>
        <v>#REF!</v>
      </c>
    </row>
    <row r="295" spans="3:3">
      <c r="C295" t="e">
        <f t="shared" ca="1" si="4"/>
        <v>#REF!</v>
      </c>
    </row>
    <row r="296" spans="3:3">
      <c r="C296" t="e">
        <f t="shared" ca="1" si="4"/>
        <v>#REF!</v>
      </c>
    </row>
    <row r="297" spans="3:3">
      <c r="C297" t="e">
        <f t="shared" ca="1" si="4"/>
        <v>#REF!</v>
      </c>
    </row>
    <row r="298" spans="3:3">
      <c r="C298" t="e">
        <f t="shared" ca="1" si="4"/>
        <v>#REF!</v>
      </c>
    </row>
    <row r="299" spans="3:3">
      <c r="C299" t="e">
        <f t="shared" ca="1" si="4"/>
        <v>#REF!</v>
      </c>
    </row>
    <row r="300" spans="3:3">
      <c r="C300" t="e">
        <f t="shared" ca="1" si="4"/>
        <v>#REF!</v>
      </c>
    </row>
    <row r="301" spans="3:3">
      <c r="C301" t="e">
        <f t="shared" ca="1" si="4"/>
        <v>#REF!</v>
      </c>
    </row>
    <row r="302" spans="3:3">
      <c r="C302" t="e">
        <f t="shared" ca="1" si="4"/>
        <v>#REF!</v>
      </c>
    </row>
    <row r="303" spans="3:3">
      <c r="C303" t="e">
        <f t="shared" ca="1" si="4"/>
        <v>#REF!</v>
      </c>
    </row>
    <row r="304" spans="3:3">
      <c r="C304" t="e">
        <f t="shared" ca="1" si="4"/>
        <v>#REF!</v>
      </c>
    </row>
    <row r="305" spans="3:3">
      <c r="C305" t="e">
        <f t="shared" ca="1" si="4"/>
        <v>#REF!</v>
      </c>
    </row>
    <row r="306" spans="3:3">
      <c r="C306" t="e">
        <f t="shared" ca="1" si="4"/>
        <v>#REF!</v>
      </c>
    </row>
    <row r="307" spans="3:3">
      <c r="C307" t="e">
        <f t="shared" ca="1" si="4"/>
        <v>#REF!</v>
      </c>
    </row>
    <row r="308" spans="3:3">
      <c r="C308" t="e">
        <f t="shared" ca="1" si="4"/>
        <v>#REF!</v>
      </c>
    </row>
    <row r="309" spans="3:3">
      <c r="C309" t="e">
        <f t="shared" ca="1" si="4"/>
        <v>#REF!</v>
      </c>
    </row>
    <row r="310" spans="3:3">
      <c r="C310" t="e">
        <f t="shared" ca="1" si="4"/>
        <v>#REF!</v>
      </c>
    </row>
    <row r="311" spans="3:3">
      <c r="C311" t="e">
        <f t="shared" ca="1" si="4"/>
        <v>#REF!</v>
      </c>
    </row>
    <row r="312" spans="3:3">
      <c r="C312" t="e">
        <f t="shared" ca="1" si="4"/>
        <v>#REF!</v>
      </c>
    </row>
    <row r="313" spans="3:3">
      <c r="C313" t="e">
        <f t="shared" ca="1" si="4"/>
        <v>#REF!</v>
      </c>
    </row>
    <row r="314" spans="3:3">
      <c r="C314" t="e">
        <f t="shared" ca="1" si="4"/>
        <v>#REF!</v>
      </c>
    </row>
    <row r="315" spans="3:3">
      <c r="C315" t="e">
        <f t="shared" ca="1" si="4"/>
        <v>#REF!</v>
      </c>
    </row>
    <row r="316" spans="3:3">
      <c r="C316" t="e">
        <f t="shared" ca="1" si="4"/>
        <v>#REF!</v>
      </c>
    </row>
    <row r="317" spans="3:3">
      <c r="C317" t="e">
        <f t="shared" ca="1" si="4"/>
        <v>#REF!</v>
      </c>
    </row>
    <row r="318" spans="3:3">
      <c r="C318" t="e">
        <f t="shared" ca="1" si="4"/>
        <v>#REF!</v>
      </c>
    </row>
    <row r="319" spans="3:3">
      <c r="C319" t="e">
        <f t="shared" ca="1" si="4"/>
        <v>#REF!</v>
      </c>
    </row>
    <row r="320" spans="3:3">
      <c r="C320" t="e">
        <f t="shared" ca="1" si="4"/>
        <v>#REF!</v>
      </c>
    </row>
    <row r="321" spans="3:3">
      <c r="C321" t="e">
        <f t="shared" ca="1" si="4"/>
        <v>#REF!</v>
      </c>
    </row>
    <row r="322" spans="3:3">
      <c r="C322" t="e">
        <f t="shared" ca="1" si="4"/>
        <v>#REF!</v>
      </c>
    </row>
    <row r="323" spans="3:3">
      <c r="C323" t="e">
        <f t="shared" ref="C323:C386" ca="1" si="5">INDIRECT(B323)</f>
        <v>#REF!</v>
      </c>
    </row>
    <row r="324" spans="3:3">
      <c r="C324" t="e">
        <f t="shared" ca="1" si="5"/>
        <v>#REF!</v>
      </c>
    </row>
    <row r="325" spans="3:3">
      <c r="C325" t="e">
        <f t="shared" ca="1" si="5"/>
        <v>#REF!</v>
      </c>
    </row>
    <row r="326" spans="3:3">
      <c r="C326" t="e">
        <f t="shared" ca="1" si="5"/>
        <v>#REF!</v>
      </c>
    </row>
    <row r="327" spans="3:3">
      <c r="C327" t="e">
        <f t="shared" ca="1" si="5"/>
        <v>#REF!</v>
      </c>
    </row>
    <row r="328" spans="3:3">
      <c r="C328" t="e">
        <f t="shared" ca="1" si="5"/>
        <v>#REF!</v>
      </c>
    </row>
    <row r="329" spans="3:3">
      <c r="C329" t="e">
        <f t="shared" ca="1" si="5"/>
        <v>#REF!</v>
      </c>
    </row>
    <row r="330" spans="3:3">
      <c r="C330" t="e">
        <f t="shared" ca="1" si="5"/>
        <v>#REF!</v>
      </c>
    </row>
    <row r="331" spans="3:3">
      <c r="C331" t="e">
        <f t="shared" ca="1" si="5"/>
        <v>#REF!</v>
      </c>
    </row>
    <row r="332" spans="3:3">
      <c r="C332" t="e">
        <f t="shared" ca="1" si="5"/>
        <v>#REF!</v>
      </c>
    </row>
    <row r="333" spans="3:3">
      <c r="C333" t="e">
        <f t="shared" ca="1" si="5"/>
        <v>#REF!</v>
      </c>
    </row>
    <row r="334" spans="3:3">
      <c r="C334" t="e">
        <f t="shared" ca="1" si="5"/>
        <v>#REF!</v>
      </c>
    </row>
    <row r="335" spans="3:3">
      <c r="C335" t="e">
        <f t="shared" ca="1" si="5"/>
        <v>#REF!</v>
      </c>
    </row>
    <row r="336" spans="3:3">
      <c r="C336" t="e">
        <f t="shared" ca="1" si="5"/>
        <v>#REF!</v>
      </c>
    </row>
    <row r="337" spans="3:3">
      <c r="C337" t="e">
        <f t="shared" ca="1" si="5"/>
        <v>#REF!</v>
      </c>
    </row>
    <row r="338" spans="3:3">
      <c r="C338" t="e">
        <f t="shared" ca="1" si="5"/>
        <v>#REF!</v>
      </c>
    </row>
    <row r="339" spans="3:3">
      <c r="C339" t="e">
        <f t="shared" ca="1" si="5"/>
        <v>#REF!</v>
      </c>
    </row>
    <row r="340" spans="3:3">
      <c r="C340" t="e">
        <f t="shared" ca="1" si="5"/>
        <v>#REF!</v>
      </c>
    </row>
    <row r="341" spans="3:3">
      <c r="C341" t="e">
        <f t="shared" ca="1" si="5"/>
        <v>#REF!</v>
      </c>
    </row>
    <row r="342" spans="3:3">
      <c r="C342" t="e">
        <f t="shared" ca="1" si="5"/>
        <v>#REF!</v>
      </c>
    </row>
    <row r="343" spans="3:3">
      <c r="C343" t="e">
        <f t="shared" ca="1" si="5"/>
        <v>#REF!</v>
      </c>
    </row>
    <row r="344" spans="3:3">
      <c r="C344" t="e">
        <f t="shared" ca="1" si="5"/>
        <v>#REF!</v>
      </c>
    </row>
    <row r="345" spans="3:3">
      <c r="C345" t="e">
        <f t="shared" ca="1" si="5"/>
        <v>#REF!</v>
      </c>
    </row>
    <row r="346" spans="3:3">
      <c r="C346" t="e">
        <f t="shared" ca="1" si="5"/>
        <v>#REF!</v>
      </c>
    </row>
    <row r="347" spans="3:3">
      <c r="C347" t="e">
        <f t="shared" ca="1" si="5"/>
        <v>#REF!</v>
      </c>
    </row>
    <row r="348" spans="3:3">
      <c r="C348" t="e">
        <f t="shared" ca="1" si="5"/>
        <v>#REF!</v>
      </c>
    </row>
    <row r="349" spans="3:3">
      <c r="C349" t="e">
        <f t="shared" ca="1" si="5"/>
        <v>#REF!</v>
      </c>
    </row>
    <row r="350" spans="3:3">
      <c r="C350" t="e">
        <f t="shared" ca="1" si="5"/>
        <v>#REF!</v>
      </c>
    </row>
    <row r="351" spans="3:3">
      <c r="C351" t="e">
        <f t="shared" ca="1" si="5"/>
        <v>#REF!</v>
      </c>
    </row>
    <row r="352" spans="3:3">
      <c r="C352" t="e">
        <f t="shared" ca="1" si="5"/>
        <v>#REF!</v>
      </c>
    </row>
    <row r="353" spans="3:3">
      <c r="C353" t="e">
        <f t="shared" ca="1" si="5"/>
        <v>#REF!</v>
      </c>
    </row>
    <row r="354" spans="3:3">
      <c r="C354" t="e">
        <f t="shared" ca="1" si="5"/>
        <v>#REF!</v>
      </c>
    </row>
    <row r="355" spans="3:3">
      <c r="C355" t="e">
        <f t="shared" ca="1" si="5"/>
        <v>#REF!</v>
      </c>
    </row>
    <row r="356" spans="3:3">
      <c r="C356" t="e">
        <f t="shared" ca="1" si="5"/>
        <v>#REF!</v>
      </c>
    </row>
    <row r="357" spans="3:3">
      <c r="C357" t="e">
        <f t="shared" ca="1" si="5"/>
        <v>#REF!</v>
      </c>
    </row>
    <row r="358" spans="3:3">
      <c r="C358" t="e">
        <f t="shared" ca="1" si="5"/>
        <v>#REF!</v>
      </c>
    </row>
    <row r="359" spans="3:3">
      <c r="C359" t="e">
        <f t="shared" ca="1" si="5"/>
        <v>#REF!</v>
      </c>
    </row>
    <row r="360" spans="3:3">
      <c r="C360" t="e">
        <f t="shared" ca="1" si="5"/>
        <v>#REF!</v>
      </c>
    </row>
    <row r="361" spans="3:3">
      <c r="C361" t="e">
        <f t="shared" ca="1" si="5"/>
        <v>#REF!</v>
      </c>
    </row>
    <row r="362" spans="3:3">
      <c r="C362" t="e">
        <f t="shared" ca="1" si="5"/>
        <v>#REF!</v>
      </c>
    </row>
    <row r="363" spans="3:3">
      <c r="C363" t="e">
        <f t="shared" ca="1" si="5"/>
        <v>#REF!</v>
      </c>
    </row>
    <row r="364" spans="3:3">
      <c r="C364" t="e">
        <f t="shared" ca="1" si="5"/>
        <v>#REF!</v>
      </c>
    </row>
    <row r="365" spans="3:3">
      <c r="C365" t="e">
        <f t="shared" ca="1" si="5"/>
        <v>#REF!</v>
      </c>
    </row>
    <row r="366" spans="3:3">
      <c r="C366" t="e">
        <f t="shared" ca="1" si="5"/>
        <v>#REF!</v>
      </c>
    </row>
    <row r="367" spans="3:3">
      <c r="C367" t="e">
        <f t="shared" ca="1" si="5"/>
        <v>#REF!</v>
      </c>
    </row>
    <row r="368" spans="3:3">
      <c r="C368" t="e">
        <f t="shared" ca="1" si="5"/>
        <v>#REF!</v>
      </c>
    </row>
    <row r="369" spans="3:3">
      <c r="C369" t="e">
        <f t="shared" ca="1" si="5"/>
        <v>#REF!</v>
      </c>
    </row>
    <row r="370" spans="3:3">
      <c r="C370" t="e">
        <f t="shared" ca="1" si="5"/>
        <v>#REF!</v>
      </c>
    </row>
    <row r="371" spans="3:3">
      <c r="C371" t="e">
        <f t="shared" ca="1" si="5"/>
        <v>#REF!</v>
      </c>
    </row>
    <row r="372" spans="3:3">
      <c r="C372" t="e">
        <f t="shared" ca="1" si="5"/>
        <v>#REF!</v>
      </c>
    </row>
    <row r="373" spans="3:3">
      <c r="C373" t="e">
        <f t="shared" ca="1" si="5"/>
        <v>#REF!</v>
      </c>
    </row>
    <row r="374" spans="3:3">
      <c r="C374" t="e">
        <f t="shared" ca="1" si="5"/>
        <v>#REF!</v>
      </c>
    </row>
    <row r="375" spans="3:3">
      <c r="C375" t="e">
        <f t="shared" ca="1" si="5"/>
        <v>#REF!</v>
      </c>
    </row>
    <row r="376" spans="3:3">
      <c r="C376" t="e">
        <f t="shared" ca="1" si="5"/>
        <v>#REF!</v>
      </c>
    </row>
    <row r="377" spans="3:3">
      <c r="C377" t="e">
        <f t="shared" ca="1" si="5"/>
        <v>#REF!</v>
      </c>
    </row>
    <row r="378" spans="3:3">
      <c r="C378" t="e">
        <f t="shared" ca="1" si="5"/>
        <v>#REF!</v>
      </c>
    </row>
    <row r="379" spans="3:3">
      <c r="C379" t="e">
        <f t="shared" ca="1" si="5"/>
        <v>#REF!</v>
      </c>
    </row>
    <row r="380" spans="3:3">
      <c r="C380" t="e">
        <f t="shared" ca="1" si="5"/>
        <v>#REF!</v>
      </c>
    </row>
    <row r="381" spans="3:3">
      <c r="C381" t="e">
        <f t="shared" ca="1" si="5"/>
        <v>#REF!</v>
      </c>
    </row>
    <row r="382" spans="3:3">
      <c r="C382" t="e">
        <f t="shared" ca="1" si="5"/>
        <v>#REF!</v>
      </c>
    </row>
    <row r="383" spans="3:3">
      <c r="C383" t="e">
        <f t="shared" ca="1" si="5"/>
        <v>#REF!</v>
      </c>
    </row>
    <row r="384" spans="3:3">
      <c r="C384" t="e">
        <f t="shared" ca="1" si="5"/>
        <v>#REF!</v>
      </c>
    </row>
    <row r="385" spans="3:3">
      <c r="C385" t="e">
        <f t="shared" ca="1" si="5"/>
        <v>#REF!</v>
      </c>
    </row>
    <row r="386" spans="3:3">
      <c r="C386" t="e">
        <f t="shared" ca="1" si="5"/>
        <v>#REF!</v>
      </c>
    </row>
    <row r="387" spans="3:3">
      <c r="C387" t="e">
        <f t="shared" ref="C387:C450" ca="1" si="6">INDIRECT(B387)</f>
        <v>#REF!</v>
      </c>
    </row>
    <row r="388" spans="3:3">
      <c r="C388" t="e">
        <f t="shared" ca="1" si="6"/>
        <v>#REF!</v>
      </c>
    </row>
    <row r="389" spans="3:3">
      <c r="C389" t="e">
        <f t="shared" ca="1" si="6"/>
        <v>#REF!</v>
      </c>
    </row>
    <row r="390" spans="3:3">
      <c r="C390" t="e">
        <f t="shared" ca="1" si="6"/>
        <v>#REF!</v>
      </c>
    </row>
    <row r="391" spans="3:3">
      <c r="C391" t="e">
        <f t="shared" ca="1" si="6"/>
        <v>#REF!</v>
      </c>
    </row>
    <row r="392" spans="3:3">
      <c r="C392" t="e">
        <f t="shared" ca="1" si="6"/>
        <v>#REF!</v>
      </c>
    </row>
    <row r="393" spans="3:3">
      <c r="C393" t="e">
        <f t="shared" ca="1" si="6"/>
        <v>#REF!</v>
      </c>
    </row>
    <row r="394" spans="3:3">
      <c r="C394" t="e">
        <f t="shared" ca="1" si="6"/>
        <v>#REF!</v>
      </c>
    </row>
    <row r="395" spans="3:3">
      <c r="C395" t="e">
        <f t="shared" ca="1" si="6"/>
        <v>#REF!</v>
      </c>
    </row>
    <row r="396" spans="3:3">
      <c r="C396" t="e">
        <f t="shared" ca="1" si="6"/>
        <v>#REF!</v>
      </c>
    </row>
    <row r="397" spans="3:3">
      <c r="C397" t="e">
        <f t="shared" ca="1" si="6"/>
        <v>#REF!</v>
      </c>
    </row>
    <row r="398" spans="3:3">
      <c r="C398" t="e">
        <f t="shared" ca="1" si="6"/>
        <v>#REF!</v>
      </c>
    </row>
    <row r="399" spans="3:3">
      <c r="C399" t="e">
        <f t="shared" ca="1" si="6"/>
        <v>#REF!</v>
      </c>
    </row>
    <row r="400" spans="3:3">
      <c r="C400" t="e">
        <f t="shared" ca="1" si="6"/>
        <v>#REF!</v>
      </c>
    </row>
    <row r="401" spans="3:3">
      <c r="C401" t="e">
        <f t="shared" ca="1" si="6"/>
        <v>#REF!</v>
      </c>
    </row>
    <row r="402" spans="3:3">
      <c r="C402" t="e">
        <f t="shared" ca="1" si="6"/>
        <v>#REF!</v>
      </c>
    </row>
    <row r="403" spans="3:3">
      <c r="C403" t="e">
        <f t="shared" ca="1" si="6"/>
        <v>#REF!</v>
      </c>
    </row>
    <row r="404" spans="3:3">
      <c r="C404" t="e">
        <f t="shared" ca="1" si="6"/>
        <v>#REF!</v>
      </c>
    </row>
    <row r="405" spans="3:3">
      <c r="C405" t="e">
        <f t="shared" ca="1" si="6"/>
        <v>#REF!</v>
      </c>
    </row>
    <row r="406" spans="3:3">
      <c r="C406" t="e">
        <f t="shared" ca="1" si="6"/>
        <v>#REF!</v>
      </c>
    </row>
    <row r="407" spans="3:3">
      <c r="C407" t="e">
        <f t="shared" ca="1" si="6"/>
        <v>#REF!</v>
      </c>
    </row>
    <row r="408" spans="3:3">
      <c r="C408" t="e">
        <f t="shared" ca="1" si="6"/>
        <v>#REF!</v>
      </c>
    </row>
    <row r="409" spans="3:3">
      <c r="C409" t="e">
        <f t="shared" ca="1" si="6"/>
        <v>#REF!</v>
      </c>
    </row>
    <row r="410" spans="3:3">
      <c r="C410" t="e">
        <f t="shared" ca="1" si="6"/>
        <v>#REF!</v>
      </c>
    </row>
    <row r="411" spans="3:3">
      <c r="C411" t="e">
        <f t="shared" ca="1" si="6"/>
        <v>#REF!</v>
      </c>
    </row>
    <row r="412" spans="3:3">
      <c r="C412" t="e">
        <f t="shared" ca="1" si="6"/>
        <v>#REF!</v>
      </c>
    </row>
    <row r="413" spans="3:3">
      <c r="C413" t="e">
        <f t="shared" ca="1" si="6"/>
        <v>#REF!</v>
      </c>
    </row>
    <row r="414" spans="3:3">
      <c r="C414" t="e">
        <f t="shared" ca="1" si="6"/>
        <v>#REF!</v>
      </c>
    </row>
    <row r="415" spans="3:3">
      <c r="C415" t="e">
        <f t="shared" ca="1" si="6"/>
        <v>#REF!</v>
      </c>
    </row>
    <row r="416" spans="3:3">
      <c r="C416" t="e">
        <f t="shared" ca="1" si="6"/>
        <v>#REF!</v>
      </c>
    </row>
    <row r="417" spans="3:3">
      <c r="C417" t="e">
        <f t="shared" ca="1" si="6"/>
        <v>#REF!</v>
      </c>
    </row>
    <row r="418" spans="3:3">
      <c r="C418" t="e">
        <f t="shared" ca="1" si="6"/>
        <v>#REF!</v>
      </c>
    </row>
    <row r="419" spans="3:3">
      <c r="C419" t="e">
        <f t="shared" ca="1" si="6"/>
        <v>#REF!</v>
      </c>
    </row>
    <row r="420" spans="3:3">
      <c r="C420" t="e">
        <f t="shared" ca="1" si="6"/>
        <v>#REF!</v>
      </c>
    </row>
    <row r="421" spans="3:3">
      <c r="C421" t="e">
        <f t="shared" ca="1" si="6"/>
        <v>#REF!</v>
      </c>
    </row>
    <row r="422" spans="3:3">
      <c r="C422" t="e">
        <f t="shared" ca="1" si="6"/>
        <v>#REF!</v>
      </c>
    </row>
    <row r="423" spans="3:3">
      <c r="C423" t="e">
        <f t="shared" ca="1" si="6"/>
        <v>#REF!</v>
      </c>
    </row>
    <row r="424" spans="3:3">
      <c r="C424" t="e">
        <f t="shared" ca="1" si="6"/>
        <v>#REF!</v>
      </c>
    </row>
    <row r="425" spans="3:3">
      <c r="C425" t="e">
        <f t="shared" ca="1" si="6"/>
        <v>#REF!</v>
      </c>
    </row>
    <row r="426" spans="3:3">
      <c r="C426" t="e">
        <f t="shared" ca="1" si="6"/>
        <v>#REF!</v>
      </c>
    </row>
    <row r="427" spans="3:3">
      <c r="C427" t="e">
        <f t="shared" ca="1" si="6"/>
        <v>#REF!</v>
      </c>
    </row>
    <row r="428" spans="3:3">
      <c r="C428" t="e">
        <f t="shared" ca="1" si="6"/>
        <v>#REF!</v>
      </c>
    </row>
    <row r="429" spans="3:3">
      <c r="C429" t="e">
        <f t="shared" ca="1" si="6"/>
        <v>#REF!</v>
      </c>
    </row>
    <row r="430" spans="3:3">
      <c r="C430" t="e">
        <f t="shared" ca="1" si="6"/>
        <v>#REF!</v>
      </c>
    </row>
    <row r="431" spans="3:3">
      <c r="C431" t="e">
        <f t="shared" ca="1" si="6"/>
        <v>#REF!</v>
      </c>
    </row>
    <row r="432" spans="3:3">
      <c r="C432" t="e">
        <f t="shared" ca="1" si="6"/>
        <v>#REF!</v>
      </c>
    </row>
    <row r="433" spans="3:3">
      <c r="C433" t="e">
        <f t="shared" ca="1" si="6"/>
        <v>#REF!</v>
      </c>
    </row>
    <row r="434" spans="3:3">
      <c r="C434" t="e">
        <f t="shared" ca="1" si="6"/>
        <v>#REF!</v>
      </c>
    </row>
    <row r="435" spans="3:3">
      <c r="C435" t="e">
        <f t="shared" ca="1" si="6"/>
        <v>#REF!</v>
      </c>
    </row>
    <row r="436" spans="3:3">
      <c r="C436" t="e">
        <f t="shared" ca="1" si="6"/>
        <v>#REF!</v>
      </c>
    </row>
    <row r="437" spans="3:3">
      <c r="C437" t="e">
        <f t="shared" ca="1" si="6"/>
        <v>#REF!</v>
      </c>
    </row>
    <row r="438" spans="3:3">
      <c r="C438" t="e">
        <f t="shared" ca="1" si="6"/>
        <v>#REF!</v>
      </c>
    </row>
    <row r="439" spans="3:3">
      <c r="C439" t="e">
        <f t="shared" ca="1" si="6"/>
        <v>#REF!</v>
      </c>
    </row>
    <row r="440" spans="3:3">
      <c r="C440" t="e">
        <f t="shared" ca="1" si="6"/>
        <v>#REF!</v>
      </c>
    </row>
    <row r="441" spans="3:3">
      <c r="C441" t="e">
        <f t="shared" ca="1" si="6"/>
        <v>#REF!</v>
      </c>
    </row>
    <row r="442" spans="3:3">
      <c r="C442" t="e">
        <f t="shared" ca="1" si="6"/>
        <v>#REF!</v>
      </c>
    </row>
    <row r="443" spans="3:3">
      <c r="C443" t="e">
        <f t="shared" ca="1" si="6"/>
        <v>#REF!</v>
      </c>
    </row>
    <row r="444" spans="3:3">
      <c r="C444" t="e">
        <f t="shared" ca="1" si="6"/>
        <v>#REF!</v>
      </c>
    </row>
    <row r="445" spans="3:3">
      <c r="C445" t="e">
        <f t="shared" ca="1" si="6"/>
        <v>#REF!</v>
      </c>
    </row>
    <row r="446" spans="3:3">
      <c r="C446" t="e">
        <f t="shared" ca="1" si="6"/>
        <v>#REF!</v>
      </c>
    </row>
    <row r="447" spans="3:3">
      <c r="C447" t="e">
        <f t="shared" ca="1" si="6"/>
        <v>#REF!</v>
      </c>
    </row>
    <row r="448" spans="3:3">
      <c r="C448" t="e">
        <f t="shared" ca="1" si="6"/>
        <v>#REF!</v>
      </c>
    </row>
    <row r="449" spans="3:3">
      <c r="C449" t="e">
        <f t="shared" ca="1" si="6"/>
        <v>#REF!</v>
      </c>
    </row>
    <row r="450" spans="3:3">
      <c r="C450" t="e">
        <f t="shared" ca="1" si="6"/>
        <v>#REF!</v>
      </c>
    </row>
    <row r="451" spans="3:3">
      <c r="C451" t="e">
        <f t="shared" ref="C451:C514" ca="1" si="7">INDIRECT(B451)</f>
        <v>#REF!</v>
      </c>
    </row>
    <row r="452" spans="3:3">
      <c r="C452" t="e">
        <f t="shared" ca="1" si="7"/>
        <v>#REF!</v>
      </c>
    </row>
    <row r="453" spans="3:3">
      <c r="C453" t="e">
        <f t="shared" ca="1" si="7"/>
        <v>#REF!</v>
      </c>
    </row>
    <row r="454" spans="3:3">
      <c r="C454" t="e">
        <f t="shared" ca="1" si="7"/>
        <v>#REF!</v>
      </c>
    </row>
    <row r="455" spans="3:3">
      <c r="C455" t="e">
        <f t="shared" ca="1" si="7"/>
        <v>#REF!</v>
      </c>
    </row>
    <row r="456" spans="3:3">
      <c r="C456" t="e">
        <f t="shared" ca="1" si="7"/>
        <v>#REF!</v>
      </c>
    </row>
    <row r="457" spans="3:3">
      <c r="C457" t="e">
        <f t="shared" ca="1" si="7"/>
        <v>#REF!</v>
      </c>
    </row>
    <row r="458" spans="3:3">
      <c r="C458" t="e">
        <f t="shared" ca="1" si="7"/>
        <v>#REF!</v>
      </c>
    </row>
    <row r="459" spans="3:3">
      <c r="C459" t="e">
        <f t="shared" ca="1" si="7"/>
        <v>#REF!</v>
      </c>
    </row>
    <row r="460" spans="3:3">
      <c r="C460" t="e">
        <f t="shared" ca="1" si="7"/>
        <v>#REF!</v>
      </c>
    </row>
    <row r="461" spans="3:3">
      <c r="C461" t="e">
        <f t="shared" ca="1" si="7"/>
        <v>#REF!</v>
      </c>
    </row>
    <row r="462" spans="3:3">
      <c r="C462" t="e">
        <f t="shared" ca="1" si="7"/>
        <v>#REF!</v>
      </c>
    </row>
    <row r="463" spans="3:3">
      <c r="C463" t="e">
        <f t="shared" ca="1" si="7"/>
        <v>#REF!</v>
      </c>
    </row>
    <row r="464" spans="3:3">
      <c r="C464" t="e">
        <f t="shared" ca="1" si="7"/>
        <v>#REF!</v>
      </c>
    </row>
    <row r="465" spans="3:3">
      <c r="C465" t="e">
        <f t="shared" ca="1" si="7"/>
        <v>#REF!</v>
      </c>
    </row>
    <row r="466" spans="3:3">
      <c r="C466" t="e">
        <f t="shared" ca="1" si="7"/>
        <v>#REF!</v>
      </c>
    </row>
    <row r="467" spans="3:3">
      <c r="C467" t="e">
        <f t="shared" ca="1" si="7"/>
        <v>#REF!</v>
      </c>
    </row>
    <row r="468" spans="3:3">
      <c r="C468" t="e">
        <f t="shared" ca="1" si="7"/>
        <v>#REF!</v>
      </c>
    </row>
    <row r="469" spans="3:3">
      <c r="C469" t="e">
        <f t="shared" ca="1" si="7"/>
        <v>#REF!</v>
      </c>
    </row>
    <row r="470" spans="3:3">
      <c r="C470" t="e">
        <f t="shared" ca="1" si="7"/>
        <v>#REF!</v>
      </c>
    </row>
    <row r="471" spans="3:3">
      <c r="C471" t="e">
        <f t="shared" ca="1" si="7"/>
        <v>#REF!</v>
      </c>
    </row>
    <row r="472" spans="3:3">
      <c r="C472" t="e">
        <f t="shared" ca="1" si="7"/>
        <v>#REF!</v>
      </c>
    </row>
    <row r="473" spans="3:3">
      <c r="C473" t="e">
        <f t="shared" ca="1" si="7"/>
        <v>#REF!</v>
      </c>
    </row>
    <row r="474" spans="3:3">
      <c r="C474" t="e">
        <f t="shared" ca="1" si="7"/>
        <v>#REF!</v>
      </c>
    </row>
    <row r="475" spans="3:3">
      <c r="C475" t="e">
        <f t="shared" ca="1" si="7"/>
        <v>#REF!</v>
      </c>
    </row>
    <row r="476" spans="3:3">
      <c r="C476" t="e">
        <f t="shared" ca="1" si="7"/>
        <v>#REF!</v>
      </c>
    </row>
    <row r="477" spans="3:3">
      <c r="C477" t="e">
        <f t="shared" ca="1" si="7"/>
        <v>#REF!</v>
      </c>
    </row>
    <row r="478" spans="3:3">
      <c r="C478" t="e">
        <f t="shared" ca="1" si="7"/>
        <v>#REF!</v>
      </c>
    </row>
    <row r="479" spans="3:3">
      <c r="C479" t="e">
        <f t="shared" ca="1" si="7"/>
        <v>#REF!</v>
      </c>
    </row>
    <row r="480" spans="3:3">
      <c r="C480" t="e">
        <f t="shared" ca="1" si="7"/>
        <v>#REF!</v>
      </c>
    </row>
    <row r="481" spans="3:3">
      <c r="C481" t="e">
        <f t="shared" ca="1" si="7"/>
        <v>#REF!</v>
      </c>
    </row>
    <row r="482" spans="3:3">
      <c r="C482" t="e">
        <f t="shared" ca="1" si="7"/>
        <v>#REF!</v>
      </c>
    </row>
    <row r="483" spans="3:3">
      <c r="C483" t="e">
        <f t="shared" ca="1" si="7"/>
        <v>#REF!</v>
      </c>
    </row>
    <row r="484" spans="3:3">
      <c r="C484" t="e">
        <f t="shared" ca="1" si="7"/>
        <v>#REF!</v>
      </c>
    </row>
    <row r="485" spans="3:3">
      <c r="C485" t="e">
        <f t="shared" ca="1" si="7"/>
        <v>#REF!</v>
      </c>
    </row>
    <row r="486" spans="3:3">
      <c r="C486" t="e">
        <f t="shared" ca="1" si="7"/>
        <v>#REF!</v>
      </c>
    </row>
    <row r="487" spans="3:3">
      <c r="C487" t="e">
        <f t="shared" ca="1" si="7"/>
        <v>#REF!</v>
      </c>
    </row>
    <row r="488" spans="3:3">
      <c r="C488" t="e">
        <f t="shared" ca="1" si="7"/>
        <v>#REF!</v>
      </c>
    </row>
    <row r="489" spans="3:3">
      <c r="C489" t="e">
        <f t="shared" ca="1" si="7"/>
        <v>#REF!</v>
      </c>
    </row>
    <row r="490" spans="3:3">
      <c r="C490" t="e">
        <f t="shared" ca="1" si="7"/>
        <v>#REF!</v>
      </c>
    </row>
    <row r="491" spans="3:3">
      <c r="C491" t="e">
        <f t="shared" ca="1" si="7"/>
        <v>#REF!</v>
      </c>
    </row>
    <row r="492" spans="3:3">
      <c r="C492" t="e">
        <f t="shared" ca="1" si="7"/>
        <v>#REF!</v>
      </c>
    </row>
    <row r="493" spans="3:3">
      <c r="C493" t="e">
        <f t="shared" ca="1" si="7"/>
        <v>#REF!</v>
      </c>
    </row>
    <row r="494" spans="3:3">
      <c r="C494" t="e">
        <f t="shared" ca="1" si="7"/>
        <v>#REF!</v>
      </c>
    </row>
    <row r="495" spans="3:3">
      <c r="C495" t="e">
        <f t="shared" ca="1" si="7"/>
        <v>#REF!</v>
      </c>
    </row>
    <row r="496" spans="3:3">
      <c r="C496" t="e">
        <f t="shared" ca="1" si="7"/>
        <v>#REF!</v>
      </c>
    </row>
    <row r="497" spans="3:3">
      <c r="C497" t="e">
        <f t="shared" ca="1" si="7"/>
        <v>#REF!</v>
      </c>
    </row>
    <row r="498" spans="3:3">
      <c r="C498" t="e">
        <f t="shared" ca="1" si="7"/>
        <v>#REF!</v>
      </c>
    </row>
    <row r="499" spans="3:3">
      <c r="C499" t="e">
        <f t="shared" ca="1" si="7"/>
        <v>#REF!</v>
      </c>
    </row>
    <row r="500" spans="3:3">
      <c r="C500" t="e">
        <f t="shared" ca="1" si="7"/>
        <v>#REF!</v>
      </c>
    </row>
    <row r="501" spans="3:3">
      <c r="C501" t="e">
        <f t="shared" ca="1" si="7"/>
        <v>#REF!</v>
      </c>
    </row>
    <row r="502" spans="3:3">
      <c r="C502" t="e">
        <f t="shared" ca="1" si="7"/>
        <v>#REF!</v>
      </c>
    </row>
    <row r="503" spans="3:3">
      <c r="C503" t="e">
        <f t="shared" ca="1" si="7"/>
        <v>#REF!</v>
      </c>
    </row>
    <row r="504" spans="3:3">
      <c r="C504" t="e">
        <f t="shared" ca="1" si="7"/>
        <v>#REF!</v>
      </c>
    </row>
    <row r="505" spans="3:3">
      <c r="C505" t="e">
        <f t="shared" ca="1" si="7"/>
        <v>#REF!</v>
      </c>
    </row>
    <row r="506" spans="3:3">
      <c r="C506" t="e">
        <f t="shared" ca="1" si="7"/>
        <v>#REF!</v>
      </c>
    </row>
    <row r="507" spans="3:3">
      <c r="C507" t="e">
        <f t="shared" ca="1" si="7"/>
        <v>#REF!</v>
      </c>
    </row>
    <row r="508" spans="3:3">
      <c r="C508" t="e">
        <f t="shared" ca="1" si="7"/>
        <v>#REF!</v>
      </c>
    </row>
    <row r="509" spans="3:3">
      <c r="C509" t="e">
        <f t="shared" ca="1" si="7"/>
        <v>#REF!</v>
      </c>
    </row>
    <row r="510" spans="3:3">
      <c r="C510" t="e">
        <f t="shared" ca="1" si="7"/>
        <v>#REF!</v>
      </c>
    </row>
    <row r="511" spans="3:3">
      <c r="C511" t="e">
        <f t="shared" ca="1" si="7"/>
        <v>#REF!</v>
      </c>
    </row>
    <row r="512" spans="3:3">
      <c r="C512" t="e">
        <f t="shared" ca="1" si="7"/>
        <v>#REF!</v>
      </c>
    </row>
    <row r="513" spans="3:3">
      <c r="C513" t="e">
        <f t="shared" ca="1" si="7"/>
        <v>#REF!</v>
      </c>
    </row>
    <row r="514" spans="3:3">
      <c r="C514" t="e">
        <f t="shared" ca="1" si="7"/>
        <v>#REF!</v>
      </c>
    </row>
    <row r="515" spans="3:3">
      <c r="C515" t="e">
        <f t="shared" ref="C515:C578" ca="1" si="8">INDIRECT(B515)</f>
        <v>#REF!</v>
      </c>
    </row>
    <row r="516" spans="3:3">
      <c r="C516" t="e">
        <f t="shared" ca="1" si="8"/>
        <v>#REF!</v>
      </c>
    </row>
    <row r="517" spans="3:3">
      <c r="C517" t="e">
        <f t="shared" ca="1" si="8"/>
        <v>#REF!</v>
      </c>
    </row>
    <row r="518" spans="3:3">
      <c r="C518" t="e">
        <f t="shared" ca="1" si="8"/>
        <v>#REF!</v>
      </c>
    </row>
    <row r="519" spans="3:3">
      <c r="C519" t="e">
        <f t="shared" ca="1" si="8"/>
        <v>#REF!</v>
      </c>
    </row>
    <row r="520" spans="3:3">
      <c r="C520" t="e">
        <f t="shared" ca="1" si="8"/>
        <v>#REF!</v>
      </c>
    </row>
    <row r="521" spans="3:3">
      <c r="C521" t="e">
        <f t="shared" ca="1" si="8"/>
        <v>#REF!</v>
      </c>
    </row>
    <row r="522" spans="3:3">
      <c r="C522" t="e">
        <f t="shared" ca="1" si="8"/>
        <v>#REF!</v>
      </c>
    </row>
    <row r="523" spans="3:3">
      <c r="C523" t="e">
        <f t="shared" ca="1" si="8"/>
        <v>#REF!</v>
      </c>
    </row>
    <row r="524" spans="3:3">
      <c r="C524" t="e">
        <f t="shared" ca="1" si="8"/>
        <v>#REF!</v>
      </c>
    </row>
    <row r="525" spans="3:3">
      <c r="C525" t="e">
        <f t="shared" ca="1" si="8"/>
        <v>#REF!</v>
      </c>
    </row>
    <row r="526" spans="3:3">
      <c r="C526" t="e">
        <f t="shared" ca="1" si="8"/>
        <v>#REF!</v>
      </c>
    </row>
    <row r="527" spans="3:3">
      <c r="C527" t="e">
        <f t="shared" ca="1" si="8"/>
        <v>#REF!</v>
      </c>
    </row>
    <row r="528" spans="3:3">
      <c r="C528" t="e">
        <f t="shared" ca="1" si="8"/>
        <v>#REF!</v>
      </c>
    </row>
    <row r="529" spans="3:3">
      <c r="C529" t="e">
        <f t="shared" ca="1" si="8"/>
        <v>#REF!</v>
      </c>
    </row>
    <row r="530" spans="3:3">
      <c r="C530" t="e">
        <f t="shared" ca="1" si="8"/>
        <v>#REF!</v>
      </c>
    </row>
    <row r="531" spans="3:3">
      <c r="C531" t="e">
        <f t="shared" ca="1" si="8"/>
        <v>#REF!</v>
      </c>
    </row>
    <row r="532" spans="3:3">
      <c r="C532" t="e">
        <f t="shared" ca="1" si="8"/>
        <v>#REF!</v>
      </c>
    </row>
    <row r="533" spans="3:3">
      <c r="C533" t="e">
        <f t="shared" ca="1" si="8"/>
        <v>#REF!</v>
      </c>
    </row>
    <row r="534" spans="3:3">
      <c r="C534" t="e">
        <f t="shared" ca="1" si="8"/>
        <v>#REF!</v>
      </c>
    </row>
    <row r="535" spans="3:3">
      <c r="C535" t="e">
        <f t="shared" ca="1" si="8"/>
        <v>#REF!</v>
      </c>
    </row>
    <row r="536" spans="3:3">
      <c r="C536" t="e">
        <f t="shared" ca="1" si="8"/>
        <v>#REF!</v>
      </c>
    </row>
    <row r="537" spans="3:3">
      <c r="C537" t="e">
        <f t="shared" ca="1" si="8"/>
        <v>#REF!</v>
      </c>
    </row>
    <row r="538" spans="3:3">
      <c r="C538" t="e">
        <f t="shared" ca="1" si="8"/>
        <v>#REF!</v>
      </c>
    </row>
    <row r="539" spans="3:3">
      <c r="C539" t="e">
        <f t="shared" ca="1" si="8"/>
        <v>#REF!</v>
      </c>
    </row>
    <row r="540" spans="3:3">
      <c r="C540" t="e">
        <f t="shared" ca="1" si="8"/>
        <v>#REF!</v>
      </c>
    </row>
    <row r="541" spans="3:3">
      <c r="C541" t="e">
        <f t="shared" ca="1" si="8"/>
        <v>#REF!</v>
      </c>
    </row>
    <row r="542" spans="3:3">
      <c r="C542" t="e">
        <f t="shared" ca="1" si="8"/>
        <v>#REF!</v>
      </c>
    </row>
    <row r="543" spans="3:3">
      <c r="C543" t="e">
        <f t="shared" ca="1" si="8"/>
        <v>#REF!</v>
      </c>
    </row>
    <row r="544" spans="3:3">
      <c r="C544" t="e">
        <f t="shared" ca="1" si="8"/>
        <v>#REF!</v>
      </c>
    </row>
    <row r="545" spans="3:3">
      <c r="C545" t="e">
        <f t="shared" ca="1" si="8"/>
        <v>#REF!</v>
      </c>
    </row>
    <row r="546" spans="3:3">
      <c r="C546" t="e">
        <f t="shared" ca="1" si="8"/>
        <v>#REF!</v>
      </c>
    </row>
    <row r="547" spans="3:3">
      <c r="C547" t="e">
        <f t="shared" ca="1" si="8"/>
        <v>#REF!</v>
      </c>
    </row>
    <row r="548" spans="3:3">
      <c r="C548" t="e">
        <f t="shared" ca="1" si="8"/>
        <v>#REF!</v>
      </c>
    </row>
    <row r="549" spans="3:3">
      <c r="C549" t="e">
        <f t="shared" ca="1" si="8"/>
        <v>#REF!</v>
      </c>
    </row>
    <row r="550" spans="3:3">
      <c r="C550" t="e">
        <f t="shared" ca="1" si="8"/>
        <v>#REF!</v>
      </c>
    </row>
    <row r="551" spans="3:3">
      <c r="C551" t="e">
        <f t="shared" ca="1" si="8"/>
        <v>#REF!</v>
      </c>
    </row>
    <row r="552" spans="3:3">
      <c r="C552" t="e">
        <f t="shared" ca="1" si="8"/>
        <v>#REF!</v>
      </c>
    </row>
    <row r="553" spans="3:3">
      <c r="C553" t="e">
        <f t="shared" ca="1" si="8"/>
        <v>#REF!</v>
      </c>
    </row>
    <row r="554" spans="3:3">
      <c r="C554" t="e">
        <f t="shared" ca="1" si="8"/>
        <v>#REF!</v>
      </c>
    </row>
    <row r="555" spans="3:3">
      <c r="C555" t="e">
        <f t="shared" ca="1" si="8"/>
        <v>#REF!</v>
      </c>
    </row>
    <row r="556" spans="3:3">
      <c r="C556" t="e">
        <f t="shared" ca="1" si="8"/>
        <v>#REF!</v>
      </c>
    </row>
    <row r="557" spans="3:3">
      <c r="C557" t="e">
        <f t="shared" ca="1" si="8"/>
        <v>#REF!</v>
      </c>
    </row>
    <row r="558" spans="3:3">
      <c r="C558" t="e">
        <f t="shared" ca="1" si="8"/>
        <v>#REF!</v>
      </c>
    </row>
    <row r="559" spans="3:3">
      <c r="C559" t="e">
        <f t="shared" ca="1" si="8"/>
        <v>#REF!</v>
      </c>
    </row>
    <row r="560" spans="3:3">
      <c r="C560" t="e">
        <f t="shared" ca="1" si="8"/>
        <v>#REF!</v>
      </c>
    </row>
    <row r="561" spans="3:3">
      <c r="C561" t="e">
        <f t="shared" ca="1" si="8"/>
        <v>#REF!</v>
      </c>
    </row>
    <row r="562" spans="3:3">
      <c r="C562" t="e">
        <f t="shared" ca="1" si="8"/>
        <v>#REF!</v>
      </c>
    </row>
    <row r="563" spans="3:3">
      <c r="C563" t="e">
        <f t="shared" ca="1" si="8"/>
        <v>#REF!</v>
      </c>
    </row>
    <row r="564" spans="3:3">
      <c r="C564" t="e">
        <f t="shared" ca="1" si="8"/>
        <v>#REF!</v>
      </c>
    </row>
    <row r="565" spans="3:3">
      <c r="C565" t="e">
        <f t="shared" ca="1" si="8"/>
        <v>#REF!</v>
      </c>
    </row>
    <row r="566" spans="3:3">
      <c r="C566" t="e">
        <f t="shared" ca="1" si="8"/>
        <v>#REF!</v>
      </c>
    </row>
    <row r="567" spans="3:3">
      <c r="C567" t="e">
        <f t="shared" ca="1" si="8"/>
        <v>#REF!</v>
      </c>
    </row>
    <row r="568" spans="3:3">
      <c r="C568" t="e">
        <f t="shared" ca="1" si="8"/>
        <v>#REF!</v>
      </c>
    </row>
    <row r="569" spans="3:3">
      <c r="C569" t="e">
        <f t="shared" ca="1" si="8"/>
        <v>#REF!</v>
      </c>
    </row>
    <row r="570" spans="3:3">
      <c r="C570" t="e">
        <f t="shared" ca="1" si="8"/>
        <v>#REF!</v>
      </c>
    </row>
    <row r="571" spans="3:3">
      <c r="C571" t="e">
        <f t="shared" ca="1" si="8"/>
        <v>#REF!</v>
      </c>
    </row>
    <row r="572" spans="3:3">
      <c r="C572" t="e">
        <f t="shared" ca="1" si="8"/>
        <v>#REF!</v>
      </c>
    </row>
    <row r="573" spans="3:3">
      <c r="C573" t="e">
        <f t="shared" ca="1" si="8"/>
        <v>#REF!</v>
      </c>
    </row>
    <row r="574" spans="3:3">
      <c r="C574" t="e">
        <f t="shared" ca="1" si="8"/>
        <v>#REF!</v>
      </c>
    </row>
    <row r="575" spans="3:3">
      <c r="C575" t="e">
        <f t="shared" ca="1" si="8"/>
        <v>#REF!</v>
      </c>
    </row>
    <row r="576" spans="3:3">
      <c r="C576" t="e">
        <f t="shared" ca="1" si="8"/>
        <v>#REF!</v>
      </c>
    </row>
    <row r="577" spans="3:3">
      <c r="C577" t="e">
        <f t="shared" ca="1" si="8"/>
        <v>#REF!</v>
      </c>
    </row>
    <row r="578" spans="3:3">
      <c r="C578" t="e">
        <f t="shared" ca="1" si="8"/>
        <v>#REF!</v>
      </c>
    </row>
    <row r="579" spans="3:3">
      <c r="C579" t="e">
        <f t="shared" ref="C579:C642" ca="1" si="9">INDIRECT(B579)</f>
        <v>#REF!</v>
      </c>
    </row>
    <row r="580" spans="3:3">
      <c r="C580" t="e">
        <f t="shared" ca="1" si="9"/>
        <v>#REF!</v>
      </c>
    </row>
    <row r="581" spans="3:3">
      <c r="C581" t="e">
        <f t="shared" ca="1" si="9"/>
        <v>#REF!</v>
      </c>
    </row>
    <row r="582" spans="3:3">
      <c r="C582" t="e">
        <f t="shared" ca="1" si="9"/>
        <v>#REF!</v>
      </c>
    </row>
    <row r="583" spans="3:3">
      <c r="C583" t="e">
        <f t="shared" ca="1" si="9"/>
        <v>#REF!</v>
      </c>
    </row>
    <row r="584" spans="3:3">
      <c r="C584" t="e">
        <f t="shared" ca="1" si="9"/>
        <v>#REF!</v>
      </c>
    </row>
    <row r="585" spans="3:3">
      <c r="C585" t="e">
        <f t="shared" ca="1" si="9"/>
        <v>#REF!</v>
      </c>
    </row>
    <row r="586" spans="3:3">
      <c r="C586" t="e">
        <f t="shared" ca="1" si="9"/>
        <v>#REF!</v>
      </c>
    </row>
    <row r="587" spans="3:3">
      <c r="C587" t="e">
        <f t="shared" ca="1" si="9"/>
        <v>#REF!</v>
      </c>
    </row>
    <row r="588" spans="3:3">
      <c r="C588" t="e">
        <f t="shared" ca="1" si="9"/>
        <v>#REF!</v>
      </c>
    </row>
    <row r="589" spans="3:3">
      <c r="C589" t="e">
        <f t="shared" ca="1" si="9"/>
        <v>#REF!</v>
      </c>
    </row>
    <row r="590" spans="3:3">
      <c r="C590" t="e">
        <f t="shared" ca="1" si="9"/>
        <v>#REF!</v>
      </c>
    </row>
    <row r="591" spans="3:3">
      <c r="C591" t="e">
        <f t="shared" ca="1" si="9"/>
        <v>#REF!</v>
      </c>
    </row>
    <row r="592" spans="3:3">
      <c r="C592" t="e">
        <f t="shared" ca="1" si="9"/>
        <v>#REF!</v>
      </c>
    </row>
    <row r="593" spans="3:3">
      <c r="C593" t="e">
        <f t="shared" ca="1" si="9"/>
        <v>#REF!</v>
      </c>
    </row>
    <row r="594" spans="3:3">
      <c r="C594" t="e">
        <f t="shared" ca="1" si="9"/>
        <v>#REF!</v>
      </c>
    </row>
    <row r="595" spans="3:3">
      <c r="C595" t="e">
        <f t="shared" ca="1" si="9"/>
        <v>#REF!</v>
      </c>
    </row>
    <row r="596" spans="3:3">
      <c r="C596" t="e">
        <f t="shared" ca="1" si="9"/>
        <v>#REF!</v>
      </c>
    </row>
    <row r="597" spans="3:3">
      <c r="C597" t="e">
        <f t="shared" ca="1" si="9"/>
        <v>#REF!</v>
      </c>
    </row>
    <row r="598" spans="3:3">
      <c r="C598" t="e">
        <f t="shared" ca="1" si="9"/>
        <v>#REF!</v>
      </c>
    </row>
    <row r="599" spans="3:3">
      <c r="C599" t="e">
        <f t="shared" ca="1" si="9"/>
        <v>#REF!</v>
      </c>
    </row>
    <row r="600" spans="3:3">
      <c r="C600" t="e">
        <f t="shared" ca="1" si="9"/>
        <v>#REF!</v>
      </c>
    </row>
    <row r="601" spans="3:3">
      <c r="C601" t="e">
        <f t="shared" ca="1" si="9"/>
        <v>#REF!</v>
      </c>
    </row>
    <row r="602" spans="3:3">
      <c r="C602" t="e">
        <f t="shared" ca="1" si="9"/>
        <v>#REF!</v>
      </c>
    </row>
    <row r="603" spans="3:3">
      <c r="C603" t="e">
        <f t="shared" ca="1" si="9"/>
        <v>#REF!</v>
      </c>
    </row>
    <row r="604" spans="3:3">
      <c r="C604" t="e">
        <f t="shared" ca="1" si="9"/>
        <v>#REF!</v>
      </c>
    </row>
    <row r="605" spans="3:3">
      <c r="C605" t="e">
        <f t="shared" ca="1" si="9"/>
        <v>#REF!</v>
      </c>
    </row>
    <row r="606" spans="3:3">
      <c r="C606" t="e">
        <f t="shared" ca="1" si="9"/>
        <v>#REF!</v>
      </c>
    </row>
    <row r="607" spans="3:3">
      <c r="C607" t="e">
        <f t="shared" ca="1" si="9"/>
        <v>#REF!</v>
      </c>
    </row>
    <row r="608" spans="3:3">
      <c r="C608" t="e">
        <f t="shared" ca="1" si="9"/>
        <v>#REF!</v>
      </c>
    </row>
    <row r="609" spans="3:3">
      <c r="C609" t="e">
        <f t="shared" ca="1" si="9"/>
        <v>#REF!</v>
      </c>
    </row>
    <row r="610" spans="3:3">
      <c r="C610" t="e">
        <f t="shared" ca="1" si="9"/>
        <v>#REF!</v>
      </c>
    </row>
    <row r="611" spans="3:3">
      <c r="C611" t="e">
        <f t="shared" ca="1" si="9"/>
        <v>#REF!</v>
      </c>
    </row>
    <row r="612" spans="3:3">
      <c r="C612" t="e">
        <f t="shared" ca="1" si="9"/>
        <v>#REF!</v>
      </c>
    </row>
    <row r="613" spans="3:3">
      <c r="C613" t="e">
        <f t="shared" ca="1" si="9"/>
        <v>#REF!</v>
      </c>
    </row>
    <row r="614" spans="3:3">
      <c r="C614" t="e">
        <f t="shared" ca="1" si="9"/>
        <v>#REF!</v>
      </c>
    </row>
    <row r="615" spans="3:3">
      <c r="C615" t="e">
        <f t="shared" ca="1" si="9"/>
        <v>#REF!</v>
      </c>
    </row>
    <row r="616" spans="3:3">
      <c r="C616" t="e">
        <f t="shared" ca="1" si="9"/>
        <v>#REF!</v>
      </c>
    </row>
    <row r="617" spans="3:3">
      <c r="C617" t="e">
        <f t="shared" ca="1" si="9"/>
        <v>#REF!</v>
      </c>
    </row>
    <row r="618" spans="3:3">
      <c r="C618" t="e">
        <f t="shared" ca="1" si="9"/>
        <v>#REF!</v>
      </c>
    </row>
    <row r="619" spans="3:3">
      <c r="C619" t="e">
        <f t="shared" ca="1" si="9"/>
        <v>#REF!</v>
      </c>
    </row>
    <row r="620" spans="3:3">
      <c r="C620" t="e">
        <f t="shared" ca="1" si="9"/>
        <v>#REF!</v>
      </c>
    </row>
    <row r="621" spans="3:3">
      <c r="C621" t="e">
        <f t="shared" ca="1" si="9"/>
        <v>#REF!</v>
      </c>
    </row>
    <row r="622" spans="3:3">
      <c r="C622" t="e">
        <f t="shared" ca="1" si="9"/>
        <v>#REF!</v>
      </c>
    </row>
    <row r="623" spans="3:3">
      <c r="C623" t="e">
        <f t="shared" ca="1" si="9"/>
        <v>#REF!</v>
      </c>
    </row>
    <row r="624" spans="3:3">
      <c r="C624" t="e">
        <f t="shared" ca="1" si="9"/>
        <v>#REF!</v>
      </c>
    </row>
    <row r="625" spans="3:3">
      <c r="C625" t="e">
        <f t="shared" ca="1" si="9"/>
        <v>#REF!</v>
      </c>
    </row>
    <row r="626" spans="3:3">
      <c r="C626" t="e">
        <f t="shared" ca="1" si="9"/>
        <v>#REF!</v>
      </c>
    </row>
    <row r="627" spans="3:3">
      <c r="C627" t="e">
        <f t="shared" ca="1" si="9"/>
        <v>#REF!</v>
      </c>
    </row>
    <row r="628" spans="3:3">
      <c r="C628" t="e">
        <f t="shared" ca="1" si="9"/>
        <v>#REF!</v>
      </c>
    </row>
    <row r="629" spans="3:3">
      <c r="C629" t="e">
        <f t="shared" ca="1" si="9"/>
        <v>#REF!</v>
      </c>
    </row>
    <row r="630" spans="3:3">
      <c r="C630" t="e">
        <f t="shared" ca="1" si="9"/>
        <v>#REF!</v>
      </c>
    </row>
    <row r="631" spans="3:3">
      <c r="C631" t="e">
        <f t="shared" ca="1" si="9"/>
        <v>#REF!</v>
      </c>
    </row>
    <row r="632" spans="3:3">
      <c r="C632" t="e">
        <f t="shared" ca="1" si="9"/>
        <v>#REF!</v>
      </c>
    </row>
    <row r="633" spans="3:3">
      <c r="C633" t="e">
        <f t="shared" ca="1" si="9"/>
        <v>#REF!</v>
      </c>
    </row>
    <row r="634" spans="3:3">
      <c r="C634" t="e">
        <f t="shared" ca="1" si="9"/>
        <v>#REF!</v>
      </c>
    </row>
    <row r="635" spans="3:3">
      <c r="C635" t="e">
        <f t="shared" ca="1" si="9"/>
        <v>#REF!</v>
      </c>
    </row>
    <row r="636" spans="3:3">
      <c r="C636" t="e">
        <f t="shared" ca="1" si="9"/>
        <v>#REF!</v>
      </c>
    </row>
    <row r="637" spans="3:3">
      <c r="C637" t="e">
        <f t="shared" ca="1" si="9"/>
        <v>#REF!</v>
      </c>
    </row>
    <row r="638" spans="3:3">
      <c r="C638" t="e">
        <f t="shared" ca="1" si="9"/>
        <v>#REF!</v>
      </c>
    </row>
    <row r="639" spans="3:3">
      <c r="C639" t="e">
        <f t="shared" ca="1" si="9"/>
        <v>#REF!</v>
      </c>
    </row>
    <row r="640" spans="3:3">
      <c r="C640" t="e">
        <f t="shared" ca="1" si="9"/>
        <v>#REF!</v>
      </c>
    </row>
    <row r="641" spans="3:3">
      <c r="C641" t="e">
        <f t="shared" ca="1" si="9"/>
        <v>#REF!</v>
      </c>
    </row>
    <row r="642" spans="3:3">
      <c r="C642" t="e">
        <f t="shared" ca="1" si="9"/>
        <v>#REF!</v>
      </c>
    </row>
    <row r="643" spans="3:3">
      <c r="C643" t="e">
        <f t="shared" ref="C643:C706" ca="1" si="10">INDIRECT(B643)</f>
        <v>#REF!</v>
      </c>
    </row>
    <row r="644" spans="3:3">
      <c r="C644" t="e">
        <f t="shared" ca="1" si="10"/>
        <v>#REF!</v>
      </c>
    </row>
    <row r="645" spans="3:3">
      <c r="C645" t="e">
        <f t="shared" ca="1" si="10"/>
        <v>#REF!</v>
      </c>
    </row>
    <row r="646" spans="3:3">
      <c r="C646" t="e">
        <f t="shared" ca="1" si="10"/>
        <v>#REF!</v>
      </c>
    </row>
    <row r="647" spans="3:3">
      <c r="C647" t="e">
        <f t="shared" ca="1" si="10"/>
        <v>#REF!</v>
      </c>
    </row>
    <row r="648" spans="3:3">
      <c r="C648" t="e">
        <f t="shared" ca="1" si="10"/>
        <v>#REF!</v>
      </c>
    </row>
    <row r="649" spans="3:3">
      <c r="C649" t="e">
        <f t="shared" ca="1" si="10"/>
        <v>#REF!</v>
      </c>
    </row>
    <row r="650" spans="3:3">
      <c r="C650" t="e">
        <f t="shared" ca="1" si="10"/>
        <v>#REF!</v>
      </c>
    </row>
    <row r="651" spans="3:3">
      <c r="C651" t="e">
        <f t="shared" ca="1" si="10"/>
        <v>#REF!</v>
      </c>
    </row>
    <row r="652" spans="3:3">
      <c r="C652" t="e">
        <f t="shared" ca="1" si="10"/>
        <v>#REF!</v>
      </c>
    </row>
    <row r="653" spans="3:3">
      <c r="C653" t="e">
        <f t="shared" ca="1" si="10"/>
        <v>#REF!</v>
      </c>
    </row>
    <row r="654" spans="3:3">
      <c r="C654" t="e">
        <f t="shared" ca="1" si="10"/>
        <v>#REF!</v>
      </c>
    </row>
    <row r="655" spans="3:3">
      <c r="C655" t="e">
        <f t="shared" ca="1" si="10"/>
        <v>#REF!</v>
      </c>
    </row>
    <row r="656" spans="3:3">
      <c r="C656" t="e">
        <f t="shared" ca="1" si="10"/>
        <v>#REF!</v>
      </c>
    </row>
    <row r="657" spans="3:3">
      <c r="C657" t="e">
        <f t="shared" ca="1" si="10"/>
        <v>#REF!</v>
      </c>
    </row>
    <row r="658" spans="3:3">
      <c r="C658" t="e">
        <f t="shared" ca="1" si="10"/>
        <v>#REF!</v>
      </c>
    </row>
    <row r="659" spans="3:3">
      <c r="C659" t="e">
        <f t="shared" ca="1" si="10"/>
        <v>#REF!</v>
      </c>
    </row>
    <row r="660" spans="3:3">
      <c r="C660" t="e">
        <f t="shared" ca="1" si="10"/>
        <v>#REF!</v>
      </c>
    </row>
    <row r="661" spans="3:3">
      <c r="C661" t="e">
        <f t="shared" ca="1" si="10"/>
        <v>#REF!</v>
      </c>
    </row>
    <row r="662" spans="3:3">
      <c r="C662" t="e">
        <f t="shared" ca="1" si="10"/>
        <v>#REF!</v>
      </c>
    </row>
    <row r="663" spans="3:3">
      <c r="C663" t="e">
        <f t="shared" ca="1" si="10"/>
        <v>#REF!</v>
      </c>
    </row>
    <row r="664" spans="3:3">
      <c r="C664" t="e">
        <f t="shared" ca="1" si="10"/>
        <v>#REF!</v>
      </c>
    </row>
    <row r="665" spans="3:3">
      <c r="C665" t="e">
        <f t="shared" ca="1" si="10"/>
        <v>#REF!</v>
      </c>
    </row>
    <row r="666" spans="3:3">
      <c r="C666" t="e">
        <f t="shared" ca="1" si="10"/>
        <v>#REF!</v>
      </c>
    </row>
    <row r="667" spans="3:3">
      <c r="C667" t="e">
        <f t="shared" ca="1" si="10"/>
        <v>#REF!</v>
      </c>
    </row>
    <row r="668" spans="3:3">
      <c r="C668" t="e">
        <f t="shared" ca="1" si="10"/>
        <v>#REF!</v>
      </c>
    </row>
    <row r="669" spans="3:3">
      <c r="C669" t="e">
        <f t="shared" ca="1" si="10"/>
        <v>#REF!</v>
      </c>
    </row>
    <row r="670" spans="3:3">
      <c r="C670" t="e">
        <f t="shared" ca="1" si="10"/>
        <v>#REF!</v>
      </c>
    </row>
    <row r="671" spans="3:3">
      <c r="C671" t="e">
        <f t="shared" ca="1" si="10"/>
        <v>#REF!</v>
      </c>
    </row>
    <row r="672" spans="3:3">
      <c r="C672" t="e">
        <f t="shared" ca="1" si="10"/>
        <v>#REF!</v>
      </c>
    </row>
    <row r="673" spans="3:3">
      <c r="C673" t="e">
        <f t="shared" ca="1" si="10"/>
        <v>#REF!</v>
      </c>
    </row>
    <row r="674" spans="3:3">
      <c r="C674" t="e">
        <f t="shared" ca="1" si="10"/>
        <v>#REF!</v>
      </c>
    </row>
    <row r="675" spans="3:3">
      <c r="C675" t="e">
        <f t="shared" ca="1" si="10"/>
        <v>#REF!</v>
      </c>
    </row>
    <row r="676" spans="3:3">
      <c r="C676" t="e">
        <f t="shared" ca="1" si="10"/>
        <v>#REF!</v>
      </c>
    </row>
    <row r="677" spans="3:3">
      <c r="C677" t="e">
        <f t="shared" ca="1" si="10"/>
        <v>#REF!</v>
      </c>
    </row>
    <row r="678" spans="3:3">
      <c r="C678" t="e">
        <f t="shared" ca="1" si="10"/>
        <v>#REF!</v>
      </c>
    </row>
    <row r="679" spans="3:3">
      <c r="C679" t="e">
        <f t="shared" ca="1" si="10"/>
        <v>#REF!</v>
      </c>
    </row>
    <row r="680" spans="3:3">
      <c r="C680" t="e">
        <f t="shared" ca="1" si="10"/>
        <v>#REF!</v>
      </c>
    </row>
    <row r="681" spans="3:3">
      <c r="C681" t="e">
        <f t="shared" ca="1" si="10"/>
        <v>#REF!</v>
      </c>
    </row>
    <row r="682" spans="3:3">
      <c r="C682" t="e">
        <f t="shared" ca="1" si="10"/>
        <v>#REF!</v>
      </c>
    </row>
    <row r="683" spans="3:3">
      <c r="C683" t="e">
        <f t="shared" ca="1" si="10"/>
        <v>#REF!</v>
      </c>
    </row>
    <row r="684" spans="3:3">
      <c r="C684" t="e">
        <f t="shared" ca="1" si="10"/>
        <v>#REF!</v>
      </c>
    </row>
    <row r="685" spans="3:3">
      <c r="C685" t="e">
        <f t="shared" ca="1" si="10"/>
        <v>#REF!</v>
      </c>
    </row>
    <row r="686" spans="3:3">
      <c r="C686" t="e">
        <f t="shared" ca="1" si="10"/>
        <v>#REF!</v>
      </c>
    </row>
    <row r="687" spans="3:3">
      <c r="C687" t="e">
        <f t="shared" ca="1" si="10"/>
        <v>#REF!</v>
      </c>
    </row>
    <row r="688" spans="3:3">
      <c r="C688" t="e">
        <f t="shared" ca="1" si="10"/>
        <v>#REF!</v>
      </c>
    </row>
    <row r="689" spans="3:3">
      <c r="C689" t="e">
        <f t="shared" ca="1" si="10"/>
        <v>#REF!</v>
      </c>
    </row>
    <row r="690" spans="3:3">
      <c r="C690" t="e">
        <f t="shared" ca="1" si="10"/>
        <v>#REF!</v>
      </c>
    </row>
    <row r="691" spans="3:3">
      <c r="C691" t="e">
        <f t="shared" ca="1" si="10"/>
        <v>#REF!</v>
      </c>
    </row>
    <row r="692" spans="3:3">
      <c r="C692" t="e">
        <f t="shared" ca="1" si="10"/>
        <v>#REF!</v>
      </c>
    </row>
    <row r="693" spans="3:3">
      <c r="C693" t="e">
        <f t="shared" ca="1" si="10"/>
        <v>#REF!</v>
      </c>
    </row>
    <row r="694" spans="3:3">
      <c r="C694" t="e">
        <f t="shared" ca="1" si="10"/>
        <v>#REF!</v>
      </c>
    </row>
    <row r="695" spans="3:3">
      <c r="C695" t="e">
        <f t="shared" ca="1" si="10"/>
        <v>#REF!</v>
      </c>
    </row>
    <row r="696" spans="3:3">
      <c r="C696" t="e">
        <f t="shared" ca="1" si="10"/>
        <v>#REF!</v>
      </c>
    </row>
    <row r="697" spans="3:3">
      <c r="C697" t="e">
        <f t="shared" ca="1" si="10"/>
        <v>#REF!</v>
      </c>
    </row>
    <row r="698" spans="3:3">
      <c r="C698" t="e">
        <f t="shared" ca="1" si="10"/>
        <v>#REF!</v>
      </c>
    </row>
    <row r="699" spans="3:3">
      <c r="C699" t="e">
        <f t="shared" ca="1" si="10"/>
        <v>#REF!</v>
      </c>
    </row>
    <row r="700" spans="3:3">
      <c r="C700" t="e">
        <f t="shared" ca="1" si="10"/>
        <v>#REF!</v>
      </c>
    </row>
    <row r="701" spans="3:3">
      <c r="C701" t="e">
        <f t="shared" ca="1" si="10"/>
        <v>#REF!</v>
      </c>
    </row>
    <row r="702" spans="3:3">
      <c r="C702" t="e">
        <f t="shared" ca="1" si="10"/>
        <v>#REF!</v>
      </c>
    </row>
    <row r="703" spans="3:3">
      <c r="C703" t="e">
        <f t="shared" ca="1" si="10"/>
        <v>#REF!</v>
      </c>
    </row>
    <row r="704" spans="3:3">
      <c r="C704" t="e">
        <f t="shared" ca="1" si="10"/>
        <v>#REF!</v>
      </c>
    </row>
    <row r="705" spans="3:3">
      <c r="C705" t="e">
        <f t="shared" ca="1" si="10"/>
        <v>#REF!</v>
      </c>
    </row>
    <row r="706" spans="3:3">
      <c r="C706" t="e">
        <f t="shared" ca="1" si="10"/>
        <v>#REF!</v>
      </c>
    </row>
    <row r="707" spans="3:3">
      <c r="C707" t="e">
        <f t="shared" ref="C707:C770" ca="1" si="11">INDIRECT(B707)</f>
        <v>#REF!</v>
      </c>
    </row>
    <row r="708" spans="3:3">
      <c r="C708" t="e">
        <f t="shared" ca="1" si="11"/>
        <v>#REF!</v>
      </c>
    </row>
    <row r="709" spans="3:3">
      <c r="C709" t="e">
        <f t="shared" ca="1" si="11"/>
        <v>#REF!</v>
      </c>
    </row>
    <row r="710" spans="3:3">
      <c r="C710" t="e">
        <f t="shared" ca="1" si="11"/>
        <v>#REF!</v>
      </c>
    </row>
    <row r="711" spans="3:3">
      <c r="C711" t="e">
        <f t="shared" ca="1" si="11"/>
        <v>#REF!</v>
      </c>
    </row>
    <row r="712" spans="3:3">
      <c r="C712" t="e">
        <f t="shared" ca="1" si="11"/>
        <v>#REF!</v>
      </c>
    </row>
    <row r="713" spans="3:3">
      <c r="C713" t="e">
        <f t="shared" ca="1" si="11"/>
        <v>#REF!</v>
      </c>
    </row>
    <row r="714" spans="3:3">
      <c r="C714" t="e">
        <f t="shared" ca="1" si="11"/>
        <v>#REF!</v>
      </c>
    </row>
    <row r="715" spans="3:3">
      <c r="C715" t="e">
        <f t="shared" ca="1" si="11"/>
        <v>#REF!</v>
      </c>
    </row>
    <row r="716" spans="3:3">
      <c r="C716" t="e">
        <f t="shared" ca="1" si="11"/>
        <v>#REF!</v>
      </c>
    </row>
    <row r="717" spans="3:3">
      <c r="C717" t="e">
        <f t="shared" ca="1" si="11"/>
        <v>#REF!</v>
      </c>
    </row>
    <row r="718" spans="3:3">
      <c r="C718" t="e">
        <f t="shared" ca="1" si="11"/>
        <v>#REF!</v>
      </c>
    </row>
    <row r="719" spans="3:3">
      <c r="C719" t="e">
        <f t="shared" ca="1" si="11"/>
        <v>#REF!</v>
      </c>
    </row>
    <row r="720" spans="3:3">
      <c r="C720" t="e">
        <f t="shared" ca="1" si="11"/>
        <v>#REF!</v>
      </c>
    </row>
    <row r="721" spans="3:3">
      <c r="C721" t="e">
        <f t="shared" ca="1" si="11"/>
        <v>#REF!</v>
      </c>
    </row>
    <row r="722" spans="3:3">
      <c r="C722" t="e">
        <f t="shared" ca="1" si="11"/>
        <v>#REF!</v>
      </c>
    </row>
    <row r="723" spans="3:3">
      <c r="C723" t="e">
        <f t="shared" ca="1" si="11"/>
        <v>#REF!</v>
      </c>
    </row>
    <row r="724" spans="3:3">
      <c r="C724" t="e">
        <f t="shared" ca="1" si="11"/>
        <v>#REF!</v>
      </c>
    </row>
    <row r="725" spans="3:3">
      <c r="C725" t="e">
        <f t="shared" ca="1" si="11"/>
        <v>#REF!</v>
      </c>
    </row>
    <row r="726" spans="3:3">
      <c r="C726" t="e">
        <f t="shared" ca="1" si="11"/>
        <v>#REF!</v>
      </c>
    </row>
    <row r="727" spans="3:3">
      <c r="C727" t="e">
        <f t="shared" ca="1" si="11"/>
        <v>#REF!</v>
      </c>
    </row>
    <row r="728" spans="3:3">
      <c r="C728" t="e">
        <f t="shared" ca="1" si="11"/>
        <v>#REF!</v>
      </c>
    </row>
    <row r="729" spans="3:3">
      <c r="C729" t="e">
        <f t="shared" ca="1" si="11"/>
        <v>#REF!</v>
      </c>
    </row>
    <row r="730" spans="3:3">
      <c r="C730" t="e">
        <f t="shared" ca="1" si="11"/>
        <v>#REF!</v>
      </c>
    </row>
    <row r="731" spans="3:3">
      <c r="C731" t="e">
        <f t="shared" ca="1" si="11"/>
        <v>#REF!</v>
      </c>
    </row>
    <row r="732" spans="3:3">
      <c r="C732" t="e">
        <f t="shared" ca="1" si="11"/>
        <v>#REF!</v>
      </c>
    </row>
    <row r="733" spans="3:3">
      <c r="C733" t="e">
        <f t="shared" ca="1" si="11"/>
        <v>#REF!</v>
      </c>
    </row>
    <row r="734" spans="3:3">
      <c r="C734" t="e">
        <f t="shared" ca="1" si="11"/>
        <v>#REF!</v>
      </c>
    </row>
    <row r="735" spans="3:3">
      <c r="C735" t="e">
        <f t="shared" ca="1" si="11"/>
        <v>#REF!</v>
      </c>
    </row>
    <row r="736" spans="3:3">
      <c r="C736" t="e">
        <f t="shared" ca="1" si="11"/>
        <v>#REF!</v>
      </c>
    </row>
    <row r="737" spans="3:3">
      <c r="C737" t="e">
        <f t="shared" ca="1" si="11"/>
        <v>#REF!</v>
      </c>
    </row>
    <row r="738" spans="3:3">
      <c r="C738" t="e">
        <f t="shared" ca="1" si="11"/>
        <v>#REF!</v>
      </c>
    </row>
    <row r="739" spans="3:3">
      <c r="C739" t="e">
        <f t="shared" ca="1" si="11"/>
        <v>#REF!</v>
      </c>
    </row>
    <row r="740" spans="3:3">
      <c r="C740" t="e">
        <f t="shared" ca="1" si="11"/>
        <v>#REF!</v>
      </c>
    </row>
    <row r="741" spans="3:3">
      <c r="C741" t="e">
        <f t="shared" ca="1" si="11"/>
        <v>#REF!</v>
      </c>
    </row>
    <row r="742" spans="3:3">
      <c r="C742" t="e">
        <f t="shared" ca="1" si="11"/>
        <v>#REF!</v>
      </c>
    </row>
    <row r="743" spans="3:3">
      <c r="C743" t="e">
        <f t="shared" ca="1" si="11"/>
        <v>#REF!</v>
      </c>
    </row>
    <row r="744" spans="3:3">
      <c r="C744" t="e">
        <f t="shared" ca="1" si="11"/>
        <v>#REF!</v>
      </c>
    </row>
    <row r="745" spans="3:3">
      <c r="C745" t="e">
        <f t="shared" ca="1" si="11"/>
        <v>#REF!</v>
      </c>
    </row>
    <row r="746" spans="3:3">
      <c r="C746" t="e">
        <f t="shared" ca="1" si="11"/>
        <v>#REF!</v>
      </c>
    </row>
    <row r="747" spans="3:3">
      <c r="C747" t="e">
        <f t="shared" ca="1" si="11"/>
        <v>#REF!</v>
      </c>
    </row>
    <row r="748" spans="3:3">
      <c r="C748" t="e">
        <f t="shared" ca="1" si="11"/>
        <v>#REF!</v>
      </c>
    </row>
    <row r="749" spans="3:3">
      <c r="C749" t="e">
        <f t="shared" ca="1" si="11"/>
        <v>#REF!</v>
      </c>
    </row>
    <row r="750" spans="3:3">
      <c r="C750" t="e">
        <f t="shared" ca="1" si="11"/>
        <v>#REF!</v>
      </c>
    </row>
    <row r="751" spans="3:3">
      <c r="C751" t="e">
        <f t="shared" ca="1" si="11"/>
        <v>#REF!</v>
      </c>
    </row>
    <row r="752" spans="3:3">
      <c r="C752" t="e">
        <f t="shared" ca="1" si="11"/>
        <v>#REF!</v>
      </c>
    </row>
    <row r="753" spans="3:3">
      <c r="C753" t="e">
        <f t="shared" ca="1" si="11"/>
        <v>#REF!</v>
      </c>
    </row>
    <row r="754" spans="3:3">
      <c r="C754" t="e">
        <f t="shared" ca="1" si="11"/>
        <v>#REF!</v>
      </c>
    </row>
    <row r="755" spans="3:3">
      <c r="C755" t="e">
        <f t="shared" ca="1" si="11"/>
        <v>#REF!</v>
      </c>
    </row>
    <row r="756" spans="3:3">
      <c r="C756" t="e">
        <f t="shared" ca="1" si="11"/>
        <v>#REF!</v>
      </c>
    </row>
    <row r="757" spans="3:3">
      <c r="C757" t="e">
        <f t="shared" ca="1" si="11"/>
        <v>#REF!</v>
      </c>
    </row>
    <row r="758" spans="3:3">
      <c r="C758" t="e">
        <f t="shared" ca="1" si="11"/>
        <v>#REF!</v>
      </c>
    </row>
    <row r="759" spans="3:3">
      <c r="C759" t="e">
        <f t="shared" ca="1" si="11"/>
        <v>#REF!</v>
      </c>
    </row>
    <row r="760" spans="3:3">
      <c r="C760" t="e">
        <f t="shared" ca="1" si="11"/>
        <v>#REF!</v>
      </c>
    </row>
    <row r="761" spans="3:3">
      <c r="C761" t="e">
        <f t="shared" ca="1" si="11"/>
        <v>#REF!</v>
      </c>
    </row>
    <row r="762" spans="3:3">
      <c r="C762" t="e">
        <f t="shared" ca="1" si="11"/>
        <v>#REF!</v>
      </c>
    </row>
    <row r="763" spans="3:3">
      <c r="C763" t="e">
        <f t="shared" ca="1" si="11"/>
        <v>#REF!</v>
      </c>
    </row>
    <row r="764" spans="3:3">
      <c r="C764" t="e">
        <f t="shared" ca="1" si="11"/>
        <v>#REF!</v>
      </c>
    </row>
    <row r="765" spans="3:3">
      <c r="C765" t="e">
        <f t="shared" ca="1" si="11"/>
        <v>#REF!</v>
      </c>
    </row>
    <row r="766" spans="3:3">
      <c r="C766" t="e">
        <f t="shared" ca="1" si="11"/>
        <v>#REF!</v>
      </c>
    </row>
    <row r="767" spans="3:3">
      <c r="C767" t="e">
        <f t="shared" ca="1" si="11"/>
        <v>#REF!</v>
      </c>
    </row>
    <row r="768" spans="3:3">
      <c r="C768" t="e">
        <f t="shared" ca="1" si="11"/>
        <v>#REF!</v>
      </c>
    </row>
    <row r="769" spans="3:3">
      <c r="C769" t="e">
        <f t="shared" ca="1" si="11"/>
        <v>#REF!</v>
      </c>
    </row>
    <row r="770" spans="3:3">
      <c r="C770" t="e">
        <f t="shared" ca="1" si="11"/>
        <v>#REF!</v>
      </c>
    </row>
    <row r="771" spans="3:3">
      <c r="C771" t="e">
        <f t="shared" ref="C771:C834" ca="1" si="12">INDIRECT(B771)</f>
        <v>#REF!</v>
      </c>
    </row>
    <row r="772" spans="3:3">
      <c r="C772" t="e">
        <f t="shared" ca="1" si="12"/>
        <v>#REF!</v>
      </c>
    </row>
    <row r="773" spans="3:3">
      <c r="C773" t="e">
        <f t="shared" ca="1" si="12"/>
        <v>#REF!</v>
      </c>
    </row>
    <row r="774" spans="3:3">
      <c r="C774" t="e">
        <f t="shared" ca="1" si="12"/>
        <v>#REF!</v>
      </c>
    </row>
    <row r="775" spans="3:3">
      <c r="C775" t="e">
        <f t="shared" ca="1" si="12"/>
        <v>#REF!</v>
      </c>
    </row>
    <row r="776" spans="3:3">
      <c r="C776" t="e">
        <f t="shared" ca="1" si="12"/>
        <v>#REF!</v>
      </c>
    </row>
    <row r="777" spans="3:3">
      <c r="C777" t="e">
        <f t="shared" ca="1" si="12"/>
        <v>#REF!</v>
      </c>
    </row>
    <row r="778" spans="3:3">
      <c r="C778" t="e">
        <f t="shared" ca="1" si="12"/>
        <v>#REF!</v>
      </c>
    </row>
    <row r="779" spans="3:3">
      <c r="C779" t="e">
        <f t="shared" ca="1" si="12"/>
        <v>#REF!</v>
      </c>
    </row>
    <row r="780" spans="3:3">
      <c r="C780" t="e">
        <f t="shared" ca="1" si="12"/>
        <v>#REF!</v>
      </c>
    </row>
    <row r="781" spans="3:3">
      <c r="C781" t="e">
        <f t="shared" ca="1" si="12"/>
        <v>#REF!</v>
      </c>
    </row>
    <row r="782" spans="3:3">
      <c r="C782" t="e">
        <f t="shared" ca="1" si="12"/>
        <v>#REF!</v>
      </c>
    </row>
    <row r="783" spans="3:3">
      <c r="C783" t="e">
        <f t="shared" ca="1" si="12"/>
        <v>#REF!</v>
      </c>
    </row>
    <row r="784" spans="3:3">
      <c r="C784" t="e">
        <f t="shared" ca="1" si="12"/>
        <v>#REF!</v>
      </c>
    </row>
    <row r="785" spans="3:3">
      <c r="C785" t="e">
        <f t="shared" ca="1" si="12"/>
        <v>#REF!</v>
      </c>
    </row>
    <row r="786" spans="3:3">
      <c r="C786" t="e">
        <f t="shared" ca="1" si="12"/>
        <v>#REF!</v>
      </c>
    </row>
    <row r="787" spans="3:3">
      <c r="C787" t="e">
        <f t="shared" ca="1" si="12"/>
        <v>#REF!</v>
      </c>
    </row>
    <row r="788" spans="3:3">
      <c r="C788" t="e">
        <f t="shared" ca="1" si="12"/>
        <v>#REF!</v>
      </c>
    </row>
    <row r="789" spans="3:3">
      <c r="C789" t="e">
        <f t="shared" ca="1" si="12"/>
        <v>#REF!</v>
      </c>
    </row>
    <row r="790" spans="3:3">
      <c r="C790" t="e">
        <f t="shared" ca="1" si="12"/>
        <v>#REF!</v>
      </c>
    </row>
    <row r="791" spans="3:3">
      <c r="C791" t="e">
        <f t="shared" ca="1" si="12"/>
        <v>#REF!</v>
      </c>
    </row>
    <row r="792" spans="3:3">
      <c r="C792" t="e">
        <f t="shared" ca="1" si="12"/>
        <v>#REF!</v>
      </c>
    </row>
    <row r="793" spans="3:3">
      <c r="C793" t="e">
        <f t="shared" ca="1" si="12"/>
        <v>#REF!</v>
      </c>
    </row>
    <row r="794" spans="3:3">
      <c r="C794" t="e">
        <f t="shared" ca="1" si="12"/>
        <v>#REF!</v>
      </c>
    </row>
    <row r="795" spans="3:3">
      <c r="C795" t="e">
        <f t="shared" ca="1" si="12"/>
        <v>#REF!</v>
      </c>
    </row>
    <row r="796" spans="3:3">
      <c r="C796" t="e">
        <f t="shared" ca="1" si="12"/>
        <v>#REF!</v>
      </c>
    </row>
    <row r="797" spans="3:3">
      <c r="C797" t="e">
        <f t="shared" ca="1" si="12"/>
        <v>#REF!</v>
      </c>
    </row>
    <row r="798" spans="3:3">
      <c r="C798" t="e">
        <f t="shared" ca="1" si="12"/>
        <v>#REF!</v>
      </c>
    </row>
    <row r="799" spans="3:3">
      <c r="C799" t="e">
        <f t="shared" ca="1" si="12"/>
        <v>#REF!</v>
      </c>
    </row>
    <row r="800" spans="3:3">
      <c r="C800" t="e">
        <f t="shared" ca="1" si="12"/>
        <v>#REF!</v>
      </c>
    </row>
    <row r="801" spans="3:3">
      <c r="C801" t="e">
        <f t="shared" ca="1" si="12"/>
        <v>#REF!</v>
      </c>
    </row>
    <row r="802" spans="3:3">
      <c r="C802" t="e">
        <f t="shared" ca="1" si="12"/>
        <v>#REF!</v>
      </c>
    </row>
    <row r="803" spans="3:3">
      <c r="C803" t="e">
        <f t="shared" ca="1" si="12"/>
        <v>#REF!</v>
      </c>
    </row>
    <row r="804" spans="3:3">
      <c r="C804" t="e">
        <f t="shared" ca="1" si="12"/>
        <v>#REF!</v>
      </c>
    </row>
    <row r="805" spans="3:3">
      <c r="C805" t="e">
        <f t="shared" ca="1" si="12"/>
        <v>#REF!</v>
      </c>
    </row>
    <row r="806" spans="3:3">
      <c r="C806" t="e">
        <f t="shared" ca="1" si="12"/>
        <v>#REF!</v>
      </c>
    </row>
    <row r="807" spans="3:3">
      <c r="C807" t="e">
        <f t="shared" ca="1" si="12"/>
        <v>#REF!</v>
      </c>
    </row>
    <row r="808" spans="3:3">
      <c r="C808" t="e">
        <f t="shared" ca="1" si="12"/>
        <v>#REF!</v>
      </c>
    </row>
    <row r="809" spans="3:3">
      <c r="C809" t="e">
        <f t="shared" ca="1" si="12"/>
        <v>#REF!</v>
      </c>
    </row>
    <row r="810" spans="3:3">
      <c r="C810" t="e">
        <f t="shared" ca="1" si="12"/>
        <v>#REF!</v>
      </c>
    </row>
    <row r="811" spans="3:3">
      <c r="C811" t="e">
        <f t="shared" ca="1" si="12"/>
        <v>#REF!</v>
      </c>
    </row>
    <row r="812" spans="3:3">
      <c r="C812" t="e">
        <f t="shared" ca="1" si="12"/>
        <v>#REF!</v>
      </c>
    </row>
    <row r="813" spans="3:3">
      <c r="C813" t="e">
        <f t="shared" ca="1" si="12"/>
        <v>#REF!</v>
      </c>
    </row>
    <row r="814" spans="3:3">
      <c r="C814" t="e">
        <f t="shared" ca="1" si="12"/>
        <v>#REF!</v>
      </c>
    </row>
    <row r="815" spans="3:3">
      <c r="C815" t="e">
        <f t="shared" ca="1" si="12"/>
        <v>#REF!</v>
      </c>
    </row>
    <row r="816" spans="3:3">
      <c r="C816" t="e">
        <f t="shared" ca="1" si="12"/>
        <v>#REF!</v>
      </c>
    </row>
    <row r="817" spans="3:3">
      <c r="C817" t="e">
        <f t="shared" ca="1" si="12"/>
        <v>#REF!</v>
      </c>
    </row>
    <row r="818" spans="3:3">
      <c r="C818" t="e">
        <f t="shared" ca="1" si="12"/>
        <v>#REF!</v>
      </c>
    </row>
    <row r="819" spans="3:3">
      <c r="C819" t="e">
        <f t="shared" ca="1" si="12"/>
        <v>#REF!</v>
      </c>
    </row>
    <row r="820" spans="3:3">
      <c r="C820" t="e">
        <f t="shared" ca="1" si="12"/>
        <v>#REF!</v>
      </c>
    </row>
    <row r="821" spans="3:3">
      <c r="C821" t="e">
        <f t="shared" ca="1" si="12"/>
        <v>#REF!</v>
      </c>
    </row>
    <row r="822" spans="3:3">
      <c r="C822" t="e">
        <f t="shared" ca="1" si="12"/>
        <v>#REF!</v>
      </c>
    </row>
    <row r="823" spans="3:3">
      <c r="C823" t="e">
        <f t="shared" ca="1" si="12"/>
        <v>#REF!</v>
      </c>
    </row>
    <row r="824" spans="3:3">
      <c r="C824" t="e">
        <f t="shared" ca="1" si="12"/>
        <v>#REF!</v>
      </c>
    </row>
    <row r="825" spans="3:3">
      <c r="C825" t="e">
        <f t="shared" ca="1" si="12"/>
        <v>#REF!</v>
      </c>
    </row>
    <row r="826" spans="3:3">
      <c r="C826" t="e">
        <f t="shared" ca="1" si="12"/>
        <v>#REF!</v>
      </c>
    </row>
    <row r="827" spans="3:3">
      <c r="C827" t="e">
        <f t="shared" ca="1" si="12"/>
        <v>#REF!</v>
      </c>
    </row>
    <row r="828" spans="3:3">
      <c r="C828" t="e">
        <f t="shared" ca="1" si="12"/>
        <v>#REF!</v>
      </c>
    </row>
    <row r="829" spans="3:3">
      <c r="C829" t="e">
        <f t="shared" ca="1" si="12"/>
        <v>#REF!</v>
      </c>
    </row>
    <row r="830" spans="3:3">
      <c r="C830" t="e">
        <f t="shared" ca="1" si="12"/>
        <v>#REF!</v>
      </c>
    </row>
    <row r="831" spans="3:3">
      <c r="C831" t="e">
        <f t="shared" ca="1" si="12"/>
        <v>#REF!</v>
      </c>
    </row>
    <row r="832" spans="3:3">
      <c r="C832" t="e">
        <f t="shared" ca="1" si="12"/>
        <v>#REF!</v>
      </c>
    </row>
    <row r="833" spans="3:3">
      <c r="C833" t="e">
        <f t="shared" ca="1" si="12"/>
        <v>#REF!</v>
      </c>
    </row>
    <row r="834" spans="3:3">
      <c r="C834" t="e">
        <f t="shared" ca="1" si="12"/>
        <v>#REF!</v>
      </c>
    </row>
    <row r="835" spans="3:3">
      <c r="C835" t="e">
        <f t="shared" ref="C835:C898" ca="1" si="13">INDIRECT(B835)</f>
        <v>#REF!</v>
      </c>
    </row>
    <row r="836" spans="3:3">
      <c r="C836" t="e">
        <f t="shared" ca="1" si="13"/>
        <v>#REF!</v>
      </c>
    </row>
    <row r="837" spans="3:3">
      <c r="C837" t="e">
        <f t="shared" ca="1" si="13"/>
        <v>#REF!</v>
      </c>
    </row>
    <row r="838" spans="3:3">
      <c r="C838" t="e">
        <f t="shared" ca="1" si="13"/>
        <v>#REF!</v>
      </c>
    </row>
    <row r="839" spans="3:3">
      <c r="C839" t="e">
        <f t="shared" ca="1" si="13"/>
        <v>#REF!</v>
      </c>
    </row>
    <row r="840" spans="3:3">
      <c r="C840" t="e">
        <f t="shared" ca="1" si="13"/>
        <v>#REF!</v>
      </c>
    </row>
    <row r="841" spans="3:3">
      <c r="C841" t="e">
        <f t="shared" ca="1" si="13"/>
        <v>#REF!</v>
      </c>
    </row>
    <row r="842" spans="3:3">
      <c r="C842" t="e">
        <f t="shared" ca="1" si="13"/>
        <v>#REF!</v>
      </c>
    </row>
    <row r="843" spans="3:3">
      <c r="C843" t="e">
        <f t="shared" ca="1" si="13"/>
        <v>#REF!</v>
      </c>
    </row>
    <row r="844" spans="3:3">
      <c r="C844" t="e">
        <f t="shared" ca="1" si="13"/>
        <v>#REF!</v>
      </c>
    </row>
    <row r="845" spans="3:3">
      <c r="C845" t="e">
        <f t="shared" ca="1" si="13"/>
        <v>#REF!</v>
      </c>
    </row>
    <row r="846" spans="3:3">
      <c r="C846" t="e">
        <f t="shared" ca="1" si="13"/>
        <v>#REF!</v>
      </c>
    </row>
    <row r="847" spans="3:3">
      <c r="C847" t="e">
        <f t="shared" ca="1" si="13"/>
        <v>#REF!</v>
      </c>
    </row>
    <row r="848" spans="3:3">
      <c r="C848" t="e">
        <f t="shared" ca="1" si="13"/>
        <v>#REF!</v>
      </c>
    </row>
    <row r="849" spans="3:3">
      <c r="C849" t="e">
        <f t="shared" ca="1" si="13"/>
        <v>#REF!</v>
      </c>
    </row>
    <row r="850" spans="3:3">
      <c r="C850" t="e">
        <f t="shared" ca="1" si="13"/>
        <v>#REF!</v>
      </c>
    </row>
    <row r="851" spans="3:3">
      <c r="C851" t="e">
        <f t="shared" ca="1" si="13"/>
        <v>#REF!</v>
      </c>
    </row>
    <row r="852" spans="3:3">
      <c r="C852" t="e">
        <f t="shared" ca="1" si="13"/>
        <v>#REF!</v>
      </c>
    </row>
    <row r="853" spans="3:3">
      <c r="C853" t="e">
        <f t="shared" ca="1" si="13"/>
        <v>#REF!</v>
      </c>
    </row>
    <row r="854" spans="3:3">
      <c r="C854" t="e">
        <f t="shared" ca="1" si="13"/>
        <v>#REF!</v>
      </c>
    </row>
    <row r="855" spans="3:3">
      <c r="C855" t="e">
        <f t="shared" ca="1" si="13"/>
        <v>#REF!</v>
      </c>
    </row>
    <row r="856" spans="3:3">
      <c r="C856" t="e">
        <f t="shared" ca="1" si="13"/>
        <v>#REF!</v>
      </c>
    </row>
    <row r="857" spans="3:3">
      <c r="C857" t="e">
        <f t="shared" ca="1" si="13"/>
        <v>#REF!</v>
      </c>
    </row>
    <row r="858" spans="3:3">
      <c r="C858" t="e">
        <f t="shared" ca="1" si="13"/>
        <v>#REF!</v>
      </c>
    </row>
    <row r="859" spans="3:3">
      <c r="C859" t="e">
        <f t="shared" ca="1" si="13"/>
        <v>#REF!</v>
      </c>
    </row>
    <row r="860" spans="3:3">
      <c r="C860" t="e">
        <f t="shared" ca="1" si="13"/>
        <v>#REF!</v>
      </c>
    </row>
    <row r="861" spans="3:3">
      <c r="C861" t="e">
        <f t="shared" ca="1" si="13"/>
        <v>#REF!</v>
      </c>
    </row>
    <row r="862" spans="3:3">
      <c r="C862" t="e">
        <f t="shared" ca="1" si="13"/>
        <v>#REF!</v>
      </c>
    </row>
    <row r="863" spans="3:3">
      <c r="C863" t="e">
        <f t="shared" ca="1" si="13"/>
        <v>#REF!</v>
      </c>
    </row>
    <row r="864" spans="3:3">
      <c r="C864" t="e">
        <f t="shared" ca="1" si="13"/>
        <v>#REF!</v>
      </c>
    </row>
    <row r="865" spans="3:3">
      <c r="C865" t="e">
        <f t="shared" ca="1" si="13"/>
        <v>#REF!</v>
      </c>
    </row>
    <row r="866" spans="3:3">
      <c r="C866" t="e">
        <f t="shared" ca="1" si="13"/>
        <v>#REF!</v>
      </c>
    </row>
    <row r="867" spans="3:3">
      <c r="C867" t="e">
        <f t="shared" ca="1" si="13"/>
        <v>#REF!</v>
      </c>
    </row>
    <row r="868" spans="3:3">
      <c r="C868" t="e">
        <f t="shared" ca="1" si="13"/>
        <v>#REF!</v>
      </c>
    </row>
    <row r="869" spans="3:3">
      <c r="C869" t="e">
        <f t="shared" ca="1" si="13"/>
        <v>#REF!</v>
      </c>
    </row>
    <row r="870" spans="3:3">
      <c r="C870" t="e">
        <f t="shared" ca="1" si="13"/>
        <v>#REF!</v>
      </c>
    </row>
    <row r="871" spans="3:3">
      <c r="C871" t="e">
        <f t="shared" ca="1" si="13"/>
        <v>#REF!</v>
      </c>
    </row>
    <row r="872" spans="3:3">
      <c r="C872" t="e">
        <f t="shared" ca="1" si="13"/>
        <v>#REF!</v>
      </c>
    </row>
    <row r="873" spans="3:3">
      <c r="C873" t="e">
        <f t="shared" ca="1" si="13"/>
        <v>#REF!</v>
      </c>
    </row>
    <row r="874" spans="3:3">
      <c r="C874" t="e">
        <f t="shared" ca="1" si="13"/>
        <v>#REF!</v>
      </c>
    </row>
    <row r="875" spans="3:3">
      <c r="C875" t="e">
        <f t="shared" ca="1" si="13"/>
        <v>#REF!</v>
      </c>
    </row>
    <row r="876" spans="3:3">
      <c r="C876" t="e">
        <f t="shared" ca="1" si="13"/>
        <v>#REF!</v>
      </c>
    </row>
    <row r="877" spans="3:3">
      <c r="C877" t="e">
        <f t="shared" ca="1" si="13"/>
        <v>#REF!</v>
      </c>
    </row>
    <row r="878" spans="3:3">
      <c r="C878" t="e">
        <f t="shared" ca="1" si="13"/>
        <v>#REF!</v>
      </c>
    </row>
    <row r="879" spans="3:3">
      <c r="C879" t="e">
        <f t="shared" ca="1" si="13"/>
        <v>#REF!</v>
      </c>
    </row>
    <row r="880" spans="3:3">
      <c r="C880" t="e">
        <f t="shared" ca="1" si="13"/>
        <v>#REF!</v>
      </c>
    </row>
    <row r="881" spans="3:3">
      <c r="C881" t="e">
        <f t="shared" ca="1" si="13"/>
        <v>#REF!</v>
      </c>
    </row>
    <row r="882" spans="3:3">
      <c r="C882" t="e">
        <f t="shared" ca="1" si="13"/>
        <v>#REF!</v>
      </c>
    </row>
    <row r="883" spans="3:3">
      <c r="C883" t="e">
        <f t="shared" ca="1" si="13"/>
        <v>#REF!</v>
      </c>
    </row>
    <row r="884" spans="3:3">
      <c r="C884" t="e">
        <f t="shared" ca="1" si="13"/>
        <v>#REF!</v>
      </c>
    </row>
    <row r="885" spans="3:3">
      <c r="C885" t="e">
        <f t="shared" ca="1" si="13"/>
        <v>#REF!</v>
      </c>
    </row>
    <row r="886" spans="3:3">
      <c r="C886" t="e">
        <f t="shared" ca="1" si="13"/>
        <v>#REF!</v>
      </c>
    </row>
    <row r="887" spans="3:3">
      <c r="C887" t="e">
        <f t="shared" ca="1" si="13"/>
        <v>#REF!</v>
      </c>
    </row>
    <row r="888" spans="3:3">
      <c r="C888" t="e">
        <f t="shared" ca="1" si="13"/>
        <v>#REF!</v>
      </c>
    </row>
    <row r="889" spans="3:3">
      <c r="C889" t="e">
        <f t="shared" ca="1" si="13"/>
        <v>#REF!</v>
      </c>
    </row>
    <row r="890" spans="3:3">
      <c r="C890" t="e">
        <f t="shared" ca="1" si="13"/>
        <v>#REF!</v>
      </c>
    </row>
    <row r="891" spans="3:3">
      <c r="C891" t="e">
        <f t="shared" ca="1" si="13"/>
        <v>#REF!</v>
      </c>
    </row>
    <row r="892" spans="3:3">
      <c r="C892" t="e">
        <f t="shared" ca="1" si="13"/>
        <v>#REF!</v>
      </c>
    </row>
    <row r="893" spans="3:3">
      <c r="C893" t="e">
        <f t="shared" ca="1" si="13"/>
        <v>#REF!</v>
      </c>
    </row>
    <row r="894" spans="3:3">
      <c r="C894" t="e">
        <f t="shared" ca="1" si="13"/>
        <v>#REF!</v>
      </c>
    </row>
    <row r="895" spans="3:3">
      <c r="C895" t="e">
        <f t="shared" ca="1" si="13"/>
        <v>#REF!</v>
      </c>
    </row>
    <row r="896" spans="3:3">
      <c r="C896" t="e">
        <f t="shared" ca="1" si="13"/>
        <v>#REF!</v>
      </c>
    </row>
    <row r="897" spans="3:3">
      <c r="C897" t="e">
        <f t="shared" ca="1" si="13"/>
        <v>#REF!</v>
      </c>
    </row>
    <row r="898" spans="3:3">
      <c r="C898" t="e">
        <f t="shared" ca="1" si="13"/>
        <v>#REF!</v>
      </c>
    </row>
    <row r="899" spans="3:3">
      <c r="C899" t="e">
        <f t="shared" ref="C899:C962" ca="1" si="14">INDIRECT(B899)</f>
        <v>#REF!</v>
      </c>
    </row>
    <row r="900" spans="3:3">
      <c r="C900" t="e">
        <f t="shared" ca="1" si="14"/>
        <v>#REF!</v>
      </c>
    </row>
    <row r="901" spans="3:3">
      <c r="C901" t="e">
        <f t="shared" ca="1" si="14"/>
        <v>#REF!</v>
      </c>
    </row>
    <row r="902" spans="3:3">
      <c r="C902" t="e">
        <f t="shared" ca="1" si="14"/>
        <v>#REF!</v>
      </c>
    </row>
    <row r="903" spans="3:3">
      <c r="C903" t="e">
        <f t="shared" ca="1" si="14"/>
        <v>#REF!</v>
      </c>
    </row>
    <row r="904" spans="3:3">
      <c r="C904" t="e">
        <f t="shared" ca="1" si="14"/>
        <v>#REF!</v>
      </c>
    </row>
    <row r="905" spans="3:3">
      <c r="C905" t="e">
        <f t="shared" ca="1" si="14"/>
        <v>#REF!</v>
      </c>
    </row>
    <row r="906" spans="3:3">
      <c r="C906" t="e">
        <f t="shared" ca="1" si="14"/>
        <v>#REF!</v>
      </c>
    </row>
    <row r="907" spans="3:3">
      <c r="C907" t="e">
        <f t="shared" ca="1" si="14"/>
        <v>#REF!</v>
      </c>
    </row>
    <row r="908" spans="3:3">
      <c r="C908" t="e">
        <f t="shared" ca="1" si="14"/>
        <v>#REF!</v>
      </c>
    </row>
    <row r="909" spans="3:3">
      <c r="C909" t="e">
        <f t="shared" ca="1" si="14"/>
        <v>#REF!</v>
      </c>
    </row>
    <row r="910" spans="3:3">
      <c r="C910" t="e">
        <f t="shared" ca="1" si="14"/>
        <v>#REF!</v>
      </c>
    </row>
    <row r="911" spans="3:3">
      <c r="C911" t="e">
        <f t="shared" ca="1" si="14"/>
        <v>#REF!</v>
      </c>
    </row>
    <row r="912" spans="3:3">
      <c r="C912" t="e">
        <f t="shared" ca="1" si="14"/>
        <v>#REF!</v>
      </c>
    </row>
    <row r="913" spans="3:3">
      <c r="C913" t="e">
        <f t="shared" ca="1" si="14"/>
        <v>#REF!</v>
      </c>
    </row>
    <row r="914" spans="3:3">
      <c r="C914" t="e">
        <f t="shared" ca="1" si="14"/>
        <v>#REF!</v>
      </c>
    </row>
    <row r="915" spans="3:3">
      <c r="C915" t="e">
        <f t="shared" ca="1" si="14"/>
        <v>#REF!</v>
      </c>
    </row>
    <row r="916" spans="3:3">
      <c r="C916" t="e">
        <f t="shared" ca="1" si="14"/>
        <v>#REF!</v>
      </c>
    </row>
    <row r="917" spans="3:3">
      <c r="C917" t="e">
        <f t="shared" ca="1" si="14"/>
        <v>#REF!</v>
      </c>
    </row>
    <row r="918" spans="3:3">
      <c r="C918" t="e">
        <f t="shared" ca="1" si="14"/>
        <v>#REF!</v>
      </c>
    </row>
    <row r="919" spans="3:3">
      <c r="C919" t="e">
        <f t="shared" ca="1" si="14"/>
        <v>#REF!</v>
      </c>
    </row>
    <row r="920" spans="3:3">
      <c r="C920" t="e">
        <f t="shared" ca="1" si="14"/>
        <v>#REF!</v>
      </c>
    </row>
    <row r="921" spans="3:3">
      <c r="C921" t="e">
        <f t="shared" ca="1" si="14"/>
        <v>#REF!</v>
      </c>
    </row>
    <row r="922" spans="3:3">
      <c r="C922" t="e">
        <f t="shared" ca="1" si="14"/>
        <v>#REF!</v>
      </c>
    </row>
    <row r="923" spans="3:3">
      <c r="C923" t="e">
        <f t="shared" ca="1" si="14"/>
        <v>#REF!</v>
      </c>
    </row>
    <row r="924" spans="3:3">
      <c r="C924" t="e">
        <f t="shared" ca="1" si="14"/>
        <v>#REF!</v>
      </c>
    </row>
    <row r="925" spans="3:3">
      <c r="C925" t="e">
        <f t="shared" ca="1" si="14"/>
        <v>#REF!</v>
      </c>
    </row>
    <row r="926" spans="3:3">
      <c r="C926" t="e">
        <f t="shared" ca="1" si="14"/>
        <v>#REF!</v>
      </c>
    </row>
    <row r="927" spans="3:3">
      <c r="C927" t="e">
        <f t="shared" ca="1" si="14"/>
        <v>#REF!</v>
      </c>
    </row>
    <row r="928" spans="3:3">
      <c r="C928" t="e">
        <f t="shared" ca="1" si="14"/>
        <v>#REF!</v>
      </c>
    </row>
    <row r="929" spans="3:3">
      <c r="C929" t="e">
        <f t="shared" ca="1" si="14"/>
        <v>#REF!</v>
      </c>
    </row>
    <row r="930" spans="3:3">
      <c r="C930" t="e">
        <f t="shared" ca="1" si="14"/>
        <v>#REF!</v>
      </c>
    </row>
    <row r="931" spans="3:3">
      <c r="C931" t="e">
        <f t="shared" ca="1" si="14"/>
        <v>#REF!</v>
      </c>
    </row>
    <row r="932" spans="3:3">
      <c r="C932" t="e">
        <f t="shared" ca="1" si="14"/>
        <v>#REF!</v>
      </c>
    </row>
    <row r="933" spans="3:3">
      <c r="C933" t="e">
        <f t="shared" ca="1" si="14"/>
        <v>#REF!</v>
      </c>
    </row>
    <row r="934" spans="3:3">
      <c r="C934" t="e">
        <f t="shared" ca="1" si="14"/>
        <v>#REF!</v>
      </c>
    </row>
    <row r="935" spans="3:3">
      <c r="C935" t="e">
        <f t="shared" ca="1" si="14"/>
        <v>#REF!</v>
      </c>
    </row>
    <row r="936" spans="3:3">
      <c r="C936" t="e">
        <f t="shared" ca="1" si="14"/>
        <v>#REF!</v>
      </c>
    </row>
    <row r="937" spans="3:3">
      <c r="C937" t="e">
        <f t="shared" ca="1" si="14"/>
        <v>#REF!</v>
      </c>
    </row>
    <row r="938" spans="3:3">
      <c r="C938" t="e">
        <f t="shared" ca="1" si="14"/>
        <v>#REF!</v>
      </c>
    </row>
    <row r="939" spans="3:3">
      <c r="C939" t="e">
        <f t="shared" ca="1" si="14"/>
        <v>#REF!</v>
      </c>
    </row>
    <row r="940" spans="3:3">
      <c r="C940" t="e">
        <f t="shared" ca="1" si="14"/>
        <v>#REF!</v>
      </c>
    </row>
    <row r="941" spans="3:3">
      <c r="C941" t="e">
        <f t="shared" ca="1" si="14"/>
        <v>#REF!</v>
      </c>
    </row>
    <row r="942" spans="3:3">
      <c r="C942" t="e">
        <f t="shared" ca="1" si="14"/>
        <v>#REF!</v>
      </c>
    </row>
    <row r="943" spans="3:3">
      <c r="C943" t="e">
        <f t="shared" ca="1" si="14"/>
        <v>#REF!</v>
      </c>
    </row>
    <row r="944" spans="3:3">
      <c r="C944" t="e">
        <f t="shared" ca="1" si="14"/>
        <v>#REF!</v>
      </c>
    </row>
    <row r="945" spans="3:3">
      <c r="C945" t="e">
        <f t="shared" ca="1" si="14"/>
        <v>#REF!</v>
      </c>
    </row>
    <row r="946" spans="3:3">
      <c r="C946" t="e">
        <f t="shared" ca="1" si="14"/>
        <v>#REF!</v>
      </c>
    </row>
    <row r="947" spans="3:3">
      <c r="C947" t="e">
        <f t="shared" ca="1" si="14"/>
        <v>#REF!</v>
      </c>
    </row>
    <row r="948" spans="3:3">
      <c r="C948" t="e">
        <f t="shared" ca="1" si="14"/>
        <v>#REF!</v>
      </c>
    </row>
    <row r="949" spans="3:3">
      <c r="C949" t="e">
        <f t="shared" ca="1" si="14"/>
        <v>#REF!</v>
      </c>
    </row>
    <row r="950" spans="3:3">
      <c r="C950" t="e">
        <f t="shared" ca="1" si="14"/>
        <v>#REF!</v>
      </c>
    </row>
    <row r="951" spans="3:3">
      <c r="C951" t="e">
        <f t="shared" ca="1" si="14"/>
        <v>#REF!</v>
      </c>
    </row>
    <row r="952" spans="3:3">
      <c r="C952" t="e">
        <f t="shared" ca="1" si="14"/>
        <v>#REF!</v>
      </c>
    </row>
    <row r="953" spans="3:3">
      <c r="C953" t="e">
        <f t="shared" ca="1" si="14"/>
        <v>#REF!</v>
      </c>
    </row>
    <row r="954" spans="3:3">
      <c r="C954" t="e">
        <f t="shared" ca="1" si="14"/>
        <v>#REF!</v>
      </c>
    </row>
    <row r="955" spans="3:3">
      <c r="C955" t="e">
        <f t="shared" ca="1" si="14"/>
        <v>#REF!</v>
      </c>
    </row>
    <row r="956" spans="3:3">
      <c r="C956" t="e">
        <f t="shared" ca="1" si="14"/>
        <v>#REF!</v>
      </c>
    </row>
    <row r="957" spans="3:3">
      <c r="C957" t="e">
        <f t="shared" ca="1" si="14"/>
        <v>#REF!</v>
      </c>
    </row>
    <row r="958" spans="3:3">
      <c r="C958" t="e">
        <f t="shared" ca="1" si="14"/>
        <v>#REF!</v>
      </c>
    </row>
    <row r="959" spans="3:3">
      <c r="C959" t="e">
        <f t="shared" ca="1" si="14"/>
        <v>#REF!</v>
      </c>
    </row>
    <row r="960" spans="3:3">
      <c r="C960" t="e">
        <f t="shared" ca="1" si="14"/>
        <v>#REF!</v>
      </c>
    </row>
    <row r="961" spans="3:3">
      <c r="C961" t="e">
        <f t="shared" ca="1" si="14"/>
        <v>#REF!</v>
      </c>
    </row>
    <row r="962" spans="3:3">
      <c r="C962" t="e">
        <f t="shared" ca="1" si="14"/>
        <v>#REF!</v>
      </c>
    </row>
    <row r="963" spans="3:3">
      <c r="C963" t="e">
        <f t="shared" ref="C963:C1026" ca="1" si="15">INDIRECT(B963)</f>
        <v>#REF!</v>
      </c>
    </row>
    <row r="964" spans="3:3">
      <c r="C964" t="e">
        <f t="shared" ca="1" si="15"/>
        <v>#REF!</v>
      </c>
    </row>
    <row r="965" spans="3:3">
      <c r="C965" t="e">
        <f t="shared" ca="1" si="15"/>
        <v>#REF!</v>
      </c>
    </row>
    <row r="966" spans="3:3">
      <c r="C966" t="e">
        <f t="shared" ca="1" si="15"/>
        <v>#REF!</v>
      </c>
    </row>
    <row r="967" spans="3:3">
      <c r="C967" t="e">
        <f t="shared" ca="1" si="15"/>
        <v>#REF!</v>
      </c>
    </row>
    <row r="968" spans="3:3">
      <c r="C968" t="e">
        <f t="shared" ca="1" si="15"/>
        <v>#REF!</v>
      </c>
    </row>
    <row r="969" spans="3:3">
      <c r="C969" t="e">
        <f t="shared" ca="1" si="15"/>
        <v>#REF!</v>
      </c>
    </row>
    <row r="970" spans="3:3">
      <c r="C970" t="e">
        <f t="shared" ca="1" si="15"/>
        <v>#REF!</v>
      </c>
    </row>
    <row r="971" spans="3:3">
      <c r="C971" t="e">
        <f t="shared" ca="1" si="15"/>
        <v>#REF!</v>
      </c>
    </row>
    <row r="972" spans="3:3">
      <c r="C972" t="e">
        <f t="shared" ca="1" si="15"/>
        <v>#REF!</v>
      </c>
    </row>
    <row r="973" spans="3:3">
      <c r="C973" t="e">
        <f t="shared" ca="1" si="15"/>
        <v>#REF!</v>
      </c>
    </row>
    <row r="974" spans="3:3">
      <c r="C974" t="e">
        <f t="shared" ca="1" si="15"/>
        <v>#REF!</v>
      </c>
    </row>
    <row r="975" spans="3:3">
      <c r="C975" t="e">
        <f t="shared" ca="1" si="15"/>
        <v>#REF!</v>
      </c>
    </row>
    <row r="976" spans="3:3">
      <c r="C976" t="e">
        <f t="shared" ca="1" si="15"/>
        <v>#REF!</v>
      </c>
    </row>
    <row r="977" spans="3:3">
      <c r="C977" t="e">
        <f t="shared" ca="1" si="15"/>
        <v>#REF!</v>
      </c>
    </row>
    <row r="978" spans="3:3">
      <c r="C978" t="e">
        <f t="shared" ca="1" si="15"/>
        <v>#REF!</v>
      </c>
    </row>
    <row r="979" spans="3:3">
      <c r="C979" t="e">
        <f t="shared" ca="1" si="15"/>
        <v>#REF!</v>
      </c>
    </row>
    <row r="980" spans="3:3">
      <c r="C980" t="e">
        <f t="shared" ca="1" si="15"/>
        <v>#REF!</v>
      </c>
    </row>
    <row r="981" spans="3:3">
      <c r="C981" t="e">
        <f t="shared" ca="1" si="15"/>
        <v>#REF!</v>
      </c>
    </row>
    <row r="982" spans="3:3">
      <c r="C982" t="e">
        <f t="shared" ca="1" si="15"/>
        <v>#REF!</v>
      </c>
    </row>
    <row r="983" spans="3:3">
      <c r="C983" t="e">
        <f t="shared" ca="1" si="15"/>
        <v>#REF!</v>
      </c>
    </row>
    <row r="984" spans="3:3">
      <c r="C984" t="e">
        <f t="shared" ca="1" si="15"/>
        <v>#REF!</v>
      </c>
    </row>
    <row r="985" spans="3:3">
      <c r="C985" t="e">
        <f t="shared" ca="1" si="15"/>
        <v>#REF!</v>
      </c>
    </row>
    <row r="986" spans="3:3">
      <c r="C986" t="e">
        <f t="shared" ca="1" si="15"/>
        <v>#REF!</v>
      </c>
    </row>
    <row r="987" spans="3:3">
      <c r="C987" t="e">
        <f t="shared" ca="1" si="15"/>
        <v>#REF!</v>
      </c>
    </row>
    <row r="988" spans="3:3">
      <c r="C988" t="e">
        <f t="shared" ca="1" si="15"/>
        <v>#REF!</v>
      </c>
    </row>
    <row r="989" spans="3:3">
      <c r="C989" t="e">
        <f t="shared" ca="1" si="15"/>
        <v>#REF!</v>
      </c>
    </row>
    <row r="990" spans="3:3">
      <c r="C990" t="e">
        <f t="shared" ca="1" si="15"/>
        <v>#REF!</v>
      </c>
    </row>
    <row r="991" spans="3:3">
      <c r="C991" t="e">
        <f t="shared" ca="1" si="15"/>
        <v>#REF!</v>
      </c>
    </row>
    <row r="992" spans="3:3">
      <c r="C992" t="e">
        <f t="shared" ca="1" si="15"/>
        <v>#REF!</v>
      </c>
    </row>
    <row r="993" spans="3:3">
      <c r="C993" t="e">
        <f t="shared" ca="1" si="15"/>
        <v>#REF!</v>
      </c>
    </row>
    <row r="994" spans="3:3">
      <c r="C994" t="e">
        <f t="shared" ca="1" si="15"/>
        <v>#REF!</v>
      </c>
    </row>
    <row r="995" spans="3:3">
      <c r="C995" t="e">
        <f t="shared" ca="1" si="15"/>
        <v>#REF!</v>
      </c>
    </row>
    <row r="996" spans="3:3">
      <c r="C996" t="e">
        <f t="shared" ca="1" si="15"/>
        <v>#REF!</v>
      </c>
    </row>
    <row r="997" spans="3:3">
      <c r="C997" t="e">
        <f t="shared" ca="1" si="15"/>
        <v>#REF!</v>
      </c>
    </row>
    <row r="998" spans="3:3">
      <c r="C998" t="e">
        <f t="shared" ca="1" si="15"/>
        <v>#REF!</v>
      </c>
    </row>
    <row r="999" spans="3:3">
      <c r="C999" t="e">
        <f t="shared" ca="1" si="15"/>
        <v>#REF!</v>
      </c>
    </row>
    <row r="1000" spans="3:3">
      <c r="C1000" t="e">
        <f t="shared" ca="1" si="15"/>
        <v>#REF!</v>
      </c>
    </row>
    <row r="1001" spans="3:3">
      <c r="C1001" t="e">
        <f t="shared" ca="1" si="15"/>
        <v>#REF!</v>
      </c>
    </row>
    <row r="1002" spans="3:3">
      <c r="C1002" t="e">
        <f t="shared" ca="1" si="15"/>
        <v>#REF!</v>
      </c>
    </row>
    <row r="1003" spans="3:3">
      <c r="C1003" t="e">
        <f t="shared" ca="1" si="15"/>
        <v>#REF!</v>
      </c>
    </row>
    <row r="1004" spans="3:3">
      <c r="C1004" t="e">
        <f t="shared" ca="1" si="15"/>
        <v>#REF!</v>
      </c>
    </row>
    <row r="1005" spans="3:3">
      <c r="C1005" t="e">
        <f t="shared" ca="1" si="15"/>
        <v>#REF!</v>
      </c>
    </row>
    <row r="1006" spans="3:3">
      <c r="C1006" t="e">
        <f t="shared" ca="1" si="15"/>
        <v>#REF!</v>
      </c>
    </row>
    <row r="1007" spans="3:3">
      <c r="C1007" t="e">
        <f t="shared" ca="1" si="15"/>
        <v>#REF!</v>
      </c>
    </row>
    <row r="1008" spans="3:3">
      <c r="C1008" t="e">
        <f t="shared" ca="1" si="15"/>
        <v>#REF!</v>
      </c>
    </row>
    <row r="1009" spans="3:3">
      <c r="C1009" t="e">
        <f t="shared" ca="1" si="15"/>
        <v>#REF!</v>
      </c>
    </row>
    <row r="1010" spans="3:3">
      <c r="C1010" t="e">
        <f t="shared" ca="1" si="15"/>
        <v>#REF!</v>
      </c>
    </row>
    <row r="1011" spans="3:3">
      <c r="C1011" t="e">
        <f t="shared" ca="1" si="15"/>
        <v>#REF!</v>
      </c>
    </row>
    <row r="1012" spans="3:3">
      <c r="C1012" t="e">
        <f t="shared" ca="1" si="15"/>
        <v>#REF!</v>
      </c>
    </row>
    <row r="1013" spans="3:3">
      <c r="C1013" t="e">
        <f t="shared" ca="1" si="15"/>
        <v>#REF!</v>
      </c>
    </row>
    <row r="1014" spans="3:3">
      <c r="C1014" t="e">
        <f t="shared" ca="1" si="15"/>
        <v>#REF!</v>
      </c>
    </row>
    <row r="1015" spans="3:3">
      <c r="C1015" t="e">
        <f t="shared" ca="1" si="15"/>
        <v>#REF!</v>
      </c>
    </row>
    <row r="1016" spans="3:3">
      <c r="C1016" t="e">
        <f t="shared" ca="1" si="15"/>
        <v>#REF!</v>
      </c>
    </row>
    <row r="1017" spans="3:3">
      <c r="C1017" t="e">
        <f t="shared" ca="1" si="15"/>
        <v>#REF!</v>
      </c>
    </row>
    <row r="1018" spans="3:3">
      <c r="C1018" t="e">
        <f t="shared" ca="1" si="15"/>
        <v>#REF!</v>
      </c>
    </row>
    <row r="1019" spans="3:3">
      <c r="C1019" t="e">
        <f t="shared" ca="1" si="15"/>
        <v>#REF!</v>
      </c>
    </row>
    <row r="1020" spans="3:3">
      <c r="C1020" t="e">
        <f t="shared" ca="1" si="15"/>
        <v>#REF!</v>
      </c>
    </row>
    <row r="1021" spans="3:3">
      <c r="C1021" t="e">
        <f t="shared" ca="1" si="15"/>
        <v>#REF!</v>
      </c>
    </row>
    <row r="1022" spans="3:3">
      <c r="C1022" t="e">
        <f t="shared" ca="1" si="15"/>
        <v>#REF!</v>
      </c>
    </row>
    <row r="1023" spans="3:3">
      <c r="C1023" t="e">
        <f t="shared" ca="1" si="15"/>
        <v>#REF!</v>
      </c>
    </row>
    <row r="1024" spans="3:3">
      <c r="C1024" t="e">
        <f t="shared" ca="1" si="15"/>
        <v>#REF!</v>
      </c>
    </row>
    <row r="1025" spans="3:3">
      <c r="C1025" t="e">
        <f t="shared" ca="1" si="15"/>
        <v>#REF!</v>
      </c>
    </row>
    <row r="1026" spans="3:3">
      <c r="C1026" t="e">
        <f t="shared" ca="1" si="15"/>
        <v>#REF!</v>
      </c>
    </row>
    <row r="1027" spans="3:3">
      <c r="C1027" t="e">
        <f t="shared" ref="C1027:C1090" ca="1" si="16">INDIRECT(B1027)</f>
        <v>#REF!</v>
      </c>
    </row>
    <row r="1028" spans="3:3">
      <c r="C1028" t="e">
        <f t="shared" ca="1" si="16"/>
        <v>#REF!</v>
      </c>
    </row>
    <row r="1029" spans="3:3">
      <c r="C1029" t="e">
        <f t="shared" ca="1" si="16"/>
        <v>#REF!</v>
      </c>
    </row>
    <row r="1030" spans="3:3">
      <c r="C1030" t="e">
        <f t="shared" ca="1" si="16"/>
        <v>#REF!</v>
      </c>
    </row>
    <row r="1031" spans="3:3">
      <c r="C1031" t="e">
        <f t="shared" ca="1" si="16"/>
        <v>#REF!</v>
      </c>
    </row>
    <row r="1032" spans="3:3">
      <c r="C1032" t="e">
        <f t="shared" ca="1" si="16"/>
        <v>#REF!</v>
      </c>
    </row>
    <row r="1033" spans="3:3">
      <c r="C1033" t="e">
        <f t="shared" ca="1" si="16"/>
        <v>#REF!</v>
      </c>
    </row>
    <row r="1034" spans="3:3">
      <c r="C1034" t="e">
        <f t="shared" ca="1" si="16"/>
        <v>#REF!</v>
      </c>
    </row>
    <row r="1035" spans="3:3">
      <c r="C1035" t="e">
        <f t="shared" ca="1" si="16"/>
        <v>#REF!</v>
      </c>
    </row>
    <row r="1036" spans="3:3">
      <c r="C1036" t="e">
        <f t="shared" ca="1" si="16"/>
        <v>#REF!</v>
      </c>
    </row>
    <row r="1037" spans="3:3">
      <c r="C1037" t="e">
        <f t="shared" ca="1" si="16"/>
        <v>#REF!</v>
      </c>
    </row>
    <row r="1038" spans="3:3">
      <c r="C1038" t="e">
        <f t="shared" ca="1" si="16"/>
        <v>#REF!</v>
      </c>
    </row>
    <row r="1039" spans="3:3">
      <c r="C1039" t="e">
        <f t="shared" ca="1" si="16"/>
        <v>#REF!</v>
      </c>
    </row>
    <row r="1040" spans="3:3">
      <c r="C1040" t="e">
        <f t="shared" ca="1" si="16"/>
        <v>#REF!</v>
      </c>
    </row>
    <row r="1041" spans="3:3">
      <c r="C1041" t="e">
        <f t="shared" ca="1" si="16"/>
        <v>#REF!</v>
      </c>
    </row>
    <row r="1042" spans="3:3">
      <c r="C1042" t="e">
        <f t="shared" ca="1" si="16"/>
        <v>#REF!</v>
      </c>
    </row>
    <row r="1043" spans="3:3">
      <c r="C1043" t="e">
        <f t="shared" ca="1" si="16"/>
        <v>#REF!</v>
      </c>
    </row>
    <row r="1044" spans="3:3">
      <c r="C1044" t="e">
        <f t="shared" ca="1" si="16"/>
        <v>#REF!</v>
      </c>
    </row>
    <row r="1045" spans="3:3">
      <c r="C1045" t="e">
        <f t="shared" ca="1" si="16"/>
        <v>#REF!</v>
      </c>
    </row>
    <row r="1046" spans="3:3">
      <c r="C1046" t="e">
        <f t="shared" ca="1" si="16"/>
        <v>#REF!</v>
      </c>
    </row>
    <row r="1047" spans="3:3">
      <c r="C1047" t="e">
        <f t="shared" ca="1" si="16"/>
        <v>#REF!</v>
      </c>
    </row>
    <row r="1048" spans="3:3">
      <c r="C1048" t="e">
        <f t="shared" ca="1" si="16"/>
        <v>#REF!</v>
      </c>
    </row>
    <row r="1049" spans="3:3">
      <c r="C1049" t="e">
        <f t="shared" ca="1" si="16"/>
        <v>#REF!</v>
      </c>
    </row>
    <row r="1050" spans="3:3">
      <c r="C1050" t="e">
        <f t="shared" ca="1" si="16"/>
        <v>#REF!</v>
      </c>
    </row>
    <row r="1051" spans="3:3">
      <c r="C1051" t="e">
        <f t="shared" ca="1" si="16"/>
        <v>#REF!</v>
      </c>
    </row>
    <row r="1052" spans="3:3">
      <c r="C1052" t="e">
        <f t="shared" ca="1" si="16"/>
        <v>#REF!</v>
      </c>
    </row>
    <row r="1053" spans="3:3">
      <c r="C1053" t="e">
        <f t="shared" ca="1" si="16"/>
        <v>#REF!</v>
      </c>
    </row>
    <row r="1054" spans="3:3">
      <c r="C1054" t="e">
        <f t="shared" ca="1" si="16"/>
        <v>#REF!</v>
      </c>
    </row>
    <row r="1055" spans="3:3">
      <c r="C1055" t="e">
        <f t="shared" ca="1" si="16"/>
        <v>#REF!</v>
      </c>
    </row>
    <row r="1056" spans="3:3">
      <c r="C1056" t="e">
        <f t="shared" ca="1" si="16"/>
        <v>#REF!</v>
      </c>
    </row>
    <row r="1057" spans="3:3">
      <c r="C1057" t="e">
        <f t="shared" ca="1" si="16"/>
        <v>#REF!</v>
      </c>
    </row>
    <row r="1058" spans="3:3">
      <c r="C1058" t="e">
        <f t="shared" ca="1" si="16"/>
        <v>#REF!</v>
      </c>
    </row>
    <row r="1059" spans="3:3">
      <c r="C1059" t="e">
        <f t="shared" ca="1" si="16"/>
        <v>#REF!</v>
      </c>
    </row>
    <row r="1060" spans="3:3">
      <c r="C1060" t="e">
        <f t="shared" ca="1" si="16"/>
        <v>#REF!</v>
      </c>
    </row>
    <row r="1061" spans="3:3">
      <c r="C1061" t="e">
        <f t="shared" ca="1" si="16"/>
        <v>#REF!</v>
      </c>
    </row>
    <row r="1062" spans="3:3">
      <c r="C1062" t="e">
        <f t="shared" ca="1" si="16"/>
        <v>#REF!</v>
      </c>
    </row>
    <row r="1063" spans="3:3">
      <c r="C1063" t="e">
        <f t="shared" ca="1" si="16"/>
        <v>#REF!</v>
      </c>
    </row>
    <row r="1064" spans="3:3">
      <c r="C1064" t="e">
        <f t="shared" ca="1" si="16"/>
        <v>#REF!</v>
      </c>
    </row>
    <row r="1065" spans="3:3">
      <c r="C1065" t="e">
        <f t="shared" ca="1" si="16"/>
        <v>#REF!</v>
      </c>
    </row>
    <row r="1066" spans="3:3">
      <c r="C1066" t="e">
        <f t="shared" ca="1" si="16"/>
        <v>#REF!</v>
      </c>
    </row>
    <row r="1067" spans="3:3">
      <c r="C1067" t="e">
        <f t="shared" ca="1" si="16"/>
        <v>#REF!</v>
      </c>
    </row>
    <row r="1068" spans="3:3">
      <c r="C1068" t="e">
        <f t="shared" ca="1" si="16"/>
        <v>#REF!</v>
      </c>
    </row>
    <row r="1069" spans="3:3">
      <c r="C1069" t="e">
        <f t="shared" ca="1" si="16"/>
        <v>#REF!</v>
      </c>
    </row>
    <row r="1070" spans="3:3">
      <c r="C1070" t="e">
        <f t="shared" ca="1" si="16"/>
        <v>#REF!</v>
      </c>
    </row>
    <row r="1071" spans="3:3">
      <c r="C1071" t="e">
        <f t="shared" ca="1" si="16"/>
        <v>#REF!</v>
      </c>
    </row>
    <row r="1072" spans="3:3">
      <c r="C1072" t="e">
        <f t="shared" ca="1" si="16"/>
        <v>#REF!</v>
      </c>
    </row>
    <row r="1073" spans="3:3">
      <c r="C1073" t="e">
        <f t="shared" ca="1" si="16"/>
        <v>#REF!</v>
      </c>
    </row>
    <row r="1074" spans="3:3">
      <c r="C1074" t="e">
        <f t="shared" ca="1" si="16"/>
        <v>#REF!</v>
      </c>
    </row>
    <row r="1075" spans="3:3">
      <c r="C1075" t="e">
        <f t="shared" ca="1" si="16"/>
        <v>#REF!</v>
      </c>
    </row>
    <row r="1076" spans="3:3">
      <c r="C1076" t="e">
        <f t="shared" ca="1" si="16"/>
        <v>#REF!</v>
      </c>
    </row>
    <row r="1077" spans="3:3">
      <c r="C1077" t="e">
        <f t="shared" ca="1" si="16"/>
        <v>#REF!</v>
      </c>
    </row>
    <row r="1078" spans="3:3">
      <c r="C1078" t="e">
        <f t="shared" ca="1" si="16"/>
        <v>#REF!</v>
      </c>
    </row>
    <row r="1079" spans="3:3">
      <c r="C1079" t="e">
        <f t="shared" ca="1" si="16"/>
        <v>#REF!</v>
      </c>
    </row>
    <row r="1080" spans="3:3">
      <c r="C1080" t="e">
        <f t="shared" ca="1" si="16"/>
        <v>#REF!</v>
      </c>
    </row>
    <row r="1081" spans="3:3">
      <c r="C1081" t="e">
        <f t="shared" ca="1" si="16"/>
        <v>#REF!</v>
      </c>
    </row>
    <row r="1082" spans="3:3">
      <c r="C1082" t="e">
        <f t="shared" ca="1" si="16"/>
        <v>#REF!</v>
      </c>
    </row>
    <row r="1083" spans="3:3">
      <c r="C1083" t="e">
        <f t="shared" ca="1" si="16"/>
        <v>#REF!</v>
      </c>
    </row>
    <row r="1084" spans="3:3">
      <c r="C1084" t="e">
        <f t="shared" ca="1" si="16"/>
        <v>#REF!</v>
      </c>
    </row>
    <row r="1085" spans="3:3">
      <c r="C1085" t="e">
        <f t="shared" ca="1" si="16"/>
        <v>#REF!</v>
      </c>
    </row>
    <row r="1086" spans="3:3">
      <c r="C1086" t="e">
        <f t="shared" ca="1" si="16"/>
        <v>#REF!</v>
      </c>
    </row>
    <row r="1087" spans="3:3">
      <c r="C1087" t="e">
        <f t="shared" ca="1" si="16"/>
        <v>#REF!</v>
      </c>
    </row>
    <row r="1088" spans="3:3">
      <c r="C1088" t="e">
        <f t="shared" ca="1" si="16"/>
        <v>#REF!</v>
      </c>
    </row>
    <row r="1089" spans="3:3">
      <c r="C1089" t="e">
        <f t="shared" ca="1" si="16"/>
        <v>#REF!</v>
      </c>
    </row>
    <row r="1090" spans="3:3">
      <c r="C1090" t="e">
        <f t="shared" ca="1" si="16"/>
        <v>#REF!</v>
      </c>
    </row>
    <row r="1091" spans="3:3">
      <c r="C1091" t="e">
        <f t="shared" ref="C1091:C1154" ca="1" si="17">INDIRECT(B1091)</f>
        <v>#REF!</v>
      </c>
    </row>
    <row r="1092" spans="3:3">
      <c r="C1092" t="e">
        <f t="shared" ca="1" si="17"/>
        <v>#REF!</v>
      </c>
    </row>
    <row r="1093" spans="3:3">
      <c r="C1093" t="e">
        <f t="shared" ca="1" si="17"/>
        <v>#REF!</v>
      </c>
    </row>
    <row r="1094" spans="3:3">
      <c r="C1094" t="e">
        <f t="shared" ca="1" si="17"/>
        <v>#REF!</v>
      </c>
    </row>
    <row r="1095" spans="3:3">
      <c r="C1095" t="e">
        <f t="shared" ca="1" si="17"/>
        <v>#REF!</v>
      </c>
    </row>
    <row r="1096" spans="3:3">
      <c r="C1096" t="e">
        <f t="shared" ca="1" si="17"/>
        <v>#REF!</v>
      </c>
    </row>
    <row r="1097" spans="3:3">
      <c r="C1097" t="e">
        <f t="shared" ca="1" si="17"/>
        <v>#REF!</v>
      </c>
    </row>
    <row r="1098" spans="3:3">
      <c r="C1098" t="e">
        <f t="shared" ca="1" si="17"/>
        <v>#REF!</v>
      </c>
    </row>
    <row r="1099" spans="3:3">
      <c r="C1099" t="e">
        <f t="shared" ca="1" si="17"/>
        <v>#REF!</v>
      </c>
    </row>
    <row r="1100" spans="3:3">
      <c r="C1100" t="e">
        <f t="shared" ca="1" si="17"/>
        <v>#REF!</v>
      </c>
    </row>
    <row r="1101" spans="3:3">
      <c r="C1101" t="e">
        <f t="shared" ca="1" si="17"/>
        <v>#REF!</v>
      </c>
    </row>
    <row r="1102" spans="3:3">
      <c r="C1102" t="e">
        <f t="shared" ca="1" si="17"/>
        <v>#REF!</v>
      </c>
    </row>
    <row r="1103" spans="3:3">
      <c r="C1103" t="e">
        <f t="shared" ca="1" si="17"/>
        <v>#REF!</v>
      </c>
    </row>
    <row r="1104" spans="3:3">
      <c r="C1104" t="e">
        <f t="shared" ca="1" si="17"/>
        <v>#REF!</v>
      </c>
    </row>
    <row r="1105" spans="3:3">
      <c r="C1105" t="e">
        <f t="shared" ca="1" si="17"/>
        <v>#REF!</v>
      </c>
    </row>
    <row r="1106" spans="3:3">
      <c r="C1106" t="e">
        <f t="shared" ca="1" si="17"/>
        <v>#REF!</v>
      </c>
    </row>
    <row r="1107" spans="3:3">
      <c r="C1107" t="e">
        <f t="shared" ca="1" si="17"/>
        <v>#REF!</v>
      </c>
    </row>
    <row r="1108" spans="3:3">
      <c r="C1108" t="e">
        <f t="shared" ca="1" si="17"/>
        <v>#REF!</v>
      </c>
    </row>
    <row r="1109" spans="3:3">
      <c r="C1109" t="e">
        <f t="shared" ca="1" si="17"/>
        <v>#REF!</v>
      </c>
    </row>
    <row r="1110" spans="3:3">
      <c r="C1110" t="e">
        <f t="shared" ca="1" si="17"/>
        <v>#REF!</v>
      </c>
    </row>
    <row r="1111" spans="3:3">
      <c r="C1111" t="e">
        <f t="shared" ca="1" si="17"/>
        <v>#REF!</v>
      </c>
    </row>
    <row r="1112" spans="3:3">
      <c r="C1112" t="e">
        <f t="shared" ca="1" si="17"/>
        <v>#REF!</v>
      </c>
    </row>
    <row r="1113" spans="3:3">
      <c r="C1113" t="e">
        <f t="shared" ca="1" si="17"/>
        <v>#REF!</v>
      </c>
    </row>
    <row r="1114" spans="3:3">
      <c r="C1114" t="e">
        <f t="shared" ca="1" si="17"/>
        <v>#REF!</v>
      </c>
    </row>
    <row r="1115" spans="3:3">
      <c r="C1115" t="e">
        <f t="shared" ca="1" si="17"/>
        <v>#REF!</v>
      </c>
    </row>
    <row r="1116" spans="3:3">
      <c r="C1116" t="e">
        <f t="shared" ca="1" si="17"/>
        <v>#REF!</v>
      </c>
    </row>
    <row r="1117" spans="3:3">
      <c r="C1117" t="e">
        <f t="shared" ca="1" si="17"/>
        <v>#REF!</v>
      </c>
    </row>
    <row r="1118" spans="3:3">
      <c r="C1118" t="e">
        <f t="shared" ca="1" si="17"/>
        <v>#REF!</v>
      </c>
    </row>
    <row r="1119" spans="3:3">
      <c r="C1119" t="e">
        <f t="shared" ca="1" si="17"/>
        <v>#REF!</v>
      </c>
    </row>
    <row r="1120" spans="3:3">
      <c r="C1120" t="e">
        <f t="shared" ca="1" si="17"/>
        <v>#REF!</v>
      </c>
    </row>
    <row r="1121" spans="3:3">
      <c r="C1121" t="e">
        <f t="shared" ca="1" si="17"/>
        <v>#REF!</v>
      </c>
    </row>
    <row r="1122" spans="3:3">
      <c r="C1122" t="e">
        <f t="shared" ca="1" si="17"/>
        <v>#REF!</v>
      </c>
    </row>
    <row r="1123" spans="3:3">
      <c r="C1123" t="e">
        <f t="shared" ca="1" si="17"/>
        <v>#REF!</v>
      </c>
    </row>
    <row r="1124" spans="3:3">
      <c r="C1124" t="e">
        <f t="shared" ca="1" si="17"/>
        <v>#REF!</v>
      </c>
    </row>
    <row r="1125" spans="3:3">
      <c r="C1125" t="e">
        <f t="shared" ca="1" si="17"/>
        <v>#REF!</v>
      </c>
    </row>
    <row r="1126" spans="3:3">
      <c r="C1126" t="e">
        <f t="shared" ca="1" si="17"/>
        <v>#REF!</v>
      </c>
    </row>
    <row r="1127" spans="3:3">
      <c r="C1127" t="e">
        <f t="shared" ca="1" si="17"/>
        <v>#REF!</v>
      </c>
    </row>
    <row r="1128" spans="3:3">
      <c r="C1128" t="e">
        <f t="shared" ca="1" si="17"/>
        <v>#REF!</v>
      </c>
    </row>
    <row r="1129" spans="3:3">
      <c r="C1129" t="e">
        <f t="shared" ca="1" si="17"/>
        <v>#REF!</v>
      </c>
    </row>
    <row r="1130" spans="3:3">
      <c r="C1130" t="e">
        <f t="shared" ca="1" si="17"/>
        <v>#REF!</v>
      </c>
    </row>
    <row r="1131" spans="3:3">
      <c r="C1131" t="e">
        <f t="shared" ca="1" si="17"/>
        <v>#REF!</v>
      </c>
    </row>
    <row r="1132" spans="3:3">
      <c r="C1132" t="e">
        <f t="shared" ca="1" si="17"/>
        <v>#REF!</v>
      </c>
    </row>
    <row r="1133" spans="3:3">
      <c r="C1133" t="e">
        <f t="shared" ca="1" si="17"/>
        <v>#REF!</v>
      </c>
    </row>
    <row r="1134" spans="3:3">
      <c r="C1134" t="e">
        <f t="shared" ca="1" si="17"/>
        <v>#REF!</v>
      </c>
    </row>
    <row r="1135" spans="3:3">
      <c r="C1135" t="e">
        <f t="shared" ca="1" si="17"/>
        <v>#REF!</v>
      </c>
    </row>
    <row r="1136" spans="3:3">
      <c r="C1136" t="e">
        <f t="shared" ca="1" si="17"/>
        <v>#REF!</v>
      </c>
    </row>
    <row r="1137" spans="3:3">
      <c r="C1137" t="e">
        <f t="shared" ca="1" si="17"/>
        <v>#REF!</v>
      </c>
    </row>
    <row r="1138" spans="3:3">
      <c r="C1138" t="e">
        <f t="shared" ca="1" si="17"/>
        <v>#REF!</v>
      </c>
    </row>
    <row r="1139" spans="3:3">
      <c r="C1139" t="e">
        <f t="shared" ca="1" si="17"/>
        <v>#REF!</v>
      </c>
    </row>
    <row r="1140" spans="3:3">
      <c r="C1140" t="e">
        <f t="shared" ca="1" si="17"/>
        <v>#REF!</v>
      </c>
    </row>
    <row r="1141" spans="3:3">
      <c r="C1141" t="e">
        <f t="shared" ca="1" si="17"/>
        <v>#REF!</v>
      </c>
    </row>
    <row r="1142" spans="3:3">
      <c r="C1142" t="e">
        <f t="shared" ca="1" si="17"/>
        <v>#REF!</v>
      </c>
    </row>
    <row r="1143" spans="3:3">
      <c r="C1143" t="e">
        <f t="shared" ca="1" si="17"/>
        <v>#REF!</v>
      </c>
    </row>
    <row r="1144" spans="3:3">
      <c r="C1144" t="e">
        <f t="shared" ca="1" si="17"/>
        <v>#REF!</v>
      </c>
    </row>
    <row r="1145" spans="3:3">
      <c r="C1145" t="e">
        <f t="shared" ca="1" si="17"/>
        <v>#REF!</v>
      </c>
    </row>
    <row r="1146" spans="3:3">
      <c r="C1146" t="e">
        <f t="shared" ca="1" si="17"/>
        <v>#REF!</v>
      </c>
    </row>
    <row r="1147" spans="3:3">
      <c r="C1147" t="e">
        <f t="shared" ca="1" si="17"/>
        <v>#REF!</v>
      </c>
    </row>
    <row r="1148" spans="3:3">
      <c r="C1148" t="e">
        <f t="shared" ca="1" si="17"/>
        <v>#REF!</v>
      </c>
    </row>
    <row r="1149" spans="3:3">
      <c r="C1149" t="e">
        <f t="shared" ca="1" si="17"/>
        <v>#REF!</v>
      </c>
    </row>
    <row r="1150" spans="3:3">
      <c r="C1150" t="e">
        <f t="shared" ca="1" si="17"/>
        <v>#REF!</v>
      </c>
    </row>
    <row r="1151" spans="3:3">
      <c r="C1151" t="e">
        <f t="shared" ca="1" si="17"/>
        <v>#REF!</v>
      </c>
    </row>
    <row r="1152" spans="3:3">
      <c r="C1152" t="e">
        <f t="shared" ca="1" si="17"/>
        <v>#REF!</v>
      </c>
    </row>
    <row r="1153" spans="3:3">
      <c r="C1153" t="e">
        <f t="shared" ca="1" si="17"/>
        <v>#REF!</v>
      </c>
    </row>
    <row r="1154" spans="3:3">
      <c r="C1154" t="e">
        <f t="shared" ca="1" si="17"/>
        <v>#REF!</v>
      </c>
    </row>
    <row r="1155" spans="3:3">
      <c r="C1155" t="e">
        <f t="shared" ref="C1155:C1218" ca="1" si="18">INDIRECT(B1155)</f>
        <v>#REF!</v>
      </c>
    </row>
    <row r="1156" spans="3:3">
      <c r="C1156" t="e">
        <f t="shared" ca="1" si="18"/>
        <v>#REF!</v>
      </c>
    </row>
    <row r="1157" spans="3:3">
      <c r="C1157" t="e">
        <f t="shared" ca="1" si="18"/>
        <v>#REF!</v>
      </c>
    </row>
    <row r="1158" spans="3:3">
      <c r="C1158" t="e">
        <f t="shared" ca="1" si="18"/>
        <v>#REF!</v>
      </c>
    </row>
    <row r="1159" spans="3:3">
      <c r="C1159" t="e">
        <f t="shared" ca="1" si="18"/>
        <v>#REF!</v>
      </c>
    </row>
    <row r="1160" spans="3:3">
      <c r="C1160" t="e">
        <f t="shared" ca="1" si="18"/>
        <v>#REF!</v>
      </c>
    </row>
    <row r="1161" spans="3:3">
      <c r="C1161" t="e">
        <f t="shared" ca="1" si="18"/>
        <v>#REF!</v>
      </c>
    </row>
    <row r="1162" spans="3:3">
      <c r="C1162" t="e">
        <f t="shared" ca="1" si="18"/>
        <v>#REF!</v>
      </c>
    </row>
    <row r="1163" spans="3:3">
      <c r="C1163" t="e">
        <f t="shared" ca="1" si="18"/>
        <v>#REF!</v>
      </c>
    </row>
    <row r="1164" spans="3:3">
      <c r="C1164" t="e">
        <f t="shared" ca="1" si="18"/>
        <v>#REF!</v>
      </c>
    </row>
    <row r="1165" spans="3:3">
      <c r="C1165" t="e">
        <f t="shared" ca="1" si="18"/>
        <v>#REF!</v>
      </c>
    </row>
    <row r="1166" spans="3:3">
      <c r="C1166" t="e">
        <f t="shared" ca="1" si="18"/>
        <v>#REF!</v>
      </c>
    </row>
    <row r="1167" spans="3:3">
      <c r="C1167" t="e">
        <f t="shared" ca="1" si="18"/>
        <v>#REF!</v>
      </c>
    </row>
    <row r="1168" spans="3:3">
      <c r="C1168" t="e">
        <f t="shared" ca="1" si="18"/>
        <v>#REF!</v>
      </c>
    </row>
    <row r="1169" spans="3:3">
      <c r="C1169" t="e">
        <f t="shared" ca="1" si="18"/>
        <v>#REF!</v>
      </c>
    </row>
    <row r="1170" spans="3:3">
      <c r="C1170" t="e">
        <f t="shared" ca="1" si="18"/>
        <v>#REF!</v>
      </c>
    </row>
    <row r="1171" spans="3:3">
      <c r="C1171" t="e">
        <f t="shared" ca="1" si="18"/>
        <v>#REF!</v>
      </c>
    </row>
    <row r="1172" spans="3:3">
      <c r="C1172" t="e">
        <f t="shared" ca="1" si="18"/>
        <v>#REF!</v>
      </c>
    </row>
    <row r="1173" spans="3:3">
      <c r="C1173" t="e">
        <f t="shared" ca="1" si="18"/>
        <v>#REF!</v>
      </c>
    </row>
    <row r="1174" spans="3:3">
      <c r="C1174" t="e">
        <f t="shared" ca="1" si="18"/>
        <v>#REF!</v>
      </c>
    </row>
    <row r="1175" spans="3:3">
      <c r="C1175" t="e">
        <f t="shared" ca="1" si="18"/>
        <v>#REF!</v>
      </c>
    </row>
    <row r="1176" spans="3:3">
      <c r="C1176" t="e">
        <f t="shared" ca="1" si="18"/>
        <v>#REF!</v>
      </c>
    </row>
    <row r="1177" spans="3:3">
      <c r="C1177" t="e">
        <f t="shared" ca="1" si="18"/>
        <v>#REF!</v>
      </c>
    </row>
    <row r="1178" spans="3:3">
      <c r="C1178" t="e">
        <f t="shared" ca="1" si="18"/>
        <v>#REF!</v>
      </c>
    </row>
    <row r="1179" spans="3:3">
      <c r="C1179" t="e">
        <f t="shared" ca="1" si="18"/>
        <v>#REF!</v>
      </c>
    </row>
    <row r="1180" spans="3:3">
      <c r="C1180" t="e">
        <f t="shared" ca="1" si="18"/>
        <v>#REF!</v>
      </c>
    </row>
    <row r="1181" spans="3:3">
      <c r="C1181" t="e">
        <f t="shared" ca="1" si="18"/>
        <v>#REF!</v>
      </c>
    </row>
    <row r="1182" spans="3:3">
      <c r="C1182" t="e">
        <f t="shared" ca="1" si="18"/>
        <v>#REF!</v>
      </c>
    </row>
    <row r="1183" spans="3:3">
      <c r="C1183" t="e">
        <f t="shared" ca="1" si="18"/>
        <v>#REF!</v>
      </c>
    </row>
    <row r="1184" spans="3:3">
      <c r="C1184" t="e">
        <f t="shared" ca="1" si="18"/>
        <v>#REF!</v>
      </c>
    </row>
    <row r="1185" spans="3:3">
      <c r="C1185" t="e">
        <f t="shared" ca="1" si="18"/>
        <v>#REF!</v>
      </c>
    </row>
    <row r="1186" spans="3:3">
      <c r="C1186" t="e">
        <f t="shared" ca="1" si="18"/>
        <v>#REF!</v>
      </c>
    </row>
    <row r="1187" spans="3:3">
      <c r="C1187" t="e">
        <f t="shared" ca="1" si="18"/>
        <v>#REF!</v>
      </c>
    </row>
    <row r="1188" spans="3:3">
      <c r="C1188" t="e">
        <f t="shared" ca="1" si="18"/>
        <v>#REF!</v>
      </c>
    </row>
    <row r="1189" spans="3:3">
      <c r="C1189" t="e">
        <f t="shared" ca="1" si="18"/>
        <v>#REF!</v>
      </c>
    </row>
    <row r="1190" spans="3:3">
      <c r="C1190" t="e">
        <f t="shared" ca="1" si="18"/>
        <v>#REF!</v>
      </c>
    </row>
    <row r="1191" spans="3:3">
      <c r="C1191" t="e">
        <f t="shared" ca="1" si="18"/>
        <v>#REF!</v>
      </c>
    </row>
    <row r="1192" spans="3:3">
      <c r="C1192" t="e">
        <f t="shared" ca="1" si="18"/>
        <v>#REF!</v>
      </c>
    </row>
    <row r="1193" spans="3:3">
      <c r="C1193" t="e">
        <f t="shared" ca="1" si="18"/>
        <v>#REF!</v>
      </c>
    </row>
    <row r="1194" spans="3:3">
      <c r="C1194" t="e">
        <f t="shared" ca="1" si="18"/>
        <v>#REF!</v>
      </c>
    </row>
    <row r="1195" spans="3:3">
      <c r="C1195" t="e">
        <f t="shared" ca="1" si="18"/>
        <v>#REF!</v>
      </c>
    </row>
    <row r="1196" spans="3:3">
      <c r="C1196" t="e">
        <f t="shared" ca="1" si="18"/>
        <v>#REF!</v>
      </c>
    </row>
    <row r="1197" spans="3:3">
      <c r="C1197" t="e">
        <f t="shared" ca="1" si="18"/>
        <v>#REF!</v>
      </c>
    </row>
    <row r="1198" spans="3:3">
      <c r="C1198" t="e">
        <f t="shared" ca="1" si="18"/>
        <v>#REF!</v>
      </c>
    </row>
    <row r="1199" spans="3:3">
      <c r="C1199" t="e">
        <f t="shared" ca="1" si="18"/>
        <v>#REF!</v>
      </c>
    </row>
    <row r="1200" spans="3:3">
      <c r="C1200" t="e">
        <f t="shared" ca="1" si="18"/>
        <v>#REF!</v>
      </c>
    </row>
    <row r="1201" spans="3:3">
      <c r="C1201" t="e">
        <f t="shared" ca="1" si="18"/>
        <v>#REF!</v>
      </c>
    </row>
    <row r="1202" spans="3:3">
      <c r="C1202" t="e">
        <f t="shared" ca="1" si="18"/>
        <v>#REF!</v>
      </c>
    </row>
    <row r="1203" spans="3:3">
      <c r="C1203" t="e">
        <f t="shared" ca="1" si="18"/>
        <v>#REF!</v>
      </c>
    </row>
    <row r="1204" spans="3:3">
      <c r="C1204" t="e">
        <f t="shared" ca="1" si="18"/>
        <v>#REF!</v>
      </c>
    </row>
    <row r="1205" spans="3:3">
      <c r="C1205" t="e">
        <f t="shared" ca="1" si="18"/>
        <v>#REF!</v>
      </c>
    </row>
    <row r="1206" spans="3:3">
      <c r="C1206" t="e">
        <f t="shared" ca="1" si="18"/>
        <v>#REF!</v>
      </c>
    </row>
    <row r="1207" spans="3:3">
      <c r="C1207" t="e">
        <f t="shared" ca="1" si="18"/>
        <v>#REF!</v>
      </c>
    </row>
    <row r="1208" spans="3:3">
      <c r="C1208" t="e">
        <f t="shared" ca="1" si="18"/>
        <v>#REF!</v>
      </c>
    </row>
    <row r="1209" spans="3:3">
      <c r="C1209" t="e">
        <f t="shared" ca="1" si="18"/>
        <v>#REF!</v>
      </c>
    </row>
    <row r="1210" spans="3:3">
      <c r="C1210" t="e">
        <f t="shared" ca="1" si="18"/>
        <v>#REF!</v>
      </c>
    </row>
    <row r="1211" spans="3:3">
      <c r="C1211" t="e">
        <f t="shared" ca="1" si="18"/>
        <v>#REF!</v>
      </c>
    </row>
    <row r="1212" spans="3:3">
      <c r="C1212" t="e">
        <f t="shared" ca="1" si="18"/>
        <v>#REF!</v>
      </c>
    </row>
    <row r="1213" spans="3:3">
      <c r="C1213" t="e">
        <f t="shared" ca="1" si="18"/>
        <v>#REF!</v>
      </c>
    </row>
    <row r="1214" spans="3:3">
      <c r="C1214" t="e">
        <f t="shared" ca="1" si="18"/>
        <v>#REF!</v>
      </c>
    </row>
    <row r="1215" spans="3:3">
      <c r="C1215" t="e">
        <f t="shared" ca="1" si="18"/>
        <v>#REF!</v>
      </c>
    </row>
    <row r="1216" spans="3:3">
      <c r="C1216" t="e">
        <f t="shared" ca="1" si="18"/>
        <v>#REF!</v>
      </c>
    </row>
    <row r="1217" spans="3:3">
      <c r="C1217" t="e">
        <f t="shared" ca="1" si="18"/>
        <v>#REF!</v>
      </c>
    </row>
    <row r="1218" spans="3:3">
      <c r="C1218" t="e">
        <f t="shared" ca="1" si="18"/>
        <v>#REF!</v>
      </c>
    </row>
    <row r="1219" spans="3:3">
      <c r="C1219" t="e">
        <f t="shared" ref="C1219:C1282" ca="1" si="19">INDIRECT(B1219)</f>
        <v>#REF!</v>
      </c>
    </row>
    <row r="1220" spans="3:3">
      <c r="C1220" t="e">
        <f t="shared" ca="1" si="19"/>
        <v>#REF!</v>
      </c>
    </row>
    <row r="1221" spans="3:3">
      <c r="C1221" t="e">
        <f t="shared" ca="1" si="19"/>
        <v>#REF!</v>
      </c>
    </row>
    <row r="1222" spans="3:3">
      <c r="C1222" t="e">
        <f t="shared" ca="1" si="19"/>
        <v>#REF!</v>
      </c>
    </row>
    <row r="1223" spans="3:3">
      <c r="C1223" t="e">
        <f t="shared" ca="1" si="19"/>
        <v>#REF!</v>
      </c>
    </row>
    <row r="1224" spans="3:3">
      <c r="C1224" t="e">
        <f t="shared" ca="1" si="19"/>
        <v>#REF!</v>
      </c>
    </row>
    <row r="1225" spans="3:3">
      <c r="C1225" t="e">
        <f t="shared" ca="1" si="19"/>
        <v>#REF!</v>
      </c>
    </row>
    <row r="1226" spans="3:3">
      <c r="C1226" t="e">
        <f t="shared" ca="1" si="19"/>
        <v>#REF!</v>
      </c>
    </row>
    <row r="1227" spans="3:3">
      <c r="C1227" t="e">
        <f t="shared" ca="1" si="19"/>
        <v>#REF!</v>
      </c>
    </row>
    <row r="1228" spans="3:3">
      <c r="C1228" t="e">
        <f t="shared" ca="1" si="19"/>
        <v>#REF!</v>
      </c>
    </row>
    <row r="1229" spans="3:3">
      <c r="C1229" t="e">
        <f t="shared" ca="1" si="19"/>
        <v>#REF!</v>
      </c>
    </row>
    <row r="1230" spans="3:3">
      <c r="C1230" t="e">
        <f t="shared" ca="1" si="19"/>
        <v>#REF!</v>
      </c>
    </row>
    <row r="1231" spans="3:3">
      <c r="C1231" t="e">
        <f t="shared" ca="1" si="19"/>
        <v>#REF!</v>
      </c>
    </row>
    <row r="1232" spans="3:3">
      <c r="C1232" t="e">
        <f t="shared" ca="1" si="19"/>
        <v>#REF!</v>
      </c>
    </row>
    <row r="1233" spans="3:3">
      <c r="C1233" t="e">
        <f t="shared" ca="1" si="19"/>
        <v>#REF!</v>
      </c>
    </row>
    <row r="1234" spans="3:3">
      <c r="C1234" t="e">
        <f t="shared" ca="1" si="19"/>
        <v>#REF!</v>
      </c>
    </row>
    <row r="1235" spans="3:3">
      <c r="C1235" t="e">
        <f t="shared" ca="1" si="19"/>
        <v>#REF!</v>
      </c>
    </row>
    <row r="1236" spans="3:3">
      <c r="C1236" t="e">
        <f t="shared" ca="1" si="19"/>
        <v>#REF!</v>
      </c>
    </row>
    <row r="1237" spans="3:3">
      <c r="C1237" t="e">
        <f t="shared" ca="1" si="19"/>
        <v>#REF!</v>
      </c>
    </row>
    <row r="1238" spans="3:3">
      <c r="C1238" t="e">
        <f t="shared" ca="1" si="19"/>
        <v>#REF!</v>
      </c>
    </row>
    <row r="1239" spans="3:3">
      <c r="C1239" t="e">
        <f t="shared" ca="1" si="19"/>
        <v>#REF!</v>
      </c>
    </row>
    <row r="1240" spans="3:3">
      <c r="C1240" t="e">
        <f t="shared" ca="1" si="19"/>
        <v>#REF!</v>
      </c>
    </row>
    <row r="1241" spans="3:3">
      <c r="C1241" t="e">
        <f t="shared" ca="1" si="19"/>
        <v>#REF!</v>
      </c>
    </row>
    <row r="1242" spans="3:3">
      <c r="C1242" t="e">
        <f t="shared" ca="1" si="19"/>
        <v>#REF!</v>
      </c>
    </row>
    <row r="1243" spans="3:3">
      <c r="C1243" t="e">
        <f t="shared" ca="1" si="19"/>
        <v>#REF!</v>
      </c>
    </row>
    <row r="1244" spans="3:3">
      <c r="C1244" t="e">
        <f t="shared" ca="1" si="19"/>
        <v>#REF!</v>
      </c>
    </row>
    <row r="1245" spans="3:3">
      <c r="C1245" t="e">
        <f t="shared" ca="1" si="19"/>
        <v>#REF!</v>
      </c>
    </row>
    <row r="1246" spans="3:3">
      <c r="C1246" t="e">
        <f t="shared" ca="1" si="19"/>
        <v>#REF!</v>
      </c>
    </row>
    <row r="1247" spans="3:3">
      <c r="C1247" t="e">
        <f t="shared" ca="1" si="19"/>
        <v>#REF!</v>
      </c>
    </row>
    <row r="1248" spans="3:3">
      <c r="C1248" t="e">
        <f t="shared" ca="1" si="19"/>
        <v>#REF!</v>
      </c>
    </row>
    <row r="1249" spans="3:3">
      <c r="C1249" t="e">
        <f t="shared" ca="1" si="19"/>
        <v>#REF!</v>
      </c>
    </row>
    <row r="1250" spans="3:3">
      <c r="C1250" t="e">
        <f t="shared" ca="1" si="19"/>
        <v>#REF!</v>
      </c>
    </row>
    <row r="1251" spans="3:3">
      <c r="C1251" t="e">
        <f t="shared" ca="1" si="19"/>
        <v>#REF!</v>
      </c>
    </row>
    <row r="1252" spans="3:3">
      <c r="C1252" t="e">
        <f t="shared" ca="1" si="19"/>
        <v>#REF!</v>
      </c>
    </row>
    <row r="1253" spans="3:3">
      <c r="C1253" t="e">
        <f t="shared" ca="1" si="19"/>
        <v>#REF!</v>
      </c>
    </row>
    <row r="1254" spans="3:3">
      <c r="C1254" t="e">
        <f t="shared" ca="1" si="19"/>
        <v>#REF!</v>
      </c>
    </row>
    <row r="1255" spans="3:3">
      <c r="C1255" t="e">
        <f t="shared" ca="1" si="19"/>
        <v>#REF!</v>
      </c>
    </row>
    <row r="1256" spans="3:3">
      <c r="C1256" t="e">
        <f t="shared" ca="1" si="19"/>
        <v>#REF!</v>
      </c>
    </row>
    <row r="1257" spans="3:3">
      <c r="C1257" t="e">
        <f t="shared" ca="1" si="19"/>
        <v>#REF!</v>
      </c>
    </row>
    <row r="1258" spans="3:3">
      <c r="C1258" t="e">
        <f t="shared" ca="1" si="19"/>
        <v>#REF!</v>
      </c>
    </row>
    <row r="1259" spans="3:3">
      <c r="C1259" t="e">
        <f t="shared" ca="1" si="19"/>
        <v>#REF!</v>
      </c>
    </row>
    <row r="1260" spans="3:3">
      <c r="C1260" t="e">
        <f t="shared" ca="1" si="19"/>
        <v>#REF!</v>
      </c>
    </row>
    <row r="1261" spans="3:3">
      <c r="C1261" t="e">
        <f t="shared" ca="1" si="19"/>
        <v>#REF!</v>
      </c>
    </row>
    <row r="1262" spans="3:3">
      <c r="C1262" t="e">
        <f t="shared" ca="1" si="19"/>
        <v>#REF!</v>
      </c>
    </row>
    <row r="1263" spans="3:3">
      <c r="C1263" t="e">
        <f t="shared" ca="1" si="19"/>
        <v>#REF!</v>
      </c>
    </row>
    <row r="1264" spans="3:3">
      <c r="C1264" t="e">
        <f t="shared" ca="1" si="19"/>
        <v>#REF!</v>
      </c>
    </row>
    <row r="1265" spans="3:3">
      <c r="C1265" t="e">
        <f t="shared" ca="1" si="19"/>
        <v>#REF!</v>
      </c>
    </row>
    <row r="1266" spans="3:3">
      <c r="C1266" t="e">
        <f t="shared" ca="1" si="19"/>
        <v>#REF!</v>
      </c>
    </row>
    <row r="1267" spans="3:3">
      <c r="C1267" t="e">
        <f t="shared" ca="1" si="19"/>
        <v>#REF!</v>
      </c>
    </row>
    <row r="1268" spans="3:3">
      <c r="C1268" t="e">
        <f t="shared" ca="1" si="19"/>
        <v>#REF!</v>
      </c>
    </row>
    <row r="1269" spans="3:3">
      <c r="C1269" t="e">
        <f t="shared" ca="1" si="19"/>
        <v>#REF!</v>
      </c>
    </row>
    <row r="1270" spans="3:3">
      <c r="C1270" t="e">
        <f t="shared" ca="1" si="19"/>
        <v>#REF!</v>
      </c>
    </row>
    <row r="1271" spans="3:3">
      <c r="C1271" t="e">
        <f t="shared" ca="1" si="19"/>
        <v>#REF!</v>
      </c>
    </row>
    <row r="1272" spans="3:3">
      <c r="C1272" t="e">
        <f t="shared" ca="1" si="19"/>
        <v>#REF!</v>
      </c>
    </row>
    <row r="1273" spans="3:3">
      <c r="C1273" t="e">
        <f t="shared" ca="1" si="19"/>
        <v>#REF!</v>
      </c>
    </row>
    <row r="1274" spans="3:3">
      <c r="C1274" t="e">
        <f t="shared" ca="1" si="19"/>
        <v>#REF!</v>
      </c>
    </row>
    <row r="1275" spans="3:3">
      <c r="C1275" t="e">
        <f t="shared" ca="1" si="19"/>
        <v>#REF!</v>
      </c>
    </row>
    <row r="1276" spans="3:3">
      <c r="C1276" t="e">
        <f t="shared" ca="1" si="19"/>
        <v>#REF!</v>
      </c>
    </row>
    <row r="1277" spans="3:3">
      <c r="C1277" t="e">
        <f t="shared" ca="1" si="19"/>
        <v>#REF!</v>
      </c>
    </row>
    <row r="1278" spans="3:3">
      <c r="C1278" t="e">
        <f t="shared" ca="1" si="19"/>
        <v>#REF!</v>
      </c>
    </row>
    <row r="1279" spans="3:3">
      <c r="C1279" t="e">
        <f t="shared" ca="1" si="19"/>
        <v>#REF!</v>
      </c>
    </row>
    <row r="1280" spans="3:3">
      <c r="C1280" t="e">
        <f t="shared" ca="1" si="19"/>
        <v>#REF!</v>
      </c>
    </row>
    <row r="1281" spans="3:3">
      <c r="C1281" t="e">
        <f t="shared" ca="1" si="19"/>
        <v>#REF!</v>
      </c>
    </row>
    <row r="1282" spans="3:3">
      <c r="C1282" t="e">
        <f t="shared" ca="1" si="19"/>
        <v>#REF!</v>
      </c>
    </row>
    <row r="1283" spans="3:3">
      <c r="C1283" t="e">
        <f t="shared" ref="C1283:C1346" ca="1" si="20">INDIRECT(B1283)</f>
        <v>#REF!</v>
      </c>
    </row>
    <row r="1284" spans="3:3">
      <c r="C1284" t="e">
        <f t="shared" ca="1" si="20"/>
        <v>#REF!</v>
      </c>
    </row>
    <row r="1285" spans="3:3">
      <c r="C1285" t="e">
        <f t="shared" ca="1" si="20"/>
        <v>#REF!</v>
      </c>
    </row>
    <row r="1286" spans="3:3">
      <c r="C1286" t="e">
        <f t="shared" ca="1" si="20"/>
        <v>#REF!</v>
      </c>
    </row>
    <row r="1287" spans="3:3">
      <c r="C1287" t="e">
        <f t="shared" ca="1" si="20"/>
        <v>#REF!</v>
      </c>
    </row>
    <row r="1288" spans="3:3">
      <c r="C1288" t="e">
        <f t="shared" ca="1" si="20"/>
        <v>#REF!</v>
      </c>
    </row>
    <row r="1289" spans="3:3">
      <c r="C1289" t="e">
        <f t="shared" ca="1" si="20"/>
        <v>#REF!</v>
      </c>
    </row>
    <row r="1290" spans="3:3">
      <c r="C1290" t="e">
        <f t="shared" ca="1" si="20"/>
        <v>#REF!</v>
      </c>
    </row>
    <row r="1291" spans="3:3">
      <c r="C1291" t="e">
        <f t="shared" ca="1" si="20"/>
        <v>#REF!</v>
      </c>
    </row>
    <row r="1292" spans="3:3">
      <c r="C1292" t="e">
        <f t="shared" ca="1" si="20"/>
        <v>#REF!</v>
      </c>
    </row>
    <row r="1293" spans="3:3">
      <c r="C1293" t="e">
        <f t="shared" ca="1" si="20"/>
        <v>#REF!</v>
      </c>
    </row>
    <row r="1294" spans="3:3">
      <c r="C1294" t="e">
        <f t="shared" ca="1" si="20"/>
        <v>#REF!</v>
      </c>
    </row>
    <row r="1295" spans="3:3">
      <c r="C1295" t="e">
        <f t="shared" ca="1" si="20"/>
        <v>#REF!</v>
      </c>
    </row>
    <row r="1296" spans="3:3">
      <c r="C1296" t="e">
        <f t="shared" ca="1" si="20"/>
        <v>#REF!</v>
      </c>
    </row>
    <row r="1297" spans="3:3">
      <c r="C1297" t="e">
        <f t="shared" ca="1" si="20"/>
        <v>#REF!</v>
      </c>
    </row>
    <row r="1298" spans="3:3">
      <c r="C1298" t="e">
        <f t="shared" ca="1" si="20"/>
        <v>#REF!</v>
      </c>
    </row>
    <row r="1299" spans="3:3">
      <c r="C1299" t="e">
        <f t="shared" ca="1" si="20"/>
        <v>#REF!</v>
      </c>
    </row>
    <row r="1300" spans="3:3">
      <c r="C1300" t="e">
        <f t="shared" ca="1" si="20"/>
        <v>#REF!</v>
      </c>
    </row>
    <row r="1301" spans="3:3">
      <c r="C1301" t="e">
        <f t="shared" ca="1" si="20"/>
        <v>#REF!</v>
      </c>
    </row>
    <row r="1302" spans="3:3">
      <c r="C1302" t="e">
        <f t="shared" ca="1" si="20"/>
        <v>#REF!</v>
      </c>
    </row>
    <row r="1303" spans="3:3">
      <c r="C1303" t="e">
        <f t="shared" ca="1" si="20"/>
        <v>#REF!</v>
      </c>
    </row>
    <row r="1304" spans="3:3">
      <c r="C1304" t="e">
        <f t="shared" ca="1" si="20"/>
        <v>#REF!</v>
      </c>
    </row>
    <row r="1305" spans="3:3">
      <c r="C1305" t="e">
        <f t="shared" ca="1" si="20"/>
        <v>#REF!</v>
      </c>
    </row>
    <row r="1306" spans="3:3">
      <c r="C1306" t="e">
        <f t="shared" ca="1" si="20"/>
        <v>#REF!</v>
      </c>
    </row>
    <row r="1307" spans="3:3">
      <c r="C1307" t="e">
        <f t="shared" ca="1" si="20"/>
        <v>#REF!</v>
      </c>
    </row>
    <row r="1308" spans="3:3">
      <c r="C1308" t="e">
        <f t="shared" ca="1" si="20"/>
        <v>#REF!</v>
      </c>
    </row>
    <row r="1309" spans="3:3">
      <c r="C1309" t="e">
        <f t="shared" ca="1" si="20"/>
        <v>#REF!</v>
      </c>
    </row>
    <row r="1310" spans="3:3">
      <c r="C1310" t="e">
        <f t="shared" ca="1" si="20"/>
        <v>#REF!</v>
      </c>
    </row>
    <row r="1311" spans="3:3">
      <c r="C1311" t="e">
        <f t="shared" ca="1" si="20"/>
        <v>#REF!</v>
      </c>
    </row>
    <row r="1312" spans="3:3">
      <c r="C1312" t="e">
        <f t="shared" ca="1" si="20"/>
        <v>#REF!</v>
      </c>
    </row>
    <row r="1313" spans="3:3">
      <c r="C1313" t="e">
        <f t="shared" ca="1" si="20"/>
        <v>#REF!</v>
      </c>
    </row>
    <row r="1314" spans="3:3">
      <c r="C1314" t="e">
        <f t="shared" ca="1" si="20"/>
        <v>#REF!</v>
      </c>
    </row>
    <row r="1315" spans="3:3">
      <c r="C1315" t="e">
        <f t="shared" ca="1" si="20"/>
        <v>#REF!</v>
      </c>
    </row>
    <row r="1316" spans="3:3">
      <c r="C1316" t="e">
        <f t="shared" ca="1" si="20"/>
        <v>#REF!</v>
      </c>
    </row>
    <row r="1317" spans="3:3">
      <c r="C1317" t="e">
        <f t="shared" ca="1" si="20"/>
        <v>#REF!</v>
      </c>
    </row>
    <row r="1318" spans="3:3">
      <c r="C1318" t="e">
        <f t="shared" ca="1" si="20"/>
        <v>#REF!</v>
      </c>
    </row>
    <row r="1319" spans="3:3">
      <c r="C1319" t="e">
        <f t="shared" ca="1" si="20"/>
        <v>#REF!</v>
      </c>
    </row>
    <row r="1320" spans="3:3">
      <c r="C1320" t="e">
        <f t="shared" ca="1" si="20"/>
        <v>#REF!</v>
      </c>
    </row>
    <row r="1321" spans="3:3">
      <c r="C1321" t="e">
        <f t="shared" ca="1" si="20"/>
        <v>#REF!</v>
      </c>
    </row>
    <row r="1322" spans="3:3">
      <c r="C1322" t="e">
        <f t="shared" ca="1" si="20"/>
        <v>#REF!</v>
      </c>
    </row>
    <row r="1323" spans="3:3">
      <c r="C1323" t="e">
        <f t="shared" ca="1" si="20"/>
        <v>#REF!</v>
      </c>
    </row>
    <row r="1324" spans="3:3">
      <c r="C1324" t="e">
        <f t="shared" ca="1" si="20"/>
        <v>#REF!</v>
      </c>
    </row>
    <row r="1325" spans="3:3">
      <c r="C1325" t="e">
        <f t="shared" ca="1" si="20"/>
        <v>#REF!</v>
      </c>
    </row>
    <row r="1326" spans="3:3">
      <c r="C1326" t="e">
        <f t="shared" ca="1" si="20"/>
        <v>#REF!</v>
      </c>
    </row>
    <row r="1327" spans="3:3">
      <c r="C1327" t="e">
        <f t="shared" ca="1" si="20"/>
        <v>#REF!</v>
      </c>
    </row>
    <row r="1328" spans="3:3">
      <c r="C1328" t="e">
        <f t="shared" ca="1" si="20"/>
        <v>#REF!</v>
      </c>
    </row>
    <row r="1329" spans="3:3">
      <c r="C1329" t="e">
        <f t="shared" ca="1" si="20"/>
        <v>#REF!</v>
      </c>
    </row>
    <row r="1330" spans="3:3">
      <c r="C1330" t="e">
        <f t="shared" ca="1" si="20"/>
        <v>#REF!</v>
      </c>
    </row>
    <row r="1331" spans="3:3">
      <c r="C1331" t="e">
        <f t="shared" ca="1" si="20"/>
        <v>#REF!</v>
      </c>
    </row>
    <row r="1332" spans="3:3">
      <c r="C1332" t="e">
        <f t="shared" ca="1" si="20"/>
        <v>#REF!</v>
      </c>
    </row>
    <row r="1333" spans="3:3">
      <c r="C1333" t="e">
        <f t="shared" ca="1" si="20"/>
        <v>#REF!</v>
      </c>
    </row>
    <row r="1334" spans="3:3">
      <c r="C1334" t="e">
        <f t="shared" ca="1" si="20"/>
        <v>#REF!</v>
      </c>
    </row>
    <row r="1335" spans="3:3">
      <c r="C1335" t="e">
        <f t="shared" ca="1" si="20"/>
        <v>#REF!</v>
      </c>
    </row>
    <row r="1336" spans="3:3">
      <c r="C1336" t="e">
        <f t="shared" ca="1" si="20"/>
        <v>#REF!</v>
      </c>
    </row>
    <row r="1337" spans="3:3">
      <c r="C1337" t="e">
        <f t="shared" ca="1" si="20"/>
        <v>#REF!</v>
      </c>
    </row>
    <row r="1338" spans="3:3">
      <c r="C1338" t="e">
        <f t="shared" ca="1" si="20"/>
        <v>#REF!</v>
      </c>
    </row>
    <row r="1339" spans="3:3">
      <c r="C1339" t="e">
        <f t="shared" ca="1" si="20"/>
        <v>#REF!</v>
      </c>
    </row>
    <row r="1340" spans="3:3">
      <c r="C1340" t="e">
        <f t="shared" ca="1" si="20"/>
        <v>#REF!</v>
      </c>
    </row>
    <row r="1341" spans="3:3">
      <c r="C1341" t="e">
        <f t="shared" ca="1" si="20"/>
        <v>#REF!</v>
      </c>
    </row>
    <row r="1342" spans="3:3">
      <c r="C1342" t="e">
        <f t="shared" ca="1" si="20"/>
        <v>#REF!</v>
      </c>
    </row>
    <row r="1343" spans="3:3">
      <c r="C1343" t="e">
        <f t="shared" ca="1" si="20"/>
        <v>#REF!</v>
      </c>
    </row>
    <row r="1344" spans="3:3">
      <c r="C1344" t="e">
        <f t="shared" ca="1" si="20"/>
        <v>#REF!</v>
      </c>
    </row>
    <row r="1345" spans="3:3">
      <c r="C1345" t="e">
        <f t="shared" ca="1" si="20"/>
        <v>#REF!</v>
      </c>
    </row>
    <row r="1346" spans="3:3">
      <c r="C1346" t="e">
        <f t="shared" ca="1" si="20"/>
        <v>#REF!</v>
      </c>
    </row>
    <row r="1347" spans="3:3">
      <c r="C1347" t="e">
        <f t="shared" ref="C1347:C1410" ca="1" si="21">INDIRECT(B1347)</f>
        <v>#REF!</v>
      </c>
    </row>
    <row r="1348" spans="3:3">
      <c r="C1348" t="e">
        <f t="shared" ca="1" si="21"/>
        <v>#REF!</v>
      </c>
    </row>
    <row r="1349" spans="3:3">
      <c r="C1349" t="e">
        <f t="shared" ca="1" si="21"/>
        <v>#REF!</v>
      </c>
    </row>
    <row r="1350" spans="3:3">
      <c r="C1350" t="e">
        <f t="shared" ca="1" si="21"/>
        <v>#REF!</v>
      </c>
    </row>
    <row r="1351" spans="3:3">
      <c r="C1351" t="e">
        <f t="shared" ca="1" si="21"/>
        <v>#REF!</v>
      </c>
    </row>
    <row r="1352" spans="3:3">
      <c r="C1352" t="e">
        <f t="shared" ca="1" si="21"/>
        <v>#REF!</v>
      </c>
    </row>
    <row r="1353" spans="3:3">
      <c r="C1353" t="e">
        <f t="shared" ca="1" si="21"/>
        <v>#REF!</v>
      </c>
    </row>
    <row r="1354" spans="3:3">
      <c r="C1354" t="e">
        <f t="shared" ca="1" si="21"/>
        <v>#REF!</v>
      </c>
    </row>
    <row r="1355" spans="3:3">
      <c r="C1355" t="e">
        <f t="shared" ca="1" si="21"/>
        <v>#REF!</v>
      </c>
    </row>
    <row r="1356" spans="3:3">
      <c r="C1356" t="e">
        <f t="shared" ca="1" si="21"/>
        <v>#REF!</v>
      </c>
    </row>
    <row r="1357" spans="3:3">
      <c r="C1357" t="e">
        <f t="shared" ca="1" si="21"/>
        <v>#REF!</v>
      </c>
    </row>
    <row r="1358" spans="3:3">
      <c r="C1358" t="e">
        <f t="shared" ca="1" si="21"/>
        <v>#REF!</v>
      </c>
    </row>
    <row r="1359" spans="3:3">
      <c r="C1359" t="e">
        <f t="shared" ca="1" si="21"/>
        <v>#REF!</v>
      </c>
    </row>
    <row r="1360" spans="3:3">
      <c r="C1360" t="e">
        <f t="shared" ca="1" si="21"/>
        <v>#REF!</v>
      </c>
    </row>
    <row r="1361" spans="3:3">
      <c r="C1361" t="e">
        <f t="shared" ca="1" si="21"/>
        <v>#REF!</v>
      </c>
    </row>
    <row r="1362" spans="3:3">
      <c r="C1362" t="e">
        <f t="shared" ca="1" si="21"/>
        <v>#REF!</v>
      </c>
    </row>
    <row r="1363" spans="3:3">
      <c r="C1363" t="e">
        <f t="shared" ca="1" si="21"/>
        <v>#REF!</v>
      </c>
    </row>
    <row r="1364" spans="3:3">
      <c r="C1364" t="e">
        <f t="shared" ca="1" si="21"/>
        <v>#REF!</v>
      </c>
    </row>
    <row r="1365" spans="3:3">
      <c r="C1365" t="e">
        <f t="shared" ca="1" si="21"/>
        <v>#REF!</v>
      </c>
    </row>
    <row r="1366" spans="3:3">
      <c r="C1366" t="e">
        <f t="shared" ca="1" si="21"/>
        <v>#REF!</v>
      </c>
    </row>
    <row r="1367" spans="3:3">
      <c r="C1367" t="e">
        <f t="shared" ca="1" si="21"/>
        <v>#REF!</v>
      </c>
    </row>
    <row r="1368" spans="3:3">
      <c r="C1368" t="e">
        <f t="shared" ca="1" si="21"/>
        <v>#REF!</v>
      </c>
    </row>
    <row r="1369" spans="3:3">
      <c r="C1369" t="e">
        <f t="shared" ca="1" si="21"/>
        <v>#REF!</v>
      </c>
    </row>
    <row r="1370" spans="3:3">
      <c r="C1370" t="e">
        <f t="shared" ca="1" si="21"/>
        <v>#REF!</v>
      </c>
    </row>
    <row r="1371" spans="3:3">
      <c r="C1371" t="e">
        <f t="shared" ca="1" si="21"/>
        <v>#REF!</v>
      </c>
    </row>
    <row r="1372" spans="3:3">
      <c r="C1372" t="e">
        <f t="shared" ca="1" si="21"/>
        <v>#REF!</v>
      </c>
    </row>
    <row r="1373" spans="3:3">
      <c r="C1373" t="e">
        <f t="shared" ca="1" si="21"/>
        <v>#REF!</v>
      </c>
    </row>
    <row r="1374" spans="3:3">
      <c r="C1374" t="e">
        <f t="shared" ca="1" si="21"/>
        <v>#REF!</v>
      </c>
    </row>
    <row r="1375" spans="3:3">
      <c r="C1375" t="e">
        <f t="shared" ca="1" si="21"/>
        <v>#REF!</v>
      </c>
    </row>
    <row r="1376" spans="3:3">
      <c r="C1376" t="e">
        <f t="shared" ca="1" si="21"/>
        <v>#REF!</v>
      </c>
    </row>
    <row r="1377" spans="3:3">
      <c r="C1377" t="e">
        <f t="shared" ca="1" si="21"/>
        <v>#REF!</v>
      </c>
    </row>
    <row r="1378" spans="3:3">
      <c r="C1378" t="e">
        <f t="shared" ca="1" si="21"/>
        <v>#REF!</v>
      </c>
    </row>
    <row r="1379" spans="3:3">
      <c r="C1379" t="e">
        <f t="shared" ca="1" si="21"/>
        <v>#REF!</v>
      </c>
    </row>
    <row r="1380" spans="3:3">
      <c r="C1380" t="e">
        <f t="shared" ca="1" si="21"/>
        <v>#REF!</v>
      </c>
    </row>
    <row r="1381" spans="3:3">
      <c r="C1381" t="e">
        <f t="shared" ca="1" si="21"/>
        <v>#REF!</v>
      </c>
    </row>
    <row r="1382" spans="3:3">
      <c r="C1382" t="e">
        <f t="shared" ca="1" si="21"/>
        <v>#REF!</v>
      </c>
    </row>
    <row r="1383" spans="3:3">
      <c r="C1383" t="e">
        <f t="shared" ca="1" si="21"/>
        <v>#REF!</v>
      </c>
    </row>
    <row r="1384" spans="3:3">
      <c r="C1384" t="e">
        <f t="shared" ca="1" si="21"/>
        <v>#REF!</v>
      </c>
    </row>
    <row r="1385" spans="3:3">
      <c r="C1385" t="e">
        <f t="shared" ca="1" si="21"/>
        <v>#REF!</v>
      </c>
    </row>
    <row r="1386" spans="3:3">
      <c r="C1386" t="e">
        <f t="shared" ca="1" si="21"/>
        <v>#REF!</v>
      </c>
    </row>
    <row r="1387" spans="3:3">
      <c r="C1387" t="e">
        <f t="shared" ca="1" si="21"/>
        <v>#REF!</v>
      </c>
    </row>
    <row r="1388" spans="3:3">
      <c r="C1388" t="e">
        <f t="shared" ca="1" si="21"/>
        <v>#REF!</v>
      </c>
    </row>
    <row r="1389" spans="3:3">
      <c r="C1389" t="e">
        <f t="shared" ca="1" si="21"/>
        <v>#REF!</v>
      </c>
    </row>
    <row r="1390" spans="3:3">
      <c r="C1390" t="e">
        <f t="shared" ca="1" si="21"/>
        <v>#REF!</v>
      </c>
    </row>
    <row r="1391" spans="3:3">
      <c r="C1391" t="e">
        <f t="shared" ca="1" si="21"/>
        <v>#REF!</v>
      </c>
    </row>
    <row r="1392" spans="3:3">
      <c r="C1392" t="e">
        <f t="shared" ca="1" si="21"/>
        <v>#REF!</v>
      </c>
    </row>
    <row r="1393" spans="3:3">
      <c r="C1393" t="e">
        <f t="shared" ca="1" si="21"/>
        <v>#REF!</v>
      </c>
    </row>
    <row r="1394" spans="3:3">
      <c r="C1394" t="e">
        <f t="shared" ca="1" si="21"/>
        <v>#REF!</v>
      </c>
    </row>
    <row r="1395" spans="3:3">
      <c r="C1395" t="e">
        <f t="shared" ca="1" si="21"/>
        <v>#REF!</v>
      </c>
    </row>
    <row r="1396" spans="3:3">
      <c r="C1396" t="e">
        <f t="shared" ca="1" si="21"/>
        <v>#REF!</v>
      </c>
    </row>
    <row r="1397" spans="3:3">
      <c r="C1397" t="e">
        <f t="shared" ca="1" si="21"/>
        <v>#REF!</v>
      </c>
    </row>
    <row r="1398" spans="3:3">
      <c r="C1398" t="e">
        <f t="shared" ca="1" si="21"/>
        <v>#REF!</v>
      </c>
    </row>
    <row r="1399" spans="3:3">
      <c r="C1399" t="e">
        <f t="shared" ca="1" si="21"/>
        <v>#REF!</v>
      </c>
    </row>
    <row r="1400" spans="3:3">
      <c r="C1400" t="e">
        <f t="shared" ca="1" si="21"/>
        <v>#REF!</v>
      </c>
    </row>
    <row r="1401" spans="3:3">
      <c r="C1401" t="e">
        <f t="shared" ca="1" si="21"/>
        <v>#REF!</v>
      </c>
    </row>
    <row r="1402" spans="3:3">
      <c r="C1402" t="e">
        <f t="shared" ca="1" si="21"/>
        <v>#REF!</v>
      </c>
    </row>
    <row r="1403" spans="3:3">
      <c r="C1403" t="e">
        <f t="shared" ca="1" si="21"/>
        <v>#REF!</v>
      </c>
    </row>
    <row r="1404" spans="3:3">
      <c r="C1404" t="e">
        <f t="shared" ca="1" si="21"/>
        <v>#REF!</v>
      </c>
    </row>
    <row r="1405" spans="3:3">
      <c r="C1405" t="e">
        <f t="shared" ca="1" si="21"/>
        <v>#REF!</v>
      </c>
    </row>
    <row r="1406" spans="3:3">
      <c r="C1406" t="e">
        <f t="shared" ca="1" si="21"/>
        <v>#REF!</v>
      </c>
    </row>
    <row r="1407" spans="3:3">
      <c r="C1407" t="e">
        <f t="shared" ca="1" si="21"/>
        <v>#REF!</v>
      </c>
    </row>
    <row r="1408" spans="3:3">
      <c r="C1408" t="e">
        <f t="shared" ca="1" si="21"/>
        <v>#REF!</v>
      </c>
    </row>
    <row r="1409" spans="3:3">
      <c r="C1409" t="e">
        <f t="shared" ca="1" si="21"/>
        <v>#REF!</v>
      </c>
    </row>
    <row r="1410" spans="3:3">
      <c r="C1410" t="e">
        <f t="shared" ca="1" si="21"/>
        <v>#REF!</v>
      </c>
    </row>
    <row r="1411" spans="3:3">
      <c r="C1411" t="e">
        <f t="shared" ref="C1411:C1474" ca="1" si="22">INDIRECT(B1411)</f>
        <v>#REF!</v>
      </c>
    </row>
    <row r="1412" spans="3:3">
      <c r="C1412" t="e">
        <f t="shared" ca="1" si="22"/>
        <v>#REF!</v>
      </c>
    </row>
    <row r="1413" spans="3:3">
      <c r="C1413" t="e">
        <f t="shared" ca="1" si="22"/>
        <v>#REF!</v>
      </c>
    </row>
    <row r="1414" spans="3:3">
      <c r="C1414" t="e">
        <f t="shared" ca="1" si="22"/>
        <v>#REF!</v>
      </c>
    </row>
    <row r="1415" spans="3:3">
      <c r="C1415" t="e">
        <f t="shared" ca="1" si="22"/>
        <v>#REF!</v>
      </c>
    </row>
    <row r="1416" spans="3:3">
      <c r="C1416" t="e">
        <f t="shared" ca="1" si="22"/>
        <v>#REF!</v>
      </c>
    </row>
    <row r="1417" spans="3:3">
      <c r="C1417" t="e">
        <f t="shared" ca="1" si="22"/>
        <v>#REF!</v>
      </c>
    </row>
    <row r="1418" spans="3:3">
      <c r="C1418" t="e">
        <f t="shared" ca="1" si="22"/>
        <v>#REF!</v>
      </c>
    </row>
    <row r="1419" spans="3:3">
      <c r="C1419" t="e">
        <f t="shared" ca="1" si="22"/>
        <v>#REF!</v>
      </c>
    </row>
    <row r="1420" spans="3:3">
      <c r="C1420" t="e">
        <f t="shared" ca="1" si="22"/>
        <v>#REF!</v>
      </c>
    </row>
    <row r="1421" spans="3:3">
      <c r="C1421" t="e">
        <f t="shared" ca="1" si="22"/>
        <v>#REF!</v>
      </c>
    </row>
    <row r="1422" spans="3:3">
      <c r="C1422" t="e">
        <f t="shared" ca="1" si="22"/>
        <v>#REF!</v>
      </c>
    </row>
    <row r="1423" spans="3:3">
      <c r="C1423" t="e">
        <f t="shared" ca="1" si="22"/>
        <v>#REF!</v>
      </c>
    </row>
    <row r="1424" spans="3:3">
      <c r="C1424" t="e">
        <f t="shared" ca="1" si="22"/>
        <v>#REF!</v>
      </c>
    </row>
    <row r="1425" spans="3:3">
      <c r="C1425" t="e">
        <f t="shared" ca="1" si="22"/>
        <v>#REF!</v>
      </c>
    </row>
    <row r="1426" spans="3:3">
      <c r="C1426" t="e">
        <f t="shared" ca="1" si="22"/>
        <v>#REF!</v>
      </c>
    </row>
    <row r="1427" spans="3:3">
      <c r="C1427" t="e">
        <f t="shared" ca="1" si="22"/>
        <v>#REF!</v>
      </c>
    </row>
    <row r="1428" spans="3:3">
      <c r="C1428" t="e">
        <f t="shared" ca="1" si="22"/>
        <v>#REF!</v>
      </c>
    </row>
    <row r="1429" spans="3:3">
      <c r="C1429" t="e">
        <f t="shared" ca="1" si="22"/>
        <v>#REF!</v>
      </c>
    </row>
    <row r="1430" spans="3:3">
      <c r="C1430" t="e">
        <f t="shared" ca="1" si="22"/>
        <v>#REF!</v>
      </c>
    </row>
    <row r="1431" spans="3:3">
      <c r="C1431" t="e">
        <f t="shared" ca="1" si="22"/>
        <v>#REF!</v>
      </c>
    </row>
    <row r="1432" spans="3:3">
      <c r="C1432" t="e">
        <f t="shared" ca="1" si="22"/>
        <v>#REF!</v>
      </c>
    </row>
    <row r="1433" spans="3:3">
      <c r="C1433" t="e">
        <f t="shared" ca="1" si="22"/>
        <v>#REF!</v>
      </c>
    </row>
    <row r="1434" spans="3:3">
      <c r="C1434" t="e">
        <f t="shared" ca="1" si="22"/>
        <v>#REF!</v>
      </c>
    </row>
    <row r="1435" spans="3:3">
      <c r="C1435" t="e">
        <f t="shared" ca="1" si="22"/>
        <v>#REF!</v>
      </c>
    </row>
    <row r="1436" spans="3:3">
      <c r="C1436" t="e">
        <f t="shared" ca="1" si="22"/>
        <v>#REF!</v>
      </c>
    </row>
    <row r="1437" spans="3:3">
      <c r="C1437" t="e">
        <f t="shared" ca="1" si="22"/>
        <v>#REF!</v>
      </c>
    </row>
    <row r="1438" spans="3:3">
      <c r="C1438" t="e">
        <f t="shared" ca="1" si="22"/>
        <v>#REF!</v>
      </c>
    </row>
    <row r="1439" spans="3:3">
      <c r="C1439" t="e">
        <f t="shared" ca="1" si="22"/>
        <v>#REF!</v>
      </c>
    </row>
    <row r="1440" spans="3:3">
      <c r="C1440" t="e">
        <f t="shared" ca="1" si="22"/>
        <v>#REF!</v>
      </c>
    </row>
    <row r="1441" spans="3:3">
      <c r="C1441" t="e">
        <f t="shared" ca="1" si="22"/>
        <v>#REF!</v>
      </c>
    </row>
    <row r="1442" spans="3:3">
      <c r="C1442" t="e">
        <f t="shared" ca="1" si="22"/>
        <v>#REF!</v>
      </c>
    </row>
    <row r="1443" spans="3:3">
      <c r="C1443" t="e">
        <f t="shared" ca="1" si="22"/>
        <v>#REF!</v>
      </c>
    </row>
    <row r="1444" spans="3:3">
      <c r="C1444" t="e">
        <f t="shared" ca="1" si="22"/>
        <v>#REF!</v>
      </c>
    </row>
    <row r="1445" spans="3:3">
      <c r="C1445" t="e">
        <f t="shared" ca="1" si="22"/>
        <v>#REF!</v>
      </c>
    </row>
    <row r="1446" spans="3:3">
      <c r="C1446" t="e">
        <f t="shared" ca="1" si="22"/>
        <v>#REF!</v>
      </c>
    </row>
    <row r="1447" spans="3:3">
      <c r="C1447" t="e">
        <f t="shared" ca="1" si="22"/>
        <v>#REF!</v>
      </c>
    </row>
    <row r="1448" spans="3:3">
      <c r="C1448" t="e">
        <f t="shared" ca="1" si="22"/>
        <v>#REF!</v>
      </c>
    </row>
    <row r="1449" spans="3:3">
      <c r="C1449" t="e">
        <f t="shared" ca="1" si="22"/>
        <v>#REF!</v>
      </c>
    </row>
    <row r="1450" spans="3:3">
      <c r="C1450" t="e">
        <f t="shared" ca="1" si="22"/>
        <v>#REF!</v>
      </c>
    </row>
    <row r="1451" spans="3:3">
      <c r="C1451" t="e">
        <f t="shared" ca="1" si="22"/>
        <v>#REF!</v>
      </c>
    </row>
    <row r="1452" spans="3:3">
      <c r="C1452" t="e">
        <f t="shared" ca="1" si="22"/>
        <v>#REF!</v>
      </c>
    </row>
    <row r="1453" spans="3:3">
      <c r="C1453" t="e">
        <f t="shared" ca="1" si="22"/>
        <v>#REF!</v>
      </c>
    </row>
    <row r="1454" spans="3:3">
      <c r="C1454" t="e">
        <f t="shared" ca="1" si="22"/>
        <v>#REF!</v>
      </c>
    </row>
    <row r="1455" spans="3:3">
      <c r="C1455" t="e">
        <f t="shared" ca="1" si="22"/>
        <v>#REF!</v>
      </c>
    </row>
    <row r="1456" spans="3:3">
      <c r="C1456" t="e">
        <f t="shared" ca="1" si="22"/>
        <v>#REF!</v>
      </c>
    </row>
    <row r="1457" spans="3:3">
      <c r="C1457" t="e">
        <f t="shared" ca="1" si="22"/>
        <v>#REF!</v>
      </c>
    </row>
    <row r="1458" spans="3:3">
      <c r="C1458" t="e">
        <f t="shared" ca="1" si="22"/>
        <v>#REF!</v>
      </c>
    </row>
    <row r="1459" spans="3:3">
      <c r="C1459" t="e">
        <f t="shared" ca="1" si="22"/>
        <v>#REF!</v>
      </c>
    </row>
    <row r="1460" spans="3:3">
      <c r="C1460" t="e">
        <f t="shared" ca="1" si="22"/>
        <v>#REF!</v>
      </c>
    </row>
    <row r="1461" spans="3:3">
      <c r="C1461" t="e">
        <f t="shared" ca="1" si="22"/>
        <v>#REF!</v>
      </c>
    </row>
    <row r="1462" spans="3:3">
      <c r="C1462" t="e">
        <f t="shared" ca="1" si="22"/>
        <v>#REF!</v>
      </c>
    </row>
    <row r="1463" spans="3:3">
      <c r="C1463" t="e">
        <f t="shared" ca="1" si="22"/>
        <v>#REF!</v>
      </c>
    </row>
    <row r="1464" spans="3:3">
      <c r="C1464" t="e">
        <f t="shared" ca="1" si="22"/>
        <v>#REF!</v>
      </c>
    </row>
    <row r="1465" spans="3:3">
      <c r="C1465" t="e">
        <f t="shared" ca="1" si="22"/>
        <v>#REF!</v>
      </c>
    </row>
    <row r="1466" spans="3:3">
      <c r="C1466" t="e">
        <f t="shared" ca="1" si="22"/>
        <v>#REF!</v>
      </c>
    </row>
    <row r="1467" spans="3:3">
      <c r="C1467" t="e">
        <f t="shared" ca="1" si="22"/>
        <v>#REF!</v>
      </c>
    </row>
    <row r="1468" spans="3:3">
      <c r="C1468" t="e">
        <f t="shared" ca="1" si="22"/>
        <v>#REF!</v>
      </c>
    </row>
    <row r="1469" spans="3:3">
      <c r="C1469" t="e">
        <f t="shared" ca="1" si="22"/>
        <v>#REF!</v>
      </c>
    </row>
    <row r="1470" spans="3:3">
      <c r="C1470" t="e">
        <f t="shared" ca="1" si="22"/>
        <v>#REF!</v>
      </c>
    </row>
    <row r="1471" spans="3:3">
      <c r="C1471" t="e">
        <f t="shared" ca="1" si="22"/>
        <v>#REF!</v>
      </c>
    </row>
    <row r="1472" spans="3:3">
      <c r="C1472" t="e">
        <f t="shared" ca="1" si="22"/>
        <v>#REF!</v>
      </c>
    </row>
    <row r="1473" spans="3:3">
      <c r="C1473" t="e">
        <f t="shared" ca="1" si="22"/>
        <v>#REF!</v>
      </c>
    </row>
    <row r="1474" spans="3:3">
      <c r="C1474" t="e">
        <f t="shared" ca="1" si="22"/>
        <v>#REF!</v>
      </c>
    </row>
    <row r="1475" spans="3:3">
      <c r="C1475" t="e">
        <f t="shared" ref="C1475:C1538" ca="1" si="23">INDIRECT(B1475)</f>
        <v>#REF!</v>
      </c>
    </row>
    <row r="1476" spans="3:3">
      <c r="C1476" t="e">
        <f t="shared" ca="1" si="23"/>
        <v>#REF!</v>
      </c>
    </row>
    <row r="1477" spans="3:3">
      <c r="C1477" t="e">
        <f t="shared" ca="1" si="23"/>
        <v>#REF!</v>
      </c>
    </row>
    <row r="1478" spans="3:3">
      <c r="C1478" t="e">
        <f t="shared" ca="1" si="23"/>
        <v>#REF!</v>
      </c>
    </row>
    <row r="1479" spans="3:3">
      <c r="C1479" t="e">
        <f t="shared" ca="1" si="23"/>
        <v>#REF!</v>
      </c>
    </row>
    <row r="1480" spans="3:3">
      <c r="C1480" t="e">
        <f t="shared" ca="1" si="23"/>
        <v>#REF!</v>
      </c>
    </row>
    <row r="1481" spans="3:3">
      <c r="C1481" t="e">
        <f t="shared" ca="1" si="23"/>
        <v>#REF!</v>
      </c>
    </row>
    <row r="1482" spans="3:3">
      <c r="C1482" t="e">
        <f t="shared" ca="1" si="23"/>
        <v>#REF!</v>
      </c>
    </row>
    <row r="1483" spans="3:3">
      <c r="C1483" t="e">
        <f t="shared" ca="1" si="23"/>
        <v>#REF!</v>
      </c>
    </row>
    <row r="1484" spans="3:3">
      <c r="C1484" t="e">
        <f t="shared" ca="1" si="23"/>
        <v>#REF!</v>
      </c>
    </row>
    <row r="1485" spans="3:3">
      <c r="C1485" t="e">
        <f t="shared" ca="1" si="23"/>
        <v>#REF!</v>
      </c>
    </row>
    <row r="1486" spans="3:3">
      <c r="C1486" t="e">
        <f t="shared" ca="1" si="23"/>
        <v>#REF!</v>
      </c>
    </row>
    <row r="1487" spans="3:3">
      <c r="C1487" t="e">
        <f t="shared" ca="1" si="23"/>
        <v>#REF!</v>
      </c>
    </row>
    <row r="1488" spans="3:3">
      <c r="C1488" t="e">
        <f t="shared" ca="1" si="23"/>
        <v>#REF!</v>
      </c>
    </row>
    <row r="1489" spans="3:3">
      <c r="C1489" t="e">
        <f t="shared" ca="1" si="23"/>
        <v>#REF!</v>
      </c>
    </row>
    <row r="1490" spans="3:3">
      <c r="C1490" t="e">
        <f t="shared" ca="1" si="23"/>
        <v>#REF!</v>
      </c>
    </row>
    <row r="1491" spans="3:3">
      <c r="C1491" t="e">
        <f t="shared" ca="1" si="23"/>
        <v>#REF!</v>
      </c>
    </row>
    <row r="1492" spans="3:3">
      <c r="C1492" t="e">
        <f t="shared" ca="1" si="23"/>
        <v>#REF!</v>
      </c>
    </row>
    <row r="1493" spans="3:3">
      <c r="C1493" t="e">
        <f t="shared" ca="1" si="23"/>
        <v>#REF!</v>
      </c>
    </row>
    <row r="1494" spans="3:3">
      <c r="C1494" t="e">
        <f t="shared" ca="1" si="23"/>
        <v>#REF!</v>
      </c>
    </row>
    <row r="1495" spans="3:3">
      <c r="C1495" t="e">
        <f t="shared" ca="1" si="23"/>
        <v>#REF!</v>
      </c>
    </row>
    <row r="1496" spans="3:3">
      <c r="C1496" t="e">
        <f t="shared" ca="1" si="23"/>
        <v>#REF!</v>
      </c>
    </row>
    <row r="1497" spans="3:3">
      <c r="C1497" t="e">
        <f t="shared" ca="1" si="23"/>
        <v>#REF!</v>
      </c>
    </row>
    <row r="1498" spans="3:3">
      <c r="C1498" t="e">
        <f t="shared" ca="1" si="23"/>
        <v>#REF!</v>
      </c>
    </row>
    <row r="1499" spans="3:3">
      <c r="C1499" t="e">
        <f t="shared" ca="1" si="23"/>
        <v>#REF!</v>
      </c>
    </row>
    <row r="1500" spans="3:3">
      <c r="C1500" t="e">
        <f t="shared" ca="1" si="23"/>
        <v>#REF!</v>
      </c>
    </row>
    <row r="1501" spans="3:3">
      <c r="C1501" t="e">
        <f t="shared" ca="1" si="23"/>
        <v>#REF!</v>
      </c>
    </row>
    <row r="1502" spans="3:3">
      <c r="C1502" t="e">
        <f t="shared" ca="1" si="23"/>
        <v>#REF!</v>
      </c>
    </row>
    <row r="1503" spans="3:3">
      <c r="C1503" t="e">
        <f t="shared" ca="1" si="23"/>
        <v>#REF!</v>
      </c>
    </row>
    <row r="1504" spans="3:3">
      <c r="C1504" t="e">
        <f t="shared" ca="1" si="23"/>
        <v>#REF!</v>
      </c>
    </row>
    <row r="1505" spans="3:3">
      <c r="C1505" t="e">
        <f t="shared" ca="1" si="23"/>
        <v>#REF!</v>
      </c>
    </row>
    <row r="1506" spans="3:3">
      <c r="C1506" t="e">
        <f t="shared" ca="1" si="23"/>
        <v>#REF!</v>
      </c>
    </row>
    <row r="1507" spans="3:3">
      <c r="C1507" t="e">
        <f t="shared" ca="1" si="23"/>
        <v>#REF!</v>
      </c>
    </row>
    <row r="1508" spans="3:3">
      <c r="C1508" t="e">
        <f t="shared" ca="1" si="23"/>
        <v>#REF!</v>
      </c>
    </row>
    <row r="1509" spans="3:3">
      <c r="C1509" t="e">
        <f t="shared" ca="1" si="23"/>
        <v>#REF!</v>
      </c>
    </row>
    <row r="1510" spans="3:3">
      <c r="C1510" t="e">
        <f t="shared" ca="1" si="23"/>
        <v>#REF!</v>
      </c>
    </row>
    <row r="1511" spans="3:3">
      <c r="C1511" t="e">
        <f t="shared" ca="1" si="23"/>
        <v>#REF!</v>
      </c>
    </row>
    <row r="1512" spans="3:3">
      <c r="C1512" t="e">
        <f t="shared" ca="1" si="23"/>
        <v>#REF!</v>
      </c>
    </row>
    <row r="1513" spans="3:3">
      <c r="C1513" t="e">
        <f t="shared" ca="1" si="23"/>
        <v>#REF!</v>
      </c>
    </row>
    <row r="1514" spans="3:3">
      <c r="C1514" t="e">
        <f t="shared" ca="1" si="23"/>
        <v>#REF!</v>
      </c>
    </row>
    <row r="1515" spans="3:3">
      <c r="C1515" t="e">
        <f t="shared" ca="1" si="23"/>
        <v>#REF!</v>
      </c>
    </row>
    <row r="1516" spans="3:3">
      <c r="C1516" t="e">
        <f t="shared" ca="1" si="23"/>
        <v>#REF!</v>
      </c>
    </row>
    <row r="1517" spans="3:3">
      <c r="C1517" t="e">
        <f t="shared" ca="1" si="23"/>
        <v>#REF!</v>
      </c>
    </row>
    <row r="1518" spans="3:3">
      <c r="C1518" t="e">
        <f t="shared" ca="1" si="23"/>
        <v>#REF!</v>
      </c>
    </row>
    <row r="1519" spans="3:3">
      <c r="C1519" t="e">
        <f t="shared" ca="1" si="23"/>
        <v>#REF!</v>
      </c>
    </row>
    <row r="1520" spans="3:3">
      <c r="C1520" t="e">
        <f t="shared" ca="1" si="23"/>
        <v>#REF!</v>
      </c>
    </row>
    <row r="1521" spans="3:3">
      <c r="C1521" t="e">
        <f t="shared" ca="1" si="23"/>
        <v>#REF!</v>
      </c>
    </row>
    <row r="1522" spans="3:3">
      <c r="C1522" t="e">
        <f t="shared" ca="1" si="23"/>
        <v>#REF!</v>
      </c>
    </row>
    <row r="1523" spans="3:3">
      <c r="C1523" t="e">
        <f t="shared" ca="1" si="23"/>
        <v>#REF!</v>
      </c>
    </row>
    <row r="1524" spans="3:3">
      <c r="C1524" t="e">
        <f t="shared" ca="1" si="23"/>
        <v>#REF!</v>
      </c>
    </row>
    <row r="1525" spans="3:3">
      <c r="C1525" t="e">
        <f t="shared" ca="1" si="23"/>
        <v>#REF!</v>
      </c>
    </row>
    <row r="1526" spans="3:3">
      <c r="C1526" t="e">
        <f t="shared" ca="1" si="23"/>
        <v>#REF!</v>
      </c>
    </row>
    <row r="1527" spans="3:3">
      <c r="C1527" t="e">
        <f t="shared" ca="1" si="23"/>
        <v>#REF!</v>
      </c>
    </row>
    <row r="1528" spans="3:3">
      <c r="C1528" t="e">
        <f t="shared" ca="1" si="23"/>
        <v>#REF!</v>
      </c>
    </row>
    <row r="1529" spans="3:3">
      <c r="C1529" t="e">
        <f t="shared" ca="1" si="23"/>
        <v>#REF!</v>
      </c>
    </row>
    <row r="1530" spans="3:3">
      <c r="C1530" t="e">
        <f t="shared" ca="1" si="23"/>
        <v>#REF!</v>
      </c>
    </row>
    <row r="1531" spans="3:3">
      <c r="C1531" t="e">
        <f t="shared" ca="1" si="23"/>
        <v>#REF!</v>
      </c>
    </row>
    <row r="1532" spans="3:3">
      <c r="C1532" t="e">
        <f t="shared" ca="1" si="23"/>
        <v>#REF!</v>
      </c>
    </row>
    <row r="1533" spans="3:3">
      <c r="C1533" t="e">
        <f t="shared" ca="1" si="23"/>
        <v>#REF!</v>
      </c>
    </row>
    <row r="1534" spans="3:3">
      <c r="C1534" t="e">
        <f t="shared" ca="1" si="23"/>
        <v>#REF!</v>
      </c>
    </row>
    <row r="1535" spans="3:3">
      <c r="C1535" t="e">
        <f t="shared" ca="1" si="23"/>
        <v>#REF!</v>
      </c>
    </row>
    <row r="1536" spans="3:3">
      <c r="C1536" t="e">
        <f t="shared" ca="1" si="23"/>
        <v>#REF!</v>
      </c>
    </row>
    <row r="1537" spans="3:3">
      <c r="C1537" t="e">
        <f t="shared" ca="1" si="23"/>
        <v>#REF!</v>
      </c>
    </row>
    <row r="1538" spans="3:3">
      <c r="C1538" t="e">
        <f t="shared" ca="1" si="23"/>
        <v>#REF!</v>
      </c>
    </row>
    <row r="1539" spans="3:3">
      <c r="C1539" t="e">
        <f t="shared" ref="C1539:C1602" ca="1" si="24">INDIRECT(B1539)</f>
        <v>#REF!</v>
      </c>
    </row>
    <row r="1540" spans="3:3">
      <c r="C1540" t="e">
        <f t="shared" ca="1" si="24"/>
        <v>#REF!</v>
      </c>
    </row>
    <row r="1541" spans="3:3">
      <c r="C1541" t="e">
        <f t="shared" ca="1" si="24"/>
        <v>#REF!</v>
      </c>
    </row>
    <row r="1542" spans="3:3">
      <c r="C1542" t="e">
        <f t="shared" ca="1" si="24"/>
        <v>#REF!</v>
      </c>
    </row>
    <row r="1543" spans="3:3">
      <c r="C1543" t="e">
        <f t="shared" ca="1" si="24"/>
        <v>#REF!</v>
      </c>
    </row>
    <row r="1544" spans="3:3">
      <c r="C1544" t="e">
        <f t="shared" ca="1" si="24"/>
        <v>#REF!</v>
      </c>
    </row>
    <row r="1545" spans="3:3">
      <c r="C1545" t="e">
        <f t="shared" ca="1" si="24"/>
        <v>#REF!</v>
      </c>
    </row>
    <row r="1546" spans="3:3">
      <c r="C1546" t="e">
        <f t="shared" ca="1" si="24"/>
        <v>#REF!</v>
      </c>
    </row>
    <row r="1547" spans="3:3">
      <c r="C1547" t="e">
        <f t="shared" ca="1" si="24"/>
        <v>#REF!</v>
      </c>
    </row>
    <row r="1548" spans="3:3">
      <c r="C1548" t="e">
        <f t="shared" ca="1" si="24"/>
        <v>#REF!</v>
      </c>
    </row>
    <row r="1549" spans="3:3">
      <c r="C1549" t="e">
        <f t="shared" ca="1" si="24"/>
        <v>#REF!</v>
      </c>
    </row>
    <row r="1550" spans="3:3">
      <c r="C1550" t="e">
        <f t="shared" ca="1" si="24"/>
        <v>#REF!</v>
      </c>
    </row>
    <row r="1551" spans="3:3">
      <c r="C1551" t="e">
        <f t="shared" ca="1" si="24"/>
        <v>#REF!</v>
      </c>
    </row>
    <row r="1552" spans="3:3">
      <c r="C1552" t="e">
        <f t="shared" ca="1" si="24"/>
        <v>#REF!</v>
      </c>
    </row>
    <row r="1553" spans="3:3">
      <c r="C1553" t="e">
        <f t="shared" ca="1" si="24"/>
        <v>#REF!</v>
      </c>
    </row>
    <row r="1554" spans="3:3">
      <c r="C1554" t="e">
        <f t="shared" ca="1" si="24"/>
        <v>#REF!</v>
      </c>
    </row>
    <row r="1555" spans="3:3">
      <c r="C1555" t="e">
        <f t="shared" ca="1" si="24"/>
        <v>#REF!</v>
      </c>
    </row>
    <row r="1556" spans="3:3">
      <c r="C1556" t="e">
        <f t="shared" ca="1" si="24"/>
        <v>#REF!</v>
      </c>
    </row>
    <row r="1557" spans="3:3">
      <c r="C1557" t="e">
        <f t="shared" ca="1" si="24"/>
        <v>#REF!</v>
      </c>
    </row>
    <row r="1558" spans="3:3">
      <c r="C1558" t="e">
        <f t="shared" ca="1" si="24"/>
        <v>#REF!</v>
      </c>
    </row>
    <row r="1559" spans="3:3">
      <c r="C1559" t="e">
        <f t="shared" ca="1" si="24"/>
        <v>#REF!</v>
      </c>
    </row>
    <row r="1560" spans="3:3">
      <c r="C1560" t="e">
        <f t="shared" ca="1" si="24"/>
        <v>#REF!</v>
      </c>
    </row>
    <row r="1561" spans="3:3">
      <c r="C1561" t="e">
        <f t="shared" ca="1" si="24"/>
        <v>#REF!</v>
      </c>
    </row>
    <row r="1562" spans="3:3">
      <c r="C1562" t="e">
        <f t="shared" ca="1" si="24"/>
        <v>#REF!</v>
      </c>
    </row>
    <row r="1563" spans="3:3">
      <c r="C1563" t="e">
        <f t="shared" ca="1" si="24"/>
        <v>#REF!</v>
      </c>
    </row>
    <row r="1564" spans="3:3">
      <c r="C1564" t="e">
        <f t="shared" ca="1" si="24"/>
        <v>#REF!</v>
      </c>
    </row>
    <row r="1565" spans="3:3">
      <c r="C1565" t="e">
        <f t="shared" ca="1" si="24"/>
        <v>#REF!</v>
      </c>
    </row>
    <row r="1566" spans="3:3">
      <c r="C1566" t="e">
        <f t="shared" ca="1" si="24"/>
        <v>#REF!</v>
      </c>
    </row>
    <row r="1567" spans="3:3">
      <c r="C1567" t="e">
        <f t="shared" ca="1" si="24"/>
        <v>#REF!</v>
      </c>
    </row>
    <row r="1568" spans="3:3">
      <c r="C1568" t="e">
        <f t="shared" ca="1" si="24"/>
        <v>#REF!</v>
      </c>
    </row>
    <row r="1569" spans="3:3">
      <c r="C1569" t="e">
        <f t="shared" ca="1" si="24"/>
        <v>#REF!</v>
      </c>
    </row>
    <row r="1570" spans="3:3">
      <c r="C1570" t="e">
        <f t="shared" ca="1" si="24"/>
        <v>#REF!</v>
      </c>
    </row>
    <row r="1571" spans="3:3">
      <c r="C1571" t="e">
        <f t="shared" ca="1" si="24"/>
        <v>#REF!</v>
      </c>
    </row>
    <row r="1572" spans="3:3">
      <c r="C1572" t="e">
        <f t="shared" ca="1" si="24"/>
        <v>#REF!</v>
      </c>
    </row>
    <row r="1573" spans="3:3">
      <c r="C1573" t="e">
        <f t="shared" ca="1" si="24"/>
        <v>#REF!</v>
      </c>
    </row>
    <row r="1574" spans="3:3">
      <c r="C1574" t="e">
        <f t="shared" ca="1" si="24"/>
        <v>#REF!</v>
      </c>
    </row>
    <row r="1575" spans="3:3">
      <c r="C1575" t="e">
        <f t="shared" ca="1" si="24"/>
        <v>#REF!</v>
      </c>
    </row>
    <row r="1576" spans="3:3">
      <c r="C1576" t="e">
        <f t="shared" ca="1" si="24"/>
        <v>#REF!</v>
      </c>
    </row>
    <row r="1577" spans="3:3">
      <c r="C1577" t="e">
        <f t="shared" ca="1" si="24"/>
        <v>#REF!</v>
      </c>
    </row>
    <row r="1578" spans="3:3">
      <c r="C1578" t="e">
        <f t="shared" ca="1" si="24"/>
        <v>#REF!</v>
      </c>
    </row>
    <row r="1579" spans="3:3">
      <c r="C1579" t="e">
        <f t="shared" ca="1" si="24"/>
        <v>#REF!</v>
      </c>
    </row>
    <row r="1580" spans="3:3">
      <c r="C1580" t="e">
        <f t="shared" ca="1" si="24"/>
        <v>#REF!</v>
      </c>
    </row>
    <row r="1581" spans="3:3">
      <c r="C1581" t="e">
        <f t="shared" ca="1" si="24"/>
        <v>#REF!</v>
      </c>
    </row>
    <row r="1582" spans="3:3">
      <c r="C1582" t="e">
        <f t="shared" ca="1" si="24"/>
        <v>#REF!</v>
      </c>
    </row>
    <row r="1583" spans="3:3">
      <c r="C1583" t="e">
        <f t="shared" ca="1" si="24"/>
        <v>#REF!</v>
      </c>
    </row>
    <row r="1584" spans="3:3">
      <c r="C1584" t="e">
        <f t="shared" ca="1" si="24"/>
        <v>#REF!</v>
      </c>
    </row>
    <row r="1585" spans="3:3">
      <c r="C1585" t="e">
        <f t="shared" ca="1" si="24"/>
        <v>#REF!</v>
      </c>
    </row>
    <row r="1586" spans="3:3">
      <c r="C1586" t="e">
        <f t="shared" ca="1" si="24"/>
        <v>#REF!</v>
      </c>
    </row>
    <row r="1587" spans="3:3">
      <c r="C1587" t="e">
        <f t="shared" ca="1" si="24"/>
        <v>#REF!</v>
      </c>
    </row>
    <row r="1588" spans="3:3">
      <c r="C1588" t="e">
        <f t="shared" ca="1" si="24"/>
        <v>#REF!</v>
      </c>
    </row>
    <row r="1589" spans="3:3">
      <c r="C1589" t="e">
        <f t="shared" ca="1" si="24"/>
        <v>#REF!</v>
      </c>
    </row>
    <row r="1590" spans="3:3">
      <c r="C1590" t="e">
        <f t="shared" ca="1" si="24"/>
        <v>#REF!</v>
      </c>
    </row>
    <row r="1591" spans="3:3">
      <c r="C1591" t="e">
        <f t="shared" ca="1" si="24"/>
        <v>#REF!</v>
      </c>
    </row>
    <row r="1592" spans="3:3">
      <c r="C1592" t="e">
        <f t="shared" ca="1" si="24"/>
        <v>#REF!</v>
      </c>
    </row>
    <row r="1593" spans="3:3">
      <c r="C1593" t="e">
        <f t="shared" ca="1" si="24"/>
        <v>#REF!</v>
      </c>
    </row>
    <row r="1594" spans="3:3">
      <c r="C1594" t="e">
        <f t="shared" ca="1" si="24"/>
        <v>#REF!</v>
      </c>
    </row>
    <row r="1595" spans="3:3">
      <c r="C1595" t="e">
        <f t="shared" ca="1" si="24"/>
        <v>#REF!</v>
      </c>
    </row>
    <row r="1596" spans="3:3">
      <c r="C1596" t="e">
        <f t="shared" ca="1" si="24"/>
        <v>#REF!</v>
      </c>
    </row>
    <row r="1597" spans="3:3">
      <c r="C1597" t="e">
        <f t="shared" ca="1" si="24"/>
        <v>#REF!</v>
      </c>
    </row>
    <row r="1598" spans="3:3">
      <c r="C1598" t="e">
        <f t="shared" ca="1" si="24"/>
        <v>#REF!</v>
      </c>
    </row>
    <row r="1599" spans="3:3">
      <c r="C1599" t="e">
        <f t="shared" ca="1" si="24"/>
        <v>#REF!</v>
      </c>
    </row>
    <row r="1600" spans="3:3">
      <c r="C1600" t="e">
        <f t="shared" ca="1" si="24"/>
        <v>#REF!</v>
      </c>
    </row>
    <row r="1601" spans="3:3">
      <c r="C1601" t="e">
        <f t="shared" ca="1" si="24"/>
        <v>#REF!</v>
      </c>
    </row>
    <row r="1602" spans="3:3">
      <c r="C1602" t="e">
        <f t="shared" ca="1" si="24"/>
        <v>#REF!</v>
      </c>
    </row>
    <row r="1603" spans="3:3">
      <c r="C1603" t="e">
        <f t="shared" ref="C1603:C1666" ca="1" si="25">INDIRECT(B1603)</f>
        <v>#REF!</v>
      </c>
    </row>
    <row r="1604" spans="3:3">
      <c r="C1604" t="e">
        <f t="shared" ca="1" si="25"/>
        <v>#REF!</v>
      </c>
    </row>
    <row r="1605" spans="3:3">
      <c r="C1605" t="e">
        <f t="shared" ca="1" si="25"/>
        <v>#REF!</v>
      </c>
    </row>
    <row r="1606" spans="3:3">
      <c r="C1606" t="e">
        <f t="shared" ca="1" si="25"/>
        <v>#REF!</v>
      </c>
    </row>
    <row r="1607" spans="3:3">
      <c r="C1607" t="e">
        <f t="shared" ca="1" si="25"/>
        <v>#REF!</v>
      </c>
    </row>
    <row r="1608" spans="3:3">
      <c r="C1608" t="e">
        <f t="shared" ca="1" si="25"/>
        <v>#REF!</v>
      </c>
    </row>
    <row r="1609" spans="3:3">
      <c r="C1609" t="e">
        <f t="shared" ca="1" si="25"/>
        <v>#REF!</v>
      </c>
    </row>
    <row r="1610" spans="3:3">
      <c r="C1610" t="e">
        <f t="shared" ca="1" si="25"/>
        <v>#REF!</v>
      </c>
    </row>
    <row r="1611" spans="3:3">
      <c r="C1611" t="e">
        <f t="shared" ca="1" si="25"/>
        <v>#REF!</v>
      </c>
    </row>
    <row r="1612" spans="3:3">
      <c r="C1612" t="e">
        <f t="shared" ca="1" si="25"/>
        <v>#REF!</v>
      </c>
    </row>
    <row r="1613" spans="3:3">
      <c r="C1613" t="e">
        <f t="shared" ca="1" si="25"/>
        <v>#REF!</v>
      </c>
    </row>
    <row r="1614" spans="3:3">
      <c r="C1614" t="e">
        <f t="shared" ca="1" si="25"/>
        <v>#REF!</v>
      </c>
    </row>
    <row r="1615" spans="3:3">
      <c r="C1615" t="e">
        <f t="shared" ca="1" si="25"/>
        <v>#REF!</v>
      </c>
    </row>
    <row r="1616" spans="3:3">
      <c r="C1616" t="e">
        <f t="shared" ca="1" si="25"/>
        <v>#REF!</v>
      </c>
    </row>
    <row r="1617" spans="3:3">
      <c r="C1617" t="e">
        <f t="shared" ca="1" si="25"/>
        <v>#REF!</v>
      </c>
    </row>
    <row r="1618" spans="3:3">
      <c r="C1618" t="e">
        <f t="shared" ca="1" si="25"/>
        <v>#REF!</v>
      </c>
    </row>
    <row r="1619" spans="3:3">
      <c r="C1619" t="e">
        <f t="shared" ca="1" si="25"/>
        <v>#REF!</v>
      </c>
    </row>
    <row r="1620" spans="3:3">
      <c r="C1620" t="e">
        <f t="shared" ca="1" si="25"/>
        <v>#REF!</v>
      </c>
    </row>
    <row r="1621" spans="3:3">
      <c r="C1621" t="e">
        <f t="shared" ca="1" si="25"/>
        <v>#REF!</v>
      </c>
    </row>
    <row r="1622" spans="3:3">
      <c r="C1622" t="e">
        <f t="shared" ca="1" si="25"/>
        <v>#REF!</v>
      </c>
    </row>
    <row r="1623" spans="3:3">
      <c r="C1623" t="e">
        <f t="shared" ca="1" si="25"/>
        <v>#REF!</v>
      </c>
    </row>
    <row r="1624" spans="3:3">
      <c r="C1624" t="e">
        <f t="shared" ca="1" si="25"/>
        <v>#REF!</v>
      </c>
    </row>
    <row r="1625" spans="3:3">
      <c r="C1625" t="e">
        <f t="shared" ca="1" si="25"/>
        <v>#REF!</v>
      </c>
    </row>
    <row r="1626" spans="3:3">
      <c r="C1626" t="e">
        <f t="shared" ca="1" si="25"/>
        <v>#REF!</v>
      </c>
    </row>
    <row r="1627" spans="3:3">
      <c r="C1627" t="e">
        <f t="shared" ca="1" si="25"/>
        <v>#REF!</v>
      </c>
    </row>
    <row r="1628" spans="3:3">
      <c r="C1628" t="e">
        <f t="shared" ca="1" si="25"/>
        <v>#REF!</v>
      </c>
    </row>
    <row r="1629" spans="3:3">
      <c r="C1629" t="e">
        <f t="shared" ca="1" si="25"/>
        <v>#REF!</v>
      </c>
    </row>
    <row r="1630" spans="3:3">
      <c r="C1630" t="e">
        <f t="shared" ca="1" si="25"/>
        <v>#REF!</v>
      </c>
    </row>
    <row r="1631" spans="3:3">
      <c r="C1631" t="e">
        <f t="shared" ca="1" si="25"/>
        <v>#REF!</v>
      </c>
    </row>
    <row r="1632" spans="3:3">
      <c r="C1632" t="e">
        <f t="shared" ca="1" si="25"/>
        <v>#REF!</v>
      </c>
    </row>
    <row r="1633" spans="3:3">
      <c r="C1633" t="e">
        <f t="shared" ca="1" si="25"/>
        <v>#REF!</v>
      </c>
    </row>
    <row r="1634" spans="3:3">
      <c r="C1634" t="e">
        <f t="shared" ca="1" si="25"/>
        <v>#REF!</v>
      </c>
    </row>
    <row r="1635" spans="3:3">
      <c r="C1635" t="e">
        <f t="shared" ca="1" si="25"/>
        <v>#REF!</v>
      </c>
    </row>
    <row r="1636" spans="3:3">
      <c r="C1636" t="e">
        <f t="shared" ca="1" si="25"/>
        <v>#REF!</v>
      </c>
    </row>
    <row r="1637" spans="3:3">
      <c r="C1637" t="e">
        <f t="shared" ca="1" si="25"/>
        <v>#REF!</v>
      </c>
    </row>
    <row r="1638" spans="3:3">
      <c r="C1638" t="e">
        <f t="shared" ca="1" si="25"/>
        <v>#REF!</v>
      </c>
    </row>
    <row r="1639" spans="3:3">
      <c r="C1639" t="e">
        <f t="shared" ca="1" si="25"/>
        <v>#REF!</v>
      </c>
    </row>
    <row r="1640" spans="3:3">
      <c r="C1640" t="e">
        <f t="shared" ca="1" si="25"/>
        <v>#REF!</v>
      </c>
    </row>
    <row r="1641" spans="3:3">
      <c r="C1641" t="e">
        <f t="shared" ca="1" si="25"/>
        <v>#REF!</v>
      </c>
    </row>
    <row r="1642" spans="3:3">
      <c r="C1642" t="e">
        <f t="shared" ca="1" si="25"/>
        <v>#REF!</v>
      </c>
    </row>
    <row r="1643" spans="3:3">
      <c r="C1643" t="e">
        <f t="shared" ca="1" si="25"/>
        <v>#REF!</v>
      </c>
    </row>
    <row r="1644" spans="3:3">
      <c r="C1644" t="e">
        <f t="shared" ca="1" si="25"/>
        <v>#REF!</v>
      </c>
    </row>
    <row r="1645" spans="3:3">
      <c r="C1645" t="e">
        <f t="shared" ca="1" si="25"/>
        <v>#REF!</v>
      </c>
    </row>
    <row r="1646" spans="3:3">
      <c r="C1646" t="e">
        <f t="shared" ca="1" si="25"/>
        <v>#REF!</v>
      </c>
    </row>
    <row r="1647" spans="3:3">
      <c r="C1647" t="e">
        <f t="shared" ca="1" si="25"/>
        <v>#REF!</v>
      </c>
    </row>
    <row r="1648" spans="3:3">
      <c r="C1648" t="e">
        <f t="shared" ca="1" si="25"/>
        <v>#REF!</v>
      </c>
    </row>
    <row r="1649" spans="3:3">
      <c r="C1649" t="e">
        <f t="shared" ca="1" si="25"/>
        <v>#REF!</v>
      </c>
    </row>
    <row r="1650" spans="3:3">
      <c r="C1650" t="e">
        <f t="shared" ca="1" si="25"/>
        <v>#REF!</v>
      </c>
    </row>
    <row r="1651" spans="3:3">
      <c r="C1651" t="e">
        <f t="shared" ca="1" si="25"/>
        <v>#REF!</v>
      </c>
    </row>
    <row r="1652" spans="3:3">
      <c r="C1652" t="e">
        <f t="shared" ca="1" si="25"/>
        <v>#REF!</v>
      </c>
    </row>
    <row r="1653" spans="3:3">
      <c r="C1653" t="e">
        <f t="shared" ca="1" si="25"/>
        <v>#REF!</v>
      </c>
    </row>
    <row r="1654" spans="3:3">
      <c r="C1654" t="e">
        <f t="shared" ca="1" si="25"/>
        <v>#REF!</v>
      </c>
    </row>
    <row r="1655" spans="3:3">
      <c r="C1655" t="e">
        <f t="shared" ca="1" si="25"/>
        <v>#REF!</v>
      </c>
    </row>
    <row r="1656" spans="3:3">
      <c r="C1656" t="e">
        <f t="shared" ca="1" si="25"/>
        <v>#REF!</v>
      </c>
    </row>
    <row r="1657" spans="3:3">
      <c r="C1657" t="e">
        <f t="shared" ca="1" si="25"/>
        <v>#REF!</v>
      </c>
    </row>
    <row r="1658" spans="3:3">
      <c r="C1658" t="e">
        <f t="shared" ca="1" si="25"/>
        <v>#REF!</v>
      </c>
    </row>
    <row r="1659" spans="3:3">
      <c r="C1659" t="e">
        <f t="shared" ca="1" si="25"/>
        <v>#REF!</v>
      </c>
    </row>
    <row r="1660" spans="3:3">
      <c r="C1660" t="e">
        <f t="shared" ca="1" si="25"/>
        <v>#REF!</v>
      </c>
    </row>
    <row r="1661" spans="3:3">
      <c r="C1661" t="e">
        <f t="shared" ca="1" si="25"/>
        <v>#REF!</v>
      </c>
    </row>
    <row r="1662" spans="3:3">
      <c r="C1662" t="e">
        <f t="shared" ca="1" si="25"/>
        <v>#REF!</v>
      </c>
    </row>
    <row r="1663" spans="3:3">
      <c r="C1663" t="e">
        <f t="shared" ca="1" si="25"/>
        <v>#REF!</v>
      </c>
    </row>
    <row r="1664" spans="3:3">
      <c r="C1664" t="e">
        <f t="shared" ca="1" si="25"/>
        <v>#REF!</v>
      </c>
    </row>
    <row r="1665" spans="3:3">
      <c r="C1665" t="e">
        <f t="shared" ca="1" si="25"/>
        <v>#REF!</v>
      </c>
    </row>
    <row r="1666" spans="3:3">
      <c r="C1666" t="e">
        <f t="shared" ca="1" si="25"/>
        <v>#REF!</v>
      </c>
    </row>
    <row r="1667" spans="3:3">
      <c r="C1667" t="e">
        <f t="shared" ref="C1667:C1730" ca="1" si="26">INDIRECT(B1667)</f>
        <v>#REF!</v>
      </c>
    </row>
    <row r="1668" spans="3:3">
      <c r="C1668" t="e">
        <f t="shared" ca="1" si="26"/>
        <v>#REF!</v>
      </c>
    </row>
    <row r="1669" spans="3:3">
      <c r="C1669" t="e">
        <f t="shared" ca="1" si="26"/>
        <v>#REF!</v>
      </c>
    </row>
    <row r="1670" spans="3:3">
      <c r="C1670" t="e">
        <f t="shared" ca="1" si="26"/>
        <v>#REF!</v>
      </c>
    </row>
    <row r="1671" spans="3:3">
      <c r="C1671" t="e">
        <f t="shared" ca="1" si="26"/>
        <v>#REF!</v>
      </c>
    </row>
    <row r="1672" spans="3:3">
      <c r="C1672" t="e">
        <f t="shared" ca="1" si="26"/>
        <v>#REF!</v>
      </c>
    </row>
    <row r="1673" spans="3:3">
      <c r="C1673" t="e">
        <f t="shared" ca="1" si="26"/>
        <v>#REF!</v>
      </c>
    </row>
    <row r="1674" spans="3:3">
      <c r="C1674" t="e">
        <f t="shared" ca="1" si="26"/>
        <v>#REF!</v>
      </c>
    </row>
    <row r="1675" spans="3:3">
      <c r="C1675" t="e">
        <f t="shared" ca="1" si="26"/>
        <v>#REF!</v>
      </c>
    </row>
    <row r="1676" spans="3:3">
      <c r="C1676" t="e">
        <f t="shared" ca="1" si="26"/>
        <v>#REF!</v>
      </c>
    </row>
    <row r="1677" spans="3:3">
      <c r="C1677" t="e">
        <f t="shared" ca="1" si="26"/>
        <v>#REF!</v>
      </c>
    </row>
    <row r="1678" spans="3:3">
      <c r="C1678" t="e">
        <f t="shared" ca="1" si="26"/>
        <v>#REF!</v>
      </c>
    </row>
    <row r="1679" spans="3:3">
      <c r="C1679" t="e">
        <f t="shared" ca="1" si="26"/>
        <v>#REF!</v>
      </c>
    </row>
    <row r="1680" spans="3:3">
      <c r="C1680" t="e">
        <f t="shared" ca="1" si="26"/>
        <v>#REF!</v>
      </c>
    </row>
    <row r="1681" spans="3:3">
      <c r="C1681" t="e">
        <f t="shared" ca="1" si="26"/>
        <v>#REF!</v>
      </c>
    </row>
    <row r="1682" spans="3:3">
      <c r="C1682" t="e">
        <f t="shared" ca="1" si="26"/>
        <v>#REF!</v>
      </c>
    </row>
    <row r="1683" spans="3:3">
      <c r="C1683" t="e">
        <f t="shared" ca="1" si="26"/>
        <v>#REF!</v>
      </c>
    </row>
    <row r="1684" spans="3:3">
      <c r="C1684" t="e">
        <f t="shared" ca="1" si="26"/>
        <v>#REF!</v>
      </c>
    </row>
    <row r="1685" spans="3:3">
      <c r="C1685" t="e">
        <f t="shared" ca="1" si="26"/>
        <v>#REF!</v>
      </c>
    </row>
    <row r="1686" spans="3:3">
      <c r="C1686" t="e">
        <f t="shared" ca="1" si="26"/>
        <v>#REF!</v>
      </c>
    </row>
    <row r="1687" spans="3:3">
      <c r="C1687" t="e">
        <f t="shared" ca="1" si="26"/>
        <v>#REF!</v>
      </c>
    </row>
    <row r="1688" spans="3:3">
      <c r="C1688" t="e">
        <f t="shared" ca="1" si="26"/>
        <v>#REF!</v>
      </c>
    </row>
    <row r="1689" spans="3:3">
      <c r="C1689" t="e">
        <f t="shared" ca="1" si="26"/>
        <v>#REF!</v>
      </c>
    </row>
    <row r="1690" spans="3:3">
      <c r="C1690" t="e">
        <f t="shared" ca="1" si="26"/>
        <v>#REF!</v>
      </c>
    </row>
    <row r="1691" spans="3:3">
      <c r="C1691" t="e">
        <f t="shared" ca="1" si="26"/>
        <v>#REF!</v>
      </c>
    </row>
    <row r="1692" spans="3:3">
      <c r="C1692" t="e">
        <f t="shared" ca="1" si="26"/>
        <v>#REF!</v>
      </c>
    </row>
    <row r="1693" spans="3:3">
      <c r="C1693" t="e">
        <f t="shared" ca="1" si="26"/>
        <v>#REF!</v>
      </c>
    </row>
    <row r="1694" spans="3:3">
      <c r="C1694" t="e">
        <f t="shared" ca="1" si="26"/>
        <v>#REF!</v>
      </c>
    </row>
    <row r="1695" spans="3:3">
      <c r="C1695" t="e">
        <f t="shared" ca="1" si="26"/>
        <v>#REF!</v>
      </c>
    </row>
    <row r="1696" spans="3:3">
      <c r="C1696" t="e">
        <f t="shared" ca="1" si="26"/>
        <v>#REF!</v>
      </c>
    </row>
    <row r="1697" spans="3:3">
      <c r="C1697" t="e">
        <f t="shared" ca="1" si="26"/>
        <v>#REF!</v>
      </c>
    </row>
    <row r="1698" spans="3:3">
      <c r="C1698" t="e">
        <f t="shared" ca="1" si="26"/>
        <v>#REF!</v>
      </c>
    </row>
    <row r="1699" spans="3:3">
      <c r="C1699" t="e">
        <f t="shared" ca="1" si="26"/>
        <v>#REF!</v>
      </c>
    </row>
    <row r="1700" spans="3:3">
      <c r="C1700" t="e">
        <f t="shared" ca="1" si="26"/>
        <v>#REF!</v>
      </c>
    </row>
    <row r="1701" spans="3:3">
      <c r="C1701" t="e">
        <f t="shared" ca="1" si="26"/>
        <v>#REF!</v>
      </c>
    </row>
    <row r="1702" spans="3:3">
      <c r="C1702" t="e">
        <f t="shared" ca="1" si="26"/>
        <v>#REF!</v>
      </c>
    </row>
    <row r="1703" spans="3:3">
      <c r="C1703" t="e">
        <f t="shared" ca="1" si="26"/>
        <v>#REF!</v>
      </c>
    </row>
    <row r="1704" spans="3:3">
      <c r="C1704" t="e">
        <f t="shared" ca="1" si="26"/>
        <v>#REF!</v>
      </c>
    </row>
    <row r="1705" spans="3:3">
      <c r="C1705" t="e">
        <f t="shared" ca="1" si="26"/>
        <v>#REF!</v>
      </c>
    </row>
    <row r="1706" spans="3:3">
      <c r="C1706" t="e">
        <f t="shared" ca="1" si="26"/>
        <v>#REF!</v>
      </c>
    </row>
    <row r="1707" spans="3:3">
      <c r="C1707" t="e">
        <f t="shared" ca="1" si="26"/>
        <v>#REF!</v>
      </c>
    </row>
    <row r="1708" spans="3:3">
      <c r="C1708" t="e">
        <f t="shared" ca="1" si="26"/>
        <v>#REF!</v>
      </c>
    </row>
    <row r="1709" spans="3:3">
      <c r="C1709" t="e">
        <f t="shared" ca="1" si="26"/>
        <v>#REF!</v>
      </c>
    </row>
    <row r="1710" spans="3:3">
      <c r="C1710" t="e">
        <f t="shared" ca="1" si="26"/>
        <v>#REF!</v>
      </c>
    </row>
    <row r="1711" spans="3:3">
      <c r="C1711" t="e">
        <f t="shared" ca="1" si="26"/>
        <v>#REF!</v>
      </c>
    </row>
    <row r="1712" spans="3:3">
      <c r="C1712" t="e">
        <f t="shared" ca="1" si="26"/>
        <v>#REF!</v>
      </c>
    </row>
    <row r="1713" spans="3:3">
      <c r="C1713" t="e">
        <f t="shared" ca="1" si="26"/>
        <v>#REF!</v>
      </c>
    </row>
    <row r="1714" spans="3:3">
      <c r="C1714" t="e">
        <f t="shared" ca="1" si="26"/>
        <v>#REF!</v>
      </c>
    </row>
    <row r="1715" spans="3:3">
      <c r="C1715" t="e">
        <f t="shared" ca="1" si="26"/>
        <v>#REF!</v>
      </c>
    </row>
    <row r="1716" spans="3:3">
      <c r="C1716" t="e">
        <f t="shared" ca="1" si="26"/>
        <v>#REF!</v>
      </c>
    </row>
    <row r="1717" spans="3:3">
      <c r="C1717" t="e">
        <f t="shared" ca="1" si="26"/>
        <v>#REF!</v>
      </c>
    </row>
    <row r="1718" spans="3:3">
      <c r="C1718" t="e">
        <f t="shared" ca="1" si="26"/>
        <v>#REF!</v>
      </c>
    </row>
    <row r="1719" spans="3:3">
      <c r="C1719" t="e">
        <f t="shared" ca="1" si="26"/>
        <v>#REF!</v>
      </c>
    </row>
    <row r="1720" spans="3:3">
      <c r="C1720" t="e">
        <f t="shared" ca="1" si="26"/>
        <v>#REF!</v>
      </c>
    </row>
    <row r="1721" spans="3:3">
      <c r="C1721" t="e">
        <f t="shared" ca="1" si="26"/>
        <v>#REF!</v>
      </c>
    </row>
    <row r="1722" spans="3:3">
      <c r="C1722" t="e">
        <f t="shared" ca="1" si="26"/>
        <v>#REF!</v>
      </c>
    </row>
    <row r="1723" spans="3:3">
      <c r="C1723" t="e">
        <f t="shared" ca="1" si="26"/>
        <v>#REF!</v>
      </c>
    </row>
    <row r="1724" spans="3:3">
      <c r="C1724" t="e">
        <f t="shared" ca="1" si="26"/>
        <v>#REF!</v>
      </c>
    </row>
    <row r="1725" spans="3:3">
      <c r="C1725" t="e">
        <f t="shared" ca="1" si="26"/>
        <v>#REF!</v>
      </c>
    </row>
    <row r="1726" spans="3:3">
      <c r="C1726" t="e">
        <f t="shared" ca="1" si="26"/>
        <v>#REF!</v>
      </c>
    </row>
    <row r="1727" spans="3:3">
      <c r="C1727" t="e">
        <f t="shared" ca="1" si="26"/>
        <v>#REF!</v>
      </c>
    </row>
    <row r="1728" spans="3:3">
      <c r="C1728" t="e">
        <f t="shared" ca="1" si="26"/>
        <v>#REF!</v>
      </c>
    </row>
    <row r="1729" spans="3:3">
      <c r="C1729" t="e">
        <f t="shared" ca="1" si="26"/>
        <v>#REF!</v>
      </c>
    </row>
    <row r="1730" spans="3:3">
      <c r="C1730" t="e">
        <f t="shared" ca="1" si="26"/>
        <v>#REF!</v>
      </c>
    </row>
    <row r="1731" spans="3:3">
      <c r="C1731" t="e">
        <f t="shared" ref="C1731:C1794" ca="1" si="27">INDIRECT(B1731)</f>
        <v>#REF!</v>
      </c>
    </row>
    <row r="1732" spans="3:3">
      <c r="C1732" t="e">
        <f t="shared" ca="1" si="27"/>
        <v>#REF!</v>
      </c>
    </row>
    <row r="1733" spans="3:3">
      <c r="C1733" t="e">
        <f t="shared" ca="1" si="27"/>
        <v>#REF!</v>
      </c>
    </row>
    <row r="1734" spans="3:3">
      <c r="C1734" t="e">
        <f t="shared" ca="1" si="27"/>
        <v>#REF!</v>
      </c>
    </row>
    <row r="1735" spans="3:3">
      <c r="C1735" t="e">
        <f t="shared" ca="1" si="27"/>
        <v>#REF!</v>
      </c>
    </row>
    <row r="1736" spans="3:3">
      <c r="C1736" t="e">
        <f t="shared" ca="1" si="27"/>
        <v>#REF!</v>
      </c>
    </row>
    <row r="1737" spans="3:3">
      <c r="C1737" t="e">
        <f t="shared" ca="1" si="27"/>
        <v>#REF!</v>
      </c>
    </row>
    <row r="1738" spans="3:3">
      <c r="C1738" t="e">
        <f t="shared" ca="1" si="27"/>
        <v>#REF!</v>
      </c>
    </row>
    <row r="1739" spans="3:3">
      <c r="C1739" t="e">
        <f t="shared" ca="1" si="27"/>
        <v>#REF!</v>
      </c>
    </row>
    <row r="1740" spans="3:3">
      <c r="C1740" t="e">
        <f t="shared" ca="1" si="27"/>
        <v>#REF!</v>
      </c>
    </row>
    <row r="1741" spans="3:3">
      <c r="C1741" t="e">
        <f t="shared" ca="1" si="27"/>
        <v>#REF!</v>
      </c>
    </row>
    <row r="1742" spans="3:3">
      <c r="C1742" t="e">
        <f t="shared" ca="1" si="27"/>
        <v>#REF!</v>
      </c>
    </row>
    <row r="1743" spans="3:3">
      <c r="C1743" t="e">
        <f t="shared" ca="1" si="27"/>
        <v>#REF!</v>
      </c>
    </row>
    <row r="1744" spans="3:3">
      <c r="C1744" t="e">
        <f t="shared" ca="1" si="27"/>
        <v>#REF!</v>
      </c>
    </row>
    <row r="1745" spans="3:3">
      <c r="C1745" t="e">
        <f t="shared" ca="1" si="27"/>
        <v>#REF!</v>
      </c>
    </row>
    <row r="1746" spans="3:3">
      <c r="C1746" t="e">
        <f t="shared" ca="1" si="27"/>
        <v>#REF!</v>
      </c>
    </row>
    <row r="1747" spans="3:3">
      <c r="C1747" t="e">
        <f t="shared" ca="1" si="27"/>
        <v>#REF!</v>
      </c>
    </row>
    <row r="1748" spans="3:3">
      <c r="C1748" t="e">
        <f t="shared" ca="1" si="27"/>
        <v>#REF!</v>
      </c>
    </row>
    <row r="1749" spans="3:3">
      <c r="C1749" t="e">
        <f t="shared" ca="1" si="27"/>
        <v>#REF!</v>
      </c>
    </row>
    <row r="1750" spans="3:3">
      <c r="C1750" t="e">
        <f t="shared" ca="1" si="27"/>
        <v>#REF!</v>
      </c>
    </row>
    <row r="1751" spans="3:3">
      <c r="C1751" t="e">
        <f t="shared" ca="1" si="27"/>
        <v>#REF!</v>
      </c>
    </row>
    <row r="1752" spans="3:3">
      <c r="C1752" t="e">
        <f t="shared" ca="1" si="27"/>
        <v>#REF!</v>
      </c>
    </row>
    <row r="1753" spans="3:3">
      <c r="C1753" t="e">
        <f t="shared" ca="1" si="27"/>
        <v>#REF!</v>
      </c>
    </row>
    <row r="1754" spans="3:3">
      <c r="C1754" t="e">
        <f t="shared" ca="1" si="27"/>
        <v>#REF!</v>
      </c>
    </row>
    <row r="1755" spans="3:3">
      <c r="C1755" t="e">
        <f t="shared" ca="1" si="27"/>
        <v>#REF!</v>
      </c>
    </row>
    <row r="1756" spans="3:3">
      <c r="C1756" t="e">
        <f t="shared" ca="1" si="27"/>
        <v>#REF!</v>
      </c>
    </row>
    <row r="1757" spans="3:3">
      <c r="C1757" t="e">
        <f t="shared" ca="1" si="27"/>
        <v>#REF!</v>
      </c>
    </row>
    <row r="1758" spans="3:3">
      <c r="C1758" t="e">
        <f t="shared" ca="1" si="27"/>
        <v>#REF!</v>
      </c>
    </row>
    <row r="1759" spans="3:3">
      <c r="C1759" t="e">
        <f t="shared" ca="1" si="27"/>
        <v>#REF!</v>
      </c>
    </row>
    <row r="1760" spans="3:3">
      <c r="C1760" t="e">
        <f t="shared" ca="1" si="27"/>
        <v>#REF!</v>
      </c>
    </row>
    <row r="1761" spans="3:3">
      <c r="C1761" t="e">
        <f t="shared" ca="1" si="27"/>
        <v>#REF!</v>
      </c>
    </row>
    <row r="1762" spans="3:3">
      <c r="C1762" t="e">
        <f t="shared" ca="1" si="27"/>
        <v>#REF!</v>
      </c>
    </row>
    <row r="1763" spans="3:3">
      <c r="C1763" t="e">
        <f t="shared" ca="1" si="27"/>
        <v>#REF!</v>
      </c>
    </row>
    <row r="1764" spans="3:3">
      <c r="C1764" t="e">
        <f t="shared" ca="1" si="27"/>
        <v>#REF!</v>
      </c>
    </row>
    <row r="1765" spans="3:3">
      <c r="C1765" t="e">
        <f t="shared" ca="1" si="27"/>
        <v>#REF!</v>
      </c>
    </row>
    <row r="1766" spans="3:3">
      <c r="C1766" t="e">
        <f t="shared" ca="1" si="27"/>
        <v>#REF!</v>
      </c>
    </row>
    <row r="1767" spans="3:3">
      <c r="C1767" t="e">
        <f t="shared" ca="1" si="27"/>
        <v>#REF!</v>
      </c>
    </row>
    <row r="1768" spans="3:3">
      <c r="C1768" t="e">
        <f t="shared" ca="1" si="27"/>
        <v>#REF!</v>
      </c>
    </row>
    <row r="1769" spans="3:3">
      <c r="C1769" t="e">
        <f t="shared" ca="1" si="27"/>
        <v>#REF!</v>
      </c>
    </row>
    <row r="1770" spans="3:3">
      <c r="C1770" t="e">
        <f t="shared" ca="1" si="27"/>
        <v>#REF!</v>
      </c>
    </row>
    <row r="1771" spans="3:3">
      <c r="C1771" t="e">
        <f t="shared" ca="1" si="27"/>
        <v>#REF!</v>
      </c>
    </row>
    <row r="1772" spans="3:3">
      <c r="C1772" t="e">
        <f t="shared" ca="1" si="27"/>
        <v>#REF!</v>
      </c>
    </row>
    <row r="1773" spans="3:3">
      <c r="C1773" t="e">
        <f t="shared" ca="1" si="27"/>
        <v>#REF!</v>
      </c>
    </row>
    <row r="1774" spans="3:3">
      <c r="C1774" t="e">
        <f t="shared" ca="1" si="27"/>
        <v>#REF!</v>
      </c>
    </row>
    <row r="1775" spans="3:3">
      <c r="C1775" t="e">
        <f t="shared" ca="1" si="27"/>
        <v>#REF!</v>
      </c>
    </row>
    <row r="1776" spans="3:3">
      <c r="C1776" t="e">
        <f t="shared" ca="1" si="27"/>
        <v>#REF!</v>
      </c>
    </row>
    <row r="1777" spans="3:3">
      <c r="C1777" t="e">
        <f t="shared" ca="1" si="27"/>
        <v>#REF!</v>
      </c>
    </row>
    <row r="1778" spans="3:3">
      <c r="C1778" t="e">
        <f t="shared" ca="1" si="27"/>
        <v>#REF!</v>
      </c>
    </row>
    <row r="1779" spans="3:3">
      <c r="C1779" t="e">
        <f t="shared" ca="1" si="27"/>
        <v>#REF!</v>
      </c>
    </row>
    <row r="1780" spans="3:3">
      <c r="C1780" t="e">
        <f t="shared" ca="1" si="27"/>
        <v>#REF!</v>
      </c>
    </row>
    <row r="1781" spans="3:3">
      <c r="C1781" t="e">
        <f t="shared" ca="1" si="27"/>
        <v>#REF!</v>
      </c>
    </row>
    <row r="1782" spans="3:3">
      <c r="C1782" t="e">
        <f t="shared" ca="1" si="27"/>
        <v>#REF!</v>
      </c>
    </row>
    <row r="1783" spans="3:3">
      <c r="C1783" t="e">
        <f t="shared" ca="1" si="27"/>
        <v>#REF!</v>
      </c>
    </row>
    <row r="1784" spans="3:3">
      <c r="C1784" t="e">
        <f t="shared" ca="1" si="27"/>
        <v>#REF!</v>
      </c>
    </row>
    <row r="1785" spans="3:3">
      <c r="C1785" t="e">
        <f t="shared" ca="1" si="27"/>
        <v>#REF!</v>
      </c>
    </row>
    <row r="1786" spans="3:3">
      <c r="C1786" t="e">
        <f t="shared" ca="1" si="27"/>
        <v>#REF!</v>
      </c>
    </row>
    <row r="1787" spans="3:3">
      <c r="C1787" t="e">
        <f t="shared" ca="1" si="27"/>
        <v>#REF!</v>
      </c>
    </row>
    <row r="1788" spans="3:3">
      <c r="C1788" t="e">
        <f t="shared" ca="1" si="27"/>
        <v>#REF!</v>
      </c>
    </row>
    <row r="1789" spans="3:3">
      <c r="C1789" t="e">
        <f t="shared" ca="1" si="27"/>
        <v>#REF!</v>
      </c>
    </row>
    <row r="1790" spans="3:3">
      <c r="C1790" t="e">
        <f t="shared" ca="1" si="27"/>
        <v>#REF!</v>
      </c>
    </row>
    <row r="1791" spans="3:3">
      <c r="C1791" t="e">
        <f t="shared" ca="1" si="27"/>
        <v>#REF!</v>
      </c>
    </row>
    <row r="1792" spans="3:3">
      <c r="C1792" t="e">
        <f t="shared" ca="1" si="27"/>
        <v>#REF!</v>
      </c>
    </row>
    <row r="1793" spans="3:3">
      <c r="C1793" t="e">
        <f t="shared" ca="1" si="27"/>
        <v>#REF!</v>
      </c>
    </row>
    <row r="1794" spans="3:3">
      <c r="C1794" t="e">
        <f t="shared" ca="1" si="27"/>
        <v>#REF!</v>
      </c>
    </row>
    <row r="1795" spans="3:3">
      <c r="C1795" t="e">
        <f t="shared" ref="C1795:C1858" ca="1" si="28">INDIRECT(B1795)</f>
        <v>#REF!</v>
      </c>
    </row>
    <row r="1796" spans="3:3">
      <c r="C1796" t="e">
        <f t="shared" ca="1" si="28"/>
        <v>#REF!</v>
      </c>
    </row>
    <row r="1797" spans="3:3">
      <c r="C1797" t="e">
        <f t="shared" ca="1" si="28"/>
        <v>#REF!</v>
      </c>
    </row>
    <row r="1798" spans="3:3">
      <c r="C1798" t="e">
        <f t="shared" ca="1" si="28"/>
        <v>#REF!</v>
      </c>
    </row>
    <row r="1799" spans="3:3">
      <c r="C1799" t="e">
        <f t="shared" ca="1" si="28"/>
        <v>#REF!</v>
      </c>
    </row>
    <row r="1800" spans="3:3">
      <c r="C1800" t="e">
        <f t="shared" ca="1" si="28"/>
        <v>#REF!</v>
      </c>
    </row>
    <row r="1801" spans="3:3">
      <c r="C1801" t="e">
        <f t="shared" ca="1" si="28"/>
        <v>#REF!</v>
      </c>
    </row>
    <row r="1802" spans="3:3">
      <c r="C1802" t="e">
        <f t="shared" ca="1" si="28"/>
        <v>#REF!</v>
      </c>
    </row>
    <row r="1803" spans="3:3">
      <c r="C1803" t="e">
        <f t="shared" ca="1" si="28"/>
        <v>#REF!</v>
      </c>
    </row>
    <row r="1804" spans="3:3">
      <c r="C1804" t="e">
        <f t="shared" ca="1" si="28"/>
        <v>#REF!</v>
      </c>
    </row>
    <row r="1805" spans="3:3">
      <c r="C1805" t="e">
        <f t="shared" ca="1" si="28"/>
        <v>#REF!</v>
      </c>
    </row>
    <row r="1806" spans="3:3">
      <c r="C1806" t="e">
        <f t="shared" ca="1" si="28"/>
        <v>#REF!</v>
      </c>
    </row>
    <row r="1807" spans="3:3">
      <c r="C1807" t="e">
        <f t="shared" ca="1" si="28"/>
        <v>#REF!</v>
      </c>
    </row>
    <row r="1808" spans="3:3">
      <c r="C1808" t="e">
        <f t="shared" ca="1" si="28"/>
        <v>#REF!</v>
      </c>
    </row>
    <row r="1809" spans="3:3">
      <c r="C1809" t="e">
        <f t="shared" ca="1" si="28"/>
        <v>#REF!</v>
      </c>
    </row>
    <row r="1810" spans="3:3">
      <c r="C1810" t="e">
        <f t="shared" ca="1" si="28"/>
        <v>#REF!</v>
      </c>
    </row>
    <row r="1811" spans="3:3">
      <c r="C1811" t="e">
        <f t="shared" ca="1" si="28"/>
        <v>#REF!</v>
      </c>
    </row>
    <row r="1812" spans="3:3">
      <c r="C1812" t="e">
        <f t="shared" ca="1" si="28"/>
        <v>#REF!</v>
      </c>
    </row>
    <row r="1813" spans="3:3">
      <c r="C1813" t="e">
        <f t="shared" ca="1" si="28"/>
        <v>#REF!</v>
      </c>
    </row>
    <row r="1814" spans="3:3">
      <c r="C1814" t="e">
        <f t="shared" ca="1" si="28"/>
        <v>#REF!</v>
      </c>
    </row>
    <row r="1815" spans="3:3">
      <c r="C1815" t="e">
        <f t="shared" ca="1" si="28"/>
        <v>#REF!</v>
      </c>
    </row>
    <row r="1816" spans="3:3">
      <c r="C1816" t="e">
        <f t="shared" ca="1" si="28"/>
        <v>#REF!</v>
      </c>
    </row>
    <row r="1817" spans="3:3">
      <c r="C1817" t="e">
        <f t="shared" ca="1" si="28"/>
        <v>#REF!</v>
      </c>
    </row>
    <row r="1818" spans="3:3">
      <c r="C1818" t="e">
        <f t="shared" ca="1" si="28"/>
        <v>#REF!</v>
      </c>
    </row>
    <row r="1819" spans="3:3">
      <c r="C1819" t="e">
        <f t="shared" ca="1" si="28"/>
        <v>#REF!</v>
      </c>
    </row>
    <row r="1820" spans="3:3">
      <c r="C1820" t="e">
        <f t="shared" ca="1" si="28"/>
        <v>#REF!</v>
      </c>
    </row>
    <row r="1821" spans="3:3">
      <c r="C1821" t="e">
        <f t="shared" ca="1" si="28"/>
        <v>#REF!</v>
      </c>
    </row>
    <row r="1822" spans="3:3">
      <c r="C1822" t="e">
        <f t="shared" ca="1" si="28"/>
        <v>#REF!</v>
      </c>
    </row>
    <row r="1823" spans="3:3">
      <c r="C1823" t="e">
        <f t="shared" ca="1" si="28"/>
        <v>#REF!</v>
      </c>
    </row>
    <row r="1824" spans="3:3">
      <c r="C1824" t="e">
        <f t="shared" ca="1" si="28"/>
        <v>#REF!</v>
      </c>
    </row>
    <row r="1825" spans="3:3">
      <c r="C1825" t="e">
        <f t="shared" ca="1" si="28"/>
        <v>#REF!</v>
      </c>
    </row>
    <row r="1826" spans="3:3">
      <c r="C1826" t="e">
        <f t="shared" ca="1" si="28"/>
        <v>#REF!</v>
      </c>
    </row>
    <row r="1827" spans="3:3">
      <c r="C1827" t="e">
        <f t="shared" ca="1" si="28"/>
        <v>#REF!</v>
      </c>
    </row>
    <row r="1828" spans="3:3">
      <c r="C1828" t="e">
        <f t="shared" ca="1" si="28"/>
        <v>#REF!</v>
      </c>
    </row>
    <row r="1829" spans="3:3">
      <c r="C1829" t="e">
        <f t="shared" ca="1" si="28"/>
        <v>#REF!</v>
      </c>
    </row>
    <row r="1830" spans="3:3">
      <c r="C1830" t="e">
        <f t="shared" ca="1" si="28"/>
        <v>#REF!</v>
      </c>
    </row>
    <row r="1831" spans="3:3">
      <c r="C1831" t="e">
        <f t="shared" ca="1" si="28"/>
        <v>#REF!</v>
      </c>
    </row>
    <row r="1832" spans="3:3">
      <c r="C1832" t="e">
        <f t="shared" ca="1" si="28"/>
        <v>#REF!</v>
      </c>
    </row>
    <row r="1833" spans="3:3">
      <c r="C1833" t="e">
        <f t="shared" ca="1" si="28"/>
        <v>#REF!</v>
      </c>
    </row>
    <row r="1834" spans="3:3">
      <c r="C1834" t="e">
        <f t="shared" ca="1" si="28"/>
        <v>#REF!</v>
      </c>
    </row>
    <row r="1835" spans="3:3">
      <c r="C1835" t="e">
        <f t="shared" ca="1" si="28"/>
        <v>#REF!</v>
      </c>
    </row>
    <row r="1836" spans="3:3">
      <c r="C1836" t="e">
        <f t="shared" ca="1" si="28"/>
        <v>#REF!</v>
      </c>
    </row>
    <row r="1837" spans="3:3">
      <c r="C1837" t="e">
        <f t="shared" ca="1" si="28"/>
        <v>#REF!</v>
      </c>
    </row>
    <row r="1838" spans="3:3">
      <c r="C1838" t="e">
        <f t="shared" ca="1" si="28"/>
        <v>#REF!</v>
      </c>
    </row>
    <row r="1839" spans="3:3">
      <c r="C1839" t="e">
        <f t="shared" ca="1" si="28"/>
        <v>#REF!</v>
      </c>
    </row>
    <row r="1840" spans="3:3">
      <c r="C1840" t="e">
        <f t="shared" ca="1" si="28"/>
        <v>#REF!</v>
      </c>
    </row>
    <row r="1841" spans="3:3">
      <c r="C1841" t="e">
        <f t="shared" ca="1" si="28"/>
        <v>#REF!</v>
      </c>
    </row>
    <row r="1842" spans="3:3">
      <c r="C1842" t="e">
        <f t="shared" ca="1" si="28"/>
        <v>#REF!</v>
      </c>
    </row>
    <row r="1843" spans="3:3">
      <c r="C1843" t="e">
        <f t="shared" ca="1" si="28"/>
        <v>#REF!</v>
      </c>
    </row>
    <row r="1844" spans="3:3">
      <c r="C1844" t="e">
        <f t="shared" ca="1" si="28"/>
        <v>#REF!</v>
      </c>
    </row>
    <row r="1845" spans="3:3">
      <c r="C1845" t="e">
        <f t="shared" ca="1" si="28"/>
        <v>#REF!</v>
      </c>
    </row>
    <row r="1846" spans="3:3">
      <c r="C1846" t="e">
        <f t="shared" ca="1" si="28"/>
        <v>#REF!</v>
      </c>
    </row>
    <row r="1847" spans="3:3">
      <c r="C1847" t="e">
        <f t="shared" ca="1" si="28"/>
        <v>#REF!</v>
      </c>
    </row>
    <row r="1848" spans="3:3">
      <c r="C1848" t="e">
        <f t="shared" ca="1" si="28"/>
        <v>#REF!</v>
      </c>
    </row>
    <row r="1849" spans="3:3">
      <c r="C1849" t="e">
        <f t="shared" ca="1" si="28"/>
        <v>#REF!</v>
      </c>
    </row>
    <row r="1850" spans="3:3">
      <c r="C1850" t="e">
        <f t="shared" ca="1" si="28"/>
        <v>#REF!</v>
      </c>
    </row>
    <row r="1851" spans="3:3">
      <c r="C1851" t="e">
        <f t="shared" ca="1" si="28"/>
        <v>#REF!</v>
      </c>
    </row>
    <row r="1852" spans="3:3">
      <c r="C1852" t="e">
        <f t="shared" ca="1" si="28"/>
        <v>#REF!</v>
      </c>
    </row>
    <row r="1853" spans="3:3">
      <c r="C1853" t="e">
        <f t="shared" ca="1" si="28"/>
        <v>#REF!</v>
      </c>
    </row>
    <row r="1854" spans="3:3">
      <c r="C1854" t="e">
        <f t="shared" ca="1" si="28"/>
        <v>#REF!</v>
      </c>
    </row>
    <row r="1855" spans="3:3">
      <c r="C1855" t="e">
        <f t="shared" ca="1" si="28"/>
        <v>#REF!</v>
      </c>
    </row>
    <row r="1856" spans="3:3">
      <c r="C1856" t="e">
        <f t="shared" ca="1" si="28"/>
        <v>#REF!</v>
      </c>
    </row>
    <row r="1857" spans="3:3">
      <c r="C1857" t="e">
        <f t="shared" ca="1" si="28"/>
        <v>#REF!</v>
      </c>
    </row>
    <row r="1858" spans="3:3">
      <c r="C1858" t="e">
        <f t="shared" ca="1" si="28"/>
        <v>#REF!</v>
      </c>
    </row>
    <row r="1859" spans="3:3">
      <c r="C1859" t="e">
        <f t="shared" ref="C1859:C1922" ca="1" si="29">INDIRECT(B1859)</f>
        <v>#REF!</v>
      </c>
    </row>
    <row r="1860" spans="3:3">
      <c r="C1860" t="e">
        <f t="shared" ca="1" si="29"/>
        <v>#REF!</v>
      </c>
    </row>
    <row r="1861" spans="3:3">
      <c r="C1861" t="e">
        <f t="shared" ca="1" si="29"/>
        <v>#REF!</v>
      </c>
    </row>
    <row r="1862" spans="3:3">
      <c r="C1862" t="e">
        <f t="shared" ca="1" si="29"/>
        <v>#REF!</v>
      </c>
    </row>
    <row r="1863" spans="3:3">
      <c r="C1863" t="e">
        <f t="shared" ca="1" si="29"/>
        <v>#REF!</v>
      </c>
    </row>
    <row r="1864" spans="3:3">
      <c r="C1864" t="e">
        <f t="shared" ca="1" si="29"/>
        <v>#REF!</v>
      </c>
    </row>
    <row r="1865" spans="3:3">
      <c r="C1865" t="e">
        <f t="shared" ca="1" si="29"/>
        <v>#REF!</v>
      </c>
    </row>
    <row r="1866" spans="3:3">
      <c r="C1866" t="e">
        <f t="shared" ca="1" si="29"/>
        <v>#REF!</v>
      </c>
    </row>
    <row r="1867" spans="3:3">
      <c r="C1867" t="e">
        <f t="shared" ca="1" si="29"/>
        <v>#REF!</v>
      </c>
    </row>
    <row r="1868" spans="3:3">
      <c r="C1868" t="e">
        <f t="shared" ca="1" si="29"/>
        <v>#REF!</v>
      </c>
    </row>
    <row r="1869" spans="3:3">
      <c r="C1869" t="e">
        <f t="shared" ca="1" si="29"/>
        <v>#REF!</v>
      </c>
    </row>
    <row r="1870" spans="3:3">
      <c r="C1870" t="e">
        <f t="shared" ca="1" si="29"/>
        <v>#REF!</v>
      </c>
    </row>
    <row r="1871" spans="3:3">
      <c r="C1871" t="e">
        <f t="shared" ca="1" si="29"/>
        <v>#REF!</v>
      </c>
    </row>
    <row r="1872" spans="3:3">
      <c r="C1872" t="e">
        <f t="shared" ca="1" si="29"/>
        <v>#REF!</v>
      </c>
    </row>
    <row r="1873" spans="3:3">
      <c r="C1873" t="e">
        <f t="shared" ca="1" si="29"/>
        <v>#REF!</v>
      </c>
    </row>
    <row r="1874" spans="3:3">
      <c r="C1874" t="e">
        <f t="shared" ca="1" si="29"/>
        <v>#REF!</v>
      </c>
    </row>
    <row r="1875" spans="3:3">
      <c r="C1875" t="e">
        <f t="shared" ca="1" si="29"/>
        <v>#REF!</v>
      </c>
    </row>
    <row r="1876" spans="3:3">
      <c r="C1876" t="e">
        <f t="shared" ca="1" si="29"/>
        <v>#REF!</v>
      </c>
    </row>
    <row r="1877" spans="3:3">
      <c r="C1877" t="e">
        <f t="shared" ca="1" si="29"/>
        <v>#REF!</v>
      </c>
    </row>
    <row r="1878" spans="3:3">
      <c r="C1878" t="e">
        <f t="shared" ca="1" si="29"/>
        <v>#REF!</v>
      </c>
    </row>
    <row r="1879" spans="3:3">
      <c r="C1879" t="e">
        <f t="shared" ca="1" si="29"/>
        <v>#REF!</v>
      </c>
    </row>
    <row r="1880" spans="3:3">
      <c r="C1880" t="e">
        <f t="shared" ca="1" si="29"/>
        <v>#REF!</v>
      </c>
    </row>
    <row r="1881" spans="3:3">
      <c r="C1881" t="e">
        <f t="shared" ca="1" si="29"/>
        <v>#REF!</v>
      </c>
    </row>
    <row r="1882" spans="3:3">
      <c r="C1882" t="e">
        <f t="shared" ca="1" si="29"/>
        <v>#REF!</v>
      </c>
    </row>
    <row r="1883" spans="3:3">
      <c r="C1883" t="e">
        <f t="shared" ca="1" si="29"/>
        <v>#REF!</v>
      </c>
    </row>
    <row r="1884" spans="3:3">
      <c r="C1884" t="e">
        <f t="shared" ca="1" si="29"/>
        <v>#REF!</v>
      </c>
    </row>
    <row r="1885" spans="3:3">
      <c r="C1885" t="e">
        <f t="shared" ca="1" si="29"/>
        <v>#REF!</v>
      </c>
    </row>
    <row r="1886" spans="3:3">
      <c r="C1886" t="e">
        <f t="shared" ca="1" si="29"/>
        <v>#REF!</v>
      </c>
    </row>
    <row r="1887" spans="3:3">
      <c r="C1887" t="e">
        <f t="shared" ca="1" si="29"/>
        <v>#REF!</v>
      </c>
    </row>
    <row r="1888" spans="3:3">
      <c r="C1888" t="e">
        <f t="shared" ca="1" si="29"/>
        <v>#REF!</v>
      </c>
    </row>
    <row r="1889" spans="3:3">
      <c r="C1889" t="e">
        <f t="shared" ca="1" si="29"/>
        <v>#REF!</v>
      </c>
    </row>
    <row r="1890" spans="3:3">
      <c r="C1890" t="e">
        <f t="shared" ca="1" si="29"/>
        <v>#REF!</v>
      </c>
    </row>
    <row r="1891" spans="3:3">
      <c r="C1891" t="e">
        <f t="shared" ca="1" si="29"/>
        <v>#REF!</v>
      </c>
    </row>
    <row r="1892" spans="3:3">
      <c r="C1892" t="e">
        <f t="shared" ca="1" si="29"/>
        <v>#REF!</v>
      </c>
    </row>
    <row r="1893" spans="3:3">
      <c r="C1893" t="e">
        <f t="shared" ca="1" si="29"/>
        <v>#REF!</v>
      </c>
    </row>
    <row r="1894" spans="3:3">
      <c r="C1894" t="e">
        <f t="shared" ca="1" si="29"/>
        <v>#REF!</v>
      </c>
    </row>
    <row r="1895" spans="3:3">
      <c r="C1895" t="e">
        <f t="shared" ca="1" si="29"/>
        <v>#REF!</v>
      </c>
    </row>
    <row r="1896" spans="3:3">
      <c r="C1896" t="e">
        <f t="shared" ca="1" si="29"/>
        <v>#REF!</v>
      </c>
    </row>
    <row r="1897" spans="3:3">
      <c r="C1897" t="e">
        <f t="shared" ca="1" si="29"/>
        <v>#REF!</v>
      </c>
    </row>
    <row r="1898" spans="3:3">
      <c r="C1898" t="e">
        <f t="shared" ca="1" si="29"/>
        <v>#REF!</v>
      </c>
    </row>
    <row r="1899" spans="3:3">
      <c r="C1899" t="e">
        <f t="shared" ca="1" si="29"/>
        <v>#REF!</v>
      </c>
    </row>
    <row r="1900" spans="3:3">
      <c r="C1900" t="e">
        <f t="shared" ca="1" si="29"/>
        <v>#REF!</v>
      </c>
    </row>
    <row r="1901" spans="3:3">
      <c r="C1901" t="e">
        <f t="shared" ca="1" si="29"/>
        <v>#REF!</v>
      </c>
    </row>
    <row r="1902" spans="3:3">
      <c r="C1902" t="e">
        <f t="shared" ca="1" si="29"/>
        <v>#REF!</v>
      </c>
    </row>
    <row r="1903" spans="3:3">
      <c r="C1903" t="e">
        <f t="shared" ca="1" si="29"/>
        <v>#REF!</v>
      </c>
    </row>
    <row r="1904" spans="3:3">
      <c r="C1904" t="e">
        <f t="shared" ca="1" si="29"/>
        <v>#REF!</v>
      </c>
    </row>
    <row r="1905" spans="3:3">
      <c r="C1905" t="e">
        <f t="shared" ca="1" si="29"/>
        <v>#REF!</v>
      </c>
    </row>
    <row r="1906" spans="3:3">
      <c r="C1906" t="e">
        <f t="shared" ca="1" si="29"/>
        <v>#REF!</v>
      </c>
    </row>
    <row r="1907" spans="3:3">
      <c r="C1907" t="e">
        <f t="shared" ca="1" si="29"/>
        <v>#REF!</v>
      </c>
    </row>
    <row r="1908" spans="3:3">
      <c r="C1908" t="e">
        <f t="shared" ca="1" si="29"/>
        <v>#REF!</v>
      </c>
    </row>
    <row r="1909" spans="3:3">
      <c r="C1909" t="e">
        <f t="shared" ca="1" si="29"/>
        <v>#REF!</v>
      </c>
    </row>
    <row r="1910" spans="3:3">
      <c r="C1910" t="e">
        <f t="shared" ca="1" si="29"/>
        <v>#REF!</v>
      </c>
    </row>
    <row r="1911" spans="3:3">
      <c r="C1911" t="e">
        <f t="shared" ca="1" si="29"/>
        <v>#REF!</v>
      </c>
    </row>
    <row r="1912" spans="3:3">
      <c r="C1912" t="e">
        <f t="shared" ca="1" si="29"/>
        <v>#REF!</v>
      </c>
    </row>
    <row r="1913" spans="3:3">
      <c r="C1913" t="e">
        <f t="shared" ca="1" si="29"/>
        <v>#REF!</v>
      </c>
    </row>
    <row r="1914" spans="3:3">
      <c r="C1914" t="e">
        <f t="shared" ca="1" si="29"/>
        <v>#REF!</v>
      </c>
    </row>
    <row r="1915" spans="3:3">
      <c r="C1915" t="e">
        <f t="shared" ca="1" si="29"/>
        <v>#REF!</v>
      </c>
    </row>
    <row r="1916" spans="3:3">
      <c r="C1916" t="e">
        <f t="shared" ca="1" si="29"/>
        <v>#REF!</v>
      </c>
    </row>
    <row r="1917" spans="3:3">
      <c r="C1917" t="e">
        <f t="shared" ca="1" si="29"/>
        <v>#REF!</v>
      </c>
    </row>
    <row r="1918" spans="3:3">
      <c r="C1918" t="e">
        <f t="shared" ca="1" si="29"/>
        <v>#REF!</v>
      </c>
    </row>
    <row r="1919" spans="3:3">
      <c r="C1919" t="e">
        <f t="shared" ca="1" si="29"/>
        <v>#REF!</v>
      </c>
    </row>
    <row r="1920" spans="3:3">
      <c r="C1920" t="e">
        <f t="shared" ca="1" si="29"/>
        <v>#REF!</v>
      </c>
    </row>
    <row r="1921" spans="3:3">
      <c r="C1921" t="e">
        <f t="shared" ca="1" si="29"/>
        <v>#REF!</v>
      </c>
    </row>
    <row r="1922" spans="3:3">
      <c r="C1922" t="e">
        <f t="shared" ca="1" si="29"/>
        <v>#REF!</v>
      </c>
    </row>
    <row r="1923" spans="3:3">
      <c r="C1923" t="e">
        <f t="shared" ref="C1923:C1986" ca="1" si="30">INDIRECT(B1923)</f>
        <v>#REF!</v>
      </c>
    </row>
    <row r="1924" spans="3:3">
      <c r="C1924" t="e">
        <f t="shared" ca="1" si="30"/>
        <v>#REF!</v>
      </c>
    </row>
    <row r="1925" spans="3:3">
      <c r="C1925" t="e">
        <f t="shared" ca="1" si="30"/>
        <v>#REF!</v>
      </c>
    </row>
    <row r="1926" spans="3:3">
      <c r="C1926" t="e">
        <f t="shared" ca="1" si="30"/>
        <v>#REF!</v>
      </c>
    </row>
    <row r="1927" spans="3:3">
      <c r="C1927" t="e">
        <f t="shared" ca="1" si="30"/>
        <v>#REF!</v>
      </c>
    </row>
    <row r="1928" spans="3:3">
      <c r="C1928" t="e">
        <f t="shared" ca="1" si="30"/>
        <v>#REF!</v>
      </c>
    </row>
    <row r="1929" spans="3:3">
      <c r="C1929" t="e">
        <f t="shared" ca="1" si="30"/>
        <v>#REF!</v>
      </c>
    </row>
    <row r="1930" spans="3:3">
      <c r="C1930" t="e">
        <f t="shared" ca="1" si="30"/>
        <v>#REF!</v>
      </c>
    </row>
    <row r="1931" spans="3:3">
      <c r="C1931" t="e">
        <f t="shared" ca="1" si="30"/>
        <v>#REF!</v>
      </c>
    </row>
    <row r="1932" spans="3:3">
      <c r="C1932" t="e">
        <f t="shared" ca="1" si="30"/>
        <v>#REF!</v>
      </c>
    </row>
    <row r="1933" spans="3:3">
      <c r="C1933" t="e">
        <f t="shared" ca="1" si="30"/>
        <v>#REF!</v>
      </c>
    </row>
    <row r="1934" spans="3:3">
      <c r="C1934" t="e">
        <f t="shared" ca="1" si="30"/>
        <v>#REF!</v>
      </c>
    </row>
    <row r="1935" spans="3:3">
      <c r="C1935" t="e">
        <f t="shared" ca="1" si="30"/>
        <v>#REF!</v>
      </c>
    </row>
    <row r="1936" spans="3:3">
      <c r="C1936" t="e">
        <f t="shared" ca="1" si="30"/>
        <v>#REF!</v>
      </c>
    </row>
    <row r="1937" spans="3:3">
      <c r="C1937" t="e">
        <f t="shared" ca="1" si="30"/>
        <v>#REF!</v>
      </c>
    </row>
    <row r="1938" spans="3:3">
      <c r="C1938" t="e">
        <f t="shared" ca="1" si="30"/>
        <v>#REF!</v>
      </c>
    </row>
    <row r="1939" spans="3:3">
      <c r="C1939" t="e">
        <f t="shared" ca="1" si="30"/>
        <v>#REF!</v>
      </c>
    </row>
    <row r="1940" spans="3:3">
      <c r="C1940" t="e">
        <f t="shared" ca="1" si="30"/>
        <v>#REF!</v>
      </c>
    </row>
    <row r="1941" spans="3:3">
      <c r="C1941" t="e">
        <f t="shared" ca="1" si="30"/>
        <v>#REF!</v>
      </c>
    </row>
    <row r="1942" spans="3:3">
      <c r="C1942" t="e">
        <f t="shared" ca="1" si="30"/>
        <v>#REF!</v>
      </c>
    </row>
    <row r="1943" spans="3:3">
      <c r="C1943" t="e">
        <f t="shared" ca="1" si="30"/>
        <v>#REF!</v>
      </c>
    </row>
    <row r="1944" spans="3:3">
      <c r="C1944" t="e">
        <f t="shared" ca="1" si="30"/>
        <v>#REF!</v>
      </c>
    </row>
    <row r="1945" spans="3:3">
      <c r="C1945" t="e">
        <f t="shared" ca="1" si="30"/>
        <v>#REF!</v>
      </c>
    </row>
    <row r="1946" spans="3:3">
      <c r="C1946" t="e">
        <f t="shared" ca="1" si="30"/>
        <v>#REF!</v>
      </c>
    </row>
    <row r="1947" spans="3:3">
      <c r="C1947" t="e">
        <f t="shared" ca="1" si="30"/>
        <v>#REF!</v>
      </c>
    </row>
    <row r="1948" spans="3:3">
      <c r="C1948" t="e">
        <f t="shared" ca="1" si="30"/>
        <v>#REF!</v>
      </c>
    </row>
    <row r="1949" spans="3:3">
      <c r="C1949" t="e">
        <f t="shared" ca="1" si="30"/>
        <v>#REF!</v>
      </c>
    </row>
    <row r="1950" spans="3:3">
      <c r="C1950" t="e">
        <f t="shared" ca="1" si="30"/>
        <v>#REF!</v>
      </c>
    </row>
    <row r="1951" spans="3:3">
      <c r="C1951" t="e">
        <f t="shared" ca="1" si="30"/>
        <v>#REF!</v>
      </c>
    </row>
    <row r="1952" spans="3:3">
      <c r="C1952" t="e">
        <f t="shared" ca="1" si="30"/>
        <v>#REF!</v>
      </c>
    </row>
    <row r="1953" spans="3:3">
      <c r="C1953" t="e">
        <f t="shared" ca="1" si="30"/>
        <v>#REF!</v>
      </c>
    </row>
    <row r="1954" spans="3:3">
      <c r="C1954" t="e">
        <f t="shared" ca="1" si="30"/>
        <v>#REF!</v>
      </c>
    </row>
    <row r="1955" spans="3:3">
      <c r="C1955" t="e">
        <f t="shared" ca="1" si="30"/>
        <v>#REF!</v>
      </c>
    </row>
    <row r="1956" spans="3:3">
      <c r="C1956" t="e">
        <f t="shared" ca="1" si="30"/>
        <v>#REF!</v>
      </c>
    </row>
    <row r="1957" spans="3:3">
      <c r="C1957" t="e">
        <f t="shared" ca="1" si="30"/>
        <v>#REF!</v>
      </c>
    </row>
    <row r="1958" spans="3:3">
      <c r="C1958" t="e">
        <f t="shared" ca="1" si="30"/>
        <v>#REF!</v>
      </c>
    </row>
    <row r="1959" spans="3:3">
      <c r="C1959" t="e">
        <f t="shared" ca="1" si="30"/>
        <v>#REF!</v>
      </c>
    </row>
    <row r="1960" spans="3:3">
      <c r="C1960" t="e">
        <f t="shared" ca="1" si="30"/>
        <v>#REF!</v>
      </c>
    </row>
    <row r="1961" spans="3:3">
      <c r="C1961" t="e">
        <f t="shared" ca="1" si="30"/>
        <v>#REF!</v>
      </c>
    </row>
    <row r="1962" spans="3:3">
      <c r="C1962" t="e">
        <f t="shared" ca="1" si="30"/>
        <v>#REF!</v>
      </c>
    </row>
    <row r="1963" spans="3:3">
      <c r="C1963" t="e">
        <f t="shared" ca="1" si="30"/>
        <v>#REF!</v>
      </c>
    </row>
    <row r="1964" spans="3:3">
      <c r="C1964" t="e">
        <f t="shared" ca="1" si="30"/>
        <v>#REF!</v>
      </c>
    </row>
    <row r="1965" spans="3:3">
      <c r="C1965" t="e">
        <f t="shared" ca="1" si="30"/>
        <v>#REF!</v>
      </c>
    </row>
    <row r="1966" spans="3:3">
      <c r="C1966" t="e">
        <f t="shared" ca="1" si="30"/>
        <v>#REF!</v>
      </c>
    </row>
    <row r="1967" spans="3:3">
      <c r="C1967" t="e">
        <f t="shared" ca="1" si="30"/>
        <v>#REF!</v>
      </c>
    </row>
    <row r="1968" spans="3:3">
      <c r="C1968" t="e">
        <f t="shared" ca="1" si="30"/>
        <v>#REF!</v>
      </c>
    </row>
    <row r="1969" spans="3:3">
      <c r="C1969" t="e">
        <f t="shared" ca="1" si="30"/>
        <v>#REF!</v>
      </c>
    </row>
    <row r="1970" spans="3:3">
      <c r="C1970" t="e">
        <f t="shared" ca="1" si="30"/>
        <v>#REF!</v>
      </c>
    </row>
    <row r="1971" spans="3:3">
      <c r="C1971" t="e">
        <f t="shared" ca="1" si="30"/>
        <v>#REF!</v>
      </c>
    </row>
    <row r="1972" spans="3:3">
      <c r="C1972" t="e">
        <f t="shared" ca="1" si="30"/>
        <v>#REF!</v>
      </c>
    </row>
    <row r="1973" spans="3:3">
      <c r="C1973" t="e">
        <f t="shared" ca="1" si="30"/>
        <v>#REF!</v>
      </c>
    </row>
    <row r="1974" spans="3:3">
      <c r="C1974" t="e">
        <f t="shared" ca="1" si="30"/>
        <v>#REF!</v>
      </c>
    </row>
    <row r="1975" spans="3:3">
      <c r="C1975" t="e">
        <f t="shared" ca="1" si="30"/>
        <v>#REF!</v>
      </c>
    </row>
    <row r="1976" spans="3:3">
      <c r="C1976" t="e">
        <f t="shared" ca="1" si="30"/>
        <v>#REF!</v>
      </c>
    </row>
    <row r="1977" spans="3:3">
      <c r="C1977" t="e">
        <f t="shared" ca="1" si="30"/>
        <v>#REF!</v>
      </c>
    </row>
    <row r="1978" spans="3:3">
      <c r="C1978" t="e">
        <f t="shared" ca="1" si="30"/>
        <v>#REF!</v>
      </c>
    </row>
    <row r="1979" spans="3:3">
      <c r="C1979" t="e">
        <f t="shared" ca="1" si="30"/>
        <v>#REF!</v>
      </c>
    </row>
    <row r="1980" spans="3:3">
      <c r="C1980" t="e">
        <f t="shared" ca="1" si="30"/>
        <v>#REF!</v>
      </c>
    </row>
    <row r="1981" spans="3:3">
      <c r="C1981" t="e">
        <f t="shared" ca="1" si="30"/>
        <v>#REF!</v>
      </c>
    </row>
    <row r="1982" spans="3:3">
      <c r="C1982" t="e">
        <f t="shared" ca="1" si="30"/>
        <v>#REF!</v>
      </c>
    </row>
    <row r="1983" spans="3:3">
      <c r="C1983" t="e">
        <f t="shared" ca="1" si="30"/>
        <v>#REF!</v>
      </c>
    </row>
    <row r="1984" spans="3:3">
      <c r="C1984" t="e">
        <f t="shared" ca="1" si="30"/>
        <v>#REF!</v>
      </c>
    </row>
    <row r="1985" spans="3:3">
      <c r="C1985" t="e">
        <f t="shared" ca="1" si="30"/>
        <v>#REF!</v>
      </c>
    </row>
    <row r="1986" spans="3:3">
      <c r="C1986" t="e">
        <f t="shared" ca="1" si="30"/>
        <v>#REF!</v>
      </c>
    </row>
    <row r="1987" spans="3:3">
      <c r="C1987" t="e">
        <f t="shared" ref="C1987:C2000" ca="1" si="31">INDIRECT(B1987)</f>
        <v>#REF!</v>
      </c>
    </row>
    <row r="1988" spans="3:3">
      <c r="C1988" t="e">
        <f t="shared" ca="1" si="31"/>
        <v>#REF!</v>
      </c>
    </row>
    <row r="1989" spans="3:3">
      <c r="C1989" t="e">
        <f t="shared" ca="1" si="31"/>
        <v>#REF!</v>
      </c>
    </row>
    <row r="1990" spans="3:3">
      <c r="C1990" t="e">
        <f t="shared" ca="1" si="31"/>
        <v>#REF!</v>
      </c>
    </row>
    <row r="1991" spans="3:3">
      <c r="C1991" t="e">
        <f t="shared" ca="1" si="31"/>
        <v>#REF!</v>
      </c>
    </row>
    <row r="1992" spans="3:3">
      <c r="C1992" t="e">
        <f t="shared" ca="1" si="31"/>
        <v>#REF!</v>
      </c>
    </row>
    <row r="1993" spans="3:3">
      <c r="C1993" t="e">
        <f t="shared" ca="1" si="31"/>
        <v>#REF!</v>
      </c>
    </row>
    <row r="1994" spans="3:3">
      <c r="C1994" t="e">
        <f t="shared" ca="1" si="31"/>
        <v>#REF!</v>
      </c>
    </row>
    <row r="1995" spans="3:3">
      <c r="C1995" t="e">
        <f t="shared" ca="1" si="31"/>
        <v>#REF!</v>
      </c>
    </row>
    <row r="1996" spans="3:3">
      <c r="C1996" t="e">
        <f t="shared" ca="1" si="31"/>
        <v>#REF!</v>
      </c>
    </row>
    <row r="1997" spans="3:3">
      <c r="C1997" t="e">
        <f t="shared" ca="1" si="31"/>
        <v>#REF!</v>
      </c>
    </row>
    <row r="1998" spans="3:3">
      <c r="C1998" t="e">
        <f t="shared" ca="1" si="31"/>
        <v>#REF!</v>
      </c>
    </row>
    <row r="1999" spans="3:3">
      <c r="C1999" t="e">
        <f t="shared" ca="1" si="31"/>
        <v>#REF!</v>
      </c>
    </row>
    <row r="2000" spans="3:3">
      <c r="C2000" t="e">
        <f t="shared" ca="1" si="31"/>
        <v>#REF!</v>
      </c>
    </row>
  </sheetData>
  <hyperlinks>
    <hyperlink ref="B16" location="DataRevRea" display="DataRevRea" xr:uid="{00000000-0004-0000-1A00-000000000000}"/>
    <hyperlink ref="B17" location="FornecimentoE" display="FornecimentoE" xr:uid="{00000000-0004-0000-1A00-000001000000}"/>
    <hyperlink ref="B18" location="FornecimentoE_A1" display="FornecimentoE_A1" xr:uid="{00000000-0004-0000-1A00-000002000000}"/>
    <hyperlink ref="B91" location="LnkTXTTransporte" display="LnkTXTTransporte" xr:uid="{00000000-0004-0000-1A00-000003000000}"/>
    <hyperlink ref="B19" location="FornecimentoE_BT" display="FornecimentoE_BT" xr:uid="{00000000-0004-0000-1A00-000004000000}"/>
    <hyperlink ref="B20" location="GraphRepasse" display="GraphRepasse" xr:uid="{00000000-0004-0000-1A00-000005000000}"/>
    <hyperlink ref="B21" location="idagente" display="idagente" xr:uid="{00000000-0004-0000-1A00-000006000000}"/>
    <hyperlink ref="B22" location="idsreag" display="idsreag" xr:uid="{00000000-0004-0000-1A00-000007000000}"/>
    <hyperlink ref="B23" location="LinkTXTPR" display="LinkTXTPR" xr:uid="{00000000-0004-0000-1A00-000008000000}"/>
    <hyperlink ref="B24" location="LinkTXTX" display="LinkTXTX" xr:uid="{00000000-0004-0000-1A00-000009000000}"/>
    <hyperlink ref="B25" location="LivreE" display="LivreE" xr:uid="{00000000-0004-0000-1A00-00000A000000}"/>
    <hyperlink ref="B26" location="LivreE_A1" display="LivreE_A1" xr:uid="{00000000-0004-0000-1A00-00000B000000}"/>
    <hyperlink ref="B27" location="LnkTXTAtraso" display="LnkTXTAtraso" xr:uid="{00000000-0004-0000-1A00-00000C000000}"/>
    <hyperlink ref="B28" location="LnkTXTCDE" display="LnkTXTCDE" xr:uid="{00000000-0004-0000-1A00-00000D000000}"/>
    <hyperlink ref="B29" location="LnkTXTConexao" display="LnkTXTConexao" xr:uid="{00000000-0004-0000-1A00-00000E000000}"/>
    <hyperlink ref="B30" location="LnkTXTConsumidores" display="LnkTXTConsumidores" xr:uid="{00000000-0004-0000-1A00-00000F000000}"/>
    <hyperlink ref="B31" location="LnkTXTData" display="LnkTXTData" xr:uid="{00000000-0004-0000-1A00-000010000000}"/>
    <hyperlink ref="B32" location="LnkTXTDataAssinatura" display="LnkTXTDataAssinatura" xr:uid="{00000000-0004-0000-1A00-000011000000}"/>
    <hyperlink ref="B33" location="LnkTXTdentro" display="LnkTXTdentro" xr:uid="{00000000-0004-0000-1A00-000012000000}"/>
    <hyperlink ref="B14" location="AnoRefTar" display="AnoRefTar" xr:uid="{00000000-0004-0000-1A00-000013000000}"/>
    <hyperlink ref="B34" location="lnkTXTDIC_FIC" display="lnkTXTDIC_FIC" xr:uid="{00000000-0004-0000-1A00-000014000000}"/>
    <hyperlink ref="B35" location="LnkTXTDICFIC" display="LnkTXTDICFIC" xr:uid="{00000000-0004-0000-1A00-000015000000}"/>
    <hyperlink ref="B36" location="LnkTxtDiferencaIRT2013" display="LnkTxtDiferencaIRT2013" xr:uid="{00000000-0004-0000-1A00-000016000000}"/>
    <hyperlink ref="B37" location="LnkTxtDiferencaRTE" display="LnkTxtDiferencaRTE" xr:uid="{00000000-0004-0000-1A00-000017000000}"/>
    <hyperlink ref="B38" location="LnkTxtDiferencaRTEAtualizada" display="LnkTxtDiferencaRTEAtualizada" xr:uid="{00000000-0004-0000-1A00-000018000000}"/>
    <hyperlink ref="B39" location="LnkTxtDiferencaRTEfin" display="LnkTxtDiferencaRTEfin" xr:uid="{00000000-0004-0000-1A00-000019000000}"/>
    <hyperlink ref="B40" location="LnkTXTECDE" display="LnkTXTECDE" xr:uid="{00000000-0004-0000-1A00-00001A000000}"/>
    <hyperlink ref="B12" location="Aj.Subsidio!LnkTxtEfeito" display="Aj.Subsidio!LnkTxtEfeito" xr:uid="{00000000-0004-0000-1A00-00001B000000}"/>
    <hyperlink ref="B41" location="LnkTXTEfeito" display="LnkTXTEfeito" xr:uid="{00000000-0004-0000-1A00-00001C000000}"/>
    <hyperlink ref="B42" location="LnkTXTEfeitoAT" display="LnkTXTEfeitoAT" xr:uid="{00000000-0004-0000-1A00-00001D000000}"/>
    <hyperlink ref="B43" location="LnkTXTEfeitoBT" display="LnkTXTEfeitoBT" xr:uid="{00000000-0004-0000-1A00-00001E000000}"/>
    <hyperlink ref="B44" location="LnkTxtEfeitoCeripa" display="LnkTxtEfeitoCeripa" xr:uid="{00000000-0004-0000-1A00-00001F000000}"/>
    <hyperlink ref="B45" location="LnkTxtEfeitoRecurso" display="LnkTxtEfeitoRecurso" xr:uid="{00000000-0004-0000-1A00-000020000000}"/>
    <hyperlink ref="B46" location="LnkTxtEfeitoRecursoTotal" display="LnkTxtEfeitoRecursoTotal" xr:uid="{00000000-0004-0000-1A00-000021000000}"/>
    <hyperlink ref="B47" location="LnkTXTEM" display="LnkTXTEM" xr:uid="{00000000-0004-0000-1A00-000022000000}"/>
    <hyperlink ref="B48" location="LnkTXTEnergia" display="LnkTXTEnergia" xr:uid="{00000000-0004-0000-1A00-000023000000}"/>
    <hyperlink ref="B49" location="LnkTXTER" display="LnkTXTER" xr:uid="{00000000-0004-0000-1A00-000024000000}"/>
    <hyperlink ref="B50" location="LnkTXTERFIN" display="LnkTXTERFIN" xr:uid="{00000000-0004-0000-1A00-000025000000}"/>
    <hyperlink ref="B51" location="LnkTXTEV" display="LnkTXTEV" xr:uid="{00000000-0004-0000-1A00-000026000000}"/>
    <hyperlink ref="B52" location="LnkTXTF" display="LnkTXTF" xr:uid="{00000000-0004-0000-1A00-000027000000}"/>
    <hyperlink ref="B53" location="LnkTXTFatorX" display="LnkTXTFatorX" xr:uid="{00000000-0004-0000-1A00-000028000000}"/>
    <hyperlink ref="B54" location="LnkTXTfora" display="LnkTXTfora" xr:uid="{00000000-0004-0000-1A00-000029000000}"/>
    <hyperlink ref="B55" location="LnkTXTGPCU" display="LnkTXTGPCU" xr:uid="{00000000-0004-0000-1A00-00002A000000}"/>
    <hyperlink ref="B56" location="LnkTXTGPM" display="LnkTXTGPM" xr:uid="{00000000-0004-0000-1A00-00002B000000}"/>
    <hyperlink ref="B57" location="LnkTXTICMS" display="LnkTXTICMS" xr:uid="{00000000-0004-0000-1A00-00002C000000}"/>
    <hyperlink ref="B58" location="LnkTXTIPCA" display="LnkTXTIPCA" xr:uid="{00000000-0004-0000-1A00-00002D000000}"/>
    <hyperlink ref="B59" location="LnkTXTIPCAFatorX" display="LnkTXTIPCAFatorX" xr:uid="{00000000-0004-0000-1A00-00002E000000}"/>
    <hyperlink ref="B3" location="' Conexão '!LnkTXTIPCAX" display="' Conexão '!LnkTXTIPCAX" xr:uid="{00000000-0004-0000-1A00-00002F000000}"/>
    <hyperlink ref="B60" location="LnkTXTIPCAX" display="LnkTXTIPCAX" xr:uid="{00000000-0004-0000-1A00-000030000000}"/>
    <hyperlink ref="B61" location="LnkTXTIRTEC" display="LnkTXTIRTEC" xr:uid="{00000000-0004-0000-1A00-000031000000}"/>
    <hyperlink ref="B62" location="LnkTXTIRTEco" display="LnkTXTIRTEco" xr:uid="{00000000-0004-0000-1A00-000032000000}"/>
    <hyperlink ref="B63" location="LnkTXTIRTES" display="LnkTXTIRTES" xr:uid="{00000000-0004-0000-1A00-000033000000}"/>
    <hyperlink ref="B64" location="LnkTXTIRTFin" display="LnkTXTIRTFin" xr:uid="{00000000-0004-0000-1A00-000034000000}"/>
    <hyperlink ref="B65" location="LnkTXTIRTParcelaA" display="LnkTXTIRTParcelaA" xr:uid="{00000000-0004-0000-1A00-000035000000}"/>
    <hyperlink ref="B66" location="LnkTXTIRTParcelaB" display="LnkTXTIRTParcelaB" xr:uid="{00000000-0004-0000-1A00-000036000000}"/>
    <hyperlink ref="B67" location="LnkTXTIRTTE" display="LnkTXTIRTTE" xr:uid="{00000000-0004-0000-1A00-000037000000}"/>
    <hyperlink ref="B92" location="LnkTXTVarEC" display="LnkTXTVarEC" xr:uid="{00000000-0004-0000-1A00-000038000000}"/>
    <hyperlink ref="B68" location="LnkTXTIRTTotal" display="LnkTXTIRTTotal" xr:uid="{00000000-0004-0000-1A00-000039000000}"/>
    <hyperlink ref="B93" location="LnkTXTVarES" display="LnkTXTVarES" xr:uid="{00000000-0004-0000-1A00-00003A000000}"/>
    <hyperlink ref="B69" location="LnkTXTNeutralidade" display="LnkTXTNeutralidade" xr:uid="{00000000-0004-0000-1A00-00003B000000}"/>
    <hyperlink ref="B94" location="LnkTXTVarTE" display="LnkTXTVarTE" xr:uid="{00000000-0004-0000-1A00-00003C000000}"/>
    <hyperlink ref="B70" location="LnkTXTNome" display="LnkTXTNome" xr:uid="{00000000-0004-0000-1A00-00003D000000}"/>
    <hyperlink ref="B95" location="Mercado_CriterioA1" display="Mercado_CriterioA1" xr:uid="{00000000-0004-0000-1A00-00003E000000}"/>
    <hyperlink ref="B71" location="LnkTxtNomeResumido" display="LnkTxtNomeResumido" xr:uid="{00000000-0004-0000-1A00-00003F000000}"/>
    <hyperlink ref="B96" location="Mercado_CriterioA2" display="Mercado_CriterioA2" xr:uid="{00000000-0004-0000-1A00-000040000000}"/>
    <hyperlink ref="B72" location="LnkTxtNumContratoPermissao" display="LnkTxtNumContratoPermissao" xr:uid="{00000000-0004-0000-1A00-000041000000}"/>
    <hyperlink ref="B97" location="Mercado_CriterioA3" display="Mercado_CriterioA3" xr:uid="{00000000-0004-0000-1A00-000042000000}"/>
    <hyperlink ref="B73" location="LnkTxtNumProcesso" display="LnkTxtNumProcesso" xr:uid="{00000000-0004-0000-1A00-000043000000}"/>
    <hyperlink ref="B98" location="Mercado_CriterioA3a" display="Mercado_CriterioA3a" xr:uid="{00000000-0004-0000-1A00-000044000000}"/>
    <hyperlink ref="B74" location="LnkTXTPartParcelaA" display="LnkTXTPartParcelaA" xr:uid="{00000000-0004-0000-1A00-000045000000}"/>
    <hyperlink ref="B75" location="LnkTXTPartParcelaB" display="LnkTXTPartParcelaB" xr:uid="{00000000-0004-0000-1A00-000046000000}"/>
    <hyperlink ref="B76" location="LnkTXTPD" display="LnkTXTPD" xr:uid="{00000000-0004-0000-1A00-000047000000}"/>
    <hyperlink ref="B77" location="LNKTXTPercPISCOFINS" display="LNKTXTPercPISCOFINS" xr:uid="{00000000-0004-0000-1A00-000048000000}"/>
    <hyperlink ref="B78" location="LnkTXTPerdas" display="LnkTXTPerdas" xr:uid="{00000000-0004-0000-1A00-000049000000}"/>
    <hyperlink ref="B79" location="LnkTXTPerdasDist." display="LnkTXTPerdasDist." xr:uid="{00000000-0004-0000-1A00-00004A000000}"/>
    <hyperlink ref="B80" location="LnkTXTPIS_COFINS" display="LnkTXTPIS_COFINS" xr:uid="{00000000-0004-0000-1A00-00004B000000}"/>
    <hyperlink ref="B81" location="LnkTXTPISCOFINS" display="LnkTXTPISCOFINS" xr:uid="{00000000-0004-0000-1A00-00004C000000}"/>
    <hyperlink ref="B82" location="LnkTXTProinfa" display="LnkTXTProinfa" xr:uid="{00000000-0004-0000-1A00-00004D000000}"/>
    <hyperlink ref="B83" location="LnkTXTRA0" display="LnkTXTRA0" xr:uid="{00000000-0004-0000-1A00-00004E000000}"/>
    <hyperlink ref="B84" location="LnkTXTRecalculo" display="LnkTXTRecalculo" xr:uid="{00000000-0004-0000-1A00-00004F000000}"/>
    <hyperlink ref="B85" location="LnkTXTRedeBasica" display="LnkTXTRedeBasica" xr:uid="{00000000-0004-0000-1A00-000050000000}"/>
    <hyperlink ref="B86" location="LnkTXTReferencia" display="LnkTXTReferencia" xr:uid="{00000000-0004-0000-1A00-000051000000}"/>
    <hyperlink ref="B87" location="LnkTXTSaldo" display="LnkTXTSaldo" xr:uid="{00000000-0004-0000-1A00-000052000000}"/>
    <hyperlink ref="B88" location="LnkTXTSigla" display="LnkTXTSigla" xr:uid="{00000000-0004-0000-1A00-000053000000}"/>
    <hyperlink ref="B89" location="LnkTxTSubvencaoCDE" display="LnkTxTSubvencaoCDE" xr:uid="{00000000-0004-0000-1A00-000054000000}"/>
    <hyperlink ref="B90" location="LnkTxtTarifaDesverticalizacao" display="LnkTxtTarifaDesverticalizacao" xr:uid="{00000000-0004-0000-1A00-000055000000}"/>
    <hyperlink ref="B99" location="Mercado_CriterioA4" display="Mercado_CriterioA4" xr:uid="{00000000-0004-0000-1A00-000056000000}"/>
    <hyperlink ref="B101" location="Mercado_CriterioB" display="Mercado_CriterioB" xr:uid="{00000000-0004-0000-1A00-000057000000}"/>
    <hyperlink ref="B102" location="Mercado_CriterioDistribuição" display="Mercado_CriterioDistribuição" xr:uid="{00000000-0004-0000-1A00-000058000000}"/>
    <hyperlink ref="B103" location="Mercado_CriterioGeração" display="Mercado_CriterioGeração" xr:uid="{00000000-0004-0000-1A00-000059000000}"/>
    <hyperlink ref="B104" location="Mercado_CriterioLivre" display="Mercado_CriterioLivre" xr:uid="{00000000-0004-0000-1A00-00005A000000}"/>
    <hyperlink ref="B105" location="Mercado_CriterioLivreA1" display="Mercado_CriterioLivreA1" xr:uid="{00000000-0004-0000-1A00-00005B000000}"/>
    <hyperlink ref="B106" location="Mercado_CriterioResBr" display="Mercado_CriterioResBr" xr:uid="{00000000-0004-0000-1A00-00005C000000}"/>
    <hyperlink ref="B107" location="Mercado_CriterioSuprimento" display="Mercado_CriterioSuprimento" xr:uid="{00000000-0004-0000-1A00-00005D000000}"/>
    <hyperlink ref="B4" location="' Conexão '!Mercado_Faturado_CVA_CDE" display="' Conexão '!Mercado_Faturado_CVA_CDE" xr:uid="{00000000-0004-0000-1A00-00005E000000}"/>
    <hyperlink ref="B146" location="'Tabelas e Gráficos '!Mercado_Faturado_CVA_CDE" display="'Tabelas e Gráficos '!Mercado_Faturado_CVA_CDE" xr:uid="{00000000-0004-0000-1A00-00005F000000}"/>
    <hyperlink ref="B15" location="AnoRevRea" display="AnoRevRea" xr:uid="{00000000-0004-0000-1A00-000060000000}"/>
    <hyperlink ref="B100" location="Mercado_CriterioAS" display="Mercado_CriterioAS" xr:uid="{00000000-0004-0000-1A00-000061000000}"/>
    <hyperlink ref="B108" location="Mercado_Faturado_CVA_CDE" display="Mercado_Faturado_CVA_CDE" xr:uid="{00000000-0004-0000-1A00-000062000000}"/>
    <hyperlink ref="B5" location="' Conexão '!Mercado_Faturado_CVA_CFURH" display="' Conexão '!Mercado_Faturado_CVA_CFURH" xr:uid="{00000000-0004-0000-1A00-000063000000}"/>
    <hyperlink ref="B147" location="'Tabelas e Gráficos '!Mercado_Faturado_CVA_CFURH" display="'Tabelas e Gráficos '!Mercado_Faturado_CVA_CFURH" xr:uid="{00000000-0004-0000-1A00-000064000000}"/>
    <hyperlink ref="B109" location="Mercado_Faturado_CVA_CFURH" display="Mercado_Faturado_CVA_CFURH" xr:uid="{00000000-0004-0000-1A00-000065000000}"/>
    <hyperlink ref="B6" location="' Conexão '!Mercado_Faturado_CVA_Energia" display="' Conexão '!Mercado_Faturado_CVA_Energia" xr:uid="{00000000-0004-0000-1A00-000066000000}"/>
    <hyperlink ref="B148" location="'Tabelas e Gráficos '!Mercado_Faturado_CVA_Energia" display="'Tabelas e Gráficos '!Mercado_Faturado_CVA_Energia" xr:uid="{00000000-0004-0000-1A00-000067000000}"/>
    <hyperlink ref="B110" location="Mercado_Faturado_CVA_Energia" display="Mercado_Faturado_CVA_Energia" xr:uid="{00000000-0004-0000-1A00-000068000000}"/>
    <hyperlink ref="B7" location="' Conexão '!Mercado_Faturado_CVA_ESSERR" display="' Conexão '!Mercado_Faturado_CVA_ESSERR" xr:uid="{00000000-0004-0000-1A00-000069000000}"/>
    <hyperlink ref="B149" location="'Tabelas e Gráficos '!Mercado_Faturado_CVA_ESSERR" display="'Tabelas e Gráficos '!Mercado_Faturado_CVA_ESSERR" xr:uid="{00000000-0004-0000-1A00-00006A000000}"/>
    <hyperlink ref="B111" location="Mercado_Faturado_CVA_ESSERR" display="Mercado_Faturado_CVA_ESSERR" xr:uid="{00000000-0004-0000-1A00-00006B000000}"/>
    <hyperlink ref="B8" location="' Conexão '!Mercado_Faturado_CVA_PROINFA" display="' Conexão '!Mercado_Faturado_CVA_PROINFA" xr:uid="{00000000-0004-0000-1A00-00006C000000}"/>
    <hyperlink ref="B150" location="'Tabelas e Gráficos '!Mercado_Faturado_CVA_PROINFA" display="'Tabelas e Gráficos '!Mercado_Faturado_CVA_PROINFA" xr:uid="{00000000-0004-0000-1A00-00006D000000}"/>
    <hyperlink ref="B112" location="Mercado_Faturado_CVA_PROINFA" display="Mercado_Faturado_CVA_PROINFA" xr:uid="{00000000-0004-0000-1A00-00006E000000}"/>
    <hyperlink ref="B9" location="' Conexão '!Mercado_Faturado_CVA_RB" display="' Conexão '!Mercado_Faturado_CVA_RB" xr:uid="{00000000-0004-0000-1A00-00006F000000}"/>
    <hyperlink ref="B151" location="'Tabelas e Gráficos '!Mercado_Faturado_CVA_RB" display="'Tabelas e Gráficos '!Mercado_Faturado_CVA_RB" xr:uid="{00000000-0004-0000-1A00-000070000000}"/>
    <hyperlink ref="B113" location="Mercado_Faturado_CVA_RB" display="Mercado_Faturado_CVA_RB" xr:uid="{00000000-0004-0000-1A00-000071000000}"/>
    <hyperlink ref="B10" location="' Conexão '!Mercado_Faturado_CVA_TranItaipu" display="' Conexão '!Mercado_Faturado_CVA_TranItaipu" xr:uid="{00000000-0004-0000-1A00-000072000000}"/>
    <hyperlink ref="B152" location="'Tabelas e Gráficos '!Mercado_Faturado_CVA_TranItaipu" display="'Tabelas e Gráficos '!Mercado_Faturado_CVA_TranItaipu" xr:uid="{00000000-0004-0000-1A00-000073000000}"/>
    <hyperlink ref="B114" location="Mercado_Faturado_CVA_TranItaipu" display="Mercado_Faturado_CVA_TranItaipu" xr:uid="{00000000-0004-0000-1A00-000074000000}"/>
    <hyperlink ref="B115" location="Mercado_Faturado_Encargo_CDE" display="Mercado_Faturado_Encargo_CDE" xr:uid="{00000000-0004-0000-1A00-000075000000}"/>
    <hyperlink ref="B116" location="Mercado_Faturado_Encargo_CDE_BRUTO" display="Mercado_Faturado_Encargo_CDE_BRUTO" xr:uid="{00000000-0004-0000-1A00-000076000000}"/>
    <hyperlink ref="B117" location="Mercado_Faturado_Encargo_CFURH" display="Mercado_Faturado_Encargo_CFURH" xr:uid="{00000000-0004-0000-1A00-000077000000}"/>
    <hyperlink ref="B118" location="Mercado_Faturado_Encargo_CFURH_BRUTO" display="Mercado_Faturado_Encargo_CFURH_BRUTO" xr:uid="{00000000-0004-0000-1A00-000078000000}"/>
    <hyperlink ref="B119" location="Mercado_Faturado_Encargo_ESSERR" display="Mercado_Faturado_Encargo_ESSERR" xr:uid="{00000000-0004-0000-1A00-000079000000}"/>
    <hyperlink ref="B120" location="Mercado_Faturado_Encargo_ESSERR_BRUTO" display="Mercado_Faturado_Encargo_ESSERR_BRUTO" xr:uid="{00000000-0004-0000-1A00-00007A000000}"/>
    <hyperlink ref="B121" location="Mercado_Faturado_Encargo_ONS" display="Mercado_Faturado_Encargo_ONS" xr:uid="{00000000-0004-0000-1A00-00007B000000}"/>
    <hyperlink ref="B122" location="Mercado_Faturado_Encargo_ONS_BRUTO" display="Mercado_Faturado_Encargo_ONS_BRUTO" xr:uid="{00000000-0004-0000-1A00-00007C000000}"/>
    <hyperlink ref="B123" location="Mercado_Faturado_Encargo_PeD" display="Mercado_Faturado_Encargo_PeD" xr:uid="{00000000-0004-0000-1A00-00007D000000}"/>
    <hyperlink ref="B124" location="Mercado_Faturado_Encargo_PeD_BRUTO" display="Mercado_Faturado_Encargo_PeD_BRUTO" xr:uid="{00000000-0004-0000-1A00-00007E000000}"/>
    <hyperlink ref="B125" location="Mercado_Faturado_Encargo_PROINFA" display="Mercado_Faturado_Encargo_PROINFA" xr:uid="{00000000-0004-0000-1A00-00007F000000}"/>
    <hyperlink ref="B126" location="Mercado_Faturado_Encargo_PROINFA_BRUTO" display="Mercado_Faturado_Encargo_PROINFA_BRUTO" xr:uid="{00000000-0004-0000-1A00-000080000000}"/>
    <hyperlink ref="B127" location="Mercado_Faturado_Encargo_TFSEE" display="Mercado_Faturado_Encargo_TFSEE" xr:uid="{00000000-0004-0000-1A00-000081000000}"/>
    <hyperlink ref="B128" location="Mercado_Faturado_Encargo_TFSEE_BRUTO" display="Mercado_Faturado_Encargo_TFSEE_BRUTO" xr:uid="{00000000-0004-0000-1A00-000082000000}"/>
    <hyperlink ref="B129" location="Mercado_RA0_MWh" display="Mercado_RA0_MWh" xr:uid="{00000000-0004-0000-1A00-000083000000}"/>
    <hyperlink ref="B130" location="Mercado_RA0_Reais" display="Mercado_RA0_Reais" xr:uid="{00000000-0004-0000-1A00-000084000000}"/>
    <hyperlink ref="B131" location="MercadoBase" display="MercadoBase" xr:uid="{00000000-0004-0000-1A00-000085000000}"/>
    <hyperlink ref="B153" location="'Tabelas e Gráficos '!OLE_LINK3" display="'Tabelas e Gráficos '!OLE_LINK3" xr:uid="{00000000-0004-0000-1A00-000086000000}"/>
    <hyperlink ref="B132" location="QuadroMercado" display="QuadroMercado" xr:uid="{00000000-0004-0000-1A00-000087000000}"/>
    <hyperlink ref="B134" location="RefR" display="RefR" xr:uid="{00000000-0004-0000-1A00-000088000000}"/>
    <hyperlink ref="B135" location="SAS_RA0_DataFim" display="SAS_RA0_DataFim" xr:uid="{00000000-0004-0000-1A00-000089000000}"/>
    <hyperlink ref="B136" location="SAS_RA0_DataInicio" display="SAS_RA0_DataInicio" xr:uid="{00000000-0004-0000-1A00-00008A000000}"/>
    <hyperlink ref="B137" location="sd" display="sd" xr:uid="{00000000-0004-0000-1A00-00008B000000}"/>
    <hyperlink ref="B138" location="sem" display="sem" xr:uid="{00000000-0004-0000-1A00-00008C000000}"/>
    <hyperlink ref="B139" location="sf" display="sf" xr:uid="{00000000-0004-0000-1A00-00008D000000}"/>
    <hyperlink ref="B140" location="SuprimentoE" display="SuprimentoE" xr:uid="{00000000-0004-0000-1A00-00008E000000}"/>
    <hyperlink ref="B141" location="TabCF" display="TabCF" xr:uid="{00000000-0004-0000-1A00-00008F000000}"/>
    <hyperlink ref="B142" location="TabCUSD" display="TabCUSD" xr:uid="{00000000-0004-0000-1A00-000090000000}"/>
    <hyperlink ref="B143" location="TabCustoEnergia" display="TabCustoEnergia" xr:uid="{00000000-0004-0000-1A00-000091000000}"/>
    <hyperlink ref="B144" location="TabDRA" display="TabDRA" xr:uid="{00000000-0004-0000-1A00-000092000000}"/>
    <hyperlink ref="B145" location="Tabela4" display="Tabela4" xr:uid="{00000000-0004-0000-1A00-000093000000}"/>
    <hyperlink ref="B154" location="TabEM" display="TabEM" xr:uid="{00000000-0004-0000-1A00-000094000000}"/>
    <hyperlink ref="B155" location="TabEncargos" display="TabEncargos" xr:uid="{00000000-0004-0000-1A00-000095000000}"/>
    <hyperlink ref="B156" location="TabER" display="TabER" xr:uid="{00000000-0004-0000-1A00-000096000000}"/>
    <hyperlink ref="B157" location="TabES" display="TabES" xr:uid="{00000000-0004-0000-1A00-000097000000}"/>
    <hyperlink ref="B11" location="' Conexão '!TabFin" display="' Conexão '!TabFin" xr:uid="{00000000-0004-0000-1A00-000098000000}"/>
    <hyperlink ref="B13" location="Aj.Subsidio!TabFin" display="Aj.Subsidio!TabFin" xr:uid="{00000000-0004-0000-1A00-000099000000}"/>
    <hyperlink ref="B133" location="'Rede Básica'!TabFin" display="'Rede Básica'!TabFin" xr:uid="{00000000-0004-0000-1A00-00009A000000}"/>
    <hyperlink ref="B158" location="TabFin" display="TabFin" xr:uid="{00000000-0004-0000-1A00-00009B000000}"/>
    <hyperlink ref="B159" location="TabPerdas" display="TabPerdas" xr:uid="{00000000-0004-0000-1A00-00009C000000}"/>
    <hyperlink ref="B160" location="TabRA0" display="TabRA0" xr:uid="{00000000-0004-0000-1A00-00009D000000}"/>
    <hyperlink ref="B161" location="TabResultados" display="TabResultados" xr:uid="{00000000-0004-0000-1A00-00009E000000}"/>
    <hyperlink ref="B162" location="TabResultadosNT" display="TabResultadosNT" xr:uid="{00000000-0004-0000-1A00-00009F000000}"/>
    <hyperlink ref="B163" location="TabResumo" display="TabResumo" xr:uid="{00000000-0004-0000-1A00-0000A0000000}"/>
    <hyperlink ref="B164" location="Tabresumo2" display="Tabresumo2" xr:uid="{00000000-0004-0000-1A00-0000A1000000}"/>
    <hyperlink ref="B165" location="Tabresumo3" display="Tabresumo3" xr:uid="{00000000-0004-0000-1A00-0000A2000000}"/>
    <hyperlink ref="B166" location="TabResumoIRT" display="TabResumoIRT" xr:uid="{00000000-0004-0000-1A00-0000A3000000}"/>
    <hyperlink ref="B167" location="TabVarEnergia" display="TabVarEnergia" xr:uid="{00000000-0004-0000-1A00-0000A4000000}"/>
  </hyperlinks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>
  <documentManagement>
    <Tipo_x0020_do_x0020_documento xmlns="418fcf5d-b969-436b-97d7-f60b628df3ac" xsi:nil="true"/>
    <Documento_x0020_Qualidade_x0020_ISO9001 xmlns="418fcf5d-b969-436b-97d7-f60b628df3ac" xsi:nil="true"/>
    <Observa_x00e7__x00e3_o xmlns="418fcf5d-b969-436b-97d7-f60b628df3ac" xsi:nil="true"/>
  </documentManagement>
</p:properties>
</file>

<file path=customXml/item3.xml>��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1AC914BEB652642B18F46F9B11C2112" ma:contentTypeVersion="20" ma:contentTypeDescription="Crie um novo documento." ma:contentTypeScope="" ma:versionID="e9430f49ffd6a90ad5420df1ef1508a1">
  <xsd:schema xmlns:xsd="http://www.w3.org/2001/XMLSchema" xmlns:xs="http://www.w3.org/2001/XMLSchema" xmlns:p="http://schemas.microsoft.com/office/2006/metadata/properties" xmlns:ns2="418fcf5d-b969-436b-97d7-f60b628df3ac" xmlns:ns3="20170f74-19c9-4fec-9c53-8c3c47b13009" targetNamespace="http://schemas.microsoft.com/office/2006/metadata/properties" ma:root="true" ma:fieldsID="875c95326ebab352ab5550a18ced1e15" ns2:_="" ns3:_="">
    <xsd:import namespace="418fcf5d-b969-436b-97d7-f60b628df3ac"/>
    <xsd:import namespace="20170f74-19c9-4fec-9c53-8c3c47b1300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DateTaken" minOccurs="0"/>
                <xsd:element ref="ns2:Documento_x0020_Qualidade_x0020_ISO9001" minOccurs="0"/>
                <xsd:element ref="ns2:Tipo_x0020_do_x0020_documento" minOccurs="0"/>
                <xsd:element ref="ns2:Observa_x00e7__x00e3_o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8fcf5d-b969-436b-97d7-f60b628df3a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Documento_x0020_Qualidade_x0020_ISO9001" ma:index="17" nillable="true" ma:displayName="Documento Qualidade ISO9001" ma:format="Dropdown" ma:internalName="Documento_x0020_Qualidade_x0020_ISO9001">
      <xsd:simpleType>
        <xsd:restriction base="dms:Choice">
          <xsd:enumeration value="NÃO"/>
          <xsd:enumeration value="SIM"/>
        </xsd:restriction>
      </xsd:simpleType>
    </xsd:element>
    <xsd:element name="Tipo_x0020_do_x0020_documento" ma:index="18" nillable="true" ma:displayName="Tipo do documento" ma:format="Dropdown" ma:internalName="Tipo_x0020_do_x0020_documento">
      <xsd:simpleType>
        <xsd:restriction base="dms:Choice">
          <xsd:enumeration value="Manual da Qualidade"/>
          <xsd:enumeration value="ATA"/>
          <xsd:enumeration value="MAPEAMENTO DE PROCESSOS"/>
          <xsd:enumeration value="INSTRUÇÃO DE TRABALHO-IT"/>
          <xsd:enumeration value="MANUAL DE OPERAÇÃO-MOP"/>
          <xsd:enumeration value="ORGANOGRAMA"/>
          <xsd:enumeration value="PLANO DE AÇÃO"/>
          <xsd:enumeration value="PROCEDIMENTO DA QUALIDADE-PRQ"/>
          <xsd:enumeration value="PROCEDIMENTO OPERACIONAL PADRÃO"/>
          <xsd:enumeration value="Políticas e Objetivos da Qualidade-POQ"/>
          <xsd:enumeration value="Lista de Registros da Qualidade-LRQ"/>
          <xsd:enumeration value="Capacitação"/>
          <xsd:enumeration value="Clientes e Fornecedores"/>
          <xsd:enumeration value="Gestão de Riscos-GR"/>
          <xsd:enumeration value="Formulário de Indicador de desempenho-FID"/>
        </xsd:restriction>
      </xsd:simpleType>
    </xsd:element>
    <xsd:element name="Observa_x00e7__x00e3_o" ma:index="19" nillable="true" ma:displayName="Observação" ma:internalName="Observa_x00e7__x00e3_o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0170f74-19c9-4fec-9c53-8c3c47b13009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3D1B927-F4F3-4903-B5AD-B921DFABB0E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8496CA1-906B-4759-B975-48E791AE348C}">
  <ds:schemaRefs>
    <ds:schemaRef ds:uri="http://schemas.microsoft.com/office/2006/metadata/properties"/>
    <ds:schemaRef ds:uri="418fcf5d-b969-436b-97d7-f60b628df3ac"/>
  </ds:schemaRefs>
</ds:datastoreItem>
</file>

<file path=customXml/itemProps3.xml><?xml version="1.0" encoding="utf-8"?>
<ds:datastoreItem xmlns:ds="http://schemas.openxmlformats.org/officeDocument/2006/customXml" ds:itemID="{2FD81B1A-EBE2-4BFC-964E-5E59712E214D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335BE3F5-9BD9-43EB-93E8-EF7C81D8C46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18fcf5d-b969-436b-97d7-f60b628df3ac"/>
    <ds:schemaRef ds:uri="20170f74-19c9-4fec-9c53-8c3c47b130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33</vt:i4>
      </vt:variant>
      <vt:variant>
        <vt:lpstr>Intervalos Nomeados</vt:lpstr>
      </vt:variant>
      <vt:variant>
        <vt:i4>228</vt:i4>
      </vt:variant>
    </vt:vector>
  </HeadingPairs>
  <TitlesOfParts>
    <vt:vector size="261" baseType="lpstr">
      <vt:lpstr>Subsidio</vt:lpstr>
      <vt:lpstr>BD</vt:lpstr>
      <vt:lpstr>RBBD</vt:lpstr>
      <vt:lpstr>BDCOVID</vt:lpstr>
      <vt:lpstr>Faturas</vt:lpstr>
      <vt:lpstr>Informações Gerais</vt:lpstr>
      <vt:lpstr>CAPA</vt:lpstr>
      <vt:lpstr>Resultado</vt:lpstr>
      <vt:lpstr>Tabelas e Gráficos</vt:lpstr>
      <vt:lpstr>Calc_Mercado</vt:lpstr>
      <vt:lpstr>BD MERCADO</vt:lpstr>
      <vt:lpstr>Energia</vt:lpstr>
      <vt:lpstr>Rede Básica + Ajuste</vt:lpstr>
      <vt:lpstr>Conexão </vt:lpstr>
      <vt:lpstr>CUSD</vt:lpstr>
      <vt:lpstr>Encargos</vt:lpstr>
      <vt:lpstr>Financeiros</vt:lpstr>
      <vt:lpstr>ICMS</vt:lpstr>
      <vt:lpstr>Financeiros Mitigação</vt:lpstr>
      <vt:lpstr>CVE</vt:lpstr>
      <vt:lpstr>Conta covid</vt:lpstr>
      <vt:lpstr>Aj.Subsídio</vt:lpstr>
      <vt:lpstr>Indexador</vt:lpstr>
      <vt:lpstr>BD SUPRIMENTO</vt:lpstr>
      <vt:lpstr>RA0BD</vt:lpstr>
      <vt:lpstr>SimuBD</vt:lpstr>
      <vt:lpstr>Índices</vt:lpstr>
      <vt:lpstr>BD-NET</vt:lpstr>
      <vt:lpstr>Sharepoint</vt:lpstr>
      <vt:lpstr>COEFICIENTES</vt:lpstr>
      <vt:lpstr>REN 473</vt:lpstr>
      <vt:lpstr>ERD</vt:lpstr>
      <vt:lpstr>Glossário Vínculos</vt:lpstr>
      <vt:lpstr>AnoRefTar</vt:lpstr>
      <vt:lpstr>'Tabelas e Gráficos'!AnoRevRea</vt:lpstr>
      <vt:lpstr>AnoRevRea</vt:lpstr>
      <vt:lpstr>Faturas!Area_de_extracao</vt:lpstr>
      <vt:lpstr>Resultado!Area_de_impressao</vt:lpstr>
      <vt:lpstr>Faturas!Criterios</vt:lpstr>
      <vt:lpstr>'Tabelas e Gráficos'!DataRevRea</vt:lpstr>
      <vt:lpstr>DataRevRea</vt:lpstr>
      <vt:lpstr>'Tabelas e Gráficos'!FornecimentoE</vt:lpstr>
      <vt:lpstr>FornecimentoE</vt:lpstr>
      <vt:lpstr>'Tabelas e Gráficos'!FornecimentoE_A1</vt:lpstr>
      <vt:lpstr>FornecimentoE_A1</vt:lpstr>
      <vt:lpstr>'Tabelas e Gráficos'!FornecimentoE_BT</vt:lpstr>
      <vt:lpstr>FornecimentoE_BT</vt:lpstr>
      <vt:lpstr>GraphRepasse</vt:lpstr>
      <vt:lpstr>GTIFPastaCVA</vt:lpstr>
      <vt:lpstr>idagente</vt:lpstr>
      <vt:lpstr>idsreag</vt:lpstr>
      <vt:lpstr>LinkTxtEfeitoPA</vt:lpstr>
      <vt:lpstr>LinkTxtEfeitoPB</vt:lpstr>
      <vt:lpstr>LinkTXTPR</vt:lpstr>
      <vt:lpstr>LinkTXTSaldoRTP</vt:lpstr>
      <vt:lpstr>linktxttotfin</vt:lpstr>
      <vt:lpstr>'Tabelas e Gráficos'!LivreE</vt:lpstr>
      <vt:lpstr>LivreE</vt:lpstr>
      <vt:lpstr>'Tabelas e Gráficos'!LivreE_A1</vt:lpstr>
      <vt:lpstr>LivreE_A1</vt:lpstr>
      <vt:lpstr>LnkTxTAjusteCUST</vt:lpstr>
      <vt:lpstr>LnkTXTAumfin</vt:lpstr>
      <vt:lpstr>LnkTxtBand</vt:lpstr>
      <vt:lpstr>LnkTXTBandeira</vt:lpstr>
      <vt:lpstr>LnkTXTCarta</vt:lpstr>
      <vt:lpstr>LnkTXTCiEmp</vt:lpstr>
      <vt:lpstr>LnkTxtComp12</vt:lpstr>
      <vt:lpstr>LnkTxtCompIndi</vt:lpstr>
      <vt:lpstr>LnkTXTConexao</vt:lpstr>
      <vt:lpstr>LnkTXTConsu</vt:lpstr>
      <vt:lpstr>LnkTXTConsumidores</vt:lpstr>
      <vt:lpstr>LnkTXTData</vt:lpstr>
      <vt:lpstr>LnkTXTDataAntSemDia</vt:lpstr>
      <vt:lpstr>LnkTXTDataCont</vt:lpstr>
      <vt:lpstr>LnkTXTDataFIM</vt:lpstr>
      <vt:lpstr>LnkTXTDataFinal</vt:lpstr>
      <vt:lpstr>LnkTXTDataSemD</vt:lpstr>
      <vt:lpstr>LnkTXTDataSemDia</vt:lpstr>
      <vt:lpstr>LnkTXTdentro</vt:lpstr>
      <vt:lpstr>LnkTXTDescTusd</vt:lpstr>
      <vt:lpstr>LnkTXTDescTusdAnte</vt:lpstr>
      <vt:lpstr>LnkTXTDICFIC</vt:lpstr>
      <vt:lpstr>'Tabelas e Gráficos'!LnkTxtDirRel</vt:lpstr>
      <vt:lpstr>LnkTxtDirRel</vt:lpstr>
      <vt:lpstr>LnkTXTDNT</vt:lpstr>
      <vt:lpstr>LnkTXTDreh</vt:lpstr>
      <vt:lpstr>LnkTXTEEU</vt:lpstr>
      <vt:lpstr>LnkTxtEfeCDE</vt:lpstr>
      <vt:lpstr>LnkTXTEfEcoU</vt:lpstr>
      <vt:lpstr>LnkTXTEfeiEcoUl</vt:lpstr>
      <vt:lpstr>LnkTXTEfeito</vt:lpstr>
      <vt:lpstr>LnkTXTEfeitoAT</vt:lpstr>
      <vt:lpstr>LnkTXTEfeitoBT</vt:lpstr>
      <vt:lpstr>LnkTXTEfFinU</vt:lpstr>
      <vt:lpstr>LnkTXTEfMeU</vt:lpstr>
      <vt:lpstr>LnkTXTEM</vt:lpstr>
      <vt:lpstr>LnkTXTEnergia</vt:lpstr>
      <vt:lpstr>'Tabelas e Gráficos'!LnkTXTER</vt:lpstr>
      <vt:lpstr>LnkTXTER</vt:lpstr>
      <vt:lpstr>LnkTXTERFIN</vt:lpstr>
      <vt:lpstr>'Tabelas e Gráficos'!LnkTXTEV</vt:lpstr>
      <vt:lpstr>LnkTXTEV</vt:lpstr>
      <vt:lpstr>LnkTXTF</vt:lpstr>
      <vt:lpstr>LnkTXTFatorX</vt:lpstr>
      <vt:lpstr>LnkTXTfora</vt:lpstr>
      <vt:lpstr>'Tabelas e Gráficos'!LnkTXTGPCU</vt:lpstr>
      <vt:lpstr>LnkTXTGPCU</vt:lpstr>
      <vt:lpstr>'Tabelas e Gráficos'!LnkTXTGPM</vt:lpstr>
      <vt:lpstr>LnkTXTGPM</vt:lpstr>
      <vt:lpstr>LnkTXTICMS</vt:lpstr>
      <vt:lpstr>LnkTXTIGPM</vt:lpstr>
      <vt:lpstr>LnkTXTIParcelaBcomSub</vt:lpstr>
      <vt:lpstr>LnkTXTIParcelaBsemSub</vt:lpstr>
      <vt:lpstr>'Tabelas e Gráficos'!LnkTXTIPCA</vt:lpstr>
      <vt:lpstr>LnkTXTIPCA</vt:lpstr>
      <vt:lpstr>LnkTXTIPCAac</vt:lpstr>
      <vt:lpstr>LnkTXTIPCAFatorX</vt:lpstr>
      <vt:lpstr>LnkTXTIRTCUSD</vt:lpstr>
      <vt:lpstr>LnkTXTIRTEC</vt:lpstr>
      <vt:lpstr>LnkTXTIRTEco</vt:lpstr>
      <vt:lpstr>LnkTXTIRTES</vt:lpstr>
      <vt:lpstr>'Tabelas e Gráficos'!LnkTXTIRTFin</vt:lpstr>
      <vt:lpstr>LnkTXTIRTParcelaA</vt:lpstr>
      <vt:lpstr>LnkTXTIRTParcelaB</vt:lpstr>
      <vt:lpstr>LnkTXTIRTTE</vt:lpstr>
      <vt:lpstr>LnkTXTIRTTotal</vt:lpstr>
      <vt:lpstr>LnkTXTISubvencaoPB</vt:lpstr>
      <vt:lpstr>LnkTXTlimittrinta</vt:lpstr>
      <vt:lpstr>LNKTXTLImPB</vt:lpstr>
      <vt:lpstr>LnkTXTNeutralidade</vt:lpstr>
      <vt:lpstr>LnkTXTNNT</vt:lpstr>
      <vt:lpstr>LnkTXTNome</vt:lpstr>
      <vt:lpstr>LnkTXTNreh</vt:lpstr>
      <vt:lpstr>LnkTxtNumContratoPermissao</vt:lpstr>
      <vt:lpstr>LnkTxtNumProcesso</vt:lpstr>
      <vt:lpstr>LnkTXTOpcaoSN</vt:lpstr>
      <vt:lpstr>LnkTXTPartParcelaA</vt:lpstr>
      <vt:lpstr>LnkTXTPartParcelaB</vt:lpstr>
      <vt:lpstr>LnkTXTPBReq</vt:lpstr>
      <vt:lpstr>LnkTXTPD</vt:lpstr>
      <vt:lpstr>LNKTXTPercperdas</vt:lpstr>
      <vt:lpstr>LNKTXTPercPISCOFINS</vt:lpstr>
      <vt:lpstr>'Tabelas e Gráficos'!LnkTXTPerdas</vt:lpstr>
      <vt:lpstr>LnkTXTPerdas</vt:lpstr>
      <vt:lpstr>LnkTXTPerdasDist</vt:lpstr>
      <vt:lpstr>LnkTXTPerdasDist.</vt:lpstr>
      <vt:lpstr>LnkTXTPIS_COFINS</vt:lpstr>
      <vt:lpstr>LnkTXTPISCOFINS</vt:lpstr>
      <vt:lpstr>'Tabelas e Gráficos'!LnkTXTPISCOFINSPer</vt:lpstr>
      <vt:lpstr>LnkTXTPISCOFINSPer</vt:lpstr>
      <vt:lpstr>LnkTXTProinfa</vt:lpstr>
      <vt:lpstr>LnkTXTRA0</vt:lpstr>
      <vt:lpstr>LnKTxTRA1</vt:lpstr>
      <vt:lpstr>LnKTXTReaRev</vt:lpstr>
      <vt:lpstr>LnkTXTRecalculo</vt:lpstr>
      <vt:lpstr>LnkTXTReceitaRA0</vt:lpstr>
      <vt:lpstr>LnkTXTReceitaRaoM</vt:lpstr>
      <vt:lpstr>LnkTXTRedeBasica</vt:lpstr>
      <vt:lpstr>LnkTXTReferencia</vt:lpstr>
      <vt:lpstr>LnkTXTRSub</vt:lpstr>
      <vt:lpstr>LnkTXTSaldo</vt:lpstr>
      <vt:lpstr>LnkTXTSaldoA</vt:lpstr>
      <vt:lpstr>'Tabelas e Gráficos'!LnkTXTSigla</vt:lpstr>
      <vt:lpstr>LnkTXTSigla</vt:lpstr>
      <vt:lpstr>LnkTXTSubdesc</vt:lpstr>
      <vt:lpstr>'Tabelas e Gráficos'!LnkTxTSubvencaoCDE</vt:lpstr>
      <vt:lpstr>LnkTxTSubvencaoCDE</vt:lpstr>
      <vt:lpstr>LnkTXTSupri1</vt:lpstr>
      <vt:lpstr>LnkTXTSupri2</vt:lpstr>
      <vt:lpstr>'Tabelas e Gráficos'!LnkTXTSuprid1</vt:lpstr>
      <vt:lpstr>LnkTXTSuprid1</vt:lpstr>
      <vt:lpstr>'Tabelas e Gráficos'!LnkTXTSuprid2</vt:lpstr>
      <vt:lpstr>LnkTXTSuprid2</vt:lpstr>
      <vt:lpstr>lnktxttotalfin</vt:lpstr>
      <vt:lpstr>lnktxttotsubsid</vt:lpstr>
      <vt:lpstr>LnkTXTTransporte</vt:lpstr>
      <vt:lpstr>LnkTXTUNConsu</vt:lpstr>
      <vt:lpstr>LnkTxtVarCDE</vt:lpstr>
      <vt:lpstr>LnkTXTVarEC</vt:lpstr>
      <vt:lpstr>LnkTXTVarES</vt:lpstr>
      <vt:lpstr>LnkTXTVarTE</vt:lpstr>
      <vt:lpstr>LnkTxtVarTFSEE</vt:lpstr>
      <vt:lpstr>Mercado_CriterioA1</vt:lpstr>
      <vt:lpstr>Mercado_CriterioA2</vt:lpstr>
      <vt:lpstr>Mercado_CriterioA3</vt:lpstr>
      <vt:lpstr>Mercado_CriterioA3a</vt:lpstr>
      <vt:lpstr>Mercado_CriterioA4</vt:lpstr>
      <vt:lpstr>Mercado_CriterioAS</vt:lpstr>
      <vt:lpstr>Mercado_CriterioB</vt:lpstr>
      <vt:lpstr>Mercado_CriterioDistribuição</vt:lpstr>
      <vt:lpstr>Mercado_CriterioGeração</vt:lpstr>
      <vt:lpstr>Mercado_CriterioLivre</vt:lpstr>
      <vt:lpstr>Mercado_CriterioLivreA1</vt:lpstr>
      <vt:lpstr>Mercado_CriterioResBr</vt:lpstr>
      <vt:lpstr>Mercado_CriterioSuprimento</vt:lpstr>
      <vt:lpstr>Mercado_Faturado_Encargo_CDE</vt:lpstr>
      <vt:lpstr>'Tabelas e Gráficos'!Mercado_Faturado_Encargo_CDE_BRUTO</vt:lpstr>
      <vt:lpstr>Mercado_Faturado_Encargo_CDE_BRUTO</vt:lpstr>
      <vt:lpstr>Mercado_Faturado_Encargo_CFURH</vt:lpstr>
      <vt:lpstr>'Tabelas e Gráficos'!Mercado_Faturado_Encargo_CFURH_BRUTO</vt:lpstr>
      <vt:lpstr>Mercado_Faturado_Encargo_CFURH_BRUTO</vt:lpstr>
      <vt:lpstr>Mercado_Faturado_Encargo_ESSERR</vt:lpstr>
      <vt:lpstr>'Tabelas e Gráficos'!Mercado_Faturado_Encargo_ESSERR_BRUTO</vt:lpstr>
      <vt:lpstr>Mercado_Faturado_Encargo_ESSERR_BRUTO</vt:lpstr>
      <vt:lpstr>Mercado_Faturado_Encargo_ONS</vt:lpstr>
      <vt:lpstr>'Tabelas e Gráficos'!Mercado_Faturado_Encargo_ONS_BRUTO</vt:lpstr>
      <vt:lpstr>Mercado_Faturado_Encargo_ONS_BRUTO</vt:lpstr>
      <vt:lpstr>Mercado_Faturado_Encargo_PeD</vt:lpstr>
      <vt:lpstr>'Tabelas e Gráficos'!Mercado_Faturado_Encargo_PeD_BRUTO</vt:lpstr>
      <vt:lpstr>Mercado_Faturado_Encargo_PeD_BRUTO</vt:lpstr>
      <vt:lpstr>Mercado_Faturado_Encargo_PROINFA</vt:lpstr>
      <vt:lpstr>'Tabelas e Gráficos'!Mercado_Faturado_Encargo_PROINFA_BRUTO</vt:lpstr>
      <vt:lpstr>Mercado_Faturado_Encargo_PROINFA_BRUTO</vt:lpstr>
      <vt:lpstr>Mercado_Faturado_Encargo_TFSEE</vt:lpstr>
      <vt:lpstr>'Tabelas e Gráficos'!Mercado_Faturado_Encargo_TFSEE_BRUTO</vt:lpstr>
      <vt:lpstr>Mercado_Faturado_Encargo_TFSEE_BRUTO</vt:lpstr>
      <vt:lpstr>Mercado_LivreA2</vt:lpstr>
      <vt:lpstr>Mercado_LivreA3</vt:lpstr>
      <vt:lpstr>Mercado_LivreA3a</vt:lpstr>
      <vt:lpstr>Mercado_LivreA4</vt:lpstr>
      <vt:lpstr>Mercado_LivreAS</vt:lpstr>
      <vt:lpstr>Mercado_LivreB</vt:lpstr>
      <vt:lpstr>'Tabelas e Gráficos'!Mercado_RA0_MWh</vt:lpstr>
      <vt:lpstr>Mercado_RA0_MWh</vt:lpstr>
      <vt:lpstr>'Tabelas e Gráficos'!Mercado_RA0_Reais</vt:lpstr>
      <vt:lpstr>Mercado_RA0_Reais</vt:lpstr>
      <vt:lpstr>MercadoBase</vt:lpstr>
      <vt:lpstr>MercadoBase1</vt:lpstr>
      <vt:lpstr>'Tabelas e Gráficos'!OLE_LINK3</vt:lpstr>
      <vt:lpstr>QuadroMercado</vt:lpstr>
      <vt:lpstr>'Tabelas e Gráficos'!SAS_RA0_DataFim</vt:lpstr>
      <vt:lpstr>SAS_RA0_DataFim</vt:lpstr>
      <vt:lpstr>'Tabelas e Gráficos'!SAS_RA0_DataInicio</vt:lpstr>
      <vt:lpstr>SAS_RA0_DataInicio</vt:lpstr>
      <vt:lpstr>'Tabelas e Gráficos'!SuprimentoE</vt:lpstr>
      <vt:lpstr>SuprimentoE</vt:lpstr>
      <vt:lpstr>TabCF</vt:lpstr>
      <vt:lpstr>TabCUSD</vt:lpstr>
      <vt:lpstr>TabCustoEnergia</vt:lpstr>
      <vt:lpstr>TabDRA</vt:lpstr>
      <vt:lpstr>Tabela4</vt:lpstr>
      <vt:lpstr>TabEM</vt:lpstr>
      <vt:lpstr>TabEncargos</vt:lpstr>
      <vt:lpstr>TabEnSup</vt:lpstr>
      <vt:lpstr>TabER</vt:lpstr>
      <vt:lpstr>TabES</vt:lpstr>
      <vt:lpstr>tabESup</vt:lpstr>
      <vt:lpstr>TabFatorX</vt:lpstr>
      <vt:lpstr>TabPerdas</vt:lpstr>
      <vt:lpstr>TabPorcDesc</vt:lpstr>
      <vt:lpstr>TabRA0</vt:lpstr>
      <vt:lpstr>TabRB</vt:lpstr>
      <vt:lpstr>TabResPB</vt:lpstr>
      <vt:lpstr>TabResultados</vt:lpstr>
      <vt:lpstr>TabResultadosNT</vt:lpstr>
      <vt:lpstr>TabResumo</vt:lpstr>
      <vt:lpstr>Tabresumo2</vt:lpstr>
      <vt:lpstr>Tabresumo3</vt:lpstr>
      <vt:lpstr>TabResumoIRT</vt:lpstr>
      <vt:lpstr>TABSUB</vt:lpstr>
      <vt:lpstr>TabSubsidios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Planilha ASSAS_SIN do kenji</dc:title>
  <dc:subject/>
  <dc:creator>josemanco@aneel.gov.br</dc:creator>
  <cp:keywords/>
  <dc:description>Planilha sucessora do PRATA.</dc:description>
  <cp:lastModifiedBy>Administrador</cp:lastModifiedBy>
  <cp:revision/>
  <cp:lastPrinted>2022-07-14T01:54:57Z</cp:lastPrinted>
  <dcterms:created xsi:type="dcterms:W3CDTF">2010-06-23T20:02:24Z</dcterms:created>
  <dcterms:modified xsi:type="dcterms:W3CDTF">2022-07-29T18:04:42Z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0x01010061AC914BEB652642B18F46F9B11C2112</vt:lpwstr>
  </property>
  <property fmtid="{D5CDD505-2E9C-101B-9397-08002B2CF9AE}" pid="3" name="_dlc_DocIdItemGuid">
    <vt:lpwstr>5f98bb2e-2b3b-4d97-92c5-2b324dca0d8f</vt:lpwstr>
  </property>
</Properties>
</file>